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bf98a802026643/"/>
    </mc:Choice>
  </mc:AlternateContent>
  <xr:revisionPtr revIDLastSave="425" documentId="8_{308B6D51-9060-FB4A-ABBD-5AF92CC1A203}" xr6:coauthVersionLast="47" xr6:coauthVersionMax="47" xr10:uidLastSave="{85B7F8C2-A0E4-264C-994E-A7B3A1F5EE77}"/>
  <bookViews>
    <workbookView xWindow="3960" yWindow="500" windowWidth="29640" windowHeight="20500" tabRatio="859" activeTab="19" xr2:uid="{9255DC7C-AF94-4432-A9AE-3AD76DA01176}"/>
  </bookViews>
  <sheets>
    <sheet name="Summary" sheetId="1" r:id="rId1"/>
    <sheet name="NG" sheetId="2" r:id="rId2"/>
    <sheet name="Group" sheetId="13" r:id="rId3"/>
    <sheet name="Segment Report" sheetId="14" r:id="rId4"/>
    <sheet name="Segment Report (3)" sheetId="20" state="hidden" r:id="rId5"/>
    <sheet name="Analysis" sheetId="16" state="hidden" r:id="rId6"/>
    <sheet name="Segment Report (2)" sheetId="18" state="hidden" r:id="rId7"/>
    <sheet name="MoM" sheetId="15" r:id="rId8"/>
    <sheet name="AIF's Request" sheetId="21" state="hidden" r:id="rId9"/>
    <sheet name="AFS Grouping" sheetId="17" state="hidden" r:id="rId10"/>
    <sheet name="PL_NG" sheetId="3" r:id="rId11"/>
    <sheet name="BS_NG" sheetId="4" r:id="rId12"/>
    <sheet name="TB_NG" sheetId="5" r:id="rId13"/>
    <sheet name="PL_UK" sheetId="6" r:id="rId14"/>
    <sheet name="BS_UK" sheetId="7" r:id="rId15"/>
    <sheet name="TB_UK" sheetId="8" r:id="rId16"/>
    <sheet name="PL_UAE" sheetId="10" r:id="rId17"/>
    <sheet name="BS_UAE" sheetId="11" r:id="rId18"/>
    <sheet name="TB_UAE" sheetId="12" r:id="rId19"/>
    <sheet name="FX Rate" sheetId="9" r:id="rId20"/>
  </sheets>
  <externalReferences>
    <externalReference r:id="rId21"/>
    <externalReference r:id="rId22"/>
    <externalReference r:id="rId23"/>
  </externalReferences>
  <definedNames>
    <definedName name="_xlnm._FilterDatabase" localSheetId="12" hidden="1">TB_NG!$A$3:$AE$566</definedName>
    <definedName name="_xlnm._FilterDatabase" localSheetId="18" hidden="1">TB_UAE!$A$3:$AE$286</definedName>
    <definedName name="_xlnm._FilterDatabase" localSheetId="15" hidden="1">TB_UK!$A$3:$AE$300</definedName>
    <definedName name="C_RATE">Summary!$F$3</definedName>
    <definedName name="P_RATE">Summary!$G$3</definedName>
  </definedNames>
  <calcPr calcId="191029"/>
  <pivotCaches>
    <pivotCache cacheId="0" r:id="rId24"/>
    <pivotCache cacheId="1" r:id="rId25"/>
    <pivotCache cacheId="2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1" i="1" l="1"/>
  <c r="O85" i="1"/>
  <c r="G85" i="1"/>
  <c r="E85" i="1"/>
  <c r="AQ161" i="3"/>
  <c r="AP161" i="3"/>
  <c r="A160" i="3"/>
  <c r="S1" i="15"/>
  <c r="S34" i="15"/>
  <c r="AF121" i="3"/>
  <c r="AG121" i="3"/>
  <c r="AH121" i="3"/>
  <c r="AI121" i="3"/>
  <c r="AJ121" i="3"/>
  <c r="AK121" i="3"/>
  <c r="AL121" i="3"/>
  <c r="AM121" i="3"/>
  <c r="C121" i="3"/>
  <c r="AK103" i="3"/>
  <c r="AL103" i="3"/>
  <c r="AM103" i="3"/>
  <c r="C103" i="3"/>
  <c r="AG565" i="5"/>
  <c r="AG564" i="5"/>
  <c r="AG563" i="5"/>
  <c r="AG562" i="5"/>
  <c r="AG561" i="5"/>
  <c r="AG560" i="5"/>
  <c r="AG559" i="5"/>
  <c r="AG558" i="5"/>
  <c r="AG557" i="5"/>
  <c r="AG556" i="5"/>
  <c r="AG555" i="5"/>
  <c r="AG554" i="5"/>
  <c r="AG553" i="5"/>
  <c r="AG552" i="5"/>
  <c r="AG551" i="5"/>
  <c r="AG550" i="5"/>
  <c r="AG549" i="5"/>
  <c r="AG548" i="5"/>
  <c r="AG547" i="5"/>
  <c r="AG546" i="5"/>
  <c r="AG545" i="5"/>
  <c r="AG544" i="5"/>
  <c r="AG543" i="5"/>
  <c r="AG542" i="5"/>
  <c r="AG541" i="5"/>
  <c r="AG540" i="5"/>
  <c r="AG539" i="5"/>
  <c r="AG538" i="5"/>
  <c r="AG537" i="5"/>
  <c r="AG536" i="5"/>
  <c r="AG535" i="5"/>
  <c r="AG534" i="5"/>
  <c r="AG533" i="5"/>
  <c r="AG532" i="5"/>
  <c r="AG531" i="5"/>
  <c r="AG530" i="5"/>
  <c r="AG529" i="5"/>
  <c r="AG528" i="5"/>
  <c r="AG527" i="5"/>
  <c r="AG526" i="5"/>
  <c r="AG525" i="5"/>
  <c r="AG524" i="5"/>
  <c r="AG523" i="5"/>
  <c r="AG522" i="5"/>
  <c r="AG521" i="5"/>
  <c r="AG520" i="5"/>
  <c r="AG519" i="5"/>
  <c r="AG518" i="5"/>
  <c r="AG517" i="5"/>
  <c r="AG516" i="5"/>
  <c r="AG515" i="5"/>
  <c r="AG514" i="5"/>
  <c r="AG513" i="5"/>
  <c r="AG512" i="5"/>
  <c r="AG511" i="5"/>
  <c r="AG510" i="5"/>
  <c r="AG509" i="5"/>
  <c r="AG508" i="5"/>
  <c r="AG507" i="5"/>
  <c r="AG506" i="5"/>
  <c r="AG505" i="5"/>
  <c r="AG504" i="5"/>
  <c r="AG503" i="5"/>
  <c r="AG502" i="5"/>
  <c r="AG501" i="5"/>
  <c r="AG500" i="5"/>
  <c r="AG499" i="5"/>
  <c r="AG498" i="5"/>
  <c r="AG497" i="5"/>
  <c r="AG496" i="5"/>
  <c r="AG495" i="5"/>
  <c r="AG494" i="5"/>
  <c r="AG493" i="5"/>
  <c r="AG492" i="5"/>
  <c r="AG491" i="5"/>
  <c r="AG490" i="5"/>
  <c r="AG489" i="5"/>
  <c r="AG488" i="5"/>
  <c r="AG487" i="5"/>
  <c r="AG486" i="5"/>
  <c r="AG485" i="5"/>
  <c r="AG484" i="5"/>
  <c r="AG483" i="5"/>
  <c r="AG482" i="5"/>
  <c r="AG481" i="5"/>
  <c r="AG480" i="5"/>
  <c r="AG479" i="5"/>
  <c r="AG478" i="5"/>
  <c r="AG477" i="5"/>
  <c r="AG476" i="5"/>
  <c r="AG475" i="5"/>
  <c r="AG474" i="5"/>
  <c r="AG473" i="5"/>
  <c r="AG472" i="5"/>
  <c r="AG471" i="5"/>
  <c r="AG470" i="5"/>
  <c r="AG469" i="5"/>
  <c r="AG468" i="5"/>
  <c r="AG467" i="5"/>
  <c r="AG466" i="5"/>
  <c r="AG465" i="5"/>
  <c r="AG464" i="5"/>
  <c r="AG463" i="5"/>
  <c r="AG462" i="5"/>
  <c r="AG461" i="5"/>
  <c r="AG460" i="5"/>
  <c r="AG459" i="5"/>
  <c r="AG458" i="5"/>
  <c r="AG457" i="5"/>
  <c r="AG456" i="5"/>
  <c r="AG455" i="5"/>
  <c r="AG454" i="5"/>
  <c r="AG453" i="5"/>
  <c r="AG452" i="5"/>
  <c r="AG451" i="5"/>
  <c r="AG450" i="5"/>
  <c r="AG449" i="5"/>
  <c r="AG448" i="5"/>
  <c r="AG447" i="5"/>
  <c r="AG446" i="5"/>
  <c r="AG445" i="5"/>
  <c r="AG444" i="5"/>
  <c r="AG443" i="5"/>
  <c r="AE121" i="3" s="1"/>
  <c r="AG442" i="5"/>
  <c r="AG441" i="5"/>
  <c r="AG440" i="5"/>
  <c r="AG439" i="5"/>
  <c r="AG438" i="5"/>
  <c r="AG437" i="5"/>
  <c r="AG436" i="5"/>
  <c r="AG435" i="5"/>
  <c r="AG434" i="5"/>
  <c r="AG433" i="5"/>
  <c r="AG432" i="5"/>
  <c r="AG431" i="5"/>
  <c r="AG430" i="5"/>
  <c r="AG429" i="5"/>
  <c r="AG428" i="5"/>
  <c r="AG427" i="5"/>
  <c r="AG426" i="5"/>
  <c r="AG425" i="5"/>
  <c r="AG424" i="5"/>
  <c r="AG423" i="5"/>
  <c r="AG422" i="5"/>
  <c r="AG421" i="5"/>
  <c r="AG420" i="5"/>
  <c r="AG419" i="5"/>
  <c r="AG418" i="5"/>
  <c r="AG417" i="5"/>
  <c r="AG416" i="5"/>
  <c r="AG415" i="5"/>
  <c r="AG414" i="5"/>
  <c r="AG413" i="5"/>
  <c r="AG412" i="5"/>
  <c r="AG411" i="5"/>
  <c r="AG410" i="5"/>
  <c r="AG409" i="5"/>
  <c r="AG408" i="5"/>
  <c r="AG407" i="5"/>
  <c r="AG406" i="5"/>
  <c r="AG405" i="5"/>
  <c r="AG404" i="5"/>
  <c r="AG403" i="5"/>
  <c r="AG402" i="5"/>
  <c r="AG401" i="5"/>
  <c r="AG400" i="5"/>
  <c r="AG399" i="5"/>
  <c r="AG398" i="5"/>
  <c r="AG397" i="5"/>
  <c r="AG396" i="5"/>
  <c r="AG395" i="5"/>
  <c r="AG394" i="5"/>
  <c r="AG393" i="5"/>
  <c r="AG392" i="5"/>
  <c r="AG391" i="5"/>
  <c r="AG390" i="5"/>
  <c r="AG389" i="5"/>
  <c r="AG388" i="5"/>
  <c r="AG387" i="5"/>
  <c r="AG386" i="5"/>
  <c r="AG385" i="5"/>
  <c r="AG384" i="5"/>
  <c r="AG383" i="5"/>
  <c r="AG382" i="5"/>
  <c r="AG381" i="5"/>
  <c r="AG380" i="5"/>
  <c r="AG379" i="5"/>
  <c r="AG378" i="5"/>
  <c r="AG377" i="5"/>
  <c r="AG376" i="5"/>
  <c r="AG375" i="5"/>
  <c r="AG374" i="5"/>
  <c r="AG373" i="5"/>
  <c r="AG372" i="5"/>
  <c r="AG371" i="5"/>
  <c r="AG370" i="5"/>
  <c r="AG369" i="5"/>
  <c r="AG368" i="5"/>
  <c r="AG367" i="5"/>
  <c r="AG366" i="5"/>
  <c r="AG365" i="5"/>
  <c r="AG364" i="5"/>
  <c r="AG363" i="5"/>
  <c r="AG362" i="5"/>
  <c r="AG361" i="5"/>
  <c r="AG360" i="5"/>
  <c r="AG359" i="5"/>
  <c r="AG358" i="5"/>
  <c r="AG357" i="5"/>
  <c r="AG356" i="5"/>
  <c r="AG355" i="5"/>
  <c r="AG354" i="5"/>
  <c r="AG353" i="5"/>
  <c r="AG352" i="5"/>
  <c r="AG351" i="5"/>
  <c r="AG350" i="5"/>
  <c r="AG349" i="5"/>
  <c r="AG348" i="5"/>
  <c r="AG347" i="5"/>
  <c r="AG346" i="5"/>
  <c r="AG345" i="5"/>
  <c r="AG344" i="5"/>
  <c r="AG343" i="5"/>
  <c r="AG342" i="5"/>
  <c r="AG341" i="5"/>
  <c r="AG340" i="5"/>
  <c r="AG339" i="5"/>
  <c r="AG338" i="5"/>
  <c r="AG337" i="5"/>
  <c r="AG336" i="5"/>
  <c r="AG335" i="5"/>
  <c r="AG334" i="5"/>
  <c r="AG333" i="5"/>
  <c r="AG332" i="5"/>
  <c r="AG331" i="5"/>
  <c r="AG330" i="5"/>
  <c r="AG329" i="5"/>
  <c r="AG328" i="5"/>
  <c r="AG327" i="5"/>
  <c r="AG326" i="5"/>
  <c r="AG325" i="5"/>
  <c r="AG324" i="5"/>
  <c r="AG323" i="5"/>
  <c r="AG322" i="5"/>
  <c r="AG321" i="5"/>
  <c r="AG320" i="5"/>
  <c r="AG319" i="5"/>
  <c r="AG318" i="5"/>
  <c r="AG317" i="5"/>
  <c r="AG316" i="5"/>
  <c r="AG315" i="5"/>
  <c r="AG314" i="5"/>
  <c r="AG313" i="5"/>
  <c r="AG312" i="5"/>
  <c r="AG311" i="5"/>
  <c r="AG310" i="5"/>
  <c r="AG309" i="5"/>
  <c r="AG308" i="5"/>
  <c r="AG307" i="5"/>
  <c r="AG306" i="5"/>
  <c r="AG305" i="5"/>
  <c r="AG304" i="5"/>
  <c r="AG303" i="5"/>
  <c r="AG302" i="5"/>
  <c r="AG301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AG44" i="5"/>
  <c r="AG43" i="5"/>
  <c r="AG42" i="5"/>
  <c r="AG41" i="5"/>
  <c r="AG40" i="5"/>
  <c r="AG39" i="5"/>
  <c r="AG38" i="5"/>
  <c r="AG37" i="5"/>
  <c r="AG36" i="5"/>
  <c r="AG35" i="5"/>
  <c r="AG34" i="5"/>
  <c r="AG33" i="5"/>
  <c r="AG32" i="5"/>
  <c r="AG31" i="5"/>
  <c r="AG30" i="5"/>
  <c r="AG29" i="5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G8" i="5"/>
  <c r="AG7" i="5"/>
  <c r="AG6" i="5"/>
  <c r="AG5" i="5"/>
  <c r="AG4" i="5"/>
  <c r="AG3" i="5"/>
  <c r="AG566" i="5" l="1" a="1"/>
  <c r="AG566" i="5" s="1"/>
  <c r="AG2" i="5"/>
  <c r="AI103" i="3"/>
  <c r="AH103" i="3"/>
  <c r="AJ103" i="3"/>
  <c r="AG103" i="3"/>
  <c r="AE103" i="3"/>
  <c r="AF103" i="3"/>
  <c r="AG569" i="5" a="1"/>
  <c r="AG569" i="5" s="1"/>
  <c r="AG285" i="12" l="1"/>
  <c r="AG284" i="12"/>
  <c r="AG283" i="12"/>
  <c r="AG282" i="12"/>
  <c r="AG281" i="12"/>
  <c r="AG280" i="12"/>
  <c r="AG279" i="12"/>
  <c r="AG278" i="12"/>
  <c r="AG277" i="12"/>
  <c r="AG276" i="12"/>
  <c r="AG275" i="12"/>
  <c r="AG274" i="12"/>
  <c r="AG273" i="12"/>
  <c r="AG272" i="12"/>
  <c r="AG271" i="12"/>
  <c r="AG270" i="12"/>
  <c r="AG269" i="12"/>
  <c r="AG268" i="12"/>
  <c r="AG267" i="12"/>
  <c r="AG266" i="12"/>
  <c r="AG265" i="12"/>
  <c r="AG264" i="12"/>
  <c r="AG263" i="12"/>
  <c r="AG262" i="12"/>
  <c r="AG261" i="12"/>
  <c r="AG260" i="12"/>
  <c r="AG259" i="12"/>
  <c r="AG258" i="12"/>
  <c r="AG257" i="12"/>
  <c r="AG256" i="12"/>
  <c r="AG255" i="12"/>
  <c r="AG254" i="12"/>
  <c r="AG253" i="12"/>
  <c r="AG252" i="12"/>
  <c r="AG251" i="12"/>
  <c r="AG250" i="12"/>
  <c r="AG249" i="12"/>
  <c r="AG248" i="12"/>
  <c r="AG247" i="12"/>
  <c r="AG246" i="12"/>
  <c r="AG245" i="12"/>
  <c r="AG244" i="12"/>
  <c r="AG243" i="12"/>
  <c r="AG242" i="12"/>
  <c r="AG241" i="12"/>
  <c r="AG240" i="12"/>
  <c r="AG239" i="12"/>
  <c r="AG238" i="12"/>
  <c r="AG237" i="12"/>
  <c r="AG236" i="12"/>
  <c r="AG235" i="12"/>
  <c r="AG234" i="12"/>
  <c r="AG233" i="12"/>
  <c r="AG232" i="12"/>
  <c r="AG231" i="12"/>
  <c r="AG230" i="12"/>
  <c r="AG229" i="12"/>
  <c r="AG228" i="12"/>
  <c r="AG227" i="12"/>
  <c r="AG226" i="12"/>
  <c r="AG225" i="12"/>
  <c r="AG224" i="12"/>
  <c r="AG223" i="12"/>
  <c r="AG222" i="12"/>
  <c r="AG221" i="12"/>
  <c r="AG220" i="12"/>
  <c r="AG219" i="12"/>
  <c r="AG218" i="12"/>
  <c r="AG217" i="12"/>
  <c r="AG216" i="12"/>
  <c r="AG215" i="12"/>
  <c r="AG214" i="12"/>
  <c r="AG213" i="12"/>
  <c r="AG212" i="12"/>
  <c r="AG211" i="12"/>
  <c r="AG210" i="12"/>
  <c r="AG209" i="12"/>
  <c r="AG208" i="12"/>
  <c r="AG207" i="12"/>
  <c r="AG206" i="12"/>
  <c r="AG205" i="12"/>
  <c r="AG204" i="12"/>
  <c r="AG203" i="12"/>
  <c r="AG202" i="12"/>
  <c r="AG201" i="12"/>
  <c r="AG200" i="12"/>
  <c r="AG199" i="12"/>
  <c r="AG198" i="12"/>
  <c r="AG197" i="12"/>
  <c r="AG196" i="12"/>
  <c r="AG195" i="12"/>
  <c r="AG194" i="12"/>
  <c r="AG193" i="12"/>
  <c r="AG192" i="12"/>
  <c r="AG191" i="12"/>
  <c r="AG190" i="12"/>
  <c r="AG189" i="12"/>
  <c r="AG188" i="12"/>
  <c r="AG187" i="12"/>
  <c r="AG186" i="12"/>
  <c r="AG185" i="12"/>
  <c r="AG184" i="12"/>
  <c r="AG183" i="12"/>
  <c r="AG182" i="12"/>
  <c r="AG181" i="12"/>
  <c r="AG180" i="12"/>
  <c r="AG179" i="12"/>
  <c r="AG178" i="12"/>
  <c r="AG177" i="12"/>
  <c r="AG176" i="12"/>
  <c r="AG175" i="12"/>
  <c r="AG174" i="12"/>
  <c r="AG173" i="12"/>
  <c r="AG172" i="12"/>
  <c r="AG171" i="12"/>
  <c r="AG170" i="12"/>
  <c r="AG169" i="12"/>
  <c r="AG168" i="12"/>
  <c r="AG167" i="12"/>
  <c r="AG166" i="12"/>
  <c r="AG165" i="12"/>
  <c r="AG164" i="12"/>
  <c r="AG163" i="12"/>
  <c r="AG162" i="12"/>
  <c r="AG161" i="12"/>
  <c r="AG160" i="12"/>
  <c r="AG159" i="12"/>
  <c r="AG158" i="12"/>
  <c r="AG157" i="12"/>
  <c r="AG156" i="12"/>
  <c r="AG155" i="12"/>
  <c r="AG154" i="12"/>
  <c r="AG153" i="12"/>
  <c r="AG152" i="12"/>
  <c r="AG151" i="12"/>
  <c r="AG150" i="12"/>
  <c r="AG149" i="12"/>
  <c r="AG148" i="12"/>
  <c r="AG147" i="12"/>
  <c r="AG146" i="12"/>
  <c r="AG145" i="12"/>
  <c r="AG144" i="12"/>
  <c r="AG143" i="12"/>
  <c r="AG142" i="12"/>
  <c r="AG141" i="12"/>
  <c r="AG140" i="12"/>
  <c r="AG139" i="12"/>
  <c r="AG138" i="12"/>
  <c r="AG137" i="12"/>
  <c r="AG136" i="12"/>
  <c r="AG135" i="12"/>
  <c r="AG134" i="12"/>
  <c r="AG133" i="12"/>
  <c r="AG132" i="12"/>
  <c r="AG131" i="12"/>
  <c r="AG130" i="12"/>
  <c r="AG129" i="12"/>
  <c r="AG128" i="12"/>
  <c r="AG127" i="12"/>
  <c r="AG126" i="12"/>
  <c r="AG125" i="12"/>
  <c r="AG124" i="12"/>
  <c r="AG123" i="12"/>
  <c r="AG122" i="12"/>
  <c r="AG121" i="12"/>
  <c r="AG120" i="12"/>
  <c r="AG119" i="12"/>
  <c r="AG118" i="12"/>
  <c r="AG117" i="12"/>
  <c r="AG116" i="12"/>
  <c r="AG115" i="12"/>
  <c r="AG114" i="12"/>
  <c r="AG113" i="12"/>
  <c r="AG112" i="12"/>
  <c r="AG111" i="12"/>
  <c r="AG110" i="12"/>
  <c r="AG109" i="12"/>
  <c r="AG108" i="12"/>
  <c r="AG107" i="12"/>
  <c r="AG106" i="12"/>
  <c r="AG105" i="12"/>
  <c r="AG104" i="12"/>
  <c r="AG103" i="12"/>
  <c r="AG102" i="12"/>
  <c r="AG101" i="12"/>
  <c r="AG100" i="12"/>
  <c r="AG99" i="12"/>
  <c r="AG98" i="12"/>
  <c r="AG97" i="12"/>
  <c r="AG96" i="12"/>
  <c r="AG95" i="12"/>
  <c r="AG94" i="12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G286" i="12" s="1" a="1"/>
  <c r="AG286" i="12" s="1"/>
  <c r="AG3" i="12"/>
  <c r="AG289" i="12" l="1" a="1"/>
  <c r="AG289" i="12" s="1"/>
  <c r="AU140" i="6" l="1"/>
  <c r="AU132" i="6"/>
  <c r="AG299" i="8"/>
  <c r="AG298" i="8"/>
  <c r="AG297" i="8"/>
  <c r="AG296" i="8"/>
  <c r="AG295" i="8"/>
  <c r="AG294" i="8"/>
  <c r="AG293" i="8"/>
  <c r="AG292" i="8"/>
  <c r="AG291" i="8"/>
  <c r="AG290" i="8"/>
  <c r="AG289" i="8"/>
  <c r="AG288" i="8"/>
  <c r="AG287" i="8"/>
  <c r="AG286" i="8"/>
  <c r="AG285" i="8"/>
  <c r="AG284" i="8"/>
  <c r="AG283" i="8"/>
  <c r="AG282" i="8"/>
  <c r="AG281" i="8"/>
  <c r="AG280" i="8"/>
  <c r="AG279" i="8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G266" i="8"/>
  <c r="AG265" i="8"/>
  <c r="AG264" i="8"/>
  <c r="AG263" i="8"/>
  <c r="AG262" i="8"/>
  <c r="AG261" i="8"/>
  <c r="AG260" i="8"/>
  <c r="AG259" i="8"/>
  <c r="AG258" i="8"/>
  <c r="AG257" i="8"/>
  <c r="AG256" i="8"/>
  <c r="AG255" i="8"/>
  <c r="AG254" i="8"/>
  <c r="AG253" i="8"/>
  <c r="AG252" i="8"/>
  <c r="AG251" i="8"/>
  <c r="AG250" i="8"/>
  <c r="AG249" i="8"/>
  <c r="AG248" i="8"/>
  <c r="AG247" i="8"/>
  <c r="AG246" i="8"/>
  <c r="AG245" i="8"/>
  <c r="AG244" i="8"/>
  <c r="AG243" i="8"/>
  <c r="AG242" i="8"/>
  <c r="AG241" i="8"/>
  <c r="AG240" i="8"/>
  <c r="AG239" i="8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G226" i="8"/>
  <c r="AG225" i="8"/>
  <c r="AG224" i="8"/>
  <c r="AG223" i="8"/>
  <c r="AG222" i="8"/>
  <c r="AG221" i="8"/>
  <c r="AG220" i="8"/>
  <c r="AG219" i="8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G206" i="8"/>
  <c r="AG205" i="8"/>
  <c r="AG204" i="8"/>
  <c r="AG203" i="8"/>
  <c r="AG202" i="8"/>
  <c r="AG201" i="8"/>
  <c r="AG200" i="8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G186" i="8"/>
  <c r="AG185" i="8"/>
  <c r="AG184" i="8"/>
  <c r="AG183" i="8"/>
  <c r="AG182" i="8"/>
  <c r="AG181" i="8"/>
  <c r="AG180" i="8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G166" i="8"/>
  <c r="AG165" i="8"/>
  <c r="AG164" i="8"/>
  <c r="AG163" i="8"/>
  <c r="AG162" i="8"/>
  <c r="AG161" i="8"/>
  <c r="AG160" i="8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G146" i="8"/>
  <c r="AG145" i="8"/>
  <c r="AG144" i="8"/>
  <c r="AG143" i="8"/>
  <c r="AG142" i="8"/>
  <c r="AG141" i="8"/>
  <c r="AG140" i="8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G126" i="8"/>
  <c r="AG125" i="8"/>
  <c r="AG124" i="8"/>
  <c r="AG123" i="8"/>
  <c r="AG122" i="8"/>
  <c r="AG121" i="8"/>
  <c r="AG120" i="8"/>
  <c r="AG119" i="8"/>
  <c r="AG118" i="8"/>
  <c r="AG117" i="8"/>
  <c r="AG116" i="8"/>
  <c r="AG115" i="8"/>
  <c r="AG114" i="8"/>
  <c r="AG113" i="8"/>
  <c r="AG112" i="8"/>
  <c r="AG111" i="8"/>
  <c r="AG110" i="8"/>
  <c r="AG109" i="8"/>
  <c r="AG108" i="8"/>
  <c r="AG107" i="8"/>
  <c r="AG106" i="8"/>
  <c r="AG105" i="8"/>
  <c r="AG104" i="8"/>
  <c r="AG103" i="8"/>
  <c r="AG102" i="8"/>
  <c r="AG101" i="8"/>
  <c r="AG100" i="8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G86" i="8"/>
  <c r="AG85" i="8"/>
  <c r="AG84" i="8"/>
  <c r="AG83" i="8"/>
  <c r="AG82" i="8"/>
  <c r="AG81" i="8"/>
  <c r="AG80" i="8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G66" i="8"/>
  <c r="AG65" i="8"/>
  <c r="AG64" i="8"/>
  <c r="AG63" i="8"/>
  <c r="AG62" i="8"/>
  <c r="AG61" i="8"/>
  <c r="AG60" i="8"/>
  <c r="AG59" i="8"/>
  <c r="AG58" i="8"/>
  <c r="AG57" i="8"/>
  <c r="AG56" i="8"/>
  <c r="AG55" i="8"/>
  <c r="AG54" i="8"/>
  <c r="AG53" i="8"/>
  <c r="AG52" i="8"/>
  <c r="AG51" i="8"/>
  <c r="AG50" i="8"/>
  <c r="AG49" i="8"/>
  <c r="AG48" i="8"/>
  <c r="AG47" i="8"/>
  <c r="AG46" i="8"/>
  <c r="AG45" i="8"/>
  <c r="AG44" i="8"/>
  <c r="AG43" i="8"/>
  <c r="AG42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G26" i="8"/>
  <c r="AG25" i="8"/>
  <c r="AG24" i="8"/>
  <c r="AG23" i="8"/>
  <c r="AG22" i="8"/>
  <c r="AG21" i="8"/>
  <c r="AG20" i="8"/>
  <c r="AG19" i="8"/>
  <c r="AG18" i="8"/>
  <c r="AG17" i="8"/>
  <c r="AG16" i="8"/>
  <c r="AG15" i="8"/>
  <c r="AG14" i="8"/>
  <c r="AG13" i="8"/>
  <c r="AG10" i="8"/>
  <c r="AG9" i="8"/>
  <c r="AG8" i="8"/>
  <c r="AG7" i="8"/>
  <c r="AG6" i="8"/>
  <c r="AG5" i="8"/>
  <c r="AG4" i="8"/>
  <c r="AG3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300" i="8" l="1" a="1"/>
  <c r="AG300" i="8" s="1"/>
  <c r="AG303" i="8" a="1"/>
  <c r="AG303" i="8" s="1"/>
  <c r="AM93" i="4" l="1"/>
  <c r="AL93" i="4"/>
  <c r="AK93" i="4"/>
  <c r="AJ93" i="4"/>
  <c r="AI93" i="4"/>
  <c r="AH93" i="4"/>
  <c r="AG93" i="4"/>
  <c r="AF93" i="4"/>
  <c r="AE93" i="4"/>
  <c r="C93" i="4"/>
  <c r="AM92" i="4"/>
  <c r="AL92" i="4"/>
  <c r="AK92" i="4"/>
  <c r="AJ92" i="4"/>
  <c r="AI92" i="4"/>
  <c r="AH92" i="4"/>
  <c r="AG92" i="4"/>
  <c r="AF92" i="4"/>
  <c r="AE92" i="4"/>
  <c r="C92" i="4"/>
  <c r="C92" i="3"/>
  <c r="AL92" i="3" s="1"/>
  <c r="R34" i="15"/>
  <c r="AM92" i="3" l="1"/>
  <c r="AI92" i="3"/>
  <c r="AH92" i="3"/>
  <c r="AG92" i="3"/>
  <c r="AF92" i="3"/>
  <c r="AE92" i="3"/>
  <c r="AK92" i="3"/>
  <c r="AJ92" i="3"/>
  <c r="C67" i="6" l="1"/>
  <c r="AE111" i="3" l="1"/>
  <c r="AF111" i="3"/>
  <c r="AG111" i="3"/>
  <c r="AH111" i="3"/>
  <c r="AI111" i="3"/>
  <c r="AJ111" i="3"/>
  <c r="AK111" i="3"/>
  <c r="AL111" i="3"/>
  <c r="AM111" i="3"/>
  <c r="B330" i="5"/>
  <c r="F330" i="5" s="1"/>
  <c r="D52" i="3" s="1"/>
  <c r="B242" i="5"/>
  <c r="F242" i="5" s="1"/>
  <c r="D201" i="4" s="1"/>
  <c r="AE52" i="3"/>
  <c r="AF52" i="3"/>
  <c r="AG52" i="3"/>
  <c r="AH52" i="3"/>
  <c r="AI52" i="3"/>
  <c r="AJ52" i="3"/>
  <c r="AK52" i="3"/>
  <c r="AL52" i="3"/>
  <c r="AM52" i="3"/>
  <c r="AE201" i="4"/>
  <c r="AF201" i="4"/>
  <c r="AG201" i="4"/>
  <c r="AH201" i="4"/>
  <c r="AI201" i="4"/>
  <c r="AJ201" i="4"/>
  <c r="AK201" i="4"/>
  <c r="AL201" i="4"/>
  <c r="AM201" i="4"/>
  <c r="X242" i="5" l="1"/>
  <c r="V201" i="4" s="1"/>
  <c r="AC330" i="5"/>
  <c r="AA52" i="3" s="1"/>
  <c r="W242" i="5"/>
  <c r="U201" i="4" s="1"/>
  <c r="Q330" i="5"/>
  <c r="O52" i="3" s="1"/>
  <c r="P242" i="5"/>
  <c r="N201" i="4" s="1"/>
  <c r="O242" i="5"/>
  <c r="M201" i="4" s="1"/>
  <c r="Q242" i="5"/>
  <c r="O201" i="4" s="1"/>
  <c r="N242" i="5"/>
  <c r="L201" i="4" s="1"/>
  <c r="M242" i="5"/>
  <c r="K201" i="4" s="1"/>
  <c r="AC242" i="5"/>
  <c r="AA201" i="4" s="1"/>
  <c r="L242" i="5"/>
  <c r="J201" i="4" s="1"/>
  <c r="AB242" i="5"/>
  <c r="Z201" i="4" s="1"/>
  <c r="K242" i="5"/>
  <c r="I201" i="4" s="1"/>
  <c r="AA242" i="5"/>
  <c r="Y201" i="4" s="1"/>
  <c r="Z242" i="5"/>
  <c r="X201" i="4" s="1"/>
  <c r="Y242" i="5"/>
  <c r="W201" i="4" s="1"/>
  <c r="AB330" i="5"/>
  <c r="Z52" i="3" s="1"/>
  <c r="P330" i="5"/>
  <c r="N52" i="3" s="1"/>
  <c r="AA330" i="5"/>
  <c r="Y52" i="3" s="1"/>
  <c r="O330" i="5"/>
  <c r="M52" i="3" s="1"/>
  <c r="Z330" i="5"/>
  <c r="X52" i="3" s="1"/>
  <c r="N330" i="5"/>
  <c r="L52" i="3" s="1"/>
  <c r="Y330" i="5"/>
  <c r="W52" i="3" s="1"/>
  <c r="M330" i="5"/>
  <c r="K52" i="3" s="1"/>
  <c r="X330" i="5"/>
  <c r="V52" i="3" s="1"/>
  <c r="L330" i="5"/>
  <c r="J52" i="3" s="1"/>
  <c r="W330" i="5"/>
  <c r="U52" i="3" s="1"/>
  <c r="K330" i="5"/>
  <c r="I52" i="3" s="1"/>
  <c r="V330" i="5"/>
  <c r="T52" i="3" s="1"/>
  <c r="J330" i="5"/>
  <c r="H52" i="3" s="1"/>
  <c r="U330" i="5"/>
  <c r="S52" i="3" s="1"/>
  <c r="I330" i="5"/>
  <c r="G52" i="3" s="1"/>
  <c r="AF330" i="5"/>
  <c r="AD52" i="3" s="1"/>
  <c r="T330" i="5"/>
  <c r="R52" i="3" s="1"/>
  <c r="H330" i="5"/>
  <c r="F52" i="3" s="1"/>
  <c r="AE330" i="5"/>
  <c r="AC52" i="3" s="1"/>
  <c r="S330" i="5"/>
  <c r="Q52" i="3" s="1"/>
  <c r="G330" i="5"/>
  <c r="E52" i="3" s="1"/>
  <c r="AD330" i="5"/>
  <c r="AB52" i="3" s="1"/>
  <c r="R330" i="5"/>
  <c r="P52" i="3" s="1"/>
  <c r="V242" i="5"/>
  <c r="T201" i="4" s="1"/>
  <c r="J242" i="5"/>
  <c r="H201" i="4" s="1"/>
  <c r="U242" i="5"/>
  <c r="S201" i="4" s="1"/>
  <c r="I242" i="5"/>
  <c r="G201" i="4" s="1"/>
  <c r="AF242" i="5"/>
  <c r="AD201" i="4" s="1"/>
  <c r="T242" i="5"/>
  <c r="R201" i="4" s="1"/>
  <c r="H242" i="5"/>
  <c r="F201" i="4" s="1"/>
  <c r="AE242" i="5"/>
  <c r="AC201" i="4" s="1"/>
  <c r="S242" i="5"/>
  <c r="Q201" i="4" s="1"/>
  <c r="G242" i="5"/>
  <c r="E201" i="4" s="1"/>
  <c r="AD242" i="5"/>
  <c r="AB201" i="4" s="1"/>
  <c r="R242" i="5"/>
  <c r="P201" i="4" s="1"/>
  <c r="R9" i="1" l="1"/>
  <c r="T6" i="1" s="1"/>
  <c r="A17" i="3"/>
  <c r="A18" i="3" s="1"/>
  <c r="AA53" i="2" l="1"/>
  <c r="AA44" i="2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B53" i="2"/>
  <c r="Y7" i="15"/>
  <c r="Q34" i="15"/>
  <c r="C67" i="10"/>
  <c r="C112" i="11"/>
  <c r="AM138" i="4" l="1"/>
  <c r="AL138" i="4"/>
  <c r="AK138" i="4"/>
  <c r="AJ138" i="4"/>
  <c r="AI138" i="4"/>
  <c r="AH138" i="4"/>
  <c r="AG138" i="4"/>
  <c r="AF138" i="4"/>
  <c r="AE138" i="4"/>
  <c r="AM137" i="4"/>
  <c r="AL137" i="4"/>
  <c r="AK137" i="4"/>
  <c r="AJ137" i="4"/>
  <c r="AI137" i="4"/>
  <c r="AH137" i="4"/>
  <c r="AG137" i="4"/>
  <c r="AF137" i="4"/>
  <c r="AE137" i="4"/>
  <c r="AM136" i="4"/>
  <c r="AL136" i="4"/>
  <c r="AK136" i="4"/>
  <c r="AJ136" i="4"/>
  <c r="AI136" i="4"/>
  <c r="AH136" i="4"/>
  <c r="AG136" i="4"/>
  <c r="AF136" i="4"/>
  <c r="AE136" i="4"/>
  <c r="C138" i="4"/>
  <c r="C137" i="4"/>
  <c r="C136" i="4"/>
  <c r="AL9" i="4"/>
  <c r="AK9" i="4"/>
  <c r="AJ9" i="4"/>
  <c r="AI9" i="4"/>
  <c r="AH9" i="4"/>
  <c r="AG9" i="4"/>
  <c r="AF9" i="4"/>
  <c r="AE9" i="4"/>
  <c r="AL8" i="4"/>
  <c r="AK8" i="4"/>
  <c r="AJ8" i="4"/>
  <c r="AI8" i="4"/>
  <c r="AH8" i="4"/>
  <c r="AG8" i="4"/>
  <c r="AF8" i="4"/>
  <c r="AE8" i="4"/>
  <c r="AM9" i="4"/>
  <c r="AM8" i="4"/>
  <c r="C9" i="4"/>
  <c r="C8" i="4"/>
  <c r="B13" i="5"/>
  <c r="B12" i="5"/>
  <c r="B11" i="5"/>
  <c r="B10" i="5"/>
  <c r="B9" i="5"/>
  <c r="Z9" i="5" s="1"/>
  <c r="B8" i="5"/>
  <c r="O8" i="5" s="1"/>
  <c r="M9" i="4" s="1"/>
  <c r="B7" i="5"/>
  <c r="AB7" i="5" s="1"/>
  <c r="Z8" i="4" s="1"/>
  <c r="X92" i="4" l="1"/>
  <c r="N13" i="5"/>
  <c r="L138" i="4" s="1"/>
  <c r="AF13" i="5"/>
  <c r="P11" i="5"/>
  <c r="N136" i="4" s="1"/>
  <c r="AF11" i="5"/>
  <c r="AD136" i="4" s="1"/>
  <c r="F9" i="5"/>
  <c r="AF9" i="5"/>
  <c r="AA8" i="5"/>
  <c r="Y9" i="4" s="1"/>
  <c r="N9" i="5"/>
  <c r="H7" i="5"/>
  <c r="F8" i="4" s="1"/>
  <c r="AF7" i="5"/>
  <c r="AD8" i="4" s="1"/>
  <c r="P7" i="5"/>
  <c r="N8" i="4" s="1"/>
  <c r="G8" i="5"/>
  <c r="E9" i="4" s="1"/>
  <c r="AF8" i="5"/>
  <c r="AD9" i="4" s="1"/>
  <c r="Q10" i="5"/>
  <c r="AF10" i="5"/>
  <c r="O12" i="5"/>
  <c r="M137" i="4" s="1"/>
  <c r="AF12" i="5"/>
  <c r="AD137" i="4" s="1"/>
  <c r="Y13" i="5"/>
  <c r="W138" i="4" s="1"/>
  <c r="M13" i="5"/>
  <c r="K138" i="4" s="1"/>
  <c r="Z12" i="5"/>
  <c r="X137" i="4" s="1"/>
  <c r="N12" i="5"/>
  <c r="L137" i="4" s="1"/>
  <c r="AA11" i="5"/>
  <c r="Y136" i="4" s="1"/>
  <c r="O11" i="5"/>
  <c r="M136" i="4" s="1"/>
  <c r="AB10" i="5"/>
  <c r="P10" i="5"/>
  <c r="AC9" i="5"/>
  <c r="Q9" i="5"/>
  <c r="AD8" i="5"/>
  <c r="AB9" i="4" s="1"/>
  <c r="R8" i="5"/>
  <c r="P9" i="4" s="1"/>
  <c r="F8" i="5"/>
  <c r="D9" i="4" s="1"/>
  <c r="S7" i="5"/>
  <c r="Q8" i="4" s="1"/>
  <c r="G7" i="5"/>
  <c r="E8" i="4" s="1"/>
  <c r="X13" i="5"/>
  <c r="V138" i="4" s="1"/>
  <c r="L13" i="5"/>
  <c r="J138" i="4" s="1"/>
  <c r="Y12" i="5"/>
  <c r="W137" i="4" s="1"/>
  <c r="M12" i="5"/>
  <c r="K137" i="4" s="1"/>
  <c r="Z11" i="5"/>
  <c r="X136" i="4" s="1"/>
  <c r="N11" i="5"/>
  <c r="L136" i="4" s="1"/>
  <c r="AA10" i="5"/>
  <c r="O10" i="5"/>
  <c r="AB9" i="5"/>
  <c r="P9" i="5"/>
  <c r="AC8" i="5"/>
  <c r="AA9" i="4" s="1"/>
  <c r="Q8" i="5"/>
  <c r="O9" i="4" s="1"/>
  <c r="AD7" i="5"/>
  <c r="AB8" i="4" s="1"/>
  <c r="R7" i="5"/>
  <c r="P8" i="4" s="1"/>
  <c r="F7" i="5"/>
  <c r="D8" i="4" s="1"/>
  <c r="W13" i="5"/>
  <c r="U138" i="4" s="1"/>
  <c r="K13" i="5"/>
  <c r="I138" i="4" s="1"/>
  <c r="X12" i="5"/>
  <c r="V137" i="4" s="1"/>
  <c r="L12" i="5"/>
  <c r="J137" i="4" s="1"/>
  <c r="Y11" i="5"/>
  <c r="W136" i="4" s="1"/>
  <c r="M11" i="5"/>
  <c r="K136" i="4" s="1"/>
  <c r="Z10" i="5"/>
  <c r="N10" i="5"/>
  <c r="AA9" i="5"/>
  <c r="O9" i="5"/>
  <c r="AB8" i="5"/>
  <c r="Z9" i="4" s="1"/>
  <c r="P8" i="5"/>
  <c r="N9" i="4" s="1"/>
  <c r="AC7" i="5"/>
  <c r="AA8" i="4" s="1"/>
  <c r="Q7" i="5"/>
  <c r="O8" i="4" s="1"/>
  <c r="AE7" i="5"/>
  <c r="AC8" i="4" s="1"/>
  <c r="AE8" i="5"/>
  <c r="AC9" i="4" s="1"/>
  <c r="T13" i="5"/>
  <c r="R138" i="4" s="1"/>
  <c r="H13" i="5"/>
  <c r="F138" i="4" s="1"/>
  <c r="I12" i="5"/>
  <c r="G137" i="4" s="1"/>
  <c r="V11" i="5"/>
  <c r="T136" i="4" s="1"/>
  <c r="J11" i="5"/>
  <c r="H136" i="4" s="1"/>
  <c r="W10" i="5"/>
  <c r="K10" i="5"/>
  <c r="X9" i="5"/>
  <c r="L9" i="5"/>
  <c r="Y8" i="5"/>
  <c r="W9" i="4" s="1"/>
  <c r="M8" i="5"/>
  <c r="K9" i="4" s="1"/>
  <c r="Z7" i="5"/>
  <c r="X8" i="4" s="1"/>
  <c r="N7" i="5"/>
  <c r="L8" i="4" s="1"/>
  <c r="S13" i="5"/>
  <c r="Q138" i="4" s="1"/>
  <c r="G13" i="5"/>
  <c r="E138" i="4" s="1"/>
  <c r="T12" i="5"/>
  <c r="R137" i="4" s="1"/>
  <c r="H12" i="5"/>
  <c r="F137" i="4" s="1"/>
  <c r="U11" i="5"/>
  <c r="S136" i="4" s="1"/>
  <c r="I11" i="5"/>
  <c r="G136" i="4" s="1"/>
  <c r="V10" i="5"/>
  <c r="J10" i="5"/>
  <c r="W9" i="5"/>
  <c r="K9" i="5"/>
  <c r="X8" i="5"/>
  <c r="V9" i="4" s="1"/>
  <c r="L8" i="5"/>
  <c r="J9" i="4" s="1"/>
  <c r="Y7" i="5"/>
  <c r="W8" i="4" s="1"/>
  <c r="M7" i="5"/>
  <c r="K8" i="4" s="1"/>
  <c r="U12" i="5"/>
  <c r="S137" i="4" s="1"/>
  <c r="AE12" i="5"/>
  <c r="AC137" i="4" s="1"/>
  <c r="AD13" i="5"/>
  <c r="AB138" i="4" s="1"/>
  <c r="R13" i="5"/>
  <c r="P138" i="4" s="1"/>
  <c r="F13" i="5"/>
  <c r="D138" i="4" s="1"/>
  <c r="S12" i="5"/>
  <c r="Q137" i="4" s="1"/>
  <c r="G12" i="5"/>
  <c r="E137" i="4" s="1"/>
  <c r="T11" i="5"/>
  <c r="R136" i="4" s="1"/>
  <c r="H11" i="5"/>
  <c r="F136" i="4" s="1"/>
  <c r="U10" i="5"/>
  <c r="I10" i="5"/>
  <c r="V9" i="5"/>
  <c r="J9" i="5"/>
  <c r="W8" i="5"/>
  <c r="U9" i="4" s="1"/>
  <c r="K8" i="5"/>
  <c r="I9" i="4" s="1"/>
  <c r="X7" i="5"/>
  <c r="V8" i="4" s="1"/>
  <c r="L7" i="5"/>
  <c r="J8" i="4" s="1"/>
  <c r="I13" i="5"/>
  <c r="G138" i="4" s="1"/>
  <c r="W11" i="5"/>
  <c r="U136" i="4" s="1"/>
  <c r="AA7" i="5"/>
  <c r="Y8" i="4" s="1"/>
  <c r="V13" i="5"/>
  <c r="T138" i="4" s="1"/>
  <c r="J13" i="5"/>
  <c r="H138" i="4" s="1"/>
  <c r="W12" i="5"/>
  <c r="U137" i="4" s="1"/>
  <c r="K12" i="5"/>
  <c r="I137" i="4" s="1"/>
  <c r="X11" i="5"/>
  <c r="V136" i="4" s="1"/>
  <c r="L11" i="5"/>
  <c r="J136" i="4" s="1"/>
  <c r="Y10" i="5"/>
  <c r="M10" i="5"/>
  <c r="Q13" i="5"/>
  <c r="O138" i="4" s="1"/>
  <c r="R12" i="5"/>
  <c r="P137" i="4" s="1"/>
  <c r="S11" i="5"/>
  <c r="Q136" i="4" s="1"/>
  <c r="T10" i="5"/>
  <c r="U9" i="5"/>
  <c r="V8" i="5"/>
  <c r="T9" i="4" s="1"/>
  <c r="W7" i="5"/>
  <c r="U8" i="4" s="1"/>
  <c r="AB13" i="5"/>
  <c r="Z138" i="4" s="1"/>
  <c r="P13" i="5"/>
  <c r="N138" i="4" s="1"/>
  <c r="AC12" i="5"/>
  <c r="AA137" i="4" s="1"/>
  <c r="Q12" i="5"/>
  <c r="O137" i="4" s="1"/>
  <c r="AD11" i="5"/>
  <c r="AB136" i="4" s="1"/>
  <c r="R11" i="5"/>
  <c r="P136" i="4" s="1"/>
  <c r="F11" i="5"/>
  <c r="D136" i="4" s="1"/>
  <c r="S10" i="5"/>
  <c r="G10" i="5"/>
  <c r="T9" i="5"/>
  <c r="H9" i="5"/>
  <c r="U8" i="5"/>
  <c r="S9" i="4" s="1"/>
  <c r="I8" i="5"/>
  <c r="G9" i="4" s="1"/>
  <c r="V7" i="5"/>
  <c r="T8" i="4" s="1"/>
  <c r="J7" i="5"/>
  <c r="H8" i="4" s="1"/>
  <c r="U13" i="5"/>
  <c r="S138" i="4" s="1"/>
  <c r="V12" i="5"/>
  <c r="T137" i="4" s="1"/>
  <c r="J12" i="5"/>
  <c r="H137" i="4" s="1"/>
  <c r="K11" i="5"/>
  <c r="I136" i="4" s="1"/>
  <c r="X10" i="5"/>
  <c r="L10" i="5"/>
  <c r="Y9" i="5"/>
  <c r="M9" i="5"/>
  <c r="Z8" i="5"/>
  <c r="X9" i="4" s="1"/>
  <c r="N8" i="5"/>
  <c r="L9" i="4" s="1"/>
  <c r="O7" i="5"/>
  <c r="M8" i="4" s="1"/>
  <c r="J8" i="5"/>
  <c r="H9" i="4" s="1"/>
  <c r="O13" i="5"/>
  <c r="M138" i="4" s="1"/>
  <c r="P12" i="5"/>
  <c r="N137" i="4" s="1"/>
  <c r="AC11" i="5"/>
  <c r="AA136" i="4" s="1"/>
  <c r="Q11" i="5"/>
  <c r="O136" i="4" s="1"/>
  <c r="R10" i="5"/>
  <c r="F10" i="5"/>
  <c r="S9" i="5"/>
  <c r="G9" i="5"/>
  <c r="T8" i="5"/>
  <c r="R9" i="4" s="1"/>
  <c r="H8" i="5"/>
  <c r="F9" i="4" s="1"/>
  <c r="U7" i="5"/>
  <c r="S8" i="4" s="1"/>
  <c r="I7" i="5"/>
  <c r="G8" i="4" s="1"/>
  <c r="AC13" i="5"/>
  <c r="AA138" i="4" s="1"/>
  <c r="AD12" i="5"/>
  <c r="AB137" i="4" s="1"/>
  <c r="F12" i="5"/>
  <c r="D137" i="4" s="1"/>
  <c r="G11" i="5"/>
  <c r="E136" i="4" s="1"/>
  <c r="H10" i="5"/>
  <c r="I9" i="5"/>
  <c r="K7" i="5"/>
  <c r="I8" i="4" s="1"/>
  <c r="AA13" i="5"/>
  <c r="Y138" i="4" s="1"/>
  <c r="AB12" i="5"/>
  <c r="Z137" i="4" s="1"/>
  <c r="AD10" i="5"/>
  <c r="Z13" i="5"/>
  <c r="X138" i="4" s="1"/>
  <c r="AA12" i="5"/>
  <c r="Y137" i="4" s="1"/>
  <c r="AB11" i="5"/>
  <c r="Z136" i="4" s="1"/>
  <c r="AC10" i="5"/>
  <c r="AD9" i="5"/>
  <c r="R9" i="5"/>
  <c r="S8" i="5"/>
  <c r="Q9" i="4" s="1"/>
  <c r="T7" i="5"/>
  <c r="R8" i="4" s="1"/>
  <c r="AE11" i="5"/>
  <c r="AC136" i="4" s="1"/>
  <c r="AE9" i="5"/>
  <c r="AE10" i="5"/>
  <c r="AE13" i="5"/>
  <c r="AC93" i="4" l="1"/>
  <c r="AC92" i="4"/>
  <c r="P92" i="4"/>
  <c r="AB92" i="4"/>
  <c r="AA93" i="4"/>
  <c r="AB93" i="4"/>
  <c r="G92" i="4"/>
  <c r="F93" i="4"/>
  <c r="E92" i="4"/>
  <c r="Q92" i="4"/>
  <c r="D93" i="4"/>
  <c r="P93" i="4"/>
  <c r="K92" i="4"/>
  <c r="W92" i="4"/>
  <c r="J93" i="4"/>
  <c r="V93" i="4"/>
  <c r="F92" i="4"/>
  <c r="R92" i="4"/>
  <c r="E93" i="4"/>
  <c r="Q93" i="4"/>
  <c r="S92" i="4"/>
  <c r="R93" i="4"/>
  <c r="K93" i="4"/>
  <c r="W93" i="4"/>
  <c r="H92" i="4"/>
  <c r="T92" i="4"/>
  <c r="G93" i="4"/>
  <c r="S93" i="4"/>
  <c r="I92" i="4"/>
  <c r="U92" i="4"/>
  <c r="H93" i="4"/>
  <c r="T93" i="4"/>
  <c r="J92" i="4"/>
  <c r="V92" i="4"/>
  <c r="I93" i="4"/>
  <c r="U93" i="4"/>
  <c r="M92" i="4"/>
  <c r="Y92" i="4"/>
  <c r="L93" i="4"/>
  <c r="X93" i="4"/>
  <c r="N92" i="4"/>
  <c r="Z92" i="4"/>
  <c r="M93" i="4"/>
  <c r="Y93" i="4"/>
  <c r="O92" i="4"/>
  <c r="AA92" i="4"/>
  <c r="N93" i="4"/>
  <c r="Z93" i="4"/>
  <c r="AD93" i="4"/>
  <c r="O93" i="4"/>
  <c r="L92" i="4"/>
  <c r="AD92" i="4"/>
  <c r="D92" i="4"/>
  <c r="AD138" i="4"/>
  <c r="AC138" i="4"/>
  <c r="R8" i="1" l="1"/>
  <c r="S6" i="1" s="1"/>
  <c r="P2" i="1"/>
  <c r="P34" i="15"/>
  <c r="B12" i="8" l="1"/>
  <c r="B11" i="8"/>
  <c r="G16" i="14" l="1"/>
  <c r="E25" i="14"/>
  <c r="F21" i="14"/>
  <c r="G21" i="14"/>
  <c r="H21" i="14"/>
  <c r="I21" i="14"/>
  <c r="E21" i="14"/>
  <c r="F16" i="14"/>
  <c r="H16" i="14"/>
  <c r="I16" i="14"/>
  <c r="AE91" i="4"/>
  <c r="AF91" i="4"/>
  <c r="AG91" i="4"/>
  <c r="AH91" i="4"/>
  <c r="AI91" i="4"/>
  <c r="AJ91" i="4"/>
  <c r="AK91" i="4"/>
  <c r="AL91" i="4"/>
  <c r="AM91" i="4"/>
  <c r="B91" i="4"/>
  <c r="O34" i="15"/>
  <c r="BA6" i="14"/>
  <c r="BA7" i="14"/>
  <c r="AQ9" i="14"/>
  <c r="AQ6" i="14"/>
  <c r="AS41" i="14"/>
  <c r="AS40" i="14"/>
  <c r="AS39" i="14"/>
  <c r="AS38" i="14"/>
  <c r="AS37" i="14"/>
  <c r="AS36" i="14"/>
  <c r="AS35" i="14"/>
  <c r="AS34" i="14"/>
  <c r="AS33" i="14"/>
  <c r="AS32" i="14"/>
  <c r="AS31" i="14"/>
  <c r="AS30" i="14"/>
  <c r="AS29" i="14"/>
  <c r="AS28" i="14"/>
  <c r="AS27" i="14"/>
  <c r="AS26" i="14"/>
  <c r="AS25" i="14"/>
  <c r="AS24" i="14"/>
  <c r="AS23" i="14"/>
  <c r="AJ7" i="14"/>
  <c r="AJ4" i="14"/>
  <c r="C111" i="6"/>
  <c r="C53" i="10"/>
  <c r="AA132" i="10"/>
  <c r="AA140" i="10"/>
  <c r="I22" i="14" l="1"/>
  <c r="F22" i="14"/>
  <c r="H22" i="14"/>
  <c r="G22" i="14"/>
  <c r="Z49" i="13"/>
  <c r="Z25" i="13"/>
  <c r="Z26" i="13"/>
  <c r="Z27" i="13"/>
  <c r="Z44" i="2"/>
  <c r="Y53" i="2"/>
  <c r="Z31" i="2"/>
  <c r="M155" i="1"/>
  <c r="L155" i="1"/>
  <c r="L151" i="1"/>
  <c r="AE197" i="4"/>
  <c r="AF197" i="4"/>
  <c r="AG197" i="4"/>
  <c r="AH197" i="4"/>
  <c r="AI197" i="4"/>
  <c r="AJ197" i="4"/>
  <c r="AK197" i="4"/>
  <c r="AL197" i="4"/>
  <c r="AM197" i="4"/>
  <c r="B197" i="4"/>
  <c r="AE88" i="4"/>
  <c r="AF88" i="4"/>
  <c r="AG88" i="4"/>
  <c r="AH88" i="4"/>
  <c r="AI88" i="4"/>
  <c r="AJ88" i="4"/>
  <c r="AK88" i="4"/>
  <c r="AL88" i="4"/>
  <c r="AM88" i="4"/>
  <c r="C165" i="3"/>
  <c r="AF165" i="3" s="1"/>
  <c r="C51" i="3"/>
  <c r="AI165" i="3" l="1"/>
  <c r="AH165" i="3"/>
  <c r="AG165" i="3"/>
  <c r="AE165" i="3"/>
  <c r="AM165" i="3"/>
  <c r="AL165" i="3"/>
  <c r="AK165" i="3"/>
  <c r="AJ165" i="3"/>
  <c r="AF51" i="3"/>
  <c r="AG51" i="3"/>
  <c r="AH51" i="3"/>
  <c r="AI51" i="3"/>
  <c r="AJ51" i="3"/>
  <c r="AK51" i="3"/>
  <c r="AE51" i="3"/>
  <c r="AL51" i="3"/>
  <c r="AM51" i="3"/>
  <c r="C164" i="3" l="1"/>
  <c r="C136" i="3"/>
  <c r="AM136" i="3" s="1"/>
  <c r="C196" i="3"/>
  <c r="AM196" i="3" s="1"/>
  <c r="C197" i="3"/>
  <c r="AI197" i="3" s="1"/>
  <c r="C195" i="3"/>
  <c r="AI195" i="3" s="1"/>
  <c r="C194" i="3"/>
  <c r="AM194" i="3" s="1"/>
  <c r="AN54" i="2"/>
  <c r="AM54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AE164" i="3" l="1"/>
  <c r="AF164" i="3"/>
  <c r="AG164" i="3"/>
  <c r="AH164" i="3"/>
  <c r="AI164" i="3"/>
  <c r="AJ164" i="3"/>
  <c r="AK164" i="3"/>
  <c r="AL164" i="3"/>
  <c r="AM164" i="3"/>
  <c r="AG136" i="3"/>
  <c r="AF136" i="3"/>
  <c r="AK197" i="3"/>
  <c r="AH136" i="3"/>
  <c r="AI136" i="3"/>
  <c r="AG194" i="3"/>
  <c r="AG196" i="3"/>
  <c r="AJ136" i="3"/>
  <c r="AH194" i="3"/>
  <c r="AH196" i="3"/>
  <c r="AK136" i="3"/>
  <c r="AL136" i="3"/>
  <c r="AE136" i="3"/>
  <c r="AL195" i="3"/>
  <c r="AF194" i="3"/>
  <c r="AJ195" i="3"/>
  <c r="AF196" i="3"/>
  <c r="AJ197" i="3"/>
  <c r="AI194" i="3"/>
  <c r="AE195" i="3"/>
  <c r="AM195" i="3"/>
  <c r="AI196" i="3"/>
  <c r="AE197" i="3"/>
  <c r="AM197" i="3"/>
  <c r="AJ194" i="3"/>
  <c r="AF195" i="3"/>
  <c r="AJ196" i="3"/>
  <c r="AF197" i="3"/>
  <c r="AK194" i="3"/>
  <c r="AG195" i="3"/>
  <c r="AK196" i="3"/>
  <c r="AG197" i="3"/>
  <c r="AK195" i="3"/>
  <c r="AL194" i="3"/>
  <c r="AH195" i="3"/>
  <c r="AL196" i="3"/>
  <c r="AH197" i="3"/>
  <c r="AL197" i="3"/>
  <c r="AE194" i="3"/>
  <c r="AE196" i="3"/>
  <c r="A4" i="14" l="1"/>
  <c r="C25" i="3"/>
  <c r="AH25" i="3" s="1"/>
  <c r="AL10" i="14"/>
  <c r="I51" i="14"/>
  <c r="H51" i="14"/>
  <c r="G51" i="14"/>
  <c r="F51" i="14"/>
  <c r="E51" i="14"/>
  <c r="I46" i="14"/>
  <c r="H46" i="14"/>
  <c r="G46" i="14"/>
  <c r="F46" i="14"/>
  <c r="E46" i="14"/>
  <c r="Y28" i="13"/>
  <c r="X28" i="13"/>
  <c r="W28" i="13"/>
  <c r="V28" i="13"/>
  <c r="U28" i="13"/>
  <c r="T28" i="13"/>
  <c r="S28" i="13"/>
  <c r="R28" i="13"/>
  <c r="Q28" i="13"/>
  <c r="P28" i="13"/>
  <c r="O28" i="13"/>
  <c r="Y27" i="13"/>
  <c r="X27" i="13"/>
  <c r="W27" i="13"/>
  <c r="V27" i="13"/>
  <c r="U27" i="13"/>
  <c r="T27" i="13"/>
  <c r="S27" i="13"/>
  <c r="R27" i="13"/>
  <c r="Q27" i="13"/>
  <c r="P27" i="13"/>
  <c r="O27" i="13"/>
  <c r="Y26" i="13"/>
  <c r="X26" i="13"/>
  <c r="W26" i="13"/>
  <c r="V26" i="13"/>
  <c r="U26" i="13"/>
  <c r="T26" i="13"/>
  <c r="S26" i="13"/>
  <c r="R26" i="13"/>
  <c r="Q26" i="13"/>
  <c r="P26" i="13"/>
  <c r="O26" i="13"/>
  <c r="W25" i="13"/>
  <c r="V25" i="13"/>
  <c r="U25" i="13"/>
  <c r="T25" i="13"/>
  <c r="S25" i="13"/>
  <c r="R25" i="13"/>
  <c r="Q25" i="13"/>
  <c r="P25" i="13"/>
  <c r="O25" i="13"/>
  <c r="Y24" i="13"/>
  <c r="X24" i="13"/>
  <c r="W24" i="13"/>
  <c r="V24" i="13"/>
  <c r="U24" i="13"/>
  <c r="T24" i="13"/>
  <c r="S24" i="13"/>
  <c r="R24" i="13"/>
  <c r="Q24" i="13"/>
  <c r="P24" i="13"/>
  <c r="O24" i="13"/>
  <c r="Y23" i="13"/>
  <c r="W23" i="13"/>
  <c r="V23" i="13"/>
  <c r="U23" i="13"/>
  <c r="T23" i="13"/>
  <c r="S23" i="13"/>
  <c r="R23" i="13"/>
  <c r="Q23" i="13"/>
  <c r="P23" i="13"/>
  <c r="O23" i="13"/>
  <c r="Y22" i="13"/>
  <c r="X22" i="13"/>
  <c r="W22" i="13"/>
  <c r="V22" i="13"/>
  <c r="U22" i="13"/>
  <c r="T22" i="13"/>
  <c r="S22" i="13"/>
  <c r="R22" i="13"/>
  <c r="Q22" i="13"/>
  <c r="P22" i="13"/>
  <c r="O22" i="13"/>
  <c r="Y21" i="13"/>
  <c r="X21" i="13"/>
  <c r="W21" i="13"/>
  <c r="V21" i="13"/>
  <c r="U21" i="13"/>
  <c r="T21" i="13"/>
  <c r="S21" i="13"/>
  <c r="R21" i="13"/>
  <c r="Q21" i="13"/>
  <c r="P21" i="13"/>
  <c r="O21" i="13"/>
  <c r="Y20" i="13"/>
  <c r="X20" i="13"/>
  <c r="W20" i="13"/>
  <c r="V20" i="13"/>
  <c r="U20" i="13"/>
  <c r="T20" i="13"/>
  <c r="S20" i="13"/>
  <c r="R20" i="13"/>
  <c r="Q20" i="13"/>
  <c r="P20" i="13"/>
  <c r="O20" i="13"/>
  <c r="Y19" i="13"/>
  <c r="X19" i="13"/>
  <c r="W19" i="13"/>
  <c r="V19" i="13"/>
  <c r="U19" i="13"/>
  <c r="T19" i="13"/>
  <c r="S19" i="13"/>
  <c r="R19" i="13"/>
  <c r="Q19" i="13"/>
  <c r="P19" i="13"/>
  <c r="O19" i="13"/>
  <c r="Y18" i="13"/>
  <c r="X18" i="13"/>
  <c r="W18" i="13"/>
  <c r="V18" i="13"/>
  <c r="U18" i="13"/>
  <c r="T18" i="13"/>
  <c r="S18" i="13"/>
  <c r="R18" i="13"/>
  <c r="Q18" i="13"/>
  <c r="P18" i="13"/>
  <c r="O18" i="13"/>
  <c r="N28" i="13"/>
  <c r="N27" i="13"/>
  <c r="N26" i="13"/>
  <c r="N25" i="13"/>
  <c r="N24" i="13"/>
  <c r="N23" i="13"/>
  <c r="N22" i="13"/>
  <c r="N21" i="13"/>
  <c r="N20" i="13"/>
  <c r="N19" i="13"/>
  <c r="N18" i="13"/>
  <c r="M27" i="13"/>
  <c r="M26" i="13"/>
  <c r="M25" i="13"/>
  <c r="M24" i="13"/>
  <c r="M23" i="13"/>
  <c r="M22" i="13"/>
  <c r="M21" i="13"/>
  <c r="M20" i="13"/>
  <c r="M19" i="13"/>
  <c r="M18" i="13"/>
  <c r="Y25" i="2"/>
  <c r="Y25" i="13" s="1"/>
  <c r="X25" i="2"/>
  <c r="X25" i="13" s="1"/>
  <c r="X53" i="2"/>
  <c r="H52" i="14" l="1"/>
  <c r="I52" i="14"/>
  <c r="AI25" i="3"/>
  <c r="AJ25" i="3"/>
  <c r="AK25" i="3"/>
  <c r="AL25" i="3"/>
  <c r="AE25" i="3"/>
  <c r="AM25" i="3"/>
  <c r="AF25" i="3"/>
  <c r="AG25" i="3"/>
  <c r="E52" i="14"/>
  <c r="F52" i="14"/>
  <c r="G52" i="14"/>
  <c r="Y29" i="13" l="1"/>
  <c r="C44" i="11" l="1"/>
  <c r="AM16" i="3"/>
  <c r="AL16" i="3"/>
  <c r="AK16" i="3"/>
  <c r="AJ16" i="3"/>
  <c r="AI16" i="3"/>
  <c r="AH16" i="3"/>
  <c r="AG16" i="3"/>
  <c r="AF16" i="3"/>
  <c r="AE16" i="3"/>
  <c r="B16" i="3"/>
  <c r="BO9" i="1" l="1"/>
  <c r="Y92" i="13"/>
  <c r="X92" i="13"/>
  <c r="Y31" i="2" l="1"/>
  <c r="AM199" i="3" l="1"/>
  <c r="AL199" i="3"/>
  <c r="AK199" i="3"/>
  <c r="AJ199" i="3"/>
  <c r="AI199" i="3"/>
  <c r="AH199" i="3"/>
  <c r="AG199" i="3"/>
  <c r="AF199" i="3"/>
  <c r="AE199" i="3"/>
  <c r="S30" i="15" s="1"/>
  <c r="C127" i="3"/>
  <c r="C88" i="20"/>
  <c r="C87" i="20"/>
  <c r="G85" i="20"/>
  <c r="M73" i="20"/>
  <c r="G64" i="20"/>
  <c r="C54" i="20"/>
  <c r="K51" i="20"/>
  <c r="H17" i="20" s="1"/>
  <c r="G49" i="20"/>
  <c r="D47" i="20"/>
  <c r="D43" i="20"/>
  <c r="K39" i="20"/>
  <c r="M36" i="20"/>
  <c r="M38" i="20" s="1"/>
  <c r="L36" i="20"/>
  <c r="L38" i="20" s="1"/>
  <c r="J36" i="20"/>
  <c r="J38" i="20" s="1"/>
  <c r="I36" i="20"/>
  <c r="I38" i="20" s="1"/>
  <c r="H36" i="20"/>
  <c r="H38" i="20" s="1"/>
  <c r="G36" i="20"/>
  <c r="G38" i="20" s="1"/>
  <c r="F36" i="20"/>
  <c r="F38" i="20" s="1"/>
  <c r="E36" i="20"/>
  <c r="E38" i="20" s="1"/>
  <c r="D36" i="20"/>
  <c r="D38" i="20" s="1"/>
  <c r="L34" i="20"/>
  <c r="AP10" i="20"/>
  <c r="AN10" i="20"/>
  <c r="AJ10" i="20"/>
  <c r="AI10" i="20"/>
  <c r="AH10" i="20"/>
  <c r="AG10" i="20"/>
  <c r="AF10" i="20"/>
  <c r="AD10" i="20"/>
  <c r="AC10" i="20"/>
  <c r="AA10" i="20"/>
  <c r="AR9" i="20"/>
  <c r="AO8" i="20"/>
  <c r="AO10" i="20" s="1"/>
  <c r="AK8" i="20"/>
  <c r="AQ7" i="20"/>
  <c r="AK7" i="20"/>
  <c r="AQ6" i="20"/>
  <c r="AM6" i="20"/>
  <c r="AM10" i="20" s="1"/>
  <c r="AL6" i="20"/>
  <c r="AL10" i="20" s="1"/>
  <c r="AB6" i="20"/>
  <c r="AB10" i="20" s="1"/>
  <c r="G6" i="20"/>
  <c r="AR4" i="20"/>
  <c r="C3" i="20"/>
  <c r="D48" i="20" l="1"/>
  <c r="AQ10" i="20"/>
  <c r="AK10" i="20"/>
  <c r="AE127" i="3"/>
  <c r="AF127" i="3"/>
  <c r="AG127" i="3"/>
  <c r="AH127" i="3"/>
  <c r="AI127" i="3"/>
  <c r="AJ127" i="3"/>
  <c r="K38" i="20"/>
  <c r="K40" i="20" s="1"/>
  <c r="M1" i="20" s="1"/>
  <c r="AK127" i="3"/>
  <c r="AL127" i="3"/>
  <c r="AM127" i="3"/>
  <c r="X17" i="2" l="1"/>
  <c r="X23" i="2"/>
  <c r="X23" i="13" s="1"/>
  <c r="V49" i="2" l="1"/>
  <c r="X31" i="2"/>
  <c r="Y68" i="7" l="1"/>
  <c r="M47" i="14" l="1"/>
  <c r="T39" i="14"/>
  <c r="M43" i="14" l="1"/>
  <c r="M48" i="14" s="1"/>
  <c r="G6" i="18" l="1"/>
  <c r="C87" i="18"/>
  <c r="C86" i="18"/>
  <c r="G84" i="18"/>
  <c r="M72" i="18"/>
  <c r="G63" i="18"/>
  <c r="C53" i="18"/>
  <c r="K50" i="18"/>
  <c r="H16" i="18" s="1"/>
  <c r="G48" i="18"/>
  <c r="K39" i="18"/>
  <c r="M36" i="18"/>
  <c r="M38" i="18" s="1"/>
  <c r="L36" i="18"/>
  <c r="L38" i="18" s="1"/>
  <c r="J36" i="18"/>
  <c r="J38" i="18" s="1"/>
  <c r="I36" i="18"/>
  <c r="I38" i="18" s="1"/>
  <c r="H36" i="18"/>
  <c r="H38" i="18" s="1"/>
  <c r="G36" i="18"/>
  <c r="G38" i="18" s="1"/>
  <c r="F36" i="18"/>
  <c r="F38" i="18" s="1"/>
  <c r="E36" i="18"/>
  <c r="E38" i="18" s="1"/>
  <c r="D36" i="18"/>
  <c r="D38" i="18" s="1"/>
  <c r="L34" i="18"/>
  <c r="AE15" i="18"/>
  <c r="G12" i="18"/>
  <c r="AN10" i="18"/>
  <c r="AI10" i="18"/>
  <c r="AG10" i="18"/>
  <c r="AC10" i="18"/>
  <c r="AA10" i="18"/>
  <c r="AR9" i="18"/>
  <c r="I9" i="18"/>
  <c r="H9" i="18" s="1"/>
  <c r="AO8" i="18"/>
  <c r="AK8" i="18"/>
  <c r="AJ8" i="18"/>
  <c r="AE8" i="18"/>
  <c r="AQ7" i="18"/>
  <c r="AQ10" i="18" s="1"/>
  <c r="AP7" i="18"/>
  <c r="AP10" i="18" s="1"/>
  <c r="AO7" i="18"/>
  <c r="AK7" i="18"/>
  <c r="AF7" i="18"/>
  <c r="AF10" i="18" s="1"/>
  <c r="AE7" i="18"/>
  <c r="AO6" i="18"/>
  <c r="AM6" i="18"/>
  <c r="AM10" i="18" s="1"/>
  <c r="AL6" i="18"/>
  <c r="AL10" i="18" s="1"/>
  <c r="AJ6" i="18"/>
  <c r="AH6" i="18"/>
  <c r="AH10" i="18" s="1"/>
  <c r="AE6" i="18"/>
  <c r="AD6" i="18"/>
  <c r="AB6" i="18"/>
  <c r="AB10" i="18" s="1"/>
  <c r="AO5" i="18"/>
  <c r="AE5" i="18"/>
  <c r="AR4" i="18"/>
  <c r="C3" i="18"/>
  <c r="E375" i="17"/>
  <c r="E366" i="17"/>
  <c r="E358" i="17"/>
  <c r="E354" i="17"/>
  <c r="E347" i="17"/>
  <c r="E341" i="17"/>
  <c r="E337" i="17"/>
  <c r="E333" i="17"/>
  <c r="E328" i="17"/>
  <c r="E324" i="17"/>
  <c r="E319" i="17"/>
  <c r="E306" i="17"/>
  <c r="E295" i="17"/>
  <c r="E280" i="17"/>
  <c r="E269" i="17"/>
  <c r="E262" i="17"/>
  <c r="E248" i="17"/>
  <c r="E242" i="17"/>
  <c r="E238" i="17"/>
  <c r="E209" i="17"/>
  <c r="E201" i="17"/>
  <c r="C200" i="17"/>
  <c r="C199" i="17"/>
  <c r="C198" i="17"/>
  <c r="C197" i="17"/>
  <c r="C196" i="17"/>
  <c r="D2" i="17"/>
  <c r="AQ8" i="1"/>
  <c r="AH47" i="13"/>
  <c r="AG47" i="13"/>
  <c r="AF47" i="13"/>
  <c r="AE47" i="13"/>
  <c r="AD47" i="13"/>
  <c r="AC47" i="13"/>
  <c r="AB47" i="13"/>
  <c r="AA47" i="13"/>
  <c r="Z47" i="13"/>
  <c r="Y47" i="13"/>
  <c r="X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AH49" i="13"/>
  <c r="AG49" i="13"/>
  <c r="AF49" i="13"/>
  <c r="AE49" i="13"/>
  <c r="AD49" i="13"/>
  <c r="AC49" i="13"/>
  <c r="AB49" i="13"/>
  <c r="AA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W47" i="13"/>
  <c r="P64" i="14"/>
  <c r="P85" i="14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A12" i="2"/>
  <c r="A8" i="2"/>
  <c r="M49" i="13"/>
  <c r="L49" i="13"/>
  <c r="K49" i="13"/>
  <c r="J49" i="13"/>
  <c r="I49" i="13"/>
  <c r="H49" i="13"/>
  <c r="G49" i="13"/>
  <c r="F49" i="13"/>
  <c r="E49" i="13"/>
  <c r="D49" i="13"/>
  <c r="C49" i="13"/>
  <c r="U31" i="2"/>
  <c r="AR8" i="18" l="1"/>
  <c r="K5" i="18" s="1"/>
  <c r="AK10" i="18"/>
  <c r="AE10" i="18"/>
  <c r="AO10" i="18"/>
  <c r="AJ10" i="18"/>
  <c r="AR5" i="18"/>
  <c r="L5" i="18" s="1"/>
  <c r="AR6" i="18"/>
  <c r="AR7" i="18"/>
  <c r="J5" i="18" s="1"/>
  <c r="AD10" i="18"/>
  <c r="E243" i="17"/>
  <c r="G20" i="18"/>
  <c r="K38" i="18"/>
  <c r="K40" i="18" s="1"/>
  <c r="G17" i="18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W44" i="2"/>
  <c r="W31" i="2"/>
  <c r="V36" i="14"/>
  <c r="V38" i="14" s="1"/>
  <c r="AQ10" i="14"/>
  <c r="AV6" i="14"/>
  <c r="C10" i="11"/>
  <c r="AR10" i="18" l="1"/>
  <c r="G7" i="18"/>
  <c r="X140" i="6" l="1"/>
  <c r="X132" i="6"/>
  <c r="C128" i="3" l="1"/>
  <c r="AM128" i="3" s="1"/>
  <c r="C98" i="3"/>
  <c r="AE98" i="3" s="1"/>
  <c r="AM12" i="3"/>
  <c r="AL12" i="3"/>
  <c r="AK12" i="3"/>
  <c r="AJ12" i="3"/>
  <c r="AI12" i="3"/>
  <c r="AH12" i="3"/>
  <c r="AG12" i="3"/>
  <c r="AF12" i="3"/>
  <c r="AE12" i="3"/>
  <c r="B12" i="3"/>
  <c r="AG128" i="3" l="1"/>
  <c r="AI128" i="3"/>
  <c r="AJ128" i="3"/>
  <c r="AE128" i="3"/>
  <c r="AF128" i="3"/>
  <c r="AK128" i="3"/>
  <c r="AH128" i="3"/>
  <c r="AL128" i="3"/>
  <c r="AF98" i="3"/>
  <c r="AG98" i="3"/>
  <c r="AH98" i="3"/>
  <c r="AI98" i="3"/>
  <c r="AJ98" i="3"/>
  <c r="AK98" i="3"/>
  <c r="AL98" i="3"/>
  <c r="AM98" i="3"/>
  <c r="F17" i="16" l="1"/>
  <c r="X38" i="1"/>
  <c r="M174" i="1"/>
  <c r="M154" i="1"/>
  <c r="M153" i="1"/>
  <c r="M152" i="1"/>
  <c r="M151" i="1"/>
  <c r="L154" i="1"/>
  <c r="L153" i="1"/>
  <c r="L152" i="1"/>
  <c r="L174" i="1"/>
  <c r="M171" i="1"/>
  <c r="L171" i="1"/>
  <c r="M167" i="1"/>
  <c r="L167" i="1"/>
  <c r="M166" i="1"/>
  <c r="L166" i="1"/>
  <c r="M165" i="1"/>
  <c r="L165" i="1"/>
  <c r="M160" i="1"/>
  <c r="M159" i="1"/>
  <c r="L160" i="1"/>
  <c r="L159" i="1"/>
  <c r="U36" i="14"/>
  <c r="U38" i="14" s="1"/>
  <c r="U34" i="14"/>
  <c r="AK6" i="14"/>
  <c r="AM44" i="4"/>
  <c r="AL44" i="4"/>
  <c r="AK44" i="4"/>
  <c r="AJ44" i="4"/>
  <c r="AI44" i="4"/>
  <c r="AH44" i="4"/>
  <c r="AG44" i="4"/>
  <c r="AF44" i="4"/>
  <c r="AE44" i="4"/>
  <c r="B44" i="4"/>
  <c r="V53" i="2"/>
  <c r="AL44" i="2"/>
  <c r="AK44" i="2"/>
  <c r="AJ44" i="2"/>
  <c r="AI44" i="2"/>
  <c r="AH44" i="2"/>
  <c r="AG44" i="2"/>
  <c r="AF44" i="2"/>
  <c r="AE44" i="2"/>
  <c r="AD44" i="2"/>
  <c r="AC44" i="2"/>
  <c r="AB44" i="2"/>
  <c r="Y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C39" i="2"/>
  <c r="V31" i="2"/>
  <c r="V95" i="13"/>
  <c r="V9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V42" i="13"/>
  <c r="C37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X29" i="13"/>
  <c r="W29" i="13"/>
  <c r="V29" i="13"/>
  <c r="C18" i="6"/>
  <c r="C19" i="6"/>
  <c r="G22" i="1"/>
  <c r="O22" i="1" s="1"/>
  <c r="F22" i="1"/>
  <c r="N22" i="1" s="1"/>
  <c r="E22" i="1"/>
  <c r="M22" i="1" s="1"/>
  <c r="D22" i="1"/>
  <c r="L22" i="1" s="1"/>
  <c r="J21" i="16" l="1"/>
  <c r="D36" i="15"/>
  <c r="N18" i="16"/>
  <c r="N17" i="16"/>
  <c r="N20" i="16"/>
  <c r="N19" i="16"/>
  <c r="N21" i="16" l="1"/>
  <c r="E1" i="15"/>
  <c r="F1" i="15" s="1"/>
  <c r="G1" i="15" s="1"/>
  <c r="H1" i="15" s="1"/>
  <c r="I1" i="15" s="1"/>
  <c r="J1" i="15" s="1"/>
  <c r="K1" i="15" s="1"/>
  <c r="L1" i="15" s="1"/>
  <c r="M1" i="15" s="1"/>
  <c r="N1" i="15" s="1"/>
  <c r="O1" i="15" l="1"/>
  <c r="P1" i="15" s="1"/>
  <c r="Q1" i="15" s="1"/>
  <c r="R1" i="15" s="1"/>
  <c r="X37" i="1"/>
  <c r="X33" i="1"/>
  <c r="X30" i="1"/>
  <c r="P49" i="14"/>
  <c r="L54" i="14"/>
  <c r="L3" i="14"/>
  <c r="T51" i="14"/>
  <c r="Q17" i="14" s="1"/>
  <c r="X39" i="1" l="1"/>
  <c r="S36" i="14" l="1"/>
  <c r="S38" i="14" s="1"/>
  <c r="R36" i="14"/>
  <c r="R38" i="14" s="1"/>
  <c r="Q36" i="14"/>
  <c r="Q38" i="14" s="1"/>
  <c r="P36" i="14"/>
  <c r="P38" i="14" s="1"/>
  <c r="O36" i="14"/>
  <c r="O38" i="14" s="1"/>
  <c r="N36" i="14"/>
  <c r="N38" i="14" s="1"/>
  <c r="M36" i="14"/>
  <c r="M38" i="14" s="1"/>
  <c r="BB4" i="14"/>
  <c r="AS10" i="14"/>
  <c r="AJ10" i="14"/>
  <c r="BB9" i="14"/>
  <c r="BA10" i="14"/>
  <c r="AZ10" i="14"/>
  <c r="AY10" i="14"/>
  <c r="AX10" i="14"/>
  <c r="AW10" i="14"/>
  <c r="AV10" i="14"/>
  <c r="AU10" i="14"/>
  <c r="AT10" i="14"/>
  <c r="AR10" i="14"/>
  <c r="AP10" i="14"/>
  <c r="AN10" i="14"/>
  <c r="AM10" i="14"/>
  <c r="AK10" i="14"/>
  <c r="Z53" i="2"/>
  <c r="W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M168" i="1"/>
  <c r="L168" i="1"/>
  <c r="M162" i="1"/>
  <c r="L162" i="1"/>
  <c r="O146" i="1"/>
  <c r="N146" i="1"/>
  <c r="M146" i="1"/>
  <c r="L146" i="1"/>
  <c r="M144" i="1"/>
  <c r="L144" i="1"/>
  <c r="Q31" i="2"/>
  <c r="O29" i="13"/>
  <c r="Q29" i="13"/>
  <c r="T31" i="2"/>
  <c r="S31" i="2"/>
  <c r="R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E168" i="1"/>
  <c r="E162" i="1"/>
  <c r="D168" i="1"/>
  <c r="D162" i="1"/>
  <c r="G146" i="1"/>
  <c r="F146" i="1"/>
  <c r="E146" i="1"/>
  <c r="D146" i="1"/>
  <c r="E144" i="1"/>
  <c r="D144" i="1"/>
  <c r="C123" i="11"/>
  <c r="C38" i="11"/>
  <c r="C80" i="13"/>
  <c r="L6" i="1"/>
  <c r="P113" i="1"/>
  <c r="O86" i="1"/>
  <c r="N86" i="1"/>
  <c r="M86" i="1"/>
  <c r="L86" i="1"/>
  <c r="P84" i="1"/>
  <c r="M84" i="1"/>
  <c r="L84" i="1"/>
  <c r="O5" i="1"/>
  <c r="O84" i="1" s="1"/>
  <c r="N5" i="1"/>
  <c r="N84" i="1" s="1"/>
  <c r="U95" i="13"/>
  <c r="T95" i="13"/>
  <c r="S95" i="13"/>
  <c r="R95" i="13"/>
  <c r="Q95" i="13"/>
  <c r="P95" i="13"/>
  <c r="O95" i="13"/>
  <c r="U92" i="13"/>
  <c r="T92" i="13"/>
  <c r="S92" i="13"/>
  <c r="R92" i="13"/>
  <c r="Q92" i="13"/>
  <c r="P92" i="13"/>
  <c r="O92" i="13"/>
  <c r="T29" i="13"/>
  <c r="S29" i="13"/>
  <c r="R29" i="13"/>
  <c r="P29" i="13"/>
  <c r="N29" i="13"/>
  <c r="M29" i="13"/>
  <c r="L29" i="13"/>
  <c r="K29" i="13"/>
  <c r="J29" i="13"/>
  <c r="I29" i="13"/>
  <c r="H29" i="13"/>
  <c r="G29" i="13"/>
  <c r="F29" i="13"/>
  <c r="E29" i="13"/>
  <c r="D29" i="13"/>
  <c r="D3" i="13"/>
  <c r="G71" i="1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G3" i="12"/>
  <c r="H3" i="12" s="1"/>
  <c r="I3" i="12" s="1"/>
  <c r="J3" i="12" s="1"/>
  <c r="K3" i="12" s="1"/>
  <c r="L3" i="12" s="1"/>
  <c r="C132" i="11"/>
  <c r="C131" i="11"/>
  <c r="C125" i="11"/>
  <c r="C124" i="11"/>
  <c r="C111" i="11"/>
  <c r="C104" i="11"/>
  <c r="AM100" i="11"/>
  <c r="AL100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88" i="11"/>
  <c r="AM83" i="11"/>
  <c r="AM85" i="11" s="1"/>
  <c r="AL83" i="11"/>
  <c r="AL85" i="11" s="1"/>
  <c r="AK83" i="11"/>
  <c r="AK85" i="11" s="1"/>
  <c r="AJ83" i="11"/>
  <c r="AJ85" i="11" s="1"/>
  <c r="AI83" i="11"/>
  <c r="AI85" i="11" s="1"/>
  <c r="AH83" i="11"/>
  <c r="AH85" i="11" s="1"/>
  <c r="AG83" i="11"/>
  <c r="AG85" i="11" s="1"/>
  <c r="AF83" i="11"/>
  <c r="AF85" i="11" s="1"/>
  <c r="AE83" i="11"/>
  <c r="AE85" i="11" s="1"/>
  <c r="AD83" i="11"/>
  <c r="AD85" i="11" s="1"/>
  <c r="AC83" i="11"/>
  <c r="AC85" i="11" s="1"/>
  <c r="AB83" i="11"/>
  <c r="AB85" i="11" s="1"/>
  <c r="AA83" i="11"/>
  <c r="AA85" i="11" s="1"/>
  <c r="Z83" i="11"/>
  <c r="Z85" i="11" s="1"/>
  <c r="Y83" i="11"/>
  <c r="Y85" i="11" s="1"/>
  <c r="X83" i="11"/>
  <c r="X85" i="11" s="1"/>
  <c r="W83" i="11"/>
  <c r="W85" i="11" s="1"/>
  <c r="V83" i="11"/>
  <c r="V85" i="11" s="1"/>
  <c r="U83" i="11"/>
  <c r="U85" i="11" s="1"/>
  <c r="T83" i="11"/>
  <c r="T85" i="11" s="1"/>
  <c r="S83" i="11"/>
  <c r="S85" i="11" s="1"/>
  <c r="R83" i="11"/>
  <c r="R85" i="11" s="1"/>
  <c r="Q83" i="11"/>
  <c r="Q85" i="11" s="1"/>
  <c r="P83" i="11"/>
  <c r="P85" i="11" s="1"/>
  <c r="O83" i="11"/>
  <c r="O85" i="11" s="1"/>
  <c r="N83" i="11"/>
  <c r="N85" i="11" s="1"/>
  <c r="M83" i="11"/>
  <c r="M85" i="11" s="1"/>
  <c r="L83" i="11"/>
  <c r="L85" i="11" s="1"/>
  <c r="K83" i="11"/>
  <c r="K85" i="11" s="1"/>
  <c r="J83" i="11"/>
  <c r="J85" i="11" s="1"/>
  <c r="I83" i="11"/>
  <c r="I85" i="11" s="1"/>
  <c r="H83" i="11"/>
  <c r="H85" i="11" s="1"/>
  <c r="G83" i="11"/>
  <c r="G85" i="11" s="1"/>
  <c r="F83" i="11"/>
  <c r="F85" i="11" s="1"/>
  <c r="E83" i="11"/>
  <c r="E85" i="11" s="1"/>
  <c r="D83" i="11"/>
  <c r="D85" i="11" s="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AM69" i="11"/>
  <c r="AL69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58" i="11"/>
  <c r="C57" i="11"/>
  <c r="AM51" i="11"/>
  <c r="AL51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43" i="11"/>
  <c r="C30" i="11"/>
  <c r="C25" i="11"/>
  <c r="C24" i="11"/>
  <c r="C19" i="11"/>
  <c r="C18" i="11"/>
  <c r="C17" i="11"/>
  <c r="C11" i="11"/>
  <c r="C9" i="11"/>
  <c r="C8" i="11"/>
  <c r="C7" i="11"/>
  <c r="C6" i="11"/>
  <c r="E3" i="11"/>
  <c r="AM140" i="10"/>
  <c r="AL140" i="10"/>
  <c r="AK140" i="10"/>
  <c r="AJ140" i="10"/>
  <c r="AI140" i="10"/>
  <c r="AH140" i="10"/>
  <c r="AG140" i="10"/>
  <c r="AF140" i="10"/>
  <c r="AE140" i="10"/>
  <c r="AD140" i="10"/>
  <c r="AC140" i="10"/>
  <c r="AB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AM132" i="10"/>
  <c r="AL132" i="10"/>
  <c r="AK132" i="10"/>
  <c r="AJ132" i="10"/>
  <c r="AI132" i="10"/>
  <c r="AH132" i="10"/>
  <c r="AG132" i="10"/>
  <c r="AF132" i="10"/>
  <c r="AE132" i="10"/>
  <c r="AD132" i="10"/>
  <c r="AC132" i="10"/>
  <c r="AB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23" i="10"/>
  <c r="C122" i="10"/>
  <c r="C111" i="10"/>
  <c r="C110" i="10"/>
  <c r="C106" i="10"/>
  <c r="C102" i="10"/>
  <c r="C101" i="10"/>
  <c r="C97" i="10"/>
  <c r="C92" i="10"/>
  <c r="C91" i="10"/>
  <c r="C85" i="10"/>
  <c r="C84" i="10"/>
  <c r="C76" i="10"/>
  <c r="C75" i="10"/>
  <c r="C74" i="10"/>
  <c r="C73" i="10"/>
  <c r="C68" i="10"/>
  <c r="C66" i="10"/>
  <c r="C65" i="10"/>
  <c r="C64" i="10"/>
  <c r="C63" i="10"/>
  <c r="C62" i="10"/>
  <c r="C61" i="10"/>
  <c r="C60" i="10"/>
  <c r="C59" i="10"/>
  <c r="C52" i="10"/>
  <c r="C51" i="10"/>
  <c r="C46" i="10"/>
  <c r="C35" i="10"/>
  <c r="C34" i="10"/>
  <c r="C27" i="10"/>
  <c r="C26" i="10"/>
  <c r="C16" i="10"/>
  <c r="C15" i="10"/>
  <c r="C14" i="10"/>
  <c r="C9" i="10"/>
  <c r="C8" i="10"/>
  <c r="C7" i="10"/>
  <c r="C6" i="10"/>
  <c r="E3" i="10"/>
  <c r="D3" i="9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0" i="8"/>
  <c r="B9" i="8"/>
  <c r="B8" i="8"/>
  <c r="B5" i="8"/>
  <c r="B4" i="8"/>
  <c r="G3" i="8"/>
  <c r="H3" i="8" s="1"/>
  <c r="I3" i="8" s="1"/>
  <c r="J3" i="8" s="1"/>
  <c r="K3" i="8" s="1"/>
  <c r="L3" i="8" s="1"/>
  <c r="C126" i="7"/>
  <c r="C125" i="7"/>
  <c r="C124" i="7"/>
  <c r="C119" i="7"/>
  <c r="C118" i="7"/>
  <c r="C117" i="7"/>
  <c r="C109" i="7"/>
  <c r="C108" i="7"/>
  <c r="C107" i="7"/>
  <c r="C106" i="7"/>
  <c r="C105" i="7"/>
  <c r="C99" i="7"/>
  <c r="C98" i="7"/>
  <c r="C92" i="7"/>
  <c r="C91" i="7"/>
  <c r="C90" i="7"/>
  <c r="C89" i="7"/>
  <c r="C88" i="7"/>
  <c r="C82" i="7"/>
  <c r="C75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1" i="7"/>
  <c r="C60" i="7"/>
  <c r="C59" i="7"/>
  <c r="C54" i="7"/>
  <c r="C53" i="7"/>
  <c r="C52" i="7"/>
  <c r="C51" i="7"/>
  <c r="C43" i="7"/>
  <c r="C38" i="7"/>
  <c r="C37" i="7"/>
  <c r="C32" i="7"/>
  <c r="C27" i="7"/>
  <c r="C26" i="7"/>
  <c r="C25" i="7"/>
  <c r="C24" i="7"/>
  <c r="C19" i="7"/>
  <c r="C14" i="7"/>
  <c r="C9" i="7"/>
  <c r="C6" i="7"/>
  <c r="E3" i="7"/>
  <c r="AM140" i="6"/>
  <c r="AL140" i="6"/>
  <c r="AK140" i="6"/>
  <c r="AJ140" i="6"/>
  <c r="AI140" i="6"/>
  <c r="AH140" i="6"/>
  <c r="AG140" i="6"/>
  <c r="AF140" i="6"/>
  <c r="AE140" i="6"/>
  <c r="AD140" i="6"/>
  <c r="AC140" i="6"/>
  <c r="AB140" i="6"/>
  <c r="AA140" i="6"/>
  <c r="Z140" i="6"/>
  <c r="Y140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AM132" i="6"/>
  <c r="AL132" i="6"/>
  <c r="AK132" i="6"/>
  <c r="AJ132" i="6"/>
  <c r="AI132" i="6"/>
  <c r="AH132" i="6"/>
  <c r="AG132" i="6"/>
  <c r="AF132" i="6"/>
  <c r="AE132" i="6"/>
  <c r="AD132" i="6"/>
  <c r="AC132" i="6"/>
  <c r="AB132" i="6"/>
  <c r="AA132" i="6"/>
  <c r="Z132" i="6"/>
  <c r="Y132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C123" i="6"/>
  <c r="C122" i="6"/>
  <c r="C110" i="6"/>
  <c r="C106" i="6"/>
  <c r="C102" i="6"/>
  <c r="C98" i="6"/>
  <c r="C97" i="6"/>
  <c r="C92" i="6"/>
  <c r="C88" i="6"/>
  <c r="C87" i="6"/>
  <c r="C86" i="6"/>
  <c r="C85" i="6"/>
  <c r="C80" i="6"/>
  <c r="C79" i="6"/>
  <c r="C78" i="6"/>
  <c r="C77" i="6"/>
  <c r="C76" i="6"/>
  <c r="C75" i="6"/>
  <c r="C74" i="6"/>
  <c r="C69" i="6"/>
  <c r="C68" i="6"/>
  <c r="C66" i="6"/>
  <c r="C65" i="6"/>
  <c r="C64" i="6"/>
  <c r="C63" i="6"/>
  <c r="C62" i="6"/>
  <c r="C61" i="6"/>
  <c r="C56" i="6"/>
  <c r="C55" i="6"/>
  <c r="C54" i="6"/>
  <c r="C53" i="6"/>
  <c r="C49" i="6"/>
  <c r="C48" i="6"/>
  <c r="C43" i="6"/>
  <c r="C42" i="6"/>
  <c r="C41" i="6"/>
  <c r="C40" i="6"/>
  <c r="C39" i="6"/>
  <c r="C38" i="6"/>
  <c r="C37" i="6"/>
  <c r="C36" i="6"/>
  <c r="C29" i="6"/>
  <c r="C28" i="6"/>
  <c r="C17" i="6"/>
  <c r="C16" i="6"/>
  <c r="C15" i="6"/>
  <c r="C14" i="6"/>
  <c r="C9" i="6"/>
  <c r="C8" i="6"/>
  <c r="C7" i="6"/>
  <c r="C6" i="6"/>
  <c r="E3" i="6"/>
  <c r="B565" i="5"/>
  <c r="AF565" i="5" s="1"/>
  <c r="AD144" i="4" s="1"/>
  <c r="B564" i="5"/>
  <c r="AF564" i="5" s="1"/>
  <c r="B563" i="5"/>
  <c r="AF563" i="5" s="1"/>
  <c r="B562" i="5"/>
  <c r="AF562" i="5" s="1"/>
  <c r="B561" i="5"/>
  <c r="AF561" i="5" s="1"/>
  <c r="B560" i="5"/>
  <c r="AF560" i="5" s="1"/>
  <c r="AD40" i="3" s="1"/>
  <c r="B559" i="5"/>
  <c r="AF559" i="5" s="1"/>
  <c r="B558" i="5"/>
  <c r="AF558" i="5" s="1"/>
  <c r="B557" i="5"/>
  <c r="AF557" i="5" s="1"/>
  <c r="B556" i="5"/>
  <c r="AF556" i="5" s="1"/>
  <c r="AD136" i="3" s="1"/>
  <c r="B555" i="5"/>
  <c r="AF555" i="5" s="1"/>
  <c r="B554" i="5"/>
  <c r="AF554" i="5" s="1"/>
  <c r="B553" i="5"/>
  <c r="AF553" i="5" s="1"/>
  <c r="B552" i="5"/>
  <c r="AF552" i="5" s="1"/>
  <c r="AD164" i="3" s="1"/>
  <c r="B551" i="5"/>
  <c r="AF551" i="5" s="1"/>
  <c r="B550" i="5"/>
  <c r="AF550" i="5" s="1"/>
  <c r="B549" i="5"/>
  <c r="AF549" i="5" s="1"/>
  <c r="B548" i="5"/>
  <c r="AF548" i="5" s="1"/>
  <c r="B547" i="5"/>
  <c r="AF547" i="5" s="1"/>
  <c r="B546" i="5"/>
  <c r="AF546" i="5" s="1"/>
  <c r="B545" i="5"/>
  <c r="AF545" i="5" s="1"/>
  <c r="AD197" i="3" s="1"/>
  <c r="B544" i="5"/>
  <c r="AF544" i="5" s="1"/>
  <c r="B543" i="5"/>
  <c r="AF543" i="5" s="1"/>
  <c r="B542" i="5"/>
  <c r="AF542" i="5" s="1"/>
  <c r="B541" i="5"/>
  <c r="AF541" i="5" s="1"/>
  <c r="B540" i="5"/>
  <c r="AF540" i="5" s="1"/>
  <c r="B539" i="5"/>
  <c r="AF539" i="5" s="1"/>
  <c r="B538" i="5"/>
  <c r="AF538" i="5" s="1"/>
  <c r="B537" i="5"/>
  <c r="AF537" i="5" s="1"/>
  <c r="AD196" i="3" s="1"/>
  <c r="B536" i="5"/>
  <c r="AF536" i="5" s="1"/>
  <c r="B535" i="5"/>
  <c r="AF535" i="5" s="1"/>
  <c r="B534" i="5"/>
  <c r="AF534" i="5" s="1"/>
  <c r="B533" i="5"/>
  <c r="AF533" i="5" s="1"/>
  <c r="B532" i="5"/>
  <c r="AF532" i="5" s="1"/>
  <c r="B531" i="5"/>
  <c r="AF531" i="5" s="1"/>
  <c r="B530" i="5"/>
  <c r="AF530" i="5" s="1"/>
  <c r="B529" i="5"/>
  <c r="AF529" i="5" s="1"/>
  <c r="B528" i="5"/>
  <c r="AF528" i="5" s="1"/>
  <c r="B527" i="5"/>
  <c r="AF527" i="5" s="1"/>
  <c r="B526" i="5"/>
  <c r="AF526" i="5" s="1"/>
  <c r="B525" i="5"/>
  <c r="AF525" i="5" s="1"/>
  <c r="B524" i="5"/>
  <c r="AF524" i="5" s="1"/>
  <c r="B523" i="5"/>
  <c r="AF523" i="5" s="1"/>
  <c r="B522" i="5"/>
  <c r="AF522" i="5" s="1"/>
  <c r="B521" i="5"/>
  <c r="AF521" i="5" s="1"/>
  <c r="B520" i="5"/>
  <c r="AF520" i="5" s="1"/>
  <c r="B519" i="5"/>
  <c r="AF519" i="5" s="1"/>
  <c r="B518" i="5"/>
  <c r="AF518" i="5" s="1"/>
  <c r="B517" i="5"/>
  <c r="AF517" i="5" s="1"/>
  <c r="B516" i="5"/>
  <c r="AF516" i="5" s="1"/>
  <c r="B515" i="5"/>
  <c r="AF515" i="5" s="1"/>
  <c r="B514" i="5"/>
  <c r="AF514" i="5" s="1"/>
  <c r="B513" i="5"/>
  <c r="AF513" i="5" s="1"/>
  <c r="B512" i="5"/>
  <c r="AF512" i="5" s="1"/>
  <c r="B511" i="5"/>
  <c r="AF511" i="5" s="1"/>
  <c r="B510" i="5"/>
  <c r="AF510" i="5" s="1"/>
  <c r="B509" i="5"/>
  <c r="AF509" i="5" s="1"/>
  <c r="B508" i="5"/>
  <c r="AF508" i="5" s="1"/>
  <c r="AD98" i="3" s="1"/>
  <c r="B507" i="5"/>
  <c r="AF507" i="5" s="1"/>
  <c r="B506" i="5"/>
  <c r="AF506" i="5" s="1"/>
  <c r="B505" i="5"/>
  <c r="AF505" i="5" s="1"/>
  <c r="AD195" i="3" s="1"/>
  <c r="B504" i="5"/>
  <c r="AF504" i="5" s="1"/>
  <c r="AD194" i="3" s="1"/>
  <c r="B503" i="5"/>
  <c r="AF503" i="5" s="1"/>
  <c r="AD127" i="3" s="1"/>
  <c r="B502" i="5"/>
  <c r="AF502" i="5" s="1"/>
  <c r="B501" i="5"/>
  <c r="AF501" i="5" s="1"/>
  <c r="B500" i="5"/>
  <c r="AF500" i="5" s="1"/>
  <c r="B499" i="5"/>
  <c r="AF499" i="5" s="1"/>
  <c r="B498" i="5"/>
  <c r="AF498" i="5" s="1"/>
  <c r="B497" i="5"/>
  <c r="AF497" i="5" s="1"/>
  <c r="B496" i="5"/>
  <c r="AF496" i="5" s="1"/>
  <c r="B495" i="5"/>
  <c r="AF495" i="5" s="1"/>
  <c r="B494" i="5"/>
  <c r="AF494" i="5" s="1"/>
  <c r="B493" i="5"/>
  <c r="AF493" i="5" s="1"/>
  <c r="B492" i="5"/>
  <c r="AF492" i="5" s="1"/>
  <c r="B491" i="5"/>
  <c r="AF491" i="5" s="1"/>
  <c r="B490" i="5"/>
  <c r="AF490" i="5" s="1"/>
  <c r="B489" i="5"/>
  <c r="AF489" i="5" s="1"/>
  <c r="B488" i="5"/>
  <c r="AF488" i="5" s="1"/>
  <c r="B487" i="5"/>
  <c r="AF487" i="5" s="1"/>
  <c r="B486" i="5"/>
  <c r="AF486" i="5" s="1"/>
  <c r="B485" i="5"/>
  <c r="AF485" i="5" s="1"/>
  <c r="B484" i="5"/>
  <c r="AF484" i="5" s="1"/>
  <c r="B483" i="5"/>
  <c r="AF483" i="5" s="1"/>
  <c r="B482" i="5"/>
  <c r="AF482" i="5" s="1"/>
  <c r="B481" i="5"/>
  <c r="AF481" i="5" s="1"/>
  <c r="B480" i="5"/>
  <c r="AF480" i="5" s="1"/>
  <c r="B479" i="5"/>
  <c r="AF479" i="5" s="1"/>
  <c r="B478" i="5"/>
  <c r="AF478" i="5" s="1"/>
  <c r="B477" i="5"/>
  <c r="AF477" i="5" s="1"/>
  <c r="B476" i="5"/>
  <c r="AF476" i="5" s="1"/>
  <c r="B475" i="5"/>
  <c r="AF475" i="5" s="1"/>
  <c r="B474" i="5"/>
  <c r="AF474" i="5" s="1"/>
  <c r="B473" i="5"/>
  <c r="AF473" i="5" s="1"/>
  <c r="B472" i="5"/>
  <c r="AF472" i="5" s="1"/>
  <c r="B471" i="5"/>
  <c r="AF471" i="5" s="1"/>
  <c r="B470" i="5"/>
  <c r="AF470" i="5" s="1"/>
  <c r="B469" i="5"/>
  <c r="AF469" i="5" s="1"/>
  <c r="B468" i="5"/>
  <c r="AF468" i="5" s="1"/>
  <c r="B467" i="5"/>
  <c r="AF467" i="5" s="1"/>
  <c r="B466" i="5"/>
  <c r="AF466" i="5" s="1"/>
  <c r="B465" i="5"/>
  <c r="AF465" i="5" s="1"/>
  <c r="AD128" i="3" s="1"/>
  <c r="B464" i="5"/>
  <c r="AF464" i="5" s="1"/>
  <c r="B463" i="5"/>
  <c r="AF463" i="5" s="1"/>
  <c r="B462" i="5"/>
  <c r="AF462" i="5" s="1"/>
  <c r="B461" i="5"/>
  <c r="AF461" i="5" s="1"/>
  <c r="B460" i="5"/>
  <c r="AF460" i="5" s="1"/>
  <c r="B459" i="5"/>
  <c r="AF459" i="5" s="1"/>
  <c r="B458" i="5"/>
  <c r="AF458" i="5" s="1"/>
  <c r="B457" i="5"/>
  <c r="AF457" i="5" s="1"/>
  <c r="B456" i="5"/>
  <c r="AF456" i="5" s="1"/>
  <c r="B455" i="5"/>
  <c r="AF455" i="5" s="1"/>
  <c r="B454" i="5"/>
  <c r="AF454" i="5" s="1"/>
  <c r="B453" i="5"/>
  <c r="AF453" i="5" s="1"/>
  <c r="B452" i="5"/>
  <c r="AF452" i="5" s="1"/>
  <c r="B451" i="5"/>
  <c r="AF451" i="5" s="1"/>
  <c r="B450" i="5"/>
  <c r="AF450" i="5" s="1"/>
  <c r="B449" i="5"/>
  <c r="AF449" i="5" s="1"/>
  <c r="B448" i="5"/>
  <c r="AF448" i="5" s="1"/>
  <c r="B447" i="5"/>
  <c r="AF447" i="5" s="1"/>
  <c r="B446" i="5"/>
  <c r="AF446" i="5" s="1"/>
  <c r="B445" i="5"/>
  <c r="AF445" i="5" s="1"/>
  <c r="B444" i="5"/>
  <c r="AF444" i="5" s="1"/>
  <c r="B443" i="5"/>
  <c r="AF443" i="5" s="1"/>
  <c r="AD121" i="3" s="1"/>
  <c r="B442" i="5"/>
  <c r="AF442" i="5" s="1"/>
  <c r="B441" i="5"/>
  <c r="AF441" i="5" s="1"/>
  <c r="B440" i="5"/>
  <c r="AF440" i="5" s="1"/>
  <c r="B439" i="5"/>
  <c r="AF439" i="5" s="1"/>
  <c r="B438" i="5"/>
  <c r="AF438" i="5" s="1"/>
  <c r="AD165" i="3" s="1"/>
  <c r="B437" i="5"/>
  <c r="AF437" i="5" s="1"/>
  <c r="B436" i="5"/>
  <c r="AF436" i="5" s="1"/>
  <c r="B435" i="5"/>
  <c r="AF435" i="5" s="1"/>
  <c r="B434" i="5"/>
  <c r="AF434" i="5" s="1"/>
  <c r="B433" i="5"/>
  <c r="AF433" i="5" s="1"/>
  <c r="B432" i="5"/>
  <c r="AF432" i="5" s="1"/>
  <c r="B431" i="5"/>
  <c r="AF431" i="5" s="1"/>
  <c r="B430" i="5"/>
  <c r="AF430" i="5" s="1"/>
  <c r="B429" i="5"/>
  <c r="AF429" i="5" s="1"/>
  <c r="B428" i="5"/>
  <c r="AF428" i="5" s="1"/>
  <c r="B427" i="5"/>
  <c r="AF427" i="5" s="1"/>
  <c r="B426" i="5"/>
  <c r="AF426" i="5" s="1"/>
  <c r="B425" i="5"/>
  <c r="AF425" i="5" s="1"/>
  <c r="B424" i="5"/>
  <c r="AF424" i="5" s="1"/>
  <c r="B423" i="5"/>
  <c r="AF423" i="5" s="1"/>
  <c r="B422" i="5"/>
  <c r="AF422" i="5" s="1"/>
  <c r="B421" i="5"/>
  <c r="AF421" i="5" s="1"/>
  <c r="B420" i="5"/>
  <c r="AF420" i="5" s="1"/>
  <c r="B419" i="5"/>
  <c r="AF419" i="5" s="1"/>
  <c r="B418" i="5"/>
  <c r="AF418" i="5" s="1"/>
  <c r="B417" i="5"/>
  <c r="AF417" i="5" s="1"/>
  <c r="B416" i="5"/>
  <c r="AF416" i="5" s="1"/>
  <c r="B415" i="5"/>
  <c r="AF415" i="5" s="1"/>
  <c r="B414" i="5"/>
  <c r="AF414" i="5" s="1"/>
  <c r="B413" i="5"/>
  <c r="AF413" i="5" s="1"/>
  <c r="B412" i="5"/>
  <c r="AF412" i="5" s="1"/>
  <c r="B411" i="5"/>
  <c r="AF411" i="5" s="1"/>
  <c r="B410" i="5"/>
  <c r="AF410" i="5" s="1"/>
  <c r="B409" i="5"/>
  <c r="AF409" i="5" s="1"/>
  <c r="B408" i="5"/>
  <c r="AF408" i="5" s="1"/>
  <c r="B407" i="5"/>
  <c r="AF407" i="5" s="1"/>
  <c r="AD92" i="3" s="1"/>
  <c r="B406" i="5"/>
  <c r="AF406" i="5" s="1"/>
  <c r="B405" i="5"/>
  <c r="AF405" i="5" s="1"/>
  <c r="B404" i="5"/>
  <c r="AF404" i="5" s="1"/>
  <c r="B403" i="5"/>
  <c r="AF403" i="5" s="1"/>
  <c r="B402" i="5"/>
  <c r="AF402" i="5" s="1"/>
  <c r="B401" i="5"/>
  <c r="AF401" i="5" s="1"/>
  <c r="B400" i="5"/>
  <c r="AF400" i="5" s="1"/>
  <c r="B399" i="5"/>
  <c r="AF399" i="5" s="1"/>
  <c r="B398" i="5"/>
  <c r="AF398" i="5" s="1"/>
  <c r="B397" i="5"/>
  <c r="AF397" i="5" s="1"/>
  <c r="AD111" i="3" s="1"/>
  <c r="B396" i="5"/>
  <c r="AF396" i="5" s="1"/>
  <c r="B395" i="5"/>
  <c r="AF395" i="5" s="1"/>
  <c r="B394" i="5"/>
  <c r="AF394" i="5" s="1"/>
  <c r="B393" i="5"/>
  <c r="AF393" i="5" s="1"/>
  <c r="B392" i="5"/>
  <c r="AF392" i="5" s="1"/>
  <c r="B391" i="5"/>
  <c r="AF391" i="5" s="1"/>
  <c r="B390" i="5"/>
  <c r="AF390" i="5" s="1"/>
  <c r="B389" i="5"/>
  <c r="AF389" i="5" s="1"/>
  <c r="B388" i="5"/>
  <c r="AF388" i="5" s="1"/>
  <c r="B387" i="5"/>
  <c r="AF387" i="5" s="1"/>
  <c r="B386" i="5"/>
  <c r="AF386" i="5" s="1"/>
  <c r="B385" i="5"/>
  <c r="AF385" i="5" s="1"/>
  <c r="B384" i="5"/>
  <c r="AF384" i="5" s="1"/>
  <c r="B383" i="5"/>
  <c r="AF383" i="5" s="1"/>
  <c r="AD103" i="3" s="1"/>
  <c r="B382" i="5"/>
  <c r="AF382" i="5" s="1"/>
  <c r="B381" i="5"/>
  <c r="AF381" i="5" s="1"/>
  <c r="B380" i="5"/>
  <c r="AF380" i="5" s="1"/>
  <c r="B379" i="5"/>
  <c r="AF379" i="5" s="1"/>
  <c r="B378" i="5"/>
  <c r="AF378" i="5" s="1"/>
  <c r="AD39" i="3" s="1"/>
  <c r="B377" i="5"/>
  <c r="AF377" i="5" s="1"/>
  <c r="B376" i="5"/>
  <c r="AF376" i="5" s="1"/>
  <c r="B375" i="5"/>
  <c r="AF375" i="5" s="1"/>
  <c r="B374" i="5"/>
  <c r="AF374" i="5" s="1"/>
  <c r="AD38" i="3" s="1"/>
  <c r="B373" i="5"/>
  <c r="AF373" i="5" s="1"/>
  <c r="B372" i="5"/>
  <c r="AF372" i="5" s="1"/>
  <c r="AD37" i="3" s="1"/>
  <c r="B371" i="5"/>
  <c r="AF371" i="5" s="1"/>
  <c r="B370" i="5"/>
  <c r="AF370" i="5" s="1"/>
  <c r="B369" i="5"/>
  <c r="AF369" i="5" s="1"/>
  <c r="AD36" i="3" s="1"/>
  <c r="B368" i="5"/>
  <c r="AF368" i="5" s="1"/>
  <c r="AD35" i="3" s="1"/>
  <c r="B367" i="5"/>
  <c r="AF367" i="5" s="1"/>
  <c r="B366" i="5"/>
  <c r="AF366" i="5" s="1"/>
  <c r="AD34" i="3" s="1"/>
  <c r="B365" i="5"/>
  <c r="AF365" i="5" s="1"/>
  <c r="AD33" i="3" s="1"/>
  <c r="B364" i="5"/>
  <c r="AF364" i="5" s="1"/>
  <c r="AD31" i="3" s="1"/>
  <c r="B363" i="5"/>
  <c r="AF363" i="5" s="1"/>
  <c r="B362" i="5"/>
  <c r="AF362" i="5" s="1"/>
  <c r="AD32" i="3" s="1"/>
  <c r="B361" i="5"/>
  <c r="AF361" i="5" s="1"/>
  <c r="AD30" i="3" s="1"/>
  <c r="B360" i="5"/>
  <c r="AF360" i="5" s="1"/>
  <c r="AD29" i="3" s="1"/>
  <c r="B359" i="5"/>
  <c r="AF359" i="5" s="1"/>
  <c r="B358" i="5"/>
  <c r="AF358" i="5" s="1"/>
  <c r="AD28" i="3" s="1"/>
  <c r="B357" i="5"/>
  <c r="AF357" i="5" s="1"/>
  <c r="AD27" i="3" s="1"/>
  <c r="B356" i="5"/>
  <c r="AF356" i="5" s="1"/>
  <c r="B355" i="5"/>
  <c r="AF355" i="5" s="1"/>
  <c r="AD26" i="3" s="1"/>
  <c r="B354" i="5"/>
  <c r="AF354" i="5" s="1"/>
  <c r="AD25" i="3" s="1"/>
  <c r="B353" i="5"/>
  <c r="AF353" i="5" s="1"/>
  <c r="B352" i="5"/>
  <c r="AF352" i="5" s="1"/>
  <c r="B351" i="5"/>
  <c r="AF351" i="5" s="1"/>
  <c r="B350" i="5"/>
  <c r="AF350" i="5" s="1"/>
  <c r="B349" i="5"/>
  <c r="AF349" i="5" s="1"/>
  <c r="B348" i="5"/>
  <c r="AF348" i="5" s="1"/>
  <c r="B347" i="5"/>
  <c r="AF347" i="5" s="1"/>
  <c r="B346" i="5"/>
  <c r="AF346" i="5" s="1"/>
  <c r="B345" i="5"/>
  <c r="AF345" i="5" s="1"/>
  <c r="B344" i="5"/>
  <c r="AF344" i="5" s="1"/>
  <c r="B343" i="5"/>
  <c r="AF343" i="5" s="1"/>
  <c r="B342" i="5"/>
  <c r="AF342" i="5" s="1"/>
  <c r="B341" i="5"/>
  <c r="AF341" i="5" s="1"/>
  <c r="B340" i="5"/>
  <c r="AF340" i="5" s="1"/>
  <c r="B339" i="5"/>
  <c r="AF339" i="5" s="1"/>
  <c r="B338" i="5"/>
  <c r="AF338" i="5" s="1"/>
  <c r="B337" i="5"/>
  <c r="AF337" i="5" s="1"/>
  <c r="B336" i="5"/>
  <c r="AF336" i="5" s="1"/>
  <c r="B335" i="5"/>
  <c r="AF335" i="5" s="1"/>
  <c r="B334" i="5"/>
  <c r="AF334" i="5" s="1"/>
  <c r="B333" i="5"/>
  <c r="AF333" i="5" s="1"/>
  <c r="B332" i="5"/>
  <c r="AF332" i="5" s="1"/>
  <c r="AD17" i="3" s="1"/>
  <c r="B331" i="5"/>
  <c r="B329" i="5"/>
  <c r="AF329" i="5" s="1"/>
  <c r="B328" i="5"/>
  <c r="AF328" i="5" s="1"/>
  <c r="AD50" i="3" s="1"/>
  <c r="B327" i="5"/>
  <c r="AF327" i="5" s="1"/>
  <c r="B326" i="5"/>
  <c r="AF326" i="5" s="1"/>
  <c r="B325" i="5"/>
  <c r="AF325" i="5" s="1"/>
  <c r="B324" i="5"/>
  <c r="AF324" i="5" s="1"/>
  <c r="B323" i="5"/>
  <c r="AF323" i="5" s="1"/>
  <c r="B322" i="5"/>
  <c r="AF322" i="5" s="1"/>
  <c r="B321" i="5"/>
  <c r="AF321" i="5" s="1"/>
  <c r="B320" i="5"/>
  <c r="AF320" i="5" s="1"/>
  <c r="B319" i="5"/>
  <c r="AF319" i="5" s="1"/>
  <c r="B318" i="5"/>
  <c r="AF318" i="5" s="1"/>
  <c r="AD16" i="3" s="1"/>
  <c r="B317" i="5"/>
  <c r="AF317" i="5" s="1"/>
  <c r="AD15" i="3" s="1"/>
  <c r="B316" i="5"/>
  <c r="AF316" i="5" s="1"/>
  <c r="AD14" i="3" s="1"/>
  <c r="B315" i="5"/>
  <c r="AF315" i="5" s="1"/>
  <c r="AD13" i="3" s="1"/>
  <c r="B314" i="5"/>
  <c r="AF314" i="5" s="1"/>
  <c r="B313" i="5"/>
  <c r="AF313" i="5" s="1"/>
  <c r="AD11" i="3" s="1"/>
  <c r="B312" i="5"/>
  <c r="AF312" i="5" s="1"/>
  <c r="B311" i="5"/>
  <c r="AF311" i="5" s="1"/>
  <c r="B310" i="5"/>
  <c r="AF310" i="5" s="1"/>
  <c r="B309" i="5"/>
  <c r="AF309" i="5" s="1"/>
  <c r="B308" i="5"/>
  <c r="AF308" i="5" s="1"/>
  <c r="B307" i="5"/>
  <c r="AF307" i="5" s="1"/>
  <c r="B306" i="5"/>
  <c r="AF306" i="5" s="1"/>
  <c r="B305" i="5"/>
  <c r="AF305" i="5" s="1"/>
  <c r="B304" i="5"/>
  <c r="AF304" i="5" s="1"/>
  <c r="B303" i="5"/>
  <c r="AF303" i="5" s="1"/>
  <c r="B302" i="5"/>
  <c r="AF302" i="5" s="1"/>
  <c r="B301" i="5"/>
  <c r="AF301" i="5" s="1"/>
  <c r="AD12" i="3" s="1"/>
  <c r="B300" i="5"/>
  <c r="AF300" i="5" s="1"/>
  <c r="B299" i="5"/>
  <c r="AF299" i="5" s="1"/>
  <c r="AD51" i="3" s="1"/>
  <c r="B298" i="5"/>
  <c r="AF298" i="5" s="1"/>
  <c r="AD49" i="3" s="1"/>
  <c r="B297" i="5"/>
  <c r="AF297" i="5" s="1"/>
  <c r="B296" i="5"/>
  <c r="AF296" i="5" s="1"/>
  <c r="B295" i="5"/>
  <c r="AF295" i="5" s="1"/>
  <c r="B294" i="5"/>
  <c r="AF294" i="5" s="1"/>
  <c r="B293" i="5"/>
  <c r="AF293" i="5" s="1"/>
  <c r="B292" i="5"/>
  <c r="AF292" i="5" s="1"/>
  <c r="B291" i="5"/>
  <c r="AF291" i="5" s="1"/>
  <c r="AD10" i="3" s="1"/>
  <c r="B290" i="5"/>
  <c r="AF290" i="5" s="1"/>
  <c r="AD9" i="3" s="1"/>
  <c r="B289" i="5"/>
  <c r="AF289" i="5" s="1"/>
  <c r="B288" i="5"/>
  <c r="AF288" i="5" s="1"/>
  <c r="B287" i="5"/>
  <c r="AF287" i="5" s="1"/>
  <c r="B286" i="5"/>
  <c r="AF286" i="5" s="1"/>
  <c r="B285" i="5"/>
  <c r="AF285" i="5" s="1"/>
  <c r="B284" i="5"/>
  <c r="AF284" i="5" s="1"/>
  <c r="B283" i="5"/>
  <c r="AF283" i="5" s="1"/>
  <c r="AD8" i="3" s="1"/>
  <c r="B282" i="5"/>
  <c r="AF282" i="5" s="1"/>
  <c r="AD7" i="3" s="1"/>
  <c r="B281" i="5"/>
  <c r="AF281" i="5" s="1"/>
  <c r="AD6" i="3" s="1"/>
  <c r="B280" i="5"/>
  <c r="AF280" i="5" s="1"/>
  <c r="B279" i="5"/>
  <c r="AF279" i="5" s="1"/>
  <c r="B278" i="5"/>
  <c r="AF278" i="5" s="1"/>
  <c r="B277" i="5"/>
  <c r="AF277" i="5" s="1"/>
  <c r="AD220" i="4" s="1"/>
  <c r="B276" i="5"/>
  <c r="AF276" i="5" s="1"/>
  <c r="AD219" i="4" s="1"/>
  <c r="B275" i="5"/>
  <c r="AF275" i="5" s="1"/>
  <c r="B274" i="5"/>
  <c r="AF274" i="5" s="1"/>
  <c r="AD213" i="4" s="1"/>
  <c r="B273" i="5"/>
  <c r="AF273" i="5" s="1"/>
  <c r="AD212" i="4" s="1"/>
  <c r="B272" i="5"/>
  <c r="AF272" i="5" s="1"/>
  <c r="AD211" i="4" s="1"/>
  <c r="B271" i="5"/>
  <c r="AF271" i="5" s="1"/>
  <c r="AD210" i="4" s="1"/>
  <c r="B270" i="5"/>
  <c r="AF270" i="5" s="1"/>
  <c r="AD218" i="4" s="1"/>
  <c r="B269" i="5"/>
  <c r="AF269" i="5" s="1"/>
  <c r="B268" i="5"/>
  <c r="AF268" i="5" s="1"/>
  <c r="B267" i="5"/>
  <c r="AF267" i="5" s="1"/>
  <c r="B266" i="5"/>
  <c r="AF266" i="5" s="1"/>
  <c r="B265" i="5"/>
  <c r="AF265" i="5" s="1"/>
  <c r="B264" i="5"/>
  <c r="AF264" i="5" s="1"/>
  <c r="B263" i="5"/>
  <c r="AF263" i="5" s="1"/>
  <c r="B262" i="5"/>
  <c r="AF262" i="5" s="1"/>
  <c r="B261" i="5"/>
  <c r="AF261" i="5" s="1"/>
  <c r="B260" i="5"/>
  <c r="AF260" i="5" s="1"/>
  <c r="B259" i="5"/>
  <c r="AF259" i="5" s="1"/>
  <c r="B258" i="5"/>
  <c r="AF258" i="5" s="1"/>
  <c r="B257" i="5"/>
  <c r="AF257" i="5" s="1"/>
  <c r="B256" i="5"/>
  <c r="AF256" i="5" s="1"/>
  <c r="B255" i="5"/>
  <c r="AF255" i="5" s="1"/>
  <c r="AD182" i="4" s="1"/>
  <c r="B254" i="5"/>
  <c r="AF254" i="5" s="1"/>
  <c r="B253" i="5"/>
  <c r="AF253" i="5" s="1"/>
  <c r="B252" i="5"/>
  <c r="AF252" i="5" s="1"/>
  <c r="B251" i="5"/>
  <c r="AF251" i="5" s="1"/>
  <c r="B250" i="5"/>
  <c r="AF250" i="5" s="1"/>
  <c r="AD202" i="4" s="1"/>
  <c r="B249" i="5"/>
  <c r="AF249" i="5" s="1"/>
  <c r="B248" i="5"/>
  <c r="AF248" i="5" s="1"/>
  <c r="AD164" i="4" s="1"/>
  <c r="AD166" i="4" s="1"/>
  <c r="AD168" i="4" s="1"/>
  <c r="B247" i="5"/>
  <c r="AF247" i="5" s="1"/>
  <c r="AD181" i="4" s="1"/>
  <c r="B246" i="5"/>
  <c r="AF246" i="5" s="1"/>
  <c r="B245" i="5"/>
  <c r="AF245" i="5" s="1"/>
  <c r="AD180" i="4" s="1"/>
  <c r="B244" i="5"/>
  <c r="AF244" i="5" s="1"/>
  <c r="AD179" i="4" s="1"/>
  <c r="B243" i="5"/>
  <c r="AF243" i="5" s="1"/>
  <c r="AD178" i="4" s="1"/>
  <c r="B241" i="5"/>
  <c r="AF241" i="5" s="1"/>
  <c r="B240" i="5"/>
  <c r="AF240" i="5" s="1"/>
  <c r="B239" i="5"/>
  <c r="AF239" i="5" s="1"/>
  <c r="B238" i="5"/>
  <c r="AF238" i="5" s="1"/>
  <c r="AD200" i="4" s="1"/>
  <c r="B237" i="5"/>
  <c r="AF237" i="5" s="1"/>
  <c r="B236" i="5"/>
  <c r="AF236" i="5" s="1"/>
  <c r="AD177" i="4" s="1"/>
  <c r="B235" i="5"/>
  <c r="AF235" i="5" s="1"/>
  <c r="B234" i="5"/>
  <c r="AF234" i="5" s="1"/>
  <c r="B233" i="5"/>
  <c r="AF233" i="5" s="1"/>
  <c r="AD199" i="4" s="1"/>
  <c r="B232" i="5"/>
  <c r="AF232" i="5" s="1"/>
  <c r="AD198" i="4" s="1"/>
  <c r="B231" i="5"/>
  <c r="AF231" i="5" s="1"/>
  <c r="B230" i="5"/>
  <c r="AF230" i="5" s="1"/>
  <c r="B229" i="5"/>
  <c r="AF229" i="5" s="1"/>
  <c r="AD195" i="4" s="1"/>
  <c r="B228" i="5"/>
  <c r="AF228" i="5" s="1"/>
  <c r="B227" i="5"/>
  <c r="AF227" i="5" s="1"/>
  <c r="B226" i="5"/>
  <c r="AF226" i="5" s="1"/>
  <c r="AD194" i="4" s="1"/>
  <c r="B225" i="5"/>
  <c r="AF225" i="5" s="1"/>
  <c r="B224" i="5"/>
  <c r="AF224" i="5" s="1"/>
  <c r="B223" i="5"/>
  <c r="AF223" i="5" s="1"/>
  <c r="B222" i="5"/>
  <c r="AF222" i="5" s="1"/>
  <c r="B221" i="5"/>
  <c r="AF221" i="5" s="1"/>
  <c r="AD197" i="4" s="1"/>
  <c r="B220" i="5"/>
  <c r="AF220" i="5" s="1"/>
  <c r="AD172" i="4" s="1"/>
  <c r="B219" i="5"/>
  <c r="AF219" i="5" s="1"/>
  <c r="AD171" i="4" s="1"/>
  <c r="B218" i="5"/>
  <c r="AF218" i="5" s="1"/>
  <c r="AD48" i="4" s="1"/>
  <c r="B217" i="5"/>
  <c r="AF217" i="5" s="1"/>
  <c r="AD47" i="4" s="1"/>
  <c r="B216" i="5"/>
  <c r="AF216" i="5" s="1"/>
  <c r="B215" i="5"/>
  <c r="AF215" i="5" s="1"/>
  <c r="B214" i="5"/>
  <c r="AF214" i="5" s="1"/>
  <c r="B213" i="5"/>
  <c r="AF213" i="5" s="1"/>
  <c r="B212" i="5"/>
  <c r="AF212" i="5" s="1"/>
  <c r="B211" i="5"/>
  <c r="AF211" i="5" s="1"/>
  <c r="B210" i="5"/>
  <c r="AF210" i="5" s="1"/>
  <c r="AD94" i="4" s="1"/>
  <c r="B209" i="5"/>
  <c r="AF209" i="5" s="1"/>
  <c r="B208" i="5"/>
  <c r="AF208" i="5" s="1"/>
  <c r="AD143" i="4" s="1"/>
  <c r="B207" i="5"/>
  <c r="AF207" i="5" s="1"/>
  <c r="AD129" i="4" s="1"/>
  <c r="B206" i="5"/>
  <c r="AF206" i="5" s="1"/>
  <c r="AD128" i="4" s="1"/>
  <c r="B205" i="5"/>
  <c r="AF205" i="5" s="1"/>
  <c r="AD127" i="4" s="1"/>
  <c r="B204" i="5"/>
  <c r="AF204" i="5" s="1"/>
  <c r="AD126" i="4" s="1"/>
  <c r="B203" i="5"/>
  <c r="AF203" i="5" s="1"/>
  <c r="AD125" i="4" s="1"/>
  <c r="B202" i="5"/>
  <c r="AF202" i="5" s="1"/>
  <c r="AD124" i="4" s="1"/>
  <c r="B201" i="5"/>
  <c r="AF201" i="5" s="1"/>
  <c r="AD123" i="4" s="1"/>
  <c r="B200" i="5"/>
  <c r="AF200" i="5" s="1"/>
  <c r="AD142" i="4" s="1"/>
  <c r="B199" i="5"/>
  <c r="AF199" i="5" s="1"/>
  <c r="AD141" i="4" s="1"/>
  <c r="B198" i="5"/>
  <c r="AF198" i="5" s="1"/>
  <c r="AD140" i="4" s="1"/>
  <c r="B197" i="5"/>
  <c r="AF197" i="5" s="1"/>
  <c r="AD139" i="4" s="1"/>
  <c r="B196" i="5"/>
  <c r="AF196" i="5" s="1"/>
  <c r="AD135" i="4" s="1"/>
  <c r="B195" i="5"/>
  <c r="AF195" i="5" s="1"/>
  <c r="AD122" i="4" s="1"/>
  <c r="B194" i="5"/>
  <c r="AF194" i="5" s="1"/>
  <c r="AD121" i="4" s="1"/>
  <c r="B193" i="5"/>
  <c r="AF193" i="5" s="1"/>
  <c r="AD120" i="4" s="1"/>
  <c r="B192" i="5"/>
  <c r="AF192" i="5" s="1"/>
  <c r="AD119" i="4" s="1"/>
  <c r="B191" i="5"/>
  <c r="AF191" i="5" s="1"/>
  <c r="B190" i="5"/>
  <c r="AF190" i="5" s="1"/>
  <c r="AD118" i="4" s="1"/>
  <c r="B189" i="5"/>
  <c r="AF189" i="5" s="1"/>
  <c r="AD117" i="4" s="1"/>
  <c r="B188" i="5"/>
  <c r="AF188" i="5" s="1"/>
  <c r="AD116" i="4" s="1"/>
  <c r="B187" i="5"/>
  <c r="AF187" i="5" s="1"/>
  <c r="AD107" i="4" s="1"/>
  <c r="B186" i="5"/>
  <c r="AF186" i="5" s="1"/>
  <c r="AD106" i="4" s="1"/>
  <c r="B185" i="5"/>
  <c r="AF185" i="5" s="1"/>
  <c r="B184" i="5"/>
  <c r="AF184" i="5" s="1"/>
  <c r="AD105" i="4" s="1"/>
  <c r="B183" i="5"/>
  <c r="AF183" i="5" s="1"/>
  <c r="AD104" i="4" s="1"/>
  <c r="B182" i="5"/>
  <c r="AF182" i="5" s="1"/>
  <c r="B181" i="5"/>
  <c r="AF181" i="5" s="1"/>
  <c r="AD103" i="4" s="1"/>
  <c r="B180" i="5"/>
  <c r="AF180" i="5" s="1"/>
  <c r="AD102" i="4" s="1"/>
  <c r="B179" i="5"/>
  <c r="AF179" i="5" s="1"/>
  <c r="B178" i="5"/>
  <c r="AF178" i="5" s="1"/>
  <c r="B177" i="5"/>
  <c r="AF177" i="5" s="1"/>
  <c r="AD101" i="4" s="1"/>
  <c r="B176" i="5"/>
  <c r="AF176" i="5" s="1"/>
  <c r="AD100" i="4" s="1"/>
  <c r="B175" i="5"/>
  <c r="AF175" i="5" s="1"/>
  <c r="AD99" i="4" s="1"/>
  <c r="B174" i="5"/>
  <c r="AF174" i="5" s="1"/>
  <c r="B173" i="5"/>
  <c r="AF173" i="5" s="1"/>
  <c r="B172" i="5"/>
  <c r="AF172" i="5" s="1"/>
  <c r="AD90" i="4" s="1"/>
  <c r="B171" i="5"/>
  <c r="AF171" i="5" s="1"/>
  <c r="AD88" i="4" s="1"/>
  <c r="B170" i="5"/>
  <c r="AF170" i="5" s="1"/>
  <c r="B169" i="5"/>
  <c r="AF169" i="5" s="1"/>
  <c r="AD89" i="4" s="1"/>
  <c r="B168" i="5"/>
  <c r="AF168" i="5" s="1"/>
  <c r="AD75" i="4" s="1"/>
  <c r="B167" i="5"/>
  <c r="AF167" i="5" s="1"/>
  <c r="AD74" i="4" s="1"/>
  <c r="B166" i="5"/>
  <c r="AF166" i="5" s="1"/>
  <c r="B165" i="5"/>
  <c r="AF165" i="5" s="1"/>
  <c r="B164" i="5"/>
  <c r="AF164" i="5" s="1"/>
  <c r="AD73" i="4" s="1"/>
  <c r="B163" i="5"/>
  <c r="AF163" i="5" s="1"/>
  <c r="AD72" i="4" s="1"/>
  <c r="B162" i="5"/>
  <c r="AF162" i="5" s="1"/>
  <c r="B161" i="5"/>
  <c r="AF161" i="5" s="1"/>
  <c r="B160" i="5"/>
  <c r="AF160" i="5" s="1"/>
  <c r="B159" i="5"/>
  <c r="AF159" i="5" s="1"/>
  <c r="B158" i="5"/>
  <c r="AF158" i="5" s="1"/>
  <c r="B157" i="5"/>
  <c r="AF157" i="5" s="1"/>
  <c r="B156" i="5"/>
  <c r="AF156" i="5" s="1"/>
  <c r="B155" i="5"/>
  <c r="AF155" i="5" s="1"/>
  <c r="B154" i="5"/>
  <c r="AF154" i="5" s="1"/>
  <c r="B153" i="5"/>
  <c r="AF153" i="5" s="1"/>
  <c r="B152" i="5"/>
  <c r="AF152" i="5" s="1"/>
  <c r="B151" i="5"/>
  <c r="AF151" i="5" s="1"/>
  <c r="B150" i="5"/>
  <c r="AF150" i="5" s="1"/>
  <c r="B149" i="5"/>
  <c r="AF149" i="5" s="1"/>
  <c r="B148" i="5"/>
  <c r="AF148" i="5" s="1"/>
  <c r="B147" i="5"/>
  <c r="AF147" i="5" s="1"/>
  <c r="B146" i="5"/>
  <c r="AF146" i="5" s="1"/>
  <c r="AD87" i="4" s="1"/>
  <c r="B145" i="5"/>
  <c r="AF145" i="5" s="1"/>
  <c r="B144" i="5"/>
  <c r="AF144" i="5" s="1"/>
  <c r="AD81" i="4" s="1"/>
  <c r="B143" i="5"/>
  <c r="AF143" i="5" s="1"/>
  <c r="B142" i="5"/>
  <c r="AF142" i="5" s="1"/>
  <c r="B141" i="5"/>
  <c r="AF141" i="5" s="1"/>
  <c r="B140" i="5"/>
  <c r="AF140" i="5" s="1"/>
  <c r="AD80" i="4" s="1"/>
  <c r="B139" i="5"/>
  <c r="AF139" i="5" s="1"/>
  <c r="AD46" i="4" s="1"/>
  <c r="B138" i="5"/>
  <c r="AF138" i="5" s="1"/>
  <c r="AD86" i="4" s="1"/>
  <c r="B137" i="5"/>
  <c r="AF137" i="5" s="1"/>
  <c r="B136" i="5"/>
  <c r="AF136" i="5" s="1"/>
  <c r="B135" i="5"/>
  <c r="AF135" i="5" s="1"/>
  <c r="B134" i="5"/>
  <c r="AF134" i="5" s="1"/>
  <c r="AD67" i="4" s="1"/>
  <c r="B133" i="5"/>
  <c r="AF133" i="5" s="1"/>
  <c r="AD66" i="4" s="1"/>
  <c r="B132" i="5"/>
  <c r="AF132" i="5" s="1"/>
  <c r="AD134" i="4" s="1"/>
  <c r="B131" i="5"/>
  <c r="AF131" i="5" s="1"/>
  <c r="B130" i="5"/>
  <c r="AF130" i="5" s="1"/>
  <c r="AD65" i="4" s="1"/>
  <c r="B129" i="5"/>
  <c r="AF129" i="5" s="1"/>
  <c r="AD64" i="4" s="1"/>
  <c r="B128" i="5"/>
  <c r="AF128" i="5" s="1"/>
  <c r="AD59" i="4" s="1"/>
  <c r="B127" i="5"/>
  <c r="AF127" i="5" s="1"/>
  <c r="B126" i="5"/>
  <c r="AF126" i="5" s="1"/>
  <c r="B125" i="5"/>
  <c r="AF125" i="5" s="1"/>
  <c r="AD91" i="4" s="1"/>
  <c r="B124" i="5"/>
  <c r="AF124" i="5" s="1"/>
  <c r="B123" i="5"/>
  <c r="AF123" i="5" s="1"/>
  <c r="AD58" i="4" s="1"/>
  <c r="B122" i="5"/>
  <c r="AF122" i="5" s="1"/>
  <c r="AD57" i="4" s="1"/>
  <c r="B121" i="5"/>
  <c r="AF121" i="5" s="1"/>
  <c r="AD56" i="4" s="1"/>
  <c r="B120" i="5"/>
  <c r="AF120" i="5" s="1"/>
  <c r="AD55" i="4" s="1"/>
  <c r="B119" i="5"/>
  <c r="AF119" i="5" s="1"/>
  <c r="AD54" i="4" s="1"/>
  <c r="B118" i="5"/>
  <c r="AF118" i="5" s="1"/>
  <c r="AD53" i="4" s="1"/>
  <c r="B117" i="5"/>
  <c r="AF117" i="5" s="1"/>
  <c r="B116" i="5"/>
  <c r="AF116" i="5" s="1"/>
  <c r="B115" i="5"/>
  <c r="AF115" i="5" s="1"/>
  <c r="AD45" i="4" s="1"/>
  <c r="B114" i="5"/>
  <c r="AF114" i="5" s="1"/>
  <c r="B113" i="5"/>
  <c r="AF113" i="5" s="1"/>
  <c r="B112" i="5"/>
  <c r="AF112" i="5" s="1"/>
  <c r="B111" i="5"/>
  <c r="AF111" i="5" s="1"/>
  <c r="B110" i="5"/>
  <c r="AF110" i="5" s="1"/>
  <c r="AD44" i="4" s="1"/>
  <c r="B109" i="5"/>
  <c r="AF109" i="5" s="1"/>
  <c r="AD43" i="4" s="1"/>
  <c r="B108" i="5"/>
  <c r="AF108" i="5" s="1"/>
  <c r="B107" i="5"/>
  <c r="AF107" i="5" s="1"/>
  <c r="B106" i="5"/>
  <c r="AF106" i="5" s="1"/>
  <c r="B105" i="5"/>
  <c r="AF105" i="5" s="1"/>
  <c r="B104" i="5"/>
  <c r="AF104" i="5" s="1"/>
  <c r="B103" i="5"/>
  <c r="AF103" i="5" s="1"/>
  <c r="B102" i="5"/>
  <c r="AF102" i="5" s="1"/>
  <c r="B101" i="5"/>
  <c r="AF101" i="5" s="1"/>
  <c r="B100" i="5"/>
  <c r="AF100" i="5" s="1"/>
  <c r="B99" i="5"/>
  <c r="AF99" i="5" s="1"/>
  <c r="B98" i="5"/>
  <c r="AF98" i="5" s="1"/>
  <c r="B97" i="5"/>
  <c r="AF97" i="5" s="1"/>
  <c r="B96" i="5"/>
  <c r="AF96" i="5" s="1"/>
  <c r="B95" i="5"/>
  <c r="AF95" i="5" s="1"/>
  <c r="B94" i="5"/>
  <c r="AF94" i="5" s="1"/>
  <c r="B93" i="5"/>
  <c r="AF93" i="5" s="1"/>
  <c r="B92" i="5"/>
  <c r="AF92" i="5" s="1"/>
  <c r="B91" i="5"/>
  <c r="AF91" i="5" s="1"/>
  <c r="B90" i="5"/>
  <c r="AF90" i="5" s="1"/>
  <c r="B89" i="5"/>
  <c r="AF89" i="5" s="1"/>
  <c r="B88" i="5"/>
  <c r="AF88" i="5" s="1"/>
  <c r="B87" i="5"/>
  <c r="AF87" i="5" s="1"/>
  <c r="B86" i="5"/>
  <c r="AF86" i="5" s="1"/>
  <c r="B85" i="5"/>
  <c r="AF85" i="5" s="1"/>
  <c r="B84" i="5"/>
  <c r="AF84" i="5" s="1"/>
  <c r="B83" i="5"/>
  <c r="AF83" i="5" s="1"/>
  <c r="B82" i="5"/>
  <c r="AF82" i="5" s="1"/>
  <c r="B81" i="5"/>
  <c r="AF81" i="5" s="1"/>
  <c r="B80" i="5"/>
  <c r="AF80" i="5" s="1"/>
  <c r="B79" i="5"/>
  <c r="AF79" i="5" s="1"/>
  <c r="B78" i="5"/>
  <c r="AF78" i="5" s="1"/>
  <c r="B77" i="5"/>
  <c r="AF77" i="5" s="1"/>
  <c r="B76" i="5"/>
  <c r="AF76" i="5" s="1"/>
  <c r="B75" i="5"/>
  <c r="AF75" i="5" s="1"/>
  <c r="B74" i="5"/>
  <c r="AF74" i="5" s="1"/>
  <c r="B73" i="5"/>
  <c r="AF73" i="5" s="1"/>
  <c r="B72" i="5"/>
  <c r="AF72" i="5" s="1"/>
  <c r="AD42" i="4" s="1"/>
  <c r="B71" i="5"/>
  <c r="AF71" i="5" s="1"/>
  <c r="B70" i="5"/>
  <c r="AF70" i="5" s="1"/>
  <c r="B69" i="5"/>
  <c r="AF69" i="5" s="1"/>
  <c r="AD41" i="4" s="1"/>
  <c r="B68" i="5"/>
  <c r="AF68" i="5" s="1"/>
  <c r="AD40" i="4" s="1"/>
  <c r="B67" i="5"/>
  <c r="AF67" i="5" s="1"/>
  <c r="AD39" i="4" s="1"/>
  <c r="B66" i="5"/>
  <c r="AF66" i="5" s="1"/>
  <c r="AD38" i="4" s="1"/>
  <c r="B65" i="5"/>
  <c r="AF65" i="5" s="1"/>
  <c r="B64" i="5"/>
  <c r="AF64" i="5" s="1"/>
  <c r="B63" i="5"/>
  <c r="AF63" i="5" s="1"/>
  <c r="B62" i="5"/>
  <c r="AF62" i="5" s="1"/>
  <c r="B61" i="5"/>
  <c r="AF61" i="5" s="1"/>
  <c r="AD37" i="4" s="1"/>
  <c r="B60" i="5"/>
  <c r="AF60" i="5" s="1"/>
  <c r="AD36" i="4" s="1"/>
  <c r="B59" i="5"/>
  <c r="AF59" i="5" s="1"/>
  <c r="AD35" i="4" s="1"/>
  <c r="B58" i="5"/>
  <c r="AF58" i="5" s="1"/>
  <c r="B57" i="5"/>
  <c r="AF57" i="5" s="1"/>
  <c r="AD33" i="4" s="1"/>
  <c r="B56" i="5"/>
  <c r="AF56" i="5" s="1"/>
  <c r="AD32" i="4" s="1"/>
  <c r="B55" i="5"/>
  <c r="AF55" i="5" s="1"/>
  <c r="AD34" i="4" s="1"/>
  <c r="B54" i="5"/>
  <c r="AF54" i="5" s="1"/>
  <c r="B53" i="5"/>
  <c r="AF53" i="5" s="1"/>
  <c r="AD31" i="4" s="1"/>
  <c r="B52" i="5"/>
  <c r="AF52" i="5" s="1"/>
  <c r="B51" i="5"/>
  <c r="AF51" i="5" s="1"/>
  <c r="AD30" i="4" s="1"/>
  <c r="B50" i="5"/>
  <c r="AF50" i="5" s="1"/>
  <c r="AD29" i="4" s="1"/>
  <c r="B49" i="5"/>
  <c r="AF49" i="5" s="1"/>
  <c r="B48" i="5"/>
  <c r="AF48" i="5" s="1"/>
  <c r="AD28" i="4" s="1"/>
  <c r="B47" i="5"/>
  <c r="AF47" i="5" s="1"/>
  <c r="AD27" i="4" s="1"/>
  <c r="B46" i="5"/>
  <c r="AF46" i="5" s="1"/>
  <c r="B45" i="5"/>
  <c r="AF45" i="5" s="1"/>
  <c r="AD26" i="4" s="1"/>
  <c r="B44" i="5"/>
  <c r="AF44" i="5" s="1"/>
  <c r="AD25" i="4" s="1"/>
  <c r="B43" i="5"/>
  <c r="AF43" i="5" s="1"/>
  <c r="AD24" i="4" s="1"/>
  <c r="B42" i="5"/>
  <c r="AF42" i="5" s="1"/>
  <c r="AD23" i="4" s="1"/>
  <c r="B41" i="5"/>
  <c r="AF41" i="5" s="1"/>
  <c r="B40" i="5"/>
  <c r="AF40" i="5" s="1"/>
  <c r="B39" i="5"/>
  <c r="AF39" i="5" s="1"/>
  <c r="AD22" i="4" s="1"/>
  <c r="B38" i="5"/>
  <c r="AF38" i="5" s="1"/>
  <c r="AD21" i="4" s="1"/>
  <c r="B37" i="5"/>
  <c r="AF37" i="5" s="1"/>
  <c r="AD20" i="4" s="1"/>
  <c r="B36" i="5"/>
  <c r="AF36" i="5" s="1"/>
  <c r="B35" i="5"/>
  <c r="AF35" i="5" s="1"/>
  <c r="AD19" i="4" s="1"/>
  <c r="B34" i="5"/>
  <c r="AF34" i="5" s="1"/>
  <c r="AD18" i="4" s="1"/>
  <c r="B33" i="5"/>
  <c r="AF33" i="5" s="1"/>
  <c r="B32" i="5"/>
  <c r="AF32" i="5" s="1"/>
  <c r="AD16" i="4" s="1"/>
  <c r="B31" i="5"/>
  <c r="AF31" i="5" s="1"/>
  <c r="AD15" i="4" s="1"/>
  <c r="B30" i="5"/>
  <c r="AF30" i="5" s="1"/>
  <c r="AD14" i="4" s="1"/>
  <c r="B29" i="5"/>
  <c r="AF29" i="5" s="1"/>
  <c r="B28" i="5"/>
  <c r="AF28" i="5" s="1"/>
  <c r="AD13" i="4" s="1"/>
  <c r="B27" i="5"/>
  <c r="AF27" i="5" s="1"/>
  <c r="AD12" i="4" s="1"/>
  <c r="B26" i="5"/>
  <c r="AF26" i="5" s="1"/>
  <c r="AD11" i="4" s="1"/>
  <c r="B25" i="5"/>
  <c r="AF25" i="5" s="1"/>
  <c r="B24" i="5"/>
  <c r="AF24" i="5" s="1"/>
  <c r="AD10" i="4" s="1"/>
  <c r="B23" i="5"/>
  <c r="AF23" i="5" s="1"/>
  <c r="AD155" i="4" s="1"/>
  <c r="B22" i="5"/>
  <c r="AF22" i="5" s="1"/>
  <c r="AD154" i="4" s="1"/>
  <c r="B21" i="5"/>
  <c r="AF21" i="5" s="1"/>
  <c r="AD153" i="4" s="1"/>
  <c r="B20" i="5"/>
  <c r="AF20" i="5" s="1"/>
  <c r="AD152" i="4" s="1"/>
  <c r="B19" i="5"/>
  <c r="AF19" i="5" s="1"/>
  <c r="AD151" i="4" s="1"/>
  <c r="B18" i="5"/>
  <c r="AF18" i="5" s="1"/>
  <c r="AD150" i="4" s="1"/>
  <c r="B17" i="5"/>
  <c r="AF17" i="5" s="1"/>
  <c r="B16" i="5"/>
  <c r="AF16" i="5" s="1"/>
  <c r="AD149" i="4" s="1"/>
  <c r="B15" i="5"/>
  <c r="AF15" i="5" s="1"/>
  <c r="AD7" i="4" s="1"/>
  <c r="B14" i="5"/>
  <c r="AF14" i="5" s="1"/>
  <c r="B6" i="5"/>
  <c r="AF6" i="5" s="1"/>
  <c r="B5" i="5"/>
  <c r="AF5" i="5" s="1"/>
  <c r="B4" i="5"/>
  <c r="AF4" i="5" s="1"/>
  <c r="G3" i="5"/>
  <c r="AM221" i="4"/>
  <c r="AL221" i="4"/>
  <c r="AK221" i="4"/>
  <c r="AJ221" i="4"/>
  <c r="AI221" i="4"/>
  <c r="AH221" i="4"/>
  <c r="AG221" i="4"/>
  <c r="AF221" i="4"/>
  <c r="AE221" i="4"/>
  <c r="AM220" i="4"/>
  <c r="AL220" i="4"/>
  <c r="AK220" i="4"/>
  <c r="AJ220" i="4"/>
  <c r="AI220" i="4"/>
  <c r="AH220" i="4"/>
  <c r="AG220" i="4"/>
  <c r="AF220" i="4"/>
  <c r="AE220" i="4"/>
  <c r="B220" i="4"/>
  <c r="AM219" i="4"/>
  <c r="AL219" i="4"/>
  <c r="AK219" i="4"/>
  <c r="AJ219" i="4"/>
  <c r="AI219" i="4"/>
  <c r="AH219" i="4"/>
  <c r="AG219" i="4"/>
  <c r="AF219" i="4"/>
  <c r="AE219" i="4"/>
  <c r="B219" i="4"/>
  <c r="AM218" i="4"/>
  <c r="AL218" i="4"/>
  <c r="AK218" i="4"/>
  <c r="AJ218" i="4"/>
  <c r="AI218" i="4"/>
  <c r="AH218" i="4"/>
  <c r="AG218" i="4"/>
  <c r="AF218" i="4"/>
  <c r="AE218" i="4"/>
  <c r="B218" i="4"/>
  <c r="AM213" i="4"/>
  <c r="AL213" i="4"/>
  <c r="AK213" i="4"/>
  <c r="AJ213" i="4"/>
  <c r="AI213" i="4"/>
  <c r="AH213" i="4"/>
  <c r="AG213" i="4"/>
  <c r="AF213" i="4"/>
  <c r="AE213" i="4"/>
  <c r="B213" i="4"/>
  <c r="AM212" i="4"/>
  <c r="AL212" i="4"/>
  <c r="AK212" i="4"/>
  <c r="AJ212" i="4"/>
  <c r="AI212" i="4"/>
  <c r="AH212" i="4"/>
  <c r="AG212" i="4"/>
  <c r="AF212" i="4"/>
  <c r="AE212" i="4"/>
  <c r="B212" i="4"/>
  <c r="AM211" i="4"/>
  <c r="AL211" i="4"/>
  <c r="AK211" i="4"/>
  <c r="AJ211" i="4"/>
  <c r="AI211" i="4"/>
  <c r="AH211" i="4"/>
  <c r="AG211" i="4"/>
  <c r="AF211" i="4"/>
  <c r="AE211" i="4"/>
  <c r="B211" i="4"/>
  <c r="AM210" i="4"/>
  <c r="AL210" i="4"/>
  <c r="AK210" i="4"/>
  <c r="AJ210" i="4"/>
  <c r="AI210" i="4"/>
  <c r="AH210" i="4"/>
  <c r="AG210" i="4"/>
  <c r="AF210" i="4"/>
  <c r="AE210" i="4"/>
  <c r="B210" i="4"/>
  <c r="AM209" i="4"/>
  <c r="AL209" i="4"/>
  <c r="AK209" i="4"/>
  <c r="AJ209" i="4"/>
  <c r="AI209" i="4"/>
  <c r="AH209" i="4"/>
  <c r="AG209" i="4"/>
  <c r="AF209" i="4"/>
  <c r="AE209" i="4"/>
  <c r="AD209" i="4"/>
  <c r="B209" i="4"/>
  <c r="AM202" i="4"/>
  <c r="AL202" i="4"/>
  <c r="AK202" i="4"/>
  <c r="AJ202" i="4"/>
  <c r="AI202" i="4"/>
  <c r="AH202" i="4"/>
  <c r="AG202" i="4"/>
  <c r="AF202" i="4"/>
  <c r="AE202" i="4"/>
  <c r="B202" i="4"/>
  <c r="AM200" i="4"/>
  <c r="AL200" i="4"/>
  <c r="AK200" i="4"/>
  <c r="AJ200" i="4"/>
  <c r="AI200" i="4"/>
  <c r="AH200" i="4"/>
  <c r="AG200" i="4"/>
  <c r="AF200" i="4"/>
  <c r="AE200" i="4"/>
  <c r="B200" i="4"/>
  <c r="AM199" i="4"/>
  <c r="AL199" i="4"/>
  <c r="AK199" i="4"/>
  <c r="AJ199" i="4"/>
  <c r="AI199" i="4"/>
  <c r="AH199" i="4"/>
  <c r="AG199" i="4"/>
  <c r="AF199" i="4"/>
  <c r="AE199" i="4"/>
  <c r="B199" i="4"/>
  <c r="AM198" i="4"/>
  <c r="AL198" i="4"/>
  <c r="AK198" i="4"/>
  <c r="AJ198" i="4"/>
  <c r="AI198" i="4"/>
  <c r="AH198" i="4"/>
  <c r="AG198" i="4"/>
  <c r="AF198" i="4"/>
  <c r="AE198" i="4"/>
  <c r="B198" i="4"/>
  <c r="AM196" i="4"/>
  <c r="AL196" i="4"/>
  <c r="AK196" i="4"/>
  <c r="AJ196" i="4"/>
  <c r="AI196" i="4"/>
  <c r="AH196" i="4"/>
  <c r="AG196" i="4"/>
  <c r="AF196" i="4"/>
  <c r="AE196" i="4"/>
  <c r="AD196" i="4"/>
  <c r="B196" i="4"/>
  <c r="AM195" i="4"/>
  <c r="AL195" i="4"/>
  <c r="AK195" i="4"/>
  <c r="AJ195" i="4"/>
  <c r="AI195" i="4"/>
  <c r="AH195" i="4"/>
  <c r="AG195" i="4"/>
  <c r="AF195" i="4"/>
  <c r="AE195" i="4"/>
  <c r="B195" i="4"/>
  <c r="AM194" i="4"/>
  <c r="AL194" i="4"/>
  <c r="AK194" i="4"/>
  <c r="AJ194" i="4"/>
  <c r="AI194" i="4"/>
  <c r="AH194" i="4"/>
  <c r="AG194" i="4"/>
  <c r="AF194" i="4"/>
  <c r="AE194" i="4"/>
  <c r="B194" i="4"/>
  <c r="AM182" i="4"/>
  <c r="AL182" i="4"/>
  <c r="AK182" i="4"/>
  <c r="AJ182" i="4"/>
  <c r="AI182" i="4"/>
  <c r="AH182" i="4"/>
  <c r="AG182" i="4"/>
  <c r="AF182" i="4"/>
  <c r="AE182" i="4"/>
  <c r="B182" i="4"/>
  <c r="AM181" i="4"/>
  <c r="AL181" i="4"/>
  <c r="AK181" i="4"/>
  <c r="AJ181" i="4"/>
  <c r="AI181" i="4"/>
  <c r="AH181" i="4"/>
  <c r="AG181" i="4"/>
  <c r="AF181" i="4"/>
  <c r="AE181" i="4"/>
  <c r="B181" i="4"/>
  <c r="AM180" i="4"/>
  <c r="AL180" i="4"/>
  <c r="AK180" i="4"/>
  <c r="AJ180" i="4"/>
  <c r="AI180" i="4"/>
  <c r="AH180" i="4"/>
  <c r="AG180" i="4"/>
  <c r="AF180" i="4"/>
  <c r="AE180" i="4"/>
  <c r="B180" i="4"/>
  <c r="AM179" i="4"/>
  <c r="AL179" i="4"/>
  <c r="AK179" i="4"/>
  <c r="AJ179" i="4"/>
  <c r="AI179" i="4"/>
  <c r="AH179" i="4"/>
  <c r="AG179" i="4"/>
  <c r="AF179" i="4"/>
  <c r="AE179" i="4"/>
  <c r="B179" i="4"/>
  <c r="AM178" i="4"/>
  <c r="AL178" i="4"/>
  <c r="AK178" i="4"/>
  <c r="AJ178" i="4"/>
  <c r="AI178" i="4"/>
  <c r="AH178" i="4"/>
  <c r="AG178" i="4"/>
  <c r="AF178" i="4"/>
  <c r="AE178" i="4"/>
  <c r="B178" i="4"/>
  <c r="AM177" i="4"/>
  <c r="AL177" i="4"/>
  <c r="AK177" i="4"/>
  <c r="AJ177" i="4"/>
  <c r="AI177" i="4"/>
  <c r="AH177" i="4"/>
  <c r="AG177" i="4"/>
  <c r="AF177" i="4"/>
  <c r="AE177" i="4"/>
  <c r="B177" i="4"/>
  <c r="AM172" i="4"/>
  <c r="AL172" i="4"/>
  <c r="AK172" i="4"/>
  <c r="AJ172" i="4"/>
  <c r="AI172" i="4"/>
  <c r="AH172" i="4"/>
  <c r="AG172" i="4"/>
  <c r="AF172" i="4"/>
  <c r="AE172" i="4"/>
  <c r="B172" i="4"/>
  <c r="AM171" i="4"/>
  <c r="AL171" i="4"/>
  <c r="AK171" i="4"/>
  <c r="AJ171" i="4"/>
  <c r="AI171" i="4"/>
  <c r="AH171" i="4"/>
  <c r="AG171" i="4"/>
  <c r="AF171" i="4"/>
  <c r="AE171" i="4"/>
  <c r="B171" i="4"/>
  <c r="AM164" i="4"/>
  <c r="AM166" i="4" s="1"/>
  <c r="AM168" i="4" s="1"/>
  <c r="AL164" i="4"/>
  <c r="AL166" i="4" s="1"/>
  <c r="AL168" i="4" s="1"/>
  <c r="AK164" i="4"/>
  <c r="AK166" i="4" s="1"/>
  <c r="AK168" i="4" s="1"/>
  <c r="AJ164" i="4"/>
  <c r="AJ166" i="4" s="1"/>
  <c r="AJ168" i="4" s="1"/>
  <c r="AI164" i="4"/>
  <c r="AI166" i="4" s="1"/>
  <c r="AI168" i="4" s="1"/>
  <c r="AH164" i="4"/>
  <c r="AH166" i="4" s="1"/>
  <c r="AH168" i="4" s="1"/>
  <c r="AG164" i="4"/>
  <c r="AG166" i="4" s="1"/>
  <c r="AG168" i="4" s="1"/>
  <c r="AF164" i="4"/>
  <c r="AF166" i="4" s="1"/>
  <c r="AF168" i="4" s="1"/>
  <c r="AE164" i="4"/>
  <c r="AE166" i="4" s="1"/>
  <c r="AE168" i="4" s="1"/>
  <c r="B164" i="4"/>
  <c r="AM155" i="4"/>
  <c r="AL155" i="4"/>
  <c r="AK155" i="4"/>
  <c r="AJ155" i="4"/>
  <c r="AI155" i="4"/>
  <c r="AH155" i="4"/>
  <c r="AG155" i="4"/>
  <c r="AF155" i="4"/>
  <c r="AE155" i="4"/>
  <c r="B155" i="4"/>
  <c r="AM154" i="4"/>
  <c r="AL154" i="4"/>
  <c r="AK154" i="4"/>
  <c r="AJ154" i="4"/>
  <c r="AI154" i="4"/>
  <c r="AH154" i="4"/>
  <c r="AG154" i="4"/>
  <c r="AF154" i="4"/>
  <c r="AE154" i="4"/>
  <c r="B154" i="4"/>
  <c r="AM153" i="4"/>
  <c r="AL153" i="4"/>
  <c r="AK153" i="4"/>
  <c r="AJ153" i="4"/>
  <c r="AI153" i="4"/>
  <c r="AH153" i="4"/>
  <c r="AG153" i="4"/>
  <c r="AF153" i="4"/>
  <c r="AE153" i="4"/>
  <c r="B153" i="4"/>
  <c r="AM152" i="4"/>
  <c r="AL152" i="4"/>
  <c r="AK152" i="4"/>
  <c r="AJ152" i="4"/>
  <c r="AI152" i="4"/>
  <c r="AH152" i="4"/>
  <c r="AG152" i="4"/>
  <c r="AF152" i="4"/>
  <c r="AE152" i="4"/>
  <c r="B152" i="4"/>
  <c r="AM151" i="4"/>
  <c r="AL151" i="4"/>
  <c r="AK151" i="4"/>
  <c r="AJ151" i="4"/>
  <c r="AI151" i="4"/>
  <c r="AH151" i="4"/>
  <c r="AG151" i="4"/>
  <c r="AF151" i="4"/>
  <c r="AE151" i="4"/>
  <c r="B151" i="4"/>
  <c r="AM150" i="4"/>
  <c r="AL150" i="4"/>
  <c r="AK150" i="4"/>
  <c r="AJ150" i="4"/>
  <c r="AI150" i="4"/>
  <c r="AH150" i="4"/>
  <c r="AG150" i="4"/>
  <c r="AF150" i="4"/>
  <c r="AE150" i="4"/>
  <c r="B150" i="4"/>
  <c r="AM149" i="4"/>
  <c r="AL149" i="4"/>
  <c r="AK149" i="4"/>
  <c r="AJ149" i="4"/>
  <c r="AI149" i="4"/>
  <c r="AH149" i="4"/>
  <c r="AG149" i="4"/>
  <c r="AF149" i="4"/>
  <c r="AE149" i="4"/>
  <c r="B149" i="4"/>
  <c r="AM144" i="4"/>
  <c r="AL144" i="4"/>
  <c r="AK144" i="4"/>
  <c r="AJ144" i="4"/>
  <c r="AI144" i="4"/>
  <c r="AH144" i="4"/>
  <c r="AG144" i="4"/>
  <c r="AF144" i="4"/>
  <c r="AE144" i="4"/>
  <c r="B144" i="4"/>
  <c r="AM143" i="4"/>
  <c r="AL143" i="4"/>
  <c r="AK143" i="4"/>
  <c r="AJ143" i="4"/>
  <c r="AI143" i="4"/>
  <c r="AH143" i="4"/>
  <c r="AG143" i="4"/>
  <c r="AF143" i="4"/>
  <c r="AE143" i="4"/>
  <c r="B143" i="4"/>
  <c r="AM142" i="4"/>
  <c r="AL142" i="4"/>
  <c r="AK142" i="4"/>
  <c r="AJ142" i="4"/>
  <c r="AI142" i="4"/>
  <c r="AH142" i="4"/>
  <c r="AG142" i="4"/>
  <c r="AF142" i="4"/>
  <c r="AE142" i="4"/>
  <c r="B142" i="4"/>
  <c r="AM141" i="4"/>
  <c r="AL141" i="4"/>
  <c r="AK141" i="4"/>
  <c r="AJ141" i="4"/>
  <c r="AI141" i="4"/>
  <c r="AH141" i="4"/>
  <c r="AG141" i="4"/>
  <c r="AF141" i="4"/>
  <c r="AE141" i="4"/>
  <c r="B141" i="4"/>
  <c r="AM140" i="4"/>
  <c r="AL140" i="4"/>
  <c r="AK140" i="4"/>
  <c r="AJ140" i="4"/>
  <c r="AI140" i="4"/>
  <c r="AH140" i="4"/>
  <c r="AG140" i="4"/>
  <c r="AF140" i="4"/>
  <c r="AE140" i="4"/>
  <c r="B140" i="4"/>
  <c r="AM139" i="4"/>
  <c r="AL139" i="4"/>
  <c r="AK139" i="4"/>
  <c r="AJ139" i="4"/>
  <c r="AI139" i="4"/>
  <c r="AH139" i="4"/>
  <c r="AG139" i="4"/>
  <c r="AF139" i="4"/>
  <c r="AE139" i="4"/>
  <c r="B139" i="4"/>
  <c r="AM135" i="4"/>
  <c r="AL135" i="4"/>
  <c r="AK135" i="4"/>
  <c r="AJ135" i="4"/>
  <c r="AI135" i="4"/>
  <c r="AH135" i="4"/>
  <c r="AG135" i="4"/>
  <c r="AF135" i="4"/>
  <c r="AE135" i="4"/>
  <c r="B135" i="4"/>
  <c r="AM134" i="4"/>
  <c r="AL134" i="4"/>
  <c r="AK134" i="4"/>
  <c r="AJ134" i="4"/>
  <c r="AI134" i="4"/>
  <c r="AH134" i="4"/>
  <c r="AG134" i="4"/>
  <c r="AF134" i="4"/>
  <c r="AE134" i="4"/>
  <c r="B134" i="4"/>
  <c r="AM129" i="4"/>
  <c r="AL129" i="4"/>
  <c r="AK129" i="4"/>
  <c r="AJ129" i="4"/>
  <c r="AI129" i="4"/>
  <c r="AH129" i="4"/>
  <c r="AG129" i="4"/>
  <c r="AF129" i="4"/>
  <c r="AE129" i="4"/>
  <c r="B129" i="4"/>
  <c r="AM128" i="4"/>
  <c r="AL128" i="4"/>
  <c r="AK128" i="4"/>
  <c r="AJ128" i="4"/>
  <c r="AI128" i="4"/>
  <c r="AH128" i="4"/>
  <c r="AG128" i="4"/>
  <c r="AF128" i="4"/>
  <c r="AE128" i="4"/>
  <c r="B128" i="4"/>
  <c r="AM127" i="4"/>
  <c r="AL127" i="4"/>
  <c r="AK127" i="4"/>
  <c r="AJ127" i="4"/>
  <c r="AI127" i="4"/>
  <c r="AH127" i="4"/>
  <c r="AG127" i="4"/>
  <c r="AF127" i="4"/>
  <c r="AE127" i="4"/>
  <c r="B127" i="4"/>
  <c r="AM126" i="4"/>
  <c r="AL126" i="4"/>
  <c r="AK126" i="4"/>
  <c r="AJ126" i="4"/>
  <c r="AI126" i="4"/>
  <c r="AH126" i="4"/>
  <c r="AG126" i="4"/>
  <c r="AF126" i="4"/>
  <c r="AE126" i="4"/>
  <c r="B126" i="4"/>
  <c r="AM125" i="4"/>
  <c r="AL125" i="4"/>
  <c r="AK125" i="4"/>
  <c r="AJ125" i="4"/>
  <c r="AI125" i="4"/>
  <c r="AH125" i="4"/>
  <c r="AG125" i="4"/>
  <c r="AF125" i="4"/>
  <c r="AE125" i="4"/>
  <c r="B125" i="4"/>
  <c r="AM124" i="4"/>
  <c r="AL124" i="4"/>
  <c r="AK124" i="4"/>
  <c r="AJ124" i="4"/>
  <c r="AI124" i="4"/>
  <c r="AH124" i="4"/>
  <c r="AG124" i="4"/>
  <c r="AF124" i="4"/>
  <c r="AE124" i="4"/>
  <c r="B124" i="4"/>
  <c r="AM123" i="4"/>
  <c r="AL123" i="4"/>
  <c r="AK123" i="4"/>
  <c r="AJ123" i="4"/>
  <c r="AI123" i="4"/>
  <c r="AH123" i="4"/>
  <c r="AG123" i="4"/>
  <c r="AF123" i="4"/>
  <c r="AE123" i="4"/>
  <c r="B123" i="4"/>
  <c r="AM122" i="4"/>
  <c r="AL122" i="4"/>
  <c r="AK122" i="4"/>
  <c r="AJ122" i="4"/>
  <c r="AI122" i="4"/>
  <c r="AH122" i="4"/>
  <c r="AG122" i="4"/>
  <c r="AF122" i="4"/>
  <c r="AE122" i="4"/>
  <c r="B122" i="4"/>
  <c r="AM121" i="4"/>
  <c r="AL121" i="4"/>
  <c r="AK121" i="4"/>
  <c r="AJ121" i="4"/>
  <c r="AI121" i="4"/>
  <c r="AH121" i="4"/>
  <c r="AG121" i="4"/>
  <c r="AF121" i="4"/>
  <c r="AE121" i="4"/>
  <c r="B121" i="4"/>
  <c r="AM120" i="4"/>
  <c r="AL120" i="4"/>
  <c r="AK120" i="4"/>
  <c r="AJ120" i="4"/>
  <c r="AI120" i="4"/>
  <c r="AH120" i="4"/>
  <c r="AG120" i="4"/>
  <c r="AF120" i="4"/>
  <c r="AE120" i="4"/>
  <c r="B120" i="4"/>
  <c r="AM119" i="4"/>
  <c r="AL119" i="4"/>
  <c r="AK119" i="4"/>
  <c r="AJ119" i="4"/>
  <c r="AI119" i="4"/>
  <c r="AH119" i="4"/>
  <c r="AG119" i="4"/>
  <c r="AF119" i="4"/>
  <c r="AE119" i="4"/>
  <c r="B119" i="4"/>
  <c r="AM118" i="4"/>
  <c r="AL118" i="4"/>
  <c r="AK118" i="4"/>
  <c r="AJ118" i="4"/>
  <c r="AI118" i="4"/>
  <c r="AH118" i="4"/>
  <c r="AG118" i="4"/>
  <c r="AF118" i="4"/>
  <c r="AE118" i="4"/>
  <c r="B118" i="4"/>
  <c r="AM117" i="4"/>
  <c r="AL117" i="4"/>
  <c r="AK117" i="4"/>
  <c r="AJ117" i="4"/>
  <c r="AI117" i="4"/>
  <c r="AH117" i="4"/>
  <c r="AG117" i="4"/>
  <c r="AF117" i="4"/>
  <c r="AE117" i="4"/>
  <c r="B117" i="4"/>
  <c r="AM116" i="4"/>
  <c r="AL116" i="4"/>
  <c r="AK116" i="4"/>
  <c r="AJ116" i="4"/>
  <c r="AI116" i="4"/>
  <c r="AH116" i="4"/>
  <c r="AG116" i="4"/>
  <c r="AF116" i="4"/>
  <c r="AE116" i="4"/>
  <c r="B116" i="4"/>
  <c r="AM108" i="4"/>
  <c r="AL108" i="4"/>
  <c r="AK108" i="4"/>
  <c r="AJ108" i="4"/>
  <c r="AI108" i="4"/>
  <c r="AH108" i="4"/>
  <c r="AG108" i="4"/>
  <c r="AF108" i="4"/>
  <c r="AE108" i="4"/>
  <c r="AD108" i="4"/>
  <c r="B108" i="4"/>
  <c r="AM107" i="4"/>
  <c r="AL107" i="4"/>
  <c r="AK107" i="4"/>
  <c r="AJ107" i="4"/>
  <c r="AI107" i="4"/>
  <c r="AH107" i="4"/>
  <c r="AG107" i="4"/>
  <c r="AF107" i="4"/>
  <c r="AE107" i="4"/>
  <c r="B107" i="4"/>
  <c r="AM106" i="4"/>
  <c r="AL106" i="4"/>
  <c r="AK106" i="4"/>
  <c r="AJ106" i="4"/>
  <c r="AI106" i="4"/>
  <c r="AH106" i="4"/>
  <c r="AG106" i="4"/>
  <c r="AF106" i="4"/>
  <c r="AE106" i="4"/>
  <c r="B106" i="4"/>
  <c r="AM105" i="4"/>
  <c r="AL105" i="4"/>
  <c r="AK105" i="4"/>
  <c r="AJ105" i="4"/>
  <c r="AI105" i="4"/>
  <c r="AH105" i="4"/>
  <c r="AG105" i="4"/>
  <c r="AF105" i="4"/>
  <c r="AE105" i="4"/>
  <c r="B105" i="4"/>
  <c r="AM104" i="4"/>
  <c r="AL104" i="4"/>
  <c r="AK104" i="4"/>
  <c r="AJ104" i="4"/>
  <c r="AI104" i="4"/>
  <c r="AH104" i="4"/>
  <c r="AG104" i="4"/>
  <c r="AF104" i="4"/>
  <c r="AE104" i="4"/>
  <c r="B104" i="4"/>
  <c r="AM103" i="4"/>
  <c r="AL103" i="4"/>
  <c r="AK103" i="4"/>
  <c r="AJ103" i="4"/>
  <c r="AI103" i="4"/>
  <c r="AH103" i="4"/>
  <c r="AG103" i="4"/>
  <c r="AF103" i="4"/>
  <c r="AE103" i="4"/>
  <c r="B103" i="4"/>
  <c r="AM102" i="4"/>
  <c r="AL102" i="4"/>
  <c r="AK102" i="4"/>
  <c r="AJ102" i="4"/>
  <c r="AI102" i="4"/>
  <c r="AH102" i="4"/>
  <c r="AG102" i="4"/>
  <c r="AF102" i="4"/>
  <c r="AE102" i="4"/>
  <c r="B102" i="4"/>
  <c r="AM101" i="4"/>
  <c r="AL101" i="4"/>
  <c r="AK101" i="4"/>
  <c r="AJ101" i="4"/>
  <c r="AI101" i="4"/>
  <c r="AH101" i="4"/>
  <c r="AG101" i="4"/>
  <c r="AF101" i="4"/>
  <c r="AE101" i="4"/>
  <c r="B101" i="4"/>
  <c r="AM100" i="4"/>
  <c r="AL100" i="4"/>
  <c r="AK100" i="4"/>
  <c r="AJ100" i="4"/>
  <c r="AI100" i="4"/>
  <c r="AH100" i="4"/>
  <c r="AG100" i="4"/>
  <c r="AF100" i="4"/>
  <c r="AE100" i="4"/>
  <c r="B100" i="4"/>
  <c r="AM99" i="4"/>
  <c r="AL99" i="4"/>
  <c r="AK99" i="4"/>
  <c r="AJ99" i="4"/>
  <c r="AI99" i="4"/>
  <c r="AH99" i="4"/>
  <c r="AG99" i="4"/>
  <c r="AF99" i="4"/>
  <c r="AE99" i="4"/>
  <c r="B99" i="4"/>
  <c r="AM94" i="4"/>
  <c r="AL94" i="4"/>
  <c r="AK94" i="4"/>
  <c r="AJ94" i="4"/>
  <c r="AI94" i="4"/>
  <c r="AH94" i="4"/>
  <c r="AG94" i="4"/>
  <c r="AF94" i="4"/>
  <c r="AE94" i="4"/>
  <c r="B94" i="4"/>
  <c r="AM90" i="4"/>
  <c r="AL90" i="4"/>
  <c r="AK90" i="4"/>
  <c r="AJ90" i="4"/>
  <c r="AI90" i="4"/>
  <c r="AH90" i="4"/>
  <c r="AG90" i="4"/>
  <c r="AF90" i="4"/>
  <c r="AE90" i="4"/>
  <c r="B90" i="4"/>
  <c r="AM89" i="4"/>
  <c r="AL89" i="4"/>
  <c r="AK89" i="4"/>
  <c r="AJ89" i="4"/>
  <c r="AI89" i="4"/>
  <c r="AH89" i="4"/>
  <c r="AG89" i="4"/>
  <c r="AF89" i="4"/>
  <c r="AE89" i="4"/>
  <c r="AM87" i="4"/>
  <c r="AL87" i="4"/>
  <c r="AK87" i="4"/>
  <c r="AJ87" i="4"/>
  <c r="AI87" i="4"/>
  <c r="AH87" i="4"/>
  <c r="AG87" i="4"/>
  <c r="AF87" i="4"/>
  <c r="AE87" i="4"/>
  <c r="AM86" i="4"/>
  <c r="AL86" i="4"/>
  <c r="AK86" i="4"/>
  <c r="AJ86" i="4"/>
  <c r="AI86" i="4"/>
  <c r="AH86" i="4"/>
  <c r="AG86" i="4"/>
  <c r="AF86" i="4"/>
  <c r="AE86" i="4"/>
  <c r="AM81" i="4"/>
  <c r="AL81" i="4"/>
  <c r="AK81" i="4"/>
  <c r="AJ81" i="4"/>
  <c r="AI81" i="4"/>
  <c r="AH81" i="4"/>
  <c r="AG81" i="4"/>
  <c r="AF81" i="4"/>
  <c r="AE81" i="4"/>
  <c r="B81" i="4"/>
  <c r="AM80" i="4"/>
  <c r="AL80" i="4"/>
  <c r="AK80" i="4"/>
  <c r="AJ80" i="4"/>
  <c r="AI80" i="4"/>
  <c r="AH80" i="4"/>
  <c r="AG80" i="4"/>
  <c r="AF80" i="4"/>
  <c r="AE80" i="4"/>
  <c r="B80" i="4"/>
  <c r="AM75" i="4"/>
  <c r="AL75" i="4"/>
  <c r="AK75" i="4"/>
  <c r="AJ75" i="4"/>
  <c r="AI75" i="4"/>
  <c r="AH75" i="4"/>
  <c r="AG75" i="4"/>
  <c r="AF75" i="4"/>
  <c r="AE75" i="4"/>
  <c r="B75" i="4"/>
  <c r="AM74" i="4"/>
  <c r="AL74" i="4"/>
  <c r="AK74" i="4"/>
  <c r="AJ74" i="4"/>
  <c r="AI74" i="4"/>
  <c r="AH74" i="4"/>
  <c r="AG74" i="4"/>
  <c r="AF74" i="4"/>
  <c r="AE74" i="4"/>
  <c r="B74" i="4"/>
  <c r="AM73" i="4"/>
  <c r="AL73" i="4"/>
  <c r="AK73" i="4"/>
  <c r="AJ73" i="4"/>
  <c r="AI73" i="4"/>
  <c r="AH73" i="4"/>
  <c r="AG73" i="4"/>
  <c r="AF73" i="4"/>
  <c r="AE73" i="4"/>
  <c r="B73" i="4"/>
  <c r="AM72" i="4"/>
  <c r="AL72" i="4"/>
  <c r="AK72" i="4"/>
  <c r="AJ72" i="4"/>
  <c r="AI72" i="4"/>
  <c r="AH72" i="4"/>
  <c r="AG72" i="4"/>
  <c r="AF72" i="4"/>
  <c r="AE72" i="4"/>
  <c r="B72" i="4"/>
  <c r="AM67" i="4"/>
  <c r="AL67" i="4"/>
  <c r="AK67" i="4"/>
  <c r="AJ67" i="4"/>
  <c r="AI67" i="4"/>
  <c r="AH67" i="4"/>
  <c r="AG67" i="4"/>
  <c r="AF67" i="4"/>
  <c r="AE67" i="4"/>
  <c r="B67" i="4"/>
  <c r="AM66" i="4"/>
  <c r="AL66" i="4"/>
  <c r="AK66" i="4"/>
  <c r="AJ66" i="4"/>
  <c r="AI66" i="4"/>
  <c r="AH66" i="4"/>
  <c r="AG66" i="4"/>
  <c r="AF66" i="4"/>
  <c r="AE66" i="4"/>
  <c r="B66" i="4"/>
  <c r="AM65" i="4"/>
  <c r="AL65" i="4"/>
  <c r="AK65" i="4"/>
  <c r="AJ65" i="4"/>
  <c r="AI65" i="4"/>
  <c r="AH65" i="4"/>
  <c r="AG65" i="4"/>
  <c r="AF65" i="4"/>
  <c r="AE65" i="4"/>
  <c r="B65" i="4"/>
  <c r="AM64" i="4"/>
  <c r="AL64" i="4"/>
  <c r="AK64" i="4"/>
  <c r="AJ64" i="4"/>
  <c r="AI64" i="4"/>
  <c r="AH64" i="4"/>
  <c r="AG64" i="4"/>
  <c r="AF64" i="4"/>
  <c r="AE64" i="4"/>
  <c r="B64" i="4"/>
  <c r="AM59" i="4"/>
  <c r="AL59" i="4"/>
  <c r="AK59" i="4"/>
  <c r="AJ59" i="4"/>
  <c r="AI59" i="4"/>
  <c r="AH59" i="4"/>
  <c r="AG59" i="4"/>
  <c r="AF59" i="4"/>
  <c r="AE59" i="4"/>
  <c r="B59" i="4"/>
  <c r="AM58" i="4"/>
  <c r="AL58" i="4"/>
  <c r="AK58" i="4"/>
  <c r="AJ58" i="4"/>
  <c r="AI58" i="4"/>
  <c r="AH58" i="4"/>
  <c r="AG58" i="4"/>
  <c r="AF58" i="4"/>
  <c r="AE58" i="4"/>
  <c r="B58" i="4"/>
  <c r="AM57" i="4"/>
  <c r="AL57" i="4"/>
  <c r="AK57" i="4"/>
  <c r="AJ57" i="4"/>
  <c r="AI57" i="4"/>
  <c r="AH57" i="4"/>
  <c r="AG57" i="4"/>
  <c r="AF57" i="4"/>
  <c r="AE57" i="4"/>
  <c r="B57" i="4"/>
  <c r="AM56" i="4"/>
  <c r="AL56" i="4"/>
  <c r="AK56" i="4"/>
  <c r="AJ56" i="4"/>
  <c r="AI56" i="4"/>
  <c r="AH56" i="4"/>
  <c r="AG56" i="4"/>
  <c r="AF56" i="4"/>
  <c r="AE56" i="4"/>
  <c r="B56" i="4"/>
  <c r="AM55" i="4"/>
  <c r="AL55" i="4"/>
  <c r="AK55" i="4"/>
  <c r="AJ55" i="4"/>
  <c r="AI55" i="4"/>
  <c r="AH55" i="4"/>
  <c r="AG55" i="4"/>
  <c r="AF55" i="4"/>
  <c r="AE55" i="4"/>
  <c r="B55" i="4"/>
  <c r="AM54" i="4"/>
  <c r="AL54" i="4"/>
  <c r="AK54" i="4"/>
  <c r="AJ54" i="4"/>
  <c r="AI54" i="4"/>
  <c r="AH54" i="4"/>
  <c r="AG54" i="4"/>
  <c r="AF54" i="4"/>
  <c r="AE54" i="4"/>
  <c r="B54" i="4"/>
  <c r="AM53" i="4"/>
  <c r="AL53" i="4"/>
  <c r="AK53" i="4"/>
  <c r="AJ53" i="4"/>
  <c r="AI53" i="4"/>
  <c r="AH53" i="4"/>
  <c r="AG53" i="4"/>
  <c r="AF53" i="4"/>
  <c r="AE53" i="4"/>
  <c r="B53" i="4"/>
  <c r="AM48" i="4"/>
  <c r="AL48" i="4"/>
  <c r="AK48" i="4"/>
  <c r="AJ48" i="4"/>
  <c r="AI48" i="4"/>
  <c r="AH48" i="4"/>
  <c r="AG48" i="4"/>
  <c r="AF48" i="4"/>
  <c r="AE48" i="4"/>
  <c r="B48" i="4"/>
  <c r="AM47" i="4"/>
  <c r="AL47" i="4"/>
  <c r="AK47" i="4"/>
  <c r="AJ47" i="4"/>
  <c r="AI47" i="4"/>
  <c r="AH47" i="4"/>
  <c r="AG47" i="4"/>
  <c r="AF47" i="4"/>
  <c r="AE47" i="4"/>
  <c r="B47" i="4"/>
  <c r="AM46" i="4"/>
  <c r="AL46" i="4"/>
  <c r="AK46" i="4"/>
  <c r="AJ46" i="4"/>
  <c r="AI46" i="4"/>
  <c r="AH46" i="4"/>
  <c r="AG46" i="4"/>
  <c r="AF46" i="4"/>
  <c r="AE46" i="4"/>
  <c r="B46" i="4"/>
  <c r="AM45" i="4"/>
  <c r="AL45" i="4"/>
  <c r="AK45" i="4"/>
  <c r="AJ45" i="4"/>
  <c r="AI45" i="4"/>
  <c r="AH45" i="4"/>
  <c r="AG45" i="4"/>
  <c r="AF45" i="4"/>
  <c r="AE45" i="4"/>
  <c r="B45" i="4"/>
  <c r="AM43" i="4"/>
  <c r="AL43" i="4"/>
  <c r="AK43" i="4"/>
  <c r="AJ43" i="4"/>
  <c r="AI43" i="4"/>
  <c r="AH43" i="4"/>
  <c r="AG43" i="4"/>
  <c r="AF43" i="4"/>
  <c r="AE43" i="4"/>
  <c r="B43" i="4"/>
  <c r="AM42" i="4"/>
  <c r="AL42" i="4"/>
  <c r="AK42" i="4"/>
  <c r="AJ42" i="4"/>
  <c r="AI42" i="4"/>
  <c r="AH42" i="4"/>
  <c r="AG42" i="4"/>
  <c r="AF42" i="4"/>
  <c r="AE42" i="4"/>
  <c r="B42" i="4"/>
  <c r="AM41" i="4"/>
  <c r="AL41" i="4"/>
  <c r="AK41" i="4"/>
  <c r="AJ41" i="4"/>
  <c r="AI41" i="4"/>
  <c r="AH41" i="4"/>
  <c r="AG41" i="4"/>
  <c r="AF41" i="4"/>
  <c r="AE41" i="4"/>
  <c r="B41" i="4"/>
  <c r="AM40" i="4"/>
  <c r="AL40" i="4"/>
  <c r="AK40" i="4"/>
  <c r="AJ40" i="4"/>
  <c r="AI40" i="4"/>
  <c r="AH40" i="4"/>
  <c r="AG40" i="4"/>
  <c r="AF40" i="4"/>
  <c r="AE40" i="4"/>
  <c r="B40" i="4"/>
  <c r="AM39" i="4"/>
  <c r="AL39" i="4"/>
  <c r="AK39" i="4"/>
  <c r="AJ39" i="4"/>
  <c r="AI39" i="4"/>
  <c r="AH39" i="4"/>
  <c r="AG39" i="4"/>
  <c r="AF39" i="4"/>
  <c r="AE39" i="4"/>
  <c r="B39" i="4"/>
  <c r="AM38" i="4"/>
  <c r="AL38" i="4"/>
  <c r="AK38" i="4"/>
  <c r="AJ38" i="4"/>
  <c r="AI38" i="4"/>
  <c r="AH38" i="4"/>
  <c r="AG38" i="4"/>
  <c r="AF38" i="4"/>
  <c r="AE38" i="4"/>
  <c r="B38" i="4"/>
  <c r="AM37" i="4"/>
  <c r="AL37" i="4"/>
  <c r="AK37" i="4"/>
  <c r="AJ37" i="4"/>
  <c r="AI37" i="4"/>
  <c r="AH37" i="4"/>
  <c r="AG37" i="4"/>
  <c r="AF37" i="4"/>
  <c r="AE37" i="4"/>
  <c r="B37" i="4"/>
  <c r="AM36" i="4"/>
  <c r="AL36" i="4"/>
  <c r="AK36" i="4"/>
  <c r="AJ36" i="4"/>
  <c r="AI36" i="4"/>
  <c r="AH36" i="4"/>
  <c r="AG36" i="4"/>
  <c r="AF36" i="4"/>
  <c r="AE36" i="4"/>
  <c r="B36" i="4"/>
  <c r="AM35" i="4"/>
  <c r="AL35" i="4"/>
  <c r="AK35" i="4"/>
  <c r="AJ35" i="4"/>
  <c r="AI35" i="4"/>
  <c r="AH35" i="4"/>
  <c r="AG35" i="4"/>
  <c r="AF35" i="4"/>
  <c r="AE35" i="4"/>
  <c r="AM34" i="4"/>
  <c r="AL34" i="4"/>
  <c r="AK34" i="4"/>
  <c r="AJ34" i="4"/>
  <c r="AI34" i="4"/>
  <c r="AH34" i="4"/>
  <c r="AG34" i="4"/>
  <c r="AF34" i="4"/>
  <c r="AE34" i="4"/>
  <c r="B34" i="4"/>
  <c r="AM33" i="4"/>
  <c r="AL33" i="4"/>
  <c r="AK33" i="4"/>
  <c r="AJ33" i="4"/>
  <c r="AI33" i="4"/>
  <c r="AH33" i="4"/>
  <c r="AG33" i="4"/>
  <c r="AF33" i="4"/>
  <c r="AE33" i="4"/>
  <c r="B33" i="4"/>
  <c r="AM32" i="4"/>
  <c r="AL32" i="4"/>
  <c r="AK32" i="4"/>
  <c r="AJ32" i="4"/>
  <c r="AI32" i="4"/>
  <c r="AH32" i="4"/>
  <c r="AG32" i="4"/>
  <c r="AF32" i="4"/>
  <c r="AE32" i="4"/>
  <c r="B32" i="4"/>
  <c r="AM31" i="4"/>
  <c r="AL31" i="4"/>
  <c r="AK31" i="4"/>
  <c r="AJ31" i="4"/>
  <c r="AI31" i="4"/>
  <c r="AH31" i="4"/>
  <c r="AG31" i="4"/>
  <c r="AF31" i="4"/>
  <c r="AE31" i="4"/>
  <c r="B31" i="4"/>
  <c r="AM30" i="4"/>
  <c r="AL30" i="4"/>
  <c r="AK30" i="4"/>
  <c r="AJ30" i="4"/>
  <c r="AI30" i="4"/>
  <c r="AH30" i="4"/>
  <c r="AG30" i="4"/>
  <c r="AF30" i="4"/>
  <c r="AE30" i="4"/>
  <c r="B30" i="4"/>
  <c r="AM29" i="4"/>
  <c r="AL29" i="4"/>
  <c r="AK29" i="4"/>
  <c r="AJ29" i="4"/>
  <c r="AI29" i="4"/>
  <c r="AH29" i="4"/>
  <c r="AG29" i="4"/>
  <c r="AF29" i="4"/>
  <c r="AE29" i="4"/>
  <c r="B29" i="4"/>
  <c r="AM28" i="4"/>
  <c r="AL28" i="4"/>
  <c r="AK28" i="4"/>
  <c r="AJ28" i="4"/>
  <c r="AI28" i="4"/>
  <c r="AH28" i="4"/>
  <c r="AG28" i="4"/>
  <c r="AF28" i="4"/>
  <c r="AE28" i="4"/>
  <c r="B28" i="4"/>
  <c r="AM27" i="4"/>
  <c r="AL27" i="4"/>
  <c r="AK27" i="4"/>
  <c r="AJ27" i="4"/>
  <c r="AI27" i="4"/>
  <c r="AH27" i="4"/>
  <c r="AG27" i="4"/>
  <c r="AF27" i="4"/>
  <c r="AE27" i="4"/>
  <c r="B27" i="4"/>
  <c r="AM26" i="4"/>
  <c r="AL26" i="4"/>
  <c r="AK26" i="4"/>
  <c r="AJ26" i="4"/>
  <c r="AI26" i="4"/>
  <c r="AH26" i="4"/>
  <c r="AG26" i="4"/>
  <c r="AF26" i="4"/>
  <c r="AE26" i="4"/>
  <c r="B26" i="4"/>
  <c r="AM25" i="4"/>
  <c r="AL25" i="4"/>
  <c r="AK25" i="4"/>
  <c r="AJ25" i="4"/>
  <c r="AI25" i="4"/>
  <c r="AH25" i="4"/>
  <c r="AG25" i="4"/>
  <c r="AF25" i="4"/>
  <c r="AE25" i="4"/>
  <c r="B25" i="4"/>
  <c r="AM24" i="4"/>
  <c r="AL24" i="4"/>
  <c r="AK24" i="4"/>
  <c r="AJ24" i="4"/>
  <c r="AI24" i="4"/>
  <c r="AH24" i="4"/>
  <c r="AG24" i="4"/>
  <c r="AF24" i="4"/>
  <c r="AE24" i="4"/>
  <c r="B24" i="4"/>
  <c r="AM23" i="4"/>
  <c r="AL23" i="4"/>
  <c r="AK23" i="4"/>
  <c r="AJ23" i="4"/>
  <c r="AI23" i="4"/>
  <c r="AH23" i="4"/>
  <c r="AG23" i="4"/>
  <c r="AF23" i="4"/>
  <c r="AE23" i="4"/>
  <c r="B23" i="4"/>
  <c r="AM22" i="4"/>
  <c r="AL22" i="4"/>
  <c r="AK22" i="4"/>
  <c r="AJ22" i="4"/>
  <c r="AI22" i="4"/>
  <c r="AH22" i="4"/>
  <c r="AG22" i="4"/>
  <c r="AF22" i="4"/>
  <c r="AE22" i="4"/>
  <c r="B22" i="4"/>
  <c r="AM21" i="4"/>
  <c r="AL21" i="4"/>
  <c r="AK21" i="4"/>
  <c r="AJ21" i="4"/>
  <c r="AI21" i="4"/>
  <c r="AH21" i="4"/>
  <c r="AG21" i="4"/>
  <c r="AF21" i="4"/>
  <c r="AE21" i="4"/>
  <c r="B21" i="4"/>
  <c r="AM20" i="4"/>
  <c r="AL20" i="4"/>
  <c r="AK20" i="4"/>
  <c r="AJ20" i="4"/>
  <c r="AI20" i="4"/>
  <c r="AH20" i="4"/>
  <c r="AG20" i="4"/>
  <c r="AF20" i="4"/>
  <c r="AE20" i="4"/>
  <c r="B20" i="4"/>
  <c r="AM19" i="4"/>
  <c r="AL19" i="4"/>
  <c r="AK19" i="4"/>
  <c r="AJ19" i="4"/>
  <c r="AI19" i="4"/>
  <c r="AH19" i="4"/>
  <c r="AG19" i="4"/>
  <c r="AF19" i="4"/>
  <c r="AE19" i="4"/>
  <c r="B19" i="4"/>
  <c r="AM18" i="4"/>
  <c r="AL18" i="4"/>
  <c r="AK18" i="4"/>
  <c r="AJ18" i="4"/>
  <c r="AI18" i="4"/>
  <c r="AH18" i="4"/>
  <c r="AG18" i="4"/>
  <c r="AF18" i="4"/>
  <c r="AE18" i="4"/>
  <c r="B18" i="4"/>
  <c r="AM17" i="4"/>
  <c r="AL17" i="4"/>
  <c r="AK17" i="4"/>
  <c r="AJ17" i="4"/>
  <c r="AI17" i="4"/>
  <c r="AH17" i="4"/>
  <c r="AG17" i="4"/>
  <c r="AF17" i="4"/>
  <c r="AE17" i="4"/>
  <c r="AD17" i="4"/>
  <c r="B17" i="4"/>
  <c r="AM16" i="4"/>
  <c r="AL16" i="4"/>
  <c r="AK16" i="4"/>
  <c r="AJ16" i="4"/>
  <c r="AI16" i="4"/>
  <c r="AH16" i="4"/>
  <c r="AG16" i="4"/>
  <c r="AF16" i="4"/>
  <c r="AE16" i="4"/>
  <c r="B16" i="4"/>
  <c r="AM15" i="4"/>
  <c r="AL15" i="4"/>
  <c r="AK15" i="4"/>
  <c r="AJ15" i="4"/>
  <c r="AI15" i="4"/>
  <c r="AH15" i="4"/>
  <c r="AG15" i="4"/>
  <c r="AF15" i="4"/>
  <c r="AE15" i="4"/>
  <c r="B15" i="4"/>
  <c r="AM14" i="4"/>
  <c r="AL14" i="4"/>
  <c r="AK14" i="4"/>
  <c r="AJ14" i="4"/>
  <c r="AI14" i="4"/>
  <c r="AH14" i="4"/>
  <c r="AG14" i="4"/>
  <c r="AF14" i="4"/>
  <c r="AE14" i="4"/>
  <c r="B14" i="4"/>
  <c r="AM13" i="4"/>
  <c r="AL13" i="4"/>
  <c r="AK13" i="4"/>
  <c r="AJ13" i="4"/>
  <c r="AI13" i="4"/>
  <c r="AH13" i="4"/>
  <c r="AG13" i="4"/>
  <c r="AF13" i="4"/>
  <c r="AE13" i="4"/>
  <c r="B13" i="4"/>
  <c r="AM12" i="4"/>
  <c r="AL12" i="4"/>
  <c r="AK12" i="4"/>
  <c r="AJ12" i="4"/>
  <c r="AI12" i="4"/>
  <c r="AH12" i="4"/>
  <c r="AG12" i="4"/>
  <c r="AF12" i="4"/>
  <c r="AE12" i="4"/>
  <c r="B12" i="4"/>
  <c r="AM11" i="4"/>
  <c r="AL11" i="4"/>
  <c r="AK11" i="4"/>
  <c r="AJ11" i="4"/>
  <c r="AI11" i="4"/>
  <c r="AH11" i="4"/>
  <c r="AG11" i="4"/>
  <c r="AF11" i="4"/>
  <c r="AE11" i="4"/>
  <c r="B11" i="4"/>
  <c r="AM10" i="4"/>
  <c r="AL10" i="4"/>
  <c r="AK10" i="4"/>
  <c r="AJ10" i="4"/>
  <c r="AI10" i="4"/>
  <c r="AH10" i="4"/>
  <c r="AG10" i="4"/>
  <c r="AF10" i="4"/>
  <c r="AE10" i="4"/>
  <c r="B10" i="4"/>
  <c r="AM7" i="4"/>
  <c r="AL7" i="4"/>
  <c r="AK7" i="4"/>
  <c r="AJ7" i="4"/>
  <c r="AI7" i="4"/>
  <c r="AH7" i="4"/>
  <c r="AG7" i="4"/>
  <c r="AF7" i="4"/>
  <c r="AE7" i="4"/>
  <c r="B7" i="4"/>
  <c r="AM6" i="4"/>
  <c r="AL6" i="4"/>
  <c r="AK6" i="4"/>
  <c r="AJ6" i="4"/>
  <c r="AI6" i="4"/>
  <c r="AH6" i="4"/>
  <c r="AG6" i="4"/>
  <c r="AF6" i="4"/>
  <c r="AE6" i="4"/>
  <c r="AD6" i="4"/>
  <c r="B6" i="4"/>
  <c r="E3" i="4"/>
  <c r="C186" i="3"/>
  <c r="C178" i="3"/>
  <c r="C177" i="3"/>
  <c r="AG177" i="3" s="1"/>
  <c r="C166" i="3"/>
  <c r="AJ166" i="3" s="1"/>
  <c r="AJ167" i="3" s="1"/>
  <c r="C160" i="3"/>
  <c r="AG160" i="3" s="1"/>
  <c r="AG161" i="3" s="1"/>
  <c r="C156" i="3"/>
  <c r="AE156" i="3" s="1"/>
  <c r="AE157" i="3" s="1"/>
  <c r="C152" i="3"/>
  <c r="AJ152" i="3" s="1"/>
  <c r="AJ153" i="3" s="1"/>
  <c r="C147" i="3"/>
  <c r="C143" i="3"/>
  <c r="AK143" i="3" s="1"/>
  <c r="C142" i="3"/>
  <c r="AJ142" i="3" s="1"/>
  <c r="C138" i="3"/>
  <c r="AJ138" i="3" s="1"/>
  <c r="C137" i="3"/>
  <c r="AG137" i="3" s="1"/>
  <c r="C135" i="3"/>
  <c r="C134" i="3"/>
  <c r="C130" i="3"/>
  <c r="C129" i="3"/>
  <c r="C126" i="3"/>
  <c r="C125" i="3"/>
  <c r="C124" i="3"/>
  <c r="C123" i="3"/>
  <c r="C122" i="3"/>
  <c r="AI122" i="3" s="1"/>
  <c r="C120" i="3"/>
  <c r="C119" i="3"/>
  <c r="C118" i="3"/>
  <c r="C117" i="3"/>
  <c r="C116" i="3"/>
  <c r="C115" i="3"/>
  <c r="AE115" i="3" s="1"/>
  <c r="C114" i="3"/>
  <c r="C113" i="3"/>
  <c r="C112" i="3"/>
  <c r="AH112" i="3" s="1"/>
  <c r="C110" i="3"/>
  <c r="C109" i="3"/>
  <c r="C108" i="3"/>
  <c r="C107" i="3"/>
  <c r="C106" i="3"/>
  <c r="AF106" i="3" s="1"/>
  <c r="C105" i="3"/>
  <c r="C104" i="3"/>
  <c r="C102" i="3"/>
  <c r="C97" i="3"/>
  <c r="C96" i="3"/>
  <c r="C95" i="3"/>
  <c r="C94" i="3"/>
  <c r="C93" i="3"/>
  <c r="C91" i="3"/>
  <c r="C90" i="3"/>
  <c r="AJ90" i="3" s="1"/>
  <c r="C89" i="3"/>
  <c r="C88" i="3"/>
  <c r="C87" i="3"/>
  <c r="AH87" i="3" s="1"/>
  <c r="C86" i="3"/>
  <c r="AL86" i="3" s="1"/>
  <c r="C85" i="3"/>
  <c r="C81" i="3"/>
  <c r="C80" i="3"/>
  <c r="C76" i="3"/>
  <c r="AI76" i="3" s="1"/>
  <c r="C75" i="3"/>
  <c r="AD75" i="3" s="1"/>
  <c r="C74" i="3"/>
  <c r="AL74" i="3" s="1"/>
  <c r="C73" i="3"/>
  <c r="AE73" i="3" s="1"/>
  <c r="C72" i="3"/>
  <c r="C71" i="3"/>
  <c r="AL71" i="3" s="1"/>
  <c r="C70" i="3"/>
  <c r="C69" i="3"/>
  <c r="AG69" i="3" s="1"/>
  <c r="C68" i="3"/>
  <c r="C67" i="3"/>
  <c r="AK67" i="3" s="1"/>
  <c r="C66" i="3"/>
  <c r="C65" i="3"/>
  <c r="C64" i="3"/>
  <c r="C63" i="3"/>
  <c r="AF63" i="3" s="1"/>
  <c r="C62" i="3"/>
  <c r="C61" i="3"/>
  <c r="AJ61" i="3" s="1"/>
  <c r="C60" i="3"/>
  <c r="C59" i="3"/>
  <c r="AM53" i="3"/>
  <c r="AL53" i="3"/>
  <c r="AK53" i="3"/>
  <c r="AJ53" i="3"/>
  <c r="AI53" i="3"/>
  <c r="AH53" i="3"/>
  <c r="AG53" i="3"/>
  <c r="AF53" i="3"/>
  <c r="AE53" i="3"/>
  <c r="C53" i="3"/>
  <c r="AM50" i="3"/>
  <c r="AL50" i="3"/>
  <c r="AK50" i="3"/>
  <c r="AJ50" i="3"/>
  <c r="AI50" i="3"/>
  <c r="AH50" i="3"/>
  <c r="AG50" i="3"/>
  <c r="AF50" i="3"/>
  <c r="AE50" i="3"/>
  <c r="B50" i="3"/>
  <c r="AM49" i="3"/>
  <c r="AL49" i="3"/>
  <c r="AK49" i="3"/>
  <c r="AJ49" i="3"/>
  <c r="AI49" i="3"/>
  <c r="AH49" i="3"/>
  <c r="AG49" i="3"/>
  <c r="AF49" i="3"/>
  <c r="AE49" i="3"/>
  <c r="B49" i="3"/>
  <c r="AM40" i="3"/>
  <c r="AL40" i="3"/>
  <c r="AK40" i="3"/>
  <c r="AJ40" i="3"/>
  <c r="AI40" i="3"/>
  <c r="AH40" i="3"/>
  <c r="AG40" i="3"/>
  <c r="AF40" i="3"/>
  <c r="AE40" i="3"/>
  <c r="B40" i="3"/>
  <c r="AM39" i="3"/>
  <c r="AL39" i="3"/>
  <c r="AK39" i="3"/>
  <c r="AJ39" i="3"/>
  <c r="AI39" i="3"/>
  <c r="AH39" i="3"/>
  <c r="AG39" i="3"/>
  <c r="AF39" i="3"/>
  <c r="AE39" i="3"/>
  <c r="B39" i="3"/>
  <c r="AM38" i="3"/>
  <c r="AL38" i="3"/>
  <c r="AK38" i="3"/>
  <c r="AJ38" i="3"/>
  <c r="AI38" i="3"/>
  <c r="AH38" i="3"/>
  <c r="AG38" i="3"/>
  <c r="AF38" i="3"/>
  <c r="AE38" i="3"/>
  <c r="B38" i="3"/>
  <c r="AM37" i="3"/>
  <c r="AL37" i="3"/>
  <c r="AK37" i="3"/>
  <c r="AJ37" i="3"/>
  <c r="AI37" i="3"/>
  <c r="AH37" i="3"/>
  <c r="AG37" i="3"/>
  <c r="AF37" i="3"/>
  <c r="AE37" i="3"/>
  <c r="B37" i="3"/>
  <c r="AM36" i="3"/>
  <c r="AL36" i="3"/>
  <c r="AK36" i="3"/>
  <c r="AJ36" i="3"/>
  <c r="AI36" i="3"/>
  <c r="AH36" i="3"/>
  <c r="AG36" i="3"/>
  <c r="AF36" i="3"/>
  <c r="AE36" i="3"/>
  <c r="B36" i="3"/>
  <c r="AM35" i="3"/>
  <c r="AL35" i="3"/>
  <c r="AK35" i="3"/>
  <c r="AJ35" i="3"/>
  <c r="AI35" i="3"/>
  <c r="AH35" i="3"/>
  <c r="AG35" i="3"/>
  <c r="AF35" i="3"/>
  <c r="AE35" i="3"/>
  <c r="B35" i="3"/>
  <c r="AM34" i="3"/>
  <c r="AL34" i="3"/>
  <c r="AK34" i="3"/>
  <c r="AJ34" i="3"/>
  <c r="AI34" i="3"/>
  <c r="AH34" i="3"/>
  <c r="AG34" i="3"/>
  <c r="AF34" i="3"/>
  <c r="AE34" i="3"/>
  <c r="B34" i="3"/>
  <c r="AM33" i="3"/>
  <c r="AL33" i="3"/>
  <c r="AK33" i="3"/>
  <c r="AJ33" i="3"/>
  <c r="AI33" i="3"/>
  <c r="AH33" i="3"/>
  <c r="AG33" i="3"/>
  <c r="AF33" i="3"/>
  <c r="AE33" i="3"/>
  <c r="B33" i="3"/>
  <c r="AM32" i="3"/>
  <c r="AL32" i="3"/>
  <c r="AK32" i="3"/>
  <c r="AJ32" i="3"/>
  <c r="AI32" i="3"/>
  <c r="AH32" i="3"/>
  <c r="AG32" i="3"/>
  <c r="AF32" i="3"/>
  <c r="AE32" i="3"/>
  <c r="B32" i="3"/>
  <c r="AM31" i="3"/>
  <c r="AL31" i="3"/>
  <c r="AK31" i="3"/>
  <c r="AJ31" i="3"/>
  <c r="AI31" i="3"/>
  <c r="AH31" i="3"/>
  <c r="AG31" i="3"/>
  <c r="AF31" i="3"/>
  <c r="AE31" i="3"/>
  <c r="B31" i="3"/>
  <c r="AM30" i="3"/>
  <c r="AL30" i="3"/>
  <c r="AK30" i="3"/>
  <c r="AJ30" i="3"/>
  <c r="AI30" i="3"/>
  <c r="AH30" i="3"/>
  <c r="AG30" i="3"/>
  <c r="AF30" i="3"/>
  <c r="AE30" i="3"/>
  <c r="B30" i="3"/>
  <c r="AM29" i="3"/>
  <c r="AL29" i="3"/>
  <c r="AK29" i="3"/>
  <c r="AJ29" i="3"/>
  <c r="AI29" i="3"/>
  <c r="AH29" i="3"/>
  <c r="AG29" i="3"/>
  <c r="AF29" i="3"/>
  <c r="AE29" i="3"/>
  <c r="B29" i="3"/>
  <c r="AM28" i="3"/>
  <c r="AL28" i="3"/>
  <c r="AK28" i="3"/>
  <c r="AJ28" i="3"/>
  <c r="AI28" i="3"/>
  <c r="AH28" i="3"/>
  <c r="AG28" i="3"/>
  <c r="AF28" i="3"/>
  <c r="AE28" i="3"/>
  <c r="B28" i="3"/>
  <c r="AM27" i="3"/>
  <c r="AL27" i="3"/>
  <c r="AK27" i="3"/>
  <c r="AJ27" i="3"/>
  <c r="AI27" i="3"/>
  <c r="AH27" i="3"/>
  <c r="AG27" i="3"/>
  <c r="AF27" i="3"/>
  <c r="AE27" i="3"/>
  <c r="B27" i="3"/>
  <c r="AM26" i="3"/>
  <c r="AL26" i="3"/>
  <c r="AK26" i="3"/>
  <c r="AJ26" i="3"/>
  <c r="AI26" i="3"/>
  <c r="AH26" i="3"/>
  <c r="AG26" i="3"/>
  <c r="AF26" i="3"/>
  <c r="AE26" i="3"/>
  <c r="B26" i="3"/>
  <c r="C24" i="3"/>
  <c r="AH24" i="3" s="1"/>
  <c r="C23" i="3"/>
  <c r="AH23" i="3" s="1"/>
  <c r="C22" i="3"/>
  <c r="AM17" i="3"/>
  <c r="AL17" i="3"/>
  <c r="AK17" i="3"/>
  <c r="AJ17" i="3"/>
  <c r="AI17" i="3"/>
  <c r="AH17" i="3"/>
  <c r="AG17" i="3"/>
  <c r="AF17" i="3"/>
  <c r="AE17" i="3"/>
  <c r="B17" i="3"/>
  <c r="AM15" i="3"/>
  <c r="AL15" i="3"/>
  <c r="AK15" i="3"/>
  <c r="AJ15" i="3"/>
  <c r="AI15" i="3"/>
  <c r="AH15" i="3"/>
  <c r="AG15" i="3"/>
  <c r="AF15" i="3"/>
  <c r="AE15" i="3"/>
  <c r="B15" i="3"/>
  <c r="AM14" i="3"/>
  <c r="AL14" i="3"/>
  <c r="AK14" i="3"/>
  <c r="AJ14" i="3"/>
  <c r="AI14" i="3"/>
  <c r="AH14" i="3"/>
  <c r="AG14" i="3"/>
  <c r="AF14" i="3"/>
  <c r="AE14" i="3"/>
  <c r="B14" i="3"/>
  <c r="AM13" i="3"/>
  <c r="AL13" i="3"/>
  <c r="AK13" i="3"/>
  <c r="AJ13" i="3"/>
  <c r="AI13" i="3"/>
  <c r="AH13" i="3"/>
  <c r="AG13" i="3"/>
  <c r="AF13" i="3"/>
  <c r="AE13" i="3"/>
  <c r="B13" i="3"/>
  <c r="AM11" i="3"/>
  <c r="AL11" i="3"/>
  <c r="AK11" i="3"/>
  <c r="AJ11" i="3"/>
  <c r="AI11" i="3"/>
  <c r="AH11" i="3"/>
  <c r="AG11" i="3"/>
  <c r="AF11" i="3"/>
  <c r="AE11" i="3"/>
  <c r="B11" i="3"/>
  <c r="AM10" i="3"/>
  <c r="AL10" i="3"/>
  <c r="AK10" i="3"/>
  <c r="AJ10" i="3"/>
  <c r="AI10" i="3"/>
  <c r="AH10" i="3"/>
  <c r="AG10" i="3"/>
  <c r="AF10" i="3"/>
  <c r="AE10" i="3"/>
  <c r="B10" i="3"/>
  <c r="AM9" i="3"/>
  <c r="AL9" i="3"/>
  <c r="AK9" i="3"/>
  <c r="AJ9" i="3"/>
  <c r="AI9" i="3"/>
  <c r="AH9" i="3"/>
  <c r="AG9" i="3"/>
  <c r="AF9" i="3"/>
  <c r="AE9" i="3"/>
  <c r="B9" i="3"/>
  <c r="AM8" i="3"/>
  <c r="AL8" i="3"/>
  <c r="AK8" i="3"/>
  <c r="AJ8" i="3"/>
  <c r="AI8" i="3"/>
  <c r="AH8" i="3"/>
  <c r="AG8" i="3"/>
  <c r="AF8" i="3"/>
  <c r="AE8" i="3"/>
  <c r="B8" i="3"/>
  <c r="AM7" i="3"/>
  <c r="AL7" i="3"/>
  <c r="AK7" i="3"/>
  <c r="AJ7" i="3"/>
  <c r="AI7" i="3"/>
  <c r="AH7" i="3"/>
  <c r="AG7" i="3"/>
  <c r="AF7" i="3"/>
  <c r="AE7" i="3"/>
  <c r="B7" i="3"/>
  <c r="AM6" i="3"/>
  <c r="AL6" i="3"/>
  <c r="AK6" i="3"/>
  <c r="AJ6" i="3"/>
  <c r="AI6" i="3"/>
  <c r="AH6" i="3"/>
  <c r="AG6" i="3"/>
  <c r="AF6" i="3"/>
  <c r="AE6" i="3"/>
  <c r="B6" i="3"/>
  <c r="E3" i="3"/>
  <c r="U96" i="2"/>
  <c r="T96" i="2"/>
  <c r="S96" i="2"/>
  <c r="R96" i="2"/>
  <c r="Q96" i="2"/>
  <c r="P96" i="2"/>
  <c r="O96" i="2"/>
  <c r="U93" i="2"/>
  <c r="T93" i="2"/>
  <c r="S93" i="2"/>
  <c r="R93" i="2"/>
  <c r="Q93" i="2"/>
  <c r="P93" i="2"/>
  <c r="O93" i="2"/>
  <c r="D3" i="2"/>
  <c r="H113" i="1"/>
  <c r="G86" i="1"/>
  <c r="F86" i="1"/>
  <c r="E86" i="1"/>
  <c r="D86" i="1"/>
  <c r="H84" i="1"/>
  <c r="E84" i="1"/>
  <c r="D84" i="1"/>
  <c r="C8" i="1"/>
  <c r="D6" i="1"/>
  <c r="G5" i="1"/>
  <c r="G84" i="1" s="1"/>
  <c r="F5" i="1"/>
  <c r="F84" i="1" s="1"/>
  <c r="F6" i="1" l="1"/>
  <c r="D85" i="1"/>
  <c r="AD18" i="8"/>
  <c r="AF18" i="8"/>
  <c r="AE18" i="8"/>
  <c r="AD30" i="8"/>
  <c r="AF30" i="8"/>
  <c r="AE30" i="8"/>
  <c r="AD42" i="8"/>
  <c r="AF42" i="8"/>
  <c r="AE42" i="8"/>
  <c r="AD54" i="8"/>
  <c r="AF54" i="8"/>
  <c r="AE54" i="8"/>
  <c r="AD66" i="8"/>
  <c r="AF66" i="8"/>
  <c r="AE66" i="8"/>
  <c r="AD78" i="8"/>
  <c r="AF78" i="8"/>
  <c r="AE78" i="8"/>
  <c r="AD90" i="8"/>
  <c r="AF90" i="8"/>
  <c r="AE90" i="8"/>
  <c r="AD102" i="8"/>
  <c r="AF102" i="8"/>
  <c r="AE102" i="8"/>
  <c r="AD114" i="8"/>
  <c r="AF114" i="8"/>
  <c r="AE114" i="8"/>
  <c r="AD126" i="8"/>
  <c r="AF126" i="8"/>
  <c r="AE126" i="8"/>
  <c r="AD138" i="8"/>
  <c r="AF138" i="8"/>
  <c r="AE138" i="8"/>
  <c r="AD150" i="8"/>
  <c r="AF150" i="8"/>
  <c r="AE150" i="8"/>
  <c r="AD162" i="8"/>
  <c r="AF162" i="8"/>
  <c r="AE162" i="8"/>
  <c r="AD174" i="8"/>
  <c r="AF174" i="8"/>
  <c r="AE174" i="8"/>
  <c r="AD186" i="8"/>
  <c r="AF186" i="8"/>
  <c r="AE186" i="8"/>
  <c r="AD198" i="8"/>
  <c r="AF198" i="8"/>
  <c r="AE198" i="8"/>
  <c r="AD210" i="8"/>
  <c r="AF210" i="8"/>
  <c r="AE210" i="8"/>
  <c r="AD222" i="8"/>
  <c r="AF222" i="8"/>
  <c r="AE222" i="8"/>
  <c r="AD234" i="8"/>
  <c r="AF234" i="8"/>
  <c r="AE234" i="8"/>
  <c r="AD246" i="8"/>
  <c r="AF246" i="8"/>
  <c r="AE246" i="8"/>
  <c r="AD258" i="8"/>
  <c r="AF258" i="8"/>
  <c r="AE258" i="8"/>
  <c r="AD270" i="8"/>
  <c r="AF270" i="8"/>
  <c r="AE270" i="8"/>
  <c r="AD282" i="8"/>
  <c r="AF282" i="8"/>
  <c r="AE282" i="8"/>
  <c r="AD294" i="8"/>
  <c r="AF294" i="8"/>
  <c r="AE294" i="8"/>
  <c r="AF8" i="12"/>
  <c r="AD8" i="12"/>
  <c r="AE8" i="12"/>
  <c r="AF20" i="12"/>
  <c r="AE20" i="12"/>
  <c r="AD20" i="12"/>
  <c r="AF32" i="12"/>
  <c r="AE32" i="12"/>
  <c r="AD32" i="12"/>
  <c r="AF44" i="12"/>
  <c r="AE44" i="12"/>
  <c r="AD44" i="12"/>
  <c r="AF56" i="12"/>
  <c r="AE56" i="12"/>
  <c r="AD56" i="12"/>
  <c r="AF68" i="12"/>
  <c r="AE68" i="12"/>
  <c r="AD68" i="12"/>
  <c r="AF80" i="12"/>
  <c r="AE80" i="12"/>
  <c r="AD80" i="12"/>
  <c r="AF92" i="12"/>
  <c r="AE92" i="12"/>
  <c r="AD92" i="12"/>
  <c r="AF104" i="12"/>
  <c r="AE104" i="12"/>
  <c r="AD104" i="12"/>
  <c r="AF116" i="12"/>
  <c r="AE116" i="12"/>
  <c r="AD116" i="12"/>
  <c r="AF128" i="12"/>
  <c r="AE128" i="12"/>
  <c r="AD128" i="12"/>
  <c r="AF140" i="12"/>
  <c r="AE140" i="12"/>
  <c r="AD140" i="12"/>
  <c r="AF152" i="12"/>
  <c r="AE152" i="12"/>
  <c r="AD152" i="12"/>
  <c r="AF164" i="12"/>
  <c r="AE164" i="12"/>
  <c r="AD164" i="12"/>
  <c r="AF176" i="12"/>
  <c r="AE176" i="12"/>
  <c r="AD176" i="12"/>
  <c r="AF188" i="12"/>
  <c r="AE188" i="12"/>
  <c r="AD188" i="12"/>
  <c r="AF200" i="12"/>
  <c r="AE200" i="12"/>
  <c r="AD200" i="12"/>
  <c r="AF212" i="12"/>
  <c r="AE212" i="12"/>
  <c r="AD212" i="12"/>
  <c r="AF224" i="12"/>
  <c r="AE224" i="12"/>
  <c r="AD224" i="12"/>
  <c r="AF236" i="12"/>
  <c r="AE236" i="12"/>
  <c r="AD236" i="12"/>
  <c r="AF248" i="12"/>
  <c r="AE248" i="12"/>
  <c r="AD248" i="12"/>
  <c r="AF260" i="12"/>
  <c r="AE260" i="12"/>
  <c r="AD260" i="12"/>
  <c r="AF272" i="12"/>
  <c r="AE272" i="12"/>
  <c r="AD272" i="12"/>
  <c r="AF284" i="12"/>
  <c r="AE284" i="12"/>
  <c r="AD284" i="12"/>
  <c r="AD19" i="8"/>
  <c r="AF19" i="8"/>
  <c r="AE19" i="8"/>
  <c r="AD31" i="8"/>
  <c r="AF31" i="8"/>
  <c r="AE31" i="8"/>
  <c r="AD43" i="8"/>
  <c r="AF43" i="8"/>
  <c r="AE43" i="8"/>
  <c r="AD55" i="8"/>
  <c r="AF55" i="8"/>
  <c r="AE55" i="8"/>
  <c r="AD67" i="8"/>
  <c r="AF67" i="8"/>
  <c r="AE67" i="8"/>
  <c r="AD79" i="8"/>
  <c r="AF79" i="8"/>
  <c r="AE79" i="8"/>
  <c r="AD91" i="8"/>
  <c r="AF91" i="8"/>
  <c r="AE91" i="8"/>
  <c r="AD103" i="8"/>
  <c r="AF103" i="8"/>
  <c r="AE103" i="8"/>
  <c r="AD115" i="8"/>
  <c r="AF115" i="8"/>
  <c r="AE115" i="8"/>
  <c r="AD127" i="8"/>
  <c r="AF127" i="8"/>
  <c r="AE127" i="8"/>
  <c r="AD139" i="8"/>
  <c r="AF139" i="8"/>
  <c r="AE139" i="8"/>
  <c r="AD151" i="8"/>
  <c r="AF151" i="8"/>
  <c r="AE151" i="8"/>
  <c r="AD163" i="8"/>
  <c r="AF163" i="8"/>
  <c r="AE163" i="8"/>
  <c r="AD175" i="8"/>
  <c r="AF175" i="8"/>
  <c r="AE175" i="8"/>
  <c r="AD187" i="8"/>
  <c r="AF187" i="8"/>
  <c r="AE187" i="8"/>
  <c r="AD199" i="8"/>
  <c r="AF199" i="8"/>
  <c r="AE199" i="8"/>
  <c r="AD211" i="8"/>
  <c r="AF211" i="8"/>
  <c r="AE211" i="8"/>
  <c r="AD223" i="8"/>
  <c r="AF223" i="8"/>
  <c r="AE223" i="8"/>
  <c r="AD235" i="8"/>
  <c r="AF235" i="8"/>
  <c r="AE235" i="8"/>
  <c r="AD247" i="8"/>
  <c r="AF247" i="8"/>
  <c r="AE247" i="8"/>
  <c r="AD259" i="8"/>
  <c r="AF259" i="8"/>
  <c r="AE259" i="8"/>
  <c r="AD271" i="8"/>
  <c r="AF271" i="8"/>
  <c r="AE271" i="8"/>
  <c r="AD283" i="8"/>
  <c r="AF283" i="8"/>
  <c r="AE283" i="8"/>
  <c r="AD295" i="8"/>
  <c r="AF295" i="8"/>
  <c r="AE295" i="8"/>
  <c r="AF9" i="12"/>
  <c r="AE9" i="12"/>
  <c r="AD9" i="12"/>
  <c r="AF21" i="12"/>
  <c r="AE21" i="12"/>
  <c r="AD21" i="12"/>
  <c r="AF33" i="12"/>
  <c r="AE33" i="12"/>
  <c r="AD33" i="12"/>
  <c r="AF45" i="12"/>
  <c r="AE45" i="12"/>
  <c r="AD45" i="12"/>
  <c r="AF57" i="12"/>
  <c r="AE57" i="12"/>
  <c r="AD57" i="12"/>
  <c r="AF69" i="12"/>
  <c r="AE69" i="12"/>
  <c r="AD69" i="12"/>
  <c r="AF81" i="12"/>
  <c r="AE81" i="12"/>
  <c r="AD81" i="12"/>
  <c r="AF93" i="12"/>
  <c r="AE93" i="12"/>
  <c r="AD93" i="12"/>
  <c r="AF105" i="12"/>
  <c r="AE105" i="12"/>
  <c r="AD105" i="12"/>
  <c r="AF117" i="12"/>
  <c r="AE117" i="12"/>
  <c r="AD117" i="12"/>
  <c r="AF129" i="12"/>
  <c r="AE129" i="12"/>
  <c r="AD129" i="12"/>
  <c r="AF141" i="12"/>
  <c r="AE141" i="12"/>
  <c r="AD141" i="12"/>
  <c r="AF153" i="12"/>
  <c r="AE153" i="12"/>
  <c r="AD153" i="12"/>
  <c r="AF165" i="12"/>
  <c r="AE165" i="12"/>
  <c r="AD165" i="12"/>
  <c r="AF177" i="12"/>
  <c r="AE177" i="12"/>
  <c r="AD177" i="12"/>
  <c r="AF189" i="12"/>
  <c r="AE189" i="12"/>
  <c r="AD189" i="12"/>
  <c r="AF201" i="12"/>
  <c r="AE201" i="12"/>
  <c r="AD201" i="12"/>
  <c r="AF213" i="12"/>
  <c r="AE213" i="12"/>
  <c r="AD213" i="12"/>
  <c r="AF225" i="12"/>
  <c r="AE225" i="12"/>
  <c r="AD225" i="12"/>
  <c r="AF237" i="12"/>
  <c r="AE237" i="12"/>
  <c r="AD237" i="12"/>
  <c r="AF249" i="12"/>
  <c r="AE249" i="12"/>
  <c r="AD249" i="12"/>
  <c r="AF261" i="12"/>
  <c r="AE261" i="12"/>
  <c r="AD261" i="12"/>
  <c r="AF273" i="12"/>
  <c r="AE273" i="12"/>
  <c r="AD273" i="12"/>
  <c r="AF285" i="12"/>
  <c r="AE285" i="12"/>
  <c r="AD285" i="12"/>
  <c r="AD4" i="8"/>
  <c r="AF4" i="8"/>
  <c r="AE4" i="8"/>
  <c r="AD20" i="8"/>
  <c r="AF20" i="8"/>
  <c r="AE20" i="8"/>
  <c r="AD32" i="8"/>
  <c r="AF32" i="8"/>
  <c r="AE32" i="8"/>
  <c r="AD44" i="8"/>
  <c r="AF44" i="8"/>
  <c r="AE44" i="8"/>
  <c r="AD56" i="8"/>
  <c r="AF56" i="8"/>
  <c r="AE56" i="8"/>
  <c r="AD68" i="8"/>
  <c r="AF68" i="8"/>
  <c r="AE68" i="8"/>
  <c r="AD80" i="8"/>
  <c r="AF80" i="8"/>
  <c r="AE80" i="8"/>
  <c r="AD92" i="8"/>
  <c r="AF92" i="8"/>
  <c r="AE92" i="8"/>
  <c r="AD104" i="8"/>
  <c r="AF104" i="8"/>
  <c r="AE104" i="8"/>
  <c r="AD116" i="8"/>
  <c r="AF116" i="8"/>
  <c r="AE116" i="8"/>
  <c r="AD128" i="8"/>
  <c r="AF128" i="8"/>
  <c r="AE128" i="8"/>
  <c r="AD140" i="8"/>
  <c r="AF140" i="8"/>
  <c r="AE140" i="8"/>
  <c r="AD152" i="8"/>
  <c r="AF152" i="8"/>
  <c r="AE152" i="8"/>
  <c r="AD164" i="8"/>
  <c r="AF164" i="8"/>
  <c r="AE164" i="8"/>
  <c r="AD176" i="8"/>
  <c r="AF176" i="8"/>
  <c r="AE176" i="8"/>
  <c r="AD188" i="8"/>
  <c r="AF188" i="8"/>
  <c r="AE188" i="8"/>
  <c r="AD200" i="8"/>
  <c r="AF200" i="8"/>
  <c r="AE200" i="8"/>
  <c r="AD212" i="8"/>
  <c r="AF212" i="8"/>
  <c r="AE212" i="8"/>
  <c r="AD224" i="8"/>
  <c r="AF224" i="8"/>
  <c r="AE224" i="8"/>
  <c r="AD236" i="8"/>
  <c r="AF236" i="8"/>
  <c r="AE236" i="8"/>
  <c r="AD248" i="8"/>
  <c r="AF248" i="8"/>
  <c r="AE248" i="8"/>
  <c r="AD260" i="8"/>
  <c r="AF260" i="8"/>
  <c r="AE260" i="8"/>
  <c r="AD272" i="8"/>
  <c r="AF272" i="8"/>
  <c r="AE272" i="8"/>
  <c r="AD284" i="8"/>
  <c r="AF284" i="8"/>
  <c r="AE284" i="8"/>
  <c r="AD296" i="8"/>
  <c r="AF296" i="8"/>
  <c r="AE296" i="8"/>
  <c r="AF10" i="12"/>
  <c r="AD10" i="12"/>
  <c r="AE10" i="12"/>
  <c r="AF22" i="12"/>
  <c r="AE22" i="12"/>
  <c r="AD22" i="12"/>
  <c r="AF34" i="12"/>
  <c r="AD34" i="12"/>
  <c r="AE34" i="12"/>
  <c r="AF46" i="12"/>
  <c r="AE46" i="12"/>
  <c r="AD46" i="12"/>
  <c r="AF58" i="12"/>
  <c r="AE58" i="12"/>
  <c r="AD58" i="12"/>
  <c r="AF70" i="12"/>
  <c r="AD70" i="12"/>
  <c r="AE70" i="12"/>
  <c r="AF82" i="12"/>
  <c r="AD82" i="12"/>
  <c r="AE82" i="12"/>
  <c r="AF94" i="12"/>
  <c r="AD94" i="12"/>
  <c r="AE94" i="12"/>
  <c r="AF106" i="12"/>
  <c r="AE106" i="12"/>
  <c r="AD106" i="12"/>
  <c r="AF118" i="12"/>
  <c r="AD118" i="12"/>
  <c r="AE118" i="12"/>
  <c r="AF130" i="12"/>
  <c r="AE130" i="12"/>
  <c r="AD130" i="12"/>
  <c r="AF142" i="12"/>
  <c r="AD142" i="12"/>
  <c r="AE142" i="12"/>
  <c r="AF154" i="12"/>
  <c r="AD154" i="12"/>
  <c r="AE154" i="12"/>
  <c r="AF166" i="12"/>
  <c r="AE166" i="12"/>
  <c r="AD166" i="12"/>
  <c r="AF178" i="12"/>
  <c r="AE178" i="12"/>
  <c r="AD178" i="12"/>
  <c r="AF190" i="12"/>
  <c r="AD190" i="12"/>
  <c r="AE190" i="12"/>
  <c r="AF202" i="12"/>
  <c r="AD202" i="12"/>
  <c r="AE202" i="12"/>
  <c r="AF214" i="12"/>
  <c r="AE214" i="12"/>
  <c r="AD214" i="12"/>
  <c r="AF226" i="12"/>
  <c r="AE226" i="12"/>
  <c r="AD226" i="12"/>
  <c r="AF238" i="12"/>
  <c r="AD238" i="12"/>
  <c r="AE238" i="12"/>
  <c r="AF250" i="12"/>
  <c r="AE250" i="12"/>
  <c r="AD250" i="12"/>
  <c r="AF262" i="12"/>
  <c r="AD262" i="12"/>
  <c r="AE262" i="12"/>
  <c r="AF274" i="12"/>
  <c r="AD274" i="12"/>
  <c r="AE274" i="12"/>
  <c r="AD5" i="8"/>
  <c r="AF5" i="8"/>
  <c r="AE5" i="8"/>
  <c r="AD21" i="8"/>
  <c r="AF21" i="8"/>
  <c r="AE21" i="8"/>
  <c r="AD33" i="8"/>
  <c r="AF33" i="8"/>
  <c r="AE33" i="8"/>
  <c r="AD45" i="8"/>
  <c r="AF45" i="8"/>
  <c r="AE45" i="8"/>
  <c r="AD57" i="8"/>
  <c r="AF57" i="8"/>
  <c r="AE57" i="8"/>
  <c r="AD69" i="8"/>
  <c r="AF69" i="8"/>
  <c r="AE69" i="8"/>
  <c r="AD81" i="8"/>
  <c r="AF81" i="8"/>
  <c r="AE81" i="8"/>
  <c r="AD93" i="8"/>
  <c r="AF93" i="8"/>
  <c r="AE93" i="8"/>
  <c r="AD105" i="8"/>
  <c r="AF105" i="8"/>
  <c r="AE105" i="8"/>
  <c r="AD117" i="8"/>
  <c r="AF117" i="8"/>
  <c r="AE117" i="8"/>
  <c r="AD129" i="8"/>
  <c r="AF129" i="8"/>
  <c r="AE129" i="8"/>
  <c r="AD141" i="8"/>
  <c r="AF141" i="8"/>
  <c r="AE141" i="8"/>
  <c r="AD153" i="8"/>
  <c r="AF153" i="8"/>
  <c r="AE153" i="8"/>
  <c r="AD165" i="8"/>
  <c r="AF165" i="8"/>
  <c r="AE165" i="8"/>
  <c r="AD177" i="8"/>
  <c r="AF177" i="8"/>
  <c r="AE177" i="8"/>
  <c r="AD189" i="8"/>
  <c r="AF189" i="8"/>
  <c r="AE189" i="8"/>
  <c r="AD201" i="8"/>
  <c r="AF201" i="8"/>
  <c r="AE201" i="8"/>
  <c r="AD213" i="8"/>
  <c r="AF213" i="8"/>
  <c r="AE213" i="8"/>
  <c r="AD225" i="8"/>
  <c r="AF225" i="8"/>
  <c r="AE225" i="8"/>
  <c r="AD237" i="8"/>
  <c r="AF237" i="8"/>
  <c r="AE237" i="8"/>
  <c r="AD249" i="8"/>
  <c r="AF249" i="8"/>
  <c r="AE249" i="8"/>
  <c r="AD261" i="8"/>
  <c r="AF261" i="8"/>
  <c r="AE261" i="8"/>
  <c r="AD273" i="8"/>
  <c r="AF273" i="8"/>
  <c r="AE273" i="8"/>
  <c r="AD285" i="8"/>
  <c r="AF285" i="8"/>
  <c r="AE285" i="8"/>
  <c r="AD297" i="8"/>
  <c r="AF297" i="8"/>
  <c r="AE297" i="8"/>
  <c r="AF11" i="12"/>
  <c r="AD11" i="12"/>
  <c r="AE11" i="12"/>
  <c r="AF23" i="12"/>
  <c r="AE23" i="12"/>
  <c r="AD23" i="12"/>
  <c r="AF35" i="12"/>
  <c r="AE35" i="12"/>
  <c r="AD35" i="12"/>
  <c r="AF47" i="12"/>
  <c r="AE47" i="12"/>
  <c r="AD47" i="12"/>
  <c r="AF59" i="12"/>
  <c r="AE59" i="12"/>
  <c r="AD59" i="12"/>
  <c r="AF71" i="12"/>
  <c r="AE71" i="12"/>
  <c r="AD71" i="12"/>
  <c r="AF83" i="12"/>
  <c r="AD83" i="12"/>
  <c r="AE83" i="12"/>
  <c r="AF95" i="12"/>
  <c r="AE95" i="12"/>
  <c r="AD95" i="12"/>
  <c r="AF107" i="12"/>
  <c r="AE107" i="12"/>
  <c r="AD107" i="12"/>
  <c r="AF119" i="12"/>
  <c r="AD119" i="12"/>
  <c r="AE119" i="12"/>
  <c r="AF131" i="12"/>
  <c r="AE131" i="12"/>
  <c r="AD131" i="12"/>
  <c r="AF143" i="12"/>
  <c r="AD143" i="12"/>
  <c r="AE143" i="12"/>
  <c r="AF155" i="12"/>
  <c r="AD155" i="12"/>
  <c r="AE155" i="12"/>
  <c r="AF167" i="12"/>
  <c r="AE167" i="12"/>
  <c r="AD167" i="12"/>
  <c r="AF179" i="12"/>
  <c r="AD179" i="12"/>
  <c r="AE179" i="12"/>
  <c r="AF191" i="12"/>
  <c r="AD191" i="12"/>
  <c r="AE191" i="12"/>
  <c r="AF203" i="12"/>
  <c r="AE203" i="12"/>
  <c r="AD203" i="12"/>
  <c r="AF215" i="12"/>
  <c r="AE215" i="12"/>
  <c r="AD215" i="12"/>
  <c r="AF227" i="12"/>
  <c r="AE227" i="12"/>
  <c r="AD227" i="12"/>
  <c r="AF239" i="12"/>
  <c r="AE239" i="12"/>
  <c r="AD239" i="12"/>
  <c r="AF251" i="12"/>
  <c r="AE251" i="12"/>
  <c r="AD251" i="12"/>
  <c r="AF263" i="12"/>
  <c r="AD263" i="12"/>
  <c r="AE263" i="12"/>
  <c r="AF275" i="12"/>
  <c r="AD275" i="12"/>
  <c r="AE275" i="12"/>
  <c r="AD8" i="8"/>
  <c r="AF8" i="8"/>
  <c r="AE8" i="8"/>
  <c r="AD22" i="8"/>
  <c r="AF22" i="8"/>
  <c r="AE22" i="8"/>
  <c r="AD34" i="8"/>
  <c r="AF34" i="8"/>
  <c r="AE34" i="8"/>
  <c r="AD46" i="8"/>
  <c r="AF46" i="8"/>
  <c r="AE46" i="8"/>
  <c r="AD58" i="8"/>
  <c r="AF58" i="8"/>
  <c r="AE58" i="8"/>
  <c r="AD70" i="8"/>
  <c r="AF70" i="8"/>
  <c r="AE70" i="8"/>
  <c r="AD82" i="8"/>
  <c r="AF82" i="8"/>
  <c r="AE82" i="8"/>
  <c r="AD94" i="8"/>
  <c r="AF94" i="8"/>
  <c r="AE94" i="8"/>
  <c r="AD106" i="8"/>
  <c r="AF106" i="8"/>
  <c r="AE106" i="8"/>
  <c r="AD118" i="8"/>
  <c r="AF118" i="8"/>
  <c r="AE118" i="8"/>
  <c r="AD130" i="8"/>
  <c r="AF130" i="8"/>
  <c r="AE130" i="8"/>
  <c r="AD142" i="8"/>
  <c r="AF142" i="8"/>
  <c r="AE142" i="8"/>
  <c r="AD154" i="8"/>
  <c r="AF154" i="8"/>
  <c r="AE154" i="8"/>
  <c r="AD166" i="8"/>
  <c r="AF166" i="8"/>
  <c r="AE166" i="8"/>
  <c r="AD178" i="8"/>
  <c r="AF178" i="8"/>
  <c r="AE178" i="8"/>
  <c r="AD190" i="8"/>
  <c r="AF190" i="8"/>
  <c r="AE190" i="8"/>
  <c r="AD202" i="8"/>
  <c r="AF202" i="8"/>
  <c r="AE202" i="8"/>
  <c r="AD214" i="8"/>
  <c r="AF214" i="8"/>
  <c r="AE214" i="8"/>
  <c r="AD226" i="8"/>
  <c r="AF226" i="8"/>
  <c r="AE226" i="8"/>
  <c r="AD238" i="8"/>
  <c r="AF238" i="8"/>
  <c r="AE238" i="8"/>
  <c r="AD250" i="8"/>
  <c r="AF250" i="8"/>
  <c r="AE250" i="8"/>
  <c r="AD262" i="8"/>
  <c r="AF262" i="8"/>
  <c r="AE262" i="8"/>
  <c r="AD274" i="8"/>
  <c r="AF274" i="8"/>
  <c r="AE274" i="8"/>
  <c r="AD286" i="8"/>
  <c r="AF286" i="8"/>
  <c r="AE286" i="8"/>
  <c r="AD298" i="8"/>
  <c r="AF298" i="8"/>
  <c r="AE298" i="8"/>
  <c r="AF12" i="12"/>
  <c r="AE12" i="12"/>
  <c r="AD12" i="12"/>
  <c r="AF24" i="12"/>
  <c r="AE24" i="12"/>
  <c r="AD24" i="12"/>
  <c r="AF36" i="12"/>
  <c r="AE36" i="12"/>
  <c r="AD36" i="12"/>
  <c r="AF48" i="12"/>
  <c r="AE48" i="12"/>
  <c r="AD48" i="12"/>
  <c r="AF60" i="12"/>
  <c r="AE60" i="12"/>
  <c r="AD60" i="12"/>
  <c r="AF72" i="12"/>
  <c r="AE72" i="12"/>
  <c r="AD72" i="12"/>
  <c r="AF84" i="12"/>
  <c r="AE84" i="12"/>
  <c r="AD84" i="12"/>
  <c r="AF96" i="12"/>
  <c r="AE96" i="12"/>
  <c r="AD96" i="12"/>
  <c r="AF108" i="12"/>
  <c r="AE108" i="12"/>
  <c r="AD108" i="12"/>
  <c r="AF120" i="12"/>
  <c r="AE120" i="12"/>
  <c r="AD120" i="12"/>
  <c r="AF132" i="12"/>
  <c r="AE132" i="12"/>
  <c r="AD132" i="12"/>
  <c r="AF144" i="12"/>
  <c r="AE144" i="12"/>
  <c r="AD144" i="12"/>
  <c r="AF156" i="12"/>
  <c r="AE156" i="12"/>
  <c r="AD156" i="12"/>
  <c r="AF168" i="12"/>
  <c r="AE168" i="12"/>
  <c r="AD168" i="12"/>
  <c r="AF180" i="12"/>
  <c r="AE180" i="12"/>
  <c r="AD180" i="12"/>
  <c r="AF192" i="12"/>
  <c r="AE192" i="12"/>
  <c r="AD192" i="12"/>
  <c r="AF204" i="12"/>
  <c r="AE204" i="12"/>
  <c r="AD204" i="12"/>
  <c r="AF216" i="12"/>
  <c r="AE216" i="12"/>
  <c r="AD216" i="12"/>
  <c r="AF228" i="12"/>
  <c r="AE228" i="12"/>
  <c r="AD228" i="12"/>
  <c r="AF240" i="12"/>
  <c r="AE240" i="12"/>
  <c r="AD240" i="12"/>
  <c r="AF252" i="12"/>
  <c r="AE252" i="12"/>
  <c r="AD252" i="12"/>
  <c r="AF264" i="12"/>
  <c r="AE264" i="12"/>
  <c r="AD264" i="12"/>
  <c r="AF276" i="12"/>
  <c r="AE276" i="12"/>
  <c r="AD276" i="12"/>
  <c r="AD9" i="8"/>
  <c r="AF9" i="8"/>
  <c r="AE9" i="8"/>
  <c r="AD23" i="8"/>
  <c r="AF23" i="8"/>
  <c r="AE23" i="8"/>
  <c r="AD35" i="8"/>
  <c r="AF35" i="8"/>
  <c r="AE35" i="8"/>
  <c r="AD47" i="8"/>
  <c r="AF47" i="8"/>
  <c r="AE47" i="8"/>
  <c r="AD59" i="8"/>
  <c r="AF59" i="8"/>
  <c r="AE59" i="8"/>
  <c r="AD71" i="8"/>
  <c r="AF71" i="8"/>
  <c r="AE71" i="8"/>
  <c r="AD83" i="8"/>
  <c r="AF83" i="8"/>
  <c r="AE83" i="8"/>
  <c r="AD95" i="8"/>
  <c r="AF95" i="8"/>
  <c r="AE95" i="8"/>
  <c r="AD107" i="8"/>
  <c r="AF107" i="8"/>
  <c r="AE107" i="8"/>
  <c r="AD119" i="8"/>
  <c r="AF119" i="8"/>
  <c r="AE119" i="8"/>
  <c r="AD131" i="8"/>
  <c r="AF131" i="8"/>
  <c r="AE131" i="8"/>
  <c r="AD143" i="8"/>
  <c r="AF143" i="8"/>
  <c r="AE143" i="8"/>
  <c r="AD155" i="8"/>
  <c r="AF155" i="8"/>
  <c r="AE155" i="8"/>
  <c r="AD167" i="8"/>
  <c r="AF167" i="8"/>
  <c r="AE167" i="8"/>
  <c r="AD179" i="8"/>
  <c r="AF179" i="8"/>
  <c r="AE179" i="8"/>
  <c r="AD191" i="8"/>
  <c r="AF191" i="8"/>
  <c r="AE191" i="8"/>
  <c r="AD203" i="8"/>
  <c r="AF203" i="8"/>
  <c r="AE203" i="8"/>
  <c r="AD215" i="8"/>
  <c r="AF215" i="8"/>
  <c r="AE215" i="8"/>
  <c r="AD227" i="8"/>
  <c r="AF227" i="8"/>
  <c r="AE227" i="8"/>
  <c r="AD239" i="8"/>
  <c r="AF239" i="8"/>
  <c r="AE239" i="8"/>
  <c r="AD251" i="8"/>
  <c r="AF251" i="8"/>
  <c r="AE251" i="8"/>
  <c r="AD263" i="8"/>
  <c r="AF263" i="8"/>
  <c r="AE263" i="8"/>
  <c r="AD275" i="8"/>
  <c r="AF275" i="8"/>
  <c r="AE275" i="8"/>
  <c r="AD287" i="8"/>
  <c r="AF287" i="8"/>
  <c r="AE287" i="8"/>
  <c r="AD299" i="8"/>
  <c r="AF299" i="8"/>
  <c r="AE299" i="8"/>
  <c r="AF13" i="12"/>
  <c r="AD13" i="12"/>
  <c r="AE13" i="12"/>
  <c r="AF25" i="12"/>
  <c r="AD25" i="12"/>
  <c r="AE25" i="12"/>
  <c r="AF37" i="12"/>
  <c r="AD37" i="12"/>
  <c r="AE37" i="12"/>
  <c r="AF49" i="12"/>
  <c r="AD49" i="12"/>
  <c r="AE49" i="12"/>
  <c r="AF61" i="12"/>
  <c r="AD61" i="12"/>
  <c r="AE61" i="12"/>
  <c r="AF73" i="12"/>
  <c r="AD73" i="12"/>
  <c r="AE73" i="12"/>
  <c r="AF85" i="12"/>
  <c r="AD85" i="12"/>
  <c r="AE85" i="12"/>
  <c r="AF97" i="12"/>
  <c r="AD97" i="12"/>
  <c r="AE97" i="12"/>
  <c r="AF109" i="12"/>
  <c r="AD109" i="12"/>
  <c r="AE109" i="12"/>
  <c r="AF121" i="12"/>
  <c r="AD121" i="12"/>
  <c r="AE121" i="12"/>
  <c r="AF133" i="12"/>
  <c r="AD133" i="12"/>
  <c r="AE133" i="12"/>
  <c r="AF145" i="12"/>
  <c r="AD145" i="12"/>
  <c r="AE145" i="12"/>
  <c r="AF157" i="12"/>
  <c r="AD157" i="12"/>
  <c r="AE157" i="12"/>
  <c r="AF169" i="12"/>
  <c r="AD169" i="12"/>
  <c r="AE169" i="12"/>
  <c r="AF181" i="12"/>
  <c r="AD181" i="12"/>
  <c r="AE181" i="12"/>
  <c r="AF193" i="12"/>
  <c r="AD193" i="12"/>
  <c r="AE193" i="12"/>
  <c r="AF205" i="12"/>
  <c r="AD205" i="12"/>
  <c r="AE205" i="12"/>
  <c r="AF217" i="12"/>
  <c r="AD217" i="12"/>
  <c r="AE217" i="12"/>
  <c r="AF229" i="12"/>
  <c r="AD229" i="12"/>
  <c r="AE229" i="12"/>
  <c r="AF241" i="12"/>
  <c r="AD241" i="12"/>
  <c r="AE241" i="12"/>
  <c r="AF253" i="12"/>
  <c r="AD253" i="12"/>
  <c r="AE253" i="12"/>
  <c r="AF265" i="12"/>
  <c r="AE265" i="12"/>
  <c r="AD265" i="12"/>
  <c r="AF277" i="12"/>
  <c r="AE277" i="12"/>
  <c r="AD277" i="12"/>
  <c r="AD10" i="8"/>
  <c r="AF10" i="8"/>
  <c r="AE10" i="8"/>
  <c r="AD24" i="8"/>
  <c r="AF24" i="8"/>
  <c r="AE24" i="8"/>
  <c r="AD36" i="8"/>
  <c r="AF36" i="8"/>
  <c r="AE36" i="8"/>
  <c r="AD48" i="8"/>
  <c r="AF48" i="8"/>
  <c r="AE48" i="8"/>
  <c r="AD60" i="8"/>
  <c r="AF60" i="8"/>
  <c r="AE60" i="8"/>
  <c r="AD72" i="8"/>
  <c r="AF72" i="8"/>
  <c r="AE72" i="8"/>
  <c r="AD84" i="8"/>
  <c r="AF84" i="8"/>
  <c r="AE84" i="8"/>
  <c r="AD96" i="8"/>
  <c r="AF96" i="8"/>
  <c r="AE96" i="8"/>
  <c r="AD108" i="8"/>
  <c r="AF108" i="8"/>
  <c r="AE108" i="8"/>
  <c r="AD120" i="8"/>
  <c r="AF120" i="8"/>
  <c r="AE120" i="8"/>
  <c r="AD132" i="8"/>
  <c r="AF132" i="8"/>
  <c r="AE132" i="8"/>
  <c r="AD144" i="8"/>
  <c r="AF144" i="8"/>
  <c r="AE144" i="8"/>
  <c r="AD156" i="8"/>
  <c r="AF156" i="8"/>
  <c r="AE156" i="8"/>
  <c r="AD168" i="8"/>
  <c r="AF168" i="8"/>
  <c r="AE168" i="8"/>
  <c r="AD180" i="8"/>
  <c r="AF180" i="8"/>
  <c r="AE180" i="8"/>
  <c r="AD192" i="8"/>
  <c r="AF192" i="8"/>
  <c r="AE192" i="8"/>
  <c r="AD204" i="8"/>
  <c r="AF204" i="8"/>
  <c r="AE204" i="8"/>
  <c r="AD216" i="8"/>
  <c r="AF216" i="8"/>
  <c r="AE216" i="8"/>
  <c r="AD228" i="8"/>
  <c r="AF228" i="8"/>
  <c r="AE228" i="8"/>
  <c r="AD240" i="8"/>
  <c r="AF240" i="8"/>
  <c r="AE240" i="8"/>
  <c r="AD252" i="8"/>
  <c r="AF252" i="8"/>
  <c r="AE252" i="8"/>
  <c r="AD264" i="8"/>
  <c r="AF264" i="8"/>
  <c r="AE264" i="8"/>
  <c r="AD276" i="8"/>
  <c r="AF276" i="8"/>
  <c r="AE276" i="8"/>
  <c r="AD288" i="8"/>
  <c r="AF288" i="8"/>
  <c r="AE288" i="8"/>
  <c r="AF14" i="12"/>
  <c r="AD14" i="12"/>
  <c r="AE14" i="12"/>
  <c r="AF26" i="12"/>
  <c r="AD26" i="12"/>
  <c r="AE26" i="12"/>
  <c r="AF38" i="12"/>
  <c r="AD38" i="12"/>
  <c r="AE38" i="12"/>
  <c r="AF50" i="12"/>
  <c r="AD50" i="12"/>
  <c r="AE50" i="12"/>
  <c r="AF62" i="12"/>
  <c r="AD62" i="12"/>
  <c r="AE62" i="12"/>
  <c r="AF74" i="12"/>
  <c r="AD74" i="12"/>
  <c r="AE74" i="12"/>
  <c r="AF86" i="12"/>
  <c r="AD86" i="12"/>
  <c r="AE86" i="12"/>
  <c r="AF98" i="12"/>
  <c r="AD98" i="12"/>
  <c r="AE98" i="12"/>
  <c r="AF110" i="12"/>
  <c r="AD110" i="12"/>
  <c r="AE110" i="12"/>
  <c r="AF122" i="12"/>
  <c r="AD122" i="12"/>
  <c r="AE122" i="12"/>
  <c r="AF134" i="12"/>
  <c r="AD134" i="12"/>
  <c r="AE134" i="12"/>
  <c r="AF146" i="12"/>
  <c r="AD146" i="12"/>
  <c r="AE146" i="12"/>
  <c r="AF158" i="12"/>
  <c r="AD158" i="12"/>
  <c r="AE158" i="12"/>
  <c r="AF170" i="12"/>
  <c r="AD170" i="12"/>
  <c r="AE170" i="12"/>
  <c r="AF182" i="12"/>
  <c r="AD182" i="12"/>
  <c r="AE182" i="12"/>
  <c r="AF194" i="12"/>
  <c r="AD194" i="12"/>
  <c r="AE194" i="12"/>
  <c r="AF206" i="12"/>
  <c r="AD206" i="12"/>
  <c r="AE206" i="12"/>
  <c r="AF218" i="12"/>
  <c r="AD218" i="12"/>
  <c r="AE218" i="12"/>
  <c r="AF230" i="12"/>
  <c r="AD230" i="12"/>
  <c r="AE230" i="12"/>
  <c r="AF242" i="12"/>
  <c r="AD242" i="12"/>
  <c r="AE242" i="12"/>
  <c r="AF254" i="12"/>
  <c r="AD254" i="12"/>
  <c r="AE254" i="12"/>
  <c r="AF266" i="12"/>
  <c r="AD266" i="12"/>
  <c r="AE266" i="12"/>
  <c r="AF278" i="12"/>
  <c r="AD278" i="12"/>
  <c r="AE278" i="12"/>
  <c r="F331" i="5"/>
  <c r="R331" i="5"/>
  <c r="AD331" i="5"/>
  <c r="AB53" i="3" s="1"/>
  <c r="G331" i="5"/>
  <c r="S331" i="5"/>
  <c r="AE331" i="5"/>
  <c r="AC53" i="3" s="1"/>
  <c r="H331" i="5"/>
  <c r="T331" i="5"/>
  <c r="AF331" i="5"/>
  <c r="AD53" i="3" s="1"/>
  <c r="AD54" i="3" s="1"/>
  <c r="I331" i="5"/>
  <c r="U331" i="5"/>
  <c r="J331" i="5"/>
  <c r="V331" i="5"/>
  <c r="K331" i="5"/>
  <c r="W331" i="5"/>
  <c r="L331" i="5"/>
  <c r="X331" i="5"/>
  <c r="O331" i="5"/>
  <c r="AA331" i="5"/>
  <c r="M331" i="5"/>
  <c r="Y331" i="5"/>
  <c r="N331" i="5"/>
  <c r="Z331" i="5"/>
  <c r="P331" i="5"/>
  <c r="AB331" i="5"/>
  <c r="Q331" i="5"/>
  <c r="AC331" i="5"/>
  <c r="AD13" i="8"/>
  <c r="AF13" i="8"/>
  <c r="AE13" i="8"/>
  <c r="AD25" i="8"/>
  <c r="AF25" i="8"/>
  <c r="AE25" i="8"/>
  <c r="AD37" i="8"/>
  <c r="AF37" i="8"/>
  <c r="AE37" i="8"/>
  <c r="AD49" i="8"/>
  <c r="AF49" i="8"/>
  <c r="AE49" i="8"/>
  <c r="AD61" i="8"/>
  <c r="AF61" i="8"/>
  <c r="AE61" i="8"/>
  <c r="AD73" i="8"/>
  <c r="AF73" i="8"/>
  <c r="AE73" i="8"/>
  <c r="AD85" i="8"/>
  <c r="AF85" i="8"/>
  <c r="AE85" i="8"/>
  <c r="AD97" i="8"/>
  <c r="AF97" i="8"/>
  <c r="AE97" i="8"/>
  <c r="AD109" i="8"/>
  <c r="AF109" i="8"/>
  <c r="AE109" i="8"/>
  <c r="AD121" i="8"/>
  <c r="AF121" i="8"/>
  <c r="AE121" i="8"/>
  <c r="AD133" i="8"/>
  <c r="AF133" i="8"/>
  <c r="AE133" i="8"/>
  <c r="AD145" i="8"/>
  <c r="AF145" i="8"/>
  <c r="AE145" i="8"/>
  <c r="AD157" i="8"/>
  <c r="AF157" i="8"/>
  <c r="AE157" i="8"/>
  <c r="AD169" i="8"/>
  <c r="AF169" i="8"/>
  <c r="AE169" i="8"/>
  <c r="AD181" i="8"/>
  <c r="AF181" i="8"/>
  <c r="AE181" i="8"/>
  <c r="AD193" i="8"/>
  <c r="AF193" i="8"/>
  <c r="AE193" i="8"/>
  <c r="AD205" i="8"/>
  <c r="AF205" i="8"/>
  <c r="AE205" i="8"/>
  <c r="AD217" i="8"/>
  <c r="AF217" i="8"/>
  <c r="AE217" i="8"/>
  <c r="AD229" i="8"/>
  <c r="AF229" i="8"/>
  <c r="AE229" i="8"/>
  <c r="AD241" i="8"/>
  <c r="AF241" i="8"/>
  <c r="AE241" i="8"/>
  <c r="AD253" i="8"/>
  <c r="AF253" i="8"/>
  <c r="AE253" i="8"/>
  <c r="AD265" i="8"/>
  <c r="AF265" i="8"/>
  <c r="AE265" i="8"/>
  <c r="AD277" i="8"/>
  <c r="AF277" i="8"/>
  <c r="AE277" i="8"/>
  <c r="AD289" i="8"/>
  <c r="AF289" i="8"/>
  <c r="AE289" i="8"/>
  <c r="AF15" i="12"/>
  <c r="AE15" i="12"/>
  <c r="AD15" i="12"/>
  <c r="AF27" i="12"/>
  <c r="AE27" i="12"/>
  <c r="AD27" i="12"/>
  <c r="AF39" i="12"/>
  <c r="AE39" i="12"/>
  <c r="AD39" i="12"/>
  <c r="AF51" i="12"/>
  <c r="AE51" i="12"/>
  <c r="AD51" i="12"/>
  <c r="AF63" i="12"/>
  <c r="AE63" i="12"/>
  <c r="AD63" i="12"/>
  <c r="AF75" i="12"/>
  <c r="AE75" i="12"/>
  <c r="AD75" i="12"/>
  <c r="AF87" i="12"/>
  <c r="AE87" i="12"/>
  <c r="AD87" i="12"/>
  <c r="AF99" i="12"/>
  <c r="AE99" i="12"/>
  <c r="AD99" i="12"/>
  <c r="AF111" i="12"/>
  <c r="AE111" i="12"/>
  <c r="AD111" i="12"/>
  <c r="AF123" i="12"/>
  <c r="AE123" i="12"/>
  <c r="AD123" i="12"/>
  <c r="AF135" i="12"/>
  <c r="AE135" i="12"/>
  <c r="AD135" i="12"/>
  <c r="AF147" i="12"/>
  <c r="AE147" i="12"/>
  <c r="AD147" i="12"/>
  <c r="AF159" i="12"/>
  <c r="AE159" i="12"/>
  <c r="AD159" i="12"/>
  <c r="AF171" i="12"/>
  <c r="AE171" i="12"/>
  <c r="AD171" i="12"/>
  <c r="AF183" i="12"/>
  <c r="AE183" i="12"/>
  <c r="AD183" i="12"/>
  <c r="AF195" i="12"/>
  <c r="AE195" i="12"/>
  <c r="AD195" i="12"/>
  <c r="AF207" i="12"/>
  <c r="AE207" i="12"/>
  <c r="AD207" i="12"/>
  <c r="AF219" i="12"/>
  <c r="AE219" i="12"/>
  <c r="AD219" i="12"/>
  <c r="AF231" i="12"/>
  <c r="AE231" i="12"/>
  <c r="AD231" i="12"/>
  <c r="AF243" i="12"/>
  <c r="AE243" i="12"/>
  <c r="AD243" i="12"/>
  <c r="AF255" i="12"/>
  <c r="AE255" i="12"/>
  <c r="AD255" i="12"/>
  <c r="AF267" i="12"/>
  <c r="AE267" i="12"/>
  <c r="AD267" i="12"/>
  <c r="AF279" i="12"/>
  <c r="AE279" i="12"/>
  <c r="AD279" i="12"/>
  <c r="AD14" i="8"/>
  <c r="AF14" i="8"/>
  <c r="AE14" i="8"/>
  <c r="AD26" i="8"/>
  <c r="AF26" i="8"/>
  <c r="AE26" i="8"/>
  <c r="AD38" i="8"/>
  <c r="AF38" i="8"/>
  <c r="AE38" i="8"/>
  <c r="AD50" i="8"/>
  <c r="AF50" i="8"/>
  <c r="AE50" i="8"/>
  <c r="AD62" i="8"/>
  <c r="AF62" i="8"/>
  <c r="AE62" i="8"/>
  <c r="AD74" i="8"/>
  <c r="AF74" i="8"/>
  <c r="AE74" i="8"/>
  <c r="AD86" i="8"/>
  <c r="AF86" i="8"/>
  <c r="AE86" i="8"/>
  <c r="AD98" i="8"/>
  <c r="AF98" i="8"/>
  <c r="AE98" i="8"/>
  <c r="AD110" i="8"/>
  <c r="AF110" i="8"/>
  <c r="AE110" i="8"/>
  <c r="AD122" i="8"/>
  <c r="AF122" i="8"/>
  <c r="AE122" i="8"/>
  <c r="AD134" i="8"/>
  <c r="AF134" i="8"/>
  <c r="AE134" i="8"/>
  <c r="AD146" i="8"/>
  <c r="AF146" i="8"/>
  <c r="AE146" i="8"/>
  <c r="AD158" i="8"/>
  <c r="AF158" i="8"/>
  <c r="AE158" i="8"/>
  <c r="AD170" i="8"/>
  <c r="AF170" i="8"/>
  <c r="AE170" i="8"/>
  <c r="AD182" i="8"/>
  <c r="AF182" i="8"/>
  <c r="AE182" i="8"/>
  <c r="AD194" i="8"/>
  <c r="AF194" i="8"/>
  <c r="AE194" i="8"/>
  <c r="AD206" i="8"/>
  <c r="AF206" i="8"/>
  <c r="AE206" i="8"/>
  <c r="AD218" i="8"/>
  <c r="AF218" i="8"/>
  <c r="AE218" i="8"/>
  <c r="AD230" i="8"/>
  <c r="AF230" i="8"/>
  <c r="AE230" i="8"/>
  <c r="AD242" i="8"/>
  <c r="AF242" i="8"/>
  <c r="AE242" i="8"/>
  <c r="AD254" i="8"/>
  <c r="AF254" i="8"/>
  <c r="AE254" i="8"/>
  <c r="AD266" i="8"/>
  <c r="AF266" i="8"/>
  <c r="AE266" i="8"/>
  <c r="AD278" i="8"/>
  <c r="AF278" i="8"/>
  <c r="AE278" i="8"/>
  <c r="AD290" i="8"/>
  <c r="AF290" i="8"/>
  <c r="AE290" i="8"/>
  <c r="AF4" i="12"/>
  <c r="AE4" i="12"/>
  <c r="AD4" i="12"/>
  <c r="AF16" i="12"/>
  <c r="AE16" i="12"/>
  <c r="AD16" i="12"/>
  <c r="AF28" i="12"/>
  <c r="AE28" i="12"/>
  <c r="AD28" i="12"/>
  <c r="AF40" i="12"/>
  <c r="AE40" i="12"/>
  <c r="AD40" i="12"/>
  <c r="AF52" i="12"/>
  <c r="AE52" i="12"/>
  <c r="AD52" i="12"/>
  <c r="AF64" i="12"/>
  <c r="AE64" i="12"/>
  <c r="AD64" i="12"/>
  <c r="AF76" i="12"/>
  <c r="AE76" i="12"/>
  <c r="AD76" i="12"/>
  <c r="AF88" i="12"/>
  <c r="AE88" i="12"/>
  <c r="AD88" i="12"/>
  <c r="AF100" i="12"/>
  <c r="AE100" i="12"/>
  <c r="AD100" i="12"/>
  <c r="AF112" i="12"/>
  <c r="AE112" i="12"/>
  <c r="AD112" i="12"/>
  <c r="AF124" i="12"/>
  <c r="AE124" i="12"/>
  <c r="AD124" i="12"/>
  <c r="AF136" i="12"/>
  <c r="AE136" i="12"/>
  <c r="AD136" i="12"/>
  <c r="AF148" i="12"/>
  <c r="AE148" i="12"/>
  <c r="AD148" i="12"/>
  <c r="AF160" i="12"/>
  <c r="AE160" i="12"/>
  <c r="AD160" i="12"/>
  <c r="AF172" i="12"/>
  <c r="AE172" i="12"/>
  <c r="AD172" i="12"/>
  <c r="AF184" i="12"/>
  <c r="AE184" i="12"/>
  <c r="AD184" i="12"/>
  <c r="AF196" i="12"/>
  <c r="AE196" i="12"/>
  <c r="AD196" i="12"/>
  <c r="AF208" i="12"/>
  <c r="AE208" i="12"/>
  <c r="AD208" i="12"/>
  <c r="AF220" i="12"/>
  <c r="AE220" i="12"/>
  <c r="AD220" i="12"/>
  <c r="AF232" i="12"/>
  <c r="AE232" i="12"/>
  <c r="AD232" i="12"/>
  <c r="AF244" i="12"/>
  <c r="AE244" i="12"/>
  <c r="AD244" i="12"/>
  <c r="AF256" i="12"/>
  <c r="AE256" i="12"/>
  <c r="AD256" i="12"/>
  <c r="AF268" i="12"/>
  <c r="AE268" i="12"/>
  <c r="AD268" i="12"/>
  <c r="AF280" i="12"/>
  <c r="AE280" i="12"/>
  <c r="AD280" i="12"/>
  <c r="AD15" i="8"/>
  <c r="AF15" i="8"/>
  <c r="AE15" i="8"/>
  <c r="AD27" i="8"/>
  <c r="AF27" i="8"/>
  <c r="AE27" i="8"/>
  <c r="AD39" i="8"/>
  <c r="AF39" i="8"/>
  <c r="AE39" i="8"/>
  <c r="AD51" i="8"/>
  <c r="AF51" i="8"/>
  <c r="AE51" i="8"/>
  <c r="AD63" i="8"/>
  <c r="AF63" i="8"/>
  <c r="AE63" i="8"/>
  <c r="AD75" i="8"/>
  <c r="AF75" i="8"/>
  <c r="AE75" i="8"/>
  <c r="AD87" i="8"/>
  <c r="AF87" i="8"/>
  <c r="AE87" i="8"/>
  <c r="AD99" i="8"/>
  <c r="AF99" i="8"/>
  <c r="AE99" i="8"/>
  <c r="AD111" i="8"/>
  <c r="AF111" i="8"/>
  <c r="AE111" i="8"/>
  <c r="AD123" i="8"/>
  <c r="AF123" i="8"/>
  <c r="AE123" i="8"/>
  <c r="AD135" i="8"/>
  <c r="AF135" i="8"/>
  <c r="AE135" i="8"/>
  <c r="AD147" i="8"/>
  <c r="AF147" i="8"/>
  <c r="AE147" i="8"/>
  <c r="AD159" i="8"/>
  <c r="AF159" i="8"/>
  <c r="AE159" i="8"/>
  <c r="AD171" i="8"/>
  <c r="AF171" i="8"/>
  <c r="AE171" i="8"/>
  <c r="AD183" i="8"/>
  <c r="AF183" i="8"/>
  <c r="AE183" i="8"/>
  <c r="AD195" i="8"/>
  <c r="AF195" i="8"/>
  <c r="AE195" i="8"/>
  <c r="AD207" i="8"/>
  <c r="AF207" i="8"/>
  <c r="AE207" i="8"/>
  <c r="AD219" i="8"/>
  <c r="AF219" i="8"/>
  <c r="AE219" i="8"/>
  <c r="AD231" i="8"/>
  <c r="AF231" i="8"/>
  <c r="AE231" i="8"/>
  <c r="AD243" i="8"/>
  <c r="AF243" i="8"/>
  <c r="AE243" i="8"/>
  <c r="AD255" i="8"/>
  <c r="AF255" i="8"/>
  <c r="AE255" i="8"/>
  <c r="AD267" i="8"/>
  <c r="AF267" i="8"/>
  <c r="AE267" i="8"/>
  <c r="AD279" i="8"/>
  <c r="AF279" i="8"/>
  <c r="AE279" i="8"/>
  <c r="AD291" i="8"/>
  <c r="AF291" i="8"/>
  <c r="AE291" i="8"/>
  <c r="AF5" i="12"/>
  <c r="AD5" i="12"/>
  <c r="AE5" i="12"/>
  <c r="AF17" i="12"/>
  <c r="AE17" i="12"/>
  <c r="AD17" i="12"/>
  <c r="AF29" i="12"/>
  <c r="AD29" i="12"/>
  <c r="AE29" i="12"/>
  <c r="AF41" i="12"/>
  <c r="AE41" i="12"/>
  <c r="AD41" i="12"/>
  <c r="AF53" i="12"/>
  <c r="AE53" i="12"/>
  <c r="AD53" i="12"/>
  <c r="AF65" i="12"/>
  <c r="AD65" i="12"/>
  <c r="AE65" i="12"/>
  <c r="AF77" i="12"/>
  <c r="AE77" i="12"/>
  <c r="AD77" i="12"/>
  <c r="AF89" i="12"/>
  <c r="AD89" i="12"/>
  <c r="AE89" i="12"/>
  <c r="AF101" i="12"/>
  <c r="AD101" i="12"/>
  <c r="AE101" i="12"/>
  <c r="AF113" i="12"/>
  <c r="AD113" i="12"/>
  <c r="AE113" i="12"/>
  <c r="AF125" i="12"/>
  <c r="AD125" i="12"/>
  <c r="AE125" i="12"/>
  <c r="AF137" i="12"/>
  <c r="AD137" i="12"/>
  <c r="AE137" i="12"/>
  <c r="AF149" i="12"/>
  <c r="AD149" i="12"/>
  <c r="AE149" i="12"/>
  <c r="AF161" i="12"/>
  <c r="AE161" i="12"/>
  <c r="AD161" i="12"/>
  <c r="AF173" i="12"/>
  <c r="AE173" i="12"/>
  <c r="AD173" i="12"/>
  <c r="AF185" i="12"/>
  <c r="AE185" i="12"/>
  <c r="AD185" i="12"/>
  <c r="AF197" i="12"/>
  <c r="AE197" i="12"/>
  <c r="AD197" i="12"/>
  <c r="AF209" i="12"/>
  <c r="AE209" i="12"/>
  <c r="AD209" i="12"/>
  <c r="AF221" i="12"/>
  <c r="AE221" i="12"/>
  <c r="AD221" i="12"/>
  <c r="AF233" i="12"/>
  <c r="AE233" i="12"/>
  <c r="AD233" i="12"/>
  <c r="AF245" i="12"/>
  <c r="AE245" i="12"/>
  <c r="AD245" i="12"/>
  <c r="AF257" i="12"/>
  <c r="AE257" i="12"/>
  <c r="AD257" i="12"/>
  <c r="AF269" i="12"/>
  <c r="AE269" i="12"/>
  <c r="AD269" i="12"/>
  <c r="AF281" i="12"/>
  <c r="AE281" i="12"/>
  <c r="AD281" i="12"/>
  <c r="AD16" i="8"/>
  <c r="AF16" i="8"/>
  <c r="AE16" i="8"/>
  <c r="AD28" i="8"/>
  <c r="AF28" i="8"/>
  <c r="AE28" i="8"/>
  <c r="AD40" i="8"/>
  <c r="AF40" i="8"/>
  <c r="AE40" i="8"/>
  <c r="AD52" i="8"/>
  <c r="AF52" i="8"/>
  <c r="AE52" i="8"/>
  <c r="AD64" i="8"/>
  <c r="AF64" i="8"/>
  <c r="AE64" i="8"/>
  <c r="AD76" i="8"/>
  <c r="AF76" i="8"/>
  <c r="AE76" i="8"/>
  <c r="AD88" i="8"/>
  <c r="AF88" i="8"/>
  <c r="AE88" i="8"/>
  <c r="AD100" i="8"/>
  <c r="AF100" i="8"/>
  <c r="AE100" i="8"/>
  <c r="AD112" i="8"/>
  <c r="AF112" i="8"/>
  <c r="AE112" i="8"/>
  <c r="AD124" i="8"/>
  <c r="AF124" i="8"/>
  <c r="AE124" i="8"/>
  <c r="AD136" i="8"/>
  <c r="AF136" i="8"/>
  <c r="AE136" i="8"/>
  <c r="AD148" i="8"/>
  <c r="AF148" i="8"/>
  <c r="AE148" i="8"/>
  <c r="AD160" i="8"/>
  <c r="AF160" i="8"/>
  <c r="AE160" i="8"/>
  <c r="AD172" i="8"/>
  <c r="AF172" i="8"/>
  <c r="AE172" i="8"/>
  <c r="AD184" i="8"/>
  <c r="AF184" i="8"/>
  <c r="AE184" i="8"/>
  <c r="AD196" i="8"/>
  <c r="AF196" i="8"/>
  <c r="AE196" i="8"/>
  <c r="AD208" i="8"/>
  <c r="AF208" i="8"/>
  <c r="AE208" i="8"/>
  <c r="AD220" i="8"/>
  <c r="AF220" i="8"/>
  <c r="AE220" i="8"/>
  <c r="AD232" i="8"/>
  <c r="AF232" i="8"/>
  <c r="AE232" i="8"/>
  <c r="AD244" i="8"/>
  <c r="AF244" i="8"/>
  <c r="AE244" i="8"/>
  <c r="AD256" i="8"/>
  <c r="AF256" i="8"/>
  <c r="AE256" i="8"/>
  <c r="AD268" i="8"/>
  <c r="AF268" i="8"/>
  <c r="AE268" i="8"/>
  <c r="AD280" i="8"/>
  <c r="AF280" i="8"/>
  <c r="AE280" i="8"/>
  <c r="AD292" i="8"/>
  <c r="AF292" i="8"/>
  <c r="AE292" i="8"/>
  <c r="AF6" i="12"/>
  <c r="AD6" i="12"/>
  <c r="AE6" i="12"/>
  <c r="AF18" i="12"/>
  <c r="AE18" i="12"/>
  <c r="AD18" i="12"/>
  <c r="AF30" i="12"/>
  <c r="AD30" i="12"/>
  <c r="AE30" i="12"/>
  <c r="AF42" i="12"/>
  <c r="AE42" i="12"/>
  <c r="AD42" i="12"/>
  <c r="AF54" i="12"/>
  <c r="AD54" i="12"/>
  <c r="AE54" i="12"/>
  <c r="AF66" i="12"/>
  <c r="AD66" i="12"/>
  <c r="AE66" i="12"/>
  <c r="AF78" i="12"/>
  <c r="AE78" i="12"/>
  <c r="AD78" i="12"/>
  <c r="AF90" i="12"/>
  <c r="AD90" i="12"/>
  <c r="AE90" i="12"/>
  <c r="AF102" i="12"/>
  <c r="AD102" i="12"/>
  <c r="AE102" i="12"/>
  <c r="AF114" i="12"/>
  <c r="AD114" i="12"/>
  <c r="AE114" i="12"/>
  <c r="AF126" i="12"/>
  <c r="AE126" i="12"/>
  <c r="AD126" i="12"/>
  <c r="AF138" i="12"/>
  <c r="AE138" i="12"/>
  <c r="AD138" i="12"/>
  <c r="AF150" i="12"/>
  <c r="AD150" i="12"/>
  <c r="AE150" i="12"/>
  <c r="AF162" i="12"/>
  <c r="AE162" i="12"/>
  <c r="AD162" i="12"/>
  <c r="AF174" i="12"/>
  <c r="AE174" i="12"/>
  <c r="AD174" i="12"/>
  <c r="AF186" i="12"/>
  <c r="AE186" i="12"/>
  <c r="AD186" i="12"/>
  <c r="AF198" i="12"/>
  <c r="AE198" i="12"/>
  <c r="AD198" i="12"/>
  <c r="AF210" i="12"/>
  <c r="AE210" i="12"/>
  <c r="AD210" i="12"/>
  <c r="AF222" i="12"/>
  <c r="AE222" i="12"/>
  <c r="AD222" i="12"/>
  <c r="AF234" i="12"/>
  <c r="AE234" i="12"/>
  <c r="AD234" i="12"/>
  <c r="AF246" i="12"/>
  <c r="AE246" i="12"/>
  <c r="AD246" i="12"/>
  <c r="AF258" i="12"/>
  <c r="AE258" i="12"/>
  <c r="AD258" i="12"/>
  <c r="AF270" i="12"/>
  <c r="AE270" i="12"/>
  <c r="AD270" i="12"/>
  <c r="AF282" i="12"/>
  <c r="AE282" i="12"/>
  <c r="AD282" i="12"/>
  <c r="AD17" i="8"/>
  <c r="AF17" i="8"/>
  <c r="AE17" i="8"/>
  <c r="AD29" i="8"/>
  <c r="AF29" i="8"/>
  <c r="AE29" i="8"/>
  <c r="AD41" i="8"/>
  <c r="AF41" i="8"/>
  <c r="AE41" i="8"/>
  <c r="AD53" i="8"/>
  <c r="AF53" i="8"/>
  <c r="AE53" i="8"/>
  <c r="AD65" i="8"/>
  <c r="AF65" i="8"/>
  <c r="AE65" i="8"/>
  <c r="AD77" i="8"/>
  <c r="AF77" i="8"/>
  <c r="AE77" i="8"/>
  <c r="AD89" i="8"/>
  <c r="AF89" i="8"/>
  <c r="AE89" i="8"/>
  <c r="AD101" i="8"/>
  <c r="AF101" i="8"/>
  <c r="AE101" i="8"/>
  <c r="AD113" i="8"/>
  <c r="AF113" i="8"/>
  <c r="AE113" i="8"/>
  <c r="AD125" i="8"/>
  <c r="AF125" i="8"/>
  <c r="AE125" i="8"/>
  <c r="AD137" i="8"/>
  <c r="AF137" i="8"/>
  <c r="AE137" i="8"/>
  <c r="AD149" i="8"/>
  <c r="AF149" i="8"/>
  <c r="AE149" i="8"/>
  <c r="AD161" i="8"/>
  <c r="AF161" i="8"/>
  <c r="AE161" i="8"/>
  <c r="AD173" i="8"/>
  <c r="AF173" i="8"/>
  <c r="AE173" i="8"/>
  <c r="AD185" i="8"/>
  <c r="AF185" i="8"/>
  <c r="AE185" i="8"/>
  <c r="AD197" i="8"/>
  <c r="AF197" i="8"/>
  <c r="AE197" i="8"/>
  <c r="AD209" i="8"/>
  <c r="AF209" i="8"/>
  <c r="AE209" i="8"/>
  <c r="AD221" i="8"/>
  <c r="AF221" i="8"/>
  <c r="AE221" i="8"/>
  <c r="AD233" i="8"/>
  <c r="AF233" i="8"/>
  <c r="AE233" i="8"/>
  <c r="AD245" i="8"/>
  <c r="AF245" i="8"/>
  <c r="AE245" i="8"/>
  <c r="AD257" i="8"/>
  <c r="AF257" i="8"/>
  <c r="AE257" i="8"/>
  <c r="AD269" i="8"/>
  <c r="AF269" i="8"/>
  <c r="AE269" i="8"/>
  <c r="AD281" i="8"/>
  <c r="AF281" i="8"/>
  <c r="AE281" i="8"/>
  <c r="AD293" i="8"/>
  <c r="AF293" i="8"/>
  <c r="AE293" i="8"/>
  <c r="AF7" i="12"/>
  <c r="AE7" i="12"/>
  <c r="AD7" i="12"/>
  <c r="AF19" i="12"/>
  <c r="AE19" i="12"/>
  <c r="AD19" i="12"/>
  <c r="AF31" i="12"/>
  <c r="AD31" i="12"/>
  <c r="AE31" i="12"/>
  <c r="AF43" i="12"/>
  <c r="AE43" i="12"/>
  <c r="AD43" i="12"/>
  <c r="AF55" i="12"/>
  <c r="AD55" i="12"/>
  <c r="AE55" i="12"/>
  <c r="AF67" i="12"/>
  <c r="AD67" i="12"/>
  <c r="AE67" i="12"/>
  <c r="AF79" i="12"/>
  <c r="AE79" i="12"/>
  <c r="AD79" i="12"/>
  <c r="AF91" i="12"/>
  <c r="AE91" i="12"/>
  <c r="AD91" i="12"/>
  <c r="AF103" i="12"/>
  <c r="AE103" i="12"/>
  <c r="AD103" i="12"/>
  <c r="AF115" i="12"/>
  <c r="AE115" i="12"/>
  <c r="AD115" i="12"/>
  <c r="AF127" i="12"/>
  <c r="AE127" i="12"/>
  <c r="AD127" i="12"/>
  <c r="AF139" i="12"/>
  <c r="AD139" i="12"/>
  <c r="AE139" i="12"/>
  <c r="AF151" i="12"/>
  <c r="AE151" i="12"/>
  <c r="AD151" i="12"/>
  <c r="AF163" i="12"/>
  <c r="AE163" i="12"/>
  <c r="AD163" i="12"/>
  <c r="AF175" i="12"/>
  <c r="AE175" i="12"/>
  <c r="AD175" i="12"/>
  <c r="AF187" i="12"/>
  <c r="AE187" i="12"/>
  <c r="AD187" i="12"/>
  <c r="AF199" i="12"/>
  <c r="AE199" i="12"/>
  <c r="AD199" i="12"/>
  <c r="AF211" i="12"/>
  <c r="AE211" i="12"/>
  <c r="AD211" i="12"/>
  <c r="AF223" i="12"/>
  <c r="AE223" i="12"/>
  <c r="AD223" i="12"/>
  <c r="AF235" i="12"/>
  <c r="AE235" i="12"/>
  <c r="AD235" i="12"/>
  <c r="AF247" i="12"/>
  <c r="AE247" i="12"/>
  <c r="AD247" i="12"/>
  <c r="AF259" i="12"/>
  <c r="AE259" i="12"/>
  <c r="AD259" i="12"/>
  <c r="AF271" i="12"/>
  <c r="AE271" i="12"/>
  <c r="AD271" i="12"/>
  <c r="AF283" i="12"/>
  <c r="AE283" i="12"/>
  <c r="AD283" i="12"/>
  <c r="AD96" i="4"/>
  <c r="AD199" i="3"/>
  <c r="R30" i="15" s="1"/>
  <c r="AF566" i="5" a="1"/>
  <c r="AF566" i="5" s="1"/>
  <c r="AF2" i="5"/>
  <c r="AD16" i="5"/>
  <c r="AB149" i="4" s="1"/>
  <c r="AE16" i="5"/>
  <c r="AC149" i="4" s="1"/>
  <c r="AD28" i="5"/>
  <c r="AB13" i="4" s="1"/>
  <c r="AE28" i="5"/>
  <c r="AC13" i="4" s="1"/>
  <c r="AD40" i="5"/>
  <c r="AE40" i="5"/>
  <c r="AD52" i="5"/>
  <c r="AE52" i="5"/>
  <c r="AD64" i="5"/>
  <c r="AE64" i="5"/>
  <c r="AD76" i="5"/>
  <c r="AE76" i="5"/>
  <c r="AD88" i="5"/>
  <c r="AE88" i="5"/>
  <c r="AD100" i="5"/>
  <c r="AE100" i="5"/>
  <c r="AD112" i="5"/>
  <c r="AE112" i="5"/>
  <c r="AD124" i="5"/>
  <c r="AE124" i="5"/>
  <c r="AD136" i="5"/>
  <c r="AE136" i="5"/>
  <c r="AD148" i="5"/>
  <c r="AE148" i="5"/>
  <c r="AD160" i="5"/>
  <c r="AE160" i="5"/>
  <c r="AD172" i="5"/>
  <c r="AB90" i="4" s="1"/>
  <c r="AE172" i="5"/>
  <c r="AC90" i="4" s="1"/>
  <c r="AD184" i="5"/>
  <c r="AB105" i="4" s="1"/>
  <c r="AE184" i="5"/>
  <c r="AC105" i="4" s="1"/>
  <c r="AD196" i="5"/>
  <c r="AB135" i="4" s="1"/>
  <c r="AE196" i="5"/>
  <c r="AC135" i="4" s="1"/>
  <c r="AD208" i="5"/>
  <c r="AB143" i="4" s="1"/>
  <c r="AE208" i="5"/>
  <c r="AC143" i="4" s="1"/>
  <c r="AD220" i="5"/>
  <c r="AB172" i="4" s="1"/>
  <c r="AE220" i="5"/>
  <c r="AC172" i="4" s="1"/>
  <c r="AD232" i="5"/>
  <c r="AB198" i="4" s="1"/>
  <c r="AE232" i="5"/>
  <c r="AC198" i="4" s="1"/>
  <c r="AD245" i="5"/>
  <c r="AB180" i="4" s="1"/>
  <c r="AE245" i="5"/>
  <c r="AC180" i="4" s="1"/>
  <c r="AD257" i="5"/>
  <c r="AE257" i="5"/>
  <c r="AD269" i="5"/>
  <c r="AE269" i="5"/>
  <c r="AD281" i="5"/>
  <c r="AB6" i="3" s="1"/>
  <c r="AE281" i="5"/>
  <c r="AC6" i="3" s="1"/>
  <c r="AD293" i="5"/>
  <c r="AE293" i="5"/>
  <c r="AD305" i="5"/>
  <c r="AE305" i="5"/>
  <c r="AD317" i="5"/>
  <c r="AB15" i="3" s="1"/>
  <c r="AE317" i="5"/>
  <c r="AC15" i="3" s="1"/>
  <c r="AD329" i="5"/>
  <c r="AE329" i="5"/>
  <c r="AD342" i="5"/>
  <c r="AE342" i="5"/>
  <c r="AD354" i="5"/>
  <c r="AB25" i="3" s="1"/>
  <c r="AE354" i="5"/>
  <c r="AC25" i="3" s="1"/>
  <c r="AD366" i="5"/>
  <c r="AB34" i="3" s="1"/>
  <c r="AE366" i="5"/>
  <c r="AC34" i="3" s="1"/>
  <c r="AD378" i="5"/>
  <c r="AB39" i="3" s="1"/>
  <c r="AE378" i="5"/>
  <c r="AC39" i="3" s="1"/>
  <c r="AD390" i="5"/>
  <c r="AE390" i="5"/>
  <c r="AD402" i="5"/>
  <c r="AE402" i="5"/>
  <c r="AD414" i="5"/>
  <c r="AB95" i="3" s="1"/>
  <c r="AE414" i="5"/>
  <c r="AC95" i="3" s="1"/>
  <c r="AD426" i="5"/>
  <c r="AE426" i="5"/>
  <c r="AD438" i="5"/>
  <c r="AB165" i="3" s="1"/>
  <c r="AE438" i="5"/>
  <c r="AC165" i="3" s="1"/>
  <c r="AD450" i="5"/>
  <c r="AE450" i="5"/>
  <c r="AD462" i="5"/>
  <c r="AE462" i="5"/>
  <c r="AD474" i="5"/>
  <c r="AE474" i="5"/>
  <c r="AD486" i="5"/>
  <c r="AE486" i="5"/>
  <c r="AD498" i="5"/>
  <c r="AE498" i="5"/>
  <c r="AD510" i="5"/>
  <c r="AE510" i="5"/>
  <c r="AD522" i="5"/>
  <c r="AE522" i="5"/>
  <c r="AD534" i="5"/>
  <c r="AE534" i="5"/>
  <c r="AD546" i="5"/>
  <c r="AE546" i="5"/>
  <c r="AD558" i="5"/>
  <c r="AB138" i="3" s="1"/>
  <c r="AE558" i="5"/>
  <c r="AD17" i="5"/>
  <c r="AE17" i="5"/>
  <c r="AD29" i="5"/>
  <c r="AE29" i="5"/>
  <c r="AD41" i="5"/>
  <c r="AE41" i="5"/>
  <c r="AD53" i="5"/>
  <c r="AB31" i="4" s="1"/>
  <c r="AE53" i="5"/>
  <c r="AC31" i="4" s="1"/>
  <c r="AD65" i="5"/>
  <c r="AE65" i="5"/>
  <c r="AD77" i="5"/>
  <c r="AE77" i="5"/>
  <c r="AD89" i="5"/>
  <c r="AE89" i="5"/>
  <c r="AD101" i="5"/>
  <c r="AE101" i="5"/>
  <c r="AD113" i="5"/>
  <c r="AE113" i="5"/>
  <c r="AD125" i="5"/>
  <c r="AB91" i="4" s="1"/>
  <c r="AE125" i="5"/>
  <c r="AC91" i="4" s="1"/>
  <c r="AD137" i="5"/>
  <c r="AE137" i="5"/>
  <c r="AD149" i="5"/>
  <c r="AE149" i="5"/>
  <c r="AD161" i="5"/>
  <c r="AE161" i="5"/>
  <c r="AD173" i="5"/>
  <c r="AE173" i="5"/>
  <c r="AD185" i="5"/>
  <c r="AE185" i="5"/>
  <c r="AD197" i="5"/>
  <c r="AB139" i="4" s="1"/>
  <c r="AE197" i="5"/>
  <c r="AC139" i="4" s="1"/>
  <c r="AD209" i="5"/>
  <c r="AE209" i="5"/>
  <c r="AD221" i="5"/>
  <c r="AB197" i="4" s="1"/>
  <c r="AE221" i="5"/>
  <c r="AC197" i="4" s="1"/>
  <c r="AD233" i="5"/>
  <c r="AB199" i="4" s="1"/>
  <c r="AE233" i="5"/>
  <c r="AC199" i="4" s="1"/>
  <c r="AD246" i="5"/>
  <c r="AE246" i="5"/>
  <c r="AD258" i="5"/>
  <c r="AE258" i="5"/>
  <c r="AD270" i="5"/>
  <c r="AB218" i="4" s="1"/>
  <c r="AE270" i="5"/>
  <c r="AC218" i="4" s="1"/>
  <c r="AD282" i="5"/>
  <c r="AB7" i="3" s="1"/>
  <c r="AE282" i="5"/>
  <c r="AC7" i="3" s="1"/>
  <c r="AD294" i="5"/>
  <c r="AE294" i="5"/>
  <c r="AD306" i="5"/>
  <c r="AE306" i="5"/>
  <c r="AD318" i="5"/>
  <c r="AB16" i="3" s="1"/>
  <c r="AE318" i="5"/>
  <c r="AC16" i="3" s="1"/>
  <c r="AD343" i="5"/>
  <c r="AE343" i="5"/>
  <c r="AD355" i="5"/>
  <c r="AB26" i="3" s="1"/>
  <c r="AE355" i="5"/>
  <c r="AC26" i="3" s="1"/>
  <c r="AD367" i="5"/>
  <c r="AE367" i="5"/>
  <c r="AD379" i="5"/>
  <c r="AE379" i="5"/>
  <c r="AD391" i="5"/>
  <c r="AB110" i="3" s="1"/>
  <c r="AE391" i="5"/>
  <c r="AD403" i="5"/>
  <c r="AE403" i="5"/>
  <c r="AD415" i="5"/>
  <c r="AE415" i="5"/>
  <c r="AD427" i="5"/>
  <c r="AB115" i="3" s="1"/>
  <c r="AE427" i="5"/>
  <c r="AC115" i="3" s="1"/>
  <c r="AD439" i="5"/>
  <c r="AB97" i="3" s="1"/>
  <c r="AE439" i="5"/>
  <c r="AD451" i="5"/>
  <c r="AE451" i="5"/>
  <c r="AD463" i="5"/>
  <c r="AB142" i="3" s="1"/>
  <c r="AE463" i="5"/>
  <c r="AD475" i="5"/>
  <c r="AE475" i="5"/>
  <c r="AD487" i="5"/>
  <c r="AE487" i="5"/>
  <c r="AD499" i="5"/>
  <c r="AB130" i="3" s="1"/>
  <c r="AE499" i="5"/>
  <c r="AC130" i="3" s="1"/>
  <c r="AD511" i="5"/>
  <c r="AE511" i="5"/>
  <c r="AD523" i="5"/>
  <c r="AE523" i="5"/>
  <c r="AD535" i="5"/>
  <c r="AE535" i="5"/>
  <c r="AD547" i="5"/>
  <c r="AE547" i="5"/>
  <c r="AD559" i="5"/>
  <c r="AE559" i="5"/>
  <c r="AD18" i="5"/>
  <c r="AB150" i="4" s="1"/>
  <c r="AE18" i="5"/>
  <c r="AC150" i="4" s="1"/>
  <c r="AD30" i="5"/>
  <c r="AB14" i="4" s="1"/>
  <c r="AE30" i="5"/>
  <c r="AC14" i="4" s="1"/>
  <c r="AD42" i="5"/>
  <c r="AB23" i="4" s="1"/>
  <c r="AE42" i="5"/>
  <c r="AC23" i="4" s="1"/>
  <c r="AD54" i="5"/>
  <c r="AE54" i="5"/>
  <c r="AD66" i="5"/>
  <c r="AB38" i="4" s="1"/>
  <c r="AE66" i="5"/>
  <c r="AC38" i="4" s="1"/>
  <c r="AD78" i="5"/>
  <c r="AE78" i="5"/>
  <c r="AD90" i="5"/>
  <c r="AE90" i="5"/>
  <c r="AD102" i="5"/>
  <c r="AE102" i="5"/>
  <c r="AD114" i="5"/>
  <c r="AE114" i="5"/>
  <c r="AD126" i="5"/>
  <c r="AE126" i="5"/>
  <c r="AD138" i="5"/>
  <c r="AB86" i="4" s="1"/>
  <c r="AE138" i="5"/>
  <c r="AC86" i="4" s="1"/>
  <c r="AD150" i="5"/>
  <c r="AE150" i="5"/>
  <c r="AD162" i="5"/>
  <c r="AE162" i="5"/>
  <c r="AD174" i="5"/>
  <c r="AE174" i="5"/>
  <c r="AD186" i="5"/>
  <c r="AB106" i="4" s="1"/>
  <c r="AE186" i="5"/>
  <c r="AC106" i="4" s="1"/>
  <c r="AD198" i="5"/>
  <c r="AB140" i="4" s="1"/>
  <c r="AE198" i="5"/>
  <c r="AC140" i="4" s="1"/>
  <c r="AD210" i="5"/>
  <c r="AB94" i="4" s="1"/>
  <c r="AE210" i="5"/>
  <c r="AC94" i="4" s="1"/>
  <c r="AD222" i="5"/>
  <c r="AE222" i="5"/>
  <c r="AD234" i="5"/>
  <c r="AE234" i="5"/>
  <c r="AD247" i="5"/>
  <c r="AB181" i="4" s="1"/>
  <c r="AE247" i="5"/>
  <c r="AC181" i="4" s="1"/>
  <c r="AD259" i="5"/>
  <c r="AE259" i="5"/>
  <c r="AD271" i="5"/>
  <c r="AB210" i="4" s="1"/>
  <c r="AE271" i="5"/>
  <c r="AC210" i="4" s="1"/>
  <c r="AD283" i="5"/>
  <c r="AB8" i="3" s="1"/>
  <c r="AE283" i="5"/>
  <c r="AC8" i="3" s="1"/>
  <c r="AD295" i="5"/>
  <c r="AE295" i="5"/>
  <c r="AD307" i="5"/>
  <c r="AE307" i="5"/>
  <c r="AD319" i="5"/>
  <c r="AE319" i="5"/>
  <c r="AD332" i="5"/>
  <c r="AB17" i="3" s="1"/>
  <c r="AE332" i="5"/>
  <c r="AC17" i="3" s="1"/>
  <c r="AD344" i="5"/>
  <c r="AE344" i="5"/>
  <c r="AD356" i="5"/>
  <c r="AE356" i="5"/>
  <c r="AD368" i="5"/>
  <c r="AB35" i="3" s="1"/>
  <c r="AE368" i="5"/>
  <c r="AC35" i="3" s="1"/>
  <c r="AD380" i="5"/>
  <c r="AE380" i="5"/>
  <c r="AD392" i="5"/>
  <c r="AB59" i="3" s="1"/>
  <c r="AE392" i="5"/>
  <c r="AD404" i="5"/>
  <c r="AB89" i="3" s="1"/>
  <c r="AE404" i="5"/>
  <c r="AD416" i="5"/>
  <c r="AE416" i="5"/>
  <c r="AD428" i="5"/>
  <c r="AE428" i="5"/>
  <c r="AD440" i="5"/>
  <c r="AE440" i="5"/>
  <c r="AD452" i="5"/>
  <c r="AE452" i="5"/>
  <c r="AD464" i="5"/>
  <c r="AB143" i="3" s="1"/>
  <c r="AE464" i="5"/>
  <c r="AD476" i="5"/>
  <c r="AE476" i="5"/>
  <c r="AD488" i="5"/>
  <c r="AB70" i="3" s="1"/>
  <c r="AE488" i="5"/>
  <c r="AD500" i="5"/>
  <c r="AE500" i="5"/>
  <c r="AD512" i="5"/>
  <c r="AE512" i="5"/>
  <c r="AD524" i="5"/>
  <c r="AE524" i="5"/>
  <c r="AD536" i="5"/>
  <c r="AE536" i="5"/>
  <c r="AD548" i="5"/>
  <c r="AE548" i="5"/>
  <c r="AD560" i="5"/>
  <c r="AB40" i="3" s="1"/>
  <c r="AE560" i="5"/>
  <c r="AC40" i="3" s="1"/>
  <c r="AD19" i="5"/>
  <c r="AB151" i="4" s="1"/>
  <c r="AE19" i="5"/>
  <c r="AC151" i="4" s="1"/>
  <c r="AD31" i="5"/>
  <c r="AB15" i="4" s="1"/>
  <c r="AE31" i="5"/>
  <c r="AC15" i="4" s="1"/>
  <c r="AD43" i="5"/>
  <c r="AB24" i="4" s="1"/>
  <c r="AE43" i="5"/>
  <c r="AC24" i="4" s="1"/>
  <c r="AD55" i="5"/>
  <c r="AB34" i="4" s="1"/>
  <c r="AE55" i="5"/>
  <c r="AC34" i="4" s="1"/>
  <c r="AD67" i="5"/>
  <c r="AB39" i="4" s="1"/>
  <c r="AE67" i="5"/>
  <c r="AC39" i="4" s="1"/>
  <c r="AD79" i="5"/>
  <c r="AE79" i="5"/>
  <c r="AD91" i="5"/>
  <c r="AE91" i="5"/>
  <c r="AD103" i="5"/>
  <c r="AE103" i="5"/>
  <c r="AD115" i="5"/>
  <c r="AB45" i="4" s="1"/>
  <c r="AE115" i="5"/>
  <c r="AC45" i="4" s="1"/>
  <c r="AD127" i="5"/>
  <c r="AE127" i="5"/>
  <c r="AD139" i="5"/>
  <c r="AB46" i="4" s="1"/>
  <c r="AE139" i="5"/>
  <c r="AC46" i="4" s="1"/>
  <c r="AD151" i="5"/>
  <c r="AE151" i="5"/>
  <c r="AD163" i="5"/>
  <c r="AB72" i="4" s="1"/>
  <c r="AE163" i="5"/>
  <c r="AC72" i="4" s="1"/>
  <c r="AD175" i="5"/>
  <c r="AB99" i="4" s="1"/>
  <c r="AE175" i="5"/>
  <c r="AC99" i="4" s="1"/>
  <c r="AD187" i="5"/>
  <c r="AB107" i="4" s="1"/>
  <c r="AE187" i="5"/>
  <c r="AC107" i="4" s="1"/>
  <c r="AD199" i="5"/>
  <c r="AB141" i="4" s="1"/>
  <c r="AE199" i="5"/>
  <c r="AC141" i="4" s="1"/>
  <c r="AD211" i="5"/>
  <c r="AE211" i="5"/>
  <c r="AD223" i="5"/>
  <c r="AE223" i="5"/>
  <c r="AD235" i="5"/>
  <c r="AE235" i="5"/>
  <c r="AD248" i="5"/>
  <c r="AB164" i="4" s="1"/>
  <c r="AB166" i="4" s="1"/>
  <c r="AB168" i="4" s="1"/>
  <c r="AE248" i="5"/>
  <c r="AC164" i="4" s="1"/>
  <c r="AC166" i="4" s="1"/>
  <c r="AC168" i="4" s="1"/>
  <c r="AD260" i="5"/>
  <c r="AE260" i="5"/>
  <c r="AD272" i="5"/>
  <c r="AB211" i="4" s="1"/>
  <c r="AE272" i="5"/>
  <c r="AC211" i="4" s="1"/>
  <c r="AD284" i="5"/>
  <c r="AE284" i="5"/>
  <c r="AD296" i="5"/>
  <c r="AE296" i="5"/>
  <c r="AD308" i="5"/>
  <c r="AE308" i="5"/>
  <c r="AD320" i="5"/>
  <c r="AE320" i="5"/>
  <c r="AD333" i="5"/>
  <c r="AB22" i="3" s="1"/>
  <c r="AE333" i="5"/>
  <c r="AD345" i="5"/>
  <c r="AE345" i="5"/>
  <c r="AD357" i="5"/>
  <c r="AB27" i="3" s="1"/>
  <c r="AE357" i="5"/>
  <c r="AC27" i="3" s="1"/>
  <c r="AD369" i="5"/>
  <c r="AB36" i="3" s="1"/>
  <c r="AE369" i="5"/>
  <c r="AC36" i="3" s="1"/>
  <c r="AD381" i="5"/>
  <c r="AE381" i="5"/>
  <c r="AD393" i="5"/>
  <c r="AE393" i="5"/>
  <c r="AD405" i="5"/>
  <c r="AB90" i="3" s="1"/>
  <c r="AE405" i="5"/>
  <c r="AC90" i="3" s="1"/>
  <c r="AD417" i="5"/>
  <c r="AB152" i="3" s="1"/>
  <c r="AB153" i="3" s="1"/>
  <c r="AE417" i="5"/>
  <c r="AD429" i="5"/>
  <c r="AE429" i="5"/>
  <c r="AD441" i="5"/>
  <c r="AE441" i="5"/>
  <c r="AD453" i="5"/>
  <c r="AE453" i="5"/>
  <c r="AD465" i="5"/>
  <c r="AB128" i="3" s="1"/>
  <c r="AE465" i="5"/>
  <c r="AC128" i="3" s="1"/>
  <c r="AD477" i="5"/>
  <c r="AE477" i="5"/>
  <c r="AD489" i="5"/>
  <c r="AB71" i="3" s="1"/>
  <c r="AE489" i="5"/>
  <c r="AD501" i="5"/>
  <c r="AE501" i="5"/>
  <c r="AD513" i="5"/>
  <c r="AE513" i="5"/>
  <c r="AD525" i="5"/>
  <c r="AE525" i="5"/>
  <c r="AD537" i="5"/>
  <c r="AB196" i="3" s="1"/>
  <c r="AE537" i="5"/>
  <c r="AC196" i="3" s="1"/>
  <c r="AD549" i="5"/>
  <c r="AE549" i="5"/>
  <c r="AD561" i="5"/>
  <c r="AE561" i="5"/>
  <c r="AD20" i="5"/>
  <c r="AB152" i="4" s="1"/>
  <c r="AE20" i="5"/>
  <c r="AC152" i="4" s="1"/>
  <c r="AD32" i="5"/>
  <c r="AB16" i="4" s="1"/>
  <c r="AE32" i="5"/>
  <c r="AC16" i="4" s="1"/>
  <c r="AD44" i="5"/>
  <c r="AB25" i="4" s="1"/>
  <c r="AE44" i="5"/>
  <c r="AC25" i="4" s="1"/>
  <c r="AD56" i="5"/>
  <c r="AB32" i="4" s="1"/>
  <c r="AE56" i="5"/>
  <c r="AC32" i="4" s="1"/>
  <c r="AD68" i="5"/>
  <c r="AB40" i="4" s="1"/>
  <c r="AE68" i="5"/>
  <c r="AC40" i="4" s="1"/>
  <c r="AD80" i="5"/>
  <c r="AE80" i="5"/>
  <c r="AD92" i="5"/>
  <c r="AE92" i="5"/>
  <c r="AD104" i="5"/>
  <c r="AE104" i="5"/>
  <c r="AD116" i="5"/>
  <c r="AE116" i="5"/>
  <c r="AD128" i="5"/>
  <c r="AB59" i="4" s="1"/>
  <c r="AE128" i="5"/>
  <c r="AC59" i="4" s="1"/>
  <c r="AD140" i="5"/>
  <c r="AB80" i="4" s="1"/>
  <c r="AE140" i="5"/>
  <c r="AC80" i="4" s="1"/>
  <c r="AD152" i="5"/>
  <c r="AE152" i="5"/>
  <c r="AD164" i="5"/>
  <c r="AB73" i="4" s="1"/>
  <c r="AE164" i="5"/>
  <c r="AC73" i="4" s="1"/>
  <c r="AD176" i="5"/>
  <c r="AB100" i="4" s="1"/>
  <c r="AE176" i="5"/>
  <c r="AC100" i="4" s="1"/>
  <c r="AD188" i="5"/>
  <c r="AB116" i="4" s="1"/>
  <c r="AE188" i="5"/>
  <c r="AC116" i="4" s="1"/>
  <c r="AD200" i="5"/>
  <c r="AB142" i="4" s="1"/>
  <c r="AE200" i="5"/>
  <c r="AC142" i="4" s="1"/>
  <c r="AD212" i="5"/>
  <c r="AE212" i="5"/>
  <c r="AD224" i="5"/>
  <c r="AE224" i="5"/>
  <c r="AD236" i="5"/>
  <c r="AB177" i="4" s="1"/>
  <c r="AE236" i="5"/>
  <c r="AC177" i="4" s="1"/>
  <c r="AD249" i="5"/>
  <c r="AE249" i="5"/>
  <c r="AD261" i="5"/>
  <c r="AE261" i="5"/>
  <c r="AD273" i="5"/>
  <c r="AB212" i="4" s="1"/>
  <c r="AE273" i="5"/>
  <c r="AC212" i="4" s="1"/>
  <c r="AD285" i="5"/>
  <c r="AE285" i="5"/>
  <c r="AD297" i="5"/>
  <c r="AE297" i="5"/>
  <c r="AD309" i="5"/>
  <c r="AE309" i="5"/>
  <c r="AD321" i="5"/>
  <c r="AE321" i="5"/>
  <c r="AD334" i="5"/>
  <c r="AE334" i="5"/>
  <c r="AD346" i="5"/>
  <c r="AE346" i="5"/>
  <c r="AD358" i="5"/>
  <c r="AB28" i="3" s="1"/>
  <c r="AE358" i="5"/>
  <c r="AC28" i="3" s="1"/>
  <c r="AD370" i="5"/>
  <c r="AE370" i="5"/>
  <c r="AD382" i="5"/>
  <c r="AB102" i="3" s="1"/>
  <c r="AE382" i="5"/>
  <c r="AD394" i="5"/>
  <c r="AB60" i="3" s="1"/>
  <c r="AE394" i="5"/>
  <c r="AD406" i="5"/>
  <c r="AE406" i="5"/>
  <c r="AD418" i="5"/>
  <c r="AB113" i="3" s="1"/>
  <c r="AE418" i="5"/>
  <c r="AC113" i="3" s="1"/>
  <c r="AD430" i="5"/>
  <c r="AE430" i="5"/>
  <c r="AD442" i="5"/>
  <c r="AE442" i="5"/>
  <c r="AD454" i="5"/>
  <c r="AE454" i="5"/>
  <c r="AD466" i="5"/>
  <c r="AE466" i="5"/>
  <c r="AD478" i="5"/>
  <c r="AE478" i="5"/>
  <c r="AD490" i="5"/>
  <c r="AE490" i="5"/>
  <c r="AD502" i="5"/>
  <c r="AE502" i="5"/>
  <c r="AD514" i="5"/>
  <c r="AE514" i="5"/>
  <c r="AD526" i="5"/>
  <c r="AE526" i="5"/>
  <c r="AD538" i="5"/>
  <c r="AE538" i="5"/>
  <c r="AD550" i="5"/>
  <c r="AE550" i="5"/>
  <c r="AD562" i="5"/>
  <c r="AE562" i="5"/>
  <c r="AD21" i="5"/>
  <c r="AB153" i="4" s="1"/>
  <c r="AE21" i="5"/>
  <c r="AC153" i="4" s="1"/>
  <c r="AD33" i="5"/>
  <c r="AB17" i="4" s="1"/>
  <c r="AE33" i="5"/>
  <c r="AC17" i="4" s="1"/>
  <c r="AD45" i="5"/>
  <c r="AB26" i="4" s="1"/>
  <c r="AE45" i="5"/>
  <c r="AC26" i="4" s="1"/>
  <c r="AD57" i="5"/>
  <c r="AB33" i="4" s="1"/>
  <c r="AE57" i="5"/>
  <c r="AC33" i="4" s="1"/>
  <c r="AD69" i="5"/>
  <c r="AB41" i="4" s="1"/>
  <c r="AE69" i="5"/>
  <c r="AC41" i="4" s="1"/>
  <c r="AD81" i="5"/>
  <c r="AE81" i="5"/>
  <c r="AD93" i="5"/>
  <c r="AE93" i="5"/>
  <c r="AD105" i="5"/>
  <c r="AE105" i="5"/>
  <c r="AD117" i="5"/>
  <c r="AE117" i="5"/>
  <c r="AD129" i="5"/>
  <c r="AB64" i="4" s="1"/>
  <c r="AE129" i="5"/>
  <c r="AC64" i="4" s="1"/>
  <c r="AD141" i="5"/>
  <c r="AE141" i="5"/>
  <c r="AD153" i="5"/>
  <c r="AE153" i="5"/>
  <c r="AD165" i="5"/>
  <c r="AE165" i="5"/>
  <c r="AD177" i="5"/>
  <c r="AB101" i="4" s="1"/>
  <c r="AE177" i="5"/>
  <c r="AC101" i="4" s="1"/>
  <c r="AD189" i="5"/>
  <c r="AB117" i="4" s="1"/>
  <c r="AE189" i="5"/>
  <c r="AC117" i="4" s="1"/>
  <c r="AD201" i="5"/>
  <c r="AB123" i="4" s="1"/>
  <c r="AE201" i="5"/>
  <c r="AC123" i="4" s="1"/>
  <c r="AD213" i="5"/>
  <c r="AE213" i="5"/>
  <c r="AD225" i="5"/>
  <c r="AE225" i="5"/>
  <c r="AD237" i="5"/>
  <c r="AE237" i="5"/>
  <c r="AD250" i="5"/>
  <c r="AB202" i="4" s="1"/>
  <c r="AE250" i="5"/>
  <c r="AC202" i="4" s="1"/>
  <c r="AD262" i="5"/>
  <c r="AE262" i="5"/>
  <c r="AD274" i="5"/>
  <c r="AB213" i="4" s="1"/>
  <c r="AE274" i="5"/>
  <c r="AC213" i="4" s="1"/>
  <c r="AD286" i="5"/>
  <c r="AE286" i="5"/>
  <c r="AD298" i="5"/>
  <c r="AB49" i="3" s="1"/>
  <c r="AE298" i="5"/>
  <c r="AC49" i="3" s="1"/>
  <c r="AD310" i="5"/>
  <c r="AE310" i="5"/>
  <c r="AD322" i="5"/>
  <c r="AE322" i="5"/>
  <c r="AD335" i="5"/>
  <c r="AE335" i="5"/>
  <c r="AD347" i="5"/>
  <c r="AE347" i="5"/>
  <c r="AD359" i="5"/>
  <c r="AE359" i="5"/>
  <c r="AD371" i="5"/>
  <c r="AE371" i="5"/>
  <c r="AD383" i="5"/>
  <c r="AB103" i="3" s="1"/>
  <c r="AE383" i="5"/>
  <c r="AC103" i="3" s="1"/>
  <c r="AD395" i="5"/>
  <c r="AB61" i="3" s="1"/>
  <c r="AE395" i="5"/>
  <c r="AD407" i="5"/>
  <c r="AB92" i="3" s="1"/>
  <c r="AE407" i="5"/>
  <c r="AC92" i="3" s="1"/>
  <c r="AD419" i="5"/>
  <c r="AE419" i="5"/>
  <c r="AD431" i="5"/>
  <c r="AE431" i="5"/>
  <c r="AD443" i="5"/>
  <c r="AB121" i="3" s="1"/>
  <c r="AE443" i="5"/>
  <c r="AC121" i="3" s="1"/>
  <c r="AD455" i="5"/>
  <c r="AE455" i="5"/>
  <c r="AD467" i="5"/>
  <c r="AE467" i="5"/>
  <c r="AD479" i="5"/>
  <c r="AB177" i="3" s="1"/>
  <c r="AE479" i="5"/>
  <c r="AD491" i="5"/>
  <c r="AB73" i="3" s="1"/>
  <c r="AE491" i="5"/>
  <c r="AD503" i="5"/>
  <c r="AB127" i="3" s="1"/>
  <c r="AE503" i="5"/>
  <c r="AC127" i="3" s="1"/>
  <c r="AD515" i="5"/>
  <c r="AE515" i="5"/>
  <c r="AD527" i="5"/>
  <c r="AE527" i="5"/>
  <c r="AD539" i="5"/>
  <c r="AE539" i="5"/>
  <c r="AD551" i="5"/>
  <c r="AE551" i="5"/>
  <c r="AD563" i="5"/>
  <c r="AE563" i="5"/>
  <c r="AD22" i="5"/>
  <c r="AB154" i="4" s="1"/>
  <c r="AE22" i="5"/>
  <c r="AC154" i="4" s="1"/>
  <c r="AD34" i="5"/>
  <c r="AB18" i="4" s="1"/>
  <c r="AE34" i="5"/>
  <c r="AC18" i="4" s="1"/>
  <c r="AD46" i="5"/>
  <c r="AE46" i="5"/>
  <c r="AD58" i="5"/>
  <c r="AE58" i="5"/>
  <c r="AD70" i="5"/>
  <c r="AE70" i="5"/>
  <c r="AD82" i="5"/>
  <c r="AE82" i="5"/>
  <c r="AD94" i="5"/>
  <c r="AE94" i="5"/>
  <c r="AD106" i="5"/>
  <c r="AE106" i="5"/>
  <c r="AD118" i="5"/>
  <c r="AB53" i="4" s="1"/>
  <c r="AE118" i="5"/>
  <c r="AC53" i="4" s="1"/>
  <c r="AD130" i="5"/>
  <c r="AB65" i="4" s="1"/>
  <c r="AE130" i="5"/>
  <c r="AC65" i="4" s="1"/>
  <c r="AD142" i="5"/>
  <c r="AE142" i="5"/>
  <c r="AD154" i="5"/>
  <c r="AE154" i="5"/>
  <c r="AD166" i="5"/>
  <c r="AE166" i="5"/>
  <c r="AD178" i="5"/>
  <c r="AE178" i="5"/>
  <c r="AD190" i="5"/>
  <c r="AB118" i="4" s="1"/>
  <c r="AE190" i="5"/>
  <c r="AC118" i="4" s="1"/>
  <c r="AD202" i="5"/>
  <c r="AB124" i="4" s="1"/>
  <c r="AE202" i="5"/>
  <c r="AC124" i="4" s="1"/>
  <c r="AD214" i="5"/>
  <c r="AE214" i="5"/>
  <c r="AD226" i="5"/>
  <c r="AB194" i="4" s="1"/>
  <c r="AE226" i="5"/>
  <c r="AC194" i="4" s="1"/>
  <c r="AD238" i="5"/>
  <c r="AB200" i="4" s="1"/>
  <c r="AE238" i="5"/>
  <c r="AC200" i="4" s="1"/>
  <c r="AD251" i="5"/>
  <c r="AE251" i="5"/>
  <c r="AD263" i="5"/>
  <c r="AE263" i="5"/>
  <c r="AD275" i="5"/>
  <c r="AE275" i="5"/>
  <c r="AD287" i="5"/>
  <c r="AE287" i="5"/>
  <c r="AD299" i="5"/>
  <c r="AB51" i="3" s="1"/>
  <c r="AE299" i="5"/>
  <c r="AC51" i="3" s="1"/>
  <c r="AD311" i="5"/>
  <c r="AE311" i="5"/>
  <c r="AD323" i="5"/>
  <c r="AE323" i="5"/>
  <c r="AD336" i="5"/>
  <c r="AE336" i="5"/>
  <c r="AD348" i="5"/>
  <c r="AE348" i="5"/>
  <c r="AD360" i="5"/>
  <c r="AB29" i="3" s="1"/>
  <c r="AE360" i="5"/>
  <c r="AC29" i="3" s="1"/>
  <c r="AD372" i="5"/>
  <c r="AB37" i="3" s="1"/>
  <c r="AE372" i="5"/>
  <c r="AC37" i="3" s="1"/>
  <c r="AD384" i="5"/>
  <c r="AE384" i="5"/>
  <c r="AD396" i="5"/>
  <c r="AB62" i="3" s="1"/>
  <c r="AE396" i="5"/>
  <c r="AD408" i="5"/>
  <c r="AE408" i="5"/>
  <c r="AD420" i="5"/>
  <c r="AE420" i="5"/>
  <c r="AD432" i="5"/>
  <c r="AE432" i="5"/>
  <c r="AD444" i="5"/>
  <c r="AB122" i="3" s="1"/>
  <c r="AE444" i="5"/>
  <c r="AC122" i="3" s="1"/>
  <c r="AD456" i="5"/>
  <c r="AE456" i="5"/>
  <c r="AC126" i="3" s="1"/>
  <c r="AD468" i="5"/>
  <c r="AE468" i="5"/>
  <c r="AD480" i="5"/>
  <c r="AB66" i="3" s="1"/>
  <c r="AE480" i="5"/>
  <c r="AC66" i="3" s="1"/>
  <c r="AD492" i="5"/>
  <c r="AB74" i="3" s="1"/>
  <c r="AE492" i="5"/>
  <c r="AD504" i="5"/>
  <c r="AB194" i="3" s="1"/>
  <c r="AE504" i="5"/>
  <c r="AC194" i="3" s="1"/>
  <c r="AD516" i="5"/>
  <c r="AE516" i="5"/>
  <c r="AD528" i="5"/>
  <c r="AE528" i="5"/>
  <c r="AD540" i="5"/>
  <c r="AE540" i="5"/>
  <c r="AD552" i="5"/>
  <c r="AB164" i="3" s="1"/>
  <c r="AE552" i="5"/>
  <c r="AC164" i="3" s="1"/>
  <c r="AD564" i="5"/>
  <c r="AB76" i="3" s="1"/>
  <c r="AE564" i="5"/>
  <c r="AD4" i="5"/>
  <c r="AB6" i="4" s="1"/>
  <c r="AE4" i="5"/>
  <c r="AD23" i="5"/>
  <c r="AB155" i="4" s="1"/>
  <c r="AE23" i="5"/>
  <c r="AC155" i="4" s="1"/>
  <c r="AD35" i="5"/>
  <c r="AB19" i="4" s="1"/>
  <c r="AE35" i="5"/>
  <c r="AC19" i="4" s="1"/>
  <c r="AD47" i="5"/>
  <c r="AB27" i="4" s="1"/>
  <c r="AE47" i="5"/>
  <c r="AC27" i="4" s="1"/>
  <c r="AD59" i="5"/>
  <c r="AB35" i="4" s="1"/>
  <c r="AE59" i="5"/>
  <c r="AC35" i="4" s="1"/>
  <c r="AD71" i="5"/>
  <c r="AE71" i="5"/>
  <c r="AD83" i="5"/>
  <c r="AE83" i="5"/>
  <c r="AD95" i="5"/>
  <c r="AE95" i="5"/>
  <c r="AD107" i="5"/>
  <c r="AE107" i="5"/>
  <c r="AD119" i="5"/>
  <c r="AB54" i="4" s="1"/>
  <c r="AE119" i="5"/>
  <c r="AC54" i="4" s="1"/>
  <c r="AD131" i="5"/>
  <c r="AE131" i="5"/>
  <c r="AD143" i="5"/>
  <c r="AE143" i="5"/>
  <c r="AD155" i="5"/>
  <c r="AE155" i="5"/>
  <c r="AD167" i="5"/>
  <c r="AB74" i="4" s="1"/>
  <c r="AE167" i="5"/>
  <c r="AC74" i="4" s="1"/>
  <c r="AD179" i="5"/>
  <c r="AE179" i="5"/>
  <c r="AD191" i="5"/>
  <c r="AE191" i="5"/>
  <c r="AD203" i="5"/>
  <c r="AB125" i="4" s="1"/>
  <c r="AE203" i="5"/>
  <c r="AC125" i="4" s="1"/>
  <c r="AD215" i="5"/>
  <c r="AB108" i="4" s="1"/>
  <c r="AE215" i="5"/>
  <c r="AC108" i="4" s="1"/>
  <c r="AD227" i="5"/>
  <c r="AE227" i="5"/>
  <c r="AD239" i="5"/>
  <c r="AE239" i="5"/>
  <c r="AD252" i="5"/>
  <c r="AE252" i="5"/>
  <c r="AD264" i="5"/>
  <c r="AB209" i="4" s="1"/>
  <c r="AE264" i="5"/>
  <c r="AC209" i="4" s="1"/>
  <c r="AD276" i="5"/>
  <c r="AB219" i="4" s="1"/>
  <c r="AE276" i="5"/>
  <c r="AC219" i="4" s="1"/>
  <c r="AD288" i="5"/>
  <c r="AE288" i="5"/>
  <c r="AD300" i="5"/>
  <c r="AE300" i="5"/>
  <c r="AD312" i="5"/>
  <c r="AE312" i="5"/>
  <c r="AD324" i="5"/>
  <c r="AE324" i="5"/>
  <c r="AD337" i="5"/>
  <c r="AE337" i="5"/>
  <c r="AD349" i="5"/>
  <c r="AE349" i="5"/>
  <c r="AD361" i="5"/>
  <c r="AB30" i="3" s="1"/>
  <c r="AE361" i="5"/>
  <c r="AC30" i="3" s="1"/>
  <c r="AD373" i="5"/>
  <c r="AE373" i="5"/>
  <c r="AD385" i="5"/>
  <c r="AB105" i="3" s="1"/>
  <c r="AE385" i="5"/>
  <c r="AC105" i="3" s="1"/>
  <c r="AD397" i="5"/>
  <c r="AB111" i="3" s="1"/>
  <c r="AE397" i="5"/>
  <c r="AC111" i="3" s="1"/>
  <c r="AD409" i="5"/>
  <c r="AE409" i="5"/>
  <c r="AC93" i="3" s="1"/>
  <c r="AD421" i="5"/>
  <c r="AE421" i="5"/>
  <c r="AC114" i="3" s="1"/>
  <c r="AD433" i="5"/>
  <c r="AB118" i="3" s="1"/>
  <c r="AE433" i="5"/>
  <c r="AD445" i="5"/>
  <c r="AB123" i="3" s="1"/>
  <c r="AE445" i="5"/>
  <c r="AD457" i="5"/>
  <c r="AE457" i="5"/>
  <c r="AD469" i="5"/>
  <c r="AE469" i="5"/>
  <c r="AD481" i="5"/>
  <c r="AE481" i="5"/>
  <c r="AD493" i="5"/>
  <c r="AE493" i="5"/>
  <c r="AD505" i="5"/>
  <c r="AB195" i="3" s="1"/>
  <c r="AE505" i="5"/>
  <c r="AC195" i="3" s="1"/>
  <c r="AD517" i="5"/>
  <c r="AE517" i="5"/>
  <c r="AD529" i="5"/>
  <c r="AE529" i="5"/>
  <c r="AD541" i="5"/>
  <c r="AE541" i="5"/>
  <c r="AD553" i="5"/>
  <c r="AB160" i="3" s="1"/>
  <c r="AB161" i="3" s="1"/>
  <c r="AE553" i="5"/>
  <c r="AD565" i="5"/>
  <c r="AB144" i="4" s="1"/>
  <c r="AE565" i="5"/>
  <c r="AC144" i="4" s="1"/>
  <c r="AD5" i="5"/>
  <c r="AE5" i="5"/>
  <c r="AD24" i="5"/>
  <c r="AB10" i="4" s="1"/>
  <c r="AE24" i="5"/>
  <c r="AC10" i="4" s="1"/>
  <c r="AD36" i="5"/>
  <c r="AE36" i="5"/>
  <c r="AD48" i="5"/>
  <c r="AB28" i="4" s="1"/>
  <c r="AE48" i="5"/>
  <c r="AC28" i="4" s="1"/>
  <c r="AD60" i="5"/>
  <c r="AB36" i="4" s="1"/>
  <c r="AE60" i="5"/>
  <c r="AC36" i="4" s="1"/>
  <c r="AD72" i="5"/>
  <c r="AB42" i="4" s="1"/>
  <c r="AE72" i="5"/>
  <c r="AC42" i="4" s="1"/>
  <c r="AD84" i="5"/>
  <c r="AE84" i="5"/>
  <c r="AD96" i="5"/>
  <c r="AE96" i="5"/>
  <c r="AD108" i="5"/>
  <c r="AE108" i="5"/>
  <c r="AD120" i="5"/>
  <c r="AB55" i="4" s="1"/>
  <c r="AE120" i="5"/>
  <c r="AC55" i="4" s="1"/>
  <c r="AD132" i="5"/>
  <c r="AB134" i="4" s="1"/>
  <c r="AE132" i="5"/>
  <c r="AC134" i="4" s="1"/>
  <c r="AD144" i="5"/>
  <c r="AB81" i="4" s="1"/>
  <c r="AE144" i="5"/>
  <c r="AC81" i="4" s="1"/>
  <c r="AD156" i="5"/>
  <c r="AE156" i="5"/>
  <c r="AD168" i="5"/>
  <c r="AB75" i="4" s="1"/>
  <c r="AE168" i="5"/>
  <c r="AC75" i="4" s="1"/>
  <c r="AD180" i="5"/>
  <c r="AB102" i="4" s="1"/>
  <c r="AE180" i="5"/>
  <c r="AC102" i="4" s="1"/>
  <c r="AD192" i="5"/>
  <c r="AB119" i="4" s="1"/>
  <c r="AE192" i="5"/>
  <c r="AC119" i="4" s="1"/>
  <c r="AD204" i="5"/>
  <c r="AB126" i="4" s="1"/>
  <c r="AE204" i="5"/>
  <c r="AC126" i="4" s="1"/>
  <c r="AD216" i="5"/>
  <c r="AE216" i="5"/>
  <c r="AD228" i="5"/>
  <c r="AE228" i="5"/>
  <c r="AD240" i="5"/>
  <c r="AE240" i="5"/>
  <c r="AD253" i="5"/>
  <c r="AE253" i="5"/>
  <c r="AD265" i="5"/>
  <c r="AE265" i="5"/>
  <c r="AD277" i="5"/>
  <c r="AB220" i="4" s="1"/>
  <c r="AE277" i="5"/>
  <c r="AC220" i="4" s="1"/>
  <c r="AD289" i="5"/>
  <c r="AE289" i="5"/>
  <c r="AD301" i="5"/>
  <c r="AB12" i="3" s="1"/>
  <c r="AE301" i="5"/>
  <c r="AC12" i="3" s="1"/>
  <c r="AD313" i="5"/>
  <c r="AB11" i="3" s="1"/>
  <c r="AE313" i="5"/>
  <c r="AC11" i="3" s="1"/>
  <c r="AD325" i="5"/>
  <c r="AE325" i="5"/>
  <c r="AD338" i="5"/>
  <c r="AE338" i="5"/>
  <c r="AD350" i="5"/>
  <c r="AE350" i="5"/>
  <c r="AC24" i="3" s="1"/>
  <c r="AD362" i="5"/>
  <c r="AB32" i="3" s="1"/>
  <c r="AE362" i="5"/>
  <c r="AC32" i="3" s="1"/>
  <c r="AD374" i="5"/>
  <c r="AB38" i="3" s="1"/>
  <c r="AE374" i="5"/>
  <c r="AC38" i="3" s="1"/>
  <c r="AD386" i="5"/>
  <c r="AB106" i="3" s="1"/>
  <c r="AE386" i="5"/>
  <c r="AC106" i="3" s="1"/>
  <c r="AD398" i="5"/>
  <c r="AE398" i="5"/>
  <c r="AD410" i="5"/>
  <c r="AE410" i="5"/>
  <c r="AC94" i="3" s="1"/>
  <c r="AD422" i="5"/>
  <c r="AE422" i="5"/>
  <c r="AD434" i="5"/>
  <c r="AB119" i="3" s="1"/>
  <c r="AE434" i="5"/>
  <c r="AC119" i="3" s="1"/>
  <c r="AD446" i="5"/>
  <c r="AB124" i="3" s="1"/>
  <c r="AE446" i="5"/>
  <c r="AC124" i="3" s="1"/>
  <c r="AD458" i="5"/>
  <c r="AE458" i="5"/>
  <c r="AD470" i="5"/>
  <c r="AE470" i="5"/>
  <c r="AD482" i="5"/>
  <c r="AE482" i="5"/>
  <c r="AD494" i="5"/>
  <c r="AE494" i="5"/>
  <c r="AC129" i="3" s="1"/>
  <c r="AD506" i="5"/>
  <c r="AE506" i="5"/>
  <c r="AD518" i="5"/>
  <c r="AE518" i="5"/>
  <c r="AD530" i="5"/>
  <c r="AE530" i="5"/>
  <c r="AD542" i="5"/>
  <c r="AE542" i="5"/>
  <c r="AD554" i="5"/>
  <c r="AB166" i="3" s="1"/>
  <c r="AE554" i="5"/>
  <c r="AD6" i="5"/>
  <c r="AE6" i="5"/>
  <c r="AD25" i="5"/>
  <c r="AE25" i="5"/>
  <c r="AD37" i="5"/>
  <c r="AB20" i="4" s="1"/>
  <c r="AE37" i="5"/>
  <c r="AC20" i="4" s="1"/>
  <c r="AD49" i="5"/>
  <c r="AE49" i="5"/>
  <c r="AD61" i="5"/>
  <c r="AB37" i="4" s="1"/>
  <c r="AE61" i="5"/>
  <c r="AC37" i="4" s="1"/>
  <c r="AD73" i="5"/>
  <c r="AE73" i="5"/>
  <c r="AD85" i="5"/>
  <c r="AE85" i="5"/>
  <c r="AD97" i="5"/>
  <c r="AE97" i="5"/>
  <c r="AD109" i="5"/>
  <c r="AB43" i="4" s="1"/>
  <c r="AE109" i="5"/>
  <c r="AC43" i="4" s="1"/>
  <c r="AD121" i="5"/>
  <c r="AB56" i="4" s="1"/>
  <c r="AE121" i="5"/>
  <c r="AC56" i="4" s="1"/>
  <c r="AD133" i="5"/>
  <c r="AB66" i="4" s="1"/>
  <c r="AE133" i="5"/>
  <c r="AC66" i="4" s="1"/>
  <c r="AD145" i="5"/>
  <c r="AE145" i="5"/>
  <c r="AD157" i="5"/>
  <c r="AE157" i="5"/>
  <c r="AD169" i="5"/>
  <c r="AB89" i="4" s="1"/>
  <c r="AE169" i="5"/>
  <c r="AC89" i="4" s="1"/>
  <c r="AD181" i="5"/>
  <c r="AB103" i="4" s="1"/>
  <c r="AE181" i="5"/>
  <c r="AC103" i="4" s="1"/>
  <c r="AD193" i="5"/>
  <c r="AB120" i="4" s="1"/>
  <c r="AE193" i="5"/>
  <c r="AC120" i="4" s="1"/>
  <c r="AD205" i="5"/>
  <c r="AB127" i="4" s="1"/>
  <c r="AE205" i="5"/>
  <c r="AC127" i="4" s="1"/>
  <c r="AD217" i="5"/>
  <c r="AB47" i="4" s="1"/>
  <c r="AE217" i="5"/>
  <c r="AC47" i="4" s="1"/>
  <c r="AD229" i="5"/>
  <c r="AB195" i="4" s="1"/>
  <c r="AE229" i="5"/>
  <c r="AC195" i="4" s="1"/>
  <c r="AD241" i="5"/>
  <c r="AE241" i="5"/>
  <c r="AD254" i="5"/>
  <c r="AE254" i="5"/>
  <c r="AD266" i="5"/>
  <c r="AE266" i="5"/>
  <c r="AD278" i="5"/>
  <c r="AE278" i="5"/>
  <c r="AD290" i="5"/>
  <c r="AB9" i="3" s="1"/>
  <c r="AE290" i="5"/>
  <c r="AC9" i="3" s="1"/>
  <c r="AD302" i="5"/>
  <c r="AE302" i="5"/>
  <c r="AD314" i="5"/>
  <c r="AE314" i="5"/>
  <c r="AD326" i="5"/>
  <c r="AE326" i="5"/>
  <c r="AD339" i="5"/>
  <c r="AE339" i="5"/>
  <c r="AD351" i="5"/>
  <c r="AE351" i="5"/>
  <c r="AD363" i="5"/>
  <c r="AE363" i="5"/>
  <c r="AD375" i="5"/>
  <c r="AE375" i="5"/>
  <c r="AD387" i="5"/>
  <c r="AB107" i="3" s="1"/>
  <c r="AE387" i="5"/>
  <c r="AC107" i="3" s="1"/>
  <c r="AD399" i="5"/>
  <c r="AB85" i="3" s="1"/>
  <c r="AE399" i="5"/>
  <c r="AD411" i="5"/>
  <c r="AE411" i="5"/>
  <c r="AD423" i="5"/>
  <c r="AE423" i="5"/>
  <c r="AD435" i="5"/>
  <c r="AE435" i="5"/>
  <c r="AD447" i="5"/>
  <c r="AE447" i="5"/>
  <c r="AD459" i="5"/>
  <c r="AE459" i="5"/>
  <c r="AD471" i="5"/>
  <c r="AE471" i="5"/>
  <c r="AD483" i="5"/>
  <c r="AE483" i="5"/>
  <c r="AD495" i="5"/>
  <c r="AB75" i="3" s="1"/>
  <c r="AE495" i="5"/>
  <c r="AC75" i="3" s="1"/>
  <c r="AD507" i="5"/>
  <c r="AE507" i="5"/>
  <c r="AD519" i="5"/>
  <c r="AE519" i="5"/>
  <c r="AD531" i="5"/>
  <c r="AE531" i="5"/>
  <c r="AD543" i="5"/>
  <c r="AE543" i="5"/>
  <c r="AD555" i="5"/>
  <c r="AB135" i="3" s="1"/>
  <c r="AE555" i="5"/>
  <c r="AD14" i="5"/>
  <c r="AE14" i="5"/>
  <c r="AD26" i="5"/>
  <c r="AB11" i="4" s="1"/>
  <c r="AE26" i="5"/>
  <c r="AC11" i="4" s="1"/>
  <c r="AD38" i="5"/>
  <c r="AB21" i="4" s="1"/>
  <c r="AE38" i="5"/>
  <c r="AC21" i="4" s="1"/>
  <c r="AD50" i="5"/>
  <c r="AB29" i="4" s="1"/>
  <c r="AE50" i="5"/>
  <c r="AC29" i="4" s="1"/>
  <c r="AD62" i="5"/>
  <c r="AE62" i="5"/>
  <c r="AD74" i="5"/>
  <c r="AE74" i="5"/>
  <c r="AD86" i="5"/>
  <c r="AE86" i="5"/>
  <c r="AD98" i="5"/>
  <c r="AE98" i="5"/>
  <c r="AD110" i="5"/>
  <c r="AB44" i="4" s="1"/>
  <c r="AE110" i="5"/>
  <c r="AC44" i="4" s="1"/>
  <c r="AD122" i="5"/>
  <c r="AB57" i="4" s="1"/>
  <c r="AE122" i="5"/>
  <c r="AC57" i="4" s="1"/>
  <c r="AD134" i="5"/>
  <c r="AB67" i="4" s="1"/>
  <c r="AE134" i="5"/>
  <c r="AC67" i="4" s="1"/>
  <c r="AD146" i="5"/>
  <c r="AB87" i="4" s="1"/>
  <c r="AE146" i="5"/>
  <c r="AC87" i="4" s="1"/>
  <c r="AD158" i="5"/>
  <c r="AE158" i="5"/>
  <c r="AD170" i="5"/>
  <c r="AE170" i="5"/>
  <c r="AD182" i="5"/>
  <c r="AE182" i="5"/>
  <c r="AD194" i="5"/>
  <c r="AB121" i="4" s="1"/>
  <c r="AE194" i="5"/>
  <c r="AC121" i="4" s="1"/>
  <c r="AD206" i="5"/>
  <c r="AB128" i="4" s="1"/>
  <c r="AE206" i="5"/>
  <c r="AC128" i="4" s="1"/>
  <c r="AD218" i="5"/>
  <c r="AB48" i="4" s="1"/>
  <c r="AE218" i="5"/>
  <c r="AC48" i="4" s="1"/>
  <c r="AD230" i="5"/>
  <c r="AB196" i="4" s="1"/>
  <c r="AE230" i="5"/>
  <c r="AC196" i="4" s="1"/>
  <c r="AD243" i="5"/>
  <c r="AB178" i="4" s="1"/>
  <c r="AE243" i="5"/>
  <c r="AC178" i="4" s="1"/>
  <c r="AD255" i="5"/>
  <c r="AB182" i="4" s="1"/>
  <c r="AE255" i="5"/>
  <c r="AC182" i="4" s="1"/>
  <c r="AD267" i="5"/>
  <c r="AE267" i="5"/>
  <c r="AD279" i="5"/>
  <c r="AE279" i="5"/>
  <c r="AD291" i="5"/>
  <c r="AB10" i="3" s="1"/>
  <c r="AE291" i="5"/>
  <c r="AC10" i="3" s="1"/>
  <c r="AD303" i="5"/>
  <c r="AE303" i="5"/>
  <c r="AD315" i="5"/>
  <c r="AB13" i="3" s="1"/>
  <c r="AE315" i="5"/>
  <c r="AC13" i="3" s="1"/>
  <c r="AD327" i="5"/>
  <c r="AE327" i="5"/>
  <c r="AD340" i="5"/>
  <c r="AE340" i="5"/>
  <c r="AD352" i="5"/>
  <c r="AE352" i="5"/>
  <c r="AD364" i="5"/>
  <c r="AB31" i="3" s="1"/>
  <c r="AE364" i="5"/>
  <c r="AC31" i="3" s="1"/>
  <c r="AD376" i="5"/>
  <c r="AE376" i="5"/>
  <c r="AD388" i="5"/>
  <c r="AE388" i="5"/>
  <c r="AC108" i="3" s="1"/>
  <c r="AD400" i="5"/>
  <c r="AB86" i="3" s="1"/>
  <c r="AE400" i="5"/>
  <c r="AC86" i="3" s="1"/>
  <c r="AD412" i="5"/>
  <c r="AE412" i="5"/>
  <c r="AD424" i="5"/>
  <c r="AE424" i="5"/>
  <c r="AC156" i="3" s="1"/>
  <c r="AC157" i="3" s="1"/>
  <c r="AD436" i="5"/>
  <c r="AE436" i="5"/>
  <c r="AD448" i="5"/>
  <c r="AB125" i="3" s="1"/>
  <c r="AE448" i="5"/>
  <c r="AD460" i="5"/>
  <c r="AB63" i="3" s="1"/>
  <c r="AE460" i="5"/>
  <c r="AD472" i="5"/>
  <c r="AE472" i="5"/>
  <c r="AD484" i="5"/>
  <c r="AB68" i="3" s="1"/>
  <c r="AE484" i="5"/>
  <c r="AC68" i="3" s="1"/>
  <c r="AD496" i="5"/>
  <c r="AE496" i="5"/>
  <c r="AD508" i="5"/>
  <c r="AB98" i="3" s="1"/>
  <c r="AE508" i="5"/>
  <c r="AC98" i="3" s="1"/>
  <c r="AD520" i="5"/>
  <c r="AE520" i="5"/>
  <c r="AD532" i="5"/>
  <c r="AE532" i="5"/>
  <c r="AD544" i="5"/>
  <c r="AB186" i="3" s="1"/>
  <c r="AE544" i="5"/>
  <c r="AC186" i="3" s="1"/>
  <c r="AC187" i="3" s="1"/>
  <c r="AD556" i="5"/>
  <c r="AB136" i="3" s="1"/>
  <c r="AE556" i="5"/>
  <c r="AC136" i="3" s="1"/>
  <c r="AD15" i="5"/>
  <c r="AB7" i="4" s="1"/>
  <c r="AE15" i="5"/>
  <c r="AC7" i="4" s="1"/>
  <c r="AD27" i="5"/>
  <c r="AB12" i="4" s="1"/>
  <c r="AE27" i="5"/>
  <c r="AC12" i="4" s="1"/>
  <c r="AD39" i="5"/>
  <c r="AB22" i="4" s="1"/>
  <c r="AE39" i="5"/>
  <c r="AC22" i="4" s="1"/>
  <c r="AD51" i="5"/>
  <c r="AB30" i="4" s="1"/>
  <c r="AE51" i="5"/>
  <c r="AC30" i="4" s="1"/>
  <c r="AD63" i="5"/>
  <c r="AE63" i="5"/>
  <c r="AD75" i="5"/>
  <c r="AE75" i="5"/>
  <c r="AD87" i="5"/>
  <c r="AE87" i="5"/>
  <c r="AD99" i="5"/>
  <c r="AE99" i="5"/>
  <c r="AD111" i="5"/>
  <c r="AE111" i="5"/>
  <c r="AD123" i="5"/>
  <c r="AB58" i="4" s="1"/>
  <c r="AE123" i="5"/>
  <c r="AC58" i="4" s="1"/>
  <c r="AD135" i="5"/>
  <c r="AE135" i="5"/>
  <c r="AD147" i="5"/>
  <c r="AE147" i="5"/>
  <c r="AD159" i="5"/>
  <c r="AE159" i="5"/>
  <c r="AD171" i="5"/>
  <c r="AB88" i="4" s="1"/>
  <c r="AE171" i="5"/>
  <c r="AC88" i="4" s="1"/>
  <c r="AD183" i="5"/>
  <c r="AB104" i="4" s="1"/>
  <c r="AE183" i="5"/>
  <c r="AC104" i="4" s="1"/>
  <c r="AD195" i="5"/>
  <c r="AB122" i="4" s="1"/>
  <c r="AE195" i="5"/>
  <c r="AC122" i="4" s="1"/>
  <c r="AD207" i="5"/>
  <c r="AB129" i="4" s="1"/>
  <c r="AE207" i="5"/>
  <c r="AC129" i="4" s="1"/>
  <c r="AD219" i="5"/>
  <c r="AB171" i="4" s="1"/>
  <c r="AE219" i="5"/>
  <c r="AC171" i="4" s="1"/>
  <c r="AD231" i="5"/>
  <c r="AE231" i="5"/>
  <c r="AD244" i="5"/>
  <c r="AB179" i="4" s="1"/>
  <c r="AE244" i="5"/>
  <c r="AC179" i="4" s="1"/>
  <c r="AD256" i="5"/>
  <c r="AE256" i="5"/>
  <c r="AD268" i="5"/>
  <c r="AE268" i="5"/>
  <c r="AD280" i="5"/>
  <c r="AE280" i="5"/>
  <c r="AD292" i="5"/>
  <c r="AE292" i="5"/>
  <c r="AD304" i="5"/>
  <c r="AE304" i="5"/>
  <c r="AD316" i="5"/>
  <c r="AB14" i="3" s="1"/>
  <c r="AE316" i="5"/>
  <c r="AC14" i="3" s="1"/>
  <c r="AD328" i="5"/>
  <c r="AB50" i="3" s="1"/>
  <c r="AE328" i="5"/>
  <c r="AC50" i="3" s="1"/>
  <c r="AD341" i="5"/>
  <c r="AE341" i="5"/>
  <c r="AD353" i="5"/>
  <c r="AE353" i="5"/>
  <c r="AD365" i="5"/>
  <c r="AB33" i="3" s="1"/>
  <c r="AE365" i="5"/>
  <c r="AC33" i="3" s="1"/>
  <c r="AD377" i="5"/>
  <c r="AE377" i="5"/>
  <c r="AD389" i="5"/>
  <c r="AB109" i="3" s="1"/>
  <c r="AE389" i="5"/>
  <c r="AC109" i="3" s="1"/>
  <c r="AD401" i="5"/>
  <c r="AB87" i="3" s="1"/>
  <c r="AE401" i="5"/>
  <c r="AD413" i="5"/>
  <c r="AE413" i="5"/>
  <c r="AD425" i="5"/>
  <c r="AE425" i="5"/>
  <c r="AD437" i="5"/>
  <c r="AE437" i="5"/>
  <c r="AD449" i="5"/>
  <c r="AE449" i="5"/>
  <c r="AD461" i="5"/>
  <c r="AE461" i="5"/>
  <c r="AD473" i="5"/>
  <c r="AE473" i="5"/>
  <c r="AD485" i="5"/>
  <c r="AE485" i="5"/>
  <c r="AD497" i="5"/>
  <c r="AE497" i="5"/>
  <c r="AD509" i="5"/>
  <c r="AE509" i="5"/>
  <c r="AD521" i="5"/>
  <c r="AE521" i="5"/>
  <c r="AD533" i="5"/>
  <c r="AE533" i="5"/>
  <c r="AD545" i="5"/>
  <c r="AB197" i="3" s="1"/>
  <c r="AE545" i="5"/>
  <c r="AC197" i="3" s="1"/>
  <c r="AD557" i="5"/>
  <c r="AB137" i="3" s="1"/>
  <c r="AE557" i="5"/>
  <c r="AC137" i="3" s="1"/>
  <c r="F3" i="7"/>
  <c r="AS132" i="10"/>
  <c r="AT132" i="10"/>
  <c r="AS132" i="6"/>
  <c r="AT132" i="6"/>
  <c r="AC18" i="8"/>
  <c r="T18" i="8"/>
  <c r="H18" i="8"/>
  <c r="S18" i="8"/>
  <c r="G18" i="8"/>
  <c r="M18" i="8"/>
  <c r="R18" i="8"/>
  <c r="F18" i="8"/>
  <c r="Q18" i="8"/>
  <c r="J18" i="8"/>
  <c r="AB18" i="8"/>
  <c r="P18" i="8"/>
  <c r="O18" i="8"/>
  <c r="AA18" i="8"/>
  <c r="I18" i="8"/>
  <c r="Z18" i="8"/>
  <c r="N18" i="8"/>
  <c r="U18" i="8"/>
  <c r="Y18" i="8"/>
  <c r="X18" i="8"/>
  <c r="L18" i="8"/>
  <c r="W18" i="8"/>
  <c r="K18" i="8"/>
  <c r="V18" i="8"/>
  <c r="AC30" i="8"/>
  <c r="Q30" i="8"/>
  <c r="AB30" i="8"/>
  <c r="P30" i="8"/>
  <c r="AA30" i="8"/>
  <c r="O30" i="8"/>
  <c r="S30" i="8"/>
  <c r="Z30" i="8"/>
  <c r="N30" i="8"/>
  <c r="R30" i="8"/>
  <c r="Y30" i="8"/>
  <c r="M30" i="8"/>
  <c r="X30" i="8"/>
  <c r="L30" i="8"/>
  <c r="F30" i="8"/>
  <c r="W30" i="8"/>
  <c r="K30" i="8"/>
  <c r="V30" i="8"/>
  <c r="J30" i="8"/>
  <c r="U30" i="8"/>
  <c r="I30" i="8"/>
  <c r="T30" i="8"/>
  <c r="H30" i="8"/>
  <c r="G30" i="8"/>
  <c r="AC42" i="8"/>
  <c r="AA42" i="8"/>
  <c r="O42" i="8"/>
  <c r="Z42" i="8"/>
  <c r="N42" i="8"/>
  <c r="Y42" i="8"/>
  <c r="M42" i="8"/>
  <c r="Q42" i="8"/>
  <c r="X42" i="8"/>
  <c r="L42" i="8"/>
  <c r="W42" i="8"/>
  <c r="K42" i="8"/>
  <c r="AB42" i="8"/>
  <c r="V42" i="8"/>
  <c r="J42" i="8"/>
  <c r="U42" i="8"/>
  <c r="I42" i="8"/>
  <c r="P42" i="8"/>
  <c r="T42" i="8"/>
  <c r="H42" i="8"/>
  <c r="S42" i="8"/>
  <c r="G42" i="8"/>
  <c r="R42" i="8"/>
  <c r="F42" i="8"/>
  <c r="AC54" i="8"/>
  <c r="T54" i="8"/>
  <c r="H54" i="8"/>
  <c r="S54" i="8"/>
  <c r="G54" i="8"/>
  <c r="R54" i="8"/>
  <c r="F54" i="8"/>
  <c r="Q54" i="8"/>
  <c r="AB54" i="8"/>
  <c r="P54" i="8"/>
  <c r="AA54" i="8"/>
  <c r="Y54" i="8"/>
  <c r="M54" i="8"/>
  <c r="I54" i="8"/>
  <c r="Z54" i="8"/>
  <c r="K54" i="8"/>
  <c r="X54" i="8"/>
  <c r="W54" i="8"/>
  <c r="V54" i="8"/>
  <c r="U54" i="8"/>
  <c r="J54" i="8"/>
  <c r="O54" i="8"/>
  <c r="N54" i="8"/>
  <c r="L54" i="8"/>
  <c r="AC66" i="8"/>
  <c r="R66" i="8"/>
  <c r="F66" i="8"/>
  <c r="Q66" i="8"/>
  <c r="AB66" i="8"/>
  <c r="P66" i="8"/>
  <c r="AA66" i="8"/>
  <c r="O66" i="8"/>
  <c r="Z66" i="8"/>
  <c r="N66" i="8"/>
  <c r="Y66" i="8"/>
  <c r="M66" i="8"/>
  <c r="X66" i="8"/>
  <c r="L66" i="8"/>
  <c r="W66" i="8"/>
  <c r="K66" i="8"/>
  <c r="V66" i="8"/>
  <c r="J66" i="8"/>
  <c r="U66" i="8"/>
  <c r="I66" i="8"/>
  <c r="T66" i="8"/>
  <c r="S66" i="8"/>
  <c r="H66" i="8"/>
  <c r="G66" i="8"/>
  <c r="AC78" i="8"/>
  <c r="Q78" i="8"/>
  <c r="P78" i="8"/>
  <c r="O78" i="8"/>
  <c r="N78" i="8"/>
  <c r="M78" i="8"/>
  <c r="L78" i="8"/>
  <c r="K78" i="8"/>
  <c r="J78" i="8"/>
  <c r="I78" i="8"/>
  <c r="H78" i="8"/>
  <c r="F78" i="8"/>
  <c r="G78" i="8"/>
  <c r="AB78" i="8"/>
  <c r="Y78" i="8"/>
  <c r="Z78" i="8"/>
  <c r="AA78" i="8"/>
  <c r="X78" i="8"/>
  <c r="V78" i="8"/>
  <c r="W78" i="8"/>
  <c r="T78" i="8"/>
  <c r="U78" i="8"/>
  <c r="S78" i="8"/>
  <c r="R78" i="8"/>
  <c r="AC90" i="8"/>
  <c r="R90" i="8"/>
  <c r="F90" i="8"/>
  <c r="Q90" i="8"/>
  <c r="AB90" i="8"/>
  <c r="P90" i="8"/>
  <c r="AA90" i="8"/>
  <c r="O90" i="8"/>
  <c r="Z90" i="8"/>
  <c r="N90" i="8"/>
  <c r="Y90" i="8"/>
  <c r="M90" i="8"/>
  <c r="X90" i="8"/>
  <c r="L90" i="8"/>
  <c r="W90" i="8"/>
  <c r="K90" i="8"/>
  <c r="V90" i="8"/>
  <c r="J90" i="8"/>
  <c r="U90" i="8"/>
  <c r="I90" i="8"/>
  <c r="G90" i="8"/>
  <c r="S90" i="8"/>
  <c r="H90" i="8"/>
  <c r="T90" i="8"/>
  <c r="AC102" i="8"/>
  <c r="R102" i="8"/>
  <c r="F102" i="8"/>
  <c r="Q102" i="8"/>
  <c r="AB102" i="8"/>
  <c r="P102" i="8"/>
  <c r="AA102" i="8"/>
  <c r="O102" i="8"/>
  <c r="Z102" i="8"/>
  <c r="N102" i="8"/>
  <c r="Y102" i="8"/>
  <c r="M102" i="8"/>
  <c r="X102" i="8"/>
  <c r="L102" i="8"/>
  <c r="W102" i="8"/>
  <c r="K102" i="8"/>
  <c r="V102" i="8"/>
  <c r="J102" i="8"/>
  <c r="U102" i="8"/>
  <c r="I102" i="8"/>
  <c r="G102" i="8"/>
  <c r="H102" i="8"/>
  <c r="T102" i="8"/>
  <c r="S102" i="8"/>
  <c r="AC114" i="8"/>
  <c r="AB114" i="8"/>
  <c r="P114" i="8"/>
  <c r="AA114" i="8"/>
  <c r="O114" i="8"/>
  <c r="Z114" i="8"/>
  <c r="N114" i="8"/>
  <c r="Y114" i="8"/>
  <c r="M114" i="8"/>
  <c r="X114" i="8"/>
  <c r="L114" i="8"/>
  <c r="W114" i="8"/>
  <c r="K114" i="8"/>
  <c r="V114" i="8"/>
  <c r="J114" i="8"/>
  <c r="U114" i="8"/>
  <c r="I114" i="8"/>
  <c r="T114" i="8"/>
  <c r="H114" i="8"/>
  <c r="S114" i="8"/>
  <c r="G114" i="8"/>
  <c r="R114" i="8"/>
  <c r="Q114" i="8"/>
  <c r="F114" i="8"/>
  <c r="AC126" i="8"/>
  <c r="Z126" i="8"/>
  <c r="N126" i="8"/>
  <c r="Y126" i="8"/>
  <c r="M126" i="8"/>
  <c r="X126" i="8"/>
  <c r="L126" i="8"/>
  <c r="W126" i="8"/>
  <c r="K126" i="8"/>
  <c r="V126" i="8"/>
  <c r="J126" i="8"/>
  <c r="T126" i="8"/>
  <c r="H126" i="8"/>
  <c r="S126" i="8"/>
  <c r="R126" i="8"/>
  <c r="Q126" i="8"/>
  <c r="P126" i="8"/>
  <c r="O126" i="8"/>
  <c r="I126" i="8"/>
  <c r="G126" i="8"/>
  <c r="F126" i="8"/>
  <c r="AB126" i="8"/>
  <c r="AA126" i="8"/>
  <c r="U126" i="8"/>
  <c r="AC138" i="8"/>
  <c r="P138" i="8"/>
  <c r="O138" i="8"/>
  <c r="N138" i="8"/>
  <c r="M138" i="8"/>
  <c r="L138" i="8"/>
  <c r="K138" i="8"/>
  <c r="J138" i="8"/>
  <c r="U138" i="8"/>
  <c r="T138" i="8"/>
  <c r="S138" i="8"/>
  <c r="R138" i="8"/>
  <c r="Q138" i="8"/>
  <c r="I138" i="8"/>
  <c r="H138" i="8"/>
  <c r="G138" i="8"/>
  <c r="F138" i="8"/>
  <c r="AB138" i="8"/>
  <c r="Y138" i="8"/>
  <c r="Z138" i="8"/>
  <c r="AA138" i="8"/>
  <c r="X138" i="8"/>
  <c r="V138" i="8"/>
  <c r="W138" i="8"/>
  <c r="AC150" i="8"/>
  <c r="R150" i="8"/>
  <c r="F150" i="8"/>
  <c r="Q150" i="8"/>
  <c r="AB150" i="8"/>
  <c r="P150" i="8"/>
  <c r="AA150" i="8"/>
  <c r="O150" i="8"/>
  <c r="Z150" i="8"/>
  <c r="N150" i="8"/>
  <c r="Y150" i="8"/>
  <c r="M150" i="8"/>
  <c r="X150" i="8"/>
  <c r="L150" i="8"/>
  <c r="W150" i="8"/>
  <c r="K150" i="8"/>
  <c r="V150" i="8"/>
  <c r="J150" i="8"/>
  <c r="U150" i="8"/>
  <c r="I150" i="8"/>
  <c r="S150" i="8"/>
  <c r="H150" i="8"/>
  <c r="G150" i="8"/>
  <c r="T150" i="8"/>
  <c r="AC162" i="8"/>
  <c r="O162" i="8"/>
  <c r="N162" i="8"/>
  <c r="M162" i="8"/>
  <c r="L162" i="8"/>
  <c r="K162" i="8"/>
  <c r="J162" i="8"/>
  <c r="I162" i="8"/>
  <c r="H162" i="8"/>
  <c r="G162" i="8"/>
  <c r="F162" i="8"/>
  <c r="Q162" i="8"/>
  <c r="P162" i="8"/>
  <c r="AB162" i="8"/>
  <c r="Y162" i="8"/>
  <c r="Z162" i="8"/>
  <c r="AA162" i="8"/>
  <c r="T162" i="8"/>
  <c r="X162" i="8"/>
  <c r="S162" i="8"/>
  <c r="U162" i="8"/>
  <c r="V162" i="8"/>
  <c r="W162" i="8"/>
  <c r="R162" i="8"/>
  <c r="AC174" i="8"/>
  <c r="AA174" i="8"/>
  <c r="O174" i="8"/>
  <c r="Z174" i="8"/>
  <c r="N174" i="8"/>
  <c r="Y174" i="8"/>
  <c r="M174" i="8"/>
  <c r="X174" i="8"/>
  <c r="L174" i="8"/>
  <c r="W174" i="8"/>
  <c r="K174" i="8"/>
  <c r="V174" i="8"/>
  <c r="J174" i="8"/>
  <c r="U174" i="8"/>
  <c r="I174" i="8"/>
  <c r="T174" i="8"/>
  <c r="H174" i="8"/>
  <c r="S174" i="8"/>
  <c r="G174" i="8"/>
  <c r="R174" i="8"/>
  <c r="F174" i="8"/>
  <c r="AB174" i="8"/>
  <c r="Q174" i="8"/>
  <c r="P174" i="8"/>
  <c r="AC186" i="8"/>
  <c r="Y186" i="8"/>
  <c r="M186" i="8"/>
  <c r="V186" i="8"/>
  <c r="I186" i="8"/>
  <c r="U186" i="8"/>
  <c r="H186" i="8"/>
  <c r="T186" i="8"/>
  <c r="G186" i="8"/>
  <c r="S186" i="8"/>
  <c r="F186" i="8"/>
  <c r="R186" i="8"/>
  <c r="Q186" i="8"/>
  <c r="P186" i="8"/>
  <c r="AB186" i="8"/>
  <c r="O186" i="8"/>
  <c r="AA186" i="8"/>
  <c r="N186" i="8"/>
  <c r="Z186" i="8"/>
  <c r="L186" i="8"/>
  <c r="X186" i="8"/>
  <c r="W186" i="8"/>
  <c r="K186" i="8"/>
  <c r="J186" i="8"/>
  <c r="AC198" i="8"/>
  <c r="Y198" i="8"/>
  <c r="M198" i="8"/>
  <c r="R198" i="8"/>
  <c r="Q198" i="8"/>
  <c r="P198" i="8"/>
  <c r="AB198" i="8"/>
  <c r="O198" i="8"/>
  <c r="AA198" i="8"/>
  <c r="N198" i="8"/>
  <c r="Z198" i="8"/>
  <c r="L198" i="8"/>
  <c r="X198" i="8"/>
  <c r="K198" i="8"/>
  <c r="W198" i="8"/>
  <c r="J198" i="8"/>
  <c r="V198" i="8"/>
  <c r="I198" i="8"/>
  <c r="U198" i="8"/>
  <c r="H198" i="8"/>
  <c r="T198" i="8"/>
  <c r="S198" i="8"/>
  <c r="G198" i="8"/>
  <c r="F198" i="8"/>
  <c r="AC210" i="8"/>
  <c r="X210" i="8"/>
  <c r="L210" i="8"/>
  <c r="U210" i="8"/>
  <c r="I210" i="8"/>
  <c r="T210" i="8"/>
  <c r="H210" i="8"/>
  <c r="S210" i="8"/>
  <c r="G210" i="8"/>
  <c r="R210" i="8"/>
  <c r="F210" i="8"/>
  <c r="Q210" i="8"/>
  <c r="AB210" i="8"/>
  <c r="P210" i="8"/>
  <c r="AA210" i="8"/>
  <c r="Z210" i="8"/>
  <c r="Y210" i="8"/>
  <c r="W210" i="8"/>
  <c r="V210" i="8"/>
  <c r="O210" i="8"/>
  <c r="N210" i="8"/>
  <c r="M210" i="8"/>
  <c r="K210" i="8"/>
  <c r="J210" i="8"/>
  <c r="AC222" i="8"/>
  <c r="I222" i="8"/>
  <c r="H222" i="8"/>
  <c r="G222" i="8"/>
  <c r="F222" i="8"/>
  <c r="Q222" i="8"/>
  <c r="P222" i="8"/>
  <c r="O222" i="8"/>
  <c r="N222" i="8"/>
  <c r="M222" i="8"/>
  <c r="L222" i="8"/>
  <c r="K222" i="8"/>
  <c r="J222" i="8"/>
  <c r="AB222" i="8"/>
  <c r="Y222" i="8"/>
  <c r="Z222" i="8"/>
  <c r="S222" i="8"/>
  <c r="T222" i="8"/>
  <c r="U222" i="8"/>
  <c r="X222" i="8"/>
  <c r="AA222" i="8"/>
  <c r="R222" i="8"/>
  <c r="V222" i="8"/>
  <c r="W222" i="8"/>
  <c r="AC234" i="8"/>
  <c r="AB234" i="8"/>
  <c r="P234" i="8"/>
  <c r="AA234" i="8"/>
  <c r="O234" i="8"/>
  <c r="Z234" i="8"/>
  <c r="N234" i="8"/>
  <c r="Y234" i="8"/>
  <c r="M234" i="8"/>
  <c r="X234" i="8"/>
  <c r="L234" i="8"/>
  <c r="W234" i="8"/>
  <c r="K234" i="8"/>
  <c r="V234" i="8"/>
  <c r="J234" i="8"/>
  <c r="U234" i="8"/>
  <c r="I234" i="8"/>
  <c r="T234" i="8"/>
  <c r="H234" i="8"/>
  <c r="S234" i="8"/>
  <c r="G234" i="8"/>
  <c r="R234" i="8"/>
  <c r="Q234" i="8"/>
  <c r="F234" i="8"/>
  <c r="AC246" i="8"/>
  <c r="L246" i="8"/>
  <c r="K246" i="8"/>
  <c r="I246" i="8"/>
  <c r="V246" i="8"/>
  <c r="H246" i="8"/>
  <c r="U246" i="8"/>
  <c r="G246" i="8"/>
  <c r="T246" i="8"/>
  <c r="F246" i="8"/>
  <c r="S246" i="8"/>
  <c r="R246" i="8"/>
  <c r="Q246" i="8"/>
  <c r="P246" i="8"/>
  <c r="O246" i="8"/>
  <c r="N246" i="8"/>
  <c r="J246" i="8"/>
  <c r="M246" i="8"/>
  <c r="AB246" i="8"/>
  <c r="Z246" i="8"/>
  <c r="Y246" i="8"/>
  <c r="X246" i="8"/>
  <c r="AA246" i="8"/>
  <c r="W246" i="8"/>
  <c r="AC258" i="8"/>
  <c r="W258" i="8"/>
  <c r="K258" i="8"/>
  <c r="V258" i="8"/>
  <c r="J258" i="8"/>
  <c r="AB258" i="8"/>
  <c r="N258" i="8"/>
  <c r="AA258" i="8"/>
  <c r="M258" i="8"/>
  <c r="Z258" i="8"/>
  <c r="L258" i="8"/>
  <c r="Y258" i="8"/>
  <c r="I258" i="8"/>
  <c r="X258" i="8"/>
  <c r="H258" i="8"/>
  <c r="U258" i="8"/>
  <c r="G258" i="8"/>
  <c r="T258" i="8"/>
  <c r="F258" i="8"/>
  <c r="S258" i="8"/>
  <c r="R258" i="8"/>
  <c r="Q258" i="8"/>
  <c r="P258" i="8"/>
  <c r="O258" i="8"/>
  <c r="AC270" i="8"/>
  <c r="AB270" i="8"/>
  <c r="P270" i="8"/>
  <c r="AA270" i="8"/>
  <c r="O270" i="8"/>
  <c r="R270" i="8"/>
  <c r="F270" i="8"/>
  <c r="N270" i="8"/>
  <c r="M270" i="8"/>
  <c r="L270" i="8"/>
  <c r="Z270" i="8"/>
  <c r="K270" i="8"/>
  <c r="Y270" i="8"/>
  <c r="J270" i="8"/>
  <c r="X270" i="8"/>
  <c r="I270" i="8"/>
  <c r="W270" i="8"/>
  <c r="H270" i="8"/>
  <c r="V270" i="8"/>
  <c r="G270" i="8"/>
  <c r="U270" i="8"/>
  <c r="T270" i="8"/>
  <c r="S270" i="8"/>
  <c r="Q270" i="8"/>
  <c r="AC282" i="8"/>
  <c r="AA282" i="8"/>
  <c r="O282" i="8"/>
  <c r="Z282" i="8"/>
  <c r="N282" i="8"/>
  <c r="Y282" i="8"/>
  <c r="M282" i="8"/>
  <c r="S282" i="8"/>
  <c r="G282" i="8"/>
  <c r="R282" i="8"/>
  <c r="F282" i="8"/>
  <c r="Q282" i="8"/>
  <c r="H282" i="8"/>
  <c r="AB282" i="8"/>
  <c r="X282" i="8"/>
  <c r="W282" i="8"/>
  <c r="V282" i="8"/>
  <c r="U282" i="8"/>
  <c r="T282" i="8"/>
  <c r="P282" i="8"/>
  <c r="L282" i="8"/>
  <c r="K282" i="8"/>
  <c r="J282" i="8"/>
  <c r="I282" i="8"/>
  <c r="AC294" i="8"/>
  <c r="AB294" i="8"/>
  <c r="P294" i="8"/>
  <c r="AA294" i="8"/>
  <c r="O294" i="8"/>
  <c r="Z294" i="8"/>
  <c r="N294" i="8"/>
  <c r="W294" i="8"/>
  <c r="K294" i="8"/>
  <c r="T294" i="8"/>
  <c r="H294" i="8"/>
  <c r="S294" i="8"/>
  <c r="G294" i="8"/>
  <c r="R294" i="8"/>
  <c r="F294" i="8"/>
  <c r="Y294" i="8"/>
  <c r="X294" i="8"/>
  <c r="V294" i="8"/>
  <c r="U294" i="8"/>
  <c r="Q294" i="8"/>
  <c r="M294" i="8"/>
  <c r="L294" i="8"/>
  <c r="J294" i="8"/>
  <c r="I294" i="8"/>
  <c r="AC8" i="12"/>
  <c r="AA8" i="12"/>
  <c r="O8" i="12"/>
  <c r="Z8" i="12"/>
  <c r="N8" i="12"/>
  <c r="Y8" i="12"/>
  <c r="M8" i="12"/>
  <c r="X8" i="12"/>
  <c r="L8" i="12"/>
  <c r="W8" i="12"/>
  <c r="K8" i="12"/>
  <c r="V8" i="12"/>
  <c r="J8" i="12"/>
  <c r="U8" i="12"/>
  <c r="I8" i="12"/>
  <c r="T8" i="12"/>
  <c r="R8" i="12"/>
  <c r="F8" i="12"/>
  <c r="AB8" i="12"/>
  <c r="S8" i="12"/>
  <c r="Q8" i="12"/>
  <c r="P8" i="12"/>
  <c r="H8" i="12"/>
  <c r="G8" i="12"/>
  <c r="AC20" i="12"/>
  <c r="AA20" i="12"/>
  <c r="O20" i="12"/>
  <c r="Z20" i="12"/>
  <c r="N20" i="12"/>
  <c r="Y20" i="12"/>
  <c r="M20" i="12"/>
  <c r="X20" i="12"/>
  <c r="L20" i="12"/>
  <c r="W20" i="12"/>
  <c r="K20" i="12"/>
  <c r="V20" i="12"/>
  <c r="J20" i="12"/>
  <c r="U20" i="12"/>
  <c r="I20" i="12"/>
  <c r="T20" i="12"/>
  <c r="H20" i="12"/>
  <c r="S20" i="12"/>
  <c r="G20" i="12"/>
  <c r="R20" i="12"/>
  <c r="F20" i="12"/>
  <c r="AB20" i="12"/>
  <c r="Q20" i="12"/>
  <c r="P20" i="12"/>
  <c r="AC32" i="12"/>
  <c r="AA32" i="12"/>
  <c r="O32" i="12"/>
  <c r="Z32" i="12"/>
  <c r="N32" i="12"/>
  <c r="Y32" i="12"/>
  <c r="M32" i="12"/>
  <c r="X32" i="12"/>
  <c r="L32" i="12"/>
  <c r="W32" i="12"/>
  <c r="K32" i="12"/>
  <c r="V32" i="12"/>
  <c r="J32" i="12"/>
  <c r="U32" i="12"/>
  <c r="I32" i="12"/>
  <c r="T32" i="12"/>
  <c r="H32" i="12"/>
  <c r="S32" i="12"/>
  <c r="G32" i="12"/>
  <c r="R32" i="12"/>
  <c r="F32" i="12"/>
  <c r="AB32" i="12"/>
  <c r="Q32" i="12"/>
  <c r="P32" i="12"/>
  <c r="AC44" i="12"/>
  <c r="V44" i="12"/>
  <c r="J44" i="12"/>
  <c r="U44" i="12"/>
  <c r="I44" i="12"/>
  <c r="T44" i="12"/>
  <c r="H44" i="12"/>
  <c r="S44" i="12"/>
  <c r="G44" i="12"/>
  <c r="R44" i="12"/>
  <c r="F44" i="12"/>
  <c r="AB44" i="12"/>
  <c r="P44" i="12"/>
  <c r="X44" i="12"/>
  <c r="W44" i="12"/>
  <c r="Q44" i="12"/>
  <c r="O44" i="12"/>
  <c r="N44" i="12"/>
  <c r="M44" i="12"/>
  <c r="L44" i="12"/>
  <c r="K44" i="12"/>
  <c r="AA44" i="12"/>
  <c r="Y44" i="12"/>
  <c r="Z44" i="12"/>
  <c r="AC56" i="12"/>
  <c r="V56" i="12"/>
  <c r="J56" i="12"/>
  <c r="U56" i="12"/>
  <c r="I56" i="12"/>
  <c r="T56" i="12"/>
  <c r="H56" i="12"/>
  <c r="S56" i="12"/>
  <c r="G56" i="12"/>
  <c r="R56" i="12"/>
  <c r="F56" i="12"/>
  <c r="Q56" i="12"/>
  <c r="AB56" i="12"/>
  <c r="P56" i="12"/>
  <c r="X56" i="12"/>
  <c r="W56" i="12"/>
  <c r="O56" i="12"/>
  <c r="N56" i="12"/>
  <c r="M56" i="12"/>
  <c r="L56" i="12"/>
  <c r="K56" i="12"/>
  <c r="AA56" i="12"/>
  <c r="Z56" i="12"/>
  <c r="Y56" i="12"/>
  <c r="AC68" i="12"/>
  <c r="V68" i="12"/>
  <c r="J68" i="12"/>
  <c r="U68" i="12"/>
  <c r="I68" i="12"/>
  <c r="T68" i="12"/>
  <c r="H68" i="12"/>
  <c r="S68" i="12"/>
  <c r="G68" i="12"/>
  <c r="R68" i="12"/>
  <c r="F68" i="12"/>
  <c r="Q68" i="12"/>
  <c r="AB68" i="12"/>
  <c r="P68" i="12"/>
  <c r="AA68" i="12"/>
  <c r="O68" i="12"/>
  <c r="Z68" i="12"/>
  <c r="N68" i="12"/>
  <c r="Y68" i="12"/>
  <c r="M68" i="12"/>
  <c r="X68" i="12"/>
  <c r="W68" i="12"/>
  <c r="L68" i="12"/>
  <c r="K68" i="12"/>
  <c r="AC80" i="12"/>
  <c r="V80" i="12"/>
  <c r="J80" i="12"/>
  <c r="U80" i="12"/>
  <c r="I80" i="12"/>
  <c r="T80" i="12"/>
  <c r="H80" i="12"/>
  <c r="S80" i="12"/>
  <c r="G80" i="12"/>
  <c r="R80" i="12"/>
  <c r="F80" i="12"/>
  <c r="Q80" i="12"/>
  <c r="AB80" i="12"/>
  <c r="P80" i="12"/>
  <c r="AA80" i="12"/>
  <c r="O80" i="12"/>
  <c r="Z80" i="12"/>
  <c r="N80" i="12"/>
  <c r="Y80" i="12"/>
  <c r="M80" i="12"/>
  <c r="X80" i="12"/>
  <c r="W80" i="12"/>
  <c r="K80" i="12"/>
  <c r="L80" i="12"/>
  <c r="AC92" i="12"/>
  <c r="Q92" i="12"/>
  <c r="AB92" i="12"/>
  <c r="P92" i="12"/>
  <c r="AA92" i="12"/>
  <c r="O92" i="12"/>
  <c r="Z92" i="12"/>
  <c r="N92" i="12"/>
  <c r="V92" i="12"/>
  <c r="J92" i="12"/>
  <c r="L92" i="12"/>
  <c r="K92" i="12"/>
  <c r="I92" i="12"/>
  <c r="H92" i="12"/>
  <c r="Y92" i="12"/>
  <c r="G92" i="12"/>
  <c r="X92" i="12"/>
  <c r="F92" i="12"/>
  <c r="W92" i="12"/>
  <c r="U92" i="12"/>
  <c r="T92" i="12"/>
  <c r="S92" i="12"/>
  <c r="R92" i="12"/>
  <c r="M92" i="12"/>
  <c r="AC104" i="12"/>
  <c r="Q104" i="12"/>
  <c r="AB104" i="12"/>
  <c r="P104" i="12"/>
  <c r="AA104" i="12"/>
  <c r="O104" i="12"/>
  <c r="Z104" i="12"/>
  <c r="N104" i="12"/>
  <c r="Y104" i="12"/>
  <c r="X104" i="12"/>
  <c r="L104" i="12"/>
  <c r="V104" i="12"/>
  <c r="J104" i="12"/>
  <c r="G104" i="12"/>
  <c r="F104" i="12"/>
  <c r="W104" i="12"/>
  <c r="U104" i="12"/>
  <c r="T104" i="12"/>
  <c r="S104" i="12"/>
  <c r="R104" i="12"/>
  <c r="M104" i="12"/>
  <c r="K104" i="12"/>
  <c r="I104" i="12"/>
  <c r="H104" i="12"/>
  <c r="AC116" i="12"/>
  <c r="R116" i="12"/>
  <c r="F116" i="12"/>
  <c r="Q116" i="12"/>
  <c r="AB116" i="12"/>
  <c r="P116" i="12"/>
  <c r="T116" i="12"/>
  <c r="S116" i="12"/>
  <c r="O116" i="12"/>
  <c r="N116" i="12"/>
  <c r="M116" i="12"/>
  <c r="AA116" i="12"/>
  <c r="L116" i="12"/>
  <c r="Z116" i="12"/>
  <c r="K116" i="12"/>
  <c r="Y116" i="12"/>
  <c r="J116" i="12"/>
  <c r="X116" i="12"/>
  <c r="I116" i="12"/>
  <c r="W116" i="12"/>
  <c r="H116" i="12"/>
  <c r="V116" i="12"/>
  <c r="U116" i="12"/>
  <c r="G116" i="12"/>
  <c r="AC128" i="12"/>
  <c r="R128" i="12"/>
  <c r="F128" i="12"/>
  <c r="Q128" i="12"/>
  <c r="AB128" i="12"/>
  <c r="P128" i="12"/>
  <c r="AA128" i="12"/>
  <c r="O128" i="12"/>
  <c r="Z128" i="12"/>
  <c r="N128" i="12"/>
  <c r="Y128" i="12"/>
  <c r="M128" i="12"/>
  <c r="G128" i="12"/>
  <c r="X128" i="12"/>
  <c r="W128" i="12"/>
  <c r="V128" i="12"/>
  <c r="U128" i="12"/>
  <c r="T128" i="12"/>
  <c r="S128" i="12"/>
  <c r="L128" i="12"/>
  <c r="K128" i="12"/>
  <c r="J128" i="12"/>
  <c r="I128" i="12"/>
  <c r="H128" i="12"/>
  <c r="AC140" i="12"/>
  <c r="U140" i="12"/>
  <c r="I140" i="12"/>
  <c r="T140" i="12"/>
  <c r="H140" i="12"/>
  <c r="V140" i="12"/>
  <c r="F140" i="12"/>
  <c r="S140" i="12"/>
  <c r="R140" i="12"/>
  <c r="Q140" i="12"/>
  <c r="P140" i="12"/>
  <c r="O140" i="12"/>
  <c r="W140" i="12"/>
  <c r="N140" i="12"/>
  <c r="M140" i="12"/>
  <c r="L140" i="12"/>
  <c r="K140" i="12"/>
  <c r="J140" i="12"/>
  <c r="G140" i="12"/>
  <c r="AB140" i="12"/>
  <c r="AA140" i="12"/>
  <c r="Z140" i="12"/>
  <c r="Y140" i="12"/>
  <c r="X140" i="12"/>
  <c r="AC152" i="12"/>
  <c r="U152" i="12"/>
  <c r="I152" i="12"/>
  <c r="T152" i="12"/>
  <c r="H152" i="12"/>
  <c r="AB152" i="12"/>
  <c r="P152" i="12"/>
  <c r="W152" i="12"/>
  <c r="F152" i="12"/>
  <c r="V152" i="12"/>
  <c r="S152" i="12"/>
  <c r="R152" i="12"/>
  <c r="Q152" i="12"/>
  <c r="O152" i="12"/>
  <c r="N152" i="12"/>
  <c r="AA152" i="12"/>
  <c r="L152" i="12"/>
  <c r="Z152" i="12"/>
  <c r="Y152" i="12"/>
  <c r="X152" i="12"/>
  <c r="M152" i="12"/>
  <c r="K152" i="12"/>
  <c r="J152" i="12"/>
  <c r="G152" i="12"/>
  <c r="AC164" i="12"/>
  <c r="V164" i="12"/>
  <c r="J164" i="12"/>
  <c r="U164" i="12"/>
  <c r="I164" i="12"/>
  <c r="T164" i="12"/>
  <c r="H164" i="12"/>
  <c r="S164" i="12"/>
  <c r="G164" i="12"/>
  <c r="Q164" i="12"/>
  <c r="AB164" i="12"/>
  <c r="P164" i="12"/>
  <c r="AA164" i="12"/>
  <c r="O164" i="12"/>
  <c r="L164" i="12"/>
  <c r="K164" i="12"/>
  <c r="F164" i="12"/>
  <c r="Z164" i="12"/>
  <c r="Y164" i="12"/>
  <c r="X164" i="12"/>
  <c r="W164" i="12"/>
  <c r="R164" i="12"/>
  <c r="N164" i="12"/>
  <c r="M164" i="12"/>
  <c r="AC176" i="12"/>
  <c r="Q176" i="12"/>
  <c r="AB176" i="12"/>
  <c r="P176" i="12"/>
  <c r="AA176" i="12"/>
  <c r="O176" i="12"/>
  <c r="T176" i="12"/>
  <c r="S176" i="12"/>
  <c r="R176" i="12"/>
  <c r="N176" i="12"/>
  <c r="M176" i="12"/>
  <c r="L176" i="12"/>
  <c r="Z176" i="12"/>
  <c r="K176" i="12"/>
  <c r="Y176" i="12"/>
  <c r="J176" i="12"/>
  <c r="X176" i="12"/>
  <c r="W176" i="12"/>
  <c r="V176" i="12"/>
  <c r="U176" i="12"/>
  <c r="I176" i="12"/>
  <c r="H176" i="12"/>
  <c r="G176" i="12"/>
  <c r="F176" i="12"/>
  <c r="AC188" i="12"/>
  <c r="Q188" i="12"/>
  <c r="AB188" i="12"/>
  <c r="P188" i="12"/>
  <c r="AA188" i="12"/>
  <c r="O188" i="12"/>
  <c r="X188" i="12"/>
  <c r="L188" i="12"/>
  <c r="K188" i="12"/>
  <c r="J188" i="12"/>
  <c r="Z188" i="12"/>
  <c r="I188" i="12"/>
  <c r="Y188" i="12"/>
  <c r="H188" i="12"/>
  <c r="W188" i="12"/>
  <c r="G188" i="12"/>
  <c r="V188" i="12"/>
  <c r="F188" i="12"/>
  <c r="U188" i="12"/>
  <c r="T188" i="12"/>
  <c r="S188" i="12"/>
  <c r="R188" i="12"/>
  <c r="N188" i="12"/>
  <c r="M188" i="12"/>
  <c r="AC200" i="12"/>
  <c r="W200" i="12"/>
  <c r="K200" i="12"/>
  <c r="R200" i="12"/>
  <c r="Q200" i="12"/>
  <c r="N200" i="12"/>
  <c r="AB200" i="12"/>
  <c r="M200" i="12"/>
  <c r="AA200" i="12"/>
  <c r="L200" i="12"/>
  <c r="Z200" i="12"/>
  <c r="J200" i="12"/>
  <c r="Y200" i="12"/>
  <c r="I200" i="12"/>
  <c r="X200" i="12"/>
  <c r="H200" i="12"/>
  <c r="V200" i="12"/>
  <c r="G200" i="12"/>
  <c r="U200" i="12"/>
  <c r="F200" i="12"/>
  <c r="T200" i="12"/>
  <c r="S200" i="12"/>
  <c r="P200" i="12"/>
  <c r="O200" i="12"/>
  <c r="AC212" i="12"/>
  <c r="W212" i="12"/>
  <c r="K212" i="12"/>
  <c r="Q212" i="12"/>
  <c r="P212" i="12"/>
  <c r="Z212" i="12"/>
  <c r="M212" i="12"/>
  <c r="N212" i="12"/>
  <c r="L212" i="12"/>
  <c r="AB212" i="12"/>
  <c r="J212" i="12"/>
  <c r="AA212" i="12"/>
  <c r="I212" i="12"/>
  <c r="Y212" i="12"/>
  <c r="H212" i="12"/>
  <c r="X212" i="12"/>
  <c r="G212" i="12"/>
  <c r="V212" i="12"/>
  <c r="F212" i="12"/>
  <c r="U212" i="12"/>
  <c r="T212" i="12"/>
  <c r="S212" i="12"/>
  <c r="R212" i="12"/>
  <c r="O212" i="12"/>
  <c r="AC224" i="12"/>
  <c r="W224" i="12"/>
  <c r="K224" i="12"/>
  <c r="P224" i="12"/>
  <c r="AB224" i="12"/>
  <c r="O224" i="12"/>
  <c r="AA224" i="12"/>
  <c r="N224" i="12"/>
  <c r="Z224" i="12"/>
  <c r="Y224" i="12"/>
  <c r="L224" i="12"/>
  <c r="X224" i="12"/>
  <c r="V224" i="12"/>
  <c r="U224" i="12"/>
  <c r="T224" i="12"/>
  <c r="S224" i="12"/>
  <c r="R224" i="12"/>
  <c r="Q224" i="12"/>
  <c r="M224" i="12"/>
  <c r="J224" i="12"/>
  <c r="I224" i="12"/>
  <c r="H224" i="12"/>
  <c r="G224" i="12"/>
  <c r="F224" i="12"/>
  <c r="AC236" i="12"/>
  <c r="W236" i="12"/>
  <c r="K236" i="12"/>
  <c r="V236" i="12"/>
  <c r="J236" i="12"/>
  <c r="U236" i="12"/>
  <c r="I236" i="12"/>
  <c r="AB236" i="12"/>
  <c r="M236" i="12"/>
  <c r="AA236" i="12"/>
  <c r="L236" i="12"/>
  <c r="Z236" i="12"/>
  <c r="H236" i="12"/>
  <c r="Y236" i="12"/>
  <c r="G236" i="12"/>
  <c r="X236" i="12"/>
  <c r="F236" i="12"/>
  <c r="T236" i="12"/>
  <c r="S236" i="12"/>
  <c r="R236" i="12"/>
  <c r="Q236" i="12"/>
  <c r="P236" i="12"/>
  <c r="O236" i="12"/>
  <c r="N236" i="12"/>
  <c r="AC248" i="12"/>
  <c r="Z248" i="12"/>
  <c r="N248" i="12"/>
  <c r="W248" i="12"/>
  <c r="J248" i="12"/>
  <c r="V248" i="12"/>
  <c r="I248" i="12"/>
  <c r="U248" i="12"/>
  <c r="H248" i="12"/>
  <c r="S248" i="12"/>
  <c r="R248" i="12"/>
  <c r="Q248" i="12"/>
  <c r="P248" i="12"/>
  <c r="O248" i="12"/>
  <c r="M248" i="12"/>
  <c r="L248" i="12"/>
  <c r="AB248" i="12"/>
  <c r="K248" i="12"/>
  <c r="AA248" i="12"/>
  <c r="Y248" i="12"/>
  <c r="X248" i="12"/>
  <c r="T248" i="12"/>
  <c r="G248" i="12"/>
  <c r="F248" i="12"/>
  <c r="AC260" i="12"/>
  <c r="Z260" i="12"/>
  <c r="N260" i="12"/>
  <c r="X260" i="12"/>
  <c r="L260" i="12"/>
  <c r="W260" i="12"/>
  <c r="K260" i="12"/>
  <c r="T260" i="12"/>
  <c r="S260" i="12"/>
  <c r="R260" i="12"/>
  <c r="Q260" i="12"/>
  <c r="P260" i="12"/>
  <c r="O260" i="12"/>
  <c r="M260" i="12"/>
  <c r="Y260" i="12"/>
  <c r="V260" i="12"/>
  <c r="U260" i="12"/>
  <c r="J260" i="12"/>
  <c r="I260" i="12"/>
  <c r="H260" i="12"/>
  <c r="G260" i="12"/>
  <c r="F260" i="12"/>
  <c r="AB260" i="12"/>
  <c r="AA260" i="12"/>
  <c r="AC272" i="12"/>
  <c r="Z272" i="12"/>
  <c r="N272" i="12"/>
  <c r="X272" i="12"/>
  <c r="L272" i="12"/>
  <c r="W272" i="12"/>
  <c r="K272" i="12"/>
  <c r="V272" i="12"/>
  <c r="J272" i="12"/>
  <c r="S272" i="12"/>
  <c r="G272" i="12"/>
  <c r="U272" i="12"/>
  <c r="T272" i="12"/>
  <c r="R272" i="12"/>
  <c r="Q272" i="12"/>
  <c r="P272" i="12"/>
  <c r="O272" i="12"/>
  <c r="M272" i="12"/>
  <c r="AA272" i="12"/>
  <c r="Y272" i="12"/>
  <c r="I272" i="12"/>
  <c r="H272" i="12"/>
  <c r="F272" i="12"/>
  <c r="AB272" i="12"/>
  <c r="AC284" i="12"/>
  <c r="Z284" i="12"/>
  <c r="N284" i="12"/>
  <c r="Y284" i="12"/>
  <c r="M284" i="12"/>
  <c r="X284" i="12"/>
  <c r="L284" i="12"/>
  <c r="W284" i="12"/>
  <c r="K284" i="12"/>
  <c r="V284" i="12"/>
  <c r="J284" i="12"/>
  <c r="U284" i="12"/>
  <c r="I284" i="12"/>
  <c r="T284" i="12"/>
  <c r="H284" i="12"/>
  <c r="S284" i="12"/>
  <c r="G284" i="12"/>
  <c r="R284" i="12"/>
  <c r="F284" i="12"/>
  <c r="Q284" i="12"/>
  <c r="AB284" i="12"/>
  <c r="AA284" i="12"/>
  <c r="P284" i="12"/>
  <c r="O284" i="12"/>
  <c r="AC19" i="8"/>
  <c r="U19" i="8"/>
  <c r="I19" i="8"/>
  <c r="Z19" i="8"/>
  <c r="T19" i="8"/>
  <c r="H19" i="8"/>
  <c r="S19" i="8"/>
  <c r="G19" i="8"/>
  <c r="K19" i="8"/>
  <c r="R19" i="8"/>
  <c r="F19" i="8"/>
  <c r="N19" i="8"/>
  <c r="J19" i="8"/>
  <c r="Q19" i="8"/>
  <c r="W19" i="8"/>
  <c r="AB19" i="8"/>
  <c r="P19" i="8"/>
  <c r="V19" i="8"/>
  <c r="AA19" i="8"/>
  <c r="O19" i="8"/>
  <c r="Y19" i="8"/>
  <c r="M19" i="8"/>
  <c r="X19" i="8"/>
  <c r="L19" i="8"/>
  <c r="AC31" i="8"/>
  <c r="R31" i="8"/>
  <c r="F31" i="8"/>
  <c r="H31" i="8"/>
  <c r="Q31" i="8"/>
  <c r="AB31" i="8"/>
  <c r="P31" i="8"/>
  <c r="AA31" i="8"/>
  <c r="O31" i="8"/>
  <c r="S31" i="8"/>
  <c r="Z31" i="8"/>
  <c r="N31" i="8"/>
  <c r="Y31" i="8"/>
  <c r="M31" i="8"/>
  <c r="T31" i="8"/>
  <c r="G31" i="8"/>
  <c r="X31" i="8"/>
  <c r="L31" i="8"/>
  <c r="W31" i="8"/>
  <c r="K31" i="8"/>
  <c r="V31" i="8"/>
  <c r="J31" i="8"/>
  <c r="U31" i="8"/>
  <c r="I31" i="8"/>
  <c r="AC43" i="8"/>
  <c r="AB43" i="8"/>
  <c r="P43" i="8"/>
  <c r="AA43" i="8"/>
  <c r="O43" i="8"/>
  <c r="Z43" i="8"/>
  <c r="N43" i="8"/>
  <c r="Y43" i="8"/>
  <c r="M43" i="8"/>
  <c r="F43" i="8"/>
  <c r="X43" i="8"/>
  <c r="L43" i="8"/>
  <c r="W43" i="8"/>
  <c r="K43" i="8"/>
  <c r="Q43" i="8"/>
  <c r="V43" i="8"/>
  <c r="J43" i="8"/>
  <c r="U43" i="8"/>
  <c r="I43" i="8"/>
  <c r="T43" i="8"/>
  <c r="H43" i="8"/>
  <c r="S43" i="8"/>
  <c r="G43" i="8"/>
  <c r="R43" i="8"/>
  <c r="AC55" i="8"/>
  <c r="U55" i="8"/>
  <c r="I55" i="8"/>
  <c r="T55" i="8"/>
  <c r="H55" i="8"/>
  <c r="S55" i="8"/>
  <c r="G55" i="8"/>
  <c r="R55" i="8"/>
  <c r="F55" i="8"/>
  <c r="Q55" i="8"/>
  <c r="AB55" i="8"/>
  <c r="P55" i="8"/>
  <c r="AA55" i="8"/>
  <c r="Z55" i="8"/>
  <c r="N55" i="8"/>
  <c r="K55" i="8"/>
  <c r="J55" i="8"/>
  <c r="M55" i="8"/>
  <c r="L55" i="8"/>
  <c r="Y55" i="8"/>
  <c r="X55" i="8"/>
  <c r="W55" i="8"/>
  <c r="V55" i="8"/>
  <c r="O55" i="8"/>
  <c r="AC67" i="8"/>
  <c r="S67" i="8"/>
  <c r="G67" i="8"/>
  <c r="R67" i="8"/>
  <c r="F67" i="8"/>
  <c r="Q67" i="8"/>
  <c r="AB67" i="8"/>
  <c r="P67" i="8"/>
  <c r="AA67" i="8"/>
  <c r="O67" i="8"/>
  <c r="Z67" i="8"/>
  <c r="N67" i="8"/>
  <c r="Y67" i="8"/>
  <c r="M67" i="8"/>
  <c r="X67" i="8"/>
  <c r="L67" i="8"/>
  <c r="W67" i="8"/>
  <c r="K67" i="8"/>
  <c r="V67" i="8"/>
  <c r="J67" i="8"/>
  <c r="T67" i="8"/>
  <c r="I67" i="8"/>
  <c r="H67" i="8"/>
  <c r="U67" i="8"/>
  <c r="AC79" i="8"/>
  <c r="Q79" i="8"/>
  <c r="P79" i="8"/>
  <c r="O79" i="8"/>
  <c r="N79" i="8"/>
  <c r="M79" i="8"/>
  <c r="L79" i="8"/>
  <c r="K79" i="8"/>
  <c r="V79" i="8"/>
  <c r="J79" i="8"/>
  <c r="U79" i="8"/>
  <c r="I79" i="8"/>
  <c r="T79" i="8"/>
  <c r="H79" i="8"/>
  <c r="S79" i="8"/>
  <c r="R79" i="8"/>
  <c r="G79" i="8"/>
  <c r="F79" i="8"/>
  <c r="AB79" i="8"/>
  <c r="Y79" i="8"/>
  <c r="Z79" i="8"/>
  <c r="W79" i="8"/>
  <c r="X79" i="8"/>
  <c r="AA79" i="8"/>
  <c r="AC91" i="8"/>
  <c r="G91" i="8"/>
  <c r="F91" i="8"/>
  <c r="Q91" i="8"/>
  <c r="P91" i="8"/>
  <c r="O91" i="8"/>
  <c r="N91" i="8"/>
  <c r="M91" i="8"/>
  <c r="L91" i="8"/>
  <c r="K91" i="8"/>
  <c r="J91" i="8"/>
  <c r="I91" i="8"/>
  <c r="H91" i="8"/>
  <c r="AB91" i="8"/>
  <c r="Z91" i="8"/>
  <c r="Y91" i="8"/>
  <c r="AA91" i="8"/>
  <c r="R91" i="8"/>
  <c r="X91" i="8"/>
  <c r="U91" i="8"/>
  <c r="S91" i="8"/>
  <c r="W91" i="8"/>
  <c r="T91" i="8"/>
  <c r="V91" i="8"/>
  <c r="AC103" i="8"/>
  <c r="S103" i="8"/>
  <c r="G103" i="8"/>
  <c r="R103" i="8"/>
  <c r="F103" i="8"/>
  <c r="Q103" i="8"/>
  <c r="AB103" i="8"/>
  <c r="P103" i="8"/>
  <c r="AA103" i="8"/>
  <c r="O103" i="8"/>
  <c r="Z103" i="8"/>
  <c r="N103" i="8"/>
  <c r="Y103" i="8"/>
  <c r="M103" i="8"/>
  <c r="X103" i="8"/>
  <c r="L103" i="8"/>
  <c r="W103" i="8"/>
  <c r="K103" i="8"/>
  <c r="V103" i="8"/>
  <c r="J103" i="8"/>
  <c r="U103" i="8"/>
  <c r="T103" i="8"/>
  <c r="I103" i="8"/>
  <c r="H103" i="8"/>
  <c r="AC115" i="8"/>
  <c r="Q115" i="8"/>
  <c r="AB115" i="8"/>
  <c r="P115" i="8"/>
  <c r="AA115" i="8"/>
  <c r="O115" i="8"/>
  <c r="Z115" i="8"/>
  <c r="N115" i="8"/>
  <c r="Y115" i="8"/>
  <c r="M115" i="8"/>
  <c r="X115" i="8"/>
  <c r="L115" i="8"/>
  <c r="W115" i="8"/>
  <c r="K115" i="8"/>
  <c r="V115" i="8"/>
  <c r="J115" i="8"/>
  <c r="U115" i="8"/>
  <c r="I115" i="8"/>
  <c r="T115" i="8"/>
  <c r="H115" i="8"/>
  <c r="S115" i="8"/>
  <c r="R115" i="8"/>
  <c r="G115" i="8"/>
  <c r="F115" i="8"/>
  <c r="AC127" i="8"/>
  <c r="O127" i="8"/>
  <c r="N127" i="8"/>
  <c r="M127" i="8"/>
  <c r="L127" i="8"/>
  <c r="K127" i="8"/>
  <c r="X127" i="8"/>
  <c r="I127" i="8"/>
  <c r="W127" i="8"/>
  <c r="V127" i="8"/>
  <c r="U127" i="8"/>
  <c r="Q127" i="8"/>
  <c r="P127" i="8"/>
  <c r="J127" i="8"/>
  <c r="H127" i="8"/>
  <c r="G127" i="8"/>
  <c r="F127" i="8"/>
  <c r="AB127" i="8"/>
  <c r="Z127" i="8"/>
  <c r="Y127" i="8"/>
  <c r="R127" i="8"/>
  <c r="AA127" i="8"/>
  <c r="T127" i="8"/>
  <c r="S127" i="8"/>
  <c r="AC139" i="8"/>
  <c r="X139" i="8"/>
  <c r="L139" i="8"/>
  <c r="W139" i="8"/>
  <c r="K139" i="8"/>
  <c r="V139" i="8"/>
  <c r="J139" i="8"/>
  <c r="U139" i="8"/>
  <c r="I139" i="8"/>
  <c r="T139" i="8"/>
  <c r="H139" i="8"/>
  <c r="S139" i="8"/>
  <c r="G139" i="8"/>
  <c r="R139" i="8"/>
  <c r="F139" i="8"/>
  <c r="O139" i="8"/>
  <c r="N139" i="8"/>
  <c r="M139" i="8"/>
  <c r="AB139" i="8"/>
  <c r="AA139" i="8"/>
  <c r="Z139" i="8"/>
  <c r="Y139" i="8"/>
  <c r="Q139" i="8"/>
  <c r="P139" i="8"/>
  <c r="AC151" i="8"/>
  <c r="G151" i="8"/>
  <c r="F151" i="8"/>
  <c r="Q151" i="8"/>
  <c r="P151" i="8"/>
  <c r="O151" i="8"/>
  <c r="N151" i="8"/>
  <c r="M151" i="8"/>
  <c r="L151" i="8"/>
  <c r="K151" i="8"/>
  <c r="J151" i="8"/>
  <c r="I151" i="8"/>
  <c r="H151" i="8"/>
  <c r="AB151" i="8"/>
  <c r="Y151" i="8"/>
  <c r="Z151" i="8"/>
  <c r="AA151" i="8"/>
  <c r="R151" i="8"/>
  <c r="X151" i="8"/>
  <c r="S151" i="8"/>
  <c r="T151" i="8"/>
  <c r="W151" i="8"/>
  <c r="U151" i="8"/>
  <c r="V151" i="8"/>
  <c r="AC163" i="8"/>
  <c r="AA163" i="8"/>
  <c r="O163" i="8"/>
  <c r="Z163" i="8"/>
  <c r="N163" i="8"/>
  <c r="Y163" i="8"/>
  <c r="M163" i="8"/>
  <c r="X163" i="8"/>
  <c r="L163" i="8"/>
  <c r="W163" i="8"/>
  <c r="K163" i="8"/>
  <c r="V163" i="8"/>
  <c r="J163" i="8"/>
  <c r="U163" i="8"/>
  <c r="I163" i="8"/>
  <c r="T163" i="8"/>
  <c r="H163" i="8"/>
  <c r="S163" i="8"/>
  <c r="G163" i="8"/>
  <c r="R163" i="8"/>
  <c r="F163" i="8"/>
  <c r="AB163" i="8"/>
  <c r="Q163" i="8"/>
  <c r="P163" i="8"/>
  <c r="AC175" i="8"/>
  <c r="AB175" i="8"/>
  <c r="P175" i="8"/>
  <c r="AA175" i="8"/>
  <c r="O175" i="8"/>
  <c r="Z175" i="8"/>
  <c r="N175" i="8"/>
  <c r="Y175" i="8"/>
  <c r="M175" i="8"/>
  <c r="X175" i="8"/>
  <c r="L175" i="8"/>
  <c r="W175" i="8"/>
  <c r="K175" i="8"/>
  <c r="V175" i="8"/>
  <c r="J175" i="8"/>
  <c r="U175" i="8"/>
  <c r="I175" i="8"/>
  <c r="T175" i="8"/>
  <c r="H175" i="8"/>
  <c r="S175" i="8"/>
  <c r="G175" i="8"/>
  <c r="Q175" i="8"/>
  <c r="F175" i="8"/>
  <c r="R175" i="8"/>
  <c r="AC187" i="8"/>
  <c r="Z187" i="8"/>
  <c r="N187" i="8"/>
  <c r="Y187" i="8"/>
  <c r="L187" i="8"/>
  <c r="X187" i="8"/>
  <c r="K187" i="8"/>
  <c r="W187" i="8"/>
  <c r="J187" i="8"/>
  <c r="V187" i="8"/>
  <c r="I187" i="8"/>
  <c r="U187" i="8"/>
  <c r="H187" i="8"/>
  <c r="T187" i="8"/>
  <c r="G187" i="8"/>
  <c r="S187" i="8"/>
  <c r="F187" i="8"/>
  <c r="R187" i="8"/>
  <c r="Q187" i="8"/>
  <c r="P187" i="8"/>
  <c r="AB187" i="8"/>
  <c r="AA187" i="8"/>
  <c r="O187" i="8"/>
  <c r="M187" i="8"/>
  <c r="AC199" i="8"/>
  <c r="Z199" i="8"/>
  <c r="N199" i="8"/>
  <c r="U199" i="8"/>
  <c r="H199" i="8"/>
  <c r="T199" i="8"/>
  <c r="G199" i="8"/>
  <c r="S199" i="8"/>
  <c r="F199" i="8"/>
  <c r="R199" i="8"/>
  <c r="Q199" i="8"/>
  <c r="P199" i="8"/>
  <c r="AB199" i="8"/>
  <c r="O199" i="8"/>
  <c r="AA199" i="8"/>
  <c r="M199" i="8"/>
  <c r="Y199" i="8"/>
  <c r="L199" i="8"/>
  <c r="X199" i="8"/>
  <c r="K199" i="8"/>
  <c r="W199" i="8"/>
  <c r="V199" i="8"/>
  <c r="J199" i="8"/>
  <c r="I199" i="8"/>
  <c r="AC211" i="8"/>
  <c r="Y211" i="8"/>
  <c r="M211" i="8"/>
  <c r="V211" i="8"/>
  <c r="J211" i="8"/>
  <c r="U211" i="8"/>
  <c r="I211" i="8"/>
  <c r="T211" i="8"/>
  <c r="H211" i="8"/>
  <c r="S211" i="8"/>
  <c r="G211" i="8"/>
  <c r="R211" i="8"/>
  <c r="F211" i="8"/>
  <c r="Q211" i="8"/>
  <c r="AB211" i="8"/>
  <c r="AA211" i="8"/>
  <c r="Z211" i="8"/>
  <c r="X211" i="8"/>
  <c r="W211" i="8"/>
  <c r="P211" i="8"/>
  <c r="O211" i="8"/>
  <c r="N211" i="8"/>
  <c r="L211" i="8"/>
  <c r="K211" i="8"/>
  <c r="AC223" i="8"/>
  <c r="I223" i="8"/>
  <c r="H223" i="8"/>
  <c r="G223" i="8"/>
  <c r="F223" i="8"/>
  <c r="Q223" i="8"/>
  <c r="P223" i="8"/>
  <c r="O223" i="8"/>
  <c r="N223" i="8"/>
  <c r="M223" i="8"/>
  <c r="L223" i="8"/>
  <c r="K223" i="8"/>
  <c r="J223" i="8"/>
  <c r="AB223" i="8"/>
  <c r="Y223" i="8"/>
  <c r="Z223" i="8"/>
  <c r="T223" i="8"/>
  <c r="AA223" i="8"/>
  <c r="X223" i="8"/>
  <c r="V223" i="8"/>
  <c r="R223" i="8"/>
  <c r="U223" i="8"/>
  <c r="S223" i="8"/>
  <c r="W223" i="8"/>
  <c r="AC235" i="8"/>
  <c r="Q235" i="8"/>
  <c r="AB235" i="8"/>
  <c r="P235" i="8"/>
  <c r="AA235" i="8"/>
  <c r="O235" i="8"/>
  <c r="Z235" i="8"/>
  <c r="N235" i="8"/>
  <c r="Y235" i="8"/>
  <c r="M235" i="8"/>
  <c r="X235" i="8"/>
  <c r="L235" i="8"/>
  <c r="W235" i="8"/>
  <c r="K235" i="8"/>
  <c r="V235" i="8"/>
  <c r="J235" i="8"/>
  <c r="U235" i="8"/>
  <c r="I235" i="8"/>
  <c r="T235" i="8"/>
  <c r="H235" i="8"/>
  <c r="S235" i="8"/>
  <c r="R235" i="8"/>
  <c r="G235" i="8"/>
  <c r="F235" i="8"/>
  <c r="AC247" i="8"/>
  <c r="V247" i="8"/>
  <c r="G247" i="8"/>
  <c r="U247" i="8"/>
  <c r="F247" i="8"/>
  <c r="Y247" i="8"/>
  <c r="H247" i="8"/>
  <c r="X247" i="8"/>
  <c r="W247" i="8"/>
  <c r="Q247" i="8"/>
  <c r="P247" i="8"/>
  <c r="O247" i="8"/>
  <c r="N247" i="8"/>
  <c r="M247" i="8"/>
  <c r="L247" i="8"/>
  <c r="AB247" i="8"/>
  <c r="K247" i="8"/>
  <c r="AA247" i="8"/>
  <c r="Z247" i="8"/>
  <c r="J247" i="8"/>
  <c r="I247" i="8"/>
  <c r="R247" i="8"/>
  <c r="S247" i="8"/>
  <c r="T247" i="8"/>
  <c r="AC259" i="8"/>
  <c r="X259" i="8"/>
  <c r="L259" i="8"/>
  <c r="W259" i="8"/>
  <c r="K259" i="8"/>
  <c r="S259" i="8"/>
  <c r="R259" i="8"/>
  <c r="Q259" i="8"/>
  <c r="P259" i="8"/>
  <c r="O259" i="8"/>
  <c r="AB259" i="8"/>
  <c r="N259" i="8"/>
  <c r="AA259" i="8"/>
  <c r="M259" i="8"/>
  <c r="Z259" i="8"/>
  <c r="J259" i="8"/>
  <c r="Y259" i="8"/>
  <c r="I259" i="8"/>
  <c r="V259" i="8"/>
  <c r="H259" i="8"/>
  <c r="F259" i="8"/>
  <c r="U259" i="8"/>
  <c r="T259" i="8"/>
  <c r="G259" i="8"/>
  <c r="AC271" i="8"/>
  <c r="Q271" i="8"/>
  <c r="AB271" i="8"/>
  <c r="P271" i="8"/>
  <c r="S271" i="8"/>
  <c r="G271" i="8"/>
  <c r="X271" i="8"/>
  <c r="I271" i="8"/>
  <c r="W271" i="8"/>
  <c r="H271" i="8"/>
  <c r="V271" i="8"/>
  <c r="F271" i="8"/>
  <c r="U271" i="8"/>
  <c r="T271" i="8"/>
  <c r="R271" i="8"/>
  <c r="O271" i="8"/>
  <c r="N271" i="8"/>
  <c r="M271" i="8"/>
  <c r="AA271" i="8"/>
  <c r="L271" i="8"/>
  <c r="J271" i="8"/>
  <c r="Z271" i="8"/>
  <c r="Y271" i="8"/>
  <c r="K271" i="8"/>
  <c r="AC283" i="8"/>
  <c r="AB283" i="8"/>
  <c r="P283" i="8"/>
  <c r="AA283" i="8"/>
  <c r="O283" i="8"/>
  <c r="Z283" i="8"/>
  <c r="N283" i="8"/>
  <c r="T283" i="8"/>
  <c r="H283" i="8"/>
  <c r="S283" i="8"/>
  <c r="G283" i="8"/>
  <c r="R283" i="8"/>
  <c r="F283" i="8"/>
  <c r="I283" i="8"/>
  <c r="Y283" i="8"/>
  <c r="X283" i="8"/>
  <c r="W283" i="8"/>
  <c r="V283" i="8"/>
  <c r="U283" i="8"/>
  <c r="Q283" i="8"/>
  <c r="M283" i="8"/>
  <c r="L283" i="8"/>
  <c r="K283" i="8"/>
  <c r="J283" i="8"/>
  <c r="AC295" i="8"/>
  <c r="Q295" i="8"/>
  <c r="AB295" i="8"/>
  <c r="P295" i="8"/>
  <c r="AA295" i="8"/>
  <c r="O295" i="8"/>
  <c r="X295" i="8"/>
  <c r="L295" i="8"/>
  <c r="U295" i="8"/>
  <c r="I295" i="8"/>
  <c r="T295" i="8"/>
  <c r="H295" i="8"/>
  <c r="S295" i="8"/>
  <c r="G295" i="8"/>
  <c r="F295" i="8"/>
  <c r="Z295" i="8"/>
  <c r="Y295" i="8"/>
  <c r="W295" i="8"/>
  <c r="V295" i="8"/>
  <c r="R295" i="8"/>
  <c r="N295" i="8"/>
  <c r="M295" i="8"/>
  <c r="K295" i="8"/>
  <c r="J295" i="8"/>
  <c r="AC9" i="12"/>
  <c r="AB9" i="12"/>
  <c r="P9" i="12"/>
  <c r="AA9" i="12"/>
  <c r="O9" i="12"/>
  <c r="Z9" i="12"/>
  <c r="N9" i="12"/>
  <c r="Y9" i="12"/>
  <c r="M9" i="12"/>
  <c r="X9" i="12"/>
  <c r="L9" i="12"/>
  <c r="W9" i="12"/>
  <c r="K9" i="12"/>
  <c r="V9" i="12"/>
  <c r="J9" i="12"/>
  <c r="U9" i="12"/>
  <c r="I9" i="12"/>
  <c r="T9" i="12"/>
  <c r="H9" i="12"/>
  <c r="S9" i="12"/>
  <c r="G9" i="12"/>
  <c r="R9" i="12"/>
  <c r="Q9" i="12"/>
  <c r="F9" i="12"/>
  <c r="AC21" i="12"/>
  <c r="AB21" i="12"/>
  <c r="P21" i="12"/>
  <c r="AA21" i="12"/>
  <c r="O21" i="12"/>
  <c r="Z21" i="12"/>
  <c r="N21" i="12"/>
  <c r="Y21" i="12"/>
  <c r="M21" i="12"/>
  <c r="X21" i="12"/>
  <c r="L21" i="12"/>
  <c r="W21" i="12"/>
  <c r="K21" i="12"/>
  <c r="V21" i="12"/>
  <c r="J21" i="12"/>
  <c r="U21" i="12"/>
  <c r="I21" i="12"/>
  <c r="T21" i="12"/>
  <c r="H21" i="12"/>
  <c r="S21" i="12"/>
  <c r="G21" i="12"/>
  <c r="Q21" i="12"/>
  <c r="F21" i="12"/>
  <c r="R21" i="12"/>
  <c r="AC33" i="12"/>
  <c r="AB33" i="12"/>
  <c r="P33" i="12"/>
  <c r="AA33" i="12"/>
  <c r="O33" i="12"/>
  <c r="Z33" i="12"/>
  <c r="N33" i="12"/>
  <c r="Y33" i="12"/>
  <c r="M33" i="12"/>
  <c r="X33" i="12"/>
  <c r="L33" i="12"/>
  <c r="W33" i="12"/>
  <c r="K33" i="12"/>
  <c r="V33" i="12"/>
  <c r="J33" i="12"/>
  <c r="U33" i="12"/>
  <c r="I33" i="12"/>
  <c r="T33" i="12"/>
  <c r="H33" i="12"/>
  <c r="S33" i="12"/>
  <c r="G33" i="12"/>
  <c r="R33" i="12"/>
  <c r="Q33" i="12"/>
  <c r="F33" i="12"/>
  <c r="AC45" i="12"/>
  <c r="W45" i="12"/>
  <c r="K45" i="12"/>
  <c r="V45" i="12"/>
  <c r="J45" i="12"/>
  <c r="U45" i="12"/>
  <c r="I45" i="12"/>
  <c r="T45" i="12"/>
  <c r="H45" i="12"/>
  <c r="S45" i="12"/>
  <c r="G45" i="12"/>
  <c r="Q45" i="12"/>
  <c r="Y45" i="12"/>
  <c r="X45" i="12"/>
  <c r="R45" i="12"/>
  <c r="P45" i="12"/>
  <c r="O45" i="12"/>
  <c r="N45" i="12"/>
  <c r="M45" i="12"/>
  <c r="L45" i="12"/>
  <c r="F45" i="12"/>
  <c r="AB45" i="12"/>
  <c r="AA45" i="12"/>
  <c r="Z45" i="12"/>
  <c r="AC57" i="12"/>
  <c r="W57" i="12"/>
  <c r="K57" i="12"/>
  <c r="V57" i="12"/>
  <c r="J57" i="12"/>
  <c r="U57" i="12"/>
  <c r="I57" i="12"/>
  <c r="T57" i="12"/>
  <c r="H57" i="12"/>
  <c r="S57" i="12"/>
  <c r="G57" i="12"/>
  <c r="R57" i="12"/>
  <c r="F57" i="12"/>
  <c r="Q57" i="12"/>
  <c r="Z57" i="12"/>
  <c r="AB57" i="12"/>
  <c r="AA57" i="12"/>
  <c r="Y57" i="12"/>
  <c r="X57" i="12"/>
  <c r="P57" i="12"/>
  <c r="O57" i="12"/>
  <c r="N57" i="12"/>
  <c r="M57" i="12"/>
  <c r="L57" i="12"/>
  <c r="AC69" i="12"/>
  <c r="W69" i="12"/>
  <c r="K69" i="12"/>
  <c r="V69" i="12"/>
  <c r="J69" i="12"/>
  <c r="U69" i="12"/>
  <c r="I69" i="12"/>
  <c r="T69" i="12"/>
  <c r="H69" i="12"/>
  <c r="S69" i="12"/>
  <c r="G69" i="12"/>
  <c r="R69" i="12"/>
  <c r="F69" i="12"/>
  <c r="Q69" i="12"/>
  <c r="AB69" i="12"/>
  <c r="P69" i="12"/>
  <c r="AA69" i="12"/>
  <c r="O69" i="12"/>
  <c r="Z69" i="12"/>
  <c r="N69" i="12"/>
  <c r="Y69" i="12"/>
  <c r="X69" i="12"/>
  <c r="M69" i="12"/>
  <c r="L69" i="12"/>
  <c r="AC81" i="12"/>
  <c r="W81" i="12"/>
  <c r="K81" i="12"/>
  <c r="V81" i="12"/>
  <c r="J81" i="12"/>
  <c r="U81" i="12"/>
  <c r="I81" i="12"/>
  <c r="T81" i="12"/>
  <c r="H81" i="12"/>
  <c r="S81" i="12"/>
  <c r="G81" i="12"/>
  <c r="R81" i="12"/>
  <c r="F81" i="12"/>
  <c r="Q81" i="12"/>
  <c r="AB81" i="12"/>
  <c r="P81" i="12"/>
  <c r="AA81" i="12"/>
  <c r="O81" i="12"/>
  <c r="Z81" i="12"/>
  <c r="N81" i="12"/>
  <c r="Y81" i="12"/>
  <c r="X81" i="12"/>
  <c r="M81" i="12"/>
  <c r="L81" i="12"/>
  <c r="AC93" i="12"/>
  <c r="R93" i="12"/>
  <c r="F93" i="12"/>
  <c r="Q93" i="12"/>
  <c r="AB93" i="12"/>
  <c r="P93" i="12"/>
  <c r="AA93" i="12"/>
  <c r="O93" i="12"/>
  <c r="W93" i="12"/>
  <c r="K93" i="12"/>
  <c r="J93" i="12"/>
  <c r="I93" i="12"/>
  <c r="Z93" i="12"/>
  <c r="H93" i="12"/>
  <c r="Y93" i="12"/>
  <c r="G93" i="12"/>
  <c r="X93" i="12"/>
  <c r="V93" i="12"/>
  <c r="U93" i="12"/>
  <c r="T93" i="12"/>
  <c r="S93" i="12"/>
  <c r="N93" i="12"/>
  <c r="M93" i="12"/>
  <c r="L93" i="12"/>
  <c r="AC105" i="12"/>
  <c r="S105" i="12"/>
  <c r="G105" i="12"/>
  <c r="R105" i="12"/>
  <c r="F105" i="12"/>
  <c r="V105" i="12"/>
  <c r="H105" i="12"/>
  <c r="U105" i="12"/>
  <c r="T105" i="12"/>
  <c r="Q105" i="12"/>
  <c r="P105" i="12"/>
  <c r="O105" i="12"/>
  <c r="AA105" i="12"/>
  <c r="M105" i="12"/>
  <c r="K105" i="12"/>
  <c r="J105" i="12"/>
  <c r="I105" i="12"/>
  <c r="AB105" i="12"/>
  <c r="Z105" i="12"/>
  <c r="Y105" i="12"/>
  <c r="X105" i="12"/>
  <c r="W105" i="12"/>
  <c r="N105" i="12"/>
  <c r="L105" i="12"/>
  <c r="AC117" i="12"/>
  <c r="S117" i="12"/>
  <c r="G117" i="12"/>
  <c r="R117" i="12"/>
  <c r="F117" i="12"/>
  <c r="Q117" i="12"/>
  <c r="AA117" i="12"/>
  <c r="L117" i="12"/>
  <c r="Z117" i="12"/>
  <c r="K117" i="12"/>
  <c r="Y117" i="12"/>
  <c r="J117" i="12"/>
  <c r="X117" i="12"/>
  <c r="I117" i="12"/>
  <c r="W117" i="12"/>
  <c r="H117" i="12"/>
  <c r="V117" i="12"/>
  <c r="U117" i="12"/>
  <c r="T117" i="12"/>
  <c r="P117" i="12"/>
  <c r="O117" i="12"/>
  <c r="AB117" i="12"/>
  <c r="N117" i="12"/>
  <c r="M117" i="12"/>
  <c r="AC129" i="12"/>
  <c r="S129" i="12"/>
  <c r="G129" i="12"/>
  <c r="R129" i="12"/>
  <c r="F129" i="12"/>
  <c r="Q129" i="12"/>
  <c r="AB129" i="12"/>
  <c r="P129" i="12"/>
  <c r="AA129" i="12"/>
  <c r="O129" i="12"/>
  <c r="Z129" i="12"/>
  <c r="N129" i="12"/>
  <c r="H129" i="12"/>
  <c r="Y129" i="12"/>
  <c r="X129" i="12"/>
  <c r="W129" i="12"/>
  <c r="V129" i="12"/>
  <c r="U129" i="12"/>
  <c r="T129" i="12"/>
  <c r="M129" i="12"/>
  <c r="L129" i="12"/>
  <c r="K129" i="12"/>
  <c r="J129" i="12"/>
  <c r="I129" i="12"/>
  <c r="AC141" i="12"/>
  <c r="V141" i="12"/>
  <c r="J141" i="12"/>
  <c r="U141" i="12"/>
  <c r="I141" i="12"/>
  <c r="AA141" i="12"/>
  <c r="M141" i="12"/>
  <c r="Z141" i="12"/>
  <c r="L141" i="12"/>
  <c r="Y141" i="12"/>
  <c r="K141" i="12"/>
  <c r="X141" i="12"/>
  <c r="H141" i="12"/>
  <c r="W141" i="12"/>
  <c r="G141" i="12"/>
  <c r="T141" i="12"/>
  <c r="F141" i="12"/>
  <c r="AB141" i="12"/>
  <c r="S141" i="12"/>
  <c r="R141" i="12"/>
  <c r="Q141" i="12"/>
  <c r="P141" i="12"/>
  <c r="O141" i="12"/>
  <c r="N141" i="12"/>
  <c r="AC153" i="12"/>
  <c r="V153" i="12"/>
  <c r="J153" i="12"/>
  <c r="U153" i="12"/>
  <c r="I153" i="12"/>
  <c r="Q153" i="12"/>
  <c r="O153" i="12"/>
  <c r="N153" i="12"/>
  <c r="AB153" i="12"/>
  <c r="M153" i="12"/>
  <c r="AA153" i="12"/>
  <c r="L153" i="12"/>
  <c r="Z153" i="12"/>
  <c r="K153" i="12"/>
  <c r="Y153" i="12"/>
  <c r="H153" i="12"/>
  <c r="X153" i="12"/>
  <c r="G153" i="12"/>
  <c r="W153" i="12"/>
  <c r="T153" i="12"/>
  <c r="S153" i="12"/>
  <c r="R153" i="12"/>
  <c r="P153" i="12"/>
  <c r="F153" i="12"/>
  <c r="AC165" i="12"/>
  <c r="W165" i="12"/>
  <c r="K165" i="12"/>
  <c r="V165" i="12"/>
  <c r="J165" i="12"/>
  <c r="U165" i="12"/>
  <c r="I165" i="12"/>
  <c r="T165" i="12"/>
  <c r="H165" i="12"/>
  <c r="R165" i="12"/>
  <c r="F165" i="12"/>
  <c r="Q165" i="12"/>
  <c r="AB165" i="12"/>
  <c r="P165" i="12"/>
  <c r="O165" i="12"/>
  <c r="N165" i="12"/>
  <c r="M165" i="12"/>
  <c r="L165" i="12"/>
  <c r="G165" i="12"/>
  <c r="AA165" i="12"/>
  <c r="Z165" i="12"/>
  <c r="Y165" i="12"/>
  <c r="X165" i="12"/>
  <c r="S165" i="12"/>
  <c r="AC177" i="12"/>
  <c r="R177" i="12"/>
  <c r="F177" i="12"/>
  <c r="Q177" i="12"/>
  <c r="AB177" i="12"/>
  <c r="P177" i="12"/>
  <c r="AA177" i="12"/>
  <c r="L177" i="12"/>
  <c r="Z177" i="12"/>
  <c r="K177" i="12"/>
  <c r="Y177" i="12"/>
  <c r="J177" i="12"/>
  <c r="X177" i="12"/>
  <c r="I177" i="12"/>
  <c r="W177" i="12"/>
  <c r="H177" i="12"/>
  <c r="V177" i="12"/>
  <c r="G177" i="12"/>
  <c r="U177" i="12"/>
  <c r="T177" i="12"/>
  <c r="S177" i="12"/>
  <c r="O177" i="12"/>
  <c r="N177" i="12"/>
  <c r="M177" i="12"/>
  <c r="AC189" i="12"/>
  <c r="R189" i="12"/>
  <c r="F189" i="12"/>
  <c r="Q189" i="12"/>
  <c r="AB189" i="12"/>
  <c r="P189" i="12"/>
  <c r="Y189" i="12"/>
  <c r="M189" i="12"/>
  <c r="X189" i="12"/>
  <c r="H189" i="12"/>
  <c r="W189" i="12"/>
  <c r="G189" i="12"/>
  <c r="V189" i="12"/>
  <c r="U189" i="12"/>
  <c r="T189" i="12"/>
  <c r="S189" i="12"/>
  <c r="O189" i="12"/>
  <c r="N189" i="12"/>
  <c r="AA189" i="12"/>
  <c r="Z189" i="12"/>
  <c r="L189" i="12"/>
  <c r="K189" i="12"/>
  <c r="J189" i="12"/>
  <c r="I189" i="12"/>
  <c r="AC201" i="12"/>
  <c r="X201" i="12"/>
  <c r="L201" i="12"/>
  <c r="U201" i="12"/>
  <c r="H201" i="12"/>
  <c r="T201" i="12"/>
  <c r="G201" i="12"/>
  <c r="W201" i="12"/>
  <c r="F201" i="12"/>
  <c r="V201" i="12"/>
  <c r="S201" i="12"/>
  <c r="R201" i="12"/>
  <c r="Q201" i="12"/>
  <c r="P201" i="12"/>
  <c r="O201" i="12"/>
  <c r="N201" i="12"/>
  <c r="M201" i="12"/>
  <c r="K201" i="12"/>
  <c r="J201" i="12"/>
  <c r="I201" i="12"/>
  <c r="AB201" i="12"/>
  <c r="AA201" i="12"/>
  <c r="Z201" i="12"/>
  <c r="Y201" i="12"/>
  <c r="AC213" i="12"/>
  <c r="X213" i="12"/>
  <c r="L213" i="12"/>
  <c r="T213" i="12"/>
  <c r="G213" i="12"/>
  <c r="S213" i="12"/>
  <c r="F213" i="12"/>
  <c r="P213" i="12"/>
  <c r="Z213" i="12"/>
  <c r="I213" i="12"/>
  <c r="Y213" i="12"/>
  <c r="H213" i="12"/>
  <c r="W213" i="12"/>
  <c r="V213" i="12"/>
  <c r="U213" i="12"/>
  <c r="R213" i="12"/>
  <c r="Q213" i="12"/>
  <c r="O213" i="12"/>
  <c r="AB213" i="12"/>
  <c r="AA213" i="12"/>
  <c r="N213" i="12"/>
  <c r="M213" i="12"/>
  <c r="K213" i="12"/>
  <c r="J213" i="12"/>
  <c r="AC225" i="12"/>
  <c r="X225" i="12"/>
  <c r="L225" i="12"/>
  <c r="S225" i="12"/>
  <c r="F225" i="12"/>
  <c r="R225" i="12"/>
  <c r="Q225" i="12"/>
  <c r="P225" i="12"/>
  <c r="AB225" i="12"/>
  <c r="O225" i="12"/>
  <c r="AA225" i="12"/>
  <c r="N225" i="12"/>
  <c r="Z225" i="12"/>
  <c r="Y225" i="12"/>
  <c r="W225" i="12"/>
  <c r="V225" i="12"/>
  <c r="U225" i="12"/>
  <c r="T225" i="12"/>
  <c r="M225" i="12"/>
  <c r="K225" i="12"/>
  <c r="J225" i="12"/>
  <c r="I225" i="12"/>
  <c r="H225" i="12"/>
  <c r="G225" i="12"/>
  <c r="AC237" i="12"/>
  <c r="X237" i="12"/>
  <c r="L237" i="12"/>
  <c r="W237" i="12"/>
  <c r="K237" i="12"/>
  <c r="V237" i="12"/>
  <c r="J237" i="12"/>
  <c r="T237" i="12"/>
  <c r="S237" i="12"/>
  <c r="R237" i="12"/>
  <c r="Q237" i="12"/>
  <c r="P237" i="12"/>
  <c r="O237" i="12"/>
  <c r="AB237" i="12"/>
  <c r="AA237" i="12"/>
  <c r="Z237" i="12"/>
  <c r="Y237" i="12"/>
  <c r="U237" i="12"/>
  <c r="N237" i="12"/>
  <c r="M237" i="12"/>
  <c r="I237" i="12"/>
  <c r="H237" i="12"/>
  <c r="G237" i="12"/>
  <c r="F237" i="12"/>
  <c r="AC249" i="12"/>
  <c r="AA249" i="12"/>
  <c r="O249" i="12"/>
  <c r="Z249" i="12"/>
  <c r="M249" i="12"/>
  <c r="Y249" i="12"/>
  <c r="L249" i="12"/>
  <c r="X249" i="12"/>
  <c r="K249" i="12"/>
  <c r="P249" i="12"/>
  <c r="N249" i="12"/>
  <c r="J249" i="12"/>
  <c r="I249" i="12"/>
  <c r="AB249" i="12"/>
  <c r="H249" i="12"/>
  <c r="W249" i="12"/>
  <c r="G249" i="12"/>
  <c r="V249" i="12"/>
  <c r="F249" i="12"/>
  <c r="U249" i="12"/>
  <c r="T249" i="12"/>
  <c r="S249" i="12"/>
  <c r="R249" i="12"/>
  <c r="Q249" i="12"/>
  <c r="AC261" i="12"/>
  <c r="AA261" i="12"/>
  <c r="O261" i="12"/>
  <c r="Y261" i="12"/>
  <c r="M261" i="12"/>
  <c r="X261" i="12"/>
  <c r="L261" i="12"/>
  <c r="N261" i="12"/>
  <c r="K261" i="12"/>
  <c r="AB261" i="12"/>
  <c r="J261" i="12"/>
  <c r="Z261" i="12"/>
  <c r="I261" i="12"/>
  <c r="W261" i="12"/>
  <c r="H261" i="12"/>
  <c r="V261" i="12"/>
  <c r="G261" i="12"/>
  <c r="U261" i="12"/>
  <c r="F261" i="12"/>
  <c r="T261" i="12"/>
  <c r="S261" i="12"/>
  <c r="R261" i="12"/>
  <c r="Q261" i="12"/>
  <c r="P261" i="12"/>
  <c r="AC273" i="12"/>
  <c r="AA273" i="12"/>
  <c r="O273" i="12"/>
  <c r="Y273" i="12"/>
  <c r="M273" i="12"/>
  <c r="X273" i="12"/>
  <c r="L273" i="12"/>
  <c r="W273" i="12"/>
  <c r="K273" i="12"/>
  <c r="T273" i="12"/>
  <c r="H273" i="12"/>
  <c r="S273" i="12"/>
  <c r="R273" i="12"/>
  <c r="Q273" i="12"/>
  <c r="P273" i="12"/>
  <c r="N273" i="12"/>
  <c r="J273" i="12"/>
  <c r="I273" i="12"/>
  <c r="AB273" i="12"/>
  <c r="Z273" i="12"/>
  <c r="V273" i="12"/>
  <c r="U273" i="12"/>
  <c r="G273" i="12"/>
  <c r="F273" i="12"/>
  <c r="AC285" i="12"/>
  <c r="AA285" i="12"/>
  <c r="O285" i="12"/>
  <c r="Z285" i="12"/>
  <c r="N285" i="12"/>
  <c r="Y285" i="12"/>
  <c r="M285" i="12"/>
  <c r="X285" i="12"/>
  <c r="L285" i="12"/>
  <c r="W285" i="12"/>
  <c r="K285" i="12"/>
  <c r="V285" i="12"/>
  <c r="J285" i="12"/>
  <c r="U285" i="12"/>
  <c r="I285" i="12"/>
  <c r="T285" i="12"/>
  <c r="H285" i="12"/>
  <c r="S285" i="12"/>
  <c r="G285" i="12"/>
  <c r="R285" i="12"/>
  <c r="F285" i="12"/>
  <c r="P285" i="12"/>
  <c r="AB285" i="12"/>
  <c r="Q285" i="12"/>
  <c r="AC4" i="8"/>
  <c r="M4" i="8"/>
  <c r="I4" i="8"/>
  <c r="H4" i="8"/>
  <c r="Q4" i="8"/>
  <c r="L4" i="8"/>
  <c r="K4" i="8"/>
  <c r="J4" i="8"/>
  <c r="O4" i="8"/>
  <c r="P4" i="8"/>
  <c r="N4" i="8"/>
  <c r="G4" i="8"/>
  <c r="F4" i="8"/>
  <c r="AB4" i="8"/>
  <c r="Y4" i="8"/>
  <c r="Z4" i="8"/>
  <c r="S4" i="8"/>
  <c r="U4" i="8"/>
  <c r="X4" i="8"/>
  <c r="W4" i="8"/>
  <c r="V4" i="8"/>
  <c r="AA4" i="8"/>
  <c r="T4" i="8"/>
  <c r="R4" i="8"/>
  <c r="AC20" i="8"/>
  <c r="V20" i="8"/>
  <c r="J20" i="8"/>
  <c r="U20" i="8"/>
  <c r="I20" i="8"/>
  <c r="T20" i="8"/>
  <c r="H20" i="8"/>
  <c r="S20" i="8"/>
  <c r="G20" i="8"/>
  <c r="W20" i="8"/>
  <c r="R20" i="8"/>
  <c r="F20" i="8"/>
  <c r="K20" i="8"/>
  <c r="Q20" i="8"/>
  <c r="AA20" i="8"/>
  <c r="X20" i="8"/>
  <c r="AB20" i="8"/>
  <c r="P20" i="8"/>
  <c r="L20" i="8"/>
  <c r="O20" i="8"/>
  <c r="Z20" i="8"/>
  <c r="N20" i="8"/>
  <c r="Y20" i="8"/>
  <c r="M20" i="8"/>
  <c r="AC32" i="8"/>
  <c r="S32" i="8"/>
  <c r="G32" i="8"/>
  <c r="R32" i="8"/>
  <c r="F32" i="8"/>
  <c r="Q32" i="8"/>
  <c r="AB32" i="8"/>
  <c r="P32" i="8"/>
  <c r="I32" i="8"/>
  <c r="AA32" i="8"/>
  <c r="O32" i="8"/>
  <c r="Z32" i="8"/>
  <c r="N32" i="8"/>
  <c r="H32" i="8"/>
  <c r="Y32" i="8"/>
  <c r="M32" i="8"/>
  <c r="L32" i="8"/>
  <c r="U32" i="8"/>
  <c r="T32" i="8"/>
  <c r="X32" i="8"/>
  <c r="W32" i="8"/>
  <c r="K32" i="8"/>
  <c r="V32" i="8"/>
  <c r="J32" i="8"/>
  <c r="AC44" i="8"/>
  <c r="Q44" i="8"/>
  <c r="AB44" i="8"/>
  <c r="P44" i="8"/>
  <c r="AA44" i="8"/>
  <c r="O44" i="8"/>
  <c r="S44" i="8"/>
  <c r="Z44" i="8"/>
  <c r="N44" i="8"/>
  <c r="F44" i="8"/>
  <c r="Y44" i="8"/>
  <c r="M44" i="8"/>
  <c r="R44" i="8"/>
  <c r="X44" i="8"/>
  <c r="L44" i="8"/>
  <c r="W44" i="8"/>
  <c r="K44" i="8"/>
  <c r="G44" i="8"/>
  <c r="V44" i="8"/>
  <c r="J44" i="8"/>
  <c r="U44" i="8"/>
  <c r="I44" i="8"/>
  <c r="T44" i="8"/>
  <c r="H44" i="8"/>
  <c r="AC56" i="8"/>
  <c r="V56" i="8"/>
  <c r="J56" i="8"/>
  <c r="U56" i="8"/>
  <c r="I56" i="8"/>
  <c r="T56" i="8"/>
  <c r="H56" i="8"/>
  <c r="S56" i="8"/>
  <c r="G56" i="8"/>
  <c r="R56" i="8"/>
  <c r="F56" i="8"/>
  <c r="Q56" i="8"/>
  <c r="AB56" i="8"/>
  <c r="P56" i="8"/>
  <c r="AA56" i="8"/>
  <c r="O56" i="8"/>
  <c r="W56" i="8"/>
  <c r="N56" i="8"/>
  <c r="M56" i="8"/>
  <c r="L56" i="8"/>
  <c r="K56" i="8"/>
  <c r="X56" i="8"/>
  <c r="Y56" i="8"/>
  <c r="Z56" i="8"/>
  <c r="AC68" i="8"/>
  <c r="H68" i="8"/>
  <c r="G68" i="8"/>
  <c r="F68" i="8"/>
  <c r="Q68" i="8"/>
  <c r="P68" i="8"/>
  <c r="O68" i="8"/>
  <c r="N68" i="8"/>
  <c r="M68" i="8"/>
  <c r="L68" i="8"/>
  <c r="K68" i="8"/>
  <c r="I68" i="8"/>
  <c r="J68" i="8"/>
  <c r="AB68" i="8"/>
  <c r="Z68" i="8"/>
  <c r="Y68" i="8"/>
  <c r="AA68" i="8"/>
  <c r="U68" i="8"/>
  <c r="X68" i="8"/>
  <c r="V68" i="8"/>
  <c r="W68" i="8"/>
  <c r="T68" i="8"/>
  <c r="S68" i="8"/>
  <c r="R68" i="8"/>
  <c r="AC80" i="8"/>
  <c r="Y80" i="8"/>
  <c r="L80" i="8"/>
  <c r="X80" i="8"/>
  <c r="K80" i="8"/>
  <c r="W80" i="8"/>
  <c r="J80" i="8"/>
  <c r="V80" i="8"/>
  <c r="I80" i="8"/>
  <c r="U80" i="8"/>
  <c r="H80" i="8"/>
  <c r="S80" i="8"/>
  <c r="G80" i="8"/>
  <c r="R80" i="8"/>
  <c r="F80" i="8"/>
  <c r="Q80" i="8"/>
  <c r="P80" i="8"/>
  <c r="AB80" i="8"/>
  <c r="O80" i="8"/>
  <c r="AA80" i="8"/>
  <c r="Z80" i="8"/>
  <c r="N80" i="8"/>
  <c r="M80" i="8"/>
  <c r="T80" i="8"/>
  <c r="AC92" i="8"/>
  <c r="G92" i="8"/>
  <c r="F92" i="8"/>
  <c r="Q92" i="8"/>
  <c r="P92" i="8"/>
  <c r="O92" i="8"/>
  <c r="N92" i="8"/>
  <c r="M92" i="8"/>
  <c r="L92" i="8"/>
  <c r="K92" i="8"/>
  <c r="J92" i="8"/>
  <c r="I92" i="8"/>
  <c r="H92" i="8"/>
  <c r="AB92" i="8"/>
  <c r="Z92" i="8"/>
  <c r="Y92" i="8"/>
  <c r="R92" i="8"/>
  <c r="X92" i="8"/>
  <c r="W92" i="8"/>
  <c r="U92" i="8"/>
  <c r="S92" i="8"/>
  <c r="AA92" i="8"/>
  <c r="T92" i="8"/>
  <c r="V92" i="8"/>
  <c r="AC104" i="8"/>
  <c r="T104" i="8"/>
  <c r="H104" i="8"/>
  <c r="S104" i="8"/>
  <c r="G104" i="8"/>
  <c r="R104" i="8"/>
  <c r="F104" i="8"/>
  <c r="Q104" i="8"/>
  <c r="AB104" i="8"/>
  <c r="P104" i="8"/>
  <c r="AA104" i="8"/>
  <c r="O104" i="8"/>
  <c r="Z104" i="8"/>
  <c r="N104" i="8"/>
  <c r="Y104" i="8"/>
  <c r="M104" i="8"/>
  <c r="X104" i="8"/>
  <c r="L104" i="8"/>
  <c r="W104" i="8"/>
  <c r="K104" i="8"/>
  <c r="V104" i="8"/>
  <c r="U104" i="8"/>
  <c r="J104" i="8"/>
  <c r="I104" i="8"/>
  <c r="AC116" i="8"/>
  <c r="R116" i="8"/>
  <c r="F116" i="8"/>
  <c r="Q116" i="8"/>
  <c r="AB116" i="8"/>
  <c r="P116" i="8"/>
  <c r="AA116" i="8"/>
  <c r="O116" i="8"/>
  <c r="Z116" i="8"/>
  <c r="N116" i="8"/>
  <c r="Y116" i="8"/>
  <c r="M116" i="8"/>
  <c r="X116" i="8"/>
  <c r="L116" i="8"/>
  <c r="W116" i="8"/>
  <c r="K116" i="8"/>
  <c r="V116" i="8"/>
  <c r="J116" i="8"/>
  <c r="U116" i="8"/>
  <c r="I116" i="8"/>
  <c r="G116" i="8"/>
  <c r="H116" i="8"/>
  <c r="T116" i="8"/>
  <c r="S116" i="8"/>
  <c r="AC128" i="8"/>
  <c r="X128" i="8"/>
  <c r="K128" i="8"/>
  <c r="W128" i="8"/>
  <c r="J128" i="8"/>
  <c r="V128" i="8"/>
  <c r="I128" i="8"/>
  <c r="U128" i="8"/>
  <c r="H128" i="8"/>
  <c r="S128" i="8"/>
  <c r="G128" i="8"/>
  <c r="Q128" i="8"/>
  <c r="AB128" i="8"/>
  <c r="AA128" i="8"/>
  <c r="Z128" i="8"/>
  <c r="Y128" i="8"/>
  <c r="R128" i="8"/>
  <c r="P128" i="8"/>
  <c r="O128" i="8"/>
  <c r="N128" i="8"/>
  <c r="M128" i="8"/>
  <c r="F128" i="8"/>
  <c r="L128" i="8"/>
  <c r="T128" i="8"/>
  <c r="AC140" i="8"/>
  <c r="Y140" i="8"/>
  <c r="M140" i="8"/>
  <c r="X140" i="8"/>
  <c r="L140" i="8"/>
  <c r="W140" i="8"/>
  <c r="K140" i="8"/>
  <c r="V140" i="8"/>
  <c r="J140" i="8"/>
  <c r="U140" i="8"/>
  <c r="I140" i="8"/>
  <c r="T140" i="8"/>
  <c r="H140" i="8"/>
  <c r="S140" i="8"/>
  <c r="G140" i="8"/>
  <c r="R140" i="8"/>
  <c r="Q140" i="8"/>
  <c r="P140" i="8"/>
  <c r="O140" i="8"/>
  <c r="N140" i="8"/>
  <c r="F140" i="8"/>
  <c r="AB140" i="8"/>
  <c r="AA140" i="8"/>
  <c r="Z140" i="8"/>
  <c r="AC152" i="8"/>
  <c r="G152" i="8"/>
  <c r="F152" i="8"/>
  <c r="Q152" i="8"/>
  <c r="P152" i="8"/>
  <c r="O152" i="8"/>
  <c r="N152" i="8"/>
  <c r="M152" i="8"/>
  <c r="L152" i="8"/>
  <c r="K152" i="8"/>
  <c r="J152" i="8"/>
  <c r="I152" i="8"/>
  <c r="H152" i="8"/>
  <c r="AB152" i="8"/>
  <c r="Y152" i="8"/>
  <c r="Z152" i="8"/>
  <c r="AA152" i="8"/>
  <c r="S152" i="8"/>
  <c r="T152" i="8"/>
  <c r="V152" i="8"/>
  <c r="R152" i="8"/>
  <c r="X152" i="8"/>
  <c r="W152" i="8"/>
  <c r="U152" i="8"/>
  <c r="AC164" i="8"/>
  <c r="AB164" i="8"/>
  <c r="P164" i="8"/>
  <c r="AA164" i="8"/>
  <c r="O164" i="8"/>
  <c r="Z164" i="8"/>
  <c r="N164" i="8"/>
  <c r="Y164" i="8"/>
  <c r="M164" i="8"/>
  <c r="X164" i="8"/>
  <c r="L164" i="8"/>
  <c r="W164" i="8"/>
  <c r="K164" i="8"/>
  <c r="V164" i="8"/>
  <c r="J164" i="8"/>
  <c r="U164" i="8"/>
  <c r="I164" i="8"/>
  <c r="T164" i="8"/>
  <c r="H164" i="8"/>
  <c r="S164" i="8"/>
  <c r="G164" i="8"/>
  <c r="R164" i="8"/>
  <c r="Q164" i="8"/>
  <c r="F164" i="8"/>
  <c r="AC176" i="8"/>
  <c r="Q176" i="8"/>
  <c r="AB176" i="8"/>
  <c r="P176" i="8"/>
  <c r="AA176" i="8"/>
  <c r="O176" i="8"/>
  <c r="Z176" i="8"/>
  <c r="N176" i="8"/>
  <c r="Y176" i="8"/>
  <c r="M176" i="8"/>
  <c r="X176" i="8"/>
  <c r="L176" i="8"/>
  <c r="W176" i="8"/>
  <c r="K176" i="8"/>
  <c r="V176" i="8"/>
  <c r="J176" i="8"/>
  <c r="U176" i="8"/>
  <c r="I176" i="8"/>
  <c r="T176" i="8"/>
  <c r="H176" i="8"/>
  <c r="S176" i="8"/>
  <c r="R176" i="8"/>
  <c r="G176" i="8"/>
  <c r="F176" i="8"/>
  <c r="AC188" i="8"/>
  <c r="O188" i="8"/>
  <c r="P188" i="8"/>
  <c r="N188" i="8"/>
  <c r="M188" i="8"/>
  <c r="AB188" i="8"/>
  <c r="L188" i="8"/>
  <c r="AA188" i="8"/>
  <c r="K188" i="8"/>
  <c r="Z188" i="8"/>
  <c r="J188" i="8"/>
  <c r="Y188" i="8"/>
  <c r="I188" i="8"/>
  <c r="X188" i="8"/>
  <c r="H188" i="8"/>
  <c r="W188" i="8"/>
  <c r="G188" i="8"/>
  <c r="V188" i="8"/>
  <c r="F188" i="8"/>
  <c r="U188" i="8"/>
  <c r="Q188" i="8"/>
  <c r="S188" i="8"/>
  <c r="R188" i="8"/>
  <c r="T188" i="8"/>
  <c r="AC200" i="8"/>
  <c r="AA200" i="8"/>
  <c r="O200" i="8"/>
  <c r="X200" i="8"/>
  <c r="K200" i="8"/>
  <c r="W200" i="8"/>
  <c r="J200" i="8"/>
  <c r="V200" i="8"/>
  <c r="I200" i="8"/>
  <c r="U200" i="8"/>
  <c r="H200" i="8"/>
  <c r="T200" i="8"/>
  <c r="G200" i="8"/>
  <c r="S200" i="8"/>
  <c r="F200" i="8"/>
  <c r="R200" i="8"/>
  <c r="Q200" i="8"/>
  <c r="P200" i="8"/>
  <c r="AB200" i="8"/>
  <c r="N200" i="8"/>
  <c r="Y200" i="8"/>
  <c r="M200" i="8"/>
  <c r="L200" i="8"/>
  <c r="Z200" i="8"/>
  <c r="AC212" i="8"/>
  <c r="Z212" i="8"/>
  <c r="N212" i="8"/>
  <c r="W212" i="8"/>
  <c r="K212" i="8"/>
  <c r="V212" i="8"/>
  <c r="J212" i="8"/>
  <c r="U212" i="8"/>
  <c r="I212" i="8"/>
  <c r="T212" i="8"/>
  <c r="H212" i="8"/>
  <c r="S212" i="8"/>
  <c r="G212" i="8"/>
  <c r="R212" i="8"/>
  <c r="F212" i="8"/>
  <c r="M212" i="8"/>
  <c r="L212" i="8"/>
  <c r="AB212" i="8"/>
  <c r="AA212" i="8"/>
  <c r="Y212" i="8"/>
  <c r="X212" i="8"/>
  <c r="Q212" i="8"/>
  <c r="O212" i="8"/>
  <c r="P212" i="8"/>
  <c r="AC224" i="8"/>
  <c r="U224" i="8"/>
  <c r="I224" i="8"/>
  <c r="T224" i="8"/>
  <c r="H224" i="8"/>
  <c r="S224" i="8"/>
  <c r="G224" i="8"/>
  <c r="R224" i="8"/>
  <c r="F224" i="8"/>
  <c r="Q224" i="8"/>
  <c r="AB224" i="8"/>
  <c r="P224" i="8"/>
  <c r="AA224" i="8"/>
  <c r="O224" i="8"/>
  <c r="Z224" i="8"/>
  <c r="N224" i="8"/>
  <c r="Y224" i="8"/>
  <c r="M224" i="8"/>
  <c r="K224" i="8"/>
  <c r="J224" i="8"/>
  <c r="X224" i="8"/>
  <c r="W224" i="8"/>
  <c r="L224" i="8"/>
  <c r="V224" i="8"/>
  <c r="AC236" i="8"/>
  <c r="Q236" i="8"/>
  <c r="AB236" i="8"/>
  <c r="P236" i="8"/>
  <c r="T236" i="8"/>
  <c r="F236" i="8"/>
  <c r="S236" i="8"/>
  <c r="R236" i="8"/>
  <c r="O236" i="8"/>
  <c r="N236" i="8"/>
  <c r="AA236" i="8"/>
  <c r="M236" i="8"/>
  <c r="Z236" i="8"/>
  <c r="L236" i="8"/>
  <c r="Y236" i="8"/>
  <c r="K236" i="8"/>
  <c r="X236" i="8"/>
  <c r="J236" i="8"/>
  <c r="W236" i="8"/>
  <c r="I236" i="8"/>
  <c r="V236" i="8"/>
  <c r="U236" i="8"/>
  <c r="H236" i="8"/>
  <c r="G236" i="8"/>
  <c r="AC248" i="8"/>
  <c r="W248" i="8"/>
  <c r="K248" i="8"/>
  <c r="V248" i="8"/>
  <c r="J248" i="8"/>
  <c r="P248" i="8"/>
  <c r="O248" i="8"/>
  <c r="AB248" i="8"/>
  <c r="N248" i="8"/>
  <c r="AA248" i="8"/>
  <c r="M248" i="8"/>
  <c r="Z248" i="8"/>
  <c r="L248" i="8"/>
  <c r="Y248" i="8"/>
  <c r="I248" i="8"/>
  <c r="X248" i="8"/>
  <c r="H248" i="8"/>
  <c r="U248" i="8"/>
  <c r="G248" i="8"/>
  <c r="T248" i="8"/>
  <c r="F248" i="8"/>
  <c r="S248" i="8"/>
  <c r="R248" i="8"/>
  <c r="Q248" i="8"/>
  <c r="AC260" i="8"/>
  <c r="M260" i="8"/>
  <c r="L260" i="8"/>
  <c r="J260" i="8"/>
  <c r="AB260" i="8"/>
  <c r="I260" i="8"/>
  <c r="AA260" i="8"/>
  <c r="H260" i="8"/>
  <c r="Z260" i="8"/>
  <c r="G260" i="8"/>
  <c r="Y260" i="8"/>
  <c r="F260" i="8"/>
  <c r="V260" i="8"/>
  <c r="U260" i="8"/>
  <c r="Q260" i="8"/>
  <c r="P260" i="8"/>
  <c r="O260" i="8"/>
  <c r="N260" i="8"/>
  <c r="K260" i="8"/>
  <c r="S260" i="8"/>
  <c r="T260" i="8"/>
  <c r="W260" i="8"/>
  <c r="X260" i="8"/>
  <c r="R260" i="8"/>
  <c r="AC272" i="8"/>
  <c r="R272" i="8"/>
  <c r="F272" i="8"/>
  <c r="Q272" i="8"/>
  <c r="T272" i="8"/>
  <c r="H272" i="8"/>
  <c r="P272" i="8"/>
  <c r="O272" i="8"/>
  <c r="N272" i="8"/>
  <c r="AB272" i="8"/>
  <c r="M272" i="8"/>
  <c r="AA272" i="8"/>
  <c r="L272" i="8"/>
  <c r="Z272" i="8"/>
  <c r="K272" i="8"/>
  <c r="Y272" i="8"/>
  <c r="J272" i="8"/>
  <c r="X272" i="8"/>
  <c r="I272" i="8"/>
  <c r="W272" i="8"/>
  <c r="G272" i="8"/>
  <c r="V272" i="8"/>
  <c r="U272" i="8"/>
  <c r="S272" i="8"/>
  <c r="AC284" i="8"/>
  <c r="Q284" i="8"/>
  <c r="AB284" i="8"/>
  <c r="P284" i="8"/>
  <c r="AA284" i="8"/>
  <c r="O284" i="8"/>
  <c r="U284" i="8"/>
  <c r="I284" i="8"/>
  <c r="T284" i="8"/>
  <c r="H284" i="8"/>
  <c r="S284" i="8"/>
  <c r="G284" i="8"/>
  <c r="J284" i="8"/>
  <c r="F284" i="8"/>
  <c r="Z284" i="8"/>
  <c r="Y284" i="8"/>
  <c r="X284" i="8"/>
  <c r="W284" i="8"/>
  <c r="V284" i="8"/>
  <c r="R284" i="8"/>
  <c r="N284" i="8"/>
  <c r="M284" i="8"/>
  <c r="L284" i="8"/>
  <c r="K284" i="8"/>
  <c r="AC296" i="8"/>
  <c r="R296" i="8"/>
  <c r="F296" i="8"/>
  <c r="Q296" i="8"/>
  <c r="AB296" i="8"/>
  <c r="P296" i="8"/>
  <c r="Y296" i="8"/>
  <c r="M296" i="8"/>
  <c r="V296" i="8"/>
  <c r="J296" i="8"/>
  <c r="U296" i="8"/>
  <c r="I296" i="8"/>
  <c r="T296" i="8"/>
  <c r="H296" i="8"/>
  <c r="L296" i="8"/>
  <c r="K296" i="8"/>
  <c r="G296" i="8"/>
  <c r="AA296" i="8"/>
  <c r="Z296" i="8"/>
  <c r="X296" i="8"/>
  <c r="W296" i="8"/>
  <c r="S296" i="8"/>
  <c r="O296" i="8"/>
  <c r="N296" i="8"/>
  <c r="AC10" i="12"/>
  <c r="Q10" i="12"/>
  <c r="AB10" i="12"/>
  <c r="P10" i="12"/>
  <c r="AA10" i="12"/>
  <c r="O10" i="12"/>
  <c r="Z10" i="12"/>
  <c r="N10" i="12"/>
  <c r="Y10" i="12"/>
  <c r="M10" i="12"/>
  <c r="X10" i="12"/>
  <c r="L10" i="12"/>
  <c r="W10" i="12"/>
  <c r="K10" i="12"/>
  <c r="V10" i="12"/>
  <c r="J10" i="12"/>
  <c r="U10" i="12"/>
  <c r="I10" i="12"/>
  <c r="T10" i="12"/>
  <c r="H10" i="12"/>
  <c r="S10" i="12"/>
  <c r="R10" i="12"/>
  <c r="G10" i="12"/>
  <c r="F10" i="12"/>
  <c r="AC22" i="12"/>
  <c r="Q22" i="12"/>
  <c r="AB22" i="12"/>
  <c r="P22" i="12"/>
  <c r="AA22" i="12"/>
  <c r="O22" i="12"/>
  <c r="Z22" i="12"/>
  <c r="N22" i="12"/>
  <c r="Y22" i="12"/>
  <c r="M22" i="12"/>
  <c r="X22" i="12"/>
  <c r="L22" i="12"/>
  <c r="W22" i="12"/>
  <c r="K22" i="12"/>
  <c r="V22" i="12"/>
  <c r="J22" i="12"/>
  <c r="U22" i="12"/>
  <c r="I22" i="12"/>
  <c r="T22" i="12"/>
  <c r="H22" i="12"/>
  <c r="S22" i="12"/>
  <c r="R22" i="12"/>
  <c r="G22" i="12"/>
  <c r="F22" i="12"/>
  <c r="AC34" i="12"/>
  <c r="X34" i="12"/>
  <c r="W34" i="12"/>
  <c r="K34" i="12"/>
  <c r="V34" i="12"/>
  <c r="U34" i="12"/>
  <c r="R34" i="12"/>
  <c r="F34" i="12"/>
  <c r="T34" i="12"/>
  <c r="S34" i="12"/>
  <c r="Q34" i="12"/>
  <c r="P34" i="12"/>
  <c r="O34" i="12"/>
  <c r="N34" i="12"/>
  <c r="M34" i="12"/>
  <c r="L34" i="12"/>
  <c r="AB34" i="12"/>
  <c r="J34" i="12"/>
  <c r="AA34" i="12"/>
  <c r="I34" i="12"/>
  <c r="G34" i="12"/>
  <c r="Z34" i="12"/>
  <c r="Y34" i="12"/>
  <c r="H34" i="12"/>
  <c r="AC46" i="12"/>
  <c r="X46" i="12"/>
  <c r="L46" i="12"/>
  <c r="W46" i="12"/>
  <c r="K46" i="12"/>
  <c r="V46" i="12"/>
  <c r="J46" i="12"/>
  <c r="U46" i="12"/>
  <c r="I46" i="12"/>
  <c r="T46" i="12"/>
  <c r="H46" i="12"/>
  <c r="R46" i="12"/>
  <c r="F46" i="12"/>
  <c r="Z46" i="12"/>
  <c r="Y46" i="12"/>
  <c r="S46" i="12"/>
  <c r="Q46" i="12"/>
  <c r="P46" i="12"/>
  <c r="O46" i="12"/>
  <c r="N46" i="12"/>
  <c r="M46" i="12"/>
  <c r="G46" i="12"/>
  <c r="AB46" i="12"/>
  <c r="AA46" i="12"/>
  <c r="AC58" i="12"/>
  <c r="X58" i="12"/>
  <c r="L58" i="12"/>
  <c r="W58" i="12"/>
  <c r="K58" i="12"/>
  <c r="V58" i="12"/>
  <c r="J58" i="12"/>
  <c r="U58" i="12"/>
  <c r="I58" i="12"/>
  <c r="T58" i="12"/>
  <c r="H58" i="12"/>
  <c r="S58" i="12"/>
  <c r="G58" i="12"/>
  <c r="R58" i="12"/>
  <c r="F58" i="12"/>
  <c r="Q58" i="12"/>
  <c r="AB58" i="12"/>
  <c r="P58" i="12"/>
  <c r="AA58" i="12"/>
  <c r="O58" i="12"/>
  <c r="Z58" i="12"/>
  <c r="Y58" i="12"/>
  <c r="N58" i="12"/>
  <c r="M58" i="12"/>
  <c r="AC70" i="12"/>
  <c r="X70" i="12"/>
  <c r="L70" i="12"/>
  <c r="W70" i="12"/>
  <c r="K70" i="12"/>
  <c r="V70" i="12"/>
  <c r="J70" i="12"/>
  <c r="U70" i="12"/>
  <c r="I70" i="12"/>
  <c r="T70" i="12"/>
  <c r="H70" i="12"/>
  <c r="S70" i="12"/>
  <c r="G70" i="12"/>
  <c r="R70" i="12"/>
  <c r="F70" i="12"/>
  <c r="Q70" i="12"/>
  <c r="AB70" i="12"/>
  <c r="P70" i="12"/>
  <c r="AA70" i="12"/>
  <c r="O70" i="12"/>
  <c r="N70" i="12"/>
  <c r="M70" i="12"/>
  <c r="Z70" i="12"/>
  <c r="Y70" i="12"/>
  <c r="AC82" i="12"/>
  <c r="AB82" i="12"/>
  <c r="X82" i="12"/>
  <c r="L82" i="12"/>
  <c r="W82" i="12"/>
  <c r="K82" i="12"/>
  <c r="V82" i="12"/>
  <c r="J82" i="12"/>
  <c r="U82" i="12"/>
  <c r="I82" i="12"/>
  <c r="T82" i="12"/>
  <c r="H82" i="12"/>
  <c r="S82" i="12"/>
  <c r="G82" i="12"/>
  <c r="R82" i="12"/>
  <c r="F82" i="12"/>
  <c r="Q82" i="12"/>
  <c r="P82" i="12"/>
  <c r="AA82" i="12"/>
  <c r="O82" i="12"/>
  <c r="Z82" i="12"/>
  <c r="Y82" i="12"/>
  <c r="N82" i="12"/>
  <c r="M82" i="12"/>
  <c r="AC94" i="12"/>
  <c r="S94" i="12"/>
  <c r="G94" i="12"/>
  <c r="R94" i="12"/>
  <c r="F94" i="12"/>
  <c r="Q94" i="12"/>
  <c r="AB94" i="12"/>
  <c r="P94" i="12"/>
  <c r="X94" i="12"/>
  <c r="L94" i="12"/>
  <c r="AA94" i="12"/>
  <c r="I94" i="12"/>
  <c r="Z94" i="12"/>
  <c r="H94" i="12"/>
  <c r="Y94" i="12"/>
  <c r="W94" i="12"/>
  <c r="V94" i="12"/>
  <c r="U94" i="12"/>
  <c r="T94" i="12"/>
  <c r="O94" i="12"/>
  <c r="N94" i="12"/>
  <c r="M94" i="12"/>
  <c r="K94" i="12"/>
  <c r="J94" i="12"/>
  <c r="AC106" i="12"/>
  <c r="T106" i="12"/>
  <c r="H106" i="12"/>
  <c r="S106" i="12"/>
  <c r="G106" i="12"/>
  <c r="AA106" i="12"/>
  <c r="M106" i="12"/>
  <c r="Z106" i="12"/>
  <c r="L106" i="12"/>
  <c r="Y106" i="12"/>
  <c r="K106" i="12"/>
  <c r="X106" i="12"/>
  <c r="J106" i="12"/>
  <c r="W106" i="12"/>
  <c r="I106" i="12"/>
  <c r="V106" i="12"/>
  <c r="F106" i="12"/>
  <c r="R106" i="12"/>
  <c r="U106" i="12"/>
  <c r="Q106" i="12"/>
  <c r="P106" i="12"/>
  <c r="O106" i="12"/>
  <c r="N106" i="12"/>
  <c r="AB106" i="12"/>
  <c r="AC118" i="12"/>
  <c r="T118" i="12"/>
  <c r="H118" i="12"/>
  <c r="S118" i="12"/>
  <c r="G118" i="12"/>
  <c r="R118" i="12"/>
  <c r="F118" i="12"/>
  <c r="V118" i="12"/>
  <c r="U118" i="12"/>
  <c r="Q118" i="12"/>
  <c r="P118" i="12"/>
  <c r="O118" i="12"/>
  <c r="N118" i="12"/>
  <c r="AB118" i="12"/>
  <c r="M118" i="12"/>
  <c r="AA118" i="12"/>
  <c r="L118" i="12"/>
  <c r="Z118" i="12"/>
  <c r="K118" i="12"/>
  <c r="Y118" i="12"/>
  <c r="J118" i="12"/>
  <c r="X118" i="12"/>
  <c r="W118" i="12"/>
  <c r="I118" i="12"/>
  <c r="AC130" i="12"/>
  <c r="T130" i="12"/>
  <c r="H130" i="12"/>
  <c r="S130" i="12"/>
  <c r="G130" i="12"/>
  <c r="R130" i="12"/>
  <c r="F130" i="12"/>
  <c r="Q130" i="12"/>
  <c r="AB130" i="12"/>
  <c r="P130" i="12"/>
  <c r="AA130" i="12"/>
  <c r="O130" i="12"/>
  <c r="I130" i="12"/>
  <c r="Z130" i="12"/>
  <c r="Y130" i="12"/>
  <c r="X130" i="12"/>
  <c r="W130" i="12"/>
  <c r="V130" i="12"/>
  <c r="U130" i="12"/>
  <c r="N130" i="12"/>
  <c r="M130" i="12"/>
  <c r="L130" i="12"/>
  <c r="K130" i="12"/>
  <c r="J130" i="12"/>
  <c r="AC142" i="12"/>
  <c r="W142" i="12"/>
  <c r="K142" i="12"/>
  <c r="V142" i="12"/>
  <c r="J142" i="12"/>
  <c r="R142" i="12"/>
  <c r="Q142" i="12"/>
  <c r="P142" i="12"/>
  <c r="O142" i="12"/>
  <c r="AB142" i="12"/>
  <c r="N142" i="12"/>
  <c r="AA142" i="12"/>
  <c r="M142" i="12"/>
  <c r="Z142" i="12"/>
  <c r="Y142" i="12"/>
  <c r="X142" i="12"/>
  <c r="U142" i="12"/>
  <c r="T142" i="12"/>
  <c r="S142" i="12"/>
  <c r="L142" i="12"/>
  <c r="I142" i="12"/>
  <c r="H142" i="12"/>
  <c r="G142" i="12"/>
  <c r="F142" i="12"/>
  <c r="AC154" i="12"/>
  <c r="X154" i="12"/>
  <c r="W154" i="12"/>
  <c r="K154" i="12"/>
  <c r="V154" i="12"/>
  <c r="J154" i="12"/>
  <c r="R154" i="12"/>
  <c r="F154" i="12"/>
  <c r="Z154" i="12"/>
  <c r="H154" i="12"/>
  <c r="Y154" i="12"/>
  <c r="G154" i="12"/>
  <c r="U154" i="12"/>
  <c r="T154" i="12"/>
  <c r="S154" i="12"/>
  <c r="Q154" i="12"/>
  <c r="P154" i="12"/>
  <c r="O154" i="12"/>
  <c r="N154" i="12"/>
  <c r="M154" i="12"/>
  <c r="L154" i="12"/>
  <c r="I154" i="12"/>
  <c r="AB154" i="12"/>
  <c r="AA154" i="12"/>
  <c r="AC166" i="12"/>
  <c r="X166" i="12"/>
  <c r="L166" i="12"/>
  <c r="W166" i="12"/>
  <c r="K166" i="12"/>
  <c r="V166" i="12"/>
  <c r="J166" i="12"/>
  <c r="U166" i="12"/>
  <c r="I166" i="12"/>
  <c r="S166" i="12"/>
  <c r="G166" i="12"/>
  <c r="R166" i="12"/>
  <c r="F166" i="12"/>
  <c r="Q166" i="12"/>
  <c r="Y166" i="12"/>
  <c r="T166" i="12"/>
  <c r="P166" i="12"/>
  <c r="O166" i="12"/>
  <c r="N166" i="12"/>
  <c r="M166" i="12"/>
  <c r="H166" i="12"/>
  <c r="AB166" i="12"/>
  <c r="AA166" i="12"/>
  <c r="Z166" i="12"/>
  <c r="AC178" i="12"/>
  <c r="S178" i="12"/>
  <c r="G178" i="12"/>
  <c r="R178" i="12"/>
  <c r="F178" i="12"/>
  <c r="Q178" i="12"/>
  <c r="V178" i="12"/>
  <c r="U178" i="12"/>
  <c r="T178" i="12"/>
  <c r="P178" i="12"/>
  <c r="O178" i="12"/>
  <c r="N178" i="12"/>
  <c r="AB178" i="12"/>
  <c r="M178" i="12"/>
  <c r="AA178" i="12"/>
  <c r="L178" i="12"/>
  <c r="Z178" i="12"/>
  <c r="Y178" i="12"/>
  <c r="X178" i="12"/>
  <c r="W178" i="12"/>
  <c r="K178" i="12"/>
  <c r="J178" i="12"/>
  <c r="I178" i="12"/>
  <c r="H178" i="12"/>
  <c r="AC190" i="12"/>
  <c r="AB190" i="12"/>
  <c r="S190" i="12"/>
  <c r="G190" i="12"/>
  <c r="R190" i="12"/>
  <c r="F190" i="12"/>
  <c r="Q190" i="12"/>
  <c r="Z190" i="12"/>
  <c r="N190" i="12"/>
  <c r="U190" i="12"/>
  <c r="T190" i="12"/>
  <c r="P190" i="12"/>
  <c r="O190" i="12"/>
  <c r="M190" i="12"/>
  <c r="L190" i="12"/>
  <c r="K190" i="12"/>
  <c r="AA190" i="12"/>
  <c r="J190" i="12"/>
  <c r="I190" i="12"/>
  <c r="H190" i="12"/>
  <c r="Y190" i="12"/>
  <c r="X190" i="12"/>
  <c r="W190" i="12"/>
  <c r="V190" i="12"/>
  <c r="AC202" i="12"/>
  <c r="Y202" i="12"/>
  <c r="M202" i="12"/>
  <c r="X202" i="12"/>
  <c r="K202" i="12"/>
  <c r="W202" i="12"/>
  <c r="J202" i="12"/>
  <c r="P202" i="12"/>
  <c r="O202" i="12"/>
  <c r="N202" i="12"/>
  <c r="AB202" i="12"/>
  <c r="L202" i="12"/>
  <c r="AA202" i="12"/>
  <c r="I202" i="12"/>
  <c r="Z202" i="12"/>
  <c r="H202" i="12"/>
  <c r="V202" i="12"/>
  <c r="G202" i="12"/>
  <c r="U202" i="12"/>
  <c r="F202" i="12"/>
  <c r="T202" i="12"/>
  <c r="S202" i="12"/>
  <c r="R202" i="12"/>
  <c r="Q202" i="12"/>
  <c r="AC214" i="12"/>
  <c r="Y214" i="12"/>
  <c r="M214" i="12"/>
  <c r="W214" i="12"/>
  <c r="J214" i="12"/>
  <c r="V214" i="12"/>
  <c r="I214" i="12"/>
  <c r="S214" i="12"/>
  <c r="F214" i="12"/>
  <c r="T214" i="12"/>
  <c r="R214" i="12"/>
  <c r="Q214" i="12"/>
  <c r="P214" i="12"/>
  <c r="O214" i="12"/>
  <c r="N214" i="12"/>
  <c r="L214" i="12"/>
  <c r="AB214" i="12"/>
  <c r="K214" i="12"/>
  <c r="H214" i="12"/>
  <c r="G214" i="12"/>
  <c r="AA214" i="12"/>
  <c r="Z214" i="12"/>
  <c r="X214" i="12"/>
  <c r="U214" i="12"/>
  <c r="AC226" i="12"/>
  <c r="Y226" i="12"/>
  <c r="M226" i="12"/>
  <c r="V226" i="12"/>
  <c r="I226" i="12"/>
  <c r="U226" i="12"/>
  <c r="H226" i="12"/>
  <c r="T226" i="12"/>
  <c r="G226" i="12"/>
  <c r="S226" i="12"/>
  <c r="F226" i="12"/>
  <c r="R226" i="12"/>
  <c r="Q226" i="12"/>
  <c r="AB226" i="12"/>
  <c r="AA226" i="12"/>
  <c r="Z226" i="12"/>
  <c r="X226" i="12"/>
  <c r="W226" i="12"/>
  <c r="P226" i="12"/>
  <c r="O226" i="12"/>
  <c r="N226" i="12"/>
  <c r="L226" i="12"/>
  <c r="K226" i="12"/>
  <c r="J226" i="12"/>
  <c r="AC238" i="12"/>
  <c r="Y238" i="12"/>
  <c r="M238" i="12"/>
  <c r="X238" i="12"/>
  <c r="L238" i="12"/>
  <c r="W238" i="12"/>
  <c r="K238" i="12"/>
  <c r="O238" i="12"/>
  <c r="N238" i="12"/>
  <c r="AB238" i="12"/>
  <c r="J238" i="12"/>
  <c r="AA238" i="12"/>
  <c r="I238" i="12"/>
  <c r="Z238" i="12"/>
  <c r="H238" i="12"/>
  <c r="V238" i="12"/>
  <c r="G238" i="12"/>
  <c r="F238" i="12"/>
  <c r="U238" i="12"/>
  <c r="T238" i="12"/>
  <c r="S238" i="12"/>
  <c r="R238" i="12"/>
  <c r="Q238" i="12"/>
  <c r="P238" i="12"/>
  <c r="AC250" i="12"/>
  <c r="AB250" i="12"/>
  <c r="P250" i="12"/>
  <c r="Q250" i="12"/>
  <c r="O250" i="12"/>
  <c r="AA250" i="12"/>
  <c r="N250" i="12"/>
  <c r="Z250" i="12"/>
  <c r="M250" i="12"/>
  <c r="I250" i="12"/>
  <c r="Y250" i="12"/>
  <c r="H250" i="12"/>
  <c r="X250" i="12"/>
  <c r="G250" i="12"/>
  <c r="W250" i="12"/>
  <c r="F250" i="12"/>
  <c r="V250" i="12"/>
  <c r="U250" i="12"/>
  <c r="T250" i="12"/>
  <c r="S250" i="12"/>
  <c r="K250" i="12"/>
  <c r="J250" i="12"/>
  <c r="R250" i="12"/>
  <c r="L250" i="12"/>
  <c r="AC262" i="12"/>
  <c r="AB262" i="12"/>
  <c r="P262" i="12"/>
  <c r="Z262" i="12"/>
  <c r="N262" i="12"/>
  <c r="Y262" i="12"/>
  <c r="M262" i="12"/>
  <c r="V262" i="12"/>
  <c r="G262" i="12"/>
  <c r="U262" i="12"/>
  <c r="F262" i="12"/>
  <c r="T262" i="12"/>
  <c r="S262" i="12"/>
  <c r="R262" i="12"/>
  <c r="Q262" i="12"/>
  <c r="O262" i="12"/>
  <c r="L262" i="12"/>
  <c r="K262" i="12"/>
  <c r="J262" i="12"/>
  <c r="I262" i="12"/>
  <c r="H262" i="12"/>
  <c r="AA262" i="12"/>
  <c r="X262" i="12"/>
  <c r="W262" i="12"/>
  <c r="AC274" i="12"/>
  <c r="AB274" i="12"/>
  <c r="P274" i="12"/>
  <c r="Z274" i="12"/>
  <c r="N274" i="12"/>
  <c r="Y274" i="12"/>
  <c r="M274" i="12"/>
  <c r="X274" i="12"/>
  <c r="L274" i="12"/>
  <c r="U274" i="12"/>
  <c r="I274" i="12"/>
  <c r="R274" i="12"/>
  <c r="Q274" i="12"/>
  <c r="O274" i="12"/>
  <c r="K274" i="12"/>
  <c r="J274" i="12"/>
  <c r="H274" i="12"/>
  <c r="G274" i="12"/>
  <c r="W274" i="12"/>
  <c r="V274" i="12"/>
  <c r="T274" i="12"/>
  <c r="S274" i="12"/>
  <c r="F274" i="12"/>
  <c r="AA274" i="12"/>
  <c r="AC5" i="8"/>
  <c r="Y5" i="8"/>
  <c r="M5" i="8"/>
  <c r="U5" i="8"/>
  <c r="F5" i="8"/>
  <c r="P5" i="8"/>
  <c r="X5" i="8"/>
  <c r="L5" i="8"/>
  <c r="T5" i="8"/>
  <c r="W5" i="8"/>
  <c r="K5" i="8"/>
  <c r="V5" i="8"/>
  <c r="J5" i="8"/>
  <c r="AB5" i="8"/>
  <c r="N5" i="8"/>
  <c r="I5" i="8"/>
  <c r="H5" i="8"/>
  <c r="R5" i="8"/>
  <c r="Q5" i="8"/>
  <c r="S5" i="8"/>
  <c r="G5" i="8"/>
  <c r="O5" i="8"/>
  <c r="Z5" i="8"/>
  <c r="AA5" i="8"/>
  <c r="AC21" i="8"/>
  <c r="K21" i="8"/>
  <c r="M21" i="8"/>
  <c r="J21" i="8"/>
  <c r="I21" i="8"/>
  <c r="H21" i="8"/>
  <c r="G21" i="8"/>
  <c r="F21" i="8"/>
  <c r="Q21" i="8"/>
  <c r="P21" i="8"/>
  <c r="L21" i="8"/>
  <c r="O21" i="8"/>
  <c r="N21" i="8"/>
  <c r="AB21" i="8"/>
  <c r="Y21" i="8"/>
  <c r="Z21" i="8"/>
  <c r="T21" i="8"/>
  <c r="W21" i="8"/>
  <c r="V21" i="8"/>
  <c r="AA21" i="8"/>
  <c r="R21" i="8"/>
  <c r="S21" i="8"/>
  <c r="U21" i="8"/>
  <c r="X21" i="8"/>
  <c r="AC33" i="8"/>
  <c r="T33" i="8"/>
  <c r="H33" i="8"/>
  <c r="S33" i="8"/>
  <c r="G33" i="8"/>
  <c r="R33" i="8"/>
  <c r="F33" i="8"/>
  <c r="J33" i="8"/>
  <c r="Q33" i="8"/>
  <c r="U33" i="8"/>
  <c r="AB33" i="8"/>
  <c r="P33" i="8"/>
  <c r="I33" i="8"/>
  <c r="AA33" i="8"/>
  <c r="O33" i="8"/>
  <c r="Z33" i="8"/>
  <c r="N33" i="8"/>
  <c r="Y33" i="8"/>
  <c r="M33" i="8"/>
  <c r="X33" i="8"/>
  <c r="L33" i="8"/>
  <c r="W33" i="8"/>
  <c r="K33" i="8"/>
  <c r="V33" i="8"/>
  <c r="AC45" i="8"/>
  <c r="Z45" i="8"/>
  <c r="Y45" i="8"/>
  <c r="X45" i="8"/>
  <c r="W45" i="8"/>
  <c r="K45" i="8"/>
  <c r="S45" i="8"/>
  <c r="G45" i="8"/>
  <c r="U45" i="8"/>
  <c r="F45" i="8"/>
  <c r="AA45" i="8"/>
  <c r="T45" i="8"/>
  <c r="R45" i="8"/>
  <c r="Q45" i="8"/>
  <c r="P45" i="8"/>
  <c r="I45" i="8"/>
  <c r="O45" i="8"/>
  <c r="V45" i="8"/>
  <c r="N45" i="8"/>
  <c r="H45" i="8"/>
  <c r="M45" i="8"/>
  <c r="L45" i="8"/>
  <c r="AB45" i="8"/>
  <c r="J45" i="8"/>
  <c r="AC57" i="8"/>
  <c r="K57" i="8"/>
  <c r="J57" i="8"/>
  <c r="I57" i="8"/>
  <c r="AB57" i="8"/>
  <c r="H57" i="8"/>
  <c r="AA57" i="8"/>
  <c r="G57" i="8"/>
  <c r="Z57" i="8"/>
  <c r="F57" i="8"/>
  <c r="Q57" i="8"/>
  <c r="P57" i="8"/>
  <c r="O57" i="8"/>
  <c r="N57" i="8"/>
  <c r="M57" i="8"/>
  <c r="L57" i="8"/>
  <c r="Y57" i="8"/>
  <c r="V57" i="8"/>
  <c r="S57" i="8"/>
  <c r="U57" i="8"/>
  <c r="X57" i="8"/>
  <c r="R57" i="8"/>
  <c r="T57" i="8"/>
  <c r="W57" i="8"/>
  <c r="AC69" i="8"/>
  <c r="T69" i="8"/>
  <c r="H69" i="8"/>
  <c r="S69" i="8"/>
  <c r="G69" i="8"/>
  <c r="R69" i="8"/>
  <c r="F69" i="8"/>
  <c r="Q69" i="8"/>
  <c r="AB69" i="8"/>
  <c r="P69" i="8"/>
  <c r="AA69" i="8"/>
  <c r="O69" i="8"/>
  <c r="Z69" i="8"/>
  <c r="N69" i="8"/>
  <c r="Y69" i="8"/>
  <c r="M69" i="8"/>
  <c r="X69" i="8"/>
  <c r="L69" i="8"/>
  <c r="W69" i="8"/>
  <c r="K69" i="8"/>
  <c r="V69" i="8"/>
  <c r="U69" i="8"/>
  <c r="J69" i="8"/>
  <c r="I69" i="8"/>
  <c r="AC81" i="8"/>
  <c r="N81" i="8"/>
  <c r="M81" i="8"/>
  <c r="L81" i="8"/>
  <c r="K81" i="8"/>
  <c r="J81" i="8"/>
  <c r="I81" i="8"/>
  <c r="H81" i="8"/>
  <c r="G81" i="8"/>
  <c r="F81" i="8"/>
  <c r="Q81" i="8"/>
  <c r="O81" i="8"/>
  <c r="P81" i="8"/>
  <c r="AB81" i="8"/>
  <c r="Z81" i="8"/>
  <c r="Y81" i="8"/>
  <c r="AA81" i="8"/>
  <c r="T81" i="8"/>
  <c r="V81" i="8"/>
  <c r="W81" i="8"/>
  <c r="R81" i="8"/>
  <c r="X81" i="8"/>
  <c r="U81" i="8"/>
  <c r="S81" i="8"/>
  <c r="AC93" i="8"/>
  <c r="S93" i="8"/>
  <c r="G93" i="8"/>
  <c r="R93" i="8"/>
  <c r="F93" i="8"/>
  <c r="Q93" i="8"/>
  <c r="AB93" i="8"/>
  <c r="P93" i="8"/>
  <c r="AA93" i="8"/>
  <c r="O93" i="8"/>
  <c r="Z93" i="8"/>
  <c r="N93" i="8"/>
  <c r="Y93" i="8"/>
  <c r="M93" i="8"/>
  <c r="X93" i="8"/>
  <c r="L93" i="8"/>
  <c r="W93" i="8"/>
  <c r="K93" i="8"/>
  <c r="V93" i="8"/>
  <c r="J93" i="8"/>
  <c r="U93" i="8"/>
  <c r="T93" i="8"/>
  <c r="I93" i="8"/>
  <c r="H93" i="8"/>
  <c r="AC105" i="8"/>
  <c r="U105" i="8"/>
  <c r="I105" i="8"/>
  <c r="T105" i="8"/>
  <c r="H105" i="8"/>
  <c r="S105" i="8"/>
  <c r="G105" i="8"/>
  <c r="R105" i="8"/>
  <c r="F105" i="8"/>
  <c r="Q105" i="8"/>
  <c r="AB105" i="8"/>
  <c r="P105" i="8"/>
  <c r="AA105" i="8"/>
  <c r="O105" i="8"/>
  <c r="Z105" i="8"/>
  <c r="N105" i="8"/>
  <c r="Y105" i="8"/>
  <c r="M105" i="8"/>
  <c r="X105" i="8"/>
  <c r="L105" i="8"/>
  <c r="J105" i="8"/>
  <c r="V105" i="8"/>
  <c r="K105" i="8"/>
  <c r="W105" i="8"/>
  <c r="AC117" i="8"/>
  <c r="S117" i="8"/>
  <c r="G117" i="8"/>
  <c r="R117" i="8"/>
  <c r="F117" i="8"/>
  <c r="Q117" i="8"/>
  <c r="AB117" i="8"/>
  <c r="P117" i="8"/>
  <c r="AA117" i="8"/>
  <c r="O117" i="8"/>
  <c r="Z117" i="8"/>
  <c r="N117" i="8"/>
  <c r="Y117" i="8"/>
  <c r="M117" i="8"/>
  <c r="X117" i="8"/>
  <c r="L117" i="8"/>
  <c r="W117" i="8"/>
  <c r="K117" i="8"/>
  <c r="V117" i="8"/>
  <c r="J117" i="8"/>
  <c r="U117" i="8"/>
  <c r="T117" i="8"/>
  <c r="I117" i="8"/>
  <c r="H117" i="8"/>
  <c r="AC129" i="8"/>
  <c r="AB129" i="8"/>
  <c r="M129" i="8"/>
  <c r="AA129" i="8"/>
  <c r="L129" i="8"/>
  <c r="Z129" i="8"/>
  <c r="K129" i="8"/>
  <c r="Y129" i="8"/>
  <c r="J129" i="8"/>
  <c r="X129" i="8"/>
  <c r="I129" i="8"/>
  <c r="V129" i="8"/>
  <c r="G129" i="8"/>
  <c r="F129" i="8"/>
  <c r="W129" i="8"/>
  <c r="U129" i="8"/>
  <c r="Q129" i="8"/>
  <c r="P129" i="8"/>
  <c r="O129" i="8"/>
  <c r="N129" i="8"/>
  <c r="H129" i="8"/>
  <c r="R129" i="8"/>
  <c r="S129" i="8"/>
  <c r="T129" i="8"/>
  <c r="AC141" i="8"/>
  <c r="Z141" i="8"/>
  <c r="N141" i="8"/>
  <c r="Y141" i="8"/>
  <c r="M141" i="8"/>
  <c r="X141" i="8"/>
  <c r="L141" i="8"/>
  <c r="W141" i="8"/>
  <c r="K141" i="8"/>
  <c r="V141" i="8"/>
  <c r="J141" i="8"/>
  <c r="U141" i="8"/>
  <c r="I141" i="8"/>
  <c r="T141" i="8"/>
  <c r="H141" i="8"/>
  <c r="AB141" i="8"/>
  <c r="AA141" i="8"/>
  <c r="S141" i="8"/>
  <c r="R141" i="8"/>
  <c r="Q141" i="8"/>
  <c r="P141" i="8"/>
  <c r="O141" i="8"/>
  <c r="G141" i="8"/>
  <c r="F141" i="8"/>
  <c r="AC153" i="8"/>
  <c r="S153" i="8"/>
  <c r="G153" i="8"/>
  <c r="R153" i="8"/>
  <c r="F153" i="8"/>
  <c r="Q153" i="8"/>
  <c r="AB153" i="8"/>
  <c r="P153" i="8"/>
  <c r="AA153" i="8"/>
  <c r="O153" i="8"/>
  <c r="Z153" i="8"/>
  <c r="N153" i="8"/>
  <c r="Y153" i="8"/>
  <c r="M153" i="8"/>
  <c r="X153" i="8"/>
  <c r="L153" i="8"/>
  <c r="W153" i="8"/>
  <c r="K153" i="8"/>
  <c r="V153" i="8"/>
  <c r="J153" i="8"/>
  <c r="U153" i="8"/>
  <c r="T153" i="8"/>
  <c r="I153" i="8"/>
  <c r="H153" i="8"/>
  <c r="AC165" i="8"/>
  <c r="Q165" i="8"/>
  <c r="AB165" i="8"/>
  <c r="P165" i="8"/>
  <c r="AA165" i="8"/>
  <c r="O165" i="8"/>
  <c r="Z165" i="8"/>
  <c r="N165" i="8"/>
  <c r="Y165" i="8"/>
  <c r="M165" i="8"/>
  <c r="X165" i="8"/>
  <c r="L165" i="8"/>
  <c r="W165" i="8"/>
  <c r="K165" i="8"/>
  <c r="V165" i="8"/>
  <c r="J165" i="8"/>
  <c r="U165" i="8"/>
  <c r="I165" i="8"/>
  <c r="T165" i="8"/>
  <c r="H165" i="8"/>
  <c r="F165" i="8"/>
  <c r="S165" i="8"/>
  <c r="R165" i="8"/>
  <c r="G165" i="8"/>
  <c r="AC177" i="8"/>
  <c r="F177" i="8"/>
  <c r="Q177" i="8"/>
  <c r="P177" i="8"/>
  <c r="O177" i="8"/>
  <c r="N177" i="8"/>
  <c r="M177" i="8"/>
  <c r="L177" i="8"/>
  <c r="K177" i="8"/>
  <c r="J177" i="8"/>
  <c r="I177" i="8"/>
  <c r="H177" i="8"/>
  <c r="G177" i="8"/>
  <c r="AB177" i="8"/>
  <c r="Z177" i="8"/>
  <c r="Y177" i="8"/>
  <c r="U177" i="8"/>
  <c r="AA177" i="8"/>
  <c r="V177" i="8"/>
  <c r="W177" i="8"/>
  <c r="R177" i="8"/>
  <c r="S177" i="8"/>
  <c r="X177" i="8"/>
  <c r="T177" i="8"/>
  <c r="AC189" i="8"/>
  <c r="S189" i="8"/>
  <c r="G189" i="8"/>
  <c r="V189" i="8"/>
  <c r="I189" i="8"/>
  <c r="U189" i="8"/>
  <c r="H189" i="8"/>
  <c r="T189" i="8"/>
  <c r="F189" i="8"/>
  <c r="R189" i="8"/>
  <c r="Q189" i="8"/>
  <c r="P189" i="8"/>
  <c r="AB189" i="8"/>
  <c r="O189" i="8"/>
  <c r="AA189" i="8"/>
  <c r="N189" i="8"/>
  <c r="Z189" i="8"/>
  <c r="M189" i="8"/>
  <c r="Y189" i="8"/>
  <c r="L189" i="8"/>
  <c r="J189" i="8"/>
  <c r="X189" i="8"/>
  <c r="W189" i="8"/>
  <c r="K189" i="8"/>
  <c r="AC201" i="8"/>
  <c r="AB201" i="8"/>
  <c r="P201" i="8"/>
  <c r="X201" i="8"/>
  <c r="N201" i="8"/>
  <c r="AA201" i="8"/>
  <c r="M201" i="8"/>
  <c r="Z201" i="8"/>
  <c r="L201" i="8"/>
  <c r="Y201" i="8"/>
  <c r="K201" i="8"/>
  <c r="W201" i="8"/>
  <c r="J201" i="8"/>
  <c r="V201" i="8"/>
  <c r="I201" i="8"/>
  <c r="U201" i="8"/>
  <c r="H201" i="8"/>
  <c r="T201" i="8"/>
  <c r="G201" i="8"/>
  <c r="S201" i="8"/>
  <c r="F201" i="8"/>
  <c r="R201" i="8"/>
  <c r="Q201" i="8"/>
  <c r="O201" i="8"/>
  <c r="AC213" i="8"/>
  <c r="AB213" i="8"/>
  <c r="O213" i="8"/>
  <c r="Y213" i="8"/>
  <c r="L213" i="8"/>
  <c r="X213" i="8"/>
  <c r="K213" i="8"/>
  <c r="W213" i="8"/>
  <c r="J213" i="8"/>
  <c r="V213" i="8"/>
  <c r="I213" i="8"/>
  <c r="U213" i="8"/>
  <c r="H213" i="8"/>
  <c r="S213" i="8"/>
  <c r="G213" i="8"/>
  <c r="Q213" i="8"/>
  <c r="P213" i="8"/>
  <c r="N213" i="8"/>
  <c r="M213" i="8"/>
  <c r="F213" i="8"/>
  <c r="AA213" i="8"/>
  <c r="Z213" i="8"/>
  <c r="R213" i="8"/>
  <c r="T213" i="8"/>
  <c r="AC225" i="8"/>
  <c r="V225" i="8"/>
  <c r="J225" i="8"/>
  <c r="U225" i="8"/>
  <c r="I225" i="8"/>
  <c r="T225" i="8"/>
  <c r="H225" i="8"/>
  <c r="S225" i="8"/>
  <c r="G225" i="8"/>
  <c r="R225" i="8"/>
  <c r="F225" i="8"/>
  <c r="Q225" i="8"/>
  <c r="AB225" i="8"/>
  <c r="P225" i="8"/>
  <c r="AA225" i="8"/>
  <c r="O225" i="8"/>
  <c r="Z225" i="8"/>
  <c r="N225" i="8"/>
  <c r="Y225" i="8"/>
  <c r="X225" i="8"/>
  <c r="W225" i="8"/>
  <c r="M225" i="8"/>
  <c r="L225" i="8"/>
  <c r="K225" i="8"/>
  <c r="AC237" i="8"/>
  <c r="R237" i="8"/>
  <c r="F237" i="8"/>
  <c r="Q237" i="8"/>
  <c r="Y237" i="8"/>
  <c r="K237" i="8"/>
  <c r="X237" i="8"/>
  <c r="J237" i="8"/>
  <c r="W237" i="8"/>
  <c r="I237" i="8"/>
  <c r="V237" i="8"/>
  <c r="H237" i="8"/>
  <c r="U237" i="8"/>
  <c r="G237" i="8"/>
  <c r="T237" i="8"/>
  <c r="S237" i="8"/>
  <c r="P237" i="8"/>
  <c r="O237" i="8"/>
  <c r="AB237" i="8"/>
  <c r="N237" i="8"/>
  <c r="L237" i="8"/>
  <c r="AA237" i="8"/>
  <c r="Z237" i="8"/>
  <c r="M237" i="8"/>
  <c r="AC249" i="8"/>
  <c r="X249" i="8"/>
  <c r="L249" i="8"/>
  <c r="W249" i="8"/>
  <c r="K249" i="8"/>
  <c r="U249" i="8"/>
  <c r="G249" i="8"/>
  <c r="T249" i="8"/>
  <c r="F249" i="8"/>
  <c r="S249" i="8"/>
  <c r="R249" i="8"/>
  <c r="Q249" i="8"/>
  <c r="P249" i="8"/>
  <c r="O249" i="8"/>
  <c r="AB249" i="8"/>
  <c r="N249" i="8"/>
  <c r="AA249" i="8"/>
  <c r="M249" i="8"/>
  <c r="Z249" i="8"/>
  <c r="J249" i="8"/>
  <c r="Y249" i="8"/>
  <c r="V249" i="8"/>
  <c r="I249" i="8"/>
  <c r="H249" i="8"/>
  <c r="AC261" i="8"/>
  <c r="S261" i="8"/>
  <c r="G261" i="8"/>
  <c r="R261" i="8"/>
  <c r="F261" i="8"/>
  <c r="V261" i="8"/>
  <c r="H261" i="8"/>
  <c r="U261" i="8"/>
  <c r="T261" i="8"/>
  <c r="Q261" i="8"/>
  <c r="P261" i="8"/>
  <c r="O261" i="8"/>
  <c r="AB261" i="8"/>
  <c r="N261" i="8"/>
  <c r="AA261" i="8"/>
  <c r="M261" i="8"/>
  <c r="Z261" i="8"/>
  <c r="L261" i="8"/>
  <c r="Y261" i="8"/>
  <c r="K261" i="8"/>
  <c r="X261" i="8"/>
  <c r="W261" i="8"/>
  <c r="J261" i="8"/>
  <c r="I261" i="8"/>
  <c r="AC273" i="8"/>
  <c r="S273" i="8"/>
  <c r="G273" i="8"/>
  <c r="R273" i="8"/>
  <c r="F273" i="8"/>
  <c r="U273" i="8"/>
  <c r="I273" i="8"/>
  <c r="Z273" i="8"/>
  <c r="K273" i="8"/>
  <c r="Y273" i="8"/>
  <c r="J273" i="8"/>
  <c r="X273" i="8"/>
  <c r="H273" i="8"/>
  <c r="W273" i="8"/>
  <c r="V273" i="8"/>
  <c r="T273" i="8"/>
  <c r="Q273" i="8"/>
  <c r="P273" i="8"/>
  <c r="O273" i="8"/>
  <c r="N273" i="8"/>
  <c r="AB273" i="8"/>
  <c r="AA273" i="8"/>
  <c r="M273" i="8"/>
  <c r="L273" i="8"/>
  <c r="AC285" i="8"/>
  <c r="R285" i="8"/>
  <c r="F285" i="8"/>
  <c r="Q285" i="8"/>
  <c r="AB285" i="8"/>
  <c r="P285" i="8"/>
  <c r="V285" i="8"/>
  <c r="J285" i="8"/>
  <c r="U285" i="8"/>
  <c r="I285" i="8"/>
  <c r="T285" i="8"/>
  <c r="H285" i="8"/>
  <c r="K285" i="8"/>
  <c r="G285" i="8"/>
  <c r="AA285" i="8"/>
  <c r="Z285" i="8"/>
  <c r="Y285" i="8"/>
  <c r="X285" i="8"/>
  <c r="W285" i="8"/>
  <c r="S285" i="8"/>
  <c r="O285" i="8"/>
  <c r="N285" i="8"/>
  <c r="M285" i="8"/>
  <c r="L285" i="8"/>
  <c r="AC297" i="8"/>
  <c r="S297" i="8"/>
  <c r="G297" i="8"/>
  <c r="R297" i="8"/>
  <c r="F297" i="8"/>
  <c r="Q297" i="8"/>
  <c r="Z297" i="8"/>
  <c r="N297" i="8"/>
  <c r="W297" i="8"/>
  <c r="K297" i="8"/>
  <c r="V297" i="8"/>
  <c r="J297" i="8"/>
  <c r="U297" i="8"/>
  <c r="I297" i="8"/>
  <c r="P297" i="8"/>
  <c r="O297" i="8"/>
  <c r="M297" i="8"/>
  <c r="L297" i="8"/>
  <c r="H297" i="8"/>
  <c r="AB297" i="8"/>
  <c r="AA297" i="8"/>
  <c r="Y297" i="8"/>
  <c r="X297" i="8"/>
  <c r="T297" i="8"/>
  <c r="AC11" i="12"/>
  <c r="R11" i="12"/>
  <c r="F11" i="12"/>
  <c r="Q11" i="12"/>
  <c r="AB11" i="12"/>
  <c r="P11" i="12"/>
  <c r="AA11" i="12"/>
  <c r="O11" i="12"/>
  <c r="Z11" i="12"/>
  <c r="N11" i="12"/>
  <c r="Y11" i="12"/>
  <c r="M11" i="12"/>
  <c r="X11" i="12"/>
  <c r="L11" i="12"/>
  <c r="W11" i="12"/>
  <c r="K11" i="12"/>
  <c r="V11" i="12"/>
  <c r="J11" i="12"/>
  <c r="U11" i="12"/>
  <c r="I11" i="12"/>
  <c r="T11" i="12"/>
  <c r="S11" i="12"/>
  <c r="H11" i="12"/>
  <c r="G11" i="12"/>
  <c r="AC23" i="12"/>
  <c r="R23" i="12"/>
  <c r="F23" i="12"/>
  <c r="Q23" i="12"/>
  <c r="AB23" i="12"/>
  <c r="P23" i="12"/>
  <c r="AA23" i="12"/>
  <c r="O23" i="12"/>
  <c r="Z23" i="12"/>
  <c r="N23" i="12"/>
  <c r="Y23" i="12"/>
  <c r="M23" i="12"/>
  <c r="X23" i="12"/>
  <c r="L23" i="12"/>
  <c r="W23" i="12"/>
  <c r="K23" i="12"/>
  <c r="V23" i="12"/>
  <c r="J23" i="12"/>
  <c r="U23" i="12"/>
  <c r="I23" i="12"/>
  <c r="T23" i="12"/>
  <c r="S23" i="12"/>
  <c r="H23" i="12"/>
  <c r="G23" i="12"/>
  <c r="AC35" i="12"/>
  <c r="Y35" i="12"/>
  <c r="M35" i="12"/>
  <c r="X35" i="12"/>
  <c r="L35" i="12"/>
  <c r="W35" i="12"/>
  <c r="K35" i="12"/>
  <c r="V35" i="12"/>
  <c r="J35" i="12"/>
  <c r="S35" i="12"/>
  <c r="G35" i="12"/>
  <c r="R35" i="12"/>
  <c r="Q35" i="12"/>
  <c r="P35" i="12"/>
  <c r="O35" i="12"/>
  <c r="N35" i="12"/>
  <c r="I35" i="12"/>
  <c r="H35" i="12"/>
  <c r="AB35" i="12"/>
  <c r="F35" i="12"/>
  <c r="AA35" i="12"/>
  <c r="Z35" i="12"/>
  <c r="U35" i="12"/>
  <c r="T35" i="12"/>
  <c r="AC47" i="12"/>
  <c r="Y47" i="12"/>
  <c r="M47" i="12"/>
  <c r="X47" i="12"/>
  <c r="L47" i="12"/>
  <c r="W47" i="12"/>
  <c r="K47" i="12"/>
  <c r="V47" i="12"/>
  <c r="J47" i="12"/>
  <c r="U47" i="12"/>
  <c r="I47" i="12"/>
  <c r="T47" i="12"/>
  <c r="S47" i="12"/>
  <c r="G47" i="12"/>
  <c r="AB47" i="12"/>
  <c r="AA47" i="12"/>
  <c r="Z47" i="12"/>
  <c r="R47" i="12"/>
  <c r="Q47" i="12"/>
  <c r="P47" i="12"/>
  <c r="O47" i="12"/>
  <c r="N47" i="12"/>
  <c r="H47" i="12"/>
  <c r="F47" i="12"/>
  <c r="AC59" i="12"/>
  <c r="Y59" i="12"/>
  <c r="M59" i="12"/>
  <c r="X59" i="12"/>
  <c r="L59" i="12"/>
  <c r="W59" i="12"/>
  <c r="K59" i="12"/>
  <c r="V59" i="12"/>
  <c r="J59" i="12"/>
  <c r="U59" i="12"/>
  <c r="I59" i="12"/>
  <c r="T59" i="12"/>
  <c r="H59" i="12"/>
  <c r="S59" i="12"/>
  <c r="G59" i="12"/>
  <c r="R59" i="12"/>
  <c r="F59" i="12"/>
  <c r="Q59" i="12"/>
  <c r="AB59" i="12"/>
  <c r="P59" i="12"/>
  <c r="AA59" i="12"/>
  <c r="Z59" i="12"/>
  <c r="O59" i="12"/>
  <c r="N59" i="12"/>
  <c r="AC71" i="12"/>
  <c r="Y71" i="12"/>
  <c r="M71" i="12"/>
  <c r="X71" i="12"/>
  <c r="L71" i="12"/>
  <c r="W71" i="12"/>
  <c r="K71" i="12"/>
  <c r="V71" i="12"/>
  <c r="J71" i="12"/>
  <c r="U71" i="12"/>
  <c r="I71" i="12"/>
  <c r="T71" i="12"/>
  <c r="H71" i="12"/>
  <c r="S71" i="12"/>
  <c r="G71" i="12"/>
  <c r="R71" i="12"/>
  <c r="F71" i="12"/>
  <c r="Q71" i="12"/>
  <c r="AB71" i="12"/>
  <c r="P71" i="12"/>
  <c r="AA71" i="12"/>
  <c r="Z71" i="12"/>
  <c r="O71" i="12"/>
  <c r="N71" i="12"/>
  <c r="AC83" i="12"/>
  <c r="T83" i="12"/>
  <c r="H83" i="12"/>
  <c r="S83" i="12"/>
  <c r="G83" i="12"/>
  <c r="R83" i="12"/>
  <c r="F83" i="12"/>
  <c r="Q83" i="12"/>
  <c r="U83" i="12"/>
  <c r="P83" i="12"/>
  <c r="O83" i="12"/>
  <c r="N83" i="12"/>
  <c r="M83" i="12"/>
  <c r="AB83" i="12"/>
  <c r="L83" i="12"/>
  <c r="AA83" i="12"/>
  <c r="K83" i="12"/>
  <c r="Z83" i="12"/>
  <c r="J83" i="12"/>
  <c r="Y83" i="12"/>
  <c r="I83" i="12"/>
  <c r="X83" i="12"/>
  <c r="W83" i="12"/>
  <c r="V83" i="12"/>
  <c r="AC95" i="12"/>
  <c r="T95" i="12"/>
  <c r="H95" i="12"/>
  <c r="S95" i="12"/>
  <c r="G95" i="12"/>
  <c r="R95" i="12"/>
  <c r="F95" i="12"/>
  <c r="Q95" i="12"/>
  <c r="Y95" i="12"/>
  <c r="M95" i="12"/>
  <c r="Z95" i="12"/>
  <c r="X95" i="12"/>
  <c r="W95" i="12"/>
  <c r="V95" i="12"/>
  <c r="U95" i="12"/>
  <c r="P95" i="12"/>
  <c r="O95" i="12"/>
  <c r="N95" i="12"/>
  <c r="L95" i="12"/>
  <c r="K95" i="12"/>
  <c r="AB95" i="12"/>
  <c r="AA95" i="12"/>
  <c r="J95" i="12"/>
  <c r="I95" i="12"/>
  <c r="AC107" i="12"/>
  <c r="U107" i="12"/>
  <c r="I107" i="12"/>
  <c r="T107" i="12"/>
  <c r="H107" i="12"/>
  <c r="R107" i="12"/>
  <c r="Q107" i="12"/>
  <c r="P107" i="12"/>
  <c r="O107" i="12"/>
  <c r="AB107" i="12"/>
  <c r="N107" i="12"/>
  <c r="AA107" i="12"/>
  <c r="M107" i="12"/>
  <c r="Z107" i="12"/>
  <c r="L107" i="12"/>
  <c r="Y107" i="12"/>
  <c r="K107" i="12"/>
  <c r="W107" i="12"/>
  <c r="G107" i="12"/>
  <c r="X107" i="12"/>
  <c r="V107" i="12"/>
  <c r="S107" i="12"/>
  <c r="J107" i="12"/>
  <c r="F107" i="12"/>
  <c r="AC119" i="12"/>
  <c r="U119" i="12"/>
  <c r="I119" i="12"/>
  <c r="T119" i="12"/>
  <c r="H119" i="12"/>
  <c r="S119" i="12"/>
  <c r="G119" i="12"/>
  <c r="N119" i="12"/>
  <c r="AB119" i="12"/>
  <c r="M119" i="12"/>
  <c r="AA119" i="12"/>
  <c r="L119" i="12"/>
  <c r="Z119" i="12"/>
  <c r="K119" i="12"/>
  <c r="Y119" i="12"/>
  <c r="J119" i="12"/>
  <c r="X119" i="12"/>
  <c r="F119" i="12"/>
  <c r="W119" i="12"/>
  <c r="V119" i="12"/>
  <c r="R119" i="12"/>
  <c r="Q119" i="12"/>
  <c r="P119" i="12"/>
  <c r="O119" i="12"/>
  <c r="AC131" i="12"/>
  <c r="U131" i="12"/>
  <c r="I131" i="12"/>
  <c r="T131" i="12"/>
  <c r="H131" i="12"/>
  <c r="S131" i="12"/>
  <c r="G131" i="12"/>
  <c r="R131" i="12"/>
  <c r="F131" i="12"/>
  <c r="Q131" i="12"/>
  <c r="AB131" i="12"/>
  <c r="P131" i="12"/>
  <c r="J131" i="12"/>
  <c r="AA131" i="12"/>
  <c r="Z131" i="12"/>
  <c r="Y131" i="12"/>
  <c r="X131" i="12"/>
  <c r="W131" i="12"/>
  <c r="V131" i="12"/>
  <c r="O131" i="12"/>
  <c r="N131" i="12"/>
  <c r="M131" i="12"/>
  <c r="L131" i="12"/>
  <c r="K131" i="12"/>
  <c r="AC143" i="12"/>
  <c r="X143" i="12"/>
  <c r="L143" i="12"/>
  <c r="W143" i="12"/>
  <c r="K143" i="12"/>
  <c r="Y143" i="12"/>
  <c r="I143" i="12"/>
  <c r="V143" i="12"/>
  <c r="H143" i="12"/>
  <c r="U143" i="12"/>
  <c r="G143" i="12"/>
  <c r="T143" i="12"/>
  <c r="F143" i="12"/>
  <c r="S143" i="12"/>
  <c r="R143" i="12"/>
  <c r="J143" i="12"/>
  <c r="AB143" i="12"/>
  <c r="AA143" i="12"/>
  <c r="Z143" i="12"/>
  <c r="Q143" i="12"/>
  <c r="P143" i="12"/>
  <c r="O143" i="12"/>
  <c r="N143" i="12"/>
  <c r="M143" i="12"/>
  <c r="AC155" i="12"/>
  <c r="Y155" i="12"/>
  <c r="M155" i="12"/>
  <c r="X155" i="12"/>
  <c r="L155" i="12"/>
  <c r="W155" i="12"/>
  <c r="K155" i="12"/>
  <c r="V155" i="12"/>
  <c r="J155" i="12"/>
  <c r="S155" i="12"/>
  <c r="G155" i="12"/>
  <c r="R155" i="12"/>
  <c r="Z155" i="12"/>
  <c r="U155" i="12"/>
  <c r="T155" i="12"/>
  <c r="Q155" i="12"/>
  <c r="P155" i="12"/>
  <c r="O155" i="12"/>
  <c r="N155" i="12"/>
  <c r="I155" i="12"/>
  <c r="H155" i="12"/>
  <c r="F155" i="12"/>
  <c r="AB155" i="12"/>
  <c r="AA155" i="12"/>
  <c r="AC167" i="12"/>
  <c r="T167" i="12"/>
  <c r="H167" i="12"/>
  <c r="AA167" i="12"/>
  <c r="N167" i="12"/>
  <c r="Z167" i="12"/>
  <c r="M167" i="12"/>
  <c r="Y167" i="12"/>
  <c r="L167" i="12"/>
  <c r="X167" i="12"/>
  <c r="K167" i="12"/>
  <c r="V167" i="12"/>
  <c r="I167" i="12"/>
  <c r="U167" i="12"/>
  <c r="G167" i="12"/>
  <c r="S167" i="12"/>
  <c r="F167" i="12"/>
  <c r="AB167" i="12"/>
  <c r="W167" i="12"/>
  <c r="R167" i="12"/>
  <c r="Q167" i="12"/>
  <c r="P167" i="12"/>
  <c r="O167" i="12"/>
  <c r="J167" i="12"/>
  <c r="AC179" i="12"/>
  <c r="T179" i="12"/>
  <c r="H179" i="12"/>
  <c r="S179" i="12"/>
  <c r="G179" i="12"/>
  <c r="R179" i="12"/>
  <c r="F179" i="12"/>
  <c r="N179" i="12"/>
  <c r="AB179" i="12"/>
  <c r="M179" i="12"/>
  <c r="AA179" i="12"/>
  <c r="L179" i="12"/>
  <c r="Z179" i="12"/>
  <c r="K179" i="12"/>
  <c r="Y179" i="12"/>
  <c r="J179" i="12"/>
  <c r="X179" i="12"/>
  <c r="I179" i="12"/>
  <c r="W179" i="12"/>
  <c r="V179" i="12"/>
  <c r="U179" i="12"/>
  <c r="Q179" i="12"/>
  <c r="P179" i="12"/>
  <c r="O179" i="12"/>
  <c r="AC191" i="12"/>
  <c r="Q191" i="12"/>
  <c r="V191" i="12"/>
  <c r="I191" i="12"/>
  <c r="U191" i="12"/>
  <c r="H191" i="12"/>
  <c r="T191" i="12"/>
  <c r="G191" i="12"/>
  <c r="P191" i="12"/>
  <c r="O191" i="12"/>
  <c r="N191" i="12"/>
  <c r="M191" i="12"/>
  <c r="L191" i="12"/>
  <c r="AB191" i="12"/>
  <c r="K191" i="12"/>
  <c r="AA191" i="12"/>
  <c r="J191" i="12"/>
  <c r="Z191" i="12"/>
  <c r="F191" i="12"/>
  <c r="Y191" i="12"/>
  <c r="X191" i="12"/>
  <c r="W191" i="12"/>
  <c r="S191" i="12"/>
  <c r="R191" i="12"/>
  <c r="AC203" i="12"/>
  <c r="Z203" i="12"/>
  <c r="N203" i="12"/>
  <c r="AB203" i="12"/>
  <c r="O203" i="12"/>
  <c r="AA203" i="12"/>
  <c r="M203" i="12"/>
  <c r="W203" i="12"/>
  <c r="H203" i="12"/>
  <c r="V203" i="12"/>
  <c r="G203" i="12"/>
  <c r="U203" i="12"/>
  <c r="F203" i="12"/>
  <c r="T203" i="12"/>
  <c r="S203" i="12"/>
  <c r="R203" i="12"/>
  <c r="Q203" i="12"/>
  <c r="P203" i="12"/>
  <c r="L203" i="12"/>
  <c r="K203" i="12"/>
  <c r="J203" i="12"/>
  <c r="I203" i="12"/>
  <c r="Y203" i="12"/>
  <c r="X203" i="12"/>
  <c r="AC215" i="12"/>
  <c r="Z215" i="12"/>
  <c r="N215" i="12"/>
  <c r="AA215" i="12"/>
  <c r="M215" i="12"/>
  <c r="Y215" i="12"/>
  <c r="L215" i="12"/>
  <c r="V215" i="12"/>
  <c r="I215" i="12"/>
  <c r="P215" i="12"/>
  <c r="O215" i="12"/>
  <c r="K215" i="12"/>
  <c r="J215" i="12"/>
  <c r="AB215" i="12"/>
  <c r="H215" i="12"/>
  <c r="X215" i="12"/>
  <c r="G215" i="12"/>
  <c r="W215" i="12"/>
  <c r="F215" i="12"/>
  <c r="U215" i="12"/>
  <c r="T215" i="12"/>
  <c r="S215" i="12"/>
  <c r="R215" i="12"/>
  <c r="Q215" i="12"/>
  <c r="AC227" i="12"/>
  <c r="Z227" i="12"/>
  <c r="N227" i="12"/>
  <c r="Y227" i="12"/>
  <c r="X227" i="12"/>
  <c r="AB227" i="12"/>
  <c r="L227" i="12"/>
  <c r="AA227" i="12"/>
  <c r="K227" i="12"/>
  <c r="W227" i="12"/>
  <c r="J227" i="12"/>
  <c r="V227" i="12"/>
  <c r="I227" i="12"/>
  <c r="U227" i="12"/>
  <c r="H227" i="12"/>
  <c r="T227" i="12"/>
  <c r="G227" i="12"/>
  <c r="F227" i="12"/>
  <c r="S227" i="12"/>
  <c r="R227" i="12"/>
  <c r="Q227" i="12"/>
  <c r="P227" i="12"/>
  <c r="O227" i="12"/>
  <c r="M227" i="12"/>
  <c r="AC239" i="12"/>
  <c r="Z239" i="12"/>
  <c r="N239" i="12"/>
  <c r="Y239" i="12"/>
  <c r="M239" i="12"/>
  <c r="X239" i="12"/>
  <c r="L239" i="12"/>
  <c r="V239" i="12"/>
  <c r="G239" i="12"/>
  <c r="U239" i="12"/>
  <c r="F239" i="12"/>
  <c r="T239" i="12"/>
  <c r="S239" i="12"/>
  <c r="R239" i="12"/>
  <c r="Q239" i="12"/>
  <c r="P239" i="12"/>
  <c r="O239" i="12"/>
  <c r="K239" i="12"/>
  <c r="J239" i="12"/>
  <c r="I239" i="12"/>
  <c r="H239" i="12"/>
  <c r="AB239" i="12"/>
  <c r="AA239" i="12"/>
  <c r="W239" i="12"/>
  <c r="AC251" i="12"/>
  <c r="Q251" i="12"/>
  <c r="AA251" i="12"/>
  <c r="Z251" i="12"/>
  <c r="T251" i="12"/>
  <c r="G251" i="12"/>
  <c r="S251" i="12"/>
  <c r="F251" i="12"/>
  <c r="R251" i="12"/>
  <c r="P251" i="12"/>
  <c r="Y251" i="12"/>
  <c r="H251" i="12"/>
  <c r="X251" i="12"/>
  <c r="W251" i="12"/>
  <c r="V251" i="12"/>
  <c r="U251" i="12"/>
  <c r="O251" i="12"/>
  <c r="N251" i="12"/>
  <c r="M251" i="12"/>
  <c r="AB251" i="12"/>
  <c r="L251" i="12"/>
  <c r="K251" i="12"/>
  <c r="J251" i="12"/>
  <c r="I251" i="12"/>
  <c r="AC263" i="12"/>
  <c r="Q263" i="12"/>
  <c r="AA263" i="12"/>
  <c r="O263" i="12"/>
  <c r="Z263" i="12"/>
  <c r="N263" i="12"/>
  <c r="P263" i="12"/>
  <c r="M263" i="12"/>
  <c r="L263" i="12"/>
  <c r="AB263" i="12"/>
  <c r="K263" i="12"/>
  <c r="Y263" i="12"/>
  <c r="J263" i="12"/>
  <c r="X263" i="12"/>
  <c r="I263" i="12"/>
  <c r="W263" i="12"/>
  <c r="H263" i="12"/>
  <c r="V263" i="12"/>
  <c r="U263" i="12"/>
  <c r="T263" i="12"/>
  <c r="S263" i="12"/>
  <c r="R263" i="12"/>
  <c r="G263" i="12"/>
  <c r="F263" i="12"/>
  <c r="AC275" i="12"/>
  <c r="Q275" i="12"/>
  <c r="AA275" i="12"/>
  <c r="O275" i="12"/>
  <c r="Z275" i="12"/>
  <c r="N275" i="12"/>
  <c r="Y275" i="12"/>
  <c r="M275" i="12"/>
  <c r="V275" i="12"/>
  <c r="J275" i="12"/>
  <c r="P275" i="12"/>
  <c r="L275" i="12"/>
  <c r="K275" i="12"/>
  <c r="I275" i="12"/>
  <c r="H275" i="12"/>
  <c r="AB275" i="12"/>
  <c r="G275" i="12"/>
  <c r="X275" i="12"/>
  <c r="F275" i="12"/>
  <c r="W275" i="12"/>
  <c r="U275" i="12"/>
  <c r="T275" i="12"/>
  <c r="S275" i="12"/>
  <c r="R275" i="12"/>
  <c r="AC8" i="8"/>
  <c r="Z8" i="8"/>
  <c r="N8" i="8"/>
  <c r="Y8" i="8"/>
  <c r="M8" i="8"/>
  <c r="J8" i="8"/>
  <c r="X8" i="8"/>
  <c r="L8" i="8"/>
  <c r="R8" i="8"/>
  <c r="P8" i="8"/>
  <c r="W8" i="8"/>
  <c r="K8" i="8"/>
  <c r="I8" i="8"/>
  <c r="F8" i="8"/>
  <c r="V8" i="8"/>
  <c r="AA8" i="8"/>
  <c r="U8" i="8"/>
  <c r="AB8" i="8"/>
  <c r="O8" i="8"/>
  <c r="T8" i="8"/>
  <c r="H8" i="8"/>
  <c r="G8" i="8"/>
  <c r="Q8" i="8"/>
  <c r="S8" i="8"/>
  <c r="AC22" i="8"/>
  <c r="W22" i="8"/>
  <c r="K22" i="8"/>
  <c r="V22" i="8"/>
  <c r="J22" i="8"/>
  <c r="U22" i="8"/>
  <c r="I22" i="8"/>
  <c r="T22" i="8"/>
  <c r="H22" i="8"/>
  <c r="M22" i="8"/>
  <c r="X22" i="8"/>
  <c r="S22" i="8"/>
  <c r="G22" i="8"/>
  <c r="P22" i="8"/>
  <c r="R22" i="8"/>
  <c r="F22" i="8"/>
  <c r="L22" i="8"/>
  <c r="Q22" i="8"/>
  <c r="AB22" i="8"/>
  <c r="AA22" i="8"/>
  <c r="O22" i="8"/>
  <c r="Z22" i="8"/>
  <c r="N22" i="8"/>
  <c r="Y22" i="8"/>
  <c r="AC34" i="8"/>
  <c r="U34" i="8"/>
  <c r="I34" i="8"/>
  <c r="T34" i="8"/>
  <c r="H34" i="8"/>
  <c r="S34" i="8"/>
  <c r="G34" i="8"/>
  <c r="W34" i="8"/>
  <c r="R34" i="8"/>
  <c r="F34" i="8"/>
  <c r="V34" i="8"/>
  <c r="Q34" i="8"/>
  <c r="K34" i="8"/>
  <c r="AB34" i="8"/>
  <c r="P34" i="8"/>
  <c r="J34" i="8"/>
  <c r="AA34" i="8"/>
  <c r="O34" i="8"/>
  <c r="Z34" i="8"/>
  <c r="N34" i="8"/>
  <c r="Y34" i="8"/>
  <c r="M34" i="8"/>
  <c r="X34" i="8"/>
  <c r="L34" i="8"/>
  <c r="AC46" i="8"/>
  <c r="AA46" i="8"/>
  <c r="O46" i="8"/>
  <c r="Z46" i="8"/>
  <c r="N46" i="8"/>
  <c r="Y46" i="8"/>
  <c r="M46" i="8"/>
  <c r="X46" i="8"/>
  <c r="L46" i="8"/>
  <c r="T46" i="8"/>
  <c r="H46" i="8"/>
  <c r="S46" i="8"/>
  <c r="R46" i="8"/>
  <c r="Q46" i="8"/>
  <c r="P46" i="8"/>
  <c r="K46" i="8"/>
  <c r="U46" i="8"/>
  <c r="J46" i="8"/>
  <c r="I46" i="8"/>
  <c r="G46" i="8"/>
  <c r="AB46" i="8"/>
  <c r="F46" i="8"/>
  <c r="W46" i="8"/>
  <c r="V46" i="8"/>
  <c r="AC58" i="8"/>
  <c r="T58" i="8"/>
  <c r="H58" i="8"/>
  <c r="S58" i="8"/>
  <c r="G58" i="8"/>
  <c r="R58" i="8"/>
  <c r="F58" i="8"/>
  <c r="Q58" i="8"/>
  <c r="AB58" i="8"/>
  <c r="P58" i="8"/>
  <c r="AA58" i="8"/>
  <c r="O58" i="8"/>
  <c r="Z58" i="8"/>
  <c r="N58" i="8"/>
  <c r="Y58" i="8"/>
  <c r="M58" i="8"/>
  <c r="U58" i="8"/>
  <c r="L58" i="8"/>
  <c r="K58" i="8"/>
  <c r="J58" i="8"/>
  <c r="I58" i="8"/>
  <c r="X58" i="8"/>
  <c r="W58" i="8"/>
  <c r="V58" i="8"/>
  <c r="AC70" i="8"/>
  <c r="U70" i="8"/>
  <c r="I70" i="8"/>
  <c r="T70" i="8"/>
  <c r="H70" i="8"/>
  <c r="S70" i="8"/>
  <c r="G70" i="8"/>
  <c r="R70" i="8"/>
  <c r="F70" i="8"/>
  <c r="Q70" i="8"/>
  <c r="AB70" i="8"/>
  <c r="P70" i="8"/>
  <c r="AA70" i="8"/>
  <c r="O70" i="8"/>
  <c r="Z70" i="8"/>
  <c r="N70" i="8"/>
  <c r="Y70" i="8"/>
  <c r="M70" i="8"/>
  <c r="X70" i="8"/>
  <c r="L70" i="8"/>
  <c r="W70" i="8"/>
  <c r="V70" i="8"/>
  <c r="K70" i="8"/>
  <c r="J70" i="8"/>
  <c r="AC82" i="8"/>
  <c r="Z82" i="8"/>
  <c r="N82" i="8"/>
  <c r="Y82" i="8"/>
  <c r="M82" i="8"/>
  <c r="X82" i="8"/>
  <c r="L82" i="8"/>
  <c r="W82" i="8"/>
  <c r="K82" i="8"/>
  <c r="V82" i="8"/>
  <c r="J82" i="8"/>
  <c r="U82" i="8"/>
  <c r="I82" i="8"/>
  <c r="T82" i="8"/>
  <c r="H82" i="8"/>
  <c r="S82" i="8"/>
  <c r="G82" i="8"/>
  <c r="R82" i="8"/>
  <c r="F82" i="8"/>
  <c r="Q82" i="8"/>
  <c r="O82" i="8"/>
  <c r="AB82" i="8"/>
  <c r="AA82" i="8"/>
  <c r="P82" i="8"/>
  <c r="AC94" i="8"/>
  <c r="H94" i="8"/>
  <c r="G94" i="8"/>
  <c r="F94" i="8"/>
  <c r="Q94" i="8"/>
  <c r="P94" i="8"/>
  <c r="O94" i="8"/>
  <c r="N94" i="8"/>
  <c r="M94" i="8"/>
  <c r="L94" i="8"/>
  <c r="K94" i="8"/>
  <c r="I94" i="8"/>
  <c r="J94" i="8"/>
  <c r="AB94" i="8"/>
  <c r="Y94" i="8"/>
  <c r="Z94" i="8"/>
  <c r="R94" i="8"/>
  <c r="X94" i="8"/>
  <c r="W94" i="8"/>
  <c r="T94" i="8"/>
  <c r="S94" i="8"/>
  <c r="U94" i="8"/>
  <c r="V94" i="8"/>
  <c r="AA94" i="8"/>
  <c r="AC106" i="8"/>
  <c r="J106" i="8"/>
  <c r="I106" i="8"/>
  <c r="H106" i="8"/>
  <c r="G106" i="8"/>
  <c r="U106" i="8"/>
  <c r="F106" i="8"/>
  <c r="Q106" i="8"/>
  <c r="P106" i="8"/>
  <c r="O106" i="8"/>
  <c r="N106" i="8"/>
  <c r="M106" i="8"/>
  <c r="L106" i="8"/>
  <c r="K106" i="8"/>
  <c r="AB106" i="8"/>
  <c r="Y106" i="8"/>
  <c r="Z106" i="8"/>
  <c r="T106" i="8"/>
  <c r="V106" i="8"/>
  <c r="S106" i="8"/>
  <c r="X106" i="8"/>
  <c r="AA106" i="8"/>
  <c r="R106" i="8"/>
  <c r="W106" i="8"/>
  <c r="AC118" i="8"/>
  <c r="T118" i="8"/>
  <c r="H118" i="8"/>
  <c r="S118" i="8"/>
  <c r="G118" i="8"/>
  <c r="R118" i="8"/>
  <c r="F118" i="8"/>
  <c r="Q118" i="8"/>
  <c r="AB118" i="8"/>
  <c r="P118" i="8"/>
  <c r="AA118" i="8"/>
  <c r="O118" i="8"/>
  <c r="Z118" i="8"/>
  <c r="N118" i="8"/>
  <c r="Y118" i="8"/>
  <c r="M118" i="8"/>
  <c r="X118" i="8"/>
  <c r="L118" i="8"/>
  <c r="W118" i="8"/>
  <c r="K118" i="8"/>
  <c r="V118" i="8"/>
  <c r="U118" i="8"/>
  <c r="J118" i="8"/>
  <c r="I118" i="8"/>
  <c r="AC130" i="8"/>
  <c r="Q130" i="8"/>
  <c r="AB130" i="8"/>
  <c r="P130" i="8"/>
  <c r="AA130" i="8"/>
  <c r="O130" i="8"/>
  <c r="Z130" i="8"/>
  <c r="N130" i="8"/>
  <c r="Y130" i="8"/>
  <c r="M130" i="8"/>
  <c r="X130" i="8"/>
  <c r="W130" i="8"/>
  <c r="K130" i="8"/>
  <c r="J130" i="8"/>
  <c r="I130" i="8"/>
  <c r="H130" i="8"/>
  <c r="G130" i="8"/>
  <c r="F130" i="8"/>
  <c r="V130" i="8"/>
  <c r="U130" i="8"/>
  <c r="T130" i="8"/>
  <c r="S130" i="8"/>
  <c r="R130" i="8"/>
  <c r="L130" i="8"/>
  <c r="AC142" i="8"/>
  <c r="AA142" i="8"/>
  <c r="O142" i="8"/>
  <c r="Z142" i="8"/>
  <c r="N142" i="8"/>
  <c r="Y142" i="8"/>
  <c r="M142" i="8"/>
  <c r="X142" i="8"/>
  <c r="L142" i="8"/>
  <c r="W142" i="8"/>
  <c r="K142" i="8"/>
  <c r="V142" i="8"/>
  <c r="J142" i="8"/>
  <c r="U142" i="8"/>
  <c r="I142" i="8"/>
  <c r="AB142" i="8"/>
  <c r="T142" i="8"/>
  <c r="S142" i="8"/>
  <c r="R142" i="8"/>
  <c r="Q142" i="8"/>
  <c r="P142" i="8"/>
  <c r="H142" i="8"/>
  <c r="G142" i="8"/>
  <c r="F142" i="8"/>
  <c r="AC154" i="8"/>
  <c r="T154" i="8"/>
  <c r="H154" i="8"/>
  <c r="S154" i="8"/>
  <c r="G154" i="8"/>
  <c r="R154" i="8"/>
  <c r="F154" i="8"/>
  <c r="Q154" i="8"/>
  <c r="AB154" i="8"/>
  <c r="P154" i="8"/>
  <c r="AA154" i="8"/>
  <c r="O154" i="8"/>
  <c r="Z154" i="8"/>
  <c r="N154" i="8"/>
  <c r="Y154" i="8"/>
  <c r="M154" i="8"/>
  <c r="X154" i="8"/>
  <c r="L154" i="8"/>
  <c r="W154" i="8"/>
  <c r="K154" i="8"/>
  <c r="U154" i="8"/>
  <c r="J154" i="8"/>
  <c r="I154" i="8"/>
  <c r="V154" i="8"/>
  <c r="AC166" i="8"/>
  <c r="R166" i="8"/>
  <c r="F166" i="8"/>
  <c r="Q166" i="8"/>
  <c r="AB166" i="8"/>
  <c r="P166" i="8"/>
  <c r="AA166" i="8"/>
  <c r="O166" i="8"/>
  <c r="Z166" i="8"/>
  <c r="N166" i="8"/>
  <c r="Y166" i="8"/>
  <c r="M166" i="8"/>
  <c r="X166" i="8"/>
  <c r="L166" i="8"/>
  <c r="W166" i="8"/>
  <c r="K166" i="8"/>
  <c r="V166" i="8"/>
  <c r="J166" i="8"/>
  <c r="U166" i="8"/>
  <c r="I166" i="8"/>
  <c r="T166" i="8"/>
  <c r="S166" i="8"/>
  <c r="H166" i="8"/>
  <c r="G166" i="8"/>
  <c r="AC178" i="8"/>
  <c r="U178" i="8"/>
  <c r="F178" i="8"/>
  <c r="Q178" i="8"/>
  <c r="P178" i="8"/>
  <c r="O178" i="8"/>
  <c r="N178" i="8"/>
  <c r="M178" i="8"/>
  <c r="AA178" i="8"/>
  <c r="L178" i="8"/>
  <c r="Z178" i="8"/>
  <c r="K178" i="8"/>
  <c r="Y178" i="8"/>
  <c r="J178" i="8"/>
  <c r="X178" i="8"/>
  <c r="I178" i="8"/>
  <c r="W178" i="8"/>
  <c r="V178" i="8"/>
  <c r="H178" i="8"/>
  <c r="G178" i="8"/>
  <c r="AB178" i="8"/>
  <c r="R178" i="8"/>
  <c r="S178" i="8"/>
  <c r="T178" i="8"/>
  <c r="AC190" i="8"/>
  <c r="H190" i="8"/>
  <c r="L190" i="8"/>
  <c r="K190" i="8"/>
  <c r="J190" i="8"/>
  <c r="I190" i="8"/>
  <c r="G190" i="8"/>
  <c r="F190" i="8"/>
  <c r="Q190" i="8"/>
  <c r="P190" i="8"/>
  <c r="O190" i="8"/>
  <c r="N190" i="8"/>
  <c r="M190" i="8"/>
  <c r="AB190" i="8"/>
  <c r="Y190" i="8"/>
  <c r="Z190" i="8"/>
  <c r="R190" i="8"/>
  <c r="V190" i="8"/>
  <c r="W190" i="8"/>
  <c r="S190" i="8"/>
  <c r="U190" i="8"/>
  <c r="X190" i="8"/>
  <c r="T190" i="8"/>
  <c r="AA190" i="8"/>
  <c r="AC202" i="8"/>
  <c r="Q202" i="8"/>
  <c r="Y202" i="8"/>
  <c r="M202" i="8"/>
  <c r="W202" i="8"/>
  <c r="T202" i="8"/>
  <c r="F202" i="8"/>
  <c r="S202" i="8"/>
  <c r="R202" i="8"/>
  <c r="P202" i="8"/>
  <c r="O202" i="8"/>
  <c r="N202" i="8"/>
  <c r="AB202" i="8"/>
  <c r="L202" i="8"/>
  <c r="AA202" i="8"/>
  <c r="K202" i="8"/>
  <c r="Z202" i="8"/>
  <c r="J202" i="8"/>
  <c r="X202" i="8"/>
  <c r="I202" i="8"/>
  <c r="V202" i="8"/>
  <c r="U202" i="8"/>
  <c r="H202" i="8"/>
  <c r="G202" i="8"/>
  <c r="AC214" i="8"/>
  <c r="Q214" i="8"/>
  <c r="AB214" i="8"/>
  <c r="Z214" i="8"/>
  <c r="N214" i="8"/>
  <c r="Y214" i="8"/>
  <c r="M214" i="8"/>
  <c r="X214" i="8"/>
  <c r="L214" i="8"/>
  <c r="W214" i="8"/>
  <c r="K214" i="8"/>
  <c r="V214" i="8"/>
  <c r="J214" i="8"/>
  <c r="U214" i="8"/>
  <c r="I214" i="8"/>
  <c r="AA214" i="8"/>
  <c r="T214" i="8"/>
  <c r="S214" i="8"/>
  <c r="R214" i="8"/>
  <c r="P214" i="8"/>
  <c r="O214" i="8"/>
  <c r="H214" i="8"/>
  <c r="G214" i="8"/>
  <c r="F214" i="8"/>
  <c r="AC226" i="8"/>
  <c r="W226" i="8"/>
  <c r="K226" i="8"/>
  <c r="V226" i="8"/>
  <c r="J226" i="8"/>
  <c r="U226" i="8"/>
  <c r="I226" i="8"/>
  <c r="T226" i="8"/>
  <c r="H226" i="8"/>
  <c r="S226" i="8"/>
  <c r="G226" i="8"/>
  <c r="R226" i="8"/>
  <c r="F226" i="8"/>
  <c r="Q226" i="8"/>
  <c r="AB226" i="8"/>
  <c r="P226" i="8"/>
  <c r="AA226" i="8"/>
  <c r="O226" i="8"/>
  <c r="M226" i="8"/>
  <c r="L226" i="8"/>
  <c r="Z226" i="8"/>
  <c r="Y226" i="8"/>
  <c r="X226" i="8"/>
  <c r="N226" i="8"/>
  <c r="AC238" i="8"/>
  <c r="S238" i="8"/>
  <c r="G238" i="8"/>
  <c r="R238" i="8"/>
  <c r="F238" i="8"/>
  <c r="P238" i="8"/>
  <c r="O238" i="8"/>
  <c r="AB238" i="8"/>
  <c r="N238" i="8"/>
  <c r="AA238" i="8"/>
  <c r="M238" i="8"/>
  <c r="Z238" i="8"/>
  <c r="L238" i="8"/>
  <c r="Y238" i="8"/>
  <c r="K238" i="8"/>
  <c r="X238" i="8"/>
  <c r="J238" i="8"/>
  <c r="W238" i="8"/>
  <c r="I238" i="8"/>
  <c r="V238" i="8"/>
  <c r="H238" i="8"/>
  <c r="U238" i="8"/>
  <c r="T238" i="8"/>
  <c r="Q238" i="8"/>
  <c r="AC250" i="8"/>
  <c r="Y250" i="8"/>
  <c r="M250" i="8"/>
  <c r="X250" i="8"/>
  <c r="L250" i="8"/>
  <c r="AB250" i="8"/>
  <c r="N250" i="8"/>
  <c r="AA250" i="8"/>
  <c r="K250" i="8"/>
  <c r="Z250" i="8"/>
  <c r="J250" i="8"/>
  <c r="W250" i="8"/>
  <c r="I250" i="8"/>
  <c r="V250" i="8"/>
  <c r="H250" i="8"/>
  <c r="U250" i="8"/>
  <c r="G250" i="8"/>
  <c r="T250" i="8"/>
  <c r="F250" i="8"/>
  <c r="S250" i="8"/>
  <c r="R250" i="8"/>
  <c r="Q250" i="8"/>
  <c r="O250" i="8"/>
  <c r="P250" i="8"/>
  <c r="AC262" i="8"/>
  <c r="T262" i="8"/>
  <c r="H262" i="8"/>
  <c r="S262" i="8"/>
  <c r="G262" i="8"/>
  <c r="AA262" i="8"/>
  <c r="M262" i="8"/>
  <c r="Z262" i="8"/>
  <c r="L262" i="8"/>
  <c r="Y262" i="8"/>
  <c r="K262" i="8"/>
  <c r="X262" i="8"/>
  <c r="J262" i="8"/>
  <c r="W262" i="8"/>
  <c r="I262" i="8"/>
  <c r="V262" i="8"/>
  <c r="F262" i="8"/>
  <c r="U262" i="8"/>
  <c r="R262" i="8"/>
  <c r="Q262" i="8"/>
  <c r="P262" i="8"/>
  <c r="AB262" i="8"/>
  <c r="O262" i="8"/>
  <c r="N262" i="8"/>
  <c r="AC274" i="8"/>
  <c r="T274" i="8"/>
  <c r="H274" i="8"/>
  <c r="S274" i="8"/>
  <c r="G274" i="8"/>
  <c r="V274" i="8"/>
  <c r="J274" i="8"/>
  <c r="R274" i="8"/>
  <c r="Q274" i="8"/>
  <c r="P274" i="8"/>
  <c r="O274" i="8"/>
  <c r="N274" i="8"/>
  <c r="AB274" i="8"/>
  <c r="M274" i="8"/>
  <c r="AA274" i="8"/>
  <c r="L274" i="8"/>
  <c r="Z274" i="8"/>
  <c r="K274" i="8"/>
  <c r="Y274" i="8"/>
  <c r="I274" i="8"/>
  <c r="X274" i="8"/>
  <c r="F274" i="8"/>
  <c r="W274" i="8"/>
  <c r="U274" i="8"/>
  <c r="AC286" i="8"/>
  <c r="S286" i="8"/>
  <c r="G286" i="8"/>
  <c r="R286" i="8"/>
  <c r="F286" i="8"/>
  <c r="Q286" i="8"/>
  <c r="W286" i="8"/>
  <c r="K286" i="8"/>
  <c r="V286" i="8"/>
  <c r="J286" i="8"/>
  <c r="U286" i="8"/>
  <c r="I286" i="8"/>
  <c r="L286" i="8"/>
  <c r="H286" i="8"/>
  <c r="AB286" i="8"/>
  <c r="AA286" i="8"/>
  <c r="Z286" i="8"/>
  <c r="Y286" i="8"/>
  <c r="X286" i="8"/>
  <c r="T286" i="8"/>
  <c r="P286" i="8"/>
  <c r="O286" i="8"/>
  <c r="M286" i="8"/>
  <c r="N286" i="8"/>
  <c r="AC298" i="8"/>
  <c r="T298" i="8"/>
  <c r="H298" i="8"/>
  <c r="S298" i="8"/>
  <c r="G298" i="8"/>
  <c r="R298" i="8"/>
  <c r="F298" i="8"/>
  <c r="AA298" i="8"/>
  <c r="O298" i="8"/>
  <c r="X298" i="8"/>
  <c r="L298" i="8"/>
  <c r="W298" i="8"/>
  <c r="K298" i="8"/>
  <c r="V298" i="8"/>
  <c r="J298" i="8"/>
  <c r="Y298" i="8"/>
  <c r="U298" i="8"/>
  <c r="Q298" i="8"/>
  <c r="P298" i="8"/>
  <c r="N298" i="8"/>
  <c r="M298" i="8"/>
  <c r="I298" i="8"/>
  <c r="AB298" i="8"/>
  <c r="Z298" i="8"/>
  <c r="AC12" i="12"/>
  <c r="S12" i="12"/>
  <c r="G12" i="12"/>
  <c r="R12" i="12"/>
  <c r="F12" i="12"/>
  <c r="Q12" i="12"/>
  <c r="AB12" i="12"/>
  <c r="P12" i="12"/>
  <c r="AA12" i="12"/>
  <c r="O12" i="12"/>
  <c r="Z12" i="12"/>
  <c r="N12" i="12"/>
  <c r="Y12" i="12"/>
  <c r="M12" i="12"/>
  <c r="X12" i="12"/>
  <c r="L12" i="12"/>
  <c r="W12" i="12"/>
  <c r="K12" i="12"/>
  <c r="V12" i="12"/>
  <c r="J12" i="12"/>
  <c r="H12" i="12"/>
  <c r="U12" i="12"/>
  <c r="T12" i="12"/>
  <c r="I12" i="12"/>
  <c r="AC24" i="12"/>
  <c r="S24" i="12"/>
  <c r="G24" i="12"/>
  <c r="R24" i="12"/>
  <c r="F24" i="12"/>
  <c r="Q24" i="12"/>
  <c r="AB24" i="12"/>
  <c r="P24" i="12"/>
  <c r="AA24" i="12"/>
  <c r="O24" i="12"/>
  <c r="Z24" i="12"/>
  <c r="N24" i="12"/>
  <c r="Y24" i="12"/>
  <c r="M24" i="12"/>
  <c r="X24" i="12"/>
  <c r="L24" i="12"/>
  <c r="W24" i="12"/>
  <c r="K24" i="12"/>
  <c r="V24" i="12"/>
  <c r="J24" i="12"/>
  <c r="T24" i="12"/>
  <c r="I24" i="12"/>
  <c r="H24" i="12"/>
  <c r="U24" i="12"/>
  <c r="AC36" i="12"/>
  <c r="Z36" i="12"/>
  <c r="N36" i="12"/>
  <c r="Y36" i="12"/>
  <c r="M36" i="12"/>
  <c r="X36" i="12"/>
  <c r="L36" i="12"/>
  <c r="W36" i="12"/>
  <c r="K36" i="12"/>
  <c r="T36" i="12"/>
  <c r="H36" i="12"/>
  <c r="Q36" i="12"/>
  <c r="P36" i="12"/>
  <c r="O36" i="12"/>
  <c r="J36" i="12"/>
  <c r="I36" i="12"/>
  <c r="G36" i="12"/>
  <c r="AB36" i="12"/>
  <c r="F36" i="12"/>
  <c r="AA36" i="12"/>
  <c r="V36" i="12"/>
  <c r="U36" i="12"/>
  <c r="S36" i="12"/>
  <c r="R36" i="12"/>
  <c r="AC48" i="12"/>
  <c r="Z48" i="12"/>
  <c r="N48" i="12"/>
  <c r="Y48" i="12"/>
  <c r="M48" i="12"/>
  <c r="X48" i="12"/>
  <c r="L48" i="12"/>
  <c r="W48" i="12"/>
  <c r="K48" i="12"/>
  <c r="V48" i="12"/>
  <c r="J48" i="12"/>
  <c r="U48" i="12"/>
  <c r="I48" i="12"/>
  <c r="T48" i="12"/>
  <c r="H48" i="12"/>
  <c r="AB48" i="12"/>
  <c r="AA48" i="12"/>
  <c r="S48" i="12"/>
  <c r="R48" i="12"/>
  <c r="Q48" i="12"/>
  <c r="P48" i="12"/>
  <c r="O48" i="12"/>
  <c r="G48" i="12"/>
  <c r="F48" i="12"/>
  <c r="AC60" i="12"/>
  <c r="Z60" i="12"/>
  <c r="N60" i="12"/>
  <c r="Y60" i="12"/>
  <c r="M60" i="12"/>
  <c r="X60" i="12"/>
  <c r="L60" i="12"/>
  <c r="W60" i="12"/>
  <c r="K60" i="12"/>
  <c r="V60" i="12"/>
  <c r="J60" i="12"/>
  <c r="U60" i="12"/>
  <c r="I60" i="12"/>
  <c r="T60" i="12"/>
  <c r="H60" i="12"/>
  <c r="S60" i="12"/>
  <c r="G60" i="12"/>
  <c r="R60" i="12"/>
  <c r="F60" i="12"/>
  <c r="Q60" i="12"/>
  <c r="AB60" i="12"/>
  <c r="AA60" i="12"/>
  <c r="P60" i="12"/>
  <c r="O60" i="12"/>
  <c r="AC72" i="12"/>
  <c r="Z72" i="12"/>
  <c r="N72" i="12"/>
  <c r="Y72" i="12"/>
  <c r="M72" i="12"/>
  <c r="X72" i="12"/>
  <c r="L72" i="12"/>
  <c r="W72" i="12"/>
  <c r="K72" i="12"/>
  <c r="V72" i="12"/>
  <c r="J72" i="12"/>
  <c r="U72" i="12"/>
  <c r="I72" i="12"/>
  <c r="T72" i="12"/>
  <c r="H72" i="12"/>
  <c r="S72" i="12"/>
  <c r="G72" i="12"/>
  <c r="R72" i="12"/>
  <c r="F72" i="12"/>
  <c r="Q72" i="12"/>
  <c r="AB72" i="12"/>
  <c r="AA72" i="12"/>
  <c r="P72" i="12"/>
  <c r="O72" i="12"/>
  <c r="AC84" i="12"/>
  <c r="U84" i="12"/>
  <c r="I84" i="12"/>
  <c r="T84" i="12"/>
  <c r="H84" i="12"/>
  <c r="S84" i="12"/>
  <c r="G84" i="12"/>
  <c r="R84" i="12"/>
  <c r="F84" i="12"/>
  <c r="N84" i="12"/>
  <c r="M84" i="12"/>
  <c r="AB84" i="12"/>
  <c r="L84" i="12"/>
  <c r="AA84" i="12"/>
  <c r="K84" i="12"/>
  <c r="Z84" i="12"/>
  <c r="J84" i="12"/>
  <c r="Y84" i="12"/>
  <c r="X84" i="12"/>
  <c r="W84" i="12"/>
  <c r="V84" i="12"/>
  <c r="Q84" i="12"/>
  <c r="P84" i="12"/>
  <c r="O84" i="12"/>
  <c r="AC96" i="12"/>
  <c r="U96" i="12"/>
  <c r="I96" i="12"/>
  <c r="T96" i="12"/>
  <c r="H96" i="12"/>
  <c r="S96" i="12"/>
  <c r="G96" i="12"/>
  <c r="R96" i="12"/>
  <c r="F96" i="12"/>
  <c r="Z96" i="12"/>
  <c r="N96" i="12"/>
  <c r="X96" i="12"/>
  <c r="W96" i="12"/>
  <c r="V96" i="12"/>
  <c r="Q96" i="12"/>
  <c r="P96" i="12"/>
  <c r="O96" i="12"/>
  <c r="M96" i="12"/>
  <c r="L96" i="12"/>
  <c r="K96" i="12"/>
  <c r="AB96" i="12"/>
  <c r="J96" i="12"/>
  <c r="AA96" i="12"/>
  <c r="Y96" i="12"/>
  <c r="AC108" i="12"/>
  <c r="V108" i="12"/>
  <c r="J108" i="12"/>
  <c r="U108" i="12"/>
  <c r="I108" i="12"/>
  <c r="Y108" i="12"/>
  <c r="K108" i="12"/>
  <c r="X108" i="12"/>
  <c r="H108" i="12"/>
  <c r="W108" i="12"/>
  <c r="G108" i="12"/>
  <c r="T108" i="12"/>
  <c r="F108" i="12"/>
  <c r="S108" i="12"/>
  <c r="R108" i="12"/>
  <c r="Q108" i="12"/>
  <c r="P108" i="12"/>
  <c r="AB108" i="12"/>
  <c r="N108" i="12"/>
  <c r="AA108" i="12"/>
  <c r="Z108" i="12"/>
  <c r="O108" i="12"/>
  <c r="M108" i="12"/>
  <c r="L108" i="12"/>
  <c r="AC120" i="12"/>
  <c r="V120" i="12"/>
  <c r="J120" i="12"/>
  <c r="U120" i="12"/>
  <c r="I120" i="12"/>
  <c r="T120" i="12"/>
  <c r="H120" i="12"/>
  <c r="X120" i="12"/>
  <c r="F120" i="12"/>
  <c r="W120" i="12"/>
  <c r="S120" i="12"/>
  <c r="R120" i="12"/>
  <c r="Q120" i="12"/>
  <c r="P120" i="12"/>
  <c r="O120" i="12"/>
  <c r="N120" i="12"/>
  <c r="AB120" i="12"/>
  <c r="M120" i="12"/>
  <c r="AA120" i="12"/>
  <c r="L120" i="12"/>
  <c r="Z120" i="12"/>
  <c r="Y120" i="12"/>
  <c r="G120" i="12"/>
  <c r="K120" i="12"/>
  <c r="AC132" i="12"/>
  <c r="V132" i="12"/>
  <c r="J132" i="12"/>
  <c r="U132" i="12"/>
  <c r="I132" i="12"/>
  <c r="T132" i="12"/>
  <c r="H132" i="12"/>
  <c r="S132" i="12"/>
  <c r="G132" i="12"/>
  <c r="R132" i="12"/>
  <c r="F132" i="12"/>
  <c r="Q132" i="12"/>
  <c r="K132" i="12"/>
  <c r="AB132" i="12"/>
  <c r="AA132" i="12"/>
  <c r="Z132" i="12"/>
  <c r="Y132" i="12"/>
  <c r="X132" i="12"/>
  <c r="W132" i="12"/>
  <c r="P132" i="12"/>
  <c r="O132" i="12"/>
  <c r="N132" i="12"/>
  <c r="M132" i="12"/>
  <c r="L132" i="12"/>
  <c r="AC144" i="12"/>
  <c r="Y144" i="12"/>
  <c r="M144" i="12"/>
  <c r="X144" i="12"/>
  <c r="L144" i="12"/>
  <c r="P144" i="12"/>
  <c r="O144" i="12"/>
  <c r="AB144" i="12"/>
  <c r="N144" i="12"/>
  <c r="AA144" i="12"/>
  <c r="K144" i="12"/>
  <c r="Z144" i="12"/>
  <c r="J144" i="12"/>
  <c r="W144" i="12"/>
  <c r="I144" i="12"/>
  <c r="Q144" i="12"/>
  <c r="H144" i="12"/>
  <c r="G144" i="12"/>
  <c r="F144" i="12"/>
  <c r="V144" i="12"/>
  <c r="U144" i="12"/>
  <c r="T144" i="12"/>
  <c r="S144" i="12"/>
  <c r="R144" i="12"/>
  <c r="AC156" i="12"/>
  <c r="Z156" i="12"/>
  <c r="N156" i="12"/>
  <c r="Y156" i="12"/>
  <c r="M156" i="12"/>
  <c r="X156" i="12"/>
  <c r="L156" i="12"/>
  <c r="W156" i="12"/>
  <c r="K156" i="12"/>
  <c r="T156" i="12"/>
  <c r="H156" i="12"/>
  <c r="S156" i="12"/>
  <c r="G156" i="12"/>
  <c r="AA156" i="12"/>
  <c r="V156" i="12"/>
  <c r="U156" i="12"/>
  <c r="R156" i="12"/>
  <c r="Q156" i="12"/>
  <c r="P156" i="12"/>
  <c r="O156" i="12"/>
  <c r="J156" i="12"/>
  <c r="I156" i="12"/>
  <c r="F156" i="12"/>
  <c r="AB156" i="12"/>
  <c r="AC168" i="12"/>
  <c r="U168" i="12"/>
  <c r="I168" i="12"/>
  <c r="T168" i="12"/>
  <c r="Q168" i="12"/>
  <c r="P168" i="12"/>
  <c r="O168" i="12"/>
  <c r="AB168" i="12"/>
  <c r="N168" i="12"/>
  <c r="Z168" i="12"/>
  <c r="L168" i="12"/>
  <c r="Y168" i="12"/>
  <c r="K168" i="12"/>
  <c r="X168" i="12"/>
  <c r="J168" i="12"/>
  <c r="G168" i="12"/>
  <c r="F168" i="12"/>
  <c r="AA168" i="12"/>
  <c r="W168" i="12"/>
  <c r="V168" i="12"/>
  <c r="S168" i="12"/>
  <c r="R168" i="12"/>
  <c r="M168" i="12"/>
  <c r="H168" i="12"/>
  <c r="AC180" i="12"/>
  <c r="U180" i="12"/>
  <c r="I180" i="12"/>
  <c r="T180" i="12"/>
  <c r="H180" i="12"/>
  <c r="S180" i="12"/>
  <c r="G180" i="12"/>
  <c r="X180" i="12"/>
  <c r="F180" i="12"/>
  <c r="W180" i="12"/>
  <c r="V180" i="12"/>
  <c r="R180" i="12"/>
  <c r="Q180" i="12"/>
  <c r="P180" i="12"/>
  <c r="O180" i="12"/>
  <c r="N180" i="12"/>
  <c r="AB180" i="12"/>
  <c r="AA180" i="12"/>
  <c r="Z180" i="12"/>
  <c r="Y180" i="12"/>
  <c r="M180" i="12"/>
  <c r="L180" i="12"/>
  <c r="K180" i="12"/>
  <c r="J180" i="12"/>
  <c r="AC192" i="12"/>
  <c r="R192" i="12"/>
  <c r="F192" i="12"/>
  <c r="Y192" i="12"/>
  <c r="L192" i="12"/>
  <c r="X192" i="12"/>
  <c r="K192" i="12"/>
  <c r="W192" i="12"/>
  <c r="J192" i="12"/>
  <c r="V192" i="12"/>
  <c r="T192" i="12"/>
  <c r="G192" i="12"/>
  <c r="S192" i="12"/>
  <c r="N192" i="12"/>
  <c r="M192" i="12"/>
  <c r="I192" i="12"/>
  <c r="H192" i="12"/>
  <c r="AB192" i="12"/>
  <c r="AA192" i="12"/>
  <c r="Z192" i="12"/>
  <c r="U192" i="12"/>
  <c r="Q192" i="12"/>
  <c r="P192" i="12"/>
  <c r="O192" i="12"/>
  <c r="AC204" i="12"/>
  <c r="AA204" i="12"/>
  <c r="O204" i="12"/>
  <c r="R204" i="12"/>
  <c r="Q204" i="12"/>
  <c r="P204" i="12"/>
  <c r="N204" i="12"/>
  <c r="M204" i="12"/>
  <c r="AB204" i="12"/>
  <c r="L204" i="12"/>
  <c r="Z204" i="12"/>
  <c r="K204" i="12"/>
  <c r="Y204" i="12"/>
  <c r="J204" i="12"/>
  <c r="X204" i="12"/>
  <c r="I204" i="12"/>
  <c r="W204" i="12"/>
  <c r="H204" i="12"/>
  <c r="V204" i="12"/>
  <c r="U204" i="12"/>
  <c r="T204" i="12"/>
  <c r="S204" i="12"/>
  <c r="G204" i="12"/>
  <c r="F204" i="12"/>
  <c r="AC216" i="12"/>
  <c r="AA216" i="12"/>
  <c r="O216" i="12"/>
  <c r="Q216" i="12"/>
  <c r="P216" i="12"/>
  <c r="Y216" i="12"/>
  <c r="L216" i="12"/>
  <c r="Z216" i="12"/>
  <c r="I216" i="12"/>
  <c r="X216" i="12"/>
  <c r="H216" i="12"/>
  <c r="W216" i="12"/>
  <c r="G216" i="12"/>
  <c r="V216" i="12"/>
  <c r="F216" i="12"/>
  <c r="U216" i="12"/>
  <c r="T216" i="12"/>
  <c r="S216" i="12"/>
  <c r="R216" i="12"/>
  <c r="N216" i="12"/>
  <c r="M216" i="12"/>
  <c r="K216" i="12"/>
  <c r="J216" i="12"/>
  <c r="AB216" i="12"/>
  <c r="AC228" i="12"/>
  <c r="AA228" i="12"/>
  <c r="O228" i="12"/>
  <c r="Z228" i="12"/>
  <c r="N228" i="12"/>
  <c r="Y228" i="12"/>
  <c r="M228" i="12"/>
  <c r="T228" i="12"/>
  <c r="S228" i="12"/>
  <c r="R228" i="12"/>
  <c r="Q228" i="12"/>
  <c r="P228" i="12"/>
  <c r="L228" i="12"/>
  <c r="K228" i="12"/>
  <c r="J228" i="12"/>
  <c r="I228" i="12"/>
  <c r="H228" i="12"/>
  <c r="G228" i="12"/>
  <c r="F228" i="12"/>
  <c r="AB228" i="12"/>
  <c r="X228" i="12"/>
  <c r="W228" i="12"/>
  <c r="V228" i="12"/>
  <c r="U228" i="12"/>
  <c r="AC240" i="12"/>
  <c r="AA240" i="12"/>
  <c r="O240" i="12"/>
  <c r="Z240" i="12"/>
  <c r="N240" i="12"/>
  <c r="Y240" i="12"/>
  <c r="M240" i="12"/>
  <c r="Q240" i="12"/>
  <c r="P240" i="12"/>
  <c r="L240" i="12"/>
  <c r="K240" i="12"/>
  <c r="AB240" i="12"/>
  <c r="J240" i="12"/>
  <c r="X240" i="12"/>
  <c r="I240" i="12"/>
  <c r="W240" i="12"/>
  <c r="V240" i="12"/>
  <c r="U240" i="12"/>
  <c r="T240" i="12"/>
  <c r="S240" i="12"/>
  <c r="R240" i="12"/>
  <c r="H240" i="12"/>
  <c r="G240" i="12"/>
  <c r="F240" i="12"/>
  <c r="AC252" i="12"/>
  <c r="R252" i="12"/>
  <c r="F252" i="12"/>
  <c r="AB252" i="12"/>
  <c r="P252" i="12"/>
  <c r="AA252" i="12"/>
  <c r="O252" i="12"/>
  <c r="L252" i="12"/>
  <c r="Z252" i="12"/>
  <c r="K252" i="12"/>
  <c r="Y252" i="12"/>
  <c r="J252" i="12"/>
  <c r="X252" i="12"/>
  <c r="I252" i="12"/>
  <c r="W252" i="12"/>
  <c r="V252" i="12"/>
  <c r="U252" i="12"/>
  <c r="T252" i="12"/>
  <c r="S252" i="12"/>
  <c r="Q252" i="12"/>
  <c r="N252" i="12"/>
  <c r="M252" i="12"/>
  <c r="H252" i="12"/>
  <c r="G252" i="12"/>
  <c r="AC264" i="12"/>
  <c r="R264" i="12"/>
  <c r="F264" i="12"/>
  <c r="AB264" i="12"/>
  <c r="P264" i="12"/>
  <c r="AA264" i="12"/>
  <c r="O264" i="12"/>
  <c r="X264" i="12"/>
  <c r="I264" i="12"/>
  <c r="W264" i="12"/>
  <c r="H264" i="12"/>
  <c r="V264" i="12"/>
  <c r="G264" i="12"/>
  <c r="U264" i="12"/>
  <c r="T264" i="12"/>
  <c r="S264" i="12"/>
  <c r="Q264" i="12"/>
  <c r="K264" i="12"/>
  <c r="J264" i="12"/>
  <c r="Z264" i="12"/>
  <c r="Y264" i="12"/>
  <c r="N264" i="12"/>
  <c r="M264" i="12"/>
  <c r="L264" i="12"/>
  <c r="AC276" i="12"/>
  <c r="R276" i="12"/>
  <c r="F276" i="12"/>
  <c r="AB276" i="12"/>
  <c r="P276" i="12"/>
  <c r="AA276" i="12"/>
  <c r="O276" i="12"/>
  <c r="Z276" i="12"/>
  <c r="N276" i="12"/>
  <c r="W276" i="12"/>
  <c r="K276" i="12"/>
  <c r="L276" i="12"/>
  <c r="J276" i="12"/>
  <c r="I276" i="12"/>
  <c r="H276" i="12"/>
  <c r="Y276" i="12"/>
  <c r="G276" i="12"/>
  <c r="X276" i="12"/>
  <c r="V276" i="12"/>
  <c r="U276" i="12"/>
  <c r="T276" i="12"/>
  <c r="S276" i="12"/>
  <c r="Q276" i="12"/>
  <c r="M276" i="12"/>
  <c r="AC9" i="8"/>
  <c r="AA9" i="8"/>
  <c r="O9" i="8"/>
  <c r="W9" i="8"/>
  <c r="J9" i="8"/>
  <c r="G9" i="8"/>
  <c r="Z9" i="8"/>
  <c r="N9" i="8"/>
  <c r="Y9" i="8"/>
  <c r="M9" i="8"/>
  <c r="R9" i="8"/>
  <c r="X9" i="8"/>
  <c r="L9" i="8"/>
  <c r="K9" i="8"/>
  <c r="T9" i="8"/>
  <c r="Q9" i="8"/>
  <c r="P9" i="8"/>
  <c r="V9" i="8"/>
  <c r="S9" i="8"/>
  <c r="AB9" i="8"/>
  <c r="U9" i="8"/>
  <c r="I9" i="8"/>
  <c r="H9" i="8"/>
  <c r="F9" i="8"/>
  <c r="AC23" i="8"/>
  <c r="X23" i="8"/>
  <c r="L23" i="8"/>
  <c r="W23" i="8"/>
  <c r="K23" i="8"/>
  <c r="V23" i="8"/>
  <c r="J23" i="8"/>
  <c r="N23" i="8"/>
  <c r="U23" i="8"/>
  <c r="I23" i="8"/>
  <c r="Y23" i="8"/>
  <c r="T23" i="8"/>
  <c r="H23" i="8"/>
  <c r="Z23" i="8"/>
  <c r="S23" i="8"/>
  <c r="G23" i="8"/>
  <c r="M23" i="8"/>
  <c r="R23" i="8"/>
  <c r="F23" i="8"/>
  <c r="Q23" i="8"/>
  <c r="AB23" i="8"/>
  <c r="P23" i="8"/>
  <c r="AA23" i="8"/>
  <c r="O23" i="8"/>
  <c r="AC35" i="8"/>
  <c r="J35" i="8"/>
  <c r="I35" i="8"/>
  <c r="H35" i="8"/>
  <c r="G35" i="8"/>
  <c r="F35" i="8"/>
  <c r="Q35" i="8"/>
  <c r="P35" i="8"/>
  <c r="K35" i="8"/>
  <c r="O35" i="8"/>
  <c r="N35" i="8"/>
  <c r="M35" i="8"/>
  <c r="L35" i="8"/>
  <c r="AB35" i="8"/>
  <c r="Z35" i="8"/>
  <c r="Y35" i="8"/>
  <c r="T35" i="8"/>
  <c r="V35" i="8"/>
  <c r="R35" i="8"/>
  <c r="AA35" i="8"/>
  <c r="S35" i="8"/>
  <c r="U35" i="8"/>
  <c r="X35" i="8"/>
  <c r="W35" i="8"/>
  <c r="AC47" i="8"/>
  <c r="AB47" i="8"/>
  <c r="P47" i="8"/>
  <c r="AA47" i="8"/>
  <c r="O47" i="8"/>
  <c r="Z47" i="8"/>
  <c r="N47" i="8"/>
  <c r="Y47" i="8"/>
  <c r="M47" i="8"/>
  <c r="U47" i="8"/>
  <c r="I47" i="8"/>
  <c r="R47" i="8"/>
  <c r="Q47" i="8"/>
  <c r="L47" i="8"/>
  <c r="T47" i="8"/>
  <c r="K47" i="8"/>
  <c r="S47" i="8"/>
  <c r="J47" i="8"/>
  <c r="H47" i="8"/>
  <c r="G47" i="8"/>
  <c r="X47" i="8"/>
  <c r="F47" i="8"/>
  <c r="W47" i="8"/>
  <c r="V47" i="8"/>
  <c r="AC59" i="8"/>
  <c r="U59" i="8"/>
  <c r="I59" i="8"/>
  <c r="T59" i="8"/>
  <c r="H59" i="8"/>
  <c r="S59" i="8"/>
  <c r="G59" i="8"/>
  <c r="R59" i="8"/>
  <c r="F59" i="8"/>
  <c r="Q59" i="8"/>
  <c r="AB59" i="8"/>
  <c r="P59" i="8"/>
  <c r="AA59" i="8"/>
  <c r="O59" i="8"/>
  <c r="Z59" i="8"/>
  <c r="N59" i="8"/>
  <c r="X59" i="8"/>
  <c r="Y59" i="8"/>
  <c r="W59" i="8"/>
  <c r="V59" i="8"/>
  <c r="M59" i="8"/>
  <c r="L59" i="8"/>
  <c r="K59" i="8"/>
  <c r="J59" i="8"/>
  <c r="AC71" i="8"/>
  <c r="V71" i="8"/>
  <c r="J71" i="8"/>
  <c r="U71" i="8"/>
  <c r="I71" i="8"/>
  <c r="T71" i="8"/>
  <c r="H71" i="8"/>
  <c r="S71" i="8"/>
  <c r="G71" i="8"/>
  <c r="R71" i="8"/>
  <c r="F71" i="8"/>
  <c r="Q71" i="8"/>
  <c r="AB71" i="8"/>
  <c r="P71" i="8"/>
  <c r="AA71" i="8"/>
  <c r="O71" i="8"/>
  <c r="Z71" i="8"/>
  <c r="N71" i="8"/>
  <c r="Y71" i="8"/>
  <c r="M71" i="8"/>
  <c r="K71" i="8"/>
  <c r="L71" i="8"/>
  <c r="X71" i="8"/>
  <c r="W71" i="8"/>
  <c r="AC83" i="8"/>
  <c r="AA83" i="8"/>
  <c r="O83" i="8"/>
  <c r="Z83" i="8"/>
  <c r="N83" i="8"/>
  <c r="Y83" i="8"/>
  <c r="M83" i="8"/>
  <c r="X83" i="8"/>
  <c r="L83" i="8"/>
  <c r="W83" i="8"/>
  <c r="K83" i="8"/>
  <c r="V83" i="8"/>
  <c r="J83" i="8"/>
  <c r="U83" i="8"/>
  <c r="I83" i="8"/>
  <c r="T83" i="8"/>
  <c r="H83" i="8"/>
  <c r="S83" i="8"/>
  <c r="G83" i="8"/>
  <c r="R83" i="8"/>
  <c r="F83" i="8"/>
  <c r="AB83" i="8"/>
  <c r="Q83" i="8"/>
  <c r="P83" i="8"/>
  <c r="AC95" i="8"/>
  <c r="T95" i="8"/>
  <c r="H95" i="8"/>
  <c r="S95" i="8"/>
  <c r="G95" i="8"/>
  <c r="R95" i="8"/>
  <c r="F95" i="8"/>
  <c r="Q95" i="8"/>
  <c r="AB95" i="8"/>
  <c r="P95" i="8"/>
  <c r="AA95" i="8"/>
  <c r="O95" i="8"/>
  <c r="Z95" i="8"/>
  <c r="N95" i="8"/>
  <c r="Y95" i="8"/>
  <c r="M95" i="8"/>
  <c r="X95" i="8"/>
  <c r="L95" i="8"/>
  <c r="W95" i="8"/>
  <c r="K95" i="8"/>
  <c r="I95" i="8"/>
  <c r="V95" i="8"/>
  <c r="U95" i="8"/>
  <c r="J95" i="8"/>
  <c r="AC107" i="8"/>
  <c r="U107" i="8"/>
  <c r="I107" i="8"/>
  <c r="T107" i="8"/>
  <c r="H107" i="8"/>
  <c r="S107" i="8"/>
  <c r="G107" i="8"/>
  <c r="R107" i="8"/>
  <c r="F107" i="8"/>
  <c r="Q107" i="8"/>
  <c r="P107" i="8"/>
  <c r="O107" i="8"/>
  <c r="N107" i="8"/>
  <c r="M107" i="8"/>
  <c r="L107" i="8"/>
  <c r="V107" i="8"/>
  <c r="K107" i="8"/>
  <c r="J107" i="8"/>
  <c r="AB107" i="8"/>
  <c r="Y107" i="8"/>
  <c r="AA107" i="8"/>
  <c r="Z107" i="8"/>
  <c r="W107" i="8"/>
  <c r="X107" i="8"/>
  <c r="AC119" i="8"/>
  <c r="U119" i="8"/>
  <c r="I119" i="8"/>
  <c r="T119" i="8"/>
  <c r="H119" i="8"/>
  <c r="S119" i="8"/>
  <c r="G119" i="8"/>
  <c r="R119" i="8"/>
  <c r="F119" i="8"/>
  <c r="Q119" i="8"/>
  <c r="AB119" i="8"/>
  <c r="P119" i="8"/>
  <c r="AA119" i="8"/>
  <c r="O119" i="8"/>
  <c r="Z119" i="8"/>
  <c r="N119" i="8"/>
  <c r="Y119" i="8"/>
  <c r="M119" i="8"/>
  <c r="X119" i="8"/>
  <c r="L119" i="8"/>
  <c r="J119" i="8"/>
  <c r="V119" i="8"/>
  <c r="K119" i="8"/>
  <c r="W119" i="8"/>
  <c r="AC131" i="8"/>
  <c r="R131" i="8"/>
  <c r="F131" i="8"/>
  <c r="Q131" i="8"/>
  <c r="AB131" i="8"/>
  <c r="P131" i="8"/>
  <c r="AA131" i="8"/>
  <c r="O131" i="8"/>
  <c r="Z131" i="8"/>
  <c r="N131" i="8"/>
  <c r="Y131" i="8"/>
  <c r="M131" i="8"/>
  <c r="X131" i="8"/>
  <c r="L131" i="8"/>
  <c r="S131" i="8"/>
  <c r="K131" i="8"/>
  <c r="J131" i="8"/>
  <c r="I131" i="8"/>
  <c r="H131" i="8"/>
  <c r="G131" i="8"/>
  <c r="W131" i="8"/>
  <c r="V131" i="8"/>
  <c r="U131" i="8"/>
  <c r="T131" i="8"/>
  <c r="AC143" i="8"/>
  <c r="AB143" i="8"/>
  <c r="P143" i="8"/>
  <c r="AA143" i="8"/>
  <c r="O143" i="8"/>
  <c r="Z143" i="8"/>
  <c r="N143" i="8"/>
  <c r="Y143" i="8"/>
  <c r="M143" i="8"/>
  <c r="X143" i="8"/>
  <c r="L143" i="8"/>
  <c r="W143" i="8"/>
  <c r="K143" i="8"/>
  <c r="V143" i="8"/>
  <c r="J143" i="8"/>
  <c r="H143" i="8"/>
  <c r="G143" i="8"/>
  <c r="F143" i="8"/>
  <c r="U143" i="8"/>
  <c r="T143" i="8"/>
  <c r="S143" i="8"/>
  <c r="R143" i="8"/>
  <c r="I143" i="8"/>
  <c r="Q143" i="8"/>
  <c r="AC155" i="8"/>
  <c r="I155" i="8"/>
  <c r="H155" i="8"/>
  <c r="G155" i="8"/>
  <c r="F155" i="8"/>
  <c r="Q155" i="8"/>
  <c r="P155" i="8"/>
  <c r="O155" i="8"/>
  <c r="N155" i="8"/>
  <c r="M155" i="8"/>
  <c r="L155" i="8"/>
  <c r="K155" i="8"/>
  <c r="J155" i="8"/>
  <c r="AB155" i="8"/>
  <c r="Y155" i="8"/>
  <c r="Z155" i="8"/>
  <c r="S155" i="8"/>
  <c r="X155" i="8"/>
  <c r="T155" i="8"/>
  <c r="R155" i="8"/>
  <c r="AA155" i="8"/>
  <c r="V155" i="8"/>
  <c r="W155" i="8"/>
  <c r="U155" i="8"/>
  <c r="AC167" i="8"/>
  <c r="S167" i="8"/>
  <c r="G167" i="8"/>
  <c r="R167" i="8"/>
  <c r="F167" i="8"/>
  <c r="Q167" i="8"/>
  <c r="AB167" i="8"/>
  <c r="P167" i="8"/>
  <c r="AA167" i="8"/>
  <c r="O167" i="8"/>
  <c r="Z167" i="8"/>
  <c r="N167" i="8"/>
  <c r="Y167" i="8"/>
  <c r="M167" i="8"/>
  <c r="X167" i="8"/>
  <c r="L167" i="8"/>
  <c r="W167" i="8"/>
  <c r="K167" i="8"/>
  <c r="V167" i="8"/>
  <c r="J167" i="8"/>
  <c r="U167" i="8"/>
  <c r="T167" i="8"/>
  <c r="I167" i="8"/>
  <c r="H167" i="8"/>
  <c r="AC179" i="8"/>
  <c r="W179" i="8"/>
  <c r="K179" i="8"/>
  <c r="V179" i="8"/>
  <c r="J179" i="8"/>
  <c r="U179" i="8"/>
  <c r="I179" i="8"/>
  <c r="T179" i="8"/>
  <c r="H179" i="8"/>
  <c r="S179" i="8"/>
  <c r="G179" i="8"/>
  <c r="R179" i="8"/>
  <c r="F179" i="8"/>
  <c r="Q179" i="8"/>
  <c r="AB179" i="8"/>
  <c r="P179" i="8"/>
  <c r="AA179" i="8"/>
  <c r="O179" i="8"/>
  <c r="Z179" i="8"/>
  <c r="N179" i="8"/>
  <c r="L179" i="8"/>
  <c r="Y179" i="8"/>
  <c r="M179" i="8"/>
  <c r="X179" i="8"/>
  <c r="AC191" i="8"/>
  <c r="T191" i="8"/>
  <c r="H191" i="8"/>
  <c r="Z191" i="8"/>
  <c r="M191" i="8"/>
  <c r="Y191" i="8"/>
  <c r="L191" i="8"/>
  <c r="X191" i="8"/>
  <c r="K191" i="8"/>
  <c r="W191" i="8"/>
  <c r="J191" i="8"/>
  <c r="V191" i="8"/>
  <c r="I191" i="8"/>
  <c r="U191" i="8"/>
  <c r="G191" i="8"/>
  <c r="S191" i="8"/>
  <c r="F191" i="8"/>
  <c r="R191" i="8"/>
  <c r="Q191" i="8"/>
  <c r="P191" i="8"/>
  <c r="AB191" i="8"/>
  <c r="AA191" i="8"/>
  <c r="O191" i="8"/>
  <c r="N191" i="8"/>
  <c r="AC203" i="8"/>
  <c r="F203" i="8"/>
  <c r="N203" i="8"/>
  <c r="L203" i="8"/>
  <c r="M203" i="8"/>
  <c r="K203" i="8"/>
  <c r="J203" i="8"/>
  <c r="I203" i="8"/>
  <c r="H203" i="8"/>
  <c r="G203" i="8"/>
  <c r="Q203" i="8"/>
  <c r="P203" i="8"/>
  <c r="O203" i="8"/>
  <c r="AB203" i="8"/>
  <c r="Y203" i="8"/>
  <c r="Z203" i="8"/>
  <c r="U203" i="8"/>
  <c r="S203" i="8"/>
  <c r="W203" i="8"/>
  <c r="T203" i="8"/>
  <c r="X203" i="8"/>
  <c r="AA203" i="8"/>
  <c r="V203" i="8"/>
  <c r="R203" i="8"/>
  <c r="AC215" i="8"/>
  <c r="R215" i="8"/>
  <c r="F215" i="8"/>
  <c r="Q215" i="8"/>
  <c r="AA215" i="8"/>
  <c r="O215" i="8"/>
  <c r="Z215" i="8"/>
  <c r="N215" i="8"/>
  <c r="Y215" i="8"/>
  <c r="M215" i="8"/>
  <c r="X215" i="8"/>
  <c r="L215" i="8"/>
  <c r="W215" i="8"/>
  <c r="K215" i="8"/>
  <c r="V215" i="8"/>
  <c r="J215" i="8"/>
  <c r="AB215" i="8"/>
  <c r="U215" i="8"/>
  <c r="T215" i="8"/>
  <c r="S215" i="8"/>
  <c r="P215" i="8"/>
  <c r="I215" i="8"/>
  <c r="H215" i="8"/>
  <c r="G215" i="8"/>
  <c r="AC227" i="8"/>
  <c r="X227" i="8"/>
  <c r="L227" i="8"/>
  <c r="W227" i="8"/>
  <c r="K227" i="8"/>
  <c r="V227" i="8"/>
  <c r="J227" i="8"/>
  <c r="U227" i="8"/>
  <c r="I227" i="8"/>
  <c r="T227" i="8"/>
  <c r="H227" i="8"/>
  <c r="S227" i="8"/>
  <c r="G227" i="8"/>
  <c r="R227" i="8"/>
  <c r="F227" i="8"/>
  <c r="Q227" i="8"/>
  <c r="AB227" i="8"/>
  <c r="P227" i="8"/>
  <c r="AA227" i="8"/>
  <c r="Z227" i="8"/>
  <c r="Y227" i="8"/>
  <c r="O227" i="8"/>
  <c r="N227" i="8"/>
  <c r="M227" i="8"/>
  <c r="AC239" i="8"/>
  <c r="T239" i="8"/>
  <c r="H239" i="8"/>
  <c r="S239" i="8"/>
  <c r="G239" i="8"/>
  <c r="W239" i="8"/>
  <c r="I239" i="8"/>
  <c r="V239" i="8"/>
  <c r="F239" i="8"/>
  <c r="U239" i="8"/>
  <c r="R239" i="8"/>
  <c r="Q239" i="8"/>
  <c r="P239" i="8"/>
  <c r="O239" i="8"/>
  <c r="AB239" i="8"/>
  <c r="N239" i="8"/>
  <c r="AA239" i="8"/>
  <c r="M239" i="8"/>
  <c r="Z239" i="8"/>
  <c r="L239" i="8"/>
  <c r="Y239" i="8"/>
  <c r="X239" i="8"/>
  <c r="K239" i="8"/>
  <c r="J239" i="8"/>
  <c r="AC251" i="8"/>
  <c r="N251" i="8"/>
  <c r="M251" i="8"/>
  <c r="U251" i="8"/>
  <c r="Q251" i="8"/>
  <c r="P251" i="8"/>
  <c r="O251" i="8"/>
  <c r="L251" i="8"/>
  <c r="K251" i="8"/>
  <c r="J251" i="8"/>
  <c r="I251" i="8"/>
  <c r="H251" i="8"/>
  <c r="G251" i="8"/>
  <c r="F251" i="8"/>
  <c r="AB251" i="8"/>
  <c r="Y251" i="8"/>
  <c r="Z251" i="8"/>
  <c r="R251" i="8"/>
  <c r="S251" i="8"/>
  <c r="V251" i="8"/>
  <c r="T251" i="8"/>
  <c r="X251" i="8"/>
  <c r="W251" i="8"/>
  <c r="AA251" i="8"/>
  <c r="AC263" i="8"/>
  <c r="U263" i="8"/>
  <c r="I263" i="8"/>
  <c r="T263" i="8"/>
  <c r="H263" i="8"/>
  <c r="R263" i="8"/>
  <c r="Q263" i="8"/>
  <c r="P263" i="8"/>
  <c r="O263" i="8"/>
  <c r="AB263" i="8"/>
  <c r="N263" i="8"/>
  <c r="AA263" i="8"/>
  <c r="M263" i="8"/>
  <c r="Z263" i="8"/>
  <c r="L263" i="8"/>
  <c r="Y263" i="8"/>
  <c r="K263" i="8"/>
  <c r="X263" i="8"/>
  <c r="J263" i="8"/>
  <c r="W263" i="8"/>
  <c r="G263" i="8"/>
  <c r="V263" i="8"/>
  <c r="S263" i="8"/>
  <c r="F263" i="8"/>
  <c r="AC275" i="8"/>
  <c r="I275" i="8"/>
  <c r="H275" i="8"/>
  <c r="K275" i="8"/>
  <c r="M275" i="8"/>
  <c r="L275" i="8"/>
  <c r="J275" i="8"/>
  <c r="G275" i="8"/>
  <c r="F275" i="8"/>
  <c r="Q275" i="8"/>
  <c r="P275" i="8"/>
  <c r="N275" i="8"/>
  <c r="O275" i="8"/>
  <c r="AB275" i="8"/>
  <c r="Y275" i="8"/>
  <c r="Z275" i="8"/>
  <c r="T275" i="8"/>
  <c r="V275" i="8"/>
  <c r="W275" i="8"/>
  <c r="U275" i="8"/>
  <c r="X275" i="8"/>
  <c r="AA275" i="8"/>
  <c r="S275" i="8"/>
  <c r="R275" i="8"/>
  <c r="AC287" i="8"/>
  <c r="T287" i="8"/>
  <c r="H287" i="8"/>
  <c r="S287" i="8"/>
  <c r="G287" i="8"/>
  <c r="R287" i="8"/>
  <c r="F287" i="8"/>
  <c r="X287" i="8"/>
  <c r="L287" i="8"/>
  <c r="W287" i="8"/>
  <c r="K287" i="8"/>
  <c r="V287" i="8"/>
  <c r="J287" i="8"/>
  <c r="M287" i="8"/>
  <c r="I287" i="8"/>
  <c r="AB287" i="8"/>
  <c r="AA287" i="8"/>
  <c r="Z287" i="8"/>
  <c r="Y287" i="8"/>
  <c r="U287" i="8"/>
  <c r="Q287" i="8"/>
  <c r="P287" i="8"/>
  <c r="O287" i="8"/>
  <c r="N287" i="8"/>
  <c r="AC299" i="8"/>
  <c r="U299" i="8"/>
  <c r="I299" i="8"/>
  <c r="T299" i="8"/>
  <c r="H299" i="8"/>
  <c r="S299" i="8"/>
  <c r="G299" i="8"/>
  <c r="AB299" i="8"/>
  <c r="P299" i="8"/>
  <c r="Y299" i="8"/>
  <c r="M299" i="8"/>
  <c r="X299" i="8"/>
  <c r="L299" i="8"/>
  <c r="W299" i="8"/>
  <c r="K299" i="8"/>
  <c r="AA299" i="8"/>
  <c r="Z299" i="8"/>
  <c r="V299" i="8"/>
  <c r="R299" i="8"/>
  <c r="Q299" i="8"/>
  <c r="O299" i="8"/>
  <c r="N299" i="8"/>
  <c r="J299" i="8"/>
  <c r="F299" i="8"/>
  <c r="AC13" i="12"/>
  <c r="T13" i="12"/>
  <c r="H13" i="12"/>
  <c r="S13" i="12"/>
  <c r="G13" i="12"/>
  <c r="R13" i="12"/>
  <c r="F13" i="12"/>
  <c r="Q13" i="12"/>
  <c r="AB13" i="12"/>
  <c r="P13" i="12"/>
  <c r="AA13" i="12"/>
  <c r="O13" i="12"/>
  <c r="Z13" i="12"/>
  <c r="N13" i="12"/>
  <c r="Y13" i="12"/>
  <c r="M13" i="12"/>
  <c r="X13" i="12"/>
  <c r="L13" i="12"/>
  <c r="W13" i="12"/>
  <c r="K13" i="12"/>
  <c r="V13" i="12"/>
  <c r="U13" i="12"/>
  <c r="J13" i="12"/>
  <c r="I13" i="12"/>
  <c r="AC25" i="12"/>
  <c r="T25" i="12"/>
  <c r="H25" i="12"/>
  <c r="S25" i="12"/>
  <c r="G25" i="12"/>
  <c r="R25" i="12"/>
  <c r="F25" i="12"/>
  <c r="Q25" i="12"/>
  <c r="AB25" i="12"/>
  <c r="P25" i="12"/>
  <c r="AA25" i="12"/>
  <c r="O25" i="12"/>
  <c r="Z25" i="12"/>
  <c r="N25" i="12"/>
  <c r="Y25" i="12"/>
  <c r="M25" i="12"/>
  <c r="X25" i="12"/>
  <c r="L25" i="12"/>
  <c r="W25" i="12"/>
  <c r="K25" i="12"/>
  <c r="V25" i="12"/>
  <c r="U25" i="12"/>
  <c r="J25" i="12"/>
  <c r="I25" i="12"/>
  <c r="AC37" i="12"/>
  <c r="AA37" i="12"/>
  <c r="O37" i="12"/>
  <c r="Z37" i="12"/>
  <c r="N37" i="12"/>
  <c r="Y37" i="12"/>
  <c r="M37" i="12"/>
  <c r="X37" i="12"/>
  <c r="L37" i="12"/>
  <c r="U37" i="12"/>
  <c r="I37" i="12"/>
  <c r="P37" i="12"/>
  <c r="K37" i="12"/>
  <c r="J37" i="12"/>
  <c r="H37" i="12"/>
  <c r="G37" i="12"/>
  <c r="AB37" i="12"/>
  <c r="F37" i="12"/>
  <c r="W37" i="12"/>
  <c r="V37" i="12"/>
  <c r="T37" i="12"/>
  <c r="S37" i="12"/>
  <c r="R37" i="12"/>
  <c r="Q37" i="12"/>
  <c r="AC49" i="12"/>
  <c r="AA49" i="12"/>
  <c r="O49" i="12"/>
  <c r="Z49" i="12"/>
  <c r="N49" i="12"/>
  <c r="Y49" i="12"/>
  <c r="M49" i="12"/>
  <c r="X49" i="12"/>
  <c r="L49" i="12"/>
  <c r="W49" i="12"/>
  <c r="K49" i="12"/>
  <c r="V49" i="12"/>
  <c r="J49" i="12"/>
  <c r="U49" i="12"/>
  <c r="I49" i="12"/>
  <c r="H49" i="12"/>
  <c r="G49" i="12"/>
  <c r="F49" i="12"/>
  <c r="AB49" i="12"/>
  <c r="T49" i="12"/>
  <c r="S49" i="12"/>
  <c r="R49" i="12"/>
  <c r="Q49" i="12"/>
  <c r="P49" i="12"/>
  <c r="AC61" i="12"/>
  <c r="AA61" i="12"/>
  <c r="O61" i="12"/>
  <c r="Z61" i="12"/>
  <c r="N61" i="12"/>
  <c r="Y61" i="12"/>
  <c r="M61" i="12"/>
  <c r="X61" i="12"/>
  <c r="L61" i="12"/>
  <c r="W61" i="12"/>
  <c r="K61" i="12"/>
  <c r="V61" i="12"/>
  <c r="J61" i="12"/>
  <c r="U61" i="12"/>
  <c r="I61" i="12"/>
  <c r="T61" i="12"/>
  <c r="H61" i="12"/>
  <c r="S61" i="12"/>
  <c r="G61" i="12"/>
  <c r="R61" i="12"/>
  <c r="F61" i="12"/>
  <c r="AB61" i="12"/>
  <c r="P61" i="12"/>
  <c r="Q61" i="12"/>
  <c r="AC73" i="12"/>
  <c r="AA73" i="12"/>
  <c r="O73" i="12"/>
  <c r="Z73" i="12"/>
  <c r="N73" i="12"/>
  <c r="Y73" i="12"/>
  <c r="M73" i="12"/>
  <c r="X73" i="12"/>
  <c r="L73" i="12"/>
  <c r="W73" i="12"/>
  <c r="K73" i="12"/>
  <c r="V73" i="12"/>
  <c r="J73" i="12"/>
  <c r="U73" i="12"/>
  <c r="I73" i="12"/>
  <c r="T73" i="12"/>
  <c r="H73" i="12"/>
  <c r="S73" i="12"/>
  <c r="G73" i="12"/>
  <c r="R73" i="12"/>
  <c r="F73" i="12"/>
  <c r="Q73" i="12"/>
  <c r="P73" i="12"/>
  <c r="AB73" i="12"/>
  <c r="AC85" i="12"/>
  <c r="V85" i="12"/>
  <c r="J85" i="12"/>
  <c r="U85" i="12"/>
  <c r="I85" i="12"/>
  <c r="T85" i="12"/>
  <c r="H85" i="12"/>
  <c r="S85" i="12"/>
  <c r="G85" i="12"/>
  <c r="AA85" i="12"/>
  <c r="K85" i="12"/>
  <c r="Z85" i="12"/>
  <c r="F85" i="12"/>
  <c r="Y85" i="12"/>
  <c r="X85" i="12"/>
  <c r="W85" i="12"/>
  <c r="R85" i="12"/>
  <c r="Q85" i="12"/>
  <c r="P85" i="12"/>
  <c r="O85" i="12"/>
  <c r="N85" i="12"/>
  <c r="AB85" i="12"/>
  <c r="M85" i="12"/>
  <c r="L85" i="12"/>
  <c r="AC97" i="12"/>
  <c r="V97" i="12"/>
  <c r="J97" i="12"/>
  <c r="U97" i="12"/>
  <c r="I97" i="12"/>
  <c r="T97" i="12"/>
  <c r="H97" i="12"/>
  <c r="S97" i="12"/>
  <c r="G97" i="12"/>
  <c r="AA97" i="12"/>
  <c r="O97" i="12"/>
  <c r="W97" i="12"/>
  <c r="R97" i="12"/>
  <c r="Q97" i="12"/>
  <c r="P97" i="12"/>
  <c r="N97" i="12"/>
  <c r="M97" i="12"/>
  <c r="L97" i="12"/>
  <c r="K97" i="12"/>
  <c r="AB97" i="12"/>
  <c r="F97" i="12"/>
  <c r="Z97" i="12"/>
  <c r="Y97" i="12"/>
  <c r="X97" i="12"/>
  <c r="AC109" i="12"/>
  <c r="W109" i="12"/>
  <c r="K109" i="12"/>
  <c r="V109" i="12"/>
  <c r="J109" i="12"/>
  <c r="P109" i="12"/>
  <c r="O109" i="12"/>
  <c r="AB109" i="12"/>
  <c r="N109" i="12"/>
  <c r="AA109" i="12"/>
  <c r="M109" i="12"/>
  <c r="Z109" i="12"/>
  <c r="L109" i="12"/>
  <c r="Y109" i="12"/>
  <c r="I109" i="12"/>
  <c r="X109" i="12"/>
  <c r="H109" i="12"/>
  <c r="U109" i="12"/>
  <c r="G109" i="12"/>
  <c r="S109" i="12"/>
  <c r="F109" i="12"/>
  <c r="T109" i="12"/>
  <c r="R109" i="12"/>
  <c r="Q109" i="12"/>
  <c r="AC121" i="12"/>
  <c r="W121" i="12"/>
  <c r="K121" i="12"/>
  <c r="V121" i="12"/>
  <c r="J121" i="12"/>
  <c r="U121" i="12"/>
  <c r="I121" i="12"/>
  <c r="P121" i="12"/>
  <c r="O121" i="12"/>
  <c r="N121" i="12"/>
  <c r="AB121" i="12"/>
  <c r="M121" i="12"/>
  <c r="AA121" i="12"/>
  <c r="L121" i="12"/>
  <c r="Z121" i="12"/>
  <c r="H121" i="12"/>
  <c r="Y121" i="12"/>
  <c r="G121" i="12"/>
  <c r="X121" i="12"/>
  <c r="F121" i="12"/>
  <c r="T121" i="12"/>
  <c r="S121" i="12"/>
  <c r="R121" i="12"/>
  <c r="Q121" i="12"/>
  <c r="AC133" i="12"/>
  <c r="W133" i="12"/>
  <c r="K133" i="12"/>
  <c r="V133" i="12"/>
  <c r="J133" i="12"/>
  <c r="U133" i="12"/>
  <c r="I133" i="12"/>
  <c r="T133" i="12"/>
  <c r="H133" i="12"/>
  <c r="S133" i="12"/>
  <c r="G133" i="12"/>
  <c r="R133" i="12"/>
  <c r="F133" i="12"/>
  <c r="L133" i="12"/>
  <c r="AB133" i="12"/>
  <c r="AA133" i="12"/>
  <c r="Z133" i="12"/>
  <c r="Y133" i="12"/>
  <c r="X133" i="12"/>
  <c r="Q133" i="12"/>
  <c r="P133" i="12"/>
  <c r="O133" i="12"/>
  <c r="N133" i="12"/>
  <c r="M133" i="12"/>
  <c r="AC145" i="12"/>
  <c r="Z145" i="12"/>
  <c r="N145" i="12"/>
  <c r="Y145" i="12"/>
  <c r="M145" i="12"/>
  <c r="U145" i="12"/>
  <c r="G145" i="12"/>
  <c r="T145" i="12"/>
  <c r="F145" i="12"/>
  <c r="S145" i="12"/>
  <c r="R145" i="12"/>
  <c r="Q145" i="12"/>
  <c r="P145" i="12"/>
  <c r="V145" i="12"/>
  <c r="O145" i="12"/>
  <c r="L145" i="12"/>
  <c r="K145" i="12"/>
  <c r="J145" i="12"/>
  <c r="I145" i="12"/>
  <c r="H145" i="12"/>
  <c r="AB145" i="12"/>
  <c r="AA145" i="12"/>
  <c r="X145" i="12"/>
  <c r="W145" i="12"/>
  <c r="AC157" i="12"/>
  <c r="AA157" i="12"/>
  <c r="O157" i="12"/>
  <c r="Z157" i="12"/>
  <c r="N157" i="12"/>
  <c r="Y157" i="12"/>
  <c r="M157" i="12"/>
  <c r="X157" i="12"/>
  <c r="L157" i="12"/>
  <c r="U157" i="12"/>
  <c r="I157" i="12"/>
  <c r="T157" i="12"/>
  <c r="H157" i="12"/>
  <c r="AB157" i="12"/>
  <c r="W157" i="12"/>
  <c r="V157" i="12"/>
  <c r="S157" i="12"/>
  <c r="R157" i="12"/>
  <c r="Q157" i="12"/>
  <c r="P157" i="12"/>
  <c r="K157" i="12"/>
  <c r="J157" i="12"/>
  <c r="G157" i="12"/>
  <c r="F157" i="12"/>
  <c r="AC169" i="12"/>
  <c r="V169" i="12"/>
  <c r="J169" i="12"/>
  <c r="U169" i="12"/>
  <c r="I169" i="12"/>
  <c r="X169" i="12"/>
  <c r="H169" i="12"/>
  <c r="W169" i="12"/>
  <c r="G169" i="12"/>
  <c r="T169" i="12"/>
  <c r="F169" i="12"/>
  <c r="S169" i="12"/>
  <c r="Q169" i="12"/>
  <c r="P169" i="12"/>
  <c r="O169" i="12"/>
  <c r="R169" i="12"/>
  <c r="N169" i="12"/>
  <c r="M169" i="12"/>
  <c r="L169" i="12"/>
  <c r="K169" i="12"/>
  <c r="AB169" i="12"/>
  <c r="AA169" i="12"/>
  <c r="Z169" i="12"/>
  <c r="Y169" i="12"/>
  <c r="AC181" i="12"/>
  <c r="V181" i="12"/>
  <c r="J181" i="12"/>
  <c r="U181" i="12"/>
  <c r="I181" i="12"/>
  <c r="T181" i="12"/>
  <c r="H181" i="12"/>
  <c r="P181" i="12"/>
  <c r="O181" i="12"/>
  <c r="N181" i="12"/>
  <c r="AB181" i="12"/>
  <c r="M181" i="12"/>
  <c r="AA181" i="12"/>
  <c r="L181" i="12"/>
  <c r="Z181" i="12"/>
  <c r="K181" i="12"/>
  <c r="Y181" i="12"/>
  <c r="G181" i="12"/>
  <c r="X181" i="12"/>
  <c r="F181" i="12"/>
  <c r="W181" i="12"/>
  <c r="S181" i="12"/>
  <c r="R181" i="12"/>
  <c r="Q181" i="12"/>
  <c r="AC193" i="12"/>
  <c r="S193" i="12"/>
  <c r="G193" i="12"/>
  <c r="AB193" i="12"/>
  <c r="O193" i="12"/>
  <c r="AA193" i="12"/>
  <c r="N193" i="12"/>
  <c r="Z193" i="12"/>
  <c r="M193" i="12"/>
  <c r="Y193" i="12"/>
  <c r="L193" i="12"/>
  <c r="W193" i="12"/>
  <c r="J193" i="12"/>
  <c r="V193" i="12"/>
  <c r="I193" i="12"/>
  <c r="Q193" i="12"/>
  <c r="P193" i="12"/>
  <c r="K193" i="12"/>
  <c r="H193" i="12"/>
  <c r="F193" i="12"/>
  <c r="X193" i="12"/>
  <c r="U193" i="12"/>
  <c r="T193" i="12"/>
  <c r="R193" i="12"/>
  <c r="AC205" i="12"/>
  <c r="AB205" i="12"/>
  <c r="P205" i="12"/>
  <c r="U205" i="12"/>
  <c r="H205" i="12"/>
  <c r="T205" i="12"/>
  <c r="G205" i="12"/>
  <c r="Y205" i="12"/>
  <c r="J205" i="12"/>
  <c r="X205" i="12"/>
  <c r="I205" i="12"/>
  <c r="W205" i="12"/>
  <c r="F205" i="12"/>
  <c r="V205" i="12"/>
  <c r="S205" i="12"/>
  <c r="R205" i="12"/>
  <c r="Q205" i="12"/>
  <c r="O205" i="12"/>
  <c r="N205" i="12"/>
  <c r="M205" i="12"/>
  <c r="L205" i="12"/>
  <c r="K205" i="12"/>
  <c r="AA205" i="12"/>
  <c r="Z205" i="12"/>
  <c r="AC217" i="12"/>
  <c r="AB217" i="12"/>
  <c r="P217" i="12"/>
  <c r="T217" i="12"/>
  <c r="G217" i="12"/>
  <c r="S217" i="12"/>
  <c r="F217" i="12"/>
  <c r="O217" i="12"/>
  <c r="V217" i="12"/>
  <c r="U217" i="12"/>
  <c r="R217" i="12"/>
  <c r="Q217" i="12"/>
  <c r="N217" i="12"/>
  <c r="M217" i="12"/>
  <c r="L217" i="12"/>
  <c r="AA217" i="12"/>
  <c r="K217" i="12"/>
  <c r="Z217" i="12"/>
  <c r="Y217" i="12"/>
  <c r="X217" i="12"/>
  <c r="W217" i="12"/>
  <c r="J217" i="12"/>
  <c r="I217" i="12"/>
  <c r="H217" i="12"/>
  <c r="AC229" i="12"/>
  <c r="AB229" i="12"/>
  <c r="P229" i="12"/>
  <c r="AA229" i="12"/>
  <c r="O229" i="12"/>
  <c r="Z229" i="12"/>
  <c r="N229" i="12"/>
  <c r="L229" i="12"/>
  <c r="K229" i="12"/>
  <c r="Y229" i="12"/>
  <c r="J229" i="12"/>
  <c r="X229" i="12"/>
  <c r="I229" i="12"/>
  <c r="W229" i="12"/>
  <c r="H229" i="12"/>
  <c r="V229" i="12"/>
  <c r="G229" i="12"/>
  <c r="U229" i="12"/>
  <c r="T229" i="12"/>
  <c r="S229" i="12"/>
  <c r="R229" i="12"/>
  <c r="Q229" i="12"/>
  <c r="M229" i="12"/>
  <c r="F229" i="12"/>
  <c r="AC241" i="12"/>
  <c r="AB241" i="12"/>
  <c r="P241" i="12"/>
  <c r="AA241" i="12"/>
  <c r="O241" i="12"/>
  <c r="Z241" i="12"/>
  <c r="N241" i="12"/>
  <c r="X241" i="12"/>
  <c r="I241" i="12"/>
  <c r="W241" i="12"/>
  <c r="H241" i="12"/>
  <c r="V241" i="12"/>
  <c r="G241" i="12"/>
  <c r="U241" i="12"/>
  <c r="F241" i="12"/>
  <c r="T241" i="12"/>
  <c r="S241" i="12"/>
  <c r="R241" i="12"/>
  <c r="Q241" i="12"/>
  <c r="K241" i="12"/>
  <c r="J241" i="12"/>
  <c r="Y241" i="12"/>
  <c r="M241" i="12"/>
  <c r="L241" i="12"/>
  <c r="AC253" i="12"/>
  <c r="S253" i="12"/>
  <c r="G253" i="12"/>
  <c r="Q253" i="12"/>
  <c r="AB253" i="12"/>
  <c r="P253" i="12"/>
  <c r="V253" i="12"/>
  <c r="F253" i="12"/>
  <c r="U253" i="12"/>
  <c r="T253" i="12"/>
  <c r="R253" i="12"/>
  <c r="M253" i="12"/>
  <c r="H253" i="12"/>
  <c r="AA253" i="12"/>
  <c r="Z253" i="12"/>
  <c r="Y253" i="12"/>
  <c r="X253" i="12"/>
  <c r="W253" i="12"/>
  <c r="O253" i="12"/>
  <c r="N253" i="12"/>
  <c r="J253" i="12"/>
  <c r="I253" i="12"/>
  <c r="L253" i="12"/>
  <c r="K253" i="12"/>
  <c r="AC265" i="12"/>
  <c r="S265" i="12"/>
  <c r="G265" i="12"/>
  <c r="Q265" i="12"/>
  <c r="AB265" i="12"/>
  <c r="P265" i="12"/>
  <c r="R265" i="12"/>
  <c r="O265" i="12"/>
  <c r="N265" i="12"/>
  <c r="M265" i="12"/>
  <c r="AA265" i="12"/>
  <c r="L265" i="12"/>
  <c r="Z265" i="12"/>
  <c r="K265" i="12"/>
  <c r="Y265" i="12"/>
  <c r="J265" i="12"/>
  <c r="W265" i="12"/>
  <c r="V265" i="12"/>
  <c r="U265" i="12"/>
  <c r="T265" i="12"/>
  <c r="I265" i="12"/>
  <c r="H265" i="12"/>
  <c r="F265" i="12"/>
  <c r="X265" i="12"/>
  <c r="AC277" i="12"/>
  <c r="S277" i="12"/>
  <c r="G277" i="12"/>
  <c r="Q277" i="12"/>
  <c r="AB277" i="12"/>
  <c r="P277" i="12"/>
  <c r="AA277" i="12"/>
  <c r="O277" i="12"/>
  <c r="Z277" i="12"/>
  <c r="Y277" i="12"/>
  <c r="X277" i="12"/>
  <c r="L277" i="12"/>
  <c r="J277" i="12"/>
  <c r="I277" i="12"/>
  <c r="H277" i="12"/>
  <c r="F277" i="12"/>
  <c r="W277" i="12"/>
  <c r="V277" i="12"/>
  <c r="U277" i="12"/>
  <c r="K277" i="12"/>
  <c r="T277" i="12"/>
  <c r="R277" i="12"/>
  <c r="N277" i="12"/>
  <c r="M277" i="12"/>
  <c r="AC10" i="8"/>
  <c r="P10" i="8"/>
  <c r="G10" i="8"/>
  <c r="O10" i="8"/>
  <c r="N10" i="8"/>
  <c r="L10" i="8"/>
  <c r="M10" i="8"/>
  <c r="K10" i="8"/>
  <c r="J10" i="8"/>
  <c r="Q10" i="8"/>
  <c r="I10" i="8"/>
  <c r="H10" i="8"/>
  <c r="F10" i="8"/>
  <c r="AB10" i="8"/>
  <c r="Y10" i="8"/>
  <c r="Z10" i="8"/>
  <c r="V10" i="8"/>
  <c r="X10" i="8"/>
  <c r="T10" i="8"/>
  <c r="W10" i="8"/>
  <c r="AA10" i="8"/>
  <c r="U10" i="8"/>
  <c r="S10" i="8"/>
  <c r="R10" i="8"/>
  <c r="AC24" i="8"/>
  <c r="Y24" i="8"/>
  <c r="M24" i="8"/>
  <c r="X24" i="8"/>
  <c r="L24" i="8"/>
  <c r="W24" i="8"/>
  <c r="K24" i="8"/>
  <c r="AA24" i="8"/>
  <c r="V24" i="8"/>
  <c r="J24" i="8"/>
  <c r="U24" i="8"/>
  <c r="I24" i="8"/>
  <c r="Z24" i="8"/>
  <c r="T24" i="8"/>
  <c r="H24" i="8"/>
  <c r="S24" i="8"/>
  <c r="G24" i="8"/>
  <c r="F24" i="8"/>
  <c r="N24" i="8"/>
  <c r="R24" i="8"/>
  <c r="Q24" i="8"/>
  <c r="AB24" i="8"/>
  <c r="P24" i="8"/>
  <c r="O24" i="8"/>
  <c r="AC36" i="8"/>
  <c r="J36" i="8"/>
  <c r="I36" i="8"/>
  <c r="H36" i="8"/>
  <c r="G36" i="8"/>
  <c r="F36" i="8"/>
  <c r="Q36" i="8"/>
  <c r="L36" i="8"/>
  <c r="K36" i="8"/>
  <c r="P36" i="8"/>
  <c r="O36" i="8"/>
  <c r="N36" i="8"/>
  <c r="M36" i="8"/>
  <c r="AB36" i="8"/>
  <c r="Z36" i="8"/>
  <c r="Y36" i="8"/>
  <c r="S36" i="8"/>
  <c r="R36" i="8"/>
  <c r="V36" i="8"/>
  <c r="X36" i="8"/>
  <c r="U36" i="8"/>
  <c r="AA36" i="8"/>
  <c r="T36" i="8"/>
  <c r="W36" i="8"/>
  <c r="AC48" i="8"/>
  <c r="Q48" i="8"/>
  <c r="P48" i="8"/>
  <c r="O48" i="8"/>
  <c r="N48" i="8"/>
  <c r="M48" i="8"/>
  <c r="J48" i="8"/>
  <c r="L48" i="8"/>
  <c r="K48" i="8"/>
  <c r="I48" i="8"/>
  <c r="H48" i="8"/>
  <c r="G48" i="8"/>
  <c r="F48" i="8"/>
  <c r="AB48" i="8"/>
  <c r="Z48" i="8"/>
  <c r="Y48" i="8"/>
  <c r="AA48" i="8"/>
  <c r="R48" i="8"/>
  <c r="S48" i="8"/>
  <c r="U48" i="8"/>
  <c r="V48" i="8"/>
  <c r="X48" i="8"/>
  <c r="T48" i="8"/>
  <c r="W48" i="8"/>
  <c r="AC60" i="8"/>
  <c r="J60" i="8"/>
  <c r="I60" i="8"/>
  <c r="H60" i="8"/>
  <c r="G60" i="8"/>
  <c r="F60" i="8"/>
  <c r="Q60" i="8"/>
  <c r="P60" i="8"/>
  <c r="O60" i="8"/>
  <c r="M60" i="8"/>
  <c r="L60" i="8"/>
  <c r="K60" i="8"/>
  <c r="N60" i="8"/>
  <c r="AB60" i="8"/>
  <c r="Y60" i="8"/>
  <c r="Z60" i="8"/>
  <c r="R60" i="8"/>
  <c r="S60" i="8"/>
  <c r="U60" i="8"/>
  <c r="X60" i="8"/>
  <c r="V60" i="8"/>
  <c r="T60" i="8"/>
  <c r="W60" i="8"/>
  <c r="AA60" i="8"/>
  <c r="AC72" i="8"/>
  <c r="W72" i="8"/>
  <c r="K72" i="8"/>
  <c r="V72" i="8"/>
  <c r="J72" i="8"/>
  <c r="U72" i="8"/>
  <c r="I72" i="8"/>
  <c r="T72" i="8"/>
  <c r="H72" i="8"/>
  <c r="S72" i="8"/>
  <c r="G72" i="8"/>
  <c r="R72" i="8"/>
  <c r="F72" i="8"/>
  <c r="Q72" i="8"/>
  <c r="AB72" i="8"/>
  <c r="P72" i="8"/>
  <c r="AA72" i="8"/>
  <c r="O72" i="8"/>
  <c r="Z72" i="8"/>
  <c r="N72" i="8"/>
  <c r="Y72" i="8"/>
  <c r="X72" i="8"/>
  <c r="M72" i="8"/>
  <c r="L72" i="8"/>
  <c r="AC84" i="8"/>
  <c r="AB84" i="8"/>
  <c r="P84" i="8"/>
  <c r="AA84" i="8"/>
  <c r="O84" i="8"/>
  <c r="Z84" i="8"/>
  <c r="N84" i="8"/>
  <c r="Y84" i="8"/>
  <c r="M84" i="8"/>
  <c r="X84" i="8"/>
  <c r="L84" i="8"/>
  <c r="W84" i="8"/>
  <c r="K84" i="8"/>
  <c r="V84" i="8"/>
  <c r="J84" i="8"/>
  <c r="U84" i="8"/>
  <c r="I84" i="8"/>
  <c r="T84" i="8"/>
  <c r="H84" i="8"/>
  <c r="S84" i="8"/>
  <c r="G84" i="8"/>
  <c r="R84" i="8"/>
  <c r="Q84" i="8"/>
  <c r="F84" i="8"/>
  <c r="AC96" i="8"/>
  <c r="U96" i="8"/>
  <c r="I96" i="8"/>
  <c r="T96" i="8"/>
  <c r="H96" i="8"/>
  <c r="S96" i="8"/>
  <c r="G96" i="8"/>
  <c r="R96" i="8"/>
  <c r="F96" i="8"/>
  <c r="Q96" i="8"/>
  <c r="AB96" i="8"/>
  <c r="P96" i="8"/>
  <c r="AA96" i="8"/>
  <c r="O96" i="8"/>
  <c r="Z96" i="8"/>
  <c r="N96" i="8"/>
  <c r="Y96" i="8"/>
  <c r="M96" i="8"/>
  <c r="X96" i="8"/>
  <c r="L96" i="8"/>
  <c r="W96" i="8"/>
  <c r="V96" i="8"/>
  <c r="K96" i="8"/>
  <c r="J96" i="8"/>
  <c r="AC108" i="8"/>
  <c r="P108" i="8"/>
  <c r="O108" i="8"/>
  <c r="N108" i="8"/>
  <c r="M108" i="8"/>
  <c r="X108" i="8"/>
  <c r="L108" i="8"/>
  <c r="W108" i="8"/>
  <c r="K108" i="8"/>
  <c r="V108" i="8"/>
  <c r="J108" i="8"/>
  <c r="U108" i="8"/>
  <c r="I108" i="8"/>
  <c r="T108" i="8"/>
  <c r="H108" i="8"/>
  <c r="S108" i="8"/>
  <c r="G108" i="8"/>
  <c r="R108" i="8"/>
  <c r="Q108" i="8"/>
  <c r="F108" i="8"/>
  <c r="AB108" i="8"/>
  <c r="Z108" i="8"/>
  <c r="Y108" i="8"/>
  <c r="AA108" i="8"/>
  <c r="AC120" i="8"/>
  <c r="V120" i="8"/>
  <c r="J120" i="8"/>
  <c r="U120" i="8"/>
  <c r="I120" i="8"/>
  <c r="T120" i="8"/>
  <c r="H120" i="8"/>
  <c r="S120" i="8"/>
  <c r="G120" i="8"/>
  <c r="R120" i="8"/>
  <c r="F120" i="8"/>
  <c r="Q120" i="8"/>
  <c r="AB120" i="8"/>
  <c r="P120" i="8"/>
  <c r="AA120" i="8"/>
  <c r="O120" i="8"/>
  <c r="Z120" i="8"/>
  <c r="N120" i="8"/>
  <c r="Y120" i="8"/>
  <c r="M120" i="8"/>
  <c r="X120" i="8"/>
  <c r="W120" i="8"/>
  <c r="L120" i="8"/>
  <c r="K120" i="8"/>
  <c r="AC132" i="8"/>
  <c r="S132" i="8"/>
  <c r="G132" i="8"/>
  <c r="R132" i="8"/>
  <c r="F132" i="8"/>
  <c r="Q132" i="8"/>
  <c r="AB132" i="8"/>
  <c r="P132" i="8"/>
  <c r="AA132" i="8"/>
  <c r="O132" i="8"/>
  <c r="Z132" i="8"/>
  <c r="N132" i="8"/>
  <c r="Y132" i="8"/>
  <c r="M132" i="8"/>
  <c r="V132" i="8"/>
  <c r="U132" i="8"/>
  <c r="T132" i="8"/>
  <c r="L132" i="8"/>
  <c r="K132" i="8"/>
  <c r="J132" i="8"/>
  <c r="I132" i="8"/>
  <c r="H132" i="8"/>
  <c r="X132" i="8"/>
  <c r="W132" i="8"/>
  <c r="AC144" i="8"/>
  <c r="Q144" i="8"/>
  <c r="AB144" i="8"/>
  <c r="P144" i="8"/>
  <c r="AA144" i="8"/>
  <c r="O144" i="8"/>
  <c r="Z144" i="8"/>
  <c r="N144" i="8"/>
  <c r="Y144" i="8"/>
  <c r="M144" i="8"/>
  <c r="X144" i="8"/>
  <c r="L144" i="8"/>
  <c r="W144" i="8"/>
  <c r="K144" i="8"/>
  <c r="R144" i="8"/>
  <c r="J144" i="8"/>
  <c r="I144" i="8"/>
  <c r="H144" i="8"/>
  <c r="G144" i="8"/>
  <c r="F144" i="8"/>
  <c r="V144" i="8"/>
  <c r="U144" i="8"/>
  <c r="S144" i="8"/>
  <c r="T144" i="8"/>
  <c r="AC156" i="8"/>
  <c r="U156" i="8"/>
  <c r="I156" i="8"/>
  <c r="T156" i="8"/>
  <c r="H156" i="8"/>
  <c r="S156" i="8"/>
  <c r="G156" i="8"/>
  <c r="R156" i="8"/>
  <c r="F156" i="8"/>
  <c r="Q156" i="8"/>
  <c r="AB156" i="8"/>
  <c r="P156" i="8"/>
  <c r="AA156" i="8"/>
  <c r="O156" i="8"/>
  <c r="Z156" i="8"/>
  <c r="N156" i="8"/>
  <c r="Y156" i="8"/>
  <c r="M156" i="8"/>
  <c r="X156" i="8"/>
  <c r="L156" i="8"/>
  <c r="W156" i="8"/>
  <c r="V156" i="8"/>
  <c r="K156" i="8"/>
  <c r="J156" i="8"/>
  <c r="AC168" i="8"/>
  <c r="T168" i="8"/>
  <c r="H168" i="8"/>
  <c r="S168" i="8"/>
  <c r="G168" i="8"/>
  <c r="R168" i="8"/>
  <c r="F168" i="8"/>
  <c r="Q168" i="8"/>
  <c r="AB168" i="8"/>
  <c r="P168" i="8"/>
  <c r="AA168" i="8"/>
  <c r="O168" i="8"/>
  <c r="Z168" i="8"/>
  <c r="N168" i="8"/>
  <c r="Y168" i="8"/>
  <c r="M168" i="8"/>
  <c r="X168" i="8"/>
  <c r="L168" i="8"/>
  <c r="W168" i="8"/>
  <c r="K168" i="8"/>
  <c r="I168" i="8"/>
  <c r="V168" i="8"/>
  <c r="U168" i="8"/>
  <c r="J168" i="8"/>
  <c r="AC180" i="8"/>
  <c r="X180" i="8"/>
  <c r="L180" i="8"/>
  <c r="W180" i="8"/>
  <c r="K180" i="8"/>
  <c r="V180" i="8"/>
  <c r="J180" i="8"/>
  <c r="U180" i="8"/>
  <c r="I180" i="8"/>
  <c r="T180" i="8"/>
  <c r="H180" i="8"/>
  <c r="S180" i="8"/>
  <c r="G180" i="8"/>
  <c r="R180" i="8"/>
  <c r="F180" i="8"/>
  <c r="Q180" i="8"/>
  <c r="AB180" i="8"/>
  <c r="P180" i="8"/>
  <c r="AA180" i="8"/>
  <c r="O180" i="8"/>
  <c r="Z180" i="8"/>
  <c r="Y180" i="8"/>
  <c r="N180" i="8"/>
  <c r="M180" i="8"/>
  <c r="AC192" i="8"/>
  <c r="U192" i="8"/>
  <c r="I192" i="8"/>
  <c r="P192" i="8"/>
  <c r="AB192" i="8"/>
  <c r="O192" i="8"/>
  <c r="AA192" i="8"/>
  <c r="N192" i="8"/>
  <c r="Z192" i="8"/>
  <c r="M192" i="8"/>
  <c r="Y192" i="8"/>
  <c r="L192" i="8"/>
  <c r="X192" i="8"/>
  <c r="K192" i="8"/>
  <c r="W192" i="8"/>
  <c r="J192" i="8"/>
  <c r="V192" i="8"/>
  <c r="H192" i="8"/>
  <c r="T192" i="8"/>
  <c r="G192" i="8"/>
  <c r="S192" i="8"/>
  <c r="F192" i="8"/>
  <c r="R192" i="8"/>
  <c r="Q192" i="8"/>
  <c r="AC204" i="8"/>
  <c r="R204" i="8"/>
  <c r="F204" i="8"/>
  <c r="Z204" i="8"/>
  <c r="N204" i="8"/>
  <c r="X204" i="8"/>
  <c r="L204" i="8"/>
  <c r="V204" i="8"/>
  <c r="Q204" i="8"/>
  <c r="P204" i="8"/>
  <c r="O204" i="8"/>
  <c r="M204" i="8"/>
  <c r="K204" i="8"/>
  <c r="AB204" i="8"/>
  <c r="J204" i="8"/>
  <c r="AA204" i="8"/>
  <c r="I204" i="8"/>
  <c r="Y204" i="8"/>
  <c r="H204" i="8"/>
  <c r="W204" i="8"/>
  <c r="G204" i="8"/>
  <c r="U204" i="8"/>
  <c r="T204" i="8"/>
  <c r="S204" i="8"/>
  <c r="AC216" i="8"/>
  <c r="S216" i="8"/>
  <c r="G216" i="8"/>
  <c r="R216" i="8"/>
  <c r="F216" i="8"/>
  <c r="AB216" i="8"/>
  <c r="P216" i="8"/>
  <c r="AA216" i="8"/>
  <c r="O216" i="8"/>
  <c r="Z216" i="8"/>
  <c r="N216" i="8"/>
  <c r="Y216" i="8"/>
  <c r="M216" i="8"/>
  <c r="X216" i="8"/>
  <c r="L216" i="8"/>
  <c r="W216" i="8"/>
  <c r="K216" i="8"/>
  <c r="Q216" i="8"/>
  <c r="J216" i="8"/>
  <c r="I216" i="8"/>
  <c r="H216" i="8"/>
  <c r="V216" i="8"/>
  <c r="U216" i="8"/>
  <c r="T216" i="8"/>
  <c r="AC228" i="8"/>
  <c r="Y228" i="8"/>
  <c r="M228" i="8"/>
  <c r="X228" i="8"/>
  <c r="L228" i="8"/>
  <c r="W228" i="8"/>
  <c r="K228" i="8"/>
  <c r="V228" i="8"/>
  <c r="J228" i="8"/>
  <c r="U228" i="8"/>
  <c r="I228" i="8"/>
  <c r="T228" i="8"/>
  <c r="H228" i="8"/>
  <c r="S228" i="8"/>
  <c r="G228" i="8"/>
  <c r="R228" i="8"/>
  <c r="F228" i="8"/>
  <c r="Q228" i="8"/>
  <c r="O228" i="8"/>
  <c r="N228" i="8"/>
  <c r="AB228" i="8"/>
  <c r="AA228" i="8"/>
  <c r="Z228" i="8"/>
  <c r="P228" i="8"/>
  <c r="AC240" i="8"/>
  <c r="U240" i="8"/>
  <c r="I240" i="8"/>
  <c r="T240" i="8"/>
  <c r="H240" i="8"/>
  <c r="AB240" i="8"/>
  <c r="N240" i="8"/>
  <c r="AA240" i="8"/>
  <c r="M240" i="8"/>
  <c r="Z240" i="8"/>
  <c r="L240" i="8"/>
  <c r="Y240" i="8"/>
  <c r="K240" i="8"/>
  <c r="X240" i="8"/>
  <c r="J240" i="8"/>
  <c r="W240" i="8"/>
  <c r="G240" i="8"/>
  <c r="V240" i="8"/>
  <c r="F240" i="8"/>
  <c r="S240" i="8"/>
  <c r="R240" i="8"/>
  <c r="Q240" i="8"/>
  <c r="P240" i="8"/>
  <c r="O240" i="8"/>
  <c r="AC252" i="8"/>
  <c r="Y252" i="8"/>
  <c r="M252" i="8"/>
  <c r="X252" i="8"/>
  <c r="L252" i="8"/>
  <c r="T252" i="8"/>
  <c r="F252" i="8"/>
  <c r="S252" i="8"/>
  <c r="R252" i="8"/>
  <c r="Q252" i="8"/>
  <c r="P252" i="8"/>
  <c r="O252" i="8"/>
  <c r="AB252" i="8"/>
  <c r="N252" i="8"/>
  <c r="AA252" i="8"/>
  <c r="K252" i="8"/>
  <c r="Z252" i="8"/>
  <c r="J252" i="8"/>
  <c r="W252" i="8"/>
  <c r="I252" i="8"/>
  <c r="V252" i="8"/>
  <c r="U252" i="8"/>
  <c r="H252" i="8"/>
  <c r="G252" i="8"/>
  <c r="AC264" i="8"/>
  <c r="V264" i="8"/>
  <c r="J264" i="8"/>
  <c r="U264" i="8"/>
  <c r="I264" i="8"/>
  <c r="X264" i="8"/>
  <c r="Z264" i="8"/>
  <c r="K264" i="8"/>
  <c r="Y264" i="8"/>
  <c r="H264" i="8"/>
  <c r="W264" i="8"/>
  <c r="G264" i="8"/>
  <c r="T264" i="8"/>
  <c r="F264" i="8"/>
  <c r="S264" i="8"/>
  <c r="R264" i="8"/>
  <c r="Q264" i="8"/>
  <c r="P264" i="8"/>
  <c r="O264" i="8"/>
  <c r="N264" i="8"/>
  <c r="AB264" i="8"/>
  <c r="AA264" i="8"/>
  <c r="M264" i="8"/>
  <c r="L264" i="8"/>
  <c r="AC276" i="8"/>
  <c r="U276" i="8"/>
  <c r="I276" i="8"/>
  <c r="T276" i="8"/>
  <c r="H276" i="8"/>
  <c r="Y276" i="8"/>
  <c r="W276" i="8"/>
  <c r="K276" i="8"/>
  <c r="P276" i="8"/>
  <c r="O276" i="8"/>
  <c r="N276" i="8"/>
  <c r="M276" i="8"/>
  <c r="AB276" i="8"/>
  <c r="L276" i="8"/>
  <c r="AA276" i="8"/>
  <c r="J276" i="8"/>
  <c r="Z276" i="8"/>
  <c r="G276" i="8"/>
  <c r="X276" i="8"/>
  <c r="F276" i="8"/>
  <c r="V276" i="8"/>
  <c r="S276" i="8"/>
  <c r="R276" i="8"/>
  <c r="Q276" i="8"/>
  <c r="AC288" i="8"/>
  <c r="U288" i="8"/>
  <c r="I288" i="8"/>
  <c r="T288" i="8"/>
  <c r="H288" i="8"/>
  <c r="S288" i="8"/>
  <c r="G288" i="8"/>
  <c r="Y288" i="8"/>
  <c r="M288" i="8"/>
  <c r="X288" i="8"/>
  <c r="L288" i="8"/>
  <c r="W288" i="8"/>
  <c r="K288" i="8"/>
  <c r="N288" i="8"/>
  <c r="J288" i="8"/>
  <c r="F288" i="8"/>
  <c r="AB288" i="8"/>
  <c r="AA288" i="8"/>
  <c r="Z288" i="8"/>
  <c r="V288" i="8"/>
  <c r="R288" i="8"/>
  <c r="Q288" i="8"/>
  <c r="P288" i="8"/>
  <c r="O288" i="8"/>
  <c r="AC14" i="12"/>
  <c r="U14" i="12"/>
  <c r="I14" i="12"/>
  <c r="T14" i="12"/>
  <c r="H14" i="12"/>
  <c r="S14" i="12"/>
  <c r="G14" i="12"/>
  <c r="R14" i="12"/>
  <c r="F14" i="12"/>
  <c r="Q14" i="12"/>
  <c r="AB14" i="12"/>
  <c r="P14" i="12"/>
  <c r="AA14" i="12"/>
  <c r="O14" i="12"/>
  <c r="Z14" i="12"/>
  <c r="N14" i="12"/>
  <c r="Y14" i="12"/>
  <c r="M14" i="12"/>
  <c r="X14" i="12"/>
  <c r="L14" i="12"/>
  <c r="W14" i="12"/>
  <c r="V14" i="12"/>
  <c r="K14" i="12"/>
  <c r="J14" i="12"/>
  <c r="AC26" i="12"/>
  <c r="U26" i="12"/>
  <c r="I26" i="12"/>
  <c r="T26" i="12"/>
  <c r="H26" i="12"/>
  <c r="S26" i="12"/>
  <c r="G26" i="12"/>
  <c r="R26" i="12"/>
  <c r="F26" i="12"/>
  <c r="Q26" i="12"/>
  <c r="AB26" i="12"/>
  <c r="P26" i="12"/>
  <c r="AA26" i="12"/>
  <c r="O26" i="12"/>
  <c r="Z26" i="12"/>
  <c r="N26" i="12"/>
  <c r="Y26" i="12"/>
  <c r="M26" i="12"/>
  <c r="X26" i="12"/>
  <c r="L26" i="12"/>
  <c r="W26" i="12"/>
  <c r="V26" i="12"/>
  <c r="K26" i="12"/>
  <c r="J26" i="12"/>
  <c r="AC38" i="12"/>
  <c r="AB38" i="12"/>
  <c r="P38" i="12"/>
  <c r="AA38" i="12"/>
  <c r="O38" i="12"/>
  <c r="Z38" i="12"/>
  <c r="N38" i="12"/>
  <c r="Y38" i="12"/>
  <c r="M38" i="12"/>
  <c r="V38" i="12"/>
  <c r="J38" i="12"/>
  <c r="K38" i="12"/>
  <c r="I38" i="12"/>
  <c r="H38" i="12"/>
  <c r="G38" i="12"/>
  <c r="X38" i="12"/>
  <c r="F38" i="12"/>
  <c r="W38" i="12"/>
  <c r="U38" i="12"/>
  <c r="T38" i="12"/>
  <c r="S38" i="12"/>
  <c r="R38" i="12"/>
  <c r="Q38" i="12"/>
  <c r="L38" i="12"/>
  <c r="AC50" i="12"/>
  <c r="AB50" i="12"/>
  <c r="P50" i="12"/>
  <c r="AA50" i="12"/>
  <c r="O50" i="12"/>
  <c r="Z50" i="12"/>
  <c r="N50" i="12"/>
  <c r="Y50" i="12"/>
  <c r="M50" i="12"/>
  <c r="X50" i="12"/>
  <c r="L50" i="12"/>
  <c r="W50" i="12"/>
  <c r="K50" i="12"/>
  <c r="V50" i="12"/>
  <c r="J50" i="12"/>
  <c r="R50" i="12"/>
  <c r="Q50" i="12"/>
  <c r="I50" i="12"/>
  <c r="H50" i="12"/>
  <c r="G50" i="12"/>
  <c r="F50" i="12"/>
  <c r="U50" i="12"/>
  <c r="T50" i="12"/>
  <c r="S50" i="12"/>
  <c r="AC62" i="12"/>
  <c r="AB62" i="12"/>
  <c r="P62" i="12"/>
  <c r="AA62" i="12"/>
  <c r="O62" i="12"/>
  <c r="Z62" i="12"/>
  <c r="N62" i="12"/>
  <c r="Y62" i="12"/>
  <c r="M62" i="12"/>
  <c r="X62" i="12"/>
  <c r="L62" i="12"/>
  <c r="W62" i="12"/>
  <c r="K62" i="12"/>
  <c r="V62" i="12"/>
  <c r="J62" i="12"/>
  <c r="U62" i="12"/>
  <c r="I62" i="12"/>
  <c r="T62" i="12"/>
  <c r="H62" i="12"/>
  <c r="S62" i="12"/>
  <c r="G62" i="12"/>
  <c r="R62" i="12"/>
  <c r="Q62" i="12"/>
  <c r="F62" i="12"/>
  <c r="AC74" i="12"/>
  <c r="AB74" i="12"/>
  <c r="P74" i="12"/>
  <c r="AA74" i="12"/>
  <c r="O74" i="12"/>
  <c r="Z74" i="12"/>
  <c r="N74" i="12"/>
  <c r="Y74" i="12"/>
  <c r="M74" i="12"/>
  <c r="X74" i="12"/>
  <c r="L74" i="12"/>
  <c r="W74" i="12"/>
  <c r="K74" i="12"/>
  <c r="V74" i="12"/>
  <c r="J74" i="12"/>
  <c r="U74" i="12"/>
  <c r="I74" i="12"/>
  <c r="T74" i="12"/>
  <c r="H74" i="12"/>
  <c r="S74" i="12"/>
  <c r="G74" i="12"/>
  <c r="R74" i="12"/>
  <c r="Q74" i="12"/>
  <c r="F74" i="12"/>
  <c r="AC86" i="12"/>
  <c r="W86" i="12"/>
  <c r="K86" i="12"/>
  <c r="V86" i="12"/>
  <c r="J86" i="12"/>
  <c r="U86" i="12"/>
  <c r="I86" i="12"/>
  <c r="T86" i="12"/>
  <c r="H86" i="12"/>
  <c r="X86" i="12"/>
  <c r="S86" i="12"/>
  <c r="R86" i="12"/>
  <c r="Q86" i="12"/>
  <c r="P86" i="12"/>
  <c r="O86" i="12"/>
  <c r="N86" i="12"/>
  <c r="M86" i="12"/>
  <c r="AB86" i="12"/>
  <c r="L86" i="12"/>
  <c r="AA86" i="12"/>
  <c r="G86" i="12"/>
  <c r="Z86" i="12"/>
  <c r="Y86" i="12"/>
  <c r="F86" i="12"/>
  <c r="AC98" i="12"/>
  <c r="W98" i="12"/>
  <c r="K98" i="12"/>
  <c r="V98" i="12"/>
  <c r="J98" i="12"/>
  <c r="U98" i="12"/>
  <c r="I98" i="12"/>
  <c r="T98" i="12"/>
  <c r="H98" i="12"/>
  <c r="AB98" i="12"/>
  <c r="P98" i="12"/>
  <c r="R98" i="12"/>
  <c r="Q98" i="12"/>
  <c r="O98" i="12"/>
  <c r="N98" i="12"/>
  <c r="M98" i="12"/>
  <c r="L98" i="12"/>
  <c r="G98" i="12"/>
  <c r="AA98" i="12"/>
  <c r="F98" i="12"/>
  <c r="Z98" i="12"/>
  <c r="Y98" i="12"/>
  <c r="X98" i="12"/>
  <c r="S98" i="12"/>
  <c r="AC110" i="12"/>
  <c r="X110" i="12"/>
  <c r="L110" i="12"/>
  <c r="W110" i="12"/>
  <c r="K110" i="12"/>
  <c r="U110" i="12"/>
  <c r="G110" i="12"/>
  <c r="T110" i="12"/>
  <c r="F110" i="12"/>
  <c r="S110" i="12"/>
  <c r="R110" i="12"/>
  <c r="Q110" i="12"/>
  <c r="P110" i="12"/>
  <c r="O110" i="12"/>
  <c r="AB110" i="12"/>
  <c r="N110" i="12"/>
  <c r="Z110" i="12"/>
  <c r="J110" i="12"/>
  <c r="AA110" i="12"/>
  <c r="Y110" i="12"/>
  <c r="V110" i="12"/>
  <c r="M110" i="12"/>
  <c r="I110" i="12"/>
  <c r="H110" i="12"/>
  <c r="AC122" i="12"/>
  <c r="X122" i="12"/>
  <c r="L122" i="12"/>
  <c r="W122" i="12"/>
  <c r="K122" i="12"/>
  <c r="V122" i="12"/>
  <c r="J122" i="12"/>
  <c r="Z122" i="12"/>
  <c r="H122" i="12"/>
  <c r="Y122" i="12"/>
  <c r="G122" i="12"/>
  <c r="U122" i="12"/>
  <c r="F122" i="12"/>
  <c r="T122" i="12"/>
  <c r="S122" i="12"/>
  <c r="R122" i="12"/>
  <c r="Q122" i="12"/>
  <c r="P122" i="12"/>
  <c r="O122" i="12"/>
  <c r="N122" i="12"/>
  <c r="AB122" i="12"/>
  <c r="AA122" i="12"/>
  <c r="M122" i="12"/>
  <c r="I122" i="12"/>
  <c r="AC134" i="12"/>
  <c r="X134" i="12"/>
  <c r="L134" i="12"/>
  <c r="W134" i="12"/>
  <c r="K134" i="12"/>
  <c r="V134" i="12"/>
  <c r="J134" i="12"/>
  <c r="U134" i="12"/>
  <c r="I134" i="12"/>
  <c r="T134" i="12"/>
  <c r="H134" i="12"/>
  <c r="S134" i="12"/>
  <c r="G134" i="12"/>
  <c r="M134" i="12"/>
  <c r="F134" i="12"/>
  <c r="AB134" i="12"/>
  <c r="AA134" i="12"/>
  <c r="Z134" i="12"/>
  <c r="Y134" i="12"/>
  <c r="R134" i="12"/>
  <c r="Q134" i="12"/>
  <c r="P134" i="12"/>
  <c r="O134" i="12"/>
  <c r="N134" i="12"/>
  <c r="AC146" i="12"/>
  <c r="AA146" i="12"/>
  <c r="O146" i="12"/>
  <c r="Z146" i="12"/>
  <c r="N146" i="12"/>
  <c r="AB146" i="12"/>
  <c r="L146" i="12"/>
  <c r="Y146" i="12"/>
  <c r="K146" i="12"/>
  <c r="X146" i="12"/>
  <c r="J146" i="12"/>
  <c r="W146" i="12"/>
  <c r="I146" i="12"/>
  <c r="V146" i="12"/>
  <c r="H146" i="12"/>
  <c r="U146" i="12"/>
  <c r="G146" i="12"/>
  <c r="T146" i="12"/>
  <c r="S146" i="12"/>
  <c r="R146" i="12"/>
  <c r="Q146" i="12"/>
  <c r="P146" i="12"/>
  <c r="M146" i="12"/>
  <c r="F146" i="12"/>
  <c r="AC158" i="12"/>
  <c r="AB158" i="12"/>
  <c r="P158" i="12"/>
  <c r="AA158" i="12"/>
  <c r="O158" i="12"/>
  <c r="Z158" i="12"/>
  <c r="N158" i="12"/>
  <c r="Y158" i="12"/>
  <c r="M158" i="12"/>
  <c r="V158" i="12"/>
  <c r="J158" i="12"/>
  <c r="U158" i="12"/>
  <c r="I158" i="12"/>
  <c r="X158" i="12"/>
  <c r="W158" i="12"/>
  <c r="T158" i="12"/>
  <c r="S158" i="12"/>
  <c r="R158" i="12"/>
  <c r="Q158" i="12"/>
  <c r="L158" i="12"/>
  <c r="K158" i="12"/>
  <c r="H158" i="12"/>
  <c r="G158" i="12"/>
  <c r="F158" i="12"/>
  <c r="AC170" i="12"/>
  <c r="W170" i="12"/>
  <c r="K170" i="12"/>
  <c r="V170" i="12"/>
  <c r="J170" i="12"/>
  <c r="O170" i="12"/>
  <c r="AB170" i="12"/>
  <c r="N170" i="12"/>
  <c r="AA170" i="12"/>
  <c r="M170" i="12"/>
  <c r="Z170" i="12"/>
  <c r="L170" i="12"/>
  <c r="X170" i="12"/>
  <c r="H170" i="12"/>
  <c r="U170" i="12"/>
  <c r="G170" i="12"/>
  <c r="T170" i="12"/>
  <c r="F170" i="12"/>
  <c r="Y170" i="12"/>
  <c r="S170" i="12"/>
  <c r="R170" i="12"/>
  <c r="Q170" i="12"/>
  <c r="P170" i="12"/>
  <c r="I170" i="12"/>
  <c r="AC182" i="12"/>
  <c r="W182" i="12"/>
  <c r="K182" i="12"/>
  <c r="V182" i="12"/>
  <c r="J182" i="12"/>
  <c r="U182" i="12"/>
  <c r="I182" i="12"/>
  <c r="Z182" i="12"/>
  <c r="H182" i="12"/>
  <c r="Y182" i="12"/>
  <c r="G182" i="12"/>
  <c r="X182" i="12"/>
  <c r="F182" i="12"/>
  <c r="T182" i="12"/>
  <c r="S182" i="12"/>
  <c r="R182" i="12"/>
  <c r="Q182" i="12"/>
  <c r="P182" i="12"/>
  <c r="AB182" i="12"/>
  <c r="AA182" i="12"/>
  <c r="O182" i="12"/>
  <c r="N182" i="12"/>
  <c r="M182" i="12"/>
  <c r="L182" i="12"/>
  <c r="AC194" i="12"/>
  <c r="T194" i="12"/>
  <c r="H194" i="12"/>
  <c r="S194" i="12"/>
  <c r="R194" i="12"/>
  <c r="Q194" i="12"/>
  <c r="P194" i="12"/>
  <c r="O194" i="12"/>
  <c r="AA194" i="12"/>
  <c r="M194" i="12"/>
  <c r="Z194" i="12"/>
  <c r="L194" i="12"/>
  <c r="V194" i="12"/>
  <c r="U194" i="12"/>
  <c r="N194" i="12"/>
  <c r="K194" i="12"/>
  <c r="J194" i="12"/>
  <c r="I194" i="12"/>
  <c r="G194" i="12"/>
  <c r="F194" i="12"/>
  <c r="AB194" i="12"/>
  <c r="Y194" i="12"/>
  <c r="X194" i="12"/>
  <c r="W194" i="12"/>
  <c r="AC206" i="12"/>
  <c r="Q206" i="12"/>
  <c r="X206" i="12"/>
  <c r="K206" i="12"/>
  <c r="W206" i="12"/>
  <c r="J206" i="12"/>
  <c r="R206" i="12"/>
  <c r="P206" i="12"/>
  <c r="O206" i="12"/>
  <c r="N206" i="12"/>
  <c r="AB206" i="12"/>
  <c r="M206" i="12"/>
  <c r="AA206" i="12"/>
  <c r="L206" i="12"/>
  <c r="Z206" i="12"/>
  <c r="I206" i="12"/>
  <c r="Y206" i="12"/>
  <c r="H206" i="12"/>
  <c r="V206" i="12"/>
  <c r="U206" i="12"/>
  <c r="T206" i="12"/>
  <c r="S206" i="12"/>
  <c r="G206" i="12"/>
  <c r="F206" i="12"/>
  <c r="AC218" i="12"/>
  <c r="Q218" i="12"/>
  <c r="W218" i="12"/>
  <c r="J218" i="12"/>
  <c r="V218" i="12"/>
  <c r="I218" i="12"/>
  <c r="S218" i="12"/>
  <c r="F218" i="12"/>
  <c r="O218" i="12"/>
  <c r="N218" i="12"/>
  <c r="M218" i="12"/>
  <c r="AB218" i="12"/>
  <c r="L218" i="12"/>
  <c r="AA218" i="12"/>
  <c r="K218" i="12"/>
  <c r="Z218" i="12"/>
  <c r="H218" i="12"/>
  <c r="Y218" i="12"/>
  <c r="G218" i="12"/>
  <c r="X218" i="12"/>
  <c r="U218" i="12"/>
  <c r="T218" i="12"/>
  <c r="R218" i="12"/>
  <c r="P218" i="12"/>
  <c r="AC230" i="12"/>
  <c r="Q230" i="12"/>
  <c r="AB230" i="12"/>
  <c r="P230" i="12"/>
  <c r="AA230" i="12"/>
  <c r="O230" i="12"/>
  <c r="V230" i="12"/>
  <c r="G230" i="12"/>
  <c r="U230" i="12"/>
  <c r="F230" i="12"/>
  <c r="T230" i="12"/>
  <c r="S230" i="12"/>
  <c r="R230" i="12"/>
  <c r="N230" i="12"/>
  <c r="Z230" i="12"/>
  <c r="Y230" i="12"/>
  <c r="X230" i="12"/>
  <c r="W230" i="12"/>
  <c r="M230" i="12"/>
  <c r="L230" i="12"/>
  <c r="K230" i="12"/>
  <c r="J230" i="12"/>
  <c r="I230" i="12"/>
  <c r="H230" i="12"/>
  <c r="AC242" i="12"/>
  <c r="T242" i="12"/>
  <c r="Q242" i="12"/>
  <c r="P242" i="12"/>
  <c r="AB242" i="12"/>
  <c r="O242" i="12"/>
  <c r="S242" i="12"/>
  <c r="R242" i="12"/>
  <c r="N242" i="12"/>
  <c r="M242" i="12"/>
  <c r="L242" i="12"/>
  <c r="AA242" i="12"/>
  <c r="K242" i="12"/>
  <c r="Z242" i="12"/>
  <c r="J242" i="12"/>
  <c r="Y242" i="12"/>
  <c r="I242" i="12"/>
  <c r="X242" i="12"/>
  <c r="W242" i="12"/>
  <c r="V242" i="12"/>
  <c r="U242" i="12"/>
  <c r="H242" i="12"/>
  <c r="G242" i="12"/>
  <c r="F242" i="12"/>
  <c r="AC254" i="12"/>
  <c r="T254" i="12"/>
  <c r="H254" i="12"/>
  <c r="R254" i="12"/>
  <c r="F254" i="12"/>
  <c r="Q254" i="12"/>
  <c r="N254" i="12"/>
  <c r="AB254" i="12"/>
  <c r="M254" i="12"/>
  <c r="AA254" i="12"/>
  <c r="L254" i="12"/>
  <c r="Z254" i="12"/>
  <c r="K254" i="12"/>
  <c r="W254" i="12"/>
  <c r="G254" i="12"/>
  <c r="I254" i="12"/>
  <c r="Y254" i="12"/>
  <c r="X254" i="12"/>
  <c r="V254" i="12"/>
  <c r="U254" i="12"/>
  <c r="S254" i="12"/>
  <c r="P254" i="12"/>
  <c r="O254" i="12"/>
  <c r="J254" i="12"/>
  <c r="AC266" i="12"/>
  <c r="T266" i="12"/>
  <c r="H266" i="12"/>
  <c r="R266" i="12"/>
  <c r="F266" i="12"/>
  <c r="Q266" i="12"/>
  <c r="Z266" i="12"/>
  <c r="K266" i="12"/>
  <c r="Y266" i="12"/>
  <c r="J266" i="12"/>
  <c r="X266" i="12"/>
  <c r="I266" i="12"/>
  <c r="W266" i="12"/>
  <c r="G266" i="12"/>
  <c r="V266" i="12"/>
  <c r="U266" i="12"/>
  <c r="S266" i="12"/>
  <c r="AB266" i="12"/>
  <c r="AA266" i="12"/>
  <c r="P266" i="12"/>
  <c r="O266" i="12"/>
  <c r="L266" i="12"/>
  <c r="N266" i="12"/>
  <c r="M266" i="12"/>
  <c r="AC278" i="12"/>
  <c r="T278" i="12"/>
  <c r="H278" i="12"/>
  <c r="R278" i="12"/>
  <c r="F278" i="12"/>
  <c r="Q278" i="12"/>
  <c r="AB278" i="12"/>
  <c r="P278" i="12"/>
  <c r="AA278" i="12"/>
  <c r="O278" i="12"/>
  <c r="Z278" i="12"/>
  <c r="N278" i="12"/>
  <c r="Y278" i="12"/>
  <c r="M278" i="12"/>
  <c r="K278" i="12"/>
  <c r="J278" i="12"/>
  <c r="I278" i="12"/>
  <c r="G278" i="12"/>
  <c r="X278" i="12"/>
  <c r="W278" i="12"/>
  <c r="V278" i="12"/>
  <c r="U278" i="12"/>
  <c r="S278" i="12"/>
  <c r="L278" i="12"/>
  <c r="D39" i="2"/>
  <c r="AC13" i="8"/>
  <c r="AB13" i="8"/>
  <c r="P13" i="8"/>
  <c r="W13" i="8"/>
  <c r="R13" i="8"/>
  <c r="AA13" i="8"/>
  <c r="O13" i="8"/>
  <c r="X13" i="8"/>
  <c r="Z13" i="8"/>
  <c r="N13" i="8"/>
  <c r="F13" i="8"/>
  <c r="Y13" i="8"/>
  <c r="M13" i="8"/>
  <c r="Q13" i="8"/>
  <c r="L13" i="8"/>
  <c r="I13" i="8"/>
  <c r="G13" i="8"/>
  <c r="K13" i="8"/>
  <c r="V13" i="8"/>
  <c r="J13" i="8"/>
  <c r="U13" i="8"/>
  <c r="H13" i="8"/>
  <c r="T13" i="8"/>
  <c r="S13" i="8"/>
  <c r="AC25" i="8"/>
  <c r="Z25" i="8"/>
  <c r="N25" i="8"/>
  <c r="AB25" i="8"/>
  <c r="Y25" i="8"/>
  <c r="M25" i="8"/>
  <c r="X25" i="8"/>
  <c r="L25" i="8"/>
  <c r="W25" i="8"/>
  <c r="K25" i="8"/>
  <c r="O25" i="8"/>
  <c r="V25" i="8"/>
  <c r="J25" i="8"/>
  <c r="U25" i="8"/>
  <c r="I25" i="8"/>
  <c r="P25" i="8"/>
  <c r="AA25" i="8"/>
  <c r="T25" i="8"/>
  <c r="H25" i="8"/>
  <c r="S25" i="8"/>
  <c r="G25" i="8"/>
  <c r="R25" i="8"/>
  <c r="F25" i="8"/>
  <c r="Q25" i="8"/>
  <c r="AC37" i="8"/>
  <c r="V37" i="8"/>
  <c r="J37" i="8"/>
  <c r="L37" i="8"/>
  <c r="U37" i="8"/>
  <c r="I37" i="8"/>
  <c r="T37" i="8"/>
  <c r="H37" i="8"/>
  <c r="S37" i="8"/>
  <c r="G37" i="8"/>
  <c r="X37" i="8"/>
  <c r="K37" i="8"/>
  <c r="R37" i="8"/>
  <c r="F37" i="8"/>
  <c r="W37" i="8"/>
  <c r="Q37" i="8"/>
  <c r="AB37" i="8"/>
  <c r="P37" i="8"/>
  <c r="AA37" i="8"/>
  <c r="O37" i="8"/>
  <c r="Z37" i="8"/>
  <c r="N37" i="8"/>
  <c r="Y37" i="8"/>
  <c r="M37" i="8"/>
  <c r="AC49" i="8"/>
  <c r="Q49" i="8"/>
  <c r="AB49" i="8"/>
  <c r="P49" i="8"/>
  <c r="AA49" i="8"/>
  <c r="O49" i="8"/>
  <c r="Z49" i="8"/>
  <c r="N49" i="8"/>
  <c r="Y49" i="8"/>
  <c r="M49" i="8"/>
  <c r="V49" i="8"/>
  <c r="J49" i="8"/>
  <c r="F49" i="8"/>
  <c r="X49" i="8"/>
  <c r="W49" i="8"/>
  <c r="U49" i="8"/>
  <c r="T49" i="8"/>
  <c r="S49" i="8"/>
  <c r="H49" i="8"/>
  <c r="R49" i="8"/>
  <c r="G49" i="8"/>
  <c r="L49" i="8"/>
  <c r="K49" i="8"/>
  <c r="I49" i="8"/>
  <c r="AC61" i="8"/>
  <c r="J61" i="8"/>
  <c r="I61" i="8"/>
  <c r="H61" i="8"/>
  <c r="V61" i="8"/>
  <c r="G61" i="8"/>
  <c r="U61" i="8"/>
  <c r="F61" i="8"/>
  <c r="Q61" i="8"/>
  <c r="P61" i="8"/>
  <c r="O61" i="8"/>
  <c r="N61" i="8"/>
  <c r="M61" i="8"/>
  <c r="K61" i="8"/>
  <c r="L61" i="8"/>
  <c r="AB61" i="8"/>
  <c r="Y61" i="8"/>
  <c r="Z61" i="8"/>
  <c r="S61" i="8"/>
  <c r="X61" i="8"/>
  <c r="T61" i="8"/>
  <c r="W61" i="8"/>
  <c r="AA61" i="8"/>
  <c r="R61" i="8"/>
  <c r="AC73" i="8"/>
  <c r="X73" i="8"/>
  <c r="L73" i="8"/>
  <c r="W73" i="8"/>
  <c r="K73" i="8"/>
  <c r="V73" i="8"/>
  <c r="J73" i="8"/>
  <c r="U73" i="8"/>
  <c r="I73" i="8"/>
  <c r="T73" i="8"/>
  <c r="H73" i="8"/>
  <c r="S73" i="8"/>
  <c r="G73" i="8"/>
  <c r="R73" i="8"/>
  <c r="F73" i="8"/>
  <c r="Q73" i="8"/>
  <c r="AB73" i="8"/>
  <c r="P73" i="8"/>
  <c r="AA73" i="8"/>
  <c r="O73" i="8"/>
  <c r="Z73" i="8"/>
  <c r="Y73" i="8"/>
  <c r="N73" i="8"/>
  <c r="M73" i="8"/>
  <c r="AC85" i="8"/>
  <c r="Q85" i="8"/>
  <c r="P85" i="8"/>
  <c r="O85" i="8"/>
  <c r="N85" i="8"/>
  <c r="M85" i="8"/>
  <c r="L85" i="8"/>
  <c r="K85" i="8"/>
  <c r="J85" i="8"/>
  <c r="I85" i="8"/>
  <c r="H85" i="8"/>
  <c r="F85" i="8"/>
  <c r="G85" i="8"/>
  <c r="AB85" i="8"/>
  <c r="Y85" i="8"/>
  <c r="Z85" i="8"/>
  <c r="T85" i="8"/>
  <c r="V85" i="8"/>
  <c r="AA85" i="8"/>
  <c r="X85" i="8"/>
  <c r="R85" i="8"/>
  <c r="W85" i="8"/>
  <c r="S85" i="8"/>
  <c r="U85" i="8"/>
  <c r="AC97" i="8"/>
  <c r="J97" i="8"/>
  <c r="I97" i="8"/>
  <c r="H97" i="8"/>
  <c r="G97" i="8"/>
  <c r="F97" i="8"/>
  <c r="Q97" i="8"/>
  <c r="P97" i="8"/>
  <c r="O97" i="8"/>
  <c r="N97" i="8"/>
  <c r="M97" i="8"/>
  <c r="L97" i="8"/>
  <c r="K97" i="8"/>
  <c r="AB97" i="8"/>
  <c r="Z97" i="8"/>
  <c r="Y97" i="8"/>
  <c r="S97" i="8"/>
  <c r="X97" i="8"/>
  <c r="U97" i="8"/>
  <c r="V97" i="8"/>
  <c r="W97" i="8"/>
  <c r="T97" i="8"/>
  <c r="R97" i="8"/>
  <c r="AA97" i="8"/>
  <c r="AC109" i="8"/>
  <c r="I109" i="8"/>
  <c r="H109" i="8"/>
  <c r="G109" i="8"/>
  <c r="F109" i="8"/>
  <c r="Q109" i="8"/>
  <c r="P109" i="8"/>
  <c r="O109" i="8"/>
  <c r="N109" i="8"/>
  <c r="M109" i="8"/>
  <c r="L109" i="8"/>
  <c r="J109" i="8"/>
  <c r="K109" i="8"/>
  <c r="AB109" i="8"/>
  <c r="Y109" i="8"/>
  <c r="Z109" i="8"/>
  <c r="U109" i="8"/>
  <c r="T109" i="8"/>
  <c r="V109" i="8"/>
  <c r="W109" i="8"/>
  <c r="X109" i="8"/>
  <c r="R109" i="8"/>
  <c r="AA109" i="8"/>
  <c r="S109" i="8"/>
  <c r="AC121" i="8"/>
  <c r="Y121" i="8"/>
  <c r="K121" i="8"/>
  <c r="X121" i="8"/>
  <c r="J121" i="8"/>
  <c r="W121" i="8"/>
  <c r="I121" i="8"/>
  <c r="V121" i="8"/>
  <c r="H121" i="8"/>
  <c r="U121" i="8"/>
  <c r="G121" i="8"/>
  <c r="R121" i="8"/>
  <c r="F121" i="8"/>
  <c r="Q121" i="8"/>
  <c r="P121" i="8"/>
  <c r="O121" i="8"/>
  <c r="AB121" i="8"/>
  <c r="N121" i="8"/>
  <c r="AA121" i="8"/>
  <c r="Z121" i="8"/>
  <c r="M121" i="8"/>
  <c r="L121" i="8"/>
  <c r="T121" i="8"/>
  <c r="S121" i="8"/>
  <c r="AC133" i="8"/>
  <c r="W133" i="8"/>
  <c r="H133" i="8"/>
  <c r="V133" i="8"/>
  <c r="G133" i="8"/>
  <c r="U133" i="8"/>
  <c r="F133" i="8"/>
  <c r="Q133" i="8"/>
  <c r="P133" i="8"/>
  <c r="O133" i="8"/>
  <c r="N133" i="8"/>
  <c r="AB133" i="8"/>
  <c r="AA133" i="8"/>
  <c r="Z133" i="8"/>
  <c r="Y133" i="8"/>
  <c r="X133" i="8"/>
  <c r="M133" i="8"/>
  <c r="L133" i="8"/>
  <c r="K133" i="8"/>
  <c r="J133" i="8"/>
  <c r="I133" i="8"/>
  <c r="R133" i="8"/>
  <c r="S133" i="8"/>
  <c r="T133" i="8"/>
  <c r="AC145" i="8"/>
  <c r="R145" i="8"/>
  <c r="F145" i="8"/>
  <c r="Q145" i="8"/>
  <c r="AB145" i="8"/>
  <c r="P145" i="8"/>
  <c r="AA145" i="8"/>
  <c r="O145" i="8"/>
  <c r="Z145" i="8"/>
  <c r="N145" i="8"/>
  <c r="Y145" i="8"/>
  <c r="M145" i="8"/>
  <c r="X145" i="8"/>
  <c r="L145" i="8"/>
  <c r="U145" i="8"/>
  <c r="T145" i="8"/>
  <c r="S145" i="8"/>
  <c r="K145" i="8"/>
  <c r="J145" i="8"/>
  <c r="I145" i="8"/>
  <c r="H145" i="8"/>
  <c r="G145" i="8"/>
  <c r="W145" i="8"/>
  <c r="V145" i="8"/>
  <c r="AC157" i="8"/>
  <c r="V157" i="8"/>
  <c r="J157" i="8"/>
  <c r="U157" i="8"/>
  <c r="I157" i="8"/>
  <c r="T157" i="8"/>
  <c r="H157" i="8"/>
  <c r="S157" i="8"/>
  <c r="G157" i="8"/>
  <c r="R157" i="8"/>
  <c r="F157" i="8"/>
  <c r="Q157" i="8"/>
  <c r="AB157" i="8"/>
  <c r="P157" i="8"/>
  <c r="AA157" i="8"/>
  <c r="O157" i="8"/>
  <c r="Z157" i="8"/>
  <c r="N157" i="8"/>
  <c r="Y157" i="8"/>
  <c r="M157" i="8"/>
  <c r="X157" i="8"/>
  <c r="W157" i="8"/>
  <c r="L157" i="8"/>
  <c r="K157" i="8"/>
  <c r="AC169" i="8"/>
  <c r="I169" i="8"/>
  <c r="H169" i="8"/>
  <c r="G169" i="8"/>
  <c r="F169" i="8"/>
  <c r="Q169" i="8"/>
  <c r="P169" i="8"/>
  <c r="O169" i="8"/>
  <c r="N169" i="8"/>
  <c r="M169" i="8"/>
  <c r="L169" i="8"/>
  <c r="K169" i="8"/>
  <c r="J169" i="8"/>
  <c r="AB169" i="8"/>
  <c r="Y169" i="8"/>
  <c r="Z169" i="8"/>
  <c r="S169" i="8"/>
  <c r="T169" i="8"/>
  <c r="X169" i="8"/>
  <c r="W169" i="8"/>
  <c r="V169" i="8"/>
  <c r="U169" i="8"/>
  <c r="AA169" i="8"/>
  <c r="R169" i="8"/>
  <c r="AC181" i="8"/>
  <c r="Y181" i="8"/>
  <c r="M181" i="8"/>
  <c r="X181" i="8"/>
  <c r="L181" i="8"/>
  <c r="W181" i="8"/>
  <c r="K181" i="8"/>
  <c r="V181" i="8"/>
  <c r="J181" i="8"/>
  <c r="U181" i="8"/>
  <c r="I181" i="8"/>
  <c r="T181" i="8"/>
  <c r="H181" i="8"/>
  <c r="S181" i="8"/>
  <c r="G181" i="8"/>
  <c r="R181" i="8"/>
  <c r="F181" i="8"/>
  <c r="Q181" i="8"/>
  <c r="AB181" i="8"/>
  <c r="P181" i="8"/>
  <c r="AA181" i="8"/>
  <c r="Z181" i="8"/>
  <c r="O181" i="8"/>
  <c r="N181" i="8"/>
  <c r="AC193" i="8"/>
  <c r="V193" i="8"/>
  <c r="J193" i="8"/>
  <c r="S193" i="8"/>
  <c r="F193" i="8"/>
  <c r="R193" i="8"/>
  <c r="Q193" i="8"/>
  <c r="P193" i="8"/>
  <c r="AB193" i="8"/>
  <c r="O193" i="8"/>
  <c r="AA193" i="8"/>
  <c r="N193" i="8"/>
  <c r="Z193" i="8"/>
  <c r="M193" i="8"/>
  <c r="Y193" i="8"/>
  <c r="L193" i="8"/>
  <c r="X193" i="8"/>
  <c r="K193" i="8"/>
  <c r="W193" i="8"/>
  <c r="I193" i="8"/>
  <c r="G193" i="8"/>
  <c r="U193" i="8"/>
  <c r="T193" i="8"/>
  <c r="H193" i="8"/>
  <c r="AC205" i="8"/>
  <c r="S205" i="8"/>
  <c r="G205" i="8"/>
  <c r="AB205" i="8"/>
  <c r="P205" i="8"/>
  <c r="AA205" i="8"/>
  <c r="O205" i="8"/>
  <c r="Y205" i="8"/>
  <c r="M205" i="8"/>
  <c r="W205" i="8"/>
  <c r="K205" i="8"/>
  <c r="L205" i="8"/>
  <c r="J205" i="8"/>
  <c r="I205" i="8"/>
  <c r="H205" i="8"/>
  <c r="Z205" i="8"/>
  <c r="F205" i="8"/>
  <c r="X205" i="8"/>
  <c r="V205" i="8"/>
  <c r="U205" i="8"/>
  <c r="T205" i="8"/>
  <c r="R205" i="8"/>
  <c r="N205" i="8"/>
  <c r="Q205" i="8"/>
  <c r="AC217" i="8"/>
  <c r="T217" i="8"/>
  <c r="H217" i="8"/>
  <c r="S217" i="8"/>
  <c r="G217" i="8"/>
  <c r="R217" i="8"/>
  <c r="Q217" i="8"/>
  <c r="AB217" i="8"/>
  <c r="P217" i="8"/>
  <c r="AA217" i="8"/>
  <c r="O217" i="8"/>
  <c r="Z217" i="8"/>
  <c r="N217" i="8"/>
  <c r="Y217" i="8"/>
  <c r="M217" i="8"/>
  <c r="X217" i="8"/>
  <c r="L217" i="8"/>
  <c r="W217" i="8"/>
  <c r="V217" i="8"/>
  <c r="U217" i="8"/>
  <c r="K217" i="8"/>
  <c r="J217" i="8"/>
  <c r="I217" i="8"/>
  <c r="F217" i="8"/>
  <c r="AC229" i="8"/>
  <c r="N229" i="8"/>
  <c r="M229" i="8"/>
  <c r="L229" i="8"/>
  <c r="K229" i="8"/>
  <c r="J229" i="8"/>
  <c r="I229" i="8"/>
  <c r="H229" i="8"/>
  <c r="G229" i="8"/>
  <c r="U229" i="8"/>
  <c r="F229" i="8"/>
  <c r="Q229" i="8"/>
  <c r="P229" i="8"/>
  <c r="O229" i="8"/>
  <c r="AB229" i="8"/>
  <c r="Y229" i="8"/>
  <c r="Z229" i="8"/>
  <c r="V229" i="8"/>
  <c r="X229" i="8"/>
  <c r="T229" i="8"/>
  <c r="R229" i="8"/>
  <c r="AA229" i="8"/>
  <c r="S229" i="8"/>
  <c r="W229" i="8"/>
  <c r="AC241" i="8"/>
  <c r="J241" i="8"/>
  <c r="I241" i="8"/>
  <c r="Q241" i="8"/>
  <c r="P241" i="8"/>
  <c r="O241" i="8"/>
  <c r="N241" i="8"/>
  <c r="M241" i="8"/>
  <c r="L241" i="8"/>
  <c r="K241" i="8"/>
  <c r="H241" i="8"/>
  <c r="F241" i="8"/>
  <c r="G241" i="8"/>
  <c r="AB241" i="8"/>
  <c r="Z241" i="8"/>
  <c r="Y241" i="8"/>
  <c r="X241" i="8"/>
  <c r="W241" i="8"/>
  <c r="V241" i="8"/>
  <c r="U241" i="8"/>
  <c r="AA241" i="8"/>
  <c r="R241" i="8"/>
  <c r="S241" i="8"/>
  <c r="T241" i="8"/>
  <c r="AC253" i="8"/>
  <c r="N253" i="8"/>
  <c r="M253" i="8"/>
  <c r="K253" i="8"/>
  <c r="J253" i="8"/>
  <c r="Z253" i="8"/>
  <c r="I253" i="8"/>
  <c r="Y253" i="8"/>
  <c r="H253" i="8"/>
  <c r="X253" i="8"/>
  <c r="G253" i="8"/>
  <c r="W253" i="8"/>
  <c r="F253" i="8"/>
  <c r="V253" i="8"/>
  <c r="U253" i="8"/>
  <c r="Q253" i="8"/>
  <c r="P253" i="8"/>
  <c r="O253" i="8"/>
  <c r="L253" i="8"/>
  <c r="AB253" i="8"/>
  <c r="R253" i="8"/>
  <c r="T253" i="8"/>
  <c r="S253" i="8"/>
  <c r="AA253" i="8"/>
  <c r="AC265" i="8"/>
  <c r="W265" i="8"/>
  <c r="K265" i="8"/>
  <c r="V265" i="8"/>
  <c r="J265" i="8"/>
  <c r="Y265" i="8"/>
  <c r="M265" i="8"/>
  <c r="R265" i="8"/>
  <c r="Q265" i="8"/>
  <c r="P265" i="8"/>
  <c r="O265" i="8"/>
  <c r="N265" i="8"/>
  <c r="AB265" i="8"/>
  <c r="L265" i="8"/>
  <c r="AA265" i="8"/>
  <c r="I265" i="8"/>
  <c r="Z265" i="8"/>
  <c r="H265" i="8"/>
  <c r="X265" i="8"/>
  <c r="G265" i="8"/>
  <c r="U265" i="8"/>
  <c r="F265" i="8"/>
  <c r="T265" i="8"/>
  <c r="S265" i="8"/>
  <c r="AC277" i="8"/>
  <c r="V277" i="8"/>
  <c r="J277" i="8"/>
  <c r="U277" i="8"/>
  <c r="I277" i="8"/>
  <c r="Z277" i="8"/>
  <c r="N277" i="8"/>
  <c r="X277" i="8"/>
  <c r="L277" i="8"/>
  <c r="K277" i="8"/>
  <c r="AB277" i="8"/>
  <c r="H277" i="8"/>
  <c r="AA277" i="8"/>
  <c r="G277" i="8"/>
  <c r="Y277" i="8"/>
  <c r="F277" i="8"/>
  <c r="W277" i="8"/>
  <c r="T277" i="8"/>
  <c r="S277" i="8"/>
  <c r="R277" i="8"/>
  <c r="Q277" i="8"/>
  <c r="P277" i="8"/>
  <c r="O277" i="8"/>
  <c r="M277" i="8"/>
  <c r="AC289" i="8"/>
  <c r="V289" i="8"/>
  <c r="J289" i="8"/>
  <c r="U289" i="8"/>
  <c r="I289" i="8"/>
  <c r="T289" i="8"/>
  <c r="H289" i="8"/>
  <c r="Z289" i="8"/>
  <c r="N289" i="8"/>
  <c r="Y289" i="8"/>
  <c r="M289" i="8"/>
  <c r="X289" i="8"/>
  <c r="L289" i="8"/>
  <c r="O289" i="8"/>
  <c r="K289" i="8"/>
  <c r="G289" i="8"/>
  <c r="F289" i="8"/>
  <c r="AB289" i="8"/>
  <c r="AA289" i="8"/>
  <c r="W289" i="8"/>
  <c r="S289" i="8"/>
  <c r="R289" i="8"/>
  <c r="Q289" i="8"/>
  <c r="P289" i="8"/>
  <c r="AC15" i="12"/>
  <c r="V15" i="12"/>
  <c r="J15" i="12"/>
  <c r="U15" i="12"/>
  <c r="I15" i="12"/>
  <c r="T15" i="12"/>
  <c r="H15" i="12"/>
  <c r="S15" i="12"/>
  <c r="G15" i="12"/>
  <c r="R15" i="12"/>
  <c r="F15" i="12"/>
  <c r="Q15" i="12"/>
  <c r="AB15" i="12"/>
  <c r="P15" i="12"/>
  <c r="AA15" i="12"/>
  <c r="O15" i="12"/>
  <c r="Z15" i="12"/>
  <c r="N15" i="12"/>
  <c r="Y15" i="12"/>
  <c r="M15" i="12"/>
  <c r="K15" i="12"/>
  <c r="X15" i="12"/>
  <c r="W15" i="12"/>
  <c r="L15" i="12"/>
  <c r="AC27" i="12"/>
  <c r="V27" i="12"/>
  <c r="J27" i="12"/>
  <c r="U27" i="12"/>
  <c r="I27" i="12"/>
  <c r="T27" i="12"/>
  <c r="H27" i="12"/>
  <c r="S27" i="12"/>
  <c r="G27" i="12"/>
  <c r="R27" i="12"/>
  <c r="F27" i="12"/>
  <c r="Q27" i="12"/>
  <c r="AB27" i="12"/>
  <c r="P27" i="12"/>
  <c r="AA27" i="12"/>
  <c r="O27" i="12"/>
  <c r="Z27" i="12"/>
  <c r="N27" i="12"/>
  <c r="Y27" i="12"/>
  <c r="M27" i="12"/>
  <c r="W27" i="12"/>
  <c r="L27" i="12"/>
  <c r="K27" i="12"/>
  <c r="X27" i="12"/>
  <c r="AC39" i="12"/>
  <c r="Q39" i="12"/>
  <c r="AB39" i="12"/>
  <c r="P39" i="12"/>
  <c r="AA39" i="12"/>
  <c r="O39" i="12"/>
  <c r="Z39" i="12"/>
  <c r="N39" i="12"/>
  <c r="W39" i="12"/>
  <c r="K39" i="12"/>
  <c r="I39" i="12"/>
  <c r="H39" i="12"/>
  <c r="Y39" i="12"/>
  <c r="G39" i="12"/>
  <c r="X39" i="12"/>
  <c r="F39" i="12"/>
  <c r="V39" i="12"/>
  <c r="U39" i="12"/>
  <c r="T39" i="12"/>
  <c r="S39" i="12"/>
  <c r="R39" i="12"/>
  <c r="M39" i="12"/>
  <c r="J39" i="12"/>
  <c r="L39" i="12"/>
  <c r="AC51" i="12"/>
  <c r="Q51" i="12"/>
  <c r="AB51" i="12"/>
  <c r="P51" i="12"/>
  <c r="AA51" i="12"/>
  <c r="O51" i="12"/>
  <c r="Z51" i="12"/>
  <c r="N51" i="12"/>
  <c r="Y51" i="12"/>
  <c r="M51" i="12"/>
  <c r="X51" i="12"/>
  <c r="L51" i="12"/>
  <c r="W51" i="12"/>
  <c r="K51" i="12"/>
  <c r="U51" i="12"/>
  <c r="T51" i="12"/>
  <c r="S51" i="12"/>
  <c r="R51" i="12"/>
  <c r="J51" i="12"/>
  <c r="I51" i="12"/>
  <c r="H51" i="12"/>
  <c r="G51" i="12"/>
  <c r="F51" i="12"/>
  <c r="V51" i="12"/>
  <c r="AC63" i="12"/>
  <c r="Q63" i="12"/>
  <c r="AB63" i="12"/>
  <c r="P63" i="12"/>
  <c r="AA63" i="12"/>
  <c r="O63" i="12"/>
  <c r="Z63" i="12"/>
  <c r="N63" i="12"/>
  <c r="Y63" i="12"/>
  <c r="M63" i="12"/>
  <c r="X63" i="12"/>
  <c r="L63" i="12"/>
  <c r="W63" i="12"/>
  <c r="K63" i="12"/>
  <c r="V63" i="12"/>
  <c r="J63" i="12"/>
  <c r="U63" i="12"/>
  <c r="I63" i="12"/>
  <c r="T63" i="12"/>
  <c r="H63" i="12"/>
  <c r="S63" i="12"/>
  <c r="R63" i="12"/>
  <c r="G63" i="12"/>
  <c r="F63" i="12"/>
  <c r="AC75" i="12"/>
  <c r="Q75" i="12"/>
  <c r="AB75" i="12"/>
  <c r="P75" i="12"/>
  <c r="AA75" i="12"/>
  <c r="O75" i="12"/>
  <c r="Z75" i="12"/>
  <c r="N75" i="12"/>
  <c r="Y75" i="12"/>
  <c r="M75" i="12"/>
  <c r="X75" i="12"/>
  <c r="L75" i="12"/>
  <c r="W75" i="12"/>
  <c r="K75" i="12"/>
  <c r="V75" i="12"/>
  <c r="J75" i="12"/>
  <c r="U75" i="12"/>
  <c r="I75" i="12"/>
  <c r="T75" i="12"/>
  <c r="H75" i="12"/>
  <c r="S75" i="12"/>
  <c r="R75" i="12"/>
  <c r="G75" i="12"/>
  <c r="F75" i="12"/>
  <c r="AC87" i="12"/>
  <c r="X87" i="12"/>
  <c r="L87" i="12"/>
  <c r="W87" i="12"/>
  <c r="K87" i="12"/>
  <c r="V87" i="12"/>
  <c r="J87" i="12"/>
  <c r="U87" i="12"/>
  <c r="I87" i="12"/>
  <c r="Q87" i="12"/>
  <c r="P87" i="12"/>
  <c r="O87" i="12"/>
  <c r="N87" i="12"/>
  <c r="M87" i="12"/>
  <c r="AB87" i="12"/>
  <c r="H87" i="12"/>
  <c r="AA87" i="12"/>
  <c r="G87" i="12"/>
  <c r="Z87" i="12"/>
  <c r="F87" i="12"/>
  <c r="Y87" i="12"/>
  <c r="T87" i="12"/>
  <c r="S87" i="12"/>
  <c r="R87" i="12"/>
  <c r="AC99" i="12"/>
  <c r="X99" i="12"/>
  <c r="L99" i="12"/>
  <c r="W99" i="12"/>
  <c r="K99" i="12"/>
  <c r="V99" i="12"/>
  <c r="J99" i="12"/>
  <c r="U99" i="12"/>
  <c r="I99" i="12"/>
  <c r="Q99" i="12"/>
  <c r="P99" i="12"/>
  <c r="O99" i="12"/>
  <c r="N99" i="12"/>
  <c r="M99" i="12"/>
  <c r="H99" i="12"/>
  <c r="AB99" i="12"/>
  <c r="G99" i="12"/>
  <c r="AA99" i="12"/>
  <c r="F99" i="12"/>
  <c r="Z99" i="12"/>
  <c r="Y99" i="12"/>
  <c r="T99" i="12"/>
  <c r="S99" i="12"/>
  <c r="R99" i="12"/>
  <c r="AC111" i="12"/>
  <c r="Y111" i="12"/>
  <c r="M111" i="12"/>
  <c r="X111" i="12"/>
  <c r="L111" i="12"/>
  <c r="AB111" i="12"/>
  <c r="N111" i="12"/>
  <c r="AA111" i="12"/>
  <c r="K111" i="12"/>
  <c r="Z111" i="12"/>
  <c r="J111" i="12"/>
  <c r="W111" i="12"/>
  <c r="I111" i="12"/>
  <c r="V111" i="12"/>
  <c r="H111" i="12"/>
  <c r="U111" i="12"/>
  <c r="G111" i="12"/>
  <c r="T111" i="12"/>
  <c r="F111" i="12"/>
  <c r="S111" i="12"/>
  <c r="Q111" i="12"/>
  <c r="R111" i="12"/>
  <c r="P111" i="12"/>
  <c r="O111" i="12"/>
  <c r="AC123" i="12"/>
  <c r="Y123" i="12"/>
  <c r="M123" i="12"/>
  <c r="X123" i="12"/>
  <c r="L123" i="12"/>
  <c r="W123" i="12"/>
  <c r="K123" i="12"/>
  <c r="V123" i="12"/>
  <c r="R123" i="12"/>
  <c r="Q123" i="12"/>
  <c r="P123" i="12"/>
  <c r="O123" i="12"/>
  <c r="N123" i="12"/>
  <c r="J123" i="12"/>
  <c r="AB123" i="12"/>
  <c r="I123" i="12"/>
  <c r="AA123" i="12"/>
  <c r="H123" i="12"/>
  <c r="Z123" i="12"/>
  <c r="G123" i="12"/>
  <c r="U123" i="12"/>
  <c r="F123" i="12"/>
  <c r="T123" i="12"/>
  <c r="S123" i="12"/>
  <c r="AC135" i="12"/>
  <c r="Y135" i="12"/>
  <c r="M135" i="12"/>
  <c r="X135" i="12"/>
  <c r="L135" i="12"/>
  <c r="W135" i="12"/>
  <c r="K135" i="12"/>
  <c r="V135" i="12"/>
  <c r="J135" i="12"/>
  <c r="U135" i="12"/>
  <c r="I135" i="12"/>
  <c r="T135" i="12"/>
  <c r="H135" i="12"/>
  <c r="N135" i="12"/>
  <c r="G135" i="12"/>
  <c r="F135" i="12"/>
  <c r="AB135" i="12"/>
  <c r="AA135" i="12"/>
  <c r="Z135" i="12"/>
  <c r="S135" i="12"/>
  <c r="R135" i="12"/>
  <c r="Q135" i="12"/>
  <c r="P135" i="12"/>
  <c r="O135" i="12"/>
  <c r="AC147" i="12"/>
  <c r="AB147" i="12"/>
  <c r="P147" i="12"/>
  <c r="AA147" i="12"/>
  <c r="O147" i="12"/>
  <c r="S147" i="12"/>
  <c r="R147" i="12"/>
  <c r="Q147" i="12"/>
  <c r="N147" i="12"/>
  <c r="M147" i="12"/>
  <c r="Z147" i="12"/>
  <c r="L147" i="12"/>
  <c r="F147" i="12"/>
  <c r="Y147" i="12"/>
  <c r="X147" i="12"/>
  <c r="W147" i="12"/>
  <c r="V147" i="12"/>
  <c r="U147" i="12"/>
  <c r="T147" i="12"/>
  <c r="K147" i="12"/>
  <c r="J147" i="12"/>
  <c r="I147" i="12"/>
  <c r="H147" i="12"/>
  <c r="G147" i="12"/>
  <c r="AC159" i="12"/>
  <c r="Q159" i="12"/>
  <c r="AB159" i="12"/>
  <c r="P159" i="12"/>
  <c r="AA159" i="12"/>
  <c r="O159" i="12"/>
  <c r="Z159" i="12"/>
  <c r="N159" i="12"/>
  <c r="W159" i="12"/>
  <c r="K159" i="12"/>
  <c r="V159" i="12"/>
  <c r="J159" i="12"/>
  <c r="F159" i="12"/>
  <c r="Y159" i="12"/>
  <c r="X159" i="12"/>
  <c r="U159" i="12"/>
  <c r="T159" i="12"/>
  <c r="S159" i="12"/>
  <c r="R159" i="12"/>
  <c r="M159" i="12"/>
  <c r="L159" i="12"/>
  <c r="I159" i="12"/>
  <c r="H159" i="12"/>
  <c r="G159" i="12"/>
  <c r="AC171" i="12"/>
  <c r="X171" i="12"/>
  <c r="L171" i="12"/>
  <c r="W171" i="12"/>
  <c r="K171" i="12"/>
  <c r="V171" i="12"/>
  <c r="J171" i="12"/>
  <c r="U171" i="12"/>
  <c r="F171" i="12"/>
  <c r="T171" i="12"/>
  <c r="S171" i="12"/>
  <c r="R171" i="12"/>
  <c r="P171" i="12"/>
  <c r="O171" i="12"/>
  <c r="N171" i="12"/>
  <c r="H171" i="12"/>
  <c r="G171" i="12"/>
  <c r="AB171" i="12"/>
  <c r="AA171" i="12"/>
  <c r="Z171" i="12"/>
  <c r="Y171" i="12"/>
  <c r="Q171" i="12"/>
  <c r="M171" i="12"/>
  <c r="I171" i="12"/>
  <c r="AC183" i="12"/>
  <c r="X183" i="12"/>
  <c r="L183" i="12"/>
  <c r="W183" i="12"/>
  <c r="K183" i="12"/>
  <c r="V183" i="12"/>
  <c r="J183" i="12"/>
  <c r="S183" i="12"/>
  <c r="R183" i="12"/>
  <c r="Q183" i="12"/>
  <c r="P183" i="12"/>
  <c r="O183" i="12"/>
  <c r="N183" i="12"/>
  <c r="M183" i="12"/>
  <c r="AB183" i="12"/>
  <c r="I183" i="12"/>
  <c r="AA183" i="12"/>
  <c r="H183" i="12"/>
  <c r="G183" i="12"/>
  <c r="F183" i="12"/>
  <c r="Z183" i="12"/>
  <c r="Y183" i="12"/>
  <c r="U183" i="12"/>
  <c r="T183" i="12"/>
  <c r="AC195" i="12"/>
  <c r="U195" i="12"/>
  <c r="I195" i="12"/>
  <c r="T195" i="12"/>
  <c r="H195" i="12"/>
  <c r="Y195" i="12"/>
  <c r="K195" i="12"/>
  <c r="X195" i="12"/>
  <c r="J195" i="12"/>
  <c r="W195" i="12"/>
  <c r="G195" i="12"/>
  <c r="V195" i="12"/>
  <c r="F195" i="12"/>
  <c r="R195" i="12"/>
  <c r="Q195" i="12"/>
  <c r="AA195" i="12"/>
  <c r="Z195" i="12"/>
  <c r="S195" i="12"/>
  <c r="P195" i="12"/>
  <c r="O195" i="12"/>
  <c r="N195" i="12"/>
  <c r="M195" i="12"/>
  <c r="L195" i="12"/>
  <c r="AB195" i="12"/>
  <c r="AC207" i="12"/>
  <c r="R207" i="12"/>
  <c r="F207" i="12"/>
  <c r="AA207" i="12"/>
  <c r="N207" i="12"/>
  <c r="Z207" i="12"/>
  <c r="M207" i="12"/>
  <c r="Y207" i="12"/>
  <c r="J207" i="12"/>
  <c r="X207" i="12"/>
  <c r="I207" i="12"/>
  <c r="W207" i="12"/>
  <c r="H207" i="12"/>
  <c r="V207" i="12"/>
  <c r="G207" i="12"/>
  <c r="U207" i="12"/>
  <c r="T207" i="12"/>
  <c r="S207" i="12"/>
  <c r="Q207" i="12"/>
  <c r="P207" i="12"/>
  <c r="O207" i="12"/>
  <c r="L207" i="12"/>
  <c r="K207" i="12"/>
  <c r="AB207" i="12"/>
  <c r="AC219" i="12"/>
  <c r="R219" i="12"/>
  <c r="F219" i="12"/>
  <c r="Z219" i="12"/>
  <c r="M219" i="12"/>
  <c r="Y219" i="12"/>
  <c r="L219" i="12"/>
  <c r="V219" i="12"/>
  <c r="I219" i="12"/>
  <c r="AB219" i="12"/>
  <c r="J219" i="12"/>
  <c r="AA219" i="12"/>
  <c r="H219" i="12"/>
  <c r="X219" i="12"/>
  <c r="G219" i="12"/>
  <c r="W219" i="12"/>
  <c r="U219" i="12"/>
  <c r="T219" i="12"/>
  <c r="S219" i="12"/>
  <c r="Q219" i="12"/>
  <c r="P219" i="12"/>
  <c r="O219" i="12"/>
  <c r="N219" i="12"/>
  <c r="K219" i="12"/>
  <c r="AC231" i="12"/>
  <c r="R231" i="12"/>
  <c r="F231" i="12"/>
  <c r="Q231" i="12"/>
  <c r="AB231" i="12"/>
  <c r="P231" i="12"/>
  <c r="N231" i="12"/>
  <c r="M231" i="12"/>
  <c r="AA231" i="12"/>
  <c r="L231" i="12"/>
  <c r="Z231" i="12"/>
  <c r="K231" i="12"/>
  <c r="Y231" i="12"/>
  <c r="J231" i="12"/>
  <c r="X231" i="12"/>
  <c r="I231" i="12"/>
  <c r="H231" i="12"/>
  <c r="G231" i="12"/>
  <c r="W231" i="12"/>
  <c r="V231" i="12"/>
  <c r="U231" i="12"/>
  <c r="T231" i="12"/>
  <c r="S231" i="12"/>
  <c r="O231" i="12"/>
  <c r="AC243" i="12"/>
  <c r="U243" i="12"/>
  <c r="I243" i="12"/>
  <c r="T243" i="12"/>
  <c r="G243" i="12"/>
  <c r="S243" i="12"/>
  <c r="F243" i="12"/>
  <c r="R243" i="12"/>
  <c r="M243" i="12"/>
  <c r="AB243" i="12"/>
  <c r="L243" i="12"/>
  <c r="AA243" i="12"/>
  <c r="K243" i="12"/>
  <c r="Z243" i="12"/>
  <c r="J243" i="12"/>
  <c r="Y243" i="12"/>
  <c r="H243" i="12"/>
  <c r="X243" i="12"/>
  <c r="W243" i="12"/>
  <c r="V243" i="12"/>
  <c r="O243" i="12"/>
  <c r="N243" i="12"/>
  <c r="Q243" i="12"/>
  <c r="P243" i="12"/>
  <c r="AC255" i="12"/>
  <c r="U255" i="12"/>
  <c r="I255" i="12"/>
  <c r="S255" i="12"/>
  <c r="G255" i="12"/>
  <c r="R255" i="12"/>
  <c r="F255" i="12"/>
  <c r="X255" i="12"/>
  <c r="H255" i="12"/>
  <c r="W255" i="12"/>
  <c r="V255" i="12"/>
  <c r="T255" i="12"/>
  <c r="O255" i="12"/>
  <c r="M255" i="12"/>
  <c r="L255" i="12"/>
  <c r="K255" i="12"/>
  <c r="J255" i="12"/>
  <c r="AB255" i="12"/>
  <c r="AA255" i="12"/>
  <c r="Z255" i="12"/>
  <c r="Y255" i="12"/>
  <c r="Q255" i="12"/>
  <c r="P255" i="12"/>
  <c r="N255" i="12"/>
  <c r="AC267" i="12"/>
  <c r="U267" i="12"/>
  <c r="I267" i="12"/>
  <c r="S267" i="12"/>
  <c r="G267" i="12"/>
  <c r="R267" i="12"/>
  <c r="F267" i="12"/>
  <c r="T267" i="12"/>
  <c r="Q267" i="12"/>
  <c r="P267" i="12"/>
  <c r="O267" i="12"/>
  <c r="N267" i="12"/>
  <c r="AB267" i="12"/>
  <c r="M267" i="12"/>
  <c r="AA267" i="12"/>
  <c r="L267" i="12"/>
  <c r="V267" i="12"/>
  <c r="K267" i="12"/>
  <c r="J267" i="12"/>
  <c r="H267" i="12"/>
  <c r="Z267" i="12"/>
  <c r="Y267" i="12"/>
  <c r="X267" i="12"/>
  <c r="W267" i="12"/>
  <c r="AC279" i="12"/>
  <c r="U279" i="12"/>
  <c r="I279" i="12"/>
  <c r="S279" i="12"/>
  <c r="G279" i="12"/>
  <c r="R279" i="12"/>
  <c r="F279" i="12"/>
  <c r="Q279" i="12"/>
  <c r="AB279" i="12"/>
  <c r="P279" i="12"/>
  <c r="AA279" i="12"/>
  <c r="O279" i="12"/>
  <c r="Z279" i="12"/>
  <c r="N279" i="12"/>
  <c r="T279" i="12"/>
  <c r="M279" i="12"/>
  <c r="L279" i="12"/>
  <c r="K279" i="12"/>
  <c r="J279" i="12"/>
  <c r="H279" i="12"/>
  <c r="X279" i="12"/>
  <c r="W279" i="12"/>
  <c r="V279" i="12"/>
  <c r="Y279" i="12"/>
  <c r="AC14" i="8"/>
  <c r="Q14" i="8"/>
  <c r="Y14" i="8"/>
  <c r="V14" i="8"/>
  <c r="AB14" i="8"/>
  <c r="P14" i="8"/>
  <c r="AA14" i="8"/>
  <c r="O14" i="8"/>
  <c r="Z14" i="8"/>
  <c r="N14" i="8"/>
  <c r="I14" i="8"/>
  <c r="M14" i="8"/>
  <c r="L14" i="8"/>
  <c r="G14" i="8"/>
  <c r="F14" i="8"/>
  <c r="X14" i="8"/>
  <c r="J14" i="8"/>
  <c r="U14" i="8"/>
  <c r="R14" i="8"/>
  <c r="W14" i="8"/>
  <c r="K14" i="8"/>
  <c r="S14" i="8"/>
  <c r="T14" i="8"/>
  <c r="H14" i="8"/>
  <c r="AC26" i="8"/>
  <c r="O26" i="8"/>
  <c r="N26" i="8"/>
  <c r="M26" i="8"/>
  <c r="L26" i="8"/>
  <c r="Q26" i="8"/>
  <c r="P26" i="8"/>
  <c r="K26" i="8"/>
  <c r="J26" i="8"/>
  <c r="I26" i="8"/>
  <c r="H26" i="8"/>
  <c r="G26" i="8"/>
  <c r="F26" i="8"/>
  <c r="AB26" i="8"/>
  <c r="Z26" i="8"/>
  <c r="Y26" i="8"/>
  <c r="T26" i="8"/>
  <c r="W26" i="8"/>
  <c r="V26" i="8"/>
  <c r="X26" i="8"/>
  <c r="R26" i="8"/>
  <c r="S26" i="8"/>
  <c r="U26" i="8"/>
  <c r="AA26" i="8"/>
  <c r="AC38" i="8"/>
  <c r="W38" i="8"/>
  <c r="K38" i="8"/>
  <c r="V38" i="8"/>
  <c r="J38" i="8"/>
  <c r="U38" i="8"/>
  <c r="I38" i="8"/>
  <c r="M38" i="8"/>
  <c r="T38" i="8"/>
  <c r="H38" i="8"/>
  <c r="X38" i="8"/>
  <c r="S38" i="8"/>
  <c r="G38" i="8"/>
  <c r="R38" i="8"/>
  <c r="F38" i="8"/>
  <c r="L38" i="8"/>
  <c r="Q38" i="8"/>
  <c r="AB38" i="8"/>
  <c r="P38" i="8"/>
  <c r="AA38" i="8"/>
  <c r="O38" i="8"/>
  <c r="Z38" i="8"/>
  <c r="N38" i="8"/>
  <c r="Y38" i="8"/>
  <c r="AC50" i="8"/>
  <c r="F50" i="8"/>
  <c r="Q50" i="8"/>
  <c r="P50" i="8"/>
  <c r="O50" i="8"/>
  <c r="N50" i="8"/>
  <c r="K50" i="8"/>
  <c r="G50" i="8"/>
  <c r="M50" i="8"/>
  <c r="L50" i="8"/>
  <c r="J50" i="8"/>
  <c r="I50" i="8"/>
  <c r="H50" i="8"/>
  <c r="AB50" i="8"/>
  <c r="Y50" i="8"/>
  <c r="Z50" i="8"/>
  <c r="AA50" i="8"/>
  <c r="R50" i="8"/>
  <c r="V50" i="8"/>
  <c r="S50" i="8"/>
  <c r="U50" i="8"/>
  <c r="W50" i="8"/>
  <c r="X50" i="8"/>
  <c r="T50" i="8"/>
  <c r="AC62" i="8"/>
  <c r="T62" i="8"/>
  <c r="H62" i="8"/>
  <c r="S62" i="8"/>
  <c r="G62" i="8"/>
  <c r="R62" i="8"/>
  <c r="F62" i="8"/>
  <c r="Q62" i="8"/>
  <c r="AB62" i="8"/>
  <c r="P62" i="8"/>
  <c r="AA62" i="8"/>
  <c r="O62" i="8"/>
  <c r="Z62" i="8"/>
  <c r="N62" i="8"/>
  <c r="Y62" i="8"/>
  <c r="M62" i="8"/>
  <c r="X62" i="8"/>
  <c r="L62" i="8"/>
  <c r="W62" i="8"/>
  <c r="K62" i="8"/>
  <c r="V62" i="8"/>
  <c r="U62" i="8"/>
  <c r="J62" i="8"/>
  <c r="I62" i="8"/>
  <c r="AC74" i="8"/>
  <c r="Y74" i="8"/>
  <c r="M74" i="8"/>
  <c r="X74" i="8"/>
  <c r="L74" i="8"/>
  <c r="W74" i="8"/>
  <c r="K74" i="8"/>
  <c r="V74" i="8"/>
  <c r="J74" i="8"/>
  <c r="U74" i="8"/>
  <c r="I74" i="8"/>
  <c r="T74" i="8"/>
  <c r="H74" i="8"/>
  <c r="S74" i="8"/>
  <c r="G74" i="8"/>
  <c r="R74" i="8"/>
  <c r="F74" i="8"/>
  <c r="Q74" i="8"/>
  <c r="AB74" i="8"/>
  <c r="P74" i="8"/>
  <c r="N74" i="8"/>
  <c r="Z74" i="8"/>
  <c r="O74" i="8"/>
  <c r="AA74" i="8"/>
  <c r="AC86" i="8"/>
  <c r="Q86" i="8"/>
  <c r="P86" i="8"/>
  <c r="O86" i="8"/>
  <c r="N86" i="8"/>
  <c r="M86" i="8"/>
  <c r="L86" i="8"/>
  <c r="K86" i="8"/>
  <c r="J86" i="8"/>
  <c r="I86" i="8"/>
  <c r="H86" i="8"/>
  <c r="G86" i="8"/>
  <c r="F86" i="8"/>
  <c r="AB86" i="8"/>
  <c r="Z86" i="8"/>
  <c r="Y86" i="8"/>
  <c r="W86" i="8"/>
  <c r="R86" i="8"/>
  <c r="V86" i="8"/>
  <c r="U86" i="8"/>
  <c r="X86" i="8"/>
  <c r="AA86" i="8"/>
  <c r="S86" i="8"/>
  <c r="T86" i="8"/>
  <c r="AC98" i="8"/>
  <c r="Z98" i="8"/>
  <c r="J98" i="8"/>
  <c r="X98" i="8"/>
  <c r="I98" i="8"/>
  <c r="V98" i="8"/>
  <c r="H98" i="8"/>
  <c r="U98" i="8"/>
  <c r="G98" i="8"/>
  <c r="T98" i="8"/>
  <c r="F98" i="8"/>
  <c r="Q98" i="8"/>
  <c r="P98" i="8"/>
  <c r="O98" i="8"/>
  <c r="N98" i="8"/>
  <c r="M98" i="8"/>
  <c r="K98" i="8"/>
  <c r="AB98" i="8"/>
  <c r="L98" i="8"/>
  <c r="Y98" i="8"/>
  <c r="S98" i="8"/>
  <c r="AA98" i="8"/>
  <c r="R98" i="8"/>
  <c r="W98" i="8"/>
  <c r="AC110" i="8"/>
  <c r="X110" i="8"/>
  <c r="I110" i="8"/>
  <c r="W110" i="8"/>
  <c r="H110" i="8"/>
  <c r="V110" i="8"/>
  <c r="G110" i="8"/>
  <c r="U110" i="8"/>
  <c r="F110" i="8"/>
  <c r="Q110" i="8"/>
  <c r="P110" i="8"/>
  <c r="O110" i="8"/>
  <c r="N110" i="8"/>
  <c r="AB110" i="8"/>
  <c r="M110" i="8"/>
  <c r="AA110" i="8"/>
  <c r="L110" i="8"/>
  <c r="J110" i="8"/>
  <c r="Z110" i="8"/>
  <c r="Y110" i="8"/>
  <c r="K110" i="8"/>
  <c r="T110" i="8"/>
  <c r="R110" i="8"/>
  <c r="S110" i="8"/>
  <c r="AC122" i="8"/>
  <c r="Z122" i="8"/>
  <c r="N122" i="8"/>
  <c r="Y122" i="8"/>
  <c r="M122" i="8"/>
  <c r="X122" i="8"/>
  <c r="L122" i="8"/>
  <c r="W122" i="8"/>
  <c r="K122" i="8"/>
  <c r="V122" i="8"/>
  <c r="J122" i="8"/>
  <c r="U122" i="8"/>
  <c r="I122" i="8"/>
  <c r="T122" i="8"/>
  <c r="H122" i="8"/>
  <c r="S122" i="8"/>
  <c r="G122" i="8"/>
  <c r="R122" i="8"/>
  <c r="F122" i="8"/>
  <c r="Q122" i="8"/>
  <c r="O122" i="8"/>
  <c r="P122" i="8"/>
  <c r="AB122" i="8"/>
  <c r="AA122" i="8"/>
  <c r="AC134" i="8"/>
  <c r="X134" i="8"/>
  <c r="L134" i="8"/>
  <c r="W134" i="8"/>
  <c r="K134" i="8"/>
  <c r="V134" i="8"/>
  <c r="J134" i="8"/>
  <c r="U134" i="8"/>
  <c r="I134" i="8"/>
  <c r="T134" i="8"/>
  <c r="H134" i="8"/>
  <c r="S134" i="8"/>
  <c r="G134" i="8"/>
  <c r="R134" i="8"/>
  <c r="F134" i="8"/>
  <c r="AB134" i="8"/>
  <c r="AA134" i="8"/>
  <c r="Z134" i="8"/>
  <c r="Y134" i="8"/>
  <c r="Q134" i="8"/>
  <c r="P134" i="8"/>
  <c r="O134" i="8"/>
  <c r="N134" i="8"/>
  <c r="M134" i="8"/>
  <c r="AC146" i="8"/>
  <c r="S146" i="8"/>
  <c r="G146" i="8"/>
  <c r="R146" i="8"/>
  <c r="F146" i="8"/>
  <c r="Q146" i="8"/>
  <c r="AB146" i="8"/>
  <c r="P146" i="8"/>
  <c r="AA146" i="8"/>
  <c r="O146" i="8"/>
  <c r="Z146" i="8"/>
  <c r="N146" i="8"/>
  <c r="Y146" i="8"/>
  <c r="M146" i="8"/>
  <c r="W146" i="8"/>
  <c r="X146" i="8"/>
  <c r="V146" i="8"/>
  <c r="U146" i="8"/>
  <c r="T146" i="8"/>
  <c r="L146" i="8"/>
  <c r="K146" i="8"/>
  <c r="J146" i="8"/>
  <c r="I146" i="8"/>
  <c r="H146" i="8"/>
  <c r="AC158" i="8"/>
  <c r="W158" i="8"/>
  <c r="K158" i="8"/>
  <c r="V158" i="8"/>
  <c r="J158" i="8"/>
  <c r="U158" i="8"/>
  <c r="I158" i="8"/>
  <c r="T158" i="8"/>
  <c r="H158" i="8"/>
  <c r="S158" i="8"/>
  <c r="G158" i="8"/>
  <c r="R158" i="8"/>
  <c r="F158" i="8"/>
  <c r="Q158" i="8"/>
  <c r="AB158" i="8"/>
  <c r="P158" i="8"/>
  <c r="AA158" i="8"/>
  <c r="O158" i="8"/>
  <c r="Z158" i="8"/>
  <c r="N158" i="8"/>
  <c r="L158" i="8"/>
  <c r="Y158" i="8"/>
  <c r="M158" i="8"/>
  <c r="X158" i="8"/>
  <c r="AC170" i="8"/>
  <c r="U170" i="8"/>
  <c r="I170" i="8"/>
  <c r="T170" i="8"/>
  <c r="H170" i="8"/>
  <c r="S170" i="8"/>
  <c r="G170" i="8"/>
  <c r="R170" i="8"/>
  <c r="F170" i="8"/>
  <c r="Q170" i="8"/>
  <c r="AB170" i="8"/>
  <c r="P170" i="8"/>
  <c r="AA170" i="8"/>
  <c r="O170" i="8"/>
  <c r="Z170" i="8"/>
  <c r="N170" i="8"/>
  <c r="Y170" i="8"/>
  <c r="M170" i="8"/>
  <c r="X170" i="8"/>
  <c r="L170" i="8"/>
  <c r="W170" i="8"/>
  <c r="V170" i="8"/>
  <c r="K170" i="8"/>
  <c r="J170" i="8"/>
  <c r="AC182" i="8"/>
  <c r="Z182" i="8"/>
  <c r="N182" i="8"/>
  <c r="Y182" i="8"/>
  <c r="M182" i="8"/>
  <c r="X182" i="8"/>
  <c r="L182" i="8"/>
  <c r="W182" i="8"/>
  <c r="K182" i="8"/>
  <c r="V182" i="8"/>
  <c r="J182" i="8"/>
  <c r="U182" i="8"/>
  <c r="I182" i="8"/>
  <c r="T182" i="8"/>
  <c r="H182" i="8"/>
  <c r="S182" i="8"/>
  <c r="G182" i="8"/>
  <c r="R182" i="8"/>
  <c r="F182" i="8"/>
  <c r="Q182" i="8"/>
  <c r="O182" i="8"/>
  <c r="AB182" i="8"/>
  <c r="P182" i="8"/>
  <c r="AA182" i="8"/>
  <c r="AC194" i="8"/>
  <c r="W194" i="8"/>
  <c r="K194" i="8"/>
  <c r="V194" i="8"/>
  <c r="I194" i="8"/>
  <c r="U194" i="8"/>
  <c r="H194" i="8"/>
  <c r="T194" i="8"/>
  <c r="G194" i="8"/>
  <c r="S194" i="8"/>
  <c r="F194" i="8"/>
  <c r="R194" i="8"/>
  <c r="Q194" i="8"/>
  <c r="P194" i="8"/>
  <c r="AB194" i="8"/>
  <c r="O194" i="8"/>
  <c r="AA194" i="8"/>
  <c r="N194" i="8"/>
  <c r="Z194" i="8"/>
  <c r="M194" i="8"/>
  <c r="Y194" i="8"/>
  <c r="X194" i="8"/>
  <c r="L194" i="8"/>
  <c r="J194" i="8"/>
  <c r="AC206" i="8"/>
  <c r="T206" i="8"/>
  <c r="H206" i="8"/>
  <c r="Q206" i="8"/>
  <c r="AB206" i="8"/>
  <c r="P206" i="8"/>
  <c r="AA206" i="8"/>
  <c r="Z206" i="8"/>
  <c r="N206" i="8"/>
  <c r="Y206" i="8"/>
  <c r="X206" i="8"/>
  <c r="L206" i="8"/>
  <c r="J206" i="8"/>
  <c r="I206" i="8"/>
  <c r="G206" i="8"/>
  <c r="F206" i="8"/>
  <c r="W206" i="8"/>
  <c r="V206" i="8"/>
  <c r="U206" i="8"/>
  <c r="S206" i="8"/>
  <c r="R206" i="8"/>
  <c r="O206" i="8"/>
  <c r="M206" i="8"/>
  <c r="K206" i="8"/>
  <c r="AC218" i="8"/>
  <c r="U218" i="8"/>
  <c r="I218" i="8"/>
  <c r="T218" i="8"/>
  <c r="H218" i="8"/>
  <c r="S218" i="8"/>
  <c r="G218" i="8"/>
  <c r="R218" i="8"/>
  <c r="F218" i="8"/>
  <c r="Q218" i="8"/>
  <c r="P218" i="8"/>
  <c r="O218" i="8"/>
  <c r="N218" i="8"/>
  <c r="M218" i="8"/>
  <c r="K218" i="8"/>
  <c r="J218" i="8"/>
  <c r="V218" i="8"/>
  <c r="L218" i="8"/>
  <c r="AB218" i="8"/>
  <c r="Y218" i="8"/>
  <c r="Z218" i="8"/>
  <c r="W218" i="8"/>
  <c r="X218" i="8"/>
  <c r="AA218" i="8"/>
  <c r="AC230" i="8"/>
  <c r="Y230" i="8"/>
  <c r="M230" i="8"/>
  <c r="X230" i="8"/>
  <c r="L230" i="8"/>
  <c r="W230" i="8"/>
  <c r="K230" i="8"/>
  <c r="V230" i="8"/>
  <c r="J230" i="8"/>
  <c r="U230" i="8"/>
  <c r="I230" i="8"/>
  <c r="T230" i="8"/>
  <c r="H230" i="8"/>
  <c r="S230" i="8"/>
  <c r="G230" i="8"/>
  <c r="R230" i="8"/>
  <c r="F230" i="8"/>
  <c r="Q230" i="8"/>
  <c r="AA230" i="8"/>
  <c r="Z230" i="8"/>
  <c r="P230" i="8"/>
  <c r="O230" i="8"/>
  <c r="N230" i="8"/>
  <c r="AB230" i="8"/>
  <c r="AC242" i="8"/>
  <c r="J242" i="8"/>
  <c r="I242" i="8"/>
  <c r="G242" i="8"/>
  <c r="F242" i="8"/>
  <c r="Q242" i="8"/>
  <c r="P242" i="8"/>
  <c r="O242" i="8"/>
  <c r="N242" i="8"/>
  <c r="M242" i="8"/>
  <c r="L242" i="8"/>
  <c r="K242" i="8"/>
  <c r="H242" i="8"/>
  <c r="AB242" i="8"/>
  <c r="Y242" i="8"/>
  <c r="Z242" i="8"/>
  <c r="T242" i="8"/>
  <c r="V242" i="8"/>
  <c r="U242" i="8"/>
  <c r="R242" i="8"/>
  <c r="S242" i="8"/>
  <c r="X242" i="8"/>
  <c r="AA242" i="8"/>
  <c r="W242" i="8"/>
  <c r="AC254" i="8"/>
  <c r="T254" i="8"/>
  <c r="H254" i="8"/>
  <c r="S254" i="8"/>
  <c r="G254" i="8"/>
  <c r="W254" i="8"/>
  <c r="I254" i="8"/>
  <c r="V254" i="8"/>
  <c r="F254" i="8"/>
  <c r="U254" i="8"/>
  <c r="R254" i="8"/>
  <c r="Q254" i="8"/>
  <c r="P254" i="8"/>
  <c r="O254" i="8"/>
  <c r="AB254" i="8"/>
  <c r="N254" i="8"/>
  <c r="AA254" i="8"/>
  <c r="M254" i="8"/>
  <c r="Z254" i="8"/>
  <c r="L254" i="8"/>
  <c r="X254" i="8"/>
  <c r="K254" i="8"/>
  <c r="J254" i="8"/>
  <c r="Y254" i="8"/>
  <c r="AC266" i="8"/>
  <c r="X266" i="8"/>
  <c r="L266" i="8"/>
  <c r="W266" i="8"/>
  <c r="K266" i="8"/>
  <c r="Z266" i="8"/>
  <c r="N266" i="8"/>
  <c r="AB266" i="8"/>
  <c r="J266" i="8"/>
  <c r="AA266" i="8"/>
  <c r="I266" i="8"/>
  <c r="Y266" i="8"/>
  <c r="H266" i="8"/>
  <c r="V266" i="8"/>
  <c r="G266" i="8"/>
  <c r="U266" i="8"/>
  <c r="F266" i="8"/>
  <c r="T266" i="8"/>
  <c r="S266" i="8"/>
  <c r="R266" i="8"/>
  <c r="Q266" i="8"/>
  <c r="P266" i="8"/>
  <c r="O266" i="8"/>
  <c r="M266" i="8"/>
  <c r="AC278" i="8"/>
  <c r="W278" i="8"/>
  <c r="K278" i="8"/>
  <c r="V278" i="8"/>
  <c r="J278" i="8"/>
  <c r="AA278" i="8"/>
  <c r="O278" i="8"/>
  <c r="Y278" i="8"/>
  <c r="M278" i="8"/>
  <c r="X278" i="8"/>
  <c r="F278" i="8"/>
  <c r="U278" i="8"/>
  <c r="T278" i="8"/>
  <c r="S278" i="8"/>
  <c r="R278" i="8"/>
  <c r="Q278" i="8"/>
  <c r="P278" i="8"/>
  <c r="N278" i="8"/>
  <c r="L278" i="8"/>
  <c r="I278" i="8"/>
  <c r="AB278" i="8"/>
  <c r="Z278" i="8"/>
  <c r="H278" i="8"/>
  <c r="G278" i="8"/>
  <c r="AC290" i="8"/>
  <c r="W290" i="8"/>
  <c r="K290" i="8"/>
  <c r="V290" i="8"/>
  <c r="J290" i="8"/>
  <c r="U290" i="8"/>
  <c r="I290" i="8"/>
  <c r="AA290" i="8"/>
  <c r="O290" i="8"/>
  <c r="Z290" i="8"/>
  <c r="N290" i="8"/>
  <c r="Y290" i="8"/>
  <c r="M290" i="8"/>
  <c r="P290" i="8"/>
  <c r="L290" i="8"/>
  <c r="H290" i="8"/>
  <c r="G290" i="8"/>
  <c r="F290" i="8"/>
  <c r="AB290" i="8"/>
  <c r="X290" i="8"/>
  <c r="T290" i="8"/>
  <c r="S290" i="8"/>
  <c r="R290" i="8"/>
  <c r="Q290" i="8"/>
  <c r="AC4" i="12"/>
  <c r="W4" i="12"/>
  <c r="K4" i="12"/>
  <c r="V4" i="12"/>
  <c r="J4" i="12"/>
  <c r="U4" i="12"/>
  <c r="I4" i="12"/>
  <c r="T4" i="12"/>
  <c r="H4" i="12"/>
  <c r="S4" i="12"/>
  <c r="G4" i="12"/>
  <c r="R4" i="12"/>
  <c r="F4" i="12"/>
  <c r="Q4" i="12"/>
  <c r="M4" i="12"/>
  <c r="L4" i="12"/>
  <c r="AB4" i="12"/>
  <c r="AA4" i="12"/>
  <c r="Z4" i="12"/>
  <c r="Y4" i="12"/>
  <c r="X4" i="12"/>
  <c r="P4" i="12"/>
  <c r="O4" i="12"/>
  <c r="N4" i="12"/>
  <c r="AC16" i="12"/>
  <c r="W16" i="12"/>
  <c r="K16" i="12"/>
  <c r="V16" i="12"/>
  <c r="J16" i="12"/>
  <c r="U16" i="12"/>
  <c r="I16" i="12"/>
  <c r="T16" i="12"/>
  <c r="H16" i="12"/>
  <c r="S16" i="12"/>
  <c r="G16" i="12"/>
  <c r="R16" i="12"/>
  <c r="F16" i="12"/>
  <c r="Q16" i="12"/>
  <c r="AB16" i="12"/>
  <c r="P16" i="12"/>
  <c r="AA16" i="12"/>
  <c r="O16" i="12"/>
  <c r="Z16" i="12"/>
  <c r="N16" i="12"/>
  <c r="Y16" i="12"/>
  <c r="X16" i="12"/>
  <c r="M16" i="12"/>
  <c r="L16" i="12"/>
  <c r="AC28" i="12"/>
  <c r="W28" i="12"/>
  <c r="K28" i="12"/>
  <c r="V28" i="12"/>
  <c r="J28" i="12"/>
  <c r="U28" i="12"/>
  <c r="I28" i="12"/>
  <c r="T28" i="12"/>
  <c r="H28" i="12"/>
  <c r="S28" i="12"/>
  <c r="G28" i="12"/>
  <c r="R28" i="12"/>
  <c r="F28" i="12"/>
  <c r="Q28" i="12"/>
  <c r="AB28" i="12"/>
  <c r="P28" i="12"/>
  <c r="AA28" i="12"/>
  <c r="O28" i="12"/>
  <c r="Z28" i="12"/>
  <c r="N28" i="12"/>
  <c r="Y28" i="12"/>
  <c r="X28" i="12"/>
  <c r="M28" i="12"/>
  <c r="L28" i="12"/>
  <c r="AC40" i="12"/>
  <c r="R40" i="12"/>
  <c r="F40" i="12"/>
  <c r="Q40" i="12"/>
  <c r="AB40" i="12"/>
  <c r="P40" i="12"/>
  <c r="AA40" i="12"/>
  <c r="O40" i="12"/>
  <c r="X40" i="12"/>
  <c r="L40" i="12"/>
  <c r="Z40" i="12"/>
  <c r="H40" i="12"/>
  <c r="Y40" i="12"/>
  <c r="G40" i="12"/>
  <c r="W40" i="12"/>
  <c r="V40" i="12"/>
  <c r="U40" i="12"/>
  <c r="T40" i="12"/>
  <c r="S40" i="12"/>
  <c r="N40" i="12"/>
  <c r="M40" i="12"/>
  <c r="K40" i="12"/>
  <c r="J40" i="12"/>
  <c r="I40" i="12"/>
  <c r="AC52" i="12"/>
  <c r="R52" i="12"/>
  <c r="F52" i="12"/>
  <c r="Q52" i="12"/>
  <c r="AB52" i="12"/>
  <c r="P52" i="12"/>
  <c r="AA52" i="12"/>
  <c r="O52" i="12"/>
  <c r="Z52" i="12"/>
  <c r="N52" i="12"/>
  <c r="Y52" i="12"/>
  <c r="M52" i="12"/>
  <c r="X52" i="12"/>
  <c r="L52" i="12"/>
  <c r="W52" i="12"/>
  <c r="V52" i="12"/>
  <c r="U52" i="12"/>
  <c r="T52" i="12"/>
  <c r="S52" i="12"/>
  <c r="K52" i="12"/>
  <c r="J52" i="12"/>
  <c r="I52" i="12"/>
  <c r="H52" i="12"/>
  <c r="G52" i="12"/>
  <c r="AC64" i="12"/>
  <c r="R64" i="12"/>
  <c r="F64" i="12"/>
  <c r="Q64" i="12"/>
  <c r="AB64" i="12"/>
  <c r="P64" i="12"/>
  <c r="AA64" i="12"/>
  <c r="O64" i="12"/>
  <c r="Z64" i="12"/>
  <c r="N64" i="12"/>
  <c r="Y64" i="12"/>
  <c r="M64" i="12"/>
  <c r="X64" i="12"/>
  <c r="L64" i="12"/>
  <c r="W64" i="12"/>
  <c r="K64" i="12"/>
  <c r="V64" i="12"/>
  <c r="J64" i="12"/>
  <c r="U64" i="12"/>
  <c r="I64" i="12"/>
  <c r="H64" i="12"/>
  <c r="G64" i="12"/>
  <c r="T64" i="12"/>
  <c r="S64" i="12"/>
  <c r="AC76" i="12"/>
  <c r="R76" i="12"/>
  <c r="F76" i="12"/>
  <c r="Q76" i="12"/>
  <c r="AB76" i="12"/>
  <c r="P76" i="12"/>
  <c r="AA76" i="12"/>
  <c r="O76" i="12"/>
  <c r="Z76" i="12"/>
  <c r="N76" i="12"/>
  <c r="Y76" i="12"/>
  <c r="M76" i="12"/>
  <c r="X76" i="12"/>
  <c r="L76" i="12"/>
  <c r="W76" i="12"/>
  <c r="K76" i="12"/>
  <c r="V76" i="12"/>
  <c r="J76" i="12"/>
  <c r="U76" i="12"/>
  <c r="I76" i="12"/>
  <c r="T76" i="12"/>
  <c r="S76" i="12"/>
  <c r="H76" i="12"/>
  <c r="G76" i="12"/>
  <c r="AC88" i="12"/>
  <c r="Y88" i="12"/>
  <c r="M88" i="12"/>
  <c r="X88" i="12"/>
  <c r="L88" i="12"/>
  <c r="W88" i="12"/>
  <c r="K88" i="12"/>
  <c r="V88" i="12"/>
  <c r="J88" i="12"/>
  <c r="N88" i="12"/>
  <c r="I88" i="12"/>
  <c r="AB88" i="12"/>
  <c r="H88" i="12"/>
  <c r="AA88" i="12"/>
  <c r="G88" i="12"/>
  <c r="Z88" i="12"/>
  <c r="F88" i="12"/>
  <c r="U88" i="12"/>
  <c r="T88" i="12"/>
  <c r="S88" i="12"/>
  <c r="R88" i="12"/>
  <c r="Q88" i="12"/>
  <c r="P88" i="12"/>
  <c r="O88" i="12"/>
  <c r="AC100" i="12"/>
  <c r="Y100" i="12"/>
  <c r="M100" i="12"/>
  <c r="X100" i="12"/>
  <c r="L100" i="12"/>
  <c r="W100" i="12"/>
  <c r="K100" i="12"/>
  <c r="V100" i="12"/>
  <c r="J100" i="12"/>
  <c r="R100" i="12"/>
  <c r="F100" i="12"/>
  <c r="O100" i="12"/>
  <c r="N100" i="12"/>
  <c r="I100" i="12"/>
  <c r="H100" i="12"/>
  <c r="AB100" i="12"/>
  <c r="G100" i="12"/>
  <c r="AA100" i="12"/>
  <c r="Z100" i="12"/>
  <c r="U100" i="12"/>
  <c r="T100" i="12"/>
  <c r="S100" i="12"/>
  <c r="Q100" i="12"/>
  <c r="P100" i="12"/>
  <c r="AC112" i="12"/>
  <c r="Z112" i="12"/>
  <c r="N112" i="12"/>
  <c r="Y112" i="12"/>
  <c r="M112" i="12"/>
  <c r="S112" i="12"/>
  <c r="R112" i="12"/>
  <c r="Q112" i="12"/>
  <c r="P112" i="12"/>
  <c r="O112" i="12"/>
  <c r="AB112" i="12"/>
  <c r="L112" i="12"/>
  <c r="AA112" i="12"/>
  <c r="K112" i="12"/>
  <c r="X112" i="12"/>
  <c r="J112" i="12"/>
  <c r="W112" i="12"/>
  <c r="I112" i="12"/>
  <c r="V112" i="12"/>
  <c r="H112" i="12"/>
  <c r="U112" i="12"/>
  <c r="T112" i="12"/>
  <c r="G112" i="12"/>
  <c r="F112" i="12"/>
  <c r="AC124" i="12"/>
  <c r="Z124" i="12"/>
  <c r="N124" i="12"/>
  <c r="Y124" i="12"/>
  <c r="M124" i="12"/>
  <c r="X124" i="12"/>
  <c r="L124" i="12"/>
  <c r="W124" i="12"/>
  <c r="K124" i="12"/>
  <c r="O124" i="12"/>
  <c r="J124" i="12"/>
  <c r="I124" i="12"/>
  <c r="AB124" i="12"/>
  <c r="H124" i="12"/>
  <c r="AA124" i="12"/>
  <c r="G124" i="12"/>
  <c r="V124" i="12"/>
  <c r="F124" i="12"/>
  <c r="U124" i="12"/>
  <c r="T124" i="12"/>
  <c r="S124" i="12"/>
  <c r="R124" i="12"/>
  <c r="Q124" i="12"/>
  <c r="P124" i="12"/>
  <c r="AC136" i="12"/>
  <c r="Z136" i="12"/>
  <c r="N136" i="12"/>
  <c r="Y136" i="12"/>
  <c r="M136" i="12"/>
  <c r="X136" i="12"/>
  <c r="L136" i="12"/>
  <c r="W136" i="12"/>
  <c r="K136" i="12"/>
  <c r="V136" i="12"/>
  <c r="J136" i="12"/>
  <c r="U136" i="12"/>
  <c r="I136" i="12"/>
  <c r="O136" i="12"/>
  <c r="H136" i="12"/>
  <c r="G136" i="12"/>
  <c r="F136" i="12"/>
  <c r="AB136" i="12"/>
  <c r="AA136" i="12"/>
  <c r="T136" i="12"/>
  <c r="S136" i="12"/>
  <c r="R136" i="12"/>
  <c r="Q136" i="12"/>
  <c r="P136" i="12"/>
  <c r="AC148" i="12"/>
  <c r="Q148" i="12"/>
  <c r="AB148" i="12"/>
  <c r="P148" i="12"/>
  <c r="X148" i="12"/>
  <c r="J148" i="12"/>
  <c r="W148" i="12"/>
  <c r="I148" i="12"/>
  <c r="V148" i="12"/>
  <c r="H148" i="12"/>
  <c r="U148" i="12"/>
  <c r="G148" i="12"/>
  <c r="T148" i="12"/>
  <c r="F148" i="12"/>
  <c r="S148" i="12"/>
  <c r="R148" i="12"/>
  <c r="K148" i="12"/>
  <c r="AA148" i="12"/>
  <c r="Z148" i="12"/>
  <c r="Y148" i="12"/>
  <c r="O148" i="12"/>
  <c r="N148" i="12"/>
  <c r="M148" i="12"/>
  <c r="L148" i="12"/>
  <c r="AC160" i="12"/>
  <c r="R160" i="12"/>
  <c r="F160" i="12"/>
  <c r="Q160" i="12"/>
  <c r="AB160" i="12"/>
  <c r="P160" i="12"/>
  <c r="AA160" i="12"/>
  <c r="O160" i="12"/>
  <c r="X160" i="12"/>
  <c r="L160" i="12"/>
  <c r="W160" i="12"/>
  <c r="K160" i="12"/>
  <c r="G160" i="12"/>
  <c r="Z160" i="12"/>
  <c r="Y160" i="12"/>
  <c r="V160" i="12"/>
  <c r="U160" i="12"/>
  <c r="T160" i="12"/>
  <c r="S160" i="12"/>
  <c r="N160" i="12"/>
  <c r="M160" i="12"/>
  <c r="J160" i="12"/>
  <c r="I160" i="12"/>
  <c r="H160" i="12"/>
  <c r="AC172" i="12"/>
  <c r="Y172" i="12"/>
  <c r="M172" i="12"/>
  <c r="X172" i="12"/>
  <c r="L172" i="12"/>
  <c r="W172" i="12"/>
  <c r="K172" i="12"/>
  <c r="P172" i="12"/>
  <c r="O172" i="12"/>
  <c r="N172" i="12"/>
  <c r="AB172" i="12"/>
  <c r="J172" i="12"/>
  <c r="AA172" i="12"/>
  <c r="Z172" i="12"/>
  <c r="H172" i="12"/>
  <c r="V172" i="12"/>
  <c r="G172" i="12"/>
  <c r="U172" i="12"/>
  <c r="F172" i="12"/>
  <c r="T172" i="12"/>
  <c r="S172" i="12"/>
  <c r="R172" i="12"/>
  <c r="Q172" i="12"/>
  <c r="I172" i="12"/>
  <c r="AC184" i="12"/>
  <c r="Y184" i="12"/>
  <c r="M184" i="12"/>
  <c r="X184" i="12"/>
  <c r="L184" i="12"/>
  <c r="W184" i="12"/>
  <c r="K184" i="12"/>
  <c r="T184" i="12"/>
  <c r="H184" i="12"/>
  <c r="O184" i="12"/>
  <c r="N184" i="12"/>
  <c r="J184" i="12"/>
  <c r="AB184" i="12"/>
  <c r="I184" i="12"/>
  <c r="AA184" i="12"/>
  <c r="G184" i="12"/>
  <c r="Z184" i="12"/>
  <c r="F184" i="12"/>
  <c r="V184" i="12"/>
  <c r="U184" i="12"/>
  <c r="S184" i="12"/>
  <c r="R184" i="12"/>
  <c r="Q184" i="12"/>
  <c r="P184" i="12"/>
  <c r="AC196" i="12"/>
  <c r="V196" i="12"/>
  <c r="J196" i="12"/>
  <c r="U196" i="12"/>
  <c r="I196" i="12"/>
  <c r="P196" i="12"/>
  <c r="O196" i="12"/>
  <c r="AB196" i="12"/>
  <c r="N196" i="12"/>
  <c r="AA196" i="12"/>
  <c r="M196" i="12"/>
  <c r="Z196" i="12"/>
  <c r="Y196" i="12"/>
  <c r="K196" i="12"/>
  <c r="X196" i="12"/>
  <c r="H196" i="12"/>
  <c r="W196" i="12"/>
  <c r="T196" i="12"/>
  <c r="S196" i="12"/>
  <c r="R196" i="12"/>
  <c r="Q196" i="12"/>
  <c r="L196" i="12"/>
  <c r="G196" i="12"/>
  <c r="F196" i="12"/>
  <c r="AC208" i="12"/>
  <c r="S208" i="12"/>
  <c r="G208" i="12"/>
  <c r="Q208" i="12"/>
  <c r="P208" i="12"/>
  <c r="Z208" i="12"/>
  <c r="T208" i="12"/>
  <c r="R208" i="12"/>
  <c r="O208" i="12"/>
  <c r="N208" i="12"/>
  <c r="M208" i="12"/>
  <c r="AB208" i="12"/>
  <c r="L208" i="12"/>
  <c r="AA208" i="12"/>
  <c r="K208" i="12"/>
  <c r="Y208" i="12"/>
  <c r="J208" i="12"/>
  <c r="X208" i="12"/>
  <c r="W208" i="12"/>
  <c r="V208" i="12"/>
  <c r="U208" i="12"/>
  <c r="I208" i="12"/>
  <c r="H208" i="12"/>
  <c r="F208" i="12"/>
  <c r="AC220" i="12"/>
  <c r="S220" i="12"/>
  <c r="G220" i="12"/>
  <c r="P220" i="12"/>
  <c r="AB220" i="12"/>
  <c r="O220" i="12"/>
  <c r="Y220" i="12"/>
  <c r="L220" i="12"/>
  <c r="V220" i="12"/>
  <c r="U220" i="12"/>
  <c r="T220" i="12"/>
  <c r="R220" i="12"/>
  <c r="Q220" i="12"/>
  <c r="N220" i="12"/>
  <c r="M220" i="12"/>
  <c r="K220" i="12"/>
  <c r="AA220" i="12"/>
  <c r="J220" i="12"/>
  <c r="Z220" i="12"/>
  <c r="I220" i="12"/>
  <c r="X220" i="12"/>
  <c r="W220" i="12"/>
  <c r="H220" i="12"/>
  <c r="F220" i="12"/>
  <c r="AC232" i="12"/>
  <c r="S232" i="12"/>
  <c r="G232" i="12"/>
  <c r="R232" i="12"/>
  <c r="F232" i="12"/>
  <c r="Q232" i="12"/>
  <c r="X232" i="12"/>
  <c r="I232" i="12"/>
  <c r="W232" i="12"/>
  <c r="H232" i="12"/>
  <c r="V232" i="12"/>
  <c r="U232" i="12"/>
  <c r="T232" i="12"/>
  <c r="P232" i="12"/>
  <c r="O232" i="12"/>
  <c r="N232" i="12"/>
  <c r="M232" i="12"/>
  <c r="L232" i="12"/>
  <c r="K232" i="12"/>
  <c r="J232" i="12"/>
  <c r="AB232" i="12"/>
  <c r="AA232" i="12"/>
  <c r="Z232" i="12"/>
  <c r="Y232" i="12"/>
  <c r="AC244" i="12"/>
  <c r="V244" i="12"/>
  <c r="J244" i="12"/>
  <c r="X244" i="12"/>
  <c r="K244" i="12"/>
  <c r="W244" i="12"/>
  <c r="I244" i="12"/>
  <c r="U244" i="12"/>
  <c r="H244" i="12"/>
  <c r="Z244" i="12"/>
  <c r="F244" i="12"/>
  <c r="Y244" i="12"/>
  <c r="T244" i="12"/>
  <c r="S244" i="12"/>
  <c r="R244" i="12"/>
  <c r="Q244" i="12"/>
  <c r="P244" i="12"/>
  <c r="O244" i="12"/>
  <c r="AB244" i="12"/>
  <c r="AA244" i="12"/>
  <c r="N244" i="12"/>
  <c r="M244" i="12"/>
  <c r="L244" i="12"/>
  <c r="G244" i="12"/>
  <c r="AC256" i="12"/>
  <c r="V256" i="12"/>
  <c r="J256" i="12"/>
  <c r="T256" i="12"/>
  <c r="H256" i="12"/>
  <c r="S256" i="12"/>
  <c r="G256" i="12"/>
  <c r="P256" i="12"/>
  <c r="O256" i="12"/>
  <c r="N256" i="12"/>
  <c r="AB256" i="12"/>
  <c r="M256" i="12"/>
  <c r="Y256" i="12"/>
  <c r="I256" i="12"/>
  <c r="R256" i="12"/>
  <c r="Q256" i="12"/>
  <c r="L256" i="12"/>
  <c r="K256" i="12"/>
  <c r="F256" i="12"/>
  <c r="AA256" i="12"/>
  <c r="W256" i="12"/>
  <c r="U256" i="12"/>
  <c r="Z256" i="12"/>
  <c r="X256" i="12"/>
  <c r="AC268" i="12"/>
  <c r="V268" i="12"/>
  <c r="J268" i="12"/>
  <c r="T268" i="12"/>
  <c r="H268" i="12"/>
  <c r="S268" i="12"/>
  <c r="G268" i="12"/>
  <c r="AB268" i="12"/>
  <c r="M268" i="12"/>
  <c r="AA268" i="12"/>
  <c r="L268" i="12"/>
  <c r="Z268" i="12"/>
  <c r="K268" i="12"/>
  <c r="Y268" i="12"/>
  <c r="I268" i="12"/>
  <c r="X268" i="12"/>
  <c r="F268" i="12"/>
  <c r="W268" i="12"/>
  <c r="U268" i="12"/>
  <c r="R268" i="12"/>
  <c r="Q268" i="12"/>
  <c r="P268" i="12"/>
  <c r="O268" i="12"/>
  <c r="N268" i="12"/>
  <c r="AC280" i="12"/>
  <c r="V280" i="12"/>
  <c r="J280" i="12"/>
  <c r="U280" i="12"/>
  <c r="T280" i="12"/>
  <c r="H280" i="12"/>
  <c r="S280" i="12"/>
  <c r="G280" i="12"/>
  <c r="R280" i="12"/>
  <c r="F280" i="12"/>
  <c r="Q280" i="12"/>
  <c r="AB280" i="12"/>
  <c r="P280" i="12"/>
  <c r="AA280" i="12"/>
  <c r="O280" i="12"/>
  <c r="Y280" i="12"/>
  <c r="X280" i="12"/>
  <c r="W280" i="12"/>
  <c r="N280" i="12"/>
  <c r="M280" i="12"/>
  <c r="L280" i="12"/>
  <c r="K280" i="12"/>
  <c r="Z280" i="12"/>
  <c r="I280" i="12"/>
  <c r="AC15" i="8"/>
  <c r="F15" i="8"/>
  <c r="Q15" i="8"/>
  <c r="P15" i="8"/>
  <c r="O15" i="8"/>
  <c r="G15" i="8"/>
  <c r="N15" i="8"/>
  <c r="M15" i="8"/>
  <c r="L15" i="8"/>
  <c r="K15" i="8"/>
  <c r="J15" i="8"/>
  <c r="I15" i="8"/>
  <c r="H15" i="8"/>
  <c r="AB15" i="8"/>
  <c r="Y15" i="8"/>
  <c r="Z15" i="8"/>
  <c r="V15" i="8"/>
  <c r="X15" i="8"/>
  <c r="T15" i="8"/>
  <c r="W15" i="8"/>
  <c r="S15" i="8"/>
  <c r="R15" i="8"/>
  <c r="U15" i="8"/>
  <c r="AA15" i="8"/>
  <c r="AC27" i="8"/>
  <c r="AA27" i="8"/>
  <c r="O27" i="8"/>
  <c r="Z27" i="8"/>
  <c r="N27" i="8"/>
  <c r="Y27" i="8"/>
  <c r="M27" i="8"/>
  <c r="X27" i="8"/>
  <c r="L27" i="8"/>
  <c r="W27" i="8"/>
  <c r="K27" i="8"/>
  <c r="V27" i="8"/>
  <c r="J27" i="8"/>
  <c r="P27" i="8"/>
  <c r="U27" i="8"/>
  <c r="I27" i="8"/>
  <c r="Q27" i="8"/>
  <c r="AB27" i="8"/>
  <c r="T27" i="8"/>
  <c r="H27" i="8"/>
  <c r="S27" i="8"/>
  <c r="G27" i="8"/>
  <c r="R27" i="8"/>
  <c r="F27" i="8"/>
  <c r="AC39" i="8"/>
  <c r="X39" i="8"/>
  <c r="L39" i="8"/>
  <c r="W39" i="8"/>
  <c r="K39" i="8"/>
  <c r="V39" i="8"/>
  <c r="J39" i="8"/>
  <c r="Z39" i="8"/>
  <c r="U39" i="8"/>
  <c r="I39" i="8"/>
  <c r="T39" i="8"/>
  <c r="H39" i="8"/>
  <c r="S39" i="8"/>
  <c r="G39" i="8"/>
  <c r="Y39" i="8"/>
  <c r="R39" i="8"/>
  <c r="F39" i="8"/>
  <c r="N39" i="8"/>
  <c r="M39" i="8"/>
  <c r="Q39" i="8"/>
  <c r="AB39" i="8"/>
  <c r="P39" i="8"/>
  <c r="AA39" i="8"/>
  <c r="O39" i="8"/>
  <c r="AC51" i="8"/>
  <c r="R51" i="8"/>
  <c r="F51" i="8"/>
  <c r="Q51" i="8"/>
  <c r="AB51" i="8"/>
  <c r="P51" i="8"/>
  <c r="AA51" i="8"/>
  <c r="O51" i="8"/>
  <c r="Z51" i="8"/>
  <c r="N51" i="8"/>
  <c r="W51" i="8"/>
  <c r="K51" i="8"/>
  <c r="S51" i="8"/>
  <c r="M51" i="8"/>
  <c r="L51" i="8"/>
  <c r="J51" i="8"/>
  <c r="I51" i="8"/>
  <c r="U51" i="8"/>
  <c r="T51" i="8"/>
  <c r="H51" i="8"/>
  <c r="G51" i="8"/>
  <c r="Y51" i="8"/>
  <c r="X51" i="8"/>
  <c r="V51" i="8"/>
  <c r="AC63" i="8"/>
  <c r="U63" i="8"/>
  <c r="I63" i="8"/>
  <c r="T63" i="8"/>
  <c r="H63" i="8"/>
  <c r="S63" i="8"/>
  <c r="G63" i="8"/>
  <c r="R63" i="8"/>
  <c r="F63" i="8"/>
  <c r="Q63" i="8"/>
  <c r="P63" i="8"/>
  <c r="O63" i="8"/>
  <c r="N63" i="8"/>
  <c r="M63" i="8"/>
  <c r="L63" i="8"/>
  <c r="V63" i="8"/>
  <c r="K63" i="8"/>
  <c r="J63" i="8"/>
  <c r="AB63" i="8"/>
  <c r="Y63" i="8"/>
  <c r="Z63" i="8"/>
  <c r="X63" i="8"/>
  <c r="W63" i="8"/>
  <c r="AA63" i="8"/>
  <c r="AC75" i="8"/>
  <c r="Z75" i="8"/>
  <c r="N75" i="8"/>
  <c r="Y75" i="8"/>
  <c r="M75" i="8"/>
  <c r="X75" i="8"/>
  <c r="L75" i="8"/>
  <c r="W75" i="8"/>
  <c r="K75" i="8"/>
  <c r="V75" i="8"/>
  <c r="J75" i="8"/>
  <c r="U75" i="8"/>
  <c r="I75" i="8"/>
  <c r="T75" i="8"/>
  <c r="H75" i="8"/>
  <c r="S75" i="8"/>
  <c r="G75" i="8"/>
  <c r="R75" i="8"/>
  <c r="F75" i="8"/>
  <c r="Q75" i="8"/>
  <c r="AB75" i="8"/>
  <c r="AA75" i="8"/>
  <c r="P75" i="8"/>
  <c r="O75" i="8"/>
  <c r="AC87" i="8"/>
  <c r="Q87" i="8"/>
  <c r="AB87" i="8"/>
  <c r="P87" i="8"/>
  <c r="AA87" i="8"/>
  <c r="O87" i="8"/>
  <c r="Z87" i="8"/>
  <c r="N87" i="8"/>
  <c r="Y87" i="8"/>
  <c r="M87" i="8"/>
  <c r="X87" i="8"/>
  <c r="L87" i="8"/>
  <c r="W87" i="8"/>
  <c r="K87" i="8"/>
  <c r="V87" i="8"/>
  <c r="J87" i="8"/>
  <c r="U87" i="8"/>
  <c r="I87" i="8"/>
  <c r="T87" i="8"/>
  <c r="H87" i="8"/>
  <c r="S87" i="8"/>
  <c r="R87" i="8"/>
  <c r="G87" i="8"/>
  <c r="F87" i="8"/>
  <c r="AC99" i="8"/>
  <c r="P99" i="8"/>
  <c r="O99" i="8"/>
  <c r="N99" i="8"/>
  <c r="M99" i="8"/>
  <c r="L99" i="8"/>
  <c r="K99" i="8"/>
  <c r="J99" i="8"/>
  <c r="I99" i="8"/>
  <c r="H99" i="8"/>
  <c r="G99" i="8"/>
  <c r="Q99" i="8"/>
  <c r="F99" i="8"/>
  <c r="AB99" i="8"/>
  <c r="Y99" i="8"/>
  <c r="Z99" i="8"/>
  <c r="X99" i="8"/>
  <c r="AA99" i="8"/>
  <c r="U99" i="8"/>
  <c r="T99" i="8"/>
  <c r="V99" i="8"/>
  <c r="R99" i="8"/>
  <c r="S99" i="8"/>
  <c r="W99" i="8"/>
  <c r="AC111" i="8"/>
  <c r="Y111" i="8"/>
  <c r="M111" i="8"/>
  <c r="X111" i="8"/>
  <c r="L111" i="8"/>
  <c r="W111" i="8"/>
  <c r="K111" i="8"/>
  <c r="V111" i="8"/>
  <c r="J111" i="8"/>
  <c r="U111" i="8"/>
  <c r="I111" i="8"/>
  <c r="T111" i="8"/>
  <c r="H111" i="8"/>
  <c r="S111" i="8"/>
  <c r="G111" i="8"/>
  <c r="R111" i="8"/>
  <c r="F111" i="8"/>
  <c r="Q111" i="8"/>
  <c r="AB111" i="8"/>
  <c r="P111" i="8"/>
  <c r="AA111" i="8"/>
  <c r="Z111" i="8"/>
  <c r="O111" i="8"/>
  <c r="N111" i="8"/>
  <c r="AC123" i="8"/>
  <c r="W123" i="8"/>
  <c r="V123" i="8"/>
  <c r="J123" i="8"/>
  <c r="U123" i="8"/>
  <c r="T123" i="8"/>
  <c r="S123" i="8"/>
  <c r="Q123" i="8"/>
  <c r="P123" i="8"/>
  <c r="O123" i="8"/>
  <c r="N123" i="8"/>
  <c r="M123" i="8"/>
  <c r="L123" i="8"/>
  <c r="K123" i="8"/>
  <c r="AB123" i="8"/>
  <c r="I123" i="8"/>
  <c r="AA123" i="8"/>
  <c r="H123" i="8"/>
  <c r="Z123" i="8"/>
  <c r="G123" i="8"/>
  <c r="Y123" i="8"/>
  <c r="F123" i="8"/>
  <c r="X123" i="8"/>
  <c r="R123" i="8"/>
  <c r="AC135" i="8"/>
  <c r="Y135" i="8"/>
  <c r="M135" i="8"/>
  <c r="X135" i="8"/>
  <c r="L135" i="8"/>
  <c r="W135" i="8"/>
  <c r="K135" i="8"/>
  <c r="V135" i="8"/>
  <c r="J135" i="8"/>
  <c r="U135" i="8"/>
  <c r="I135" i="8"/>
  <c r="T135" i="8"/>
  <c r="H135" i="8"/>
  <c r="S135" i="8"/>
  <c r="G135" i="8"/>
  <c r="O135" i="8"/>
  <c r="N135" i="8"/>
  <c r="F135" i="8"/>
  <c r="AB135" i="8"/>
  <c r="AA135" i="8"/>
  <c r="Z135" i="8"/>
  <c r="R135" i="8"/>
  <c r="P135" i="8"/>
  <c r="Q135" i="8"/>
  <c r="AC147" i="8"/>
  <c r="T147" i="8"/>
  <c r="H147" i="8"/>
  <c r="S147" i="8"/>
  <c r="G147" i="8"/>
  <c r="R147" i="8"/>
  <c r="F147" i="8"/>
  <c r="Q147" i="8"/>
  <c r="P147" i="8"/>
  <c r="O147" i="8"/>
  <c r="N147" i="8"/>
  <c r="M147" i="8"/>
  <c r="L147" i="8"/>
  <c r="K147" i="8"/>
  <c r="I147" i="8"/>
  <c r="U147" i="8"/>
  <c r="J147" i="8"/>
  <c r="AB147" i="8"/>
  <c r="Z147" i="8"/>
  <c r="Y147" i="8"/>
  <c r="W147" i="8"/>
  <c r="V147" i="8"/>
  <c r="AA147" i="8"/>
  <c r="X147" i="8"/>
  <c r="AC159" i="8"/>
  <c r="X159" i="8"/>
  <c r="L159" i="8"/>
  <c r="W159" i="8"/>
  <c r="K159" i="8"/>
  <c r="V159" i="8"/>
  <c r="J159" i="8"/>
  <c r="U159" i="8"/>
  <c r="I159" i="8"/>
  <c r="T159" i="8"/>
  <c r="H159" i="8"/>
  <c r="S159" i="8"/>
  <c r="G159" i="8"/>
  <c r="R159" i="8"/>
  <c r="F159" i="8"/>
  <c r="Q159" i="8"/>
  <c r="AB159" i="8"/>
  <c r="P159" i="8"/>
  <c r="AA159" i="8"/>
  <c r="O159" i="8"/>
  <c r="Z159" i="8"/>
  <c r="Y159" i="8"/>
  <c r="N159" i="8"/>
  <c r="M159" i="8"/>
  <c r="AC171" i="8"/>
  <c r="V171" i="8"/>
  <c r="J171" i="8"/>
  <c r="U171" i="8"/>
  <c r="I171" i="8"/>
  <c r="T171" i="8"/>
  <c r="H171" i="8"/>
  <c r="S171" i="8"/>
  <c r="G171" i="8"/>
  <c r="R171" i="8"/>
  <c r="F171" i="8"/>
  <c r="Q171" i="8"/>
  <c r="AB171" i="8"/>
  <c r="P171" i="8"/>
  <c r="AA171" i="8"/>
  <c r="O171" i="8"/>
  <c r="Z171" i="8"/>
  <c r="N171" i="8"/>
  <c r="Y171" i="8"/>
  <c r="M171" i="8"/>
  <c r="W171" i="8"/>
  <c r="L171" i="8"/>
  <c r="K171" i="8"/>
  <c r="X171" i="8"/>
  <c r="AC183" i="8"/>
  <c r="AA183" i="8"/>
  <c r="O183" i="8"/>
  <c r="Z183" i="8"/>
  <c r="N183" i="8"/>
  <c r="Y183" i="8"/>
  <c r="M183" i="8"/>
  <c r="X183" i="8"/>
  <c r="L183" i="8"/>
  <c r="W183" i="8"/>
  <c r="K183" i="8"/>
  <c r="V183" i="8"/>
  <c r="J183" i="8"/>
  <c r="U183" i="8"/>
  <c r="I183" i="8"/>
  <c r="T183" i="8"/>
  <c r="H183" i="8"/>
  <c r="S183" i="8"/>
  <c r="G183" i="8"/>
  <c r="R183" i="8"/>
  <c r="F183" i="8"/>
  <c r="AB183" i="8"/>
  <c r="Q183" i="8"/>
  <c r="P183" i="8"/>
  <c r="AC195" i="8"/>
  <c r="L195" i="8"/>
  <c r="M195" i="8"/>
  <c r="K195" i="8"/>
  <c r="J195" i="8"/>
  <c r="I195" i="8"/>
  <c r="H195" i="8"/>
  <c r="G195" i="8"/>
  <c r="F195" i="8"/>
  <c r="Q195" i="8"/>
  <c r="P195" i="8"/>
  <c r="O195" i="8"/>
  <c r="N195" i="8"/>
  <c r="AB195" i="8"/>
  <c r="Y195" i="8"/>
  <c r="Z195" i="8"/>
  <c r="R195" i="8"/>
  <c r="V195" i="8"/>
  <c r="W195" i="8"/>
  <c r="U195" i="8"/>
  <c r="S195" i="8"/>
  <c r="AA195" i="8"/>
  <c r="T195" i="8"/>
  <c r="X195" i="8"/>
  <c r="AC207" i="8"/>
  <c r="U207" i="8"/>
  <c r="I207" i="8"/>
  <c r="R207" i="8"/>
  <c r="F207" i="8"/>
  <c r="Q207" i="8"/>
  <c r="AB207" i="8"/>
  <c r="P207" i="8"/>
  <c r="AA207" i="8"/>
  <c r="O207" i="8"/>
  <c r="Z207" i="8"/>
  <c r="N207" i="8"/>
  <c r="Y207" i="8"/>
  <c r="M207" i="8"/>
  <c r="K207" i="8"/>
  <c r="J207" i="8"/>
  <c r="H207" i="8"/>
  <c r="G207" i="8"/>
  <c r="X207" i="8"/>
  <c r="W207" i="8"/>
  <c r="V207" i="8"/>
  <c r="T207" i="8"/>
  <c r="S207" i="8"/>
  <c r="L207" i="8"/>
  <c r="AC219" i="8"/>
  <c r="AB219" i="8"/>
  <c r="P219" i="8"/>
  <c r="AA219" i="8"/>
  <c r="O219" i="8"/>
  <c r="Z219" i="8"/>
  <c r="N219" i="8"/>
  <c r="Y219" i="8"/>
  <c r="M219" i="8"/>
  <c r="X219" i="8"/>
  <c r="L219" i="8"/>
  <c r="W219" i="8"/>
  <c r="K219" i="8"/>
  <c r="V219" i="8"/>
  <c r="J219" i="8"/>
  <c r="U219" i="8"/>
  <c r="I219" i="8"/>
  <c r="T219" i="8"/>
  <c r="H219" i="8"/>
  <c r="S219" i="8"/>
  <c r="R219" i="8"/>
  <c r="Q219" i="8"/>
  <c r="G219" i="8"/>
  <c r="F219" i="8"/>
  <c r="AC231" i="8"/>
  <c r="Z231" i="8"/>
  <c r="N231" i="8"/>
  <c r="Y231" i="8"/>
  <c r="M231" i="8"/>
  <c r="X231" i="8"/>
  <c r="L231" i="8"/>
  <c r="W231" i="8"/>
  <c r="K231" i="8"/>
  <c r="V231" i="8"/>
  <c r="J231" i="8"/>
  <c r="U231" i="8"/>
  <c r="I231" i="8"/>
  <c r="T231" i="8"/>
  <c r="H231" i="8"/>
  <c r="S231" i="8"/>
  <c r="G231" i="8"/>
  <c r="R231" i="8"/>
  <c r="F231" i="8"/>
  <c r="AB231" i="8"/>
  <c r="AA231" i="8"/>
  <c r="Q231" i="8"/>
  <c r="P231" i="8"/>
  <c r="O231" i="8"/>
  <c r="AC243" i="8"/>
  <c r="V243" i="8"/>
  <c r="J243" i="8"/>
  <c r="U243" i="8"/>
  <c r="I243" i="8"/>
  <c r="Y243" i="8"/>
  <c r="K243" i="8"/>
  <c r="X243" i="8"/>
  <c r="H243" i="8"/>
  <c r="W243" i="8"/>
  <c r="G243" i="8"/>
  <c r="T243" i="8"/>
  <c r="F243" i="8"/>
  <c r="S243" i="8"/>
  <c r="R243" i="8"/>
  <c r="Q243" i="8"/>
  <c r="P243" i="8"/>
  <c r="O243" i="8"/>
  <c r="AB243" i="8"/>
  <c r="N243" i="8"/>
  <c r="AA243" i="8"/>
  <c r="Z243" i="8"/>
  <c r="M243" i="8"/>
  <c r="L243" i="8"/>
  <c r="AC255" i="8"/>
  <c r="U255" i="8"/>
  <c r="I255" i="8"/>
  <c r="T255" i="8"/>
  <c r="H255" i="8"/>
  <c r="AB255" i="8"/>
  <c r="N255" i="8"/>
  <c r="AA255" i="8"/>
  <c r="M255" i="8"/>
  <c r="Z255" i="8"/>
  <c r="L255" i="8"/>
  <c r="Y255" i="8"/>
  <c r="K255" i="8"/>
  <c r="X255" i="8"/>
  <c r="J255" i="8"/>
  <c r="W255" i="8"/>
  <c r="G255" i="8"/>
  <c r="V255" i="8"/>
  <c r="F255" i="8"/>
  <c r="S255" i="8"/>
  <c r="R255" i="8"/>
  <c r="Q255" i="8"/>
  <c r="P255" i="8"/>
  <c r="O255" i="8"/>
  <c r="AC267" i="8"/>
  <c r="Y267" i="8"/>
  <c r="M267" i="8"/>
  <c r="X267" i="8"/>
  <c r="L267" i="8"/>
  <c r="AA267" i="8"/>
  <c r="O267" i="8"/>
  <c r="T267" i="8"/>
  <c r="S267" i="8"/>
  <c r="R267" i="8"/>
  <c r="Q267" i="8"/>
  <c r="P267" i="8"/>
  <c r="N267" i="8"/>
  <c r="K267" i="8"/>
  <c r="AB267" i="8"/>
  <c r="J267" i="8"/>
  <c r="Z267" i="8"/>
  <c r="I267" i="8"/>
  <c r="W267" i="8"/>
  <c r="H267" i="8"/>
  <c r="F267" i="8"/>
  <c r="V267" i="8"/>
  <c r="G267" i="8"/>
  <c r="U267" i="8"/>
  <c r="AC279" i="8"/>
  <c r="X279" i="8"/>
  <c r="L279" i="8"/>
  <c r="W279" i="8"/>
  <c r="K279" i="8"/>
  <c r="AB279" i="8"/>
  <c r="P279" i="8"/>
  <c r="Z279" i="8"/>
  <c r="N279" i="8"/>
  <c r="S279" i="8"/>
  <c r="R279" i="8"/>
  <c r="Q279" i="8"/>
  <c r="O279" i="8"/>
  <c r="M279" i="8"/>
  <c r="J279" i="8"/>
  <c r="I279" i="8"/>
  <c r="AA279" i="8"/>
  <c r="H279" i="8"/>
  <c r="Y279" i="8"/>
  <c r="G279" i="8"/>
  <c r="V279" i="8"/>
  <c r="F279" i="8"/>
  <c r="U279" i="8"/>
  <c r="T279" i="8"/>
  <c r="AC291" i="8"/>
  <c r="Y291" i="8"/>
  <c r="L291" i="8"/>
  <c r="X291" i="8"/>
  <c r="K291" i="8"/>
  <c r="W291" i="8"/>
  <c r="J291" i="8"/>
  <c r="P291" i="8"/>
  <c r="AB291" i="8"/>
  <c r="O291" i="8"/>
  <c r="AA291" i="8"/>
  <c r="N291" i="8"/>
  <c r="Q291" i="8"/>
  <c r="M291" i="8"/>
  <c r="I291" i="8"/>
  <c r="H291" i="8"/>
  <c r="G291" i="8"/>
  <c r="F291" i="8"/>
  <c r="Z291" i="8"/>
  <c r="V291" i="8"/>
  <c r="U291" i="8"/>
  <c r="T291" i="8"/>
  <c r="R291" i="8"/>
  <c r="S291" i="8"/>
  <c r="AC5" i="12"/>
  <c r="X5" i="12"/>
  <c r="L5" i="12"/>
  <c r="W5" i="12"/>
  <c r="K5" i="12"/>
  <c r="V5" i="12"/>
  <c r="J5" i="12"/>
  <c r="U5" i="12"/>
  <c r="I5" i="12"/>
  <c r="T5" i="12"/>
  <c r="H5" i="12"/>
  <c r="S5" i="12"/>
  <c r="G5" i="12"/>
  <c r="R5" i="12"/>
  <c r="F5" i="12"/>
  <c r="AA5" i="12"/>
  <c r="O5" i="12"/>
  <c r="Q5" i="12"/>
  <c r="P5" i="12"/>
  <c r="N5" i="12"/>
  <c r="M5" i="12"/>
  <c r="AB5" i="12"/>
  <c r="Z5" i="12"/>
  <c r="Y5" i="12"/>
  <c r="AC17" i="12"/>
  <c r="X17" i="12"/>
  <c r="L17" i="12"/>
  <c r="W17" i="12"/>
  <c r="K17" i="12"/>
  <c r="V17" i="12"/>
  <c r="J17" i="12"/>
  <c r="U17" i="12"/>
  <c r="I17" i="12"/>
  <c r="T17" i="12"/>
  <c r="H17" i="12"/>
  <c r="S17" i="12"/>
  <c r="G17" i="12"/>
  <c r="R17" i="12"/>
  <c r="F17" i="12"/>
  <c r="Q17" i="12"/>
  <c r="AB17" i="12"/>
  <c r="P17" i="12"/>
  <c r="AA17" i="12"/>
  <c r="O17" i="12"/>
  <c r="Z17" i="12"/>
  <c r="Y17" i="12"/>
  <c r="N17" i="12"/>
  <c r="M17" i="12"/>
  <c r="AC29" i="12"/>
  <c r="X29" i="12"/>
  <c r="L29" i="12"/>
  <c r="W29" i="12"/>
  <c r="K29" i="12"/>
  <c r="V29" i="12"/>
  <c r="J29" i="12"/>
  <c r="U29" i="12"/>
  <c r="I29" i="12"/>
  <c r="T29" i="12"/>
  <c r="H29" i="12"/>
  <c r="S29" i="12"/>
  <c r="G29" i="12"/>
  <c r="R29" i="12"/>
  <c r="F29" i="12"/>
  <c r="Q29" i="12"/>
  <c r="AB29" i="12"/>
  <c r="P29" i="12"/>
  <c r="AA29" i="12"/>
  <c r="O29" i="12"/>
  <c r="Z29" i="12"/>
  <c r="Y29" i="12"/>
  <c r="N29" i="12"/>
  <c r="M29" i="12"/>
  <c r="AC41" i="12"/>
  <c r="S41" i="12"/>
  <c r="G41" i="12"/>
  <c r="R41" i="12"/>
  <c r="F41" i="12"/>
  <c r="Q41" i="12"/>
  <c r="AB41" i="12"/>
  <c r="P41" i="12"/>
  <c r="Y41" i="12"/>
  <c r="M41" i="12"/>
  <c r="X41" i="12"/>
  <c r="W41" i="12"/>
  <c r="V41" i="12"/>
  <c r="U41" i="12"/>
  <c r="T41" i="12"/>
  <c r="O41" i="12"/>
  <c r="N41" i="12"/>
  <c r="L41" i="12"/>
  <c r="K41" i="12"/>
  <c r="J41" i="12"/>
  <c r="AA41" i="12"/>
  <c r="Z41" i="12"/>
  <c r="I41" i="12"/>
  <c r="H41" i="12"/>
  <c r="AC53" i="12"/>
  <c r="S53" i="12"/>
  <c r="G53" i="12"/>
  <c r="R53" i="12"/>
  <c r="F53" i="12"/>
  <c r="Q53" i="12"/>
  <c r="AB53" i="12"/>
  <c r="P53" i="12"/>
  <c r="AA53" i="12"/>
  <c r="O53" i="12"/>
  <c r="Z53" i="12"/>
  <c r="N53" i="12"/>
  <c r="Y53" i="12"/>
  <c r="M53" i="12"/>
  <c r="H53" i="12"/>
  <c r="X53" i="12"/>
  <c r="W53" i="12"/>
  <c r="V53" i="12"/>
  <c r="U53" i="12"/>
  <c r="T53" i="12"/>
  <c r="L53" i="12"/>
  <c r="K53" i="12"/>
  <c r="J53" i="12"/>
  <c r="I53" i="12"/>
  <c r="AC65" i="12"/>
  <c r="S65" i="12"/>
  <c r="G65" i="12"/>
  <c r="R65" i="12"/>
  <c r="F65" i="12"/>
  <c r="Q65" i="12"/>
  <c r="AB65" i="12"/>
  <c r="P65" i="12"/>
  <c r="AA65" i="12"/>
  <c r="O65" i="12"/>
  <c r="Z65" i="12"/>
  <c r="N65" i="12"/>
  <c r="Y65" i="12"/>
  <c r="M65" i="12"/>
  <c r="X65" i="12"/>
  <c r="L65" i="12"/>
  <c r="W65" i="12"/>
  <c r="K65" i="12"/>
  <c r="V65" i="12"/>
  <c r="J65" i="12"/>
  <c r="U65" i="12"/>
  <c r="T65" i="12"/>
  <c r="I65" i="12"/>
  <c r="H65" i="12"/>
  <c r="AC77" i="12"/>
  <c r="S77" i="12"/>
  <c r="G77" i="12"/>
  <c r="R77" i="12"/>
  <c r="F77" i="12"/>
  <c r="Q77" i="12"/>
  <c r="AB77" i="12"/>
  <c r="P77" i="12"/>
  <c r="AA77" i="12"/>
  <c r="O77" i="12"/>
  <c r="Z77" i="12"/>
  <c r="N77" i="12"/>
  <c r="Y77" i="12"/>
  <c r="M77" i="12"/>
  <c r="X77" i="12"/>
  <c r="L77" i="12"/>
  <c r="W77" i="12"/>
  <c r="K77" i="12"/>
  <c r="V77" i="12"/>
  <c r="J77" i="12"/>
  <c r="U77" i="12"/>
  <c r="T77" i="12"/>
  <c r="I77" i="12"/>
  <c r="H77" i="12"/>
  <c r="AC89" i="12"/>
  <c r="Z89" i="12"/>
  <c r="N89" i="12"/>
  <c r="Y89" i="12"/>
  <c r="M89" i="12"/>
  <c r="X89" i="12"/>
  <c r="L89" i="12"/>
  <c r="W89" i="12"/>
  <c r="K89" i="12"/>
  <c r="AA89" i="12"/>
  <c r="G89" i="12"/>
  <c r="V89" i="12"/>
  <c r="F89" i="12"/>
  <c r="U89" i="12"/>
  <c r="T89" i="12"/>
  <c r="S89" i="12"/>
  <c r="R89" i="12"/>
  <c r="Q89" i="12"/>
  <c r="P89" i="12"/>
  <c r="O89" i="12"/>
  <c r="J89" i="12"/>
  <c r="AB89" i="12"/>
  <c r="I89" i="12"/>
  <c r="H89" i="12"/>
  <c r="AC101" i="12"/>
  <c r="Z101" i="12"/>
  <c r="N101" i="12"/>
  <c r="Y101" i="12"/>
  <c r="M101" i="12"/>
  <c r="X101" i="12"/>
  <c r="L101" i="12"/>
  <c r="W101" i="12"/>
  <c r="K101" i="12"/>
  <c r="S101" i="12"/>
  <c r="G101" i="12"/>
  <c r="J101" i="12"/>
  <c r="I101" i="12"/>
  <c r="H101" i="12"/>
  <c r="AB101" i="12"/>
  <c r="F101" i="12"/>
  <c r="AA101" i="12"/>
  <c r="V101" i="12"/>
  <c r="U101" i="12"/>
  <c r="T101" i="12"/>
  <c r="R101" i="12"/>
  <c r="Q101" i="12"/>
  <c r="P101" i="12"/>
  <c r="O101" i="12"/>
  <c r="AC113" i="12"/>
  <c r="AA113" i="12"/>
  <c r="O113" i="12"/>
  <c r="Z113" i="12"/>
  <c r="N113" i="12"/>
  <c r="X113" i="12"/>
  <c r="J113" i="12"/>
  <c r="W113" i="12"/>
  <c r="I113" i="12"/>
  <c r="V113" i="12"/>
  <c r="H113" i="12"/>
  <c r="U113" i="12"/>
  <c r="G113" i="12"/>
  <c r="T113" i="12"/>
  <c r="F113" i="12"/>
  <c r="S113" i="12"/>
  <c r="R113" i="12"/>
  <c r="Q113" i="12"/>
  <c r="P113" i="12"/>
  <c r="M113" i="12"/>
  <c r="AB113" i="12"/>
  <c r="Y113" i="12"/>
  <c r="L113" i="12"/>
  <c r="K113" i="12"/>
  <c r="AC125" i="12"/>
  <c r="AA125" i="12"/>
  <c r="O125" i="12"/>
  <c r="Z125" i="12"/>
  <c r="N125" i="12"/>
  <c r="Y125" i="12"/>
  <c r="M125" i="12"/>
  <c r="X125" i="12"/>
  <c r="L125" i="12"/>
  <c r="AB125" i="12"/>
  <c r="H125" i="12"/>
  <c r="W125" i="12"/>
  <c r="G125" i="12"/>
  <c r="V125" i="12"/>
  <c r="F125" i="12"/>
  <c r="U125" i="12"/>
  <c r="T125" i="12"/>
  <c r="S125" i="12"/>
  <c r="R125" i="12"/>
  <c r="Q125" i="12"/>
  <c r="P125" i="12"/>
  <c r="K125" i="12"/>
  <c r="J125" i="12"/>
  <c r="I125" i="12"/>
  <c r="AC137" i="12"/>
  <c r="AA137" i="12"/>
  <c r="O137" i="12"/>
  <c r="Z137" i="12"/>
  <c r="N137" i="12"/>
  <c r="Y137" i="12"/>
  <c r="M137" i="12"/>
  <c r="X137" i="12"/>
  <c r="L137" i="12"/>
  <c r="W137" i="12"/>
  <c r="K137" i="12"/>
  <c r="V137" i="12"/>
  <c r="J137" i="12"/>
  <c r="P137" i="12"/>
  <c r="I137" i="12"/>
  <c r="H137" i="12"/>
  <c r="G137" i="12"/>
  <c r="F137" i="12"/>
  <c r="AB137" i="12"/>
  <c r="U137" i="12"/>
  <c r="T137" i="12"/>
  <c r="S137" i="12"/>
  <c r="R137" i="12"/>
  <c r="Q137" i="12"/>
  <c r="AC149" i="12"/>
  <c r="R149" i="12"/>
  <c r="F149" i="12"/>
  <c r="Q149" i="12"/>
  <c r="O149" i="12"/>
  <c r="AB149" i="12"/>
  <c r="N149" i="12"/>
  <c r="AA149" i="12"/>
  <c r="M149" i="12"/>
  <c r="Z149" i="12"/>
  <c r="L149" i="12"/>
  <c r="Y149" i="12"/>
  <c r="K149" i="12"/>
  <c r="X149" i="12"/>
  <c r="J149" i="12"/>
  <c r="W149" i="12"/>
  <c r="I149" i="12"/>
  <c r="U149" i="12"/>
  <c r="G149" i="12"/>
  <c r="V149" i="12"/>
  <c r="T149" i="12"/>
  <c r="S149" i="12"/>
  <c r="P149" i="12"/>
  <c r="H149" i="12"/>
  <c r="AC161" i="12"/>
  <c r="S161" i="12"/>
  <c r="G161" i="12"/>
  <c r="R161" i="12"/>
  <c r="F161" i="12"/>
  <c r="Q161" i="12"/>
  <c r="AB161" i="12"/>
  <c r="P161" i="12"/>
  <c r="Y161" i="12"/>
  <c r="M161" i="12"/>
  <c r="X161" i="12"/>
  <c r="L161" i="12"/>
  <c r="H161" i="12"/>
  <c r="AA161" i="12"/>
  <c r="Z161" i="12"/>
  <c r="W161" i="12"/>
  <c r="V161" i="12"/>
  <c r="U161" i="12"/>
  <c r="T161" i="12"/>
  <c r="O161" i="12"/>
  <c r="N161" i="12"/>
  <c r="K161" i="12"/>
  <c r="J161" i="12"/>
  <c r="I161" i="12"/>
  <c r="AC173" i="12"/>
  <c r="Z173" i="12"/>
  <c r="N173" i="12"/>
  <c r="Y173" i="12"/>
  <c r="M173" i="12"/>
  <c r="X173" i="12"/>
  <c r="L173" i="12"/>
  <c r="W173" i="12"/>
  <c r="H173" i="12"/>
  <c r="V173" i="12"/>
  <c r="G173" i="12"/>
  <c r="U173" i="12"/>
  <c r="F173" i="12"/>
  <c r="T173" i="12"/>
  <c r="S173" i="12"/>
  <c r="R173" i="12"/>
  <c r="Q173" i="12"/>
  <c r="P173" i="12"/>
  <c r="AB173" i="12"/>
  <c r="AA173" i="12"/>
  <c r="O173" i="12"/>
  <c r="K173" i="12"/>
  <c r="J173" i="12"/>
  <c r="I173" i="12"/>
  <c r="AC185" i="12"/>
  <c r="Z185" i="12"/>
  <c r="N185" i="12"/>
  <c r="Y185" i="12"/>
  <c r="M185" i="12"/>
  <c r="X185" i="12"/>
  <c r="L185" i="12"/>
  <c r="U185" i="12"/>
  <c r="I185" i="12"/>
  <c r="AB185" i="12"/>
  <c r="H185" i="12"/>
  <c r="AA185" i="12"/>
  <c r="G185" i="12"/>
  <c r="W185" i="12"/>
  <c r="F185" i="12"/>
  <c r="V185" i="12"/>
  <c r="T185" i="12"/>
  <c r="S185" i="12"/>
  <c r="R185" i="12"/>
  <c r="Q185" i="12"/>
  <c r="P185" i="12"/>
  <c r="O185" i="12"/>
  <c r="K185" i="12"/>
  <c r="J185" i="12"/>
  <c r="AC197" i="12"/>
  <c r="W197" i="12"/>
  <c r="K197" i="12"/>
  <c r="V197" i="12"/>
  <c r="J197" i="12"/>
  <c r="U197" i="12"/>
  <c r="G197" i="12"/>
  <c r="T197" i="12"/>
  <c r="F197" i="12"/>
  <c r="S197" i="12"/>
  <c r="R197" i="12"/>
  <c r="Q197" i="12"/>
  <c r="P197" i="12"/>
  <c r="O197" i="12"/>
  <c r="AB197" i="12"/>
  <c r="N197" i="12"/>
  <c r="M197" i="12"/>
  <c r="L197" i="12"/>
  <c r="I197" i="12"/>
  <c r="H197" i="12"/>
  <c r="AA197" i="12"/>
  <c r="Z197" i="12"/>
  <c r="Y197" i="12"/>
  <c r="X197" i="12"/>
  <c r="AC209" i="12"/>
  <c r="T209" i="12"/>
  <c r="H209" i="12"/>
  <c r="U209" i="12"/>
  <c r="G209" i="12"/>
  <c r="S209" i="12"/>
  <c r="F209" i="12"/>
  <c r="P209" i="12"/>
  <c r="M209" i="12"/>
  <c r="AB209" i="12"/>
  <c r="L209" i="12"/>
  <c r="AA209" i="12"/>
  <c r="K209" i="12"/>
  <c r="Z209" i="12"/>
  <c r="J209" i="12"/>
  <c r="Y209" i="12"/>
  <c r="I209" i="12"/>
  <c r="X209" i="12"/>
  <c r="W209" i="12"/>
  <c r="V209" i="12"/>
  <c r="R209" i="12"/>
  <c r="Q209" i="12"/>
  <c r="O209" i="12"/>
  <c r="N209" i="12"/>
  <c r="AC221" i="12"/>
  <c r="T221" i="12"/>
  <c r="H221" i="12"/>
  <c r="S221" i="12"/>
  <c r="F221" i="12"/>
  <c r="R221" i="12"/>
  <c r="AB221" i="12"/>
  <c r="O221" i="12"/>
  <c r="P221" i="12"/>
  <c r="N221" i="12"/>
  <c r="M221" i="12"/>
  <c r="L221" i="12"/>
  <c r="AA221" i="12"/>
  <c r="K221" i="12"/>
  <c r="Z221" i="12"/>
  <c r="J221" i="12"/>
  <c r="Y221" i="12"/>
  <c r="I221" i="12"/>
  <c r="X221" i="12"/>
  <c r="G221" i="12"/>
  <c r="W221" i="12"/>
  <c r="V221" i="12"/>
  <c r="U221" i="12"/>
  <c r="Q221" i="12"/>
  <c r="AC233" i="12"/>
  <c r="T233" i="12"/>
  <c r="H233" i="12"/>
  <c r="S233" i="12"/>
  <c r="G233" i="12"/>
  <c r="R233" i="12"/>
  <c r="F233" i="12"/>
  <c r="P233" i="12"/>
  <c r="O233" i="12"/>
  <c r="N233" i="12"/>
  <c r="AB233" i="12"/>
  <c r="M233" i="12"/>
  <c r="AA233" i="12"/>
  <c r="L233" i="12"/>
  <c r="Z233" i="12"/>
  <c r="K233" i="12"/>
  <c r="Y233" i="12"/>
  <c r="X233" i="12"/>
  <c r="W233" i="12"/>
  <c r="V233" i="12"/>
  <c r="U233" i="12"/>
  <c r="Q233" i="12"/>
  <c r="J233" i="12"/>
  <c r="I233" i="12"/>
  <c r="AC245" i="12"/>
  <c r="W245" i="12"/>
  <c r="K245" i="12"/>
  <c r="AA245" i="12"/>
  <c r="N245" i="12"/>
  <c r="Z245" i="12"/>
  <c r="M245" i="12"/>
  <c r="Y245" i="12"/>
  <c r="L245" i="12"/>
  <c r="S245" i="12"/>
  <c r="R245" i="12"/>
  <c r="Q245" i="12"/>
  <c r="P245" i="12"/>
  <c r="O245" i="12"/>
  <c r="J245" i="12"/>
  <c r="I245" i="12"/>
  <c r="AB245" i="12"/>
  <c r="H245" i="12"/>
  <c r="U245" i="12"/>
  <c r="T245" i="12"/>
  <c r="G245" i="12"/>
  <c r="F245" i="12"/>
  <c r="X245" i="12"/>
  <c r="V245" i="12"/>
  <c r="AC257" i="12"/>
  <c r="W257" i="12"/>
  <c r="K257" i="12"/>
  <c r="U257" i="12"/>
  <c r="I257" i="12"/>
  <c r="T257" i="12"/>
  <c r="H257" i="12"/>
  <c r="Z257" i="12"/>
  <c r="J257" i="12"/>
  <c r="Y257" i="12"/>
  <c r="G257" i="12"/>
  <c r="X257" i="12"/>
  <c r="F257" i="12"/>
  <c r="V257" i="12"/>
  <c r="Q257" i="12"/>
  <c r="S257" i="12"/>
  <c r="R257" i="12"/>
  <c r="P257" i="12"/>
  <c r="O257" i="12"/>
  <c r="N257" i="12"/>
  <c r="M257" i="12"/>
  <c r="L257" i="12"/>
  <c r="AB257" i="12"/>
  <c r="AA257" i="12"/>
  <c r="AC269" i="12"/>
  <c r="W269" i="12"/>
  <c r="K269" i="12"/>
  <c r="U269" i="12"/>
  <c r="I269" i="12"/>
  <c r="T269" i="12"/>
  <c r="H269" i="12"/>
  <c r="V269" i="12"/>
  <c r="S269" i="12"/>
  <c r="R269" i="12"/>
  <c r="Q269" i="12"/>
  <c r="P269" i="12"/>
  <c r="O269" i="12"/>
  <c r="N269" i="12"/>
  <c r="J269" i="12"/>
  <c r="G269" i="12"/>
  <c r="F269" i="12"/>
  <c r="AB269" i="12"/>
  <c r="AA269" i="12"/>
  <c r="Z269" i="12"/>
  <c r="Y269" i="12"/>
  <c r="X269" i="12"/>
  <c r="M269" i="12"/>
  <c r="L269" i="12"/>
  <c r="AC281" i="12"/>
  <c r="W281" i="12"/>
  <c r="K281" i="12"/>
  <c r="V281" i="12"/>
  <c r="J281" i="12"/>
  <c r="U281" i="12"/>
  <c r="I281" i="12"/>
  <c r="T281" i="12"/>
  <c r="H281" i="12"/>
  <c r="S281" i="12"/>
  <c r="G281" i="12"/>
  <c r="R281" i="12"/>
  <c r="F281" i="12"/>
  <c r="Q281" i="12"/>
  <c r="AB281" i="12"/>
  <c r="P281" i="12"/>
  <c r="AA281" i="12"/>
  <c r="Z281" i="12"/>
  <c r="Y281" i="12"/>
  <c r="X281" i="12"/>
  <c r="O281" i="12"/>
  <c r="N281" i="12"/>
  <c r="M281" i="12"/>
  <c r="L281" i="12"/>
  <c r="AC16" i="8"/>
  <c r="R16" i="8"/>
  <c r="F16" i="8"/>
  <c r="Q16" i="8"/>
  <c r="Z16" i="8"/>
  <c r="Y16" i="8"/>
  <c r="AB16" i="8"/>
  <c r="P16" i="8"/>
  <c r="N16" i="8"/>
  <c r="H16" i="8"/>
  <c r="AA16" i="8"/>
  <c r="O16" i="8"/>
  <c r="M16" i="8"/>
  <c r="K16" i="8"/>
  <c r="T16" i="8"/>
  <c r="S16" i="8"/>
  <c r="X16" i="8"/>
  <c r="L16" i="8"/>
  <c r="G16" i="8"/>
  <c r="W16" i="8"/>
  <c r="V16" i="8"/>
  <c r="J16" i="8"/>
  <c r="U16" i="8"/>
  <c r="I16" i="8"/>
  <c r="AC28" i="8"/>
  <c r="AB28" i="8"/>
  <c r="P28" i="8"/>
  <c r="AA28" i="8"/>
  <c r="O28" i="8"/>
  <c r="Z28" i="8"/>
  <c r="N28" i="8"/>
  <c r="R28" i="8"/>
  <c r="Y28" i="8"/>
  <c r="M28" i="8"/>
  <c r="X28" i="8"/>
  <c r="L28" i="8"/>
  <c r="Q28" i="8"/>
  <c r="W28" i="8"/>
  <c r="K28" i="8"/>
  <c r="V28" i="8"/>
  <c r="J28" i="8"/>
  <c r="U28" i="8"/>
  <c r="I28" i="8"/>
  <c r="T28" i="8"/>
  <c r="H28" i="8"/>
  <c r="S28" i="8"/>
  <c r="G28" i="8"/>
  <c r="F28" i="8"/>
  <c r="AC40" i="8"/>
  <c r="Y40" i="8"/>
  <c r="M40" i="8"/>
  <c r="X40" i="8"/>
  <c r="L40" i="8"/>
  <c r="W40" i="8"/>
  <c r="K40" i="8"/>
  <c r="V40" i="8"/>
  <c r="J40" i="8"/>
  <c r="N40" i="8"/>
  <c r="U40" i="8"/>
  <c r="I40" i="8"/>
  <c r="AA40" i="8"/>
  <c r="Z40" i="8"/>
  <c r="T40" i="8"/>
  <c r="H40" i="8"/>
  <c r="S40" i="8"/>
  <c r="G40" i="8"/>
  <c r="R40" i="8"/>
  <c r="F40" i="8"/>
  <c r="Q40" i="8"/>
  <c r="AB40" i="8"/>
  <c r="P40" i="8"/>
  <c r="O40" i="8"/>
  <c r="AC52" i="8"/>
  <c r="S52" i="8"/>
  <c r="G52" i="8"/>
  <c r="R52" i="8"/>
  <c r="F52" i="8"/>
  <c r="Q52" i="8"/>
  <c r="AB52" i="8"/>
  <c r="P52" i="8"/>
  <c r="AA52" i="8"/>
  <c r="O52" i="8"/>
  <c r="X52" i="8"/>
  <c r="L52" i="8"/>
  <c r="T52" i="8"/>
  <c r="V52" i="8"/>
  <c r="N52" i="8"/>
  <c r="M52" i="8"/>
  <c r="K52" i="8"/>
  <c r="J52" i="8"/>
  <c r="I52" i="8"/>
  <c r="U52" i="8"/>
  <c r="H52" i="8"/>
  <c r="Z52" i="8"/>
  <c r="Y52" i="8"/>
  <c r="W52" i="8"/>
  <c r="AC64" i="8"/>
  <c r="AB64" i="8"/>
  <c r="P64" i="8"/>
  <c r="AA64" i="8"/>
  <c r="O64" i="8"/>
  <c r="Z64" i="8"/>
  <c r="N64" i="8"/>
  <c r="Y64" i="8"/>
  <c r="M64" i="8"/>
  <c r="X64" i="8"/>
  <c r="L64" i="8"/>
  <c r="W64" i="8"/>
  <c r="K64" i="8"/>
  <c r="V64" i="8"/>
  <c r="J64" i="8"/>
  <c r="U64" i="8"/>
  <c r="I64" i="8"/>
  <c r="T64" i="8"/>
  <c r="H64" i="8"/>
  <c r="S64" i="8"/>
  <c r="G64" i="8"/>
  <c r="Q64" i="8"/>
  <c r="F64" i="8"/>
  <c r="R64" i="8"/>
  <c r="AC76" i="8"/>
  <c r="AA76" i="8"/>
  <c r="O76" i="8"/>
  <c r="Z76" i="8"/>
  <c r="N76" i="8"/>
  <c r="Y76" i="8"/>
  <c r="M76" i="8"/>
  <c r="X76" i="8"/>
  <c r="L76" i="8"/>
  <c r="W76" i="8"/>
  <c r="K76" i="8"/>
  <c r="V76" i="8"/>
  <c r="J76" i="8"/>
  <c r="U76" i="8"/>
  <c r="I76" i="8"/>
  <c r="T76" i="8"/>
  <c r="H76" i="8"/>
  <c r="S76" i="8"/>
  <c r="G76" i="8"/>
  <c r="R76" i="8"/>
  <c r="F76" i="8"/>
  <c r="AB76" i="8"/>
  <c r="Q76" i="8"/>
  <c r="P76" i="8"/>
  <c r="AC88" i="8"/>
  <c r="F88" i="8"/>
  <c r="Q88" i="8"/>
  <c r="P88" i="8"/>
  <c r="O88" i="8"/>
  <c r="N88" i="8"/>
  <c r="M88" i="8"/>
  <c r="L88" i="8"/>
  <c r="K88" i="8"/>
  <c r="J88" i="8"/>
  <c r="I88" i="8"/>
  <c r="H88" i="8"/>
  <c r="G88" i="8"/>
  <c r="AB88" i="8"/>
  <c r="Y88" i="8"/>
  <c r="Z88" i="8"/>
  <c r="R88" i="8"/>
  <c r="U88" i="8"/>
  <c r="V88" i="8"/>
  <c r="W88" i="8"/>
  <c r="S88" i="8"/>
  <c r="X88" i="8"/>
  <c r="AA88" i="8"/>
  <c r="T88" i="8"/>
  <c r="AC100" i="8"/>
  <c r="AB100" i="8"/>
  <c r="P100" i="8"/>
  <c r="AA100" i="8"/>
  <c r="O100" i="8"/>
  <c r="Z100" i="8"/>
  <c r="N100" i="8"/>
  <c r="Y100" i="8"/>
  <c r="M100" i="8"/>
  <c r="X100" i="8"/>
  <c r="L100" i="8"/>
  <c r="W100" i="8"/>
  <c r="K100" i="8"/>
  <c r="V100" i="8"/>
  <c r="J100" i="8"/>
  <c r="U100" i="8"/>
  <c r="I100" i="8"/>
  <c r="T100" i="8"/>
  <c r="H100" i="8"/>
  <c r="S100" i="8"/>
  <c r="G100" i="8"/>
  <c r="R100" i="8"/>
  <c r="Q100" i="8"/>
  <c r="F100" i="8"/>
  <c r="AC112" i="8"/>
  <c r="Z112" i="8"/>
  <c r="N112" i="8"/>
  <c r="Y112" i="8"/>
  <c r="M112" i="8"/>
  <c r="X112" i="8"/>
  <c r="L112" i="8"/>
  <c r="W112" i="8"/>
  <c r="K112" i="8"/>
  <c r="V112" i="8"/>
  <c r="J112" i="8"/>
  <c r="U112" i="8"/>
  <c r="I112" i="8"/>
  <c r="T112" i="8"/>
  <c r="H112" i="8"/>
  <c r="S112" i="8"/>
  <c r="G112" i="8"/>
  <c r="R112" i="8"/>
  <c r="F112" i="8"/>
  <c r="Q112" i="8"/>
  <c r="AA112" i="8"/>
  <c r="P112" i="8"/>
  <c r="O112" i="8"/>
  <c r="AB112" i="8"/>
  <c r="AC124" i="8"/>
  <c r="X124" i="8"/>
  <c r="L124" i="8"/>
  <c r="W124" i="8"/>
  <c r="K124" i="8"/>
  <c r="V124" i="8"/>
  <c r="J124" i="8"/>
  <c r="U124" i="8"/>
  <c r="I124" i="8"/>
  <c r="T124" i="8"/>
  <c r="H124" i="8"/>
  <c r="R124" i="8"/>
  <c r="F124" i="8"/>
  <c r="Q124" i="8"/>
  <c r="P124" i="8"/>
  <c r="O124" i="8"/>
  <c r="N124" i="8"/>
  <c r="M124" i="8"/>
  <c r="G124" i="8"/>
  <c r="AB124" i="8"/>
  <c r="AA124" i="8"/>
  <c r="Z124" i="8"/>
  <c r="Y124" i="8"/>
  <c r="S124" i="8"/>
  <c r="AC136" i="8"/>
  <c r="Z136" i="8"/>
  <c r="N136" i="8"/>
  <c r="Y136" i="8"/>
  <c r="M136" i="8"/>
  <c r="X136" i="8"/>
  <c r="L136" i="8"/>
  <c r="W136" i="8"/>
  <c r="K136" i="8"/>
  <c r="V136" i="8"/>
  <c r="J136" i="8"/>
  <c r="U136" i="8"/>
  <c r="I136" i="8"/>
  <c r="T136" i="8"/>
  <c r="H136" i="8"/>
  <c r="R136" i="8"/>
  <c r="Q136" i="8"/>
  <c r="P136" i="8"/>
  <c r="O136" i="8"/>
  <c r="G136" i="8"/>
  <c r="F136" i="8"/>
  <c r="AB136" i="8"/>
  <c r="S136" i="8"/>
  <c r="AA136" i="8"/>
  <c r="AC148" i="8"/>
  <c r="AB148" i="8"/>
  <c r="P148" i="8"/>
  <c r="AA148" i="8"/>
  <c r="O148" i="8"/>
  <c r="Z148" i="8"/>
  <c r="N148" i="8"/>
  <c r="Y148" i="8"/>
  <c r="M148" i="8"/>
  <c r="X148" i="8"/>
  <c r="L148" i="8"/>
  <c r="W148" i="8"/>
  <c r="K148" i="8"/>
  <c r="V148" i="8"/>
  <c r="J148" i="8"/>
  <c r="U148" i="8"/>
  <c r="I148" i="8"/>
  <c r="T148" i="8"/>
  <c r="H148" i="8"/>
  <c r="S148" i="8"/>
  <c r="G148" i="8"/>
  <c r="R148" i="8"/>
  <c r="Q148" i="8"/>
  <c r="F148" i="8"/>
  <c r="AC160" i="8"/>
  <c r="Y160" i="8"/>
  <c r="M160" i="8"/>
  <c r="X160" i="8"/>
  <c r="L160" i="8"/>
  <c r="W160" i="8"/>
  <c r="K160" i="8"/>
  <c r="V160" i="8"/>
  <c r="J160" i="8"/>
  <c r="U160" i="8"/>
  <c r="I160" i="8"/>
  <c r="T160" i="8"/>
  <c r="H160" i="8"/>
  <c r="S160" i="8"/>
  <c r="G160" i="8"/>
  <c r="R160" i="8"/>
  <c r="F160" i="8"/>
  <c r="Q160" i="8"/>
  <c r="AB160" i="8"/>
  <c r="P160" i="8"/>
  <c r="AA160" i="8"/>
  <c r="Z160" i="8"/>
  <c r="O160" i="8"/>
  <c r="N160" i="8"/>
  <c r="AC172" i="8"/>
  <c r="K172" i="8"/>
  <c r="J172" i="8"/>
  <c r="I172" i="8"/>
  <c r="H172" i="8"/>
  <c r="G172" i="8"/>
  <c r="F172" i="8"/>
  <c r="Q172" i="8"/>
  <c r="P172" i="8"/>
  <c r="O172" i="8"/>
  <c r="N172" i="8"/>
  <c r="M172" i="8"/>
  <c r="L172" i="8"/>
  <c r="AB172" i="8"/>
  <c r="Z172" i="8"/>
  <c r="Y172" i="8"/>
  <c r="T172" i="8"/>
  <c r="X172" i="8"/>
  <c r="U172" i="8"/>
  <c r="W172" i="8"/>
  <c r="AA172" i="8"/>
  <c r="V172" i="8"/>
  <c r="R172" i="8"/>
  <c r="S172" i="8"/>
  <c r="AC184" i="8"/>
  <c r="W184" i="8"/>
  <c r="P184" i="8"/>
  <c r="AB184" i="8"/>
  <c r="O184" i="8"/>
  <c r="AA184" i="8"/>
  <c r="N184" i="8"/>
  <c r="Z184" i="8"/>
  <c r="M184" i="8"/>
  <c r="Y184" i="8"/>
  <c r="L184" i="8"/>
  <c r="X184" i="8"/>
  <c r="K184" i="8"/>
  <c r="V184" i="8"/>
  <c r="J184" i="8"/>
  <c r="U184" i="8"/>
  <c r="I184" i="8"/>
  <c r="T184" i="8"/>
  <c r="H184" i="8"/>
  <c r="S184" i="8"/>
  <c r="G184" i="8"/>
  <c r="R184" i="8"/>
  <c r="Q184" i="8"/>
  <c r="F184" i="8"/>
  <c r="AC196" i="8"/>
  <c r="X196" i="8"/>
  <c r="L196" i="8"/>
  <c r="AA196" i="8"/>
  <c r="N196" i="8"/>
  <c r="Z196" i="8"/>
  <c r="M196" i="8"/>
  <c r="Y196" i="8"/>
  <c r="K196" i="8"/>
  <c r="W196" i="8"/>
  <c r="J196" i="8"/>
  <c r="V196" i="8"/>
  <c r="I196" i="8"/>
  <c r="U196" i="8"/>
  <c r="H196" i="8"/>
  <c r="T196" i="8"/>
  <c r="G196" i="8"/>
  <c r="S196" i="8"/>
  <c r="F196" i="8"/>
  <c r="R196" i="8"/>
  <c r="Q196" i="8"/>
  <c r="AB196" i="8"/>
  <c r="P196" i="8"/>
  <c r="O196" i="8"/>
  <c r="AC208" i="8"/>
  <c r="V208" i="8"/>
  <c r="J208" i="8"/>
  <c r="S208" i="8"/>
  <c r="G208" i="8"/>
  <c r="R208" i="8"/>
  <c r="F208" i="8"/>
  <c r="Q208" i="8"/>
  <c r="AB208" i="8"/>
  <c r="P208" i="8"/>
  <c r="AA208" i="8"/>
  <c r="O208" i="8"/>
  <c r="Z208" i="8"/>
  <c r="N208" i="8"/>
  <c r="T208" i="8"/>
  <c r="M208" i="8"/>
  <c r="L208" i="8"/>
  <c r="K208" i="8"/>
  <c r="I208" i="8"/>
  <c r="H208" i="8"/>
  <c r="Y208" i="8"/>
  <c r="X208" i="8"/>
  <c r="W208" i="8"/>
  <c r="U208" i="8"/>
  <c r="AC220" i="8"/>
  <c r="Q220" i="8"/>
  <c r="P220" i="8"/>
  <c r="O220" i="8"/>
  <c r="N220" i="8"/>
  <c r="M220" i="8"/>
  <c r="L220" i="8"/>
  <c r="K220" i="8"/>
  <c r="Y220" i="8"/>
  <c r="J220" i="8"/>
  <c r="X220" i="8"/>
  <c r="I220" i="8"/>
  <c r="V220" i="8"/>
  <c r="U220" i="8"/>
  <c r="H220" i="8"/>
  <c r="G220" i="8"/>
  <c r="F220" i="8"/>
  <c r="W220" i="8"/>
  <c r="AB220" i="8"/>
  <c r="Z220" i="8"/>
  <c r="S220" i="8"/>
  <c r="R220" i="8"/>
  <c r="T220" i="8"/>
  <c r="AA220" i="8"/>
  <c r="AC232" i="8"/>
  <c r="P232" i="8"/>
  <c r="O232" i="8"/>
  <c r="N232" i="8"/>
  <c r="M232" i="8"/>
  <c r="L232" i="8"/>
  <c r="K232" i="8"/>
  <c r="J232" i="8"/>
  <c r="I232" i="8"/>
  <c r="H232" i="8"/>
  <c r="G232" i="8"/>
  <c r="U232" i="8"/>
  <c r="Q232" i="8"/>
  <c r="F232" i="8"/>
  <c r="AB232" i="8"/>
  <c r="Y232" i="8"/>
  <c r="Z232" i="8"/>
  <c r="AA232" i="8"/>
  <c r="X232" i="8"/>
  <c r="W232" i="8"/>
  <c r="T232" i="8"/>
  <c r="R232" i="8"/>
  <c r="V232" i="8"/>
  <c r="S232" i="8"/>
  <c r="AC244" i="8"/>
  <c r="AB244" i="8"/>
  <c r="K244" i="8"/>
  <c r="V244" i="8"/>
  <c r="J244" i="8"/>
  <c r="P244" i="8"/>
  <c r="O244" i="8"/>
  <c r="N244" i="8"/>
  <c r="M244" i="8"/>
  <c r="L244" i="8"/>
  <c r="I244" i="8"/>
  <c r="H244" i="8"/>
  <c r="U244" i="8"/>
  <c r="G244" i="8"/>
  <c r="T244" i="8"/>
  <c r="F244" i="8"/>
  <c r="S244" i="8"/>
  <c r="R244" i="8"/>
  <c r="Q244" i="8"/>
  <c r="Y244" i="8"/>
  <c r="Z244" i="8"/>
  <c r="W244" i="8"/>
  <c r="AA244" i="8"/>
  <c r="X244" i="8"/>
  <c r="AC256" i="8"/>
  <c r="V256" i="8"/>
  <c r="J256" i="8"/>
  <c r="U256" i="8"/>
  <c r="I256" i="8"/>
  <c r="S256" i="8"/>
  <c r="R256" i="8"/>
  <c r="Q256" i="8"/>
  <c r="P256" i="8"/>
  <c r="O256" i="8"/>
  <c r="AB256" i="8"/>
  <c r="N256" i="8"/>
  <c r="AA256" i="8"/>
  <c r="M256" i="8"/>
  <c r="Z256" i="8"/>
  <c r="L256" i="8"/>
  <c r="Y256" i="8"/>
  <c r="K256" i="8"/>
  <c r="X256" i="8"/>
  <c r="H256" i="8"/>
  <c r="W256" i="8"/>
  <c r="T256" i="8"/>
  <c r="G256" i="8"/>
  <c r="F256" i="8"/>
  <c r="AC268" i="8"/>
  <c r="Z268" i="8"/>
  <c r="N268" i="8"/>
  <c r="Y268" i="8"/>
  <c r="M268" i="8"/>
  <c r="AB268" i="8"/>
  <c r="P268" i="8"/>
  <c r="L268" i="8"/>
  <c r="K268" i="8"/>
  <c r="AA268" i="8"/>
  <c r="J268" i="8"/>
  <c r="X268" i="8"/>
  <c r="I268" i="8"/>
  <c r="W268" i="8"/>
  <c r="H268" i="8"/>
  <c r="V268" i="8"/>
  <c r="G268" i="8"/>
  <c r="U268" i="8"/>
  <c r="F268" i="8"/>
  <c r="T268" i="8"/>
  <c r="S268" i="8"/>
  <c r="R268" i="8"/>
  <c r="Q268" i="8"/>
  <c r="O268" i="8"/>
  <c r="AC280" i="8"/>
  <c r="Y280" i="8"/>
  <c r="M280" i="8"/>
  <c r="X280" i="8"/>
  <c r="L280" i="8"/>
  <c r="Q280" i="8"/>
  <c r="AA280" i="8"/>
  <c r="O280" i="8"/>
  <c r="N280" i="8"/>
  <c r="K280" i="8"/>
  <c r="J280" i="8"/>
  <c r="AB280" i="8"/>
  <c r="I280" i="8"/>
  <c r="Z280" i="8"/>
  <c r="H280" i="8"/>
  <c r="W280" i="8"/>
  <c r="G280" i="8"/>
  <c r="V280" i="8"/>
  <c r="F280" i="8"/>
  <c r="U280" i="8"/>
  <c r="T280" i="8"/>
  <c r="S280" i="8"/>
  <c r="P280" i="8"/>
  <c r="R280" i="8"/>
  <c r="AC292" i="8"/>
  <c r="Z292" i="8"/>
  <c r="N292" i="8"/>
  <c r="Y292" i="8"/>
  <c r="M292" i="8"/>
  <c r="X292" i="8"/>
  <c r="L292" i="8"/>
  <c r="U292" i="8"/>
  <c r="R292" i="8"/>
  <c r="F292" i="8"/>
  <c r="Q292" i="8"/>
  <c r="AB292" i="8"/>
  <c r="P292" i="8"/>
  <c r="S292" i="8"/>
  <c r="O292" i="8"/>
  <c r="K292" i="8"/>
  <c r="J292" i="8"/>
  <c r="I292" i="8"/>
  <c r="H292" i="8"/>
  <c r="G292" i="8"/>
  <c r="AA292" i="8"/>
  <c r="W292" i="8"/>
  <c r="T292" i="8"/>
  <c r="V292" i="8"/>
  <c r="AS140" i="10"/>
  <c r="AT140" i="10"/>
  <c r="AC6" i="12"/>
  <c r="Y6" i="12"/>
  <c r="M6" i="12"/>
  <c r="X6" i="12"/>
  <c r="L6" i="12"/>
  <c r="W6" i="12"/>
  <c r="K6" i="12"/>
  <c r="V6" i="12"/>
  <c r="J6" i="12"/>
  <c r="U6" i="12"/>
  <c r="I6" i="12"/>
  <c r="T6" i="12"/>
  <c r="H6" i="12"/>
  <c r="S6" i="12"/>
  <c r="G6" i="12"/>
  <c r="AB6" i="12"/>
  <c r="P6" i="12"/>
  <c r="AA6" i="12"/>
  <c r="Z6" i="12"/>
  <c r="R6" i="12"/>
  <c r="Q6" i="12"/>
  <c r="O6" i="12"/>
  <c r="N6" i="12"/>
  <c r="F6" i="12"/>
  <c r="AC18" i="12"/>
  <c r="Y18" i="12"/>
  <c r="M18" i="12"/>
  <c r="X18" i="12"/>
  <c r="L18" i="12"/>
  <c r="W18" i="12"/>
  <c r="K18" i="12"/>
  <c r="V18" i="12"/>
  <c r="J18" i="12"/>
  <c r="U18" i="12"/>
  <c r="I18" i="12"/>
  <c r="T18" i="12"/>
  <c r="H18" i="12"/>
  <c r="S18" i="12"/>
  <c r="G18" i="12"/>
  <c r="R18" i="12"/>
  <c r="F18" i="12"/>
  <c r="Q18" i="12"/>
  <c r="AB18" i="12"/>
  <c r="P18" i="12"/>
  <c r="N18" i="12"/>
  <c r="AA18" i="12"/>
  <c r="Z18" i="12"/>
  <c r="O18" i="12"/>
  <c r="AC30" i="12"/>
  <c r="Y30" i="12"/>
  <c r="M30" i="12"/>
  <c r="X30" i="12"/>
  <c r="L30" i="12"/>
  <c r="W30" i="12"/>
  <c r="K30" i="12"/>
  <c r="V30" i="12"/>
  <c r="J30" i="12"/>
  <c r="U30" i="12"/>
  <c r="I30" i="12"/>
  <c r="T30" i="12"/>
  <c r="H30" i="12"/>
  <c r="S30" i="12"/>
  <c r="G30" i="12"/>
  <c r="R30" i="12"/>
  <c r="F30" i="12"/>
  <c r="Q30" i="12"/>
  <c r="AB30" i="12"/>
  <c r="P30" i="12"/>
  <c r="Z30" i="12"/>
  <c r="O30" i="12"/>
  <c r="N30" i="12"/>
  <c r="AA30" i="12"/>
  <c r="AC42" i="12"/>
  <c r="T42" i="12"/>
  <c r="H42" i="12"/>
  <c r="S42" i="12"/>
  <c r="G42" i="12"/>
  <c r="R42" i="12"/>
  <c r="F42" i="12"/>
  <c r="Q42" i="12"/>
  <c r="Z42" i="12"/>
  <c r="N42" i="12"/>
  <c r="W42" i="12"/>
  <c r="V42" i="12"/>
  <c r="U42" i="12"/>
  <c r="P42" i="12"/>
  <c r="O42" i="12"/>
  <c r="M42" i="12"/>
  <c r="L42" i="12"/>
  <c r="K42" i="12"/>
  <c r="AB42" i="12"/>
  <c r="J42" i="12"/>
  <c r="AA42" i="12"/>
  <c r="I42" i="12"/>
  <c r="Y42" i="12"/>
  <c r="X42" i="12"/>
  <c r="AC54" i="12"/>
  <c r="T54" i="12"/>
  <c r="H54" i="12"/>
  <c r="S54" i="12"/>
  <c r="G54" i="12"/>
  <c r="R54" i="12"/>
  <c r="F54" i="12"/>
  <c r="Q54" i="12"/>
  <c r="AB54" i="12"/>
  <c r="P54" i="12"/>
  <c r="AA54" i="12"/>
  <c r="O54" i="12"/>
  <c r="Z54" i="12"/>
  <c r="N54" i="12"/>
  <c r="K54" i="12"/>
  <c r="J54" i="12"/>
  <c r="I54" i="12"/>
  <c r="Y54" i="12"/>
  <c r="X54" i="12"/>
  <c r="W54" i="12"/>
  <c r="V54" i="12"/>
  <c r="U54" i="12"/>
  <c r="M54" i="12"/>
  <c r="L54" i="12"/>
  <c r="AC66" i="12"/>
  <c r="T66" i="12"/>
  <c r="H66" i="12"/>
  <c r="S66" i="12"/>
  <c r="G66" i="12"/>
  <c r="R66" i="12"/>
  <c r="F66" i="12"/>
  <c r="Q66" i="12"/>
  <c r="AB66" i="12"/>
  <c r="P66" i="12"/>
  <c r="AA66" i="12"/>
  <c r="O66" i="12"/>
  <c r="Z66" i="12"/>
  <c r="N66" i="12"/>
  <c r="Y66" i="12"/>
  <c r="M66" i="12"/>
  <c r="X66" i="12"/>
  <c r="L66" i="12"/>
  <c r="W66" i="12"/>
  <c r="K66" i="12"/>
  <c r="V66" i="12"/>
  <c r="U66" i="12"/>
  <c r="J66" i="12"/>
  <c r="I66" i="12"/>
  <c r="AC78" i="12"/>
  <c r="T78" i="12"/>
  <c r="H78" i="12"/>
  <c r="S78" i="12"/>
  <c r="G78" i="12"/>
  <c r="R78" i="12"/>
  <c r="F78" i="12"/>
  <c r="Q78" i="12"/>
  <c r="AB78" i="12"/>
  <c r="P78" i="12"/>
  <c r="AA78" i="12"/>
  <c r="O78" i="12"/>
  <c r="Z78" i="12"/>
  <c r="N78" i="12"/>
  <c r="Y78" i="12"/>
  <c r="M78" i="12"/>
  <c r="X78" i="12"/>
  <c r="L78" i="12"/>
  <c r="W78" i="12"/>
  <c r="K78" i="12"/>
  <c r="V78" i="12"/>
  <c r="U78" i="12"/>
  <c r="J78" i="12"/>
  <c r="I78" i="12"/>
  <c r="AC90" i="12"/>
  <c r="AA90" i="12"/>
  <c r="O90" i="12"/>
  <c r="Z90" i="12"/>
  <c r="N90" i="12"/>
  <c r="Y90" i="12"/>
  <c r="M90" i="12"/>
  <c r="X90" i="12"/>
  <c r="L90" i="12"/>
  <c r="T90" i="12"/>
  <c r="S90" i="12"/>
  <c r="R90" i="12"/>
  <c r="Q90" i="12"/>
  <c r="P90" i="12"/>
  <c r="K90" i="12"/>
  <c r="J90" i="12"/>
  <c r="I90" i="12"/>
  <c r="AB90" i="12"/>
  <c r="H90" i="12"/>
  <c r="W90" i="12"/>
  <c r="G90" i="12"/>
  <c r="V90" i="12"/>
  <c r="U90" i="12"/>
  <c r="F90" i="12"/>
  <c r="AC102" i="12"/>
  <c r="AA102" i="12"/>
  <c r="O102" i="12"/>
  <c r="Z102" i="12"/>
  <c r="N102" i="12"/>
  <c r="Y102" i="12"/>
  <c r="M102" i="12"/>
  <c r="X102" i="12"/>
  <c r="L102" i="12"/>
  <c r="T102" i="12"/>
  <c r="H102" i="12"/>
  <c r="I102" i="12"/>
  <c r="G102" i="12"/>
  <c r="AB102" i="12"/>
  <c r="F102" i="12"/>
  <c r="W102" i="12"/>
  <c r="V102" i="12"/>
  <c r="U102" i="12"/>
  <c r="S102" i="12"/>
  <c r="R102" i="12"/>
  <c r="Q102" i="12"/>
  <c r="P102" i="12"/>
  <c r="K102" i="12"/>
  <c r="J102" i="12"/>
  <c r="AC114" i="12"/>
  <c r="AB114" i="12"/>
  <c r="P114" i="12"/>
  <c r="AA114" i="12"/>
  <c r="O114" i="12"/>
  <c r="Z114" i="12"/>
  <c r="N114" i="12"/>
  <c r="R114" i="12"/>
  <c r="Q114" i="12"/>
  <c r="M114" i="12"/>
  <c r="L114" i="12"/>
  <c r="K114" i="12"/>
  <c r="Y114" i="12"/>
  <c r="J114" i="12"/>
  <c r="X114" i="12"/>
  <c r="I114" i="12"/>
  <c r="W114" i="12"/>
  <c r="H114" i="12"/>
  <c r="V114" i="12"/>
  <c r="G114" i="12"/>
  <c r="U114" i="12"/>
  <c r="F114" i="12"/>
  <c r="T114" i="12"/>
  <c r="S114" i="12"/>
  <c r="AC126" i="12"/>
  <c r="AB126" i="12"/>
  <c r="P126" i="12"/>
  <c r="AA126" i="12"/>
  <c r="O126" i="12"/>
  <c r="Z126" i="12"/>
  <c r="N126" i="12"/>
  <c r="Y126" i="12"/>
  <c r="M126" i="12"/>
  <c r="X126" i="12"/>
  <c r="L126" i="12"/>
  <c r="W126" i="12"/>
  <c r="K126" i="12"/>
  <c r="V126" i="12"/>
  <c r="U126" i="12"/>
  <c r="T126" i="12"/>
  <c r="S126" i="12"/>
  <c r="R126" i="12"/>
  <c r="Q126" i="12"/>
  <c r="J126" i="12"/>
  <c r="I126" i="12"/>
  <c r="H126" i="12"/>
  <c r="G126" i="12"/>
  <c r="F126" i="12"/>
  <c r="AC138" i="12"/>
  <c r="AB138" i="12"/>
  <c r="P138" i="12"/>
  <c r="AA138" i="12"/>
  <c r="O138" i="12"/>
  <c r="Z138" i="12"/>
  <c r="N138" i="12"/>
  <c r="Y138" i="12"/>
  <c r="M138" i="12"/>
  <c r="X138" i="12"/>
  <c r="L138" i="12"/>
  <c r="W138" i="12"/>
  <c r="K138" i="12"/>
  <c r="Q138" i="12"/>
  <c r="J138" i="12"/>
  <c r="I138" i="12"/>
  <c r="H138" i="12"/>
  <c r="G138" i="12"/>
  <c r="F138" i="12"/>
  <c r="V138" i="12"/>
  <c r="U138" i="12"/>
  <c r="T138" i="12"/>
  <c r="S138" i="12"/>
  <c r="R138" i="12"/>
  <c r="AC150" i="12"/>
  <c r="S150" i="12"/>
  <c r="G150" i="12"/>
  <c r="R150" i="12"/>
  <c r="F150" i="12"/>
  <c r="V150" i="12"/>
  <c r="H150" i="12"/>
  <c r="U150" i="12"/>
  <c r="T150" i="12"/>
  <c r="Q150" i="12"/>
  <c r="P150" i="12"/>
  <c r="O150" i="12"/>
  <c r="AB150" i="12"/>
  <c r="N150" i="12"/>
  <c r="Z150" i="12"/>
  <c r="L150" i="12"/>
  <c r="AA150" i="12"/>
  <c r="Y150" i="12"/>
  <c r="X150" i="12"/>
  <c r="W150" i="12"/>
  <c r="M150" i="12"/>
  <c r="K150" i="12"/>
  <c r="J150" i="12"/>
  <c r="I150" i="12"/>
  <c r="AC162" i="12"/>
  <c r="T162" i="12"/>
  <c r="H162" i="12"/>
  <c r="S162" i="12"/>
  <c r="G162" i="12"/>
  <c r="R162" i="12"/>
  <c r="F162" i="12"/>
  <c r="Q162" i="12"/>
  <c r="Z162" i="12"/>
  <c r="N162" i="12"/>
  <c r="Y162" i="12"/>
  <c r="M162" i="12"/>
  <c r="I162" i="12"/>
  <c r="AB162" i="12"/>
  <c r="AA162" i="12"/>
  <c r="X162" i="12"/>
  <c r="W162" i="12"/>
  <c r="V162" i="12"/>
  <c r="U162" i="12"/>
  <c r="P162" i="12"/>
  <c r="O162" i="12"/>
  <c r="L162" i="12"/>
  <c r="K162" i="12"/>
  <c r="J162" i="12"/>
  <c r="AC174" i="12"/>
  <c r="AA174" i="12"/>
  <c r="O174" i="12"/>
  <c r="Z174" i="12"/>
  <c r="N174" i="12"/>
  <c r="Y174" i="12"/>
  <c r="M174" i="12"/>
  <c r="R174" i="12"/>
  <c r="Q174" i="12"/>
  <c r="P174" i="12"/>
  <c r="L174" i="12"/>
  <c r="K174" i="12"/>
  <c r="AB174" i="12"/>
  <c r="J174" i="12"/>
  <c r="X174" i="12"/>
  <c r="I174" i="12"/>
  <c r="W174" i="12"/>
  <c r="H174" i="12"/>
  <c r="V174" i="12"/>
  <c r="U174" i="12"/>
  <c r="T174" i="12"/>
  <c r="S174" i="12"/>
  <c r="G174" i="12"/>
  <c r="F174" i="12"/>
  <c r="AC186" i="12"/>
  <c r="AA186" i="12"/>
  <c r="O186" i="12"/>
  <c r="Z186" i="12"/>
  <c r="N186" i="12"/>
  <c r="Y186" i="12"/>
  <c r="M186" i="12"/>
  <c r="V186" i="12"/>
  <c r="J186" i="12"/>
  <c r="U186" i="12"/>
  <c r="T186" i="12"/>
  <c r="S186" i="12"/>
  <c r="R186" i="12"/>
  <c r="Q186" i="12"/>
  <c r="P186" i="12"/>
  <c r="L186" i="12"/>
  <c r="K186" i="12"/>
  <c r="AB186" i="12"/>
  <c r="X186" i="12"/>
  <c r="W186" i="12"/>
  <c r="I186" i="12"/>
  <c r="H186" i="12"/>
  <c r="G186" i="12"/>
  <c r="F186" i="12"/>
  <c r="AC198" i="12"/>
  <c r="U198" i="12"/>
  <c r="Y198" i="12"/>
  <c r="L198" i="12"/>
  <c r="X198" i="12"/>
  <c r="K198" i="12"/>
  <c r="N198" i="12"/>
  <c r="AB198" i="12"/>
  <c r="M198" i="12"/>
  <c r="AA198" i="12"/>
  <c r="J198" i="12"/>
  <c r="Z198" i="12"/>
  <c r="I198" i="12"/>
  <c r="W198" i="12"/>
  <c r="H198" i="12"/>
  <c r="V198" i="12"/>
  <c r="G198" i="12"/>
  <c r="T198" i="12"/>
  <c r="F198" i="12"/>
  <c r="S198" i="12"/>
  <c r="R198" i="12"/>
  <c r="Q198" i="12"/>
  <c r="P198" i="12"/>
  <c r="O198" i="12"/>
  <c r="AC210" i="12"/>
  <c r="U210" i="12"/>
  <c r="I210" i="12"/>
  <c r="X210" i="12"/>
  <c r="K210" i="12"/>
  <c r="W210" i="12"/>
  <c r="J210" i="12"/>
  <c r="S210" i="12"/>
  <c r="F210" i="12"/>
  <c r="Z210" i="12"/>
  <c r="G210" i="12"/>
  <c r="Y210" i="12"/>
  <c r="V210" i="12"/>
  <c r="T210" i="12"/>
  <c r="R210" i="12"/>
  <c r="Q210" i="12"/>
  <c r="P210" i="12"/>
  <c r="O210" i="12"/>
  <c r="AB210" i="12"/>
  <c r="AA210" i="12"/>
  <c r="N210" i="12"/>
  <c r="M210" i="12"/>
  <c r="L210" i="12"/>
  <c r="H210" i="12"/>
  <c r="AC222" i="12"/>
  <c r="U222" i="12"/>
  <c r="I222" i="12"/>
  <c r="W222" i="12"/>
  <c r="J222" i="12"/>
  <c r="V222" i="12"/>
  <c r="H222" i="12"/>
  <c r="T222" i="12"/>
  <c r="R222" i="12"/>
  <c r="L222" i="12"/>
  <c r="AB222" i="12"/>
  <c r="K222" i="12"/>
  <c r="AA222" i="12"/>
  <c r="G222" i="12"/>
  <c r="Z222" i="12"/>
  <c r="F222" i="12"/>
  <c r="Y222" i="12"/>
  <c r="X222" i="12"/>
  <c r="S222" i="12"/>
  <c r="Q222" i="12"/>
  <c r="P222" i="12"/>
  <c r="O222" i="12"/>
  <c r="N222" i="12"/>
  <c r="M222" i="12"/>
  <c r="AC234" i="12"/>
  <c r="U234" i="12"/>
  <c r="I234" i="12"/>
  <c r="T234" i="12"/>
  <c r="H234" i="12"/>
  <c r="S234" i="12"/>
  <c r="G234" i="12"/>
  <c r="Z234" i="12"/>
  <c r="K234" i="12"/>
  <c r="Y234" i="12"/>
  <c r="J234" i="12"/>
  <c r="X234" i="12"/>
  <c r="F234" i="12"/>
  <c r="W234" i="12"/>
  <c r="V234" i="12"/>
  <c r="R234" i="12"/>
  <c r="AB234" i="12"/>
  <c r="AA234" i="12"/>
  <c r="Q234" i="12"/>
  <c r="P234" i="12"/>
  <c r="O234" i="12"/>
  <c r="N234" i="12"/>
  <c r="M234" i="12"/>
  <c r="L234" i="12"/>
  <c r="AC246" i="12"/>
  <c r="X246" i="12"/>
  <c r="L246" i="12"/>
  <c r="Q246" i="12"/>
  <c r="P246" i="12"/>
  <c r="AB246" i="12"/>
  <c r="O246" i="12"/>
  <c r="M246" i="12"/>
  <c r="K246" i="12"/>
  <c r="AA246" i="12"/>
  <c r="J246" i="12"/>
  <c r="Z246" i="12"/>
  <c r="I246" i="12"/>
  <c r="Y246" i="12"/>
  <c r="H246" i="12"/>
  <c r="W246" i="12"/>
  <c r="G246" i="12"/>
  <c r="V246" i="12"/>
  <c r="F246" i="12"/>
  <c r="U246" i="12"/>
  <c r="T246" i="12"/>
  <c r="S246" i="12"/>
  <c r="R246" i="12"/>
  <c r="N246" i="12"/>
  <c r="AC258" i="12"/>
  <c r="X258" i="12"/>
  <c r="L258" i="12"/>
  <c r="V258" i="12"/>
  <c r="J258" i="12"/>
  <c r="U258" i="12"/>
  <c r="I258" i="12"/>
  <c r="R258" i="12"/>
  <c r="Q258" i="12"/>
  <c r="P258" i="12"/>
  <c r="O258" i="12"/>
  <c r="N258" i="12"/>
  <c r="AB258" i="12"/>
  <c r="AA258" i="12"/>
  <c r="K258" i="12"/>
  <c r="Z258" i="12"/>
  <c r="Y258" i="12"/>
  <c r="W258" i="12"/>
  <c r="T258" i="12"/>
  <c r="S258" i="12"/>
  <c r="M258" i="12"/>
  <c r="H258" i="12"/>
  <c r="G258" i="12"/>
  <c r="F258" i="12"/>
  <c r="AC270" i="12"/>
  <c r="X270" i="12"/>
  <c r="L270" i="12"/>
  <c r="V270" i="12"/>
  <c r="J270" i="12"/>
  <c r="U270" i="12"/>
  <c r="I270" i="12"/>
  <c r="O270" i="12"/>
  <c r="N270" i="12"/>
  <c r="AB270" i="12"/>
  <c r="M270" i="12"/>
  <c r="AA270" i="12"/>
  <c r="K270" i="12"/>
  <c r="Z270" i="12"/>
  <c r="H270" i="12"/>
  <c r="Y270" i="12"/>
  <c r="G270" i="12"/>
  <c r="W270" i="12"/>
  <c r="F270" i="12"/>
  <c r="T270" i="12"/>
  <c r="S270" i="12"/>
  <c r="R270" i="12"/>
  <c r="Q270" i="12"/>
  <c r="P270" i="12"/>
  <c r="AC282" i="12"/>
  <c r="X282" i="12"/>
  <c r="L282" i="12"/>
  <c r="W282" i="12"/>
  <c r="K282" i="12"/>
  <c r="V282" i="12"/>
  <c r="J282" i="12"/>
  <c r="U282" i="12"/>
  <c r="I282" i="12"/>
  <c r="T282" i="12"/>
  <c r="H282" i="12"/>
  <c r="S282" i="12"/>
  <c r="G282" i="12"/>
  <c r="R282" i="12"/>
  <c r="F282" i="12"/>
  <c r="Q282" i="12"/>
  <c r="AB282" i="12"/>
  <c r="AA282" i="12"/>
  <c r="O282" i="12"/>
  <c r="N282" i="12"/>
  <c r="M282" i="12"/>
  <c r="Z282" i="12"/>
  <c r="Y282" i="12"/>
  <c r="P282" i="12"/>
  <c r="AC17" i="8"/>
  <c r="S17" i="8"/>
  <c r="G17" i="8"/>
  <c r="Z17" i="8"/>
  <c r="I17" i="8"/>
  <c r="R17" i="8"/>
  <c r="F17" i="8"/>
  <c r="Q17" i="8"/>
  <c r="AB17" i="8"/>
  <c r="P17" i="8"/>
  <c r="AA17" i="8"/>
  <c r="T17" i="8"/>
  <c r="O17" i="8"/>
  <c r="U17" i="8"/>
  <c r="H17" i="8"/>
  <c r="N17" i="8"/>
  <c r="Y17" i="8"/>
  <c r="M17" i="8"/>
  <c r="X17" i="8"/>
  <c r="L17" i="8"/>
  <c r="W17" i="8"/>
  <c r="K17" i="8"/>
  <c r="V17" i="8"/>
  <c r="J17" i="8"/>
  <c r="AC29" i="8"/>
  <c r="Q29" i="8"/>
  <c r="P29" i="8"/>
  <c r="O29" i="8"/>
  <c r="N29" i="8"/>
  <c r="F29" i="8"/>
  <c r="M29" i="8"/>
  <c r="G29" i="8"/>
  <c r="L29" i="8"/>
  <c r="K29" i="8"/>
  <c r="J29" i="8"/>
  <c r="I29" i="8"/>
  <c r="H29" i="8"/>
  <c r="AB29" i="8"/>
  <c r="Z29" i="8"/>
  <c r="Y29" i="8"/>
  <c r="AA29" i="8"/>
  <c r="R29" i="8"/>
  <c r="X29" i="8"/>
  <c r="U29" i="8"/>
  <c r="W29" i="8"/>
  <c r="T29" i="8"/>
  <c r="V29" i="8"/>
  <c r="S29" i="8"/>
  <c r="AC41" i="8"/>
  <c r="Z41" i="8"/>
  <c r="N41" i="8"/>
  <c r="P41" i="8"/>
  <c r="Y41" i="8"/>
  <c r="M41" i="8"/>
  <c r="X41" i="8"/>
  <c r="L41" i="8"/>
  <c r="W41" i="8"/>
  <c r="K41" i="8"/>
  <c r="AA41" i="8"/>
  <c r="V41" i="8"/>
  <c r="J41" i="8"/>
  <c r="U41" i="8"/>
  <c r="I41" i="8"/>
  <c r="AB41" i="8"/>
  <c r="O41" i="8"/>
  <c r="T41" i="8"/>
  <c r="H41" i="8"/>
  <c r="S41" i="8"/>
  <c r="G41" i="8"/>
  <c r="R41" i="8"/>
  <c r="F41" i="8"/>
  <c r="Q41" i="8"/>
  <c r="AC53" i="8"/>
  <c r="H53" i="8"/>
  <c r="G53" i="8"/>
  <c r="F53" i="8"/>
  <c r="Q53" i="8"/>
  <c r="P53" i="8"/>
  <c r="M53" i="8"/>
  <c r="O53" i="8"/>
  <c r="N53" i="8"/>
  <c r="L53" i="8"/>
  <c r="K53" i="8"/>
  <c r="J53" i="8"/>
  <c r="I53" i="8"/>
  <c r="AB53" i="8"/>
  <c r="AA53" i="8"/>
  <c r="Y53" i="8"/>
  <c r="Z53" i="8"/>
  <c r="V53" i="8"/>
  <c r="W53" i="8"/>
  <c r="X53" i="8"/>
  <c r="T53" i="8"/>
  <c r="R53" i="8"/>
  <c r="S53" i="8"/>
  <c r="U53" i="8"/>
  <c r="AC65" i="8"/>
  <c r="Q65" i="8"/>
  <c r="AB65" i="8"/>
  <c r="P65" i="8"/>
  <c r="AA65" i="8"/>
  <c r="O65" i="8"/>
  <c r="Z65" i="8"/>
  <c r="N65" i="8"/>
  <c r="Y65" i="8"/>
  <c r="M65" i="8"/>
  <c r="X65" i="8"/>
  <c r="L65" i="8"/>
  <c r="W65" i="8"/>
  <c r="K65" i="8"/>
  <c r="V65" i="8"/>
  <c r="J65" i="8"/>
  <c r="U65" i="8"/>
  <c r="I65" i="8"/>
  <c r="T65" i="8"/>
  <c r="H65" i="8"/>
  <c r="F65" i="8"/>
  <c r="S65" i="8"/>
  <c r="R65" i="8"/>
  <c r="G65" i="8"/>
  <c r="AC77" i="8"/>
  <c r="AB77" i="8"/>
  <c r="P77" i="8"/>
  <c r="AA77" i="8"/>
  <c r="O77" i="8"/>
  <c r="Z77" i="8"/>
  <c r="N77" i="8"/>
  <c r="Y77" i="8"/>
  <c r="M77" i="8"/>
  <c r="X77" i="8"/>
  <c r="L77" i="8"/>
  <c r="W77" i="8"/>
  <c r="K77" i="8"/>
  <c r="V77" i="8"/>
  <c r="J77" i="8"/>
  <c r="U77" i="8"/>
  <c r="I77" i="8"/>
  <c r="T77" i="8"/>
  <c r="H77" i="8"/>
  <c r="S77" i="8"/>
  <c r="G77" i="8"/>
  <c r="Q77" i="8"/>
  <c r="F77" i="8"/>
  <c r="R77" i="8"/>
  <c r="AC89" i="8"/>
  <c r="F89" i="8"/>
  <c r="Q89" i="8"/>
  <c r="P89" i="8"/>
  <c r="O89" i="8"/>
  <c r="N89" i="8"/>
  <c r="M89" i="8"/>
  <c r="L89" i="8"/>
  <c r="K89" i="8"/>
  <c r="J89" i="8"/>
  <c r="I89" i="8"/>
  <c r="H89" i="8"/>
  <c r="G89" i="8"/>
  <c r="AB89" i="8"/>
  <c r="Z89" i="8"/>
  <c r="Y89" i="8"/>
  <c r="AA89" i="8"/>
  <c r="T89" i="8"/>
  <c r="R89" i="8"/>
  <c r="X89" i="8"/>
  <c r="S89" i="8"/>
  <c r="W89" i="8"/>
  <c r="U89" i="8"/>
  <c r="V89" i="8"/>
  <c r="AC101" i="8"/>
  <c r="Q101" i="8"/>
  <c r="AB101" i="8"/>
  <c r="P101" i="8"/>
  <c r="AA101" i="8"/>
  <c r="O101" i="8"/>
  <c r="Z101" i="8"/>
  <c r="N101" i="8"/>
  <c r="Y101" i="8"/>
  <c r="M101" i="8"/>
  <c r="X101" i="8"/>
  <c r="L101" i="8"/>
  <c r="W101" i="8"/>
  <c r="K101" i="8"/>
  <c r="V101" i="8"/>
  <c r="J101" i="8"/>
  <c r="U101" i="8"/>
  <c r="I101" i="8"/>
  <c r="T101" i="8"/>
  <c r="H101" i="8"/>
  <c r="S101" i="8"/>
  <c r="R101" i="8"/>
  <c r="G101" i="8"/>
  <c r="F101" i="8"/>
  <c r="AC113" i="8"/>
  <c r="AA113" i="8"/>
  <c r="O113" i="8"/>
  <c r="Z113" i="8"/>
  <c r="N113" i="8"/>
  <c r="Y113" i="8"/>
  <c r="M113" i="8"/>
  <c r="X113" i="8"/>
  <c r="L113" i="8"/>
  <c r="W113" i="8"/>
  <c r="K113" i="8"/>
  <c r="V113" i="8"/>
  <c r="J113" i="8"/>
  <c r="U113" i="8"/>
  <c r="I113" i="8"/>
  <c r="T113" i="8"/>
  <c r="H113" i="8"/>
  <c r="S113" i="8"/>
  <c r="G113" i="8"/>
  <c r="R113" i="8"/>
  <c r="F113" i="8"/>
  <c r="P113" i="8"/>
  <c r="AB113" i="8"/>
  <c r="Q113" i="8"/>
  <c r="AC125" i="8"/>
  <c r="Y125" i="8"/>
  <c r="M125" i="8"/>
  <c r="X125" i="8"/>
  <c r="L125" i="8"/>
  <c r="W125" i="8"/>
  <c r="K125" i="8"/>
  <c r="V125" i="8"/>
  <c r="J125" i="8"/>
  <c r="U125" i="8"/>
  <c r="I125" i="8"/>
  <c r="S125" i="8"/>
  <c r="G125" i="8"/>
  <c r="R125" i="8"/>
  <c r="Q125" i="8"/>
  <c r="P125" i="8"/>
  <c r="O125" i="8"/>
  <c r="N125" i="8"/>
  <c r="H125" i="8"/>
  <c r="F125" i="8"/>
  <c r="AB125" i="8"/>
  <c r="AA125" i="8"/>
  <c r="Z125" i="8"/>
  <c r="T125" i="8"/>
  <c r="AC137" i="8"/>
  <c r="AA137" i="8"/>
  <c r="O137" i="8"/>
  <c r="Z137" i="8"/>
  <c r="N137" i="8"/>
  <c r="Y137" i="8"/>
  <c r="M137" i="8"/>
  <c r="X137" i="8"/>
  <c r="L137" i="8"/>
  <c r="W137" i="8"/>
  <c r="K137" i="8"/>
  <c r="V137" i="8"/>
  <c r="J137" i="8"/>
  <c r="U137" i="8"/>
  <c r="I137" i="8"/>
  <c r="AB137" i="8"/>
  <c r="T137" i="8"/>
  <c r="S137" i="8"/>
  <c r="R137" i="8"/>
  <c r="Q137" i="8"/>
  <c r="P137" i="8"/>
  <c r="H137" i="8"/>
  <c r="G137" i="8"/>
  <c r="F137" i="8"/>
  <c r="AC149" i="8"/>
  <c r="Q149" i="8"/>
  <c r="AB149" i="8"/>
  <c r="P149" i="8"/>
  <c r="AA149" i="8"/>
  <c r="O149" i="8"/>
  <c r="Z149" i="8"/>
  <c r="N149" i="8"/>
  <c r="Y149" i="8"/>
  <c r="M149" i="8"/>
  <c r="X149" i="8"/>
  <c r="L149" i="8"/>
  <c r="W149" i="8"/>
  <c r="K149" i="8"/>
  <c r="V149" i="8"/>
  <c r="J149" i="8"/>
  <c r="U149" i="8"/>
  <c r="I149" i="8"/>
  <c r="T149" i="8"/>
  <c r="H149" i="8"/>
  <c r="S149" i="8"/>
  <c r="R149" i="8"/>
  <c r="G149" i="8"/>
  <c r="F149" i="8"/>
  <c r="AC161" i="8"/>
  <c r="Z161" i="8"/>
  <c r="N161" i="8"/>
  <c r="Y161" i="8"/>
  <c r="M161" i="8"/>
  <c r="X161" i="8"/>
  <c r="L161" i="8"/>
  <c r="W161" i="8"/>
  <c r="K161" i="8"/>
  <c r="V161" i="8"/>
  <c r="J161" i="8"/>
  <c r="U161" i="8"/>
  <c r="I161" i="8"/>
  <c r="T161" i="8"/>
  <c r="H161" i="8"/>
  <c r="S161" i="8"/>
  <c r="G161" i="8"/>
  <c r="R161" i="8"/>
  <c r="F161" i="8"/>
  <c r="Q161" i="8"/>
  <c r="O161" i="8"/>
  <c r="AB161" i="8"/>
  <c r="P161" i="8"/>
  <c r="AA161" i="8"/>
  <c r="AC173" i="8"/>
  <c r="Z173" i="8"/>
  <c r="K173" i="8"/>
  <c r="Y173" i="8"/>
  <c r="J173" i="8"/>
  <c r="X173" i="8"/>
  <c r="I173" i="8"/>
  <c r="W173" i="8"/>
  <c r="H173" i="8"/>
  <c r="V173" i="8"/>
  <c r="G173" i="8"/>
  <c r="U173" i="8"/>
  <c r="F173" i="8"/>
  <c r="Q173" i="8"/>
  <c r="P173" i="8"/>
  <c r="O173" i="8"/>
  <c r="N173" i="8"/>
  <c r="AB173" i="8"/>
  <c r="AA173" i="8"/>
  <c r="M173" i="8"/>
  <c r="L173" i="8"/>
  <c r="T173" i="8"/>
  <c r="R173" i="8"/>
  <c r="S173" i="8"/>
  <c r="AC185" i="8"/>
  <c r="X185" i="8"/>
  <c r="L185" i="8"/>
  <c r="S185" i="8"/>
  <c r="F185" i="8"/>
  <c r="R185" i="8"/>
  <c r="Q185" i="8"/>
  <c r="P185" i="8"/>
  <c r="AB185" i="8"/>
  <c r="O185" i="8"/>
  <c r="AA185" i="8"/>
  <c r="N185" i="8"/>
  <c r="Z185" i="8"/>
  <c r="M185" i="8"/>
  <c r="Y185" i="8"/>
  <c r="K185" i="8"/>
  <c r="W185" i="8"/>
  <c r="J185" i="8"/>
  <c r="V185" i="8"/>
  <c r="I185" i="8"/>
  <c r="T185" i="8"/>
  <c r="H185" i="8"/>
  <c r="G185" i="8"/>
  <c r="U185" i="8"/>
  <c r="AC197" i="8"/>
  <c r="M197" i="8"/>
  <c r="Q197" i="8"/>
  <c r="P197" i="8"/>
  <c r="O197" i="8"/>
  <c r="N197" i="8"/>
  <c r="L197" i="8"/>
  <c r="K197" i="8"/>
  <c r="J197" i="8"/>
  <c r="I197" i="8"/>
  <c r="H197" i="8"/>
  <c r="G197" i="8"/>
  <c r="F197" i="8"/>
  <c r="AB197" i="8"/>
  <c r="Y197" i="8"/>
  <c r="Z197" i="8"/>
  <c r="R197" i="8"/>
  <c r="V197" i="8"/>
  <c r="W197" i="8"/>
  <c r="T197" i="8"/>
  <c r="U197" i="8"/>
  <c r="AA197" i="8"/>
  <c r="S197" i="8"/>
  <c r="X197" i="8"/>
  <c r="AC209" i="8"/>
  <c r="W209" i="8"/>
  <c r="K209" i="8"/>
  <c r="T209" i="8"/>
  <c r="H209" i="8"/>
  <c r="S209" i="8"/>
  <c r="G209" i="8"/>
  <c r="R209" i="8"/>
  <c r="F209" i="8"/>
  <c r="Q209" i="8"/>
  <c r="AB209" i="8"/>
  <c r="P209" i="8"/>
  <c r="AA209" i="8"/>
  <c r="O209" i="8"/>
  <c r="X209" i="8"/>
  <c r="V209" i="8"/>
  <c r="U209" i="8"/>
  <c r="N209" i="8"/>
  <c r="M209" i="8"/>
  <c r="L209" i="8"/>
  <c r="J209" i="8"/>
  <c r="I209" i="8"/>
  <c r="Z209" i="8"/>
  <c r="Y209" i="8"/>
  <c r="AC221" i="8"/>
  <c r="L221" i="8"/>
  <c r="K221" i="8"/>
  <c r="J221" i="8"/>
  <c r="I221" i="8"/>
  <c r="T221" i="8"/>
  <c r="H221" i="8"/>
  <c r="S221" i="8"/>
  <c r="G221" i="8"/>
  <c r="R221" i="8"/>
  <c r="F221" i="8"/>
  <c r="Q221" i="8"/>
  <c r="P221" i="8"/>
  <c r="O221" i="8"/>
  <c r="N221" i="8"/>
  <c r="M221" i="8"/>
  <c r="AB221" i="8"/>
  <c r="Z221" i="8"/>
  <c r="Y221" i="8"/>
  <c r="X221" i="8"/>
  <c r="V221" i="8"/>
  <c r="AA221" i="8"/>
  <c r="U221" i="8"/>
  <c r="W221" i="8"/>
  <c r="AC233" i="8"/>
  <c r="AA233" i="8"/>
  <c r="O233" i="8"/>
  <c r="Z233" i="8"/>
  <c r="N233" i="8"/>
  <c r="Y233" i="8"/>
  <c r="M233" i="8"/>
  <c r="X233" i="8"/>
  <c r="L233" i="8"/>
  <c r="W233" i="8"/>
  <c r="K233" i="8"/>
  <c r="V233" i="8"/>
  <c r="J233" i="8"/>
  <c r="U233" i="8"/>
  <c r="I233" i="8"/>
  <c r="T233" i="8"/>
  <c r="H233" i="8"/>
  <c r="S233" i="8"/>
  <c r="G233" i="8"/>
  <c r="R233" i="8"/>
  <c r="F233" i="8"/>
  <c r="AB233" i="8"/>
  <c r="Q233" i="8"/>
  <c r="P233" i="8"/>
  <c r="AC245" i="8"/>
  <c r="Q245" i="8"/>
  <c r="P245" i="8"/>
  <c r="L245" i="8"/>
  <c r="K245" i="8"/>
  <c r="J245" i="8"/>
  <c r="I245" i="8"/>
  <c r="Y245" i="8"/>
  <c r="H245" i="8"/>
  <c r="X245" i="8"/>
  <c r="G245" i="8"/>
  <c r="W245" i="8"/>
  <c r="F245" i="8"/>
  <c r="V245" i="8"/>
  <c r="U245" i="8"/>
  <c r="O245" i="8"/>
  <c r="N245" i="8"/>
  <c r="M245" i="8"/>
  <c r="AB245" i="8"/>
  <c r="Z245" i="8"/>
  <c r="S245" i="8"/>
  <c r="AA245" i="8"/>
  <c r="R245" i="8"/>
  <c r="T245" i="8"/>
  <c r="AC257" i="8"/>
  <c r="K257" i="8"/>
  <c r="J257" i="8"/>
  <c r="L257" i="8"/>
  <c r="I257" i="8"/>
  <c r="H257" i="8"/>
  <c r="G257" i="8"/>
  <c r="F257" i="8"/>
  <c r="Q257" i="8"/>
  <c r="P257" i="8"/>
  <c r="O257" i="8"/>
  <c r="N257" i="8"/>
  <c r="M257" i="8"/>
  <c r="AB257" i="8"/>
  <c r="Y257" i="8"/>
  <c r="Z257" i="8"/>
  <c r="W257" i="8"/>
  <c r="X257" i="8"/>
  <c r="S257" i="8"/>
  <c r="AA257" i="8"/>
  <c r="V257" i="8"/>
  <c r="T257" i="8"/>
  <c r="U257" i="8"/>
  <c r="R257" i="8"/>
  <c r="AC269" i="8"/>
  <c r="AA269" i="8"/>
  <c r="O269" i="8"/>
  <c r="Z269" i="8"/>
  <c r="N269" i="8"/>
  <c r="Q269" i="8"/>
  <c r="V269" i="8"/>
  <c r="G269" i="8"/>
  <c r="U269" i="8"/>
  <c r="F269" i="8"/>
  <c r="T269" i="8"/>
  <c r="S269" i="8"/>
  <c r="R269" i="8"/>
  <c r="P269" i="8"/>
  <c r="M269" i="8"/>
  <c r="L269" i="8"/>
  <c r="AB269" i="8"/>
  <c r="K269" i="8"/>
  <c r="Y269" i="8"/>
  <c r="J269" i="8"/>
  <c r="X269" i="8"/>
  <c r="W269" i="8"/>
  <c r="I269" i="8"/>
  <c r="H269" i="8"/>
  <c r="AC281" i="8"/>
  <c r="Z281" i="8"/>
  <c r="N281" i="8"/>
  <c r="Y281" i="8"/>
  <c r="M281" i="8"/>
  <c r="X281" i="8"/>
  <c r="R281" i="8"/>
  <c r="F281" i="8"/>
  <c r="AB281" i="8"/>
  <c r="P281" i="8"/>
  <c r="I281" i="8"/>
  <c r="AA281" i="8"/>
  <c r="H281" i="8"/>
  <c r="W281" i="8"/>
  <c r="G281" i="8"/>
  <c r="V281" i="8"/>
  <c r="U281" i="8"/>
  <c r="T281" i="8"/>
  <c r="S281" i="8"/>
  <c r="Q281" i="8"/>
  <c r="O281" i="8"/>
  <c r="L281" i="8"/>
  <c r="K281" i="8"/>
  <c r="J281" i="8"/>
  <c r="AC293" i="8"/>
  <c r="AA293" i="8"/>
  <c r="O293" i="8"/>
  <c r="Z293" i="8"/>
  <c r="N293" i="8"/>
  <c r="Y293" i="8"/>
  <c r="M293" i="8"/>
  <c r="V293" i="8"/>
  <c r="J293" i="8"/>
  <c r="S293" i="8"/>
  <c r="G293" i="8"/>
  <c r="R293" i="8"/>
  <c r="F293" i="8"/>
  <c r="Q293" i="8"/>
  <c r="W293" i="8"/>
  <c r="U293" i="8"/>
  <c r="T293" i="8"/>
  <c r="P293" i="8"/>
  <c r="L293" i="8"/>
  <c r="K293" i="8"/>
  <c r="I293" i="8"/>
  <c r="H293" i="8"/>
  <c r="AB293" i="8"/>
  <c r="X293" i="8"/>
  <c r="AC7" i="12"/>
  <c r="Z7" i="12"/>
  <c r="N7" i="12"/>
  <c r="Y7" i="12"/>
  <c r="M7" i="12"/>
  <c r="X7" i="12"/>
  <c r="L7" i="12"/>
  <c r="W7" i="12"/>
  <c r="K7" i="12"/>
  <c r="V7" i="12"/>
  <c r="J7" i="12"/>
  <c r="U7" i="12"/>
  <c r="I7" i="12"/>
  <c r="T7" i="12"/>
  <c r="H7" i="12"/>
  <c r="Q7" i="12"/>
  <c r="G7" i="12"/>
  <c r="F7" i="12"/>
  <c r="AB7" i="12"/>
  <c r="AA7" i="12"/>
  <c r="S7" i="12"/>
  <c r="R7" i="12"/>
  <c r="P7" i="12"/>
  <c r="O7" i="12"/>
  <c r="AC19" i="12"/>
  <c r="Z19" i="12"/>
  <c r="N19" i="12"/>
  <c r="Y19" i="12"/>
  <c r="M19" i="12"/>
  <c r="X19" i="12"/>
  <c r="L19" i="12"/>
  <c r="W19" i="12"/>
  <c r="K19" i="12"/>
  <c r="V19" i="12"/>
  <c r="J19" i="12"/>
  <c r="U19" i="12"/>
  <c r="I19" i="12"/>
  <c r="T19" i="12"/>
  <c r="H19" i="12"/>
  <c r="S19" i="12"/>
  <c r="G19" i="12"/>
  <c r="R19" i="12"/>
  <c r="F19" i="12"/>
  <c r="Q19" i="12"/>
  <c r="AB19" i="12"/>
  <c r="AA19" i="12"/>
  <c r="P19" i="12"/>
  <c r="O19" i="12"/>
  <c r="AC31" i="12"/>
  <c r="Z31" i="12"/>
  <c r="N31" i="12"/>
  <c r="Y31" i="12"/>
  <c r="M31" i="12"/>
  <c r="X31" i="12"/>
  <c r="L31" i="12"/>
  <c r="W31" i="12"/>
  <c r="K31" i="12"/>
  <c r="V31" i="12"/>
  <c r="J31" i="12"/>
  <c r="U31" i="12"/>
  <c r="I31" i="12"/>
  <c r="T31" i="12"/>
  <c r="H31" i="12"/>
  <c r="S31" i="12"/>
  <c r="G31" i="12"/>
  <c r="R31" i="12"/>
  <c r="F31" i="12"/>
  <c r="Q31" i="12"/>
  <c r="AB31" i="12"/>
  <c r="AA31" i="12"/>
  <c r="P31" i="12"/>
  <c r="O31" i="12"/>
  <c r="AC43" i="12"/>
  <c r="U43" i="12"/>
  <c r="I43" i="12"/>
  <c r="T43" i="12"/>
  <c r="H43" i="12"/>
  <c r="S43" i="12"/>
  <c r="G43" i="12"/>
  <c r="R43" i="12"/>
  <c r="F43" i="12"/>
  <c r="Q43" i="12"/>
  <c r="AA43" i="12"/>
  <c r="O43" i="12"/>
  <c r="W43" i="12"/>
  <c r="V43" i="12"/>
  <c r="P43" i="12"/>
  <c r="N43" i="12"/>
  <c r="M43" i="12"/>
  <c r="L43" i="12"/>
  <c r="K43" i="12"/>
  <c r="J43" i="12"/>
  <c r="AB43" i="12"/>
  <c r="Z43" i="12"/>
  <c r="Y43" i="12"/>
  <c r="X43" i="12"/>
  <c r="AC55" i="12"/>
  <c r="U55" i="12"/>
  <c r="I55" i="12"/>
  <c r="T55" i="12"/>
  <c r="H55" i="12"/>
  <c r="S55" i="12"/>
  <c r="G55" i="12"/>
  <c r="R55" i="12"/>
  <c r="F55" i="12"/>
  <c r="Q55" i="12"/>
  <c r="AB55" i="12"/>
  <c r="P55" i="12"/>
  <c r="AA55" i="12"/>
  <c r="O55" i="12"/>
  <c r="N55" i="12"/>
  <c r="M55" i="12"/>
  <c r="L55" i="12"/>
  <c r="K55" i="12"/>
  <c r="J55" i="12"/>
  <c r="Z55" i="12"/>
  <c r="Y55" i="12"/>
  <c r="X55" i="12"/>
  <c r="W55" i="12"/>
  <c r="V55" i="12"/>
  <c r="AC67" i="12"/>
  <c r="U67" i="12"/>
  <c r="I67" i="12"/>
  <c r="T67" i="12"/>
  <c r="H67" i="12"/>
  <c r="S67" i="12"/>
  <c r="G67" i="12"/>
  <c r="R67" i="12"/>
  <c r="F67" i="12"/>
  <c r="Q67" i="12"/>
  <c r="AB67" i="12"/>
  <c r="P67" i="12"/>
  <c r="AA67" i="12"/>
  <c r="O67" i="12"/>
  <c r="Z67" i="12"/>
  <c r="N67" i="12"/>
  <c r="Y67" i="12"/>
  <c r="M67" i="12"/>
  <c r="X67" i="12"/>
  <c r="L67" i="12"/>
  <c r="K67" i="12"/>
  <c r="J67" i="12"/>
  <c r="W67" i="12"/>
  <c r="V67" i="12"/>
  <c r="AC79" i="12"/>
  <c r="U79" i="12"/>
  <c r="I79" i="12"/>
  <c r="T79" i="12"/>
  <c r="H79" i="12"/>
  <c r="S79" i="12"/>
  <c r="G79" i="12"/>
  <c r="R79" i="12"/>
  <c r="F79" i="12"/>
  <c r="Q79" i="12"/>
  <c r="AB79" i="12"/>
  <c r="P79" i="12"/>
  <c r="AA79" i="12"/>
  <c r="O79" i="12"/>
  <c r="Z79" i="12"/>
  <c r="N79" i="12"/>
  <c r="Y79" i="12"/>
  <c r="M79" i="12"/>
  <c r="X79" i="12"/>
  <c r="L79" i="12"/>
  <c r="W79" i="12"/>
  <c r="V79" i="12"/>
  <c r="K79" i="12"/>
  <c r="J79" i="12"/>
  <c r="AC91" i="12"/>
  <c r="AB91" i="12"/>
  <c r="P91" i="12"/>
  <c r="AA91" i="12"/>
  <c r="O91" i="12"/>
  <c r="Z91" i="12"/>
  <c r="N91" i="12"/>
  <c r="Y91" i="12"/>
  <c r="M91" i="12"/>
  <c r="U91" i="12"/>
  <c r="Q91" i="12"/>
  <c r="L91" i="12"/>
  <c r="K91" i="12"/>
  <c r="J91" i="12"/>
  <c r="I91" i="12"/>
  <c r="H91" i="12"/>
  <c r="X91" i="12"/>
  <c r="G91" i="12"/>
  <c r="W91" i="12"/>
  <c r="F91" i="12"/>
  <c r="V91" i="12"/>
  <c r="T91" i="12"/>
  <c r="S91" i="12"/>
  <c r="R91" i="12"/>
  <c r="AC103" i="12"/>
  <c r="AB103" i="12"/>
  <c r="P103" i="12"/>
  <c r="AA103" i="12"/>
  <c r="O103" i="12"/>
  <c r="Z103" i="12"/>
  <c r="N103" i="12"/>
  <c r="Y103" i="12"/>
  <c r="M103" i="12"/>
  <c r="W103" i="12"/>
  <c r="U103" i="12"/>
  <c r="I103" i="12"/>
  <c r="G103" i="12"/>
  <c r="F103" i="12"/>
  <c r="X103" i="12"/>
  <c r="V103" i="12"/>
  <c r="T103" i="12"/>
  <c r="S103" i="12"/>
  <c r="R103" i="12"/>
  <c r="Q103" i="12"/>
  <c r="L103" i="12"/>
  <c r="K103" i="12"/>
  <c r="J103" i="12"/>
  <c r="H103" i="12"/>
  <c r="AC115" i="12"/>
  <c r="Q115" i="12"/>
  <c r="AB115" i="12"/>
  <c r="P115" i="12"/>
  <c r="AA115" i="12"/>
  <c r="O115" i="12"/>
  <c r="Y115" i="12"/>
  <c r="J115" i="12"/>
  <c r="X115" i="12"/>
  <c r="I115" i="12"/>
  <c r="W115" i="12"/>
  <c r="H115" i="12"/>
  <c r="V115" i="12"/>
  <c r="G115" i="12"/>
  <c r="U115" i="12"/>
  <c r="F115" i="12"/>
  <c r="T115" i="12"/>
  <c r="S115" i="12"/>
  <c r="R115" i="12"/>
  <c r="N115" i="12"/>
  <c r="M115" i="12"/>
  <c r="L115" i="12"/>
  <c r="K115" i="12"/>
  <c r="Z115" i="12"/>
  <c r="AC127" i="12"/>
  <c r="Q127" i="12"/>
  <c r="AB127" i="12"/>
  <c r="P127" i="12"/>
  <c r="AA127" i="12"/>
  <c r="O127" i="12"/>
  <c r="Z127" i="12"/>
  <c r="N127" i="12"/>
  <c r="Y127" i="12"/>
  <c r="M127" i="12"/>
  <c r="X127" i="12"/>
  <c r="L127" i="12"/>
  <c r="F127" i="12"/>
  <c r="W127" i="12"/>
  <c r="V127" i="12"/>
  <c r="U127" i="12"/>
  <c r="T127" i="12"/>
  <c r="S127" i="12"/>
  <c r="R127" i="12"/>
  <c r="K127" i="12"/>
  <c r="J127" i="12"/>
  <c r="I127" i="12"/>
  <c r="H127" i="12"/>
  <c r="G127" i="12"/>
  <c r="AC139" i="12"/>
  <c r="Q139" i="12"/>
  <c r="AB139" i="12"/>
  <c r="P139" i="12"/>
  <c r="AA139" i="12"/>
  <c r="O139" i="12"/>
  <c r="Z139" i="12"/>
  <c r="N139" i="12"/>
  <c r="Y139" i="12"/>
  <c r="M139" i="12"/>
  <c r="X139" i="12"/>
  <c r="L139" i="12"/>
  <c r="R139" i="12"/>
  <c r="K139" i="12"/>
  <c r="J139" i="12"/>
  <c r="I139" i="12"/>
  <c r="H139" i="12"/>
  <c r="G139" i="12"/>
  <c r="F139" i="12"/>
  <c r="W139" i="12"/>
  <c r="V139" i="12"/>
  <c r="U139" i="12"/>
  <c r="T139" i="12"/>
  <c r="S139" i="12"/>
  <c r="AC151" i="12"/>
  <c r="T151" i="12"/>
  <c r="H151" i="12"/>
  <c r="S151" i="12"/>
  <c r="G151" i="12"/>
  <c r="AA151" i="12"/>
  <c r="O151" i="12"/>
  <c r="M151" i="12"/>
  <c r="AB151" i="12"/>
  <c r="L151" i="12"/>
  <c r="Z151" i="12"/>
  <c r="K151" i="12"/>
  <c r="Y151" i="12"/>
  <c r="J151" i="12"/>
  <c r="X151" i="12"/>
  <c r="I151" i="12"/>
  <c r="W151" i="12"/>
  <c r="F151" i="12"/>
  <c r="V151" i="12"/>
  <c r="R151" i="12"/>
  <c r="U151" i="12"/>
  <c r="Q151" i="12"/>
  <c r="P151" i="12"/>
  <c r="N151" i="12"/>
  <c r="AC163" i="12"/>
  <c r="U163" i="12"/>
  <c r="I163" i="12"/>
  <c r="T163" i="12"/>
  <c r="H163" i="12"/>
  <c r="S163" i="12"/>
  <c r="G163" i="12"/>
  <c r="R163" i="12"/>
  <c r="F163" i="12"/>
  <c r="AB163" i="12"/>
  <c r="AA163" i="12"/>
  <c r="O163" i="12"/>
  <c r="Z163" i="12"/>
  <c r="N163" i="12"/>
  <c r="J163" i="12"/>
  <c r="Y163" i="12"/>
  <c r="X163" i="12"/>
  <c r="W163" i="12"/>
  <c r="V163" i="12"/>
  <c r="Q163" i="12"/>
  <c r="P163" i="12"/>
  <c r="M163" i="12"/>
  <c r="L163" i="12"/>
  <c r="K163" i="12"/>
  <c r="AC175" i="12"/>
  <c r="AB175" i="12"/>
  <c r="P175" i="12"/>
  <c r="AA175" i="12"/>
  <c r="O175" i="12"/>
  <c r="Z175" i="12"/>
  <c r="N175" i="12"/>
  <c r="Y175" i="12"/>
  <c r="J175" i="12"/>
  <c r="X175" i="12"/>
  <c r="I175" i="12"/>
  <c r="W175" i="12"/>
  <c r="H175" i="12"/>
  <c r="V175" i="12"/>
  <c r="G175" i="12"/>
  <c r="U175" i="12"/>
  <c r="F175" i="12"/>
  <c r="T175" i="12"/>
  <c r="S175" i="12"/>
  <c r="R175" i="12"/>
  <c r="Q175" i="12"/>
  <c r="M175" i="12"/>
  <c r="L175" i="12"/>
  <c r="K175" i="12"/>
  <c r="AC187" i="12"/>
  <c r="AB187" i="12"/>
  <c r="P187" i="12"/>
  <c r="AA187" i="12"/>
  <c r="O187" i="12"/>
  <c r="Z187" i="12"/>
  <c r="N187" i="12"/>
  <c r="W187" i="12"/>
  <c r="K187" i="12"/>
  <c r="R187" i="12"/>
  <c r="Q187" i="12"/>
  <c r="M187" i="12"/>
  <c r="L187" i="12"/>
  <c r="J187" i="12"/>
  <c r="I187" i="12"/>
  <c r="Y187" i="12"/>
  <c r="H187" i="12"/>
  <c r="X187" i="12"/>
  <c r="G187" i="12"/>
  <c r="V187" i="12"/>
  <c r="U187" i="12"/>
  <c r="T187" i="12"/>
  <c r="S187" i="12"/>
  <c r="F187" i="12"/>
  <c r="AC199" i="12"/>
  <c r="V199" i="12"/>
  <c r="J199" i="12"/>
  <c r="AB199" i="12"/>
  <c r="O199" i="12"/>
  <c r="AA199" i="12"/>
  <c r="N199" i="12"/>
  <c r="U199" i="12"/>
  <c r="F199" i="12"/>
  <c r="T199" i="12"/>
  <c r="S199" i="12"/>
  <c r="R199" i="12"/>
  <c r="Q199" i="12"/>
  <c r="P199" i="12"/>
  <c r="M199" i="12"/>
  <c r="L199" i="12"/>
  <c r="K199" i="12"/>
  <c r="I199" i="12"/>
  <c r="H199" i="12"/>
  <c r="G199" i="12"/>
  <c r="Z199" i="12"/>
  <c r="Y199" i="12"/>
  <c r="X199" i="12"/>
  <c r="W199" i="12"/>
  <c r="AC211" i="12"/>
  <c r="V211" i="12"/>
  <c r="J211" i="12"/>
  <c r="AA211" i="12"/>
  <c r="N211" i="12"/>
  <c r="Z211" i="12"/>
  <c r="M211" i="12"/>
  <c r="W211" i="12"/>
  <c r="I211" i="12"/>
  <c r="S211" i="12"/>
  <c r="R211" i="12"/>
  <c r="Q211" i="12"/>
  <c r="P211" i="12"/>
  <c r="O211" i="12"/>
  <c r="L211" i="12"/>
  <c r="K211" i="12"/>
  <c r="AB211" i="12"/>
  <c r="H211" i="12"/>
  <c r="Y211" i="12"/>
  <c r="X211" i="12"/>
  <c r="U211" i="12"/>
  <c r="T211" i="12"/>
  <c r="G211" i="12"/>
  <c r="F211" i="12"/>
  <c r="AC223" i="12"/>
  <c r="V223" i="12"/>
  <c r="J223" i="12"/>
  <c r="Z223" i="12"/>
  <c r="M223" i="12"/>
  <c r="Y223" i="12"/>
  <c r="L223" i="12"/>
  <c r="X223" i="12"/>
  <c r="K223" i="12"/>
  <c r="U223" i="12"/>
  <c r="H223" i="12"/>
  <c r="AB223" i="12"/>
  <c r="F223" i="12"/>
  <c r="AA223" i="12"/>
  <c r="W223" i="12"/>
  <c r="T223" i="12"/>
  <c r="S223" i="12"/>
  <c r="R223" i="12"/>
  <c r="Q223" i="12"/>
  <c r="P223" i="12"/>
  <c r="O223" i="12"/>
  <c r="N223" i="12"/>
  <c r="I223" i="12"/>
  <c r="G223" i="12"/>
  <c r="AC235" i="12"/>
  <c r="V235" i="12"/>
  <c r="J235" i="12"/>
  <c r="U235" i="12"/>
  <c r="I235" i="12"/>
  <c r="T235" i="12"/>
  <c r="H235" i="12"/>
  <c r="R235" i="12"/>
  <c r="Q235" i="12"/>
  <c r="P235" i="12"/>
  <c r="O235" i="12"/>
  <c r="N235" i="12"/>
  <c r="AB235" i="12"/>
  <c r="M235" i="12"/>
  <c r="L235" i="12"/>
  <c r="K235" i="12"/>
  <c r="G235" i="12"/>
  <c r="F235" i="12"/>
  <c r="AA235" i="12"/>
  <c r="Z235" i="12"/>
  <c r="Y235" i="12"/>
  <c r="X235" i="12"/>
  <c r="W235" i="12"/>
  <c r="S235" i="12"/>
  <c r="AC247" i="12"/>
  <c r="Y247" i="12"/>
  <c r="M247" i="12"/>
  <c r="T247" i="12"/>
  <c r="G247" i="12"/>
  <c r="S247" i="12"/>
  <c r="F247" i="12"/>
  <c r="R247" i="12"/>
  <c r="Z247" i="12"/>
  <c r="I247" i="12"/>
  <c r="X247" i="12"/>
  <c r="H247" i="12"/>
  <c r="W247" i="12"/>
  <c r="V247" i="12"/>
  <c r="U247" i="12"/>
  <c r="Q247" i="12"/>
  <c r="P247" i="12"/>
  <c r="O247" i="12"/>
  <c r="AB247" i="12"/>
  <c r="AA247" i="12"/>
  <c r="N247" i="12"/>
  <c r="L247" i="12"/>
  <c r="K247" i="12"/>
  <c r="J247" i="12"/>
  <c r="AC259" i="12"/>
  <c r="Y259" i="12"/>
  <c r="M259" i="12"/>
  <c r="W259" i="12"/>
  <c r="K259" i="12"/>
  <c r="V259" i="12"/>
  <c r="J259" i="12"/>
  <c r="AB259" i="12"/>
  <c r="L259" i="12"/>
  <c r="AA259" i="12"/>
  <c r="I259" i="12"/>
  <c r="Z259" i="12"/>
  <c r="H259" i="12"/>
  <c r="X259" i="12"/>
  <c r="G259" i="12"/>
  <c r="U259" i="12"/>
  <c r="F259" i="12"/>
  <c r="T259" i="12"/>
  <c r="S259" i="12"/>
  <c r="N259" i="12"/>
  <c r="R259" i="12"/>
  <c r="Q259" i="12"/>
  <c r="P259" i="12"/>
  <c r="O259" i="12"/>
  <c r="AC271" i="12"/>
  <c r="Y271" i="12"/>
  <c r="M271" i="12"/>
  <c r="W271" i="12"/>
  <c r="K271" i="12"/>
  <c r="V271" i="12"/>
  <c r="J271" i="12"/>
  <c r="U271" i="12"/>
  <c r="Z271" i="12"/>
  <c r="G271" i="12"/>
  <c r="X271" i="12"/>
  <c r="F271" i="12"/>
  <c r="T271" i="12"/>
  <c r="S271" i="12"/>
  <c r="R271" i="12"/>
  <c r="Q271" i="12"/>
  <c r="P271" i="12"/>
  <c r="AB271" i="12"/>
  <c r="AA271" i="12"/>
  <c r="O271" i="12"/>
  <c r="N271" i="12"/>
  <c r="L271" i="12"/>
  <c r="I271" i="12"/>
  <c r="H271" i="12"/>
  <c r="AC283" i="12"/>
  <c r="Y283" i="12"/>
  <c r="M283" i="12"/>
  <c r="X283" i="12"/>
  <c r="L283" i="12"/>
  <c r="W283" i="12"/>
  <c r="K283" i="12"/>
  <c r="V283" i="12"/>
  <c r="J283" i="12"/>
  <c r="U283" i="12"/>
  <c r="I283" i="12"/>
  <c r="T283" i="12"/>
  <c r="H283" i="12"/>
  <c r="S283" i="12"/>
  <c r="G283" i="12"/>
  <c r="R283" i="12"/>
  <c r="F283" i="12"/>
  <c r="Q283" i="12"/>
  <c r="AB283" i="12"/>
  <c r="P283" i="12"/>
  <c r="AA283" i="12"/>
  <c r="Z283" i="12"/>
  <c r="O283" i="12"/>
  <c r="N283" i="12"/>
  <c r="AS140" i="6"/>
  <c r="AT140" i="6"/>
  <c r="Z19" i="5"/>
  <c r="N19" i="5"/>
  <c r="Y19" i="5"/>
  <c r="M19" i="5"/>
  <c r="T19" i="5"/>
  <c r="X19" i="5"/>
  <c r="L19" i="5"/>
  <c r="H19" i="5"/>
  <c r="W19" i="5"/>
  <c r="K19" i="5"/>
  <c r="V19" i="5"/>
  <c r="J19" i="5"/>
  <c r="U19" i="5"/>
  <c r="I19" i="5"/>
  <c r="S19" i="5"/>
  <c r="G19" i="5"/>
  <c r="R19" i="5"/>
  <c r="F19" i="5"/>
  <c r="AC19" i="5"/>
  <c r="AA151" i="4" s="1"/>
  <c r="Q19" i="5"/>
  <c r="AB19" i="5"/>
  <c r="Z151" i="4" s="1"/>
  <c r="P19" i="5"/>
  <c r="AA19" i="5"/>
  <c r="O19" i="5"/>
  <c r="Z31" i="5"/>
  <c r="N31" i="5"/>
  <c r="Y31" i="5"/>
  <c r="M31" i="5"/>
  <c r="X31" i="5"/>
  <c r="L31" i="5"/>
  <c r="W31" i="5"/>
  <c r="K31" i="5"/>
  <c r="V31" i="5"/>
  <c r="J31" i="5"/>
  <c r="U31" i="5"/>
  <c r="S15" i="4" s="1"/>
  <c r="I31" i="5"/>
  <c r="T31" i="5"/>
  <c r="H31" i="5"/>
  <c r="S31" i="5"/>
  <c r="G31" i="5"/>
  <c r="R31" i="5"/>
  <c r="F31" i="5"/>
  <c r="AC31" i="5"/>
  <c r="Q31" i="5"/>
  <c r="AB31" i="5"/>
  <c r="Z15" i="4" s="1"/>
  <c r="P31" i="5"/>
  <c r="AA31" i="5"/>
  <c r="O31" i="5"/>
  <c r="Z43" i="5"/>
  <c r="N43" i="5"/>
  <c r="Y43" i="5"/>
  <c r="M43" i="5"/>
  <c r="X43" i="5"/>
  <c r="L43" i="5"/>
  <c r="W43" i="5"/>
  <c r="K43" i="5"/>
  <c r="V43" i="5"/>
  <c r="J43" i="5"/>
  <c r="U43" i="5"/>
  <c r="I43" i="5"/>
  <c r="T43" i="5"/>
  <c r="R24" i="4" s="1"/>
  <c r="H43" i="5"/>
  <c r="S43" i="5"/>
  <c r="G43" i="5"/>
  <c r="R43" i="5"/>
  <c r="F43" i="5"/>
  <c r="AC43" i="5"/>
  <c r="Q43" i="5"/>
  <c r="AB43" i="5"/>
  <c r="Z24" i="4" s="1"/>
  <c r="P43" i="5"/>
  <c r="AA43" i="5"/>
  <c r="O43" i="5"/>
  <c r="Z55" i="5"/>
  <c r="N55" i="5"/>
  <c r="Y55" i="5"/>
  <c r="W34" i="4" s="1"/>
  <c r="M55" i="5"/>
  <c r="X55" i="5"/>
  <c r="V34" i="4" s="1"/>
  <c r="L55" i="5"/>
  <c r="W55" i="5"/>
  <c r="K55" i="5"/>
  <c r="V55" i="5"/>
  <c r="T34" i="4" s="1"/>
  <c r="J55" i="5"/>
  <c r="U55" i="5"/>
  <c r="S34" i="4" s="1"/>
  <c r="I55" i="5"/>
  <c r="T55" i="5"/>
  <c r="R34" i="4" s="1"/>
  <c r="H55" i="5"/>
  <c r="S55" i="5"/>
  <c r="Q34" i="4" s="1"/>
  <c r="G55" i="5"/>
  <c r="R55" i="5"/>
  <c r="P34" i="4" s="1"/>
  <c r="F55" i="5"/>
  <c r="AC55" i="5"/>
  <c r="AA34" i="4" s="1"/>
  <c r="Q55" i="5"/>
  <c r="AB55" i="5"/>
  <c r="Z34" i="4" s="1"/>
  <c r="P55" i="5"/>
  <c r="AA55" i="5"/>
  <c r="O55" i="5"/>
  <c r="Z67" i="5"/>
  <c r="N67" i="5"/>
  <c r="Y67" i="5"/>
  <c r="M67" i="5"/>
  <c r="X67" i="5"/>
  <c r="V39" i="4" s="1"/>
  <c r="L67" i="5"/>
  <c r="W67" i="5"/>
  <c r="K67" i="5"/>
  <c r="V67" i="5"/>
  <c r="J67" i="5"/>
  <c r="U67" i="5"/>
  <c r="I67" i="5"/>
  <c r="T67" i="5"/>
  <c r="R39" i="4" s="1"/>
  <c r="H67" i="5"/>
  <c r="S67" i="5"/>
  <c r="G67" i="5"/>
  <c r="R67" i="5"/>
  <c r="F67" i="5"/>
  <c r="AC67" i="5"/>
  <c r="Q67" i="5"/>
  <c r="AB67" i="5"/>
  <c r="Z39" i="4" s="1"/>
  <c r="P67" i="5"/>
  <c r="AA67" i="5"/>
  <c r="O67" i="5"/>
  <c r="Z79" i="5"/>
  <c r="N79" i="5"/>
  <c r="Y79" i="5"/>
  <c r="M79" i="5"/>
  <c r="X79" i="5"/>
  <c r="L79" i="5"/>
  <c r="W79" i="5"/>
  <c r="K79" i="5"/>
  <c r="V79" i="5"/>
  <c r="J79" i="5"/>
  <c r="U79" i="5"/>
  <c r="I79" i="5"/>
  <c r="T79" i="5"/>
  <c r="H79" i="5"/>
  <c r="S79" i="5"/>
  <c r="G79" i="5"/>
  <c r="R79" i="5"/>
  <c r="F79" i="5"/>
  <c r="AC79" i="5"/>
  <c r="Q79" i="5"/>
  <c r="AB79" i="5"/>
  <c r="P79" i="5"/>
  <c r="AA79" i="5"/>
  <c r="O79" i="5"/>
  <c r="Z91" i="5"/>
  <c r="N91" i="5"/>
  <c r="Y91" i="5"/>
  <c r="M91" i="5"/>
  <c r="X91" i="5"/>
  <c r="L91" i="5"/>
  <c r="W91" i="5"/>
  <c r="K91" i="5"/>
  <c r="V91" i="5"/>
  <c r="J91" i="5"/>
  <c r="U91" i="5"/>
  <c r="I91" i="5"/>
  <c r="T91" i="5"/>
  <c r="H91" i="5"/>
  <c r="S91" i="5"/>
  <c r="G91" i="5"/>
  <c r="R91" i="5"/>
  <c r="F91" i="5"/>
  <c r="AC91" i="5"/>
  <c r="Q91" i="5"/>
  <c r="AB91" i="5"/>
  <c r="P91" i="5"/>
  <c r="AA91" i="5"/>
  <c r="O91" i="5"/>
  <c r="Z103" i="5"/>
  <c r="N103" i="5"/>
  <c r="Y103" i="5"/>
  <c r="M103" i="5"/>
  <c r="X103" i="5"/>
  <c r="L103" i="5"/>
  <c r="W103" i="5"/>
  <c r="K103" i="5"/>
  <c r="V103" i="5"/>
  <c r="J103" i="5"/>
  <c r="U103" i="5"/>
  <c r="I103" i="5"/>
  <c r="T103" i="5"/>
  <c r="H103" i="5"/>
  <c r="S103" i="5"/>
  <c r="G103" i="5"/>
  <c r="R103" i="5"/>
  <c r="F103" i="5"/>
  <c r="AC103" i="5"/>
  <c r="Q103" i="5"/>
  <c r="AB103" i="5"/>
  <c r="P103" i="5"/>
  <c r="AA103" i="5"/>
  <c r="O103" i="5"/>
  <c r="AC115" i="5"/>
  <c r="Q115" i="5"/>
  <c r="AB115" i="5"/>
  <c r="Z45" i="4" s="1"/>
  <c r="P115" i="5"/>
  <c r="AA115" i="5"/>
  <c r="O115" i="5"/>
  <c r="Z115" i="5"/>
  <c r="N115" i="5"/>
  <c r="Y115" i="5"/>
  <c r="M115" i="5"/>
  <c r="X115" i="5"/>
  <c r="L115" i="5"/>
  <c r="W115" i="5"/>
  <c r="K115" i="5"/>
  <c r="V115" i="5"/>
  <c r="J115" i="5"/>
  <c r="U115" i="5"/>
  <c r="I115" i="5"/>
  <c r="T115" i="5"/>
  <c r="R45" i="4" s="1"/>
  <c r="H115" i="5"/>
  <c r="S115" i="5"/>
  <c r="Q45" i="4" s="1"/>
  <c r="G115" i="5"/>
  <c r="R115" i="5"/>
  <c r="F115" i="5"/>
  <c r="AC127" i="5"/>
  <c r="Q127" i="5"/>
  <c r="AB127" i="5"/>
  <c r="P127" i="5"/>
  <c r="AA127" i="5"/>
  <c r="O127" i="5"/>
  <c r="Z127" i="5"/>
  <c r="N127" i="5"/>
  <c r="Y127" i="5"/>
  <c r="M127" i="5"/>
  <c r="X127" i="5"/>
  <c r="L127" i="5"/>
  <c r="W127" i="5"/>
  <c r="K127" i="5"/>
  <c r="V127" i="5"/>
  <c r="J127" i="5"/>
  <c r="U127" i="5"/>
  <c r="I127" i="5"/>
  <c r="T127" i="5"/>
  <c r="H127" i="5"/>
  <c r="S127" i="5"/>
  <c r="G127" i="5"/>
  <c r="R127" i="5"/>
  <c r="F127" i="5"/>
  <c r="AC139" i="5"/>
  <c r="Q139" i="5"/>
  <c r="AB139" i="5"/>
  <c r="Z46" i="4" s="1"/>
  <c r="P139" i="5"/>
  <c r="AA139" i="5"/>
  <c r="O139" i="5"/>
  <c r="Z139" i="5"/>
  <c r="N139" i="5"/>
  <c r="Y139" i="5"/>
  <c r="M139" i="5"/>
  <c r="X139" i="5"/>
  <c r="V46" i="4" s="1"/>
  <c r="L139" i="5"/>
  <c r="W139" i="5"/>
  <c r="K139" i="5"/>
  <c r="V139" i="5"/>
  <c r="J139" i="5"/>
  <c r="U139" i="5"/>
  <c r="I139" i="5"/>
  <c r="T139" i="5"/>
  <c r="H139" i="5"/>
  <c r="S139" i="5"/>
  <c r="Q46" i="4" s="1"/>
  <c r="G139" i="5"/>
  <c r="R139" i="5"/>
  <c r="F139" i="5"/>
  <c r="AC151" i="5"/>
  <c r="Q151" i="5"/>
  <c r="AB151" i="5"/>
  <c r="P151" i="5"/>
  <c r="AA151" i="5"/>
  <c r="O151" i="5"/>
  <c r="Z151" i="5"/>
  <c r="N151" i="5"/>
  <c r="Y151" i="5"/>
  <c r="M151" i="5"/>
  <c r="X151" i="5"/>
  <c r="L151" i="5"/>
  <c r="W151" i="5"/>
  <c r="K151" i="5"/>
  <c r="V151" i="5"/>
  <c r="J151" i="5"/>
  <c r="U151" i="5"/>
  <c r="I151" i="5"/>
  <c r="T151" i="5"/>
  <c r="H151" i="5"/>
  <c r="S151" i="5"/>
  <c r="G151" i="5"/>
  <c r="R151" i="5"/>
  <c r="F151" i="5"/>
  <c r="X163" i="5"/>
  <c r="L163" i="5"/>
  <c r="W163" i="5"/>
  <c r="U72" i="4" s="1"/>
  <c r="K163" i="5"/>
  <c r="V163" i="5"/>
  <c r="T72" i="4" s="1"/>
  <c r="J163" i="5"/>
  <c r="U163" i="5"/>
  <c r="I163" i="5"/>
  <c r="T163" i="5"/>
  <c r="H163" i="5"/>
  <c r="S163" i="5"/>
  <c r="G163" i="5"/>
  <c r="R163" i="5"/>
  <c r="P72" i="4" s="1"/>
  <c r="F163" i="5"/>
  <c r="AC163" i="5"/>
  <c r="AA72" i="4" s="1"/>
  <c r="Q163" i="5"/>
  <c r="AA163" i="5"/>
  <c r="O163" i="5"/>
  <c r="AB163" i="5"/>
  <c r="Z72" i="4" s="1"/>
  <c r="Z163" i="5"/>
  <c r="Y163" i="5"/>
  <c r="P163" i="5"/>
  <c r="N163" i="5"/>
  <c r="M163" i="5"/>
  <c r="X175" i="5"/>
  <c r="L175" i="5"/>
  <c r="W175" i="5"/>
  <c r="U99" i="4" s="1"/>
  <c r="K175" i="5"/>
  <c r="V175" i="5"/>
  <c r="T99" i="4" s="1"/>
  <c r="J175" i="5"/>
  <c r="U175" i="5"/>
  <c r="S99" i="4" s="1"/>
  <c r="I175" i="5"/>
  <c r="T175" i="5"/>
  <c r="H175" i="5"/>
  <c r="S175" i="5"/>
  <c r="G175" i="5"/>
  <c r="R175" i="5"/>
  <c r="P99" i="4" s="1"/>
  <c r="F175" i="5"/>
  <c r="AC175" i="5"/>
  <c r="AA99" i="4" s="1"/>
  <c r="Q175" i="5"/>
  <c r="AB175" i="5"/>
  <c r="Z99" i="4" s="1"/>
  <c r="P175" i="5"/>
  <c r="AA175" i="5"/>
  <c r="O175" i="5"/>
  <c r="Z175" i="5"/>
  <c r="N175" i="5"/>
  <c r="Y175" i="5"/>
  <c r="M175" i="5"/>
  <c r="X187" i="5"/>
  <c r="L187" i="5"/>
  <c r="W187" i="5"/>
  <c r="U107" i="4" s="1"/>
  <c r="K187" i="5"/>
  <c r="V187" i="5"/>
  <c r="T107" i="4" s="1"/>
  <c r="J187" i="5"/>
  <c r="U187" i="5"/>
  <c r="S107" i="4" s="1"/>
  <c r="I187" i="5"/>
  <c r="T187" i="5"/>
  <c r="H187" i="5"/>
  <c r="S187" i="5"/>
  <c r="G187" i="5"/>
  <c r="R187" i="5"/>
  <c r="P107" i="4" s="1"/>
  <c r="F187" i="5"/>
  <c r="AC187" i="5"/>
  <c r="AA107" i="4" s="1"/>
  <c r="Q187" i="5"/>
  <c r="AB187" i="5"/>
  <c r="Z107" i="4" s="1"/>
  <c r="P187" i="5"/>
  <c r="AA187" i="5"/>
  <c r="O187" i="5"/>
  <c r="Z187" i="5"/>
  <c r="N187" i="5"/>
  <c r="Y187" i="5"/>
  <c r="M187" i="5"/>
  <c r="X199" i="5"/>
  <c r="L199" i="5"/>
  <c r="W199" i="5"/>
  <c r="K199" i="5"/>
  <c r="V199" i="5"/>
  <c r="T141" i="4" s="1"/>
  <c r="J199" i="5"/>
  <c r="U199" i="5"/>
  <c r="I199" i="5"/>
  <c r="T199" i="5"/>
  <c r="H199" i="5"/>
  <c r="S199" i="5"/>
  <c r="Q141" i="4" s="1"/>
  <c r="G199" i="5"/>
  <c r="R199" i="5"/>
  <c r="P141" i="4" s="1"/>
  <c r="F199" i="5"/>
  <c r="AC199" i="5"/>
  <c r="AA141" i="4" s="1"/>
  <c r="Q199" i="5"/>
  <c r="AB199" i="5"/>
  <c r="Z141" i="4" s="1"/>
  <c r="P199" i="5"/>
  <c r="AA199" i="5"/>
  <c r="O199" i="5"/>
  <c r="Z199" i="5"/>
  <c r="N199" i="5"/>
  <c r="Y199" i="5"/>
  <c r="M199" i="5"/>
  <c r="T211" i="5"/>
  <c r="H211" i="5"/>
  <c r="S211" i="5"/>
  <c r="G211" i="5"/>
  <c r="R211" i="5"/>
  <c r="F211" i="5"/>
  <c r="AC211" i="5"/>
  <c r="Q211" i="5"/>
  <c r="AB211" i="5"/>
  <c r="P211" i="5"/>
  <c r="AA211" i="5"/>
  <c r="O211" i="5"/>
  <c r="Z211" i="5"/>
  <c r="N211" i="5"/>
  <c r="Y211" i="5"/>
  <c r="M211" i="5"/>
  <c r="X211" i="5"/>
  <c r="W211" i="5"/>
  <c r="V211" i="5"/>
  <c r="U211" i="5"/>
  <c r="L211" i="5"/>
  <c r="K211" i="5"/>
  <c r="J211" i="5"/>
  <c r="I211" i="5"/>
  <c r="T223" i="5"/>
  <c r="H223" i="5"/>
  <c r="S223" i="5"/>
  <c r="G223" i="5"/>
  <c r="R223" i="5"/>
  <c r="F223" i="5"/>
  <c r="AC223" i="5"/>
  <c r="Q223" i="5"/>
  <c r="AB223" i="5"/>
  <c r="P223" i="5"/>
  <c r="AA223" i="5"/>
  <c r="O223" i="5"/>
  <c r="Z223" i="5"/>
  <c r="N223" i="5"/>
  <c r="Y223" i="5"/>
  <c r="M223" i="5"/>
  <c r="X223" i="5"/>
  <c r="L223" i="5"/>
  <c r="W223" i="5"/>
  <c r="K223" i="5"/>
  <c r="V223" i="5"/>
  <c r="J223" i="5"/>
  <c r="U223" i="5"/>
  <c r="I223" i="5"/>
  <c r="T235" i="5"/>
  <c r="H235" i="5"/>
  <c r="S235" i="5"/>
  <c r="G235" i="5"/>
  <c r="R235" i="5"/>
  <c r="F235" i="5"/>
  <c r="AC235" i="5"/>
  <c r="Q235" i="5"/>
  <c r="AB235" i="5"/>
  <c r="P235" i="5"/>
  <c r="AA235" i="5"/>
  <c r="O235" i="5"/>
  <c r="Z235" i="5"/>
  <c r="N235" i="5"/>
  <c r="Y235" i="5"/>
  <c r="M235" i="5"/>
  <c r="X235" i="5"/>
  <c r="L235" i="5"/>
  <c r="W235" i="5"/>
  <c r="K235" i="5"/>
  <c r="V235" i="5"/>
  <c r="J235" i="5"/>
  <c r="U235" i="5"/>
  <c r="I235" i="5"/>
  <c r="T248" i="5"/>
  <c r="R164" i="4" s="1"/>
  <c r="R166" i="4" s="1"/>
  <c r="R168" i="4" s="1"/>
  <c r="H248" i="5"/>
  <c r="S248" i="5"/>
  <c r="G248" i="5"/>
  <c r="R248" i="5"/>
  <c r="P164" i="4" s="1"/>
  <c r="F248" i="5"/>
  <c r="AC248" i="5"/>
  <c r="AA164" i="4" s="1"/>
  <c r="AA166" i="4" s="1"/>
  <c r="AA168" i="4" s="1"/>
  <c r="Q248" i="5"/>
  <c r="AB248" i="5"/>
  <c r="Z164" i="4" s="1"/>
  <c r="Z166" i="4" s="1"/>
  <c r="Z168" i="4" s="1"/>
  <c r="P248" i="5"/>
  <c r="AA248" i="5"/>
  <c r="O248" i="5"/>
  <c r="Z248" i="5"/>
  <c r="N248" i="5"/>
  <c r="Y248" i="5"/>
  <c r="W164" i="4" s="1"/>
  <c r="W166" i="4" s="1"/>
  <c r="W168" i="4" s="1"/>
  <c r="M248" i="5"/>
  <c r="X248" i="5"/>
  <c r="V164" i="4" s="1"/>
  <c r="V166" i="4" s="1"/>
  <c r="V168" i="4" s="1"/>
  <c r="L248" i="5"/>
  <c r="W248" i="5"/>
  <c r="K248" i="5"/>
  <c r="V248" i="5"/>
  <c r="J248" i="5"/>
  <c r="U248" i="5"/>
  <c r="S164" i="4" s="1"/>
  <c r="S166" i="4" s="1"/>
  <c r="S168" i="4" s="1"/>
  <c r="I248" i="5"/>
  <c r="S260" i="5"/>
  <c r="G260" i="5"/>
  <c r="R260" i="5"/>
  <c r="F260" i="5"/>
  <c r="AC260" i="5"/>
  <c r="Q260" i="5"/>
  <c r="AB260" i="5"/>
  <c r="P260" i="5"/>
  <c r="AA260" i="5"/>
  <c r="O260" i="5"/>
  <c r="Z260" i="5"/>
  <c r="N260" i="5"/>
  <c r="Y260" i="5"/>
  <c r="M260" i="5"/>
  <c r="X260" i="5"/>
  <c r="L260" i="5"/>
  <c r="W260" i="5"/>
  <c r="K260" i="5"/>
  <c r="V260" i="5"/>
  <c r="J260" i="5"/>
  <c r="U260" i="5"/>
  <c r="I260" i="5"/>
  <c r="T260" i="5"/>
  <c r="H260" i="5"/>
  <c r="S272" i="5"/>
  <c r="Q211" i="4" s="1"/>
  <c r="G272" i="5"/>
  <c r="R272" i="5"/>
  <c r="F272" i="5"/>
  <c r="AC272" i="5"/>
  <c r="AA211" i="4" s="1"/>
  <c r="Q272" i="5"/>
  <c r="AB272" i="5"/>
  <c r="Z211" i="4" s="1"/>
  <c r="P272" i="5"/>
  <c r="AA272" i="5"/>
  <c r="O272" i="5"/>
  <c r="Z272" i="5"/>
  <c r="X211" i="4" s="1"/>
  <c r="N272" i="5"/>
  <c r="Y272" i="5"/>
  <c r="M272" i="5"/>
  <c r="X272" i="5"/>
  <c r="V211" i="4" s="1"/>
  <c r="L272" i="5"/>
  <c r="W272" i="5"/>
  <c r="K272" i="5"/>
  <c r="V272" i="5"/>
  <c r="T211" i="4" s="1"/>
  <c r="J272" i="5"/>
  <c r="U272" i="5"/>
  <c r="I272" i="5"/>
  <c r="T272" i="5"/>
  <c r="R211" i="4" s="1"/>
  <c r="H272" i="5"/>
  <c r="S284" i="5"/>
  <c r="G284" i="5"/>
  <c r="R284" i="5"/>
  <c r="F284" i="5"/>
  <c r="AC284" i="5"/>
  <c r="Q284" i="5"/>
  <c r="AB284" i="5"/>
  <c r="P284" i="5"/>
  <c r="AA284" i="5"/>
  <c r="O284" i="5"/>
  <c r="Z284" i="5"/>
  <c r="N284" i="5"/>
  <c r="Y284" i="5"/>
  <c r="M284" i="5"/>
  <c r="X284" i="5"/>
  <c r="L284" i="5"/>
  <c r="W284" i="5"/>
  <c r="K284" i="5"/>
  <c r="V284" i="5"/>
  <c r="J284" i="5"/>
  <c r="U284" i="5"/>
  <c r="I284" i="5"/>
  <c r="T284" i="5"/>
  <c r="H284" i="5"/>
  <c r="S296" i="5"/>
  <c r="G296" i="5"/>
  <c r="R296" i="5"/>
  <c r="F296" i="5"/>
  <c r="AC296" i="5"/>
  <c r="Q296" i="5"/>
  <c r="AB296" i="5"/>
  <c r="P296" i="5"/>
  <c r="AA296" i="5"/>
  <c r="O296" i="5"/>
  <c r="Z296" i="5"/>
  <c r="N296" i="5"/>
  <c r="Y296" i="5"/>
  <c r="M296" i="5"/>
  <c r="X296" i="5"/>
  <c r="L296" i="5"/>
  <c r="W296" i="5"/>
  <c r="K296" i="5"/>
  <c r="V296" i="5"/>
  <c r="J296" i="5"/>
  <c r="U296" i="5"/>
  <c r="I296" i="5"/>
  <c r="T296" i="5"/>
  <c r="H296" i="5"/>
  <c r="V308" i="5"/>
  <c r="J308" i="5"/>
  <c r="U308" i="5"/>
  <c r="I308" i="5"/>
  <c r="T308" i="5"/>
  <c r="H308" i="5"/>
  <c r="S308" i="5"/>
  <c r="G308" i="5"/>
  <c r="R308" i="5"/>
  <c r="F308" i="5"/>
  <c r="AC308" i="5"/>
  <c r="Q308" i="5"/>
  <c r="AB308" i="5"/>
  <c r="P308" i="5"/>
  <c r="AA308" i="5"/>
  <c r="O308" i="5"/>
  <c r="Z308" i="5"/>
  <c r="N308" i="5"/>
  <c r="Y308" i="5"/>
  <c r="M308" i="5"/>
  <c r="X308" i="5"/>
  <c r="L308" i="5"/>
  <c r="W308" i="5"/>
  <c r="K308" i="5"/>
  <c r="V320" i="5"/>
  <c r="J320" i="5"/>
  <c r="U320" i="5"/>
  <c r="I320" i="5"/>
  <c r="T320" i="5"/>
  <c r="H320" i="5"/>
  <c r="S320" i="5"/>
  <c r="G320" i="5"/>
  <c r="R320" i="5"/>
  <c r="F320" i="5"/>
  <c r="AC320" i="5"/>
  <c r="Q320" i="5"/>
  <c r="AB320" i="5"/>
  <c r="P320" i="5"/>
  <c r="AA320" i="5"/>
  <c r="O320" i="5"/>
  <c r="Z320" i="5"/>
  <c r="N320" i="5"/>
  <c r="Y320" i="5"/>
  <c r="M320" i="5"/>
  <c r="X320" i="5"/>
  <c r="L320" i="5"/>
  <c r="W320" i="5"/>
  <c r="K320" i="5"/>
  <c r="V333" i="5"/>
  <c r="J333" i="5"/>
  <c r="U333" i="5"/>
  <c r="I333" i="5"/>
  <c r="T333" i="5"/>
  <c r="H333" i="5"/>
  <c r="S333" i="5"/>
  <c r="G333" i="5"/>
  <c r="R333" i="5"/>
  <c r="F333" i="5"/>
  <c r="AC333" i="5"/>
  <c r="Q333" i="5"/>
  <c r="AB333" i="5"/>
  <c r="P333" i="5"/>
  <c r="AA333" i="5"/>
  <c r="O333" i="5"/>
  <c r="Z333" i="5"/>
  <c r="N333" i="5"/>
  <c r="Y333" i="5"/>
  <c r="M333" i="5"/>
  <c r="X333" i="5"/>
  <c r="L333" i="5"/>
  <c r="W333" i="5"/>
  <c r="U22" i="3" s="1"/>
  <c r="K333" i="5"/>
  <c r="U345" i="5"/>
  <c r="I345" i="5"/>
  <c r="T345" i="5"/>
  <c r="H345" i="5"/>
  <c r="S345" i="5"/>
  <c r="G345" i="5"/>
  <c r="R345" i="5"/>
  <c r="F345" i="5"/>
  <c r="AC345" i="5"/>
  <c r="Q345" i="5"/>
  <c r="AB345" i="5"/>
  <c r="P345" i="5"/>
  <c r="AA345" i="5"/>
  <c r="Z345" i="5"/>
  <c r="Y345" i="5"/>
  <c r="X345" i="5"/>
  <c r="W345" i="5"/>
  <c r="V345" i="5"/>
  <c r="O345" i="5"/>
  <c r="N345" i="5"/>
  <c r="M345" i="5"/>
  <c r="L345" i="5"/>
  <c r="K345" i="5"/>
  <c r="J345" i="5"/>
  <c r="U357" i="5"/>
  <c r="S27" i="3" s="1"/>
  <c r="I357" i="5"/>
  <c r="T357" i="5"/>
  <c r="H357" i="5"/>
  <c r="S357" i="5"/>
  <c r="G357" i="5"/>
  <c r="R357" i="5"/>
  <c r="F357" i="5"/>
  <c r="AC357" i="5"/>
  <c r="AA27" i="3" s="1"/>
  <c r="Q357" i="5"/>
  <c r="AB357" i="5"/>
  <c r="Z27" i="3" s="1"/>
  <c r="P357" i="5"/>
  <c r="AA357" i="5"/>
  <c r="O357" i="5"/>
  <c r="Z357" i="5"/>
  <c r="N357" i="5"/>
  <c r="X357" i="5"/>
  <c r="V27" i="3" s="1"/>
  <c r="L357" i="5"/>
  <c r="W357" i="5"/>
  <c r="K357" i="5"/>
  <c r="V357" i="5"/>
  <c r="Y357" i="5"/>
  <c r="M357" i="5"/>
  <c r="J357" i="5"/>
  <c r="U369" i="5"/>
  <c r="S36" i="3" s="1"/>
  <c r="I369" i="5"/>
  <c r="T369" i="5"/>
  <c r="H369" i="5"/>
  <c r="S369" i="5"/>
  <c r="G369" i="5"/>
  <c r="R369" i="5"/>
  <c r="F369" i="5"/>
  <c r="AC369" i="5"/>
  <c r="AA36" i="3" s="1"/>
  <c r="Q369" i="5"/>
  <c r="AB369" i="5"/>
  <c r="Z36" i="3" s="1"/>
  <c r="P369" i="5"/>
  <c r="AA369" i="5"/>
  <c r="O369" i="5"/>
  <c r="Z369" i="5"/>
  <c r="N369" i="5"/>
  <c r="Y369" i="5"/>
  <c r="M369" i="5"/>
  <c r="X369" i="5"/>
  <c r="L369" i="5"/>
  <c r="W369" i="5"/>
  <c r="K369" i="5"/>
  <c r="V369" i="5"/>
  <c r="J369" i="5"/>
  <c r="Z381" i="5"/>
  <c r="N381" i="5"/>
  <c r="Y381" i="5"/>
  <c r="X381" i="5"/>
  <c r="W381" i="5"/>
  <c r="V381" i="5"/>
  <c r="AA381" i="5"/>
  <c r="I381" i="5"/>
  <c r="U381" i="5"/>
  <c r="H381" i="5"/>
  <c r="T381" i="5"/>
  <c r="G381" i="5"/>
  <c r="S381" i="5"/>
  <c r="F381" i="5"/>
  <c r="R381" i="5"/>
  <c r="Q381" i="5"/>
  <c r="P381" i="5"/>
  <c r="O381" i="5"/>
  <c r="M381" i="5"/>
  <c r="L381" i="5"/>
  <c r="AC381" i="5"/>
  <c r="K381" i="5"/>
  <c r="AB381" i="5"/>
  <c r="J381" i="5"/>
  <c r="Z393" i="5"/>
  <c r="N393" i="5"/>
  <c r="Y393" i="5"/>
  <c r="W112" i="3" s="1"/>
  <c r="M393" i="5"/>
  <c r="X393" i="5"/>
  <c r="V112" i="3" s="1"/>
  <c r="L393" i="5"/>
  <c r="W393" i="5"/>
  <c r="K393" i="5"/>
  <c r="V393" i="5"/>
  <c r="T112" i="3" s="1"/>
  <c r="J393" i="5"/>
  <c r="U393" i="5"/>
  <c r="I393" i="5"/>
  <c r="S393" i="5"/>
  <c r="Q112" i="3" s="1"/>
  <c r="G393" i="5"/>
  <c r="R393" i="5"/>
  <c r="F393" i="5"/>
  <c r="AC393" i="5"/>
  <c r="AA112" i="3" s="1"/>
  <c r="AB393" i="5"/>
  <c r="AA393" i="5"/>
  <c r="T393" i="5"/>
  <c r="R112" i="3" s="1"/>
  <c r="Q393" i="5"/>
  <c r="P393" i="5"/>
  <c r="O393" i="5"/>
  <c r="H393" i="5"/>
  <c r="Z405" i="5"/>
  <c r="N405" i="5"/>
  <c r="Y405" i="5"/>
  <c r="W90" i="3" s="1"/>
  <c r="M405" i="5"/>
  <c r="X405" i="5"/>
  <c r="V90" i="3" s="1"/>
  <c r="L405" i="5"/>
  <c r="W405" i="5"/>
  <c r="K405" i="5"/>
  <c r="V405" i="5"/>
  <c r="J405" i="5"/>
  <c r="U405" i="5"/>
  <c r="I405" i="5"/>
  <c r="T405" i="5"/>
  <c r="R90" i="3" s="1"/>
  <c r="H405" i="5"/>
  <c r="S405" i="5"/>
  <c r="G405" i="5"/>
  <c r="R405" i="5"/>
  <c r="F405" i="5"/>
  <c r="AC405" i="5"/>
  <c r="AA90" i="3" s="1"/>
  <c r="Q405" i="5"/>
  <c r="AB405" i="5"/>
  <c r="P405" i="5"/>
  <c r="AA405" i="5"/>
  <c r="O405" i="5"/>
  <c r="Z417" i="5"/>
  <c r="N417" i="5"/>
  <c r="Y417" i="5"/>
  <c r="W152" i="3" s="1"/>
  <c r="W153" i="3" s="1"/>
  <c r="X417" i="5"/>
  <c r="V152" i="3" s="1"/>
  <c r="V153" i="3" s="1"/>
  <c r="O417" i="5"/>
  <c r="AC417" i="5"/>
  <c r="M417" i="5"/>
  <c r="AB417" i="5"/>
  <c r="L417" i="5"/>
  <c r="AA417" i="5"/>
  <c r="K417" i="5"/>
  <c r="W417" i="5"/>
  <c r="J417" i="5"/>
  <c r="V417" i="5"/>
  <c r="I417" i="5"/>
  <c r="U417" i="5"/>
  <c r="H417" i="5"/>
  <c r="T417" i="5"/>
  <c r="G417" i="5"/>
  <c r="S417" i="5"/>
  <c r="F417" i="5"/>
  <c r="R417" i="5"/>
  <c r="Q417" i="5"/>
  <c r="P417" i="5"/>
  <c r="Z429" i="5"/>
  <c r="N429" i="5"/>
  <c r="Y429" i="5"/>
  <c r="M429" i="5"/>
  <c r="X429" i="5"/>
  <c r="L429" i="5"/>
  <c r="W429" i="5"/>
  <c r="K429" i="5"/>
  <c r="V429" i="5"/>
  <c r="J429" i="5"/>
  <c r="U429" i="5"/>
  <c r="I429" i="5"/>
  <c r="T429" i="5"/>
  <c r="H429" i="5"/>
  <c r="R429" i="5"/>
  <c r="F429" i="5"/>
  <c r="AC429" i="5"/>
  <c r="AA117" i="3" s="1"/>
  <c r="Q429" i="5"/>
  <c r="G429" i="5"/>
  <c r="AB429" i="5"/>
  <c r="AA429" i="5"/>
  <c r="S429" i="5"/>
  <c r="P429" i="5"/>
  <c r="O429" i="5"/>
  <c r="Z441" i="5"/>
  <c r="N441" i="5"/>
  <c r="Y441" i="5"/>
  <c r="M441" i="5"/>
  <c r="X441" i="5"/>
  <c r="L441" i="5"/>
  <c r="W441" i="5"/>
  <c r="K441" i="5"/>
  <c r="V441" i="5"/>
  <c r="J441" i="5"/>
  <c r="U441" i="5"/>
  <c r="I441" i="5"/>
  <c r="T441" i="5"/>
  <c r="H441" i="5"/>
  <c r="S441" i="5"/>
  <c r="G441" i="5"/>
  <c r="R441" i="5"/>
  <c r="F441" i="5"/>
  <c r="AC441" i="5"/>
  <c r="Q441" i="5"/>
  <c r="AB441" i="5"/>
  <c r="P441" i="5"/>
  <c r="AA441" i="5"/>
  <c r="O441" i="5"/>
  <c r="Z453" i="5"/>
  <c r="N453" i="5"/>
  <c r="Y453" i="5"/>
  <c r="M453" i="5"/>
  <c r="X453" i="5"/>
  <c r="L453" i="5"/>
  <c r="W453" i="5"/>
  <c r="K453" i="5"/>
  <c r="V453" i="5"/>
  <c r="J453" i="5"/>
  <c r="U453" i="5"/>
  <c r="I453" i="5"/>
  <c r="T453" i="5"/>
  <c r="H453" i="5"/>
  <c r="S453" i="5"/>
  <c r="G453" i="5"/>
  <c r="R453" i="5"/>
  <c r="F453" i="5"/>
  <c r="AC453" i="5"/>
  <c r="Q453" i="5"/>
  <c r="AB453" i="5"/>
  <c r="P453" i="5"/>
  <c r="AA453" i="5"/>
  <c r="O453" i="5"/>
  <c r="AA465" i="5"/>
  <c r="O465" i="5"/>
  <c r="Z465" i="5"/>
  <c r="N465" i="5"/>
  <c r="Y465" i="5"/>
  <c r="W128" i="3" s="1"/>
  <c r="M465" i="5"/>
  <c r="X465" i="5"/>
  <c r="V128" i="3" s="1"/>
  <c r="L465" i="5"/>
  <c r="W465" i="5"/>
  <c r="U128" i="3" s="1"/>
  <c r="K465" i="5"/>
  <c r="V465" i="5"/>
  <c r="J465" i="5"/>
  <c r="U465" i="5"/>
  <c r="S128" i="3" s="1"/>
  <c r="I465" i="5"/>
  <c r="T465" i="5"/>
  <c r="H465" i="5"/>
  <c r="R465" i="5"/>
  <c r="P128" i="3" s="1"/>
  <c r="F465" i="5"/>
  <c r="AC465" i="5"/>
  <c r="AA128" i="3" s="1"/>
  <c r="AB465" i="5"/>
  <c r="Z128" i="3" s="1"/>
  <c r="S465" i="5"/>
  <c r="Q465" i="5"/>
  <c r="P465" i="5"/>
  <c r="G465" i="5"/>
  <c r="AA477" i="5"/>
  <c r="O477" i="5"/>
  <c r="Z477" i="5"/>
  <c r="N477" i="5"/>
  <c r="Y477" i="5"/>
  <c r="M477" i="5"/>
  <c r="X477" i="5"/>
  <c r="L477" i="5"/>
  <c r="W477" i="5"/>
  <c r="K477" i="5"/>
  <c r="V477" i="5"/>
  <c r="J477" i="5"/>
  <c r="U477" i="5"/>
  <c r="I477" i="5"/>
  <c r="T477" i="5"/>
  <c r="H477" i="5"/>
  <c r="S477" i="5"/>
  <c r="G477" i="5"/>
  <c r="R477" i="5"/>
  <c r="F477" i="5"/>
  <c r="AC477" i="5"/>
  <c r="Q477" i="5"/>
  <c r="AB477" i="5"/>
  <c r="P477" i="5"/>
  <c r="AA489" i="5"/>
  <c r="O489" i="5"/>
  <c r="Z489" i="5"/>
  <c r="N489" i="5"/>
  <c r="Y489" i="5"/>
  <c r="W71" i="3" s="1"/>
  <c r="M489" i="5"/>
  <c r="X489" i="5"/>
  <c r="L489" i="5"/>
  <c r="W489" i="5"/>
  <c r="U71" i="3" s="1"/>
  <c r="K489" i="5"/>
  <c r="V489" i="5"/>
  <c r="J489" i="5"/>
  <c r="U489" i="5"/>
  <c r="S71" i="3" s="1"/>
  <c r="I489" i="5"/>
  <c r="T489" i="5"/>
  <c r="H489" i="5"/>
  <c r="S489" i="5"/>
  <c r="G489" i="5"/>
  <c r="R489" i="5"/>
  <c r="P71" i="3" s="1"/>
  <c r="F489" i="5"/>
  <c r="AC489" i="5"/>
  <c r="AA71" i="3" s="1"/>
  <c r="Q489" i="5"/>
  <c r="AB489" i="5"/>
  <c r="Z71" i="3" s="1"/>
  <c r="P489" i="5"/>
  <c r="T501" i="5"/>
  <c r="H501" i="5"/>
  <c r="S501" i="5"/>
  <c r="G501" i="5"/>
  <c r="R501" i="5"/>
  <c r="F501" i="5"/>
  <c r="AC501" i="5"/>
  <c r="Q501" i="5"/>
  <c r="AB501" i="5"/>
  <c r="P501" i="5"/>
  <c r="AA501" i="5"/>
  <c r="O501" i="5"/>
  <c r="Y501" i="5"/>
  <c r="M501" i="5"/>
  <c r="W501" i="5"/>
  <c r="K501" i="5"/>
  <c r="Z501" i="5"/>
  <c r="X501" i="5"/>
  <c r="V501" i="5"/>
  <c r="U501" i="5"/>
  <c r="N501" i="5"/>
  <c r="L501" i="5"/>
  <c r="J501" i="5"/>
  <c r="I501" i="5"/>
  <c r="T513" i="5"/>
  <c r="H513" i="5"/>
  <c r="S513" i="5"/>
  <c r="G513" i="5"/>
  <c r="R513" i="5"/>
  <c r="F513" i="5"/>
  <c r="U513" i="5"/>
  <c r="Q513" i="5"/>
  <c r="P513" i="5"/>
  <c r="O513" i="5"/>
  <c r="AC513" i="5"/>
  <c r="N513" i="5"/>
  <c r="AB513" i="5"/>
  <c r="M513" i="5"/>
  <c r="AA513" i="5"/>
  <c r="L513" i="5"/>
  <c r="Z513" i="5"/>
  <c r="K513" i="5"/>
  <c r="Y513" i="5"/>
  <c r="J513" i="5"/>
  <c r="X513" i="5"/>
  <c r="I513" i="5"/>
  <c r="W513" i="5"/>
  <c r="V513" i="5"/>
  <c r="T525" i="5"/>
  <c r="H525" i="5"/>
  <c r="S525" i="5"/>
  <c r="G525" i="5"/>
  <c r="R525" i="5"/>
  <c r="F525" i="5"/>
  <c r="W525" i="5"/>
  <c r="V525" i="5"/>
  <c r="U525" i="5"/>
  <c r="Z525" i="5"/>
  <c r="K525" i="5"/>
  <c r="Y525" i="5"/>
  <c r="J525" i="5"/>
  <c r="X525" i="5"/>
  <c r="I525" i="5"/>
  <c r="N525" i="5"/>
  <c r="M525" i="5"/>
  <c r="L525" i="5"/>
  <c r="AC525" i="5"/>
  <c r="AB525" i="5"/>
  <c r="AA525" i="5"/>
  <c r="Q525" i="5"/>
  <c r="P525" i="5"/>
  <c r="O525" i="5"/>
  <c r="T537" i="5"/>
  <c r="R196" i="3" s="1"/>
  <c r="H537" i="5"/>
  <c r="F196" i="3" s="1"/>
  <c r="S537" i="5"/>
  <c r="Q196" i="3" s="1"/>
  <c r="G537" i="5"/>
  <c r="E196" i="3" s="1"/>
  <c r="R537" i="5"/>
  <c r="P196" i="3" s="1"/>
  <c r="F537" i="5"/>
  <c r="D196" i="3" s="1"/>
  <c r="U537" i="5"/>
  <c r="S196" i="3" s="1"/>
  <c r="I537" i="5"/>
  <c r="G196" i="3" s="1"/>
  <c r="W537" i="5"/>
  <c r="U196" i="3" s="1"/>
  <c r="V537" i="5"/>
  <c r="T196" i="3" s="1"/>
  <c r="Q537" i="5"/>
  <c r="O196" i="3" s="1"/>
  <c r="Z537" i="5"/>
  <c r="X196" i="3" s="1"/>
  <c r="J537" i="5"/>
  <c r="H196" i="3" s="1"/>
  <c r="Y537" i="5"/>
  <c r="W196" i="3" s="1"/>
  <c r="X537" i="5"/>
  <c r="V196" i="3" s="1"/>
  <c r="M537" i="5"/>
  <c r="K196" i="3" s="1"/>
  <c r="L537" i="5"/>
  <c r="J196" i="3" s="1"/>
  <c r="K537" i="5"/>
  <c r="I196" i="3" s="1"/>
  <c r="AC537" i="5"/>
  <c r="AA196" i="3" s="1"/>
  <c r="AB537" i="5"/>
  <c r="Z196" i="3" s="1"/>
  <c r="AA537" i="5"/>
  <c r="Y196" i="3" s="1"/>
  <c r="P537" i="5"/>
  <c r="N196" i="3" s="1"/>
  <c r="O537" i="5"/>
  <c r="M196" i="3" s="1"/>
  <c r="N537" i="5"/>
  <c r="L196" i="3" s="1"/>
  <c r="T549" i="5"/>
  <c r="H549" i="5"/>
  <c r="S549" i="5"/>
  <c r="G549" i="5"/>
  <c r="R549" i="5"/>
  <c r="F549" i="5"/>
  <c r="V549" i="5"/>
  <c r="J549" i="5"/>
  <c r="U549" i="5"/>
  <c r="I549" i="5"/>
  <c r="AB549" i="5"/>
  <c r="K549" i="5"/>
  <c r="AA549" i="5"/>
  <c r="Z549" i="5"/>
  <c r="N549" i="5"/>
  <c r="M549" i="5"/>
  <c r="AC549" i="5"/>
  <c r="L549" i="5"/>
  <c r="Q549" i="5"/>
  <c r="P549" i="5"/>
  <c r="O549" i="5"/>
  <c r="Y549" i="5"/>
  <c r="X549" i="5"/>
  <c r="W549" i="5"/>
  <c r="T561" i="5"/>
  <c r="H561" i="5"/>
  <c r="S561" i="5"/>
  <c r="G561" i="5"/>
  <c r="R561" i="5"/>
  <c r="F561" i="5"/>
  <c r="V561" i="5"/>
  <c r="J561" i="5"/>
  <c r="U561" i="5"/>
  <c r="I561" i="5"/>
  <c r="AB561" i="5"/>
  <c r="K561" i="5"/>
  <c r="AA561" i="5"/>
  <c r="Z561" i="5"/>
  <c r="N561" i="5"/>
  <c r="M561" i="5"/>
  <c r="AC561" i="5"/>
  <c r="L561" i="5"/>
  <c r="Q561" i="5"/>
  <c r="P561" i="5"/>
  <c r="O561" i="5"/>
  <c r="Y561" i="5"/>
  <c r="X561" i="5"/>
  <c r="W561" i="5"/>
  <c r="Z20" i="5"/>
  <c r="N20" i="5"/>
  <c r="Y20" i="5"/>
  <c r="W152" i="4" s="1"/>
  <c r="M20" i="5"/>
  <c r="X20" i="5"/>
  <c r="V152" i="4" s="1"/>
  <c r="L20" i="5"/>
  <c r="W20" i="5"/>
  <c r="K20" i="5"/>
  <c r="H20" i="5"/>
  <c r="V20" i="5"/>
  <c r="J20" i="5"/>
  <c r="T20" i="5"/>
  <c r="U20" i="5"/>
  <c r="S152" i="4" s="1"/>
  <c r="I20" i="5"/>
  <c r="S20" i="5"/>
  <c r="G20" i="5"/>
  <c r="R20" i="5"/>
  <c r="P152" i="4" s="1"/>
  <c r="F20" i="5"/>
  <c r="AC20" i="5"/>
  <c r="AA152" i="4" s="1"/>
  <c r="Q20" i="5"/>
  <c r="AB20" i="5"/>
  <c r="Z152" i="4" s="1"/>
  <c r="P20" i="5"/>
  <c r="AA20" i="5"/>
  <c r="O20" i="5"/>
  <c r="Z32" i="5"/>
  <c r="N32" i="5"/>
  <c r="Y32" i="5"/>
  <c r="M32" i="5"/>
  <c r="X32" i="5"/>
  <c r="V16" i="4" s="1"/>
  <c r="L32" i="5"/>
  <c r="W32" i="5"/>
  <c r="K32" i="5"/>
  <c r="V32" i="5"/>
  <c r="J32" i="5"/>
  <c r="U32" i="5"/>
  <c r="I32" i="5"/>
  <c r="T32" i="5"/>
  <c r="H32" i="5"/>
  <c r="S32" i="5"/>
  <c r="G32" i="5"/>
  <c r="R32" i="5"/>
  <c r="F32" i="5"/>
  <c r="AC32" i="5"/>
  <c r="AA16" i="4" s="1"/>
  <c r="Q32" i="5"/>
  <c r="AB32" i="5"/>
  <c r="Z16" i="4" s="1"/>
  <c r="P32" i="5"/>
  <c r="AA32" i="5"/>
  <c r="O32" i="5"/>
  <c r="Z44" i="5"/>
  <c r="N44" i="5"/>
  <c r="Y44" i="5"/>
  <c r="M44" i="5"/>
  <c r="X44" i="5"/>
  <c r="V25" i="4" s="1"/>
  <c r="L44" i="5"/>
  <c r="W44" i="5"/>
  <c r="K44" i="5"/>
  <c r="V44" i="5"/>
  <c r="J44" i="5"/>
  <c r="U44" i="5"/>
  <c r="S25" i="4" s="1"/>
  <c r="I44" i="5"/>
  <c r="T44" i="5"/>
  <c r="R25" i="4" s="1"/>
  <c r="H44" i="5"/>
  <c r="S44" i="5"/>
  <c r="G44" i="5"/>
  <c r="R44" i="5"/>
  <c r="P25" i="4" s="1"/>
  <c r="F44" i="5"/>
  <c r="AC44" i="5"/>
  <c r="Q44" i="5"/>
  <c r="AB44" i="5"/>
  <c r="Z25" i="4" s="1"/>
  <c r="P44" i="5"/>
  <c r="AA44" i="5"/>
  <c r="O44" i="5"/>
  <c r="Z56" i="5"/>
  <c r="N56" i="5"/>
  <c r="Y56" i="5"/>
  <c r="M56" i="5"/>
  <c r="X56" i="5"/>
  <c r="L56" i="5"/>
  <c r="W56" i="5"/>
  <c r="K56" i="5"/>
  <c r="V56" i="5"/>
  <c r="T32" i="4" s="1"/>
  <c r="J56" i="5"/>
  <c r="U56" i="5"/>
  <c r="I56" i="5"/>
  <c r="T56" i="5"/>
  <c r="R32" i="4" s="1"/>
  <c r="H56" i="5"/>
  <c r="S56" i="5"/>
  <c r="G56" i="5"/>
  <c r="R56" i="5"/>
  <c r="P32" i="4" s="1"/>
  <c r="F56" i="5"/>
  <c r="AC56" i="5"/>
  <c r="Q56" i="5"/>
  <c r="AB56" i="5"/>
  <c r="Z32" i="4" s="1"/>
  <c r="P56" i="5"/>
  <c r="AA56" i="5"/>
  <c r="O56" i="5"/>
  <c r="Z68" i="5"/>
  <c r="N68" i="5"/>
  <c r="Y68" i="5"/>
  <c r="W40" i="4" s="1"/>
  <c r="M68" i="5"/>
  <c r="X68" i="5"/>
  <c r="V40" i="4" s="1"/>
  <c r="L68" i="5"/>
  <c r="W68" i="5"/>
  <c r="K68" i="5"/>
  <c r="V68" i="5"/>
  <c r="T40" i="4" s="1"/>
  <c r="J68" i="5"/>
  <c r="U68" i="5"/>
  <c r="I68" i="5"/>
  <c r="T68" i="5"/>
  <c r="R40" i="4" s="1"/>
  <c r="H68" i="5"/>
  <c r="S68" i="5"/>
  <c r="Q40" i="4" s="1"/>
  <c r="G68" i="5"/>
  <c r="R68" i="5"/>
  <c r="P40" i="4" s="1"/>
  <c r="F68" i="5"/>
  <c r="AC68" i="5"/>
  <c r="Q68" i="5"/>
  <c r="AB68" i="5"/>
  <c r="Z40" i="4" s="1"/>
  <c r="P68" i="5"/>
  <c r="AA68" i="5"/>
  <c r="O68" i="5"/>
  <c r="Z80" i="5"/>
  <c r="N80" i="5"/>
  <c r="Y80" i="5"/>
  <c r="M80" i="5"/>
  <c r="X80" i="5"/>
  <c r="L80" i="5"/>
  <c r="W80" i="5"/>
  <c r="K80" i="5"/>
  <c r="V80" i="5"/>
  <c r="J80" i="5"/>
  <c r="U80" i="5"/>
  <c r="I80" i="5"/>
  <c r="T80" i="5"/>
  <c r="H80" i="5"/>
  <c r="S80" i="5"/>
  <c r="G80" i="5"/>
  <c r="R80" i="5"/>
  <c r="F80" i="5"/>
  <c r="AC80" i="5"/>
  <c r="Q80" i="5"/>
  <c r="AB80" i="5"/>
  <c r="P80" i="5"/>
  <c r="AA80" i="5"/>
  <c r="O80" i="5"/>
  <c r="Z92" i="5"/>
  <c r="N92" i="5"/>
  <c r="Y92" i="5"/>
  <c r="M92" i="5"/>
  <c r="X92" i="5"/>
  <c r="L92" i="5"/>
  <c r="W92" i="5"/>
  <c r="K92" i="5"/>
  <c r="V92" i="5"/>
  <c r="J92" i="5"/>
  <c r="U92" i="5"/>
  <c r="I92" i="5"/>
  <c r="T92" i="5"/>
  <c r="H92" i="5"/>
  <c r="S92" i="5"/>
  <c r="G92" i="5"/>
  <c r="R92" i="5"/>
  <c r="F92" i="5"/>
  <c r="AC92" i="5"/>
  <c r="Q92" i="5"/>
  <c r="AB92" i="5"/>
  <c r="P92" i="5"/>
  <c r="AA92" i="5"/>
  <c r="O92" i="5"/>
  <c r="Z104" i="5"/>
  <c r="N104" i="5"/>
  <c r="Y104" i="5"/>
  <c r="M104" i="5"/>
  <c r="X104" i="5"/>
  <c r="L104" i="5"/>
  <c r="W104" i="5"/>
  <c r="K104" i="5"/>
  <c r="V104" i="5"/>
  <c r="J104" i="5"/>
  <c r="U104" i="5"/>
  <c r="I104" i="5"/>
  <c r="T104" i="5"/>
  <c r="H104" i="5"/>
  <c r="S104" i="5"/>
  <c r="G104" i="5"/>
  <c r="R104" i="5"/>
  <c r="F104" i="5"/>
  <c r="AC104" i="5"/>
  <c r="Q104" i="5"/>
  <c r="AB104" i="5"/>
  <c r="P104" i="5"/>
  <c r="AA104" i="5"/>
  <c r="O104" i="5"/>
  <c r="AC116" i="5"/>
  <c r="Q116" i="5"/>
  <c r="AB116" i="5"/>
  <c r="P116" i="5"/>
  <c r="AA116" i="5"/>
  <c r="O116" i="5"/>
  <c r="Z116" i="5"/>
  <c r="N116" i="5"/>
  <c r="Y116" i="5"/>
  <c r="M116" i="5"/>
  <c r="X116" i="5"/>
  <c r="L116" i="5"/>
  <c r="W116" i="5"/>
  <c r="K116" i="5"/>
  <c r="V116" i="5"/>
  <c r="J116" i="5"/>
  <c r="U116" i="5"/>
  <c r="I116" i="5"/>
  <c r="T116" i="5"/>
  <c r="H116" i="5"/>
  <c r="S116" i="5"/>
  <c r="G116" i="5"/>
  <c r="R116" i="5"/>
  <c r="F116" i="5"/>
  <c r="AC128" i="5"/>
  <c r="AA59" i="4" s="1"/>
  <c r="Q128" i="5"/>
  <c r="AB128" i="5"/>
  <c r="Z59" i="4" s="1"/>
  <c r="P128" i="5"/>
  <c r="AA128" i="5"/>
  <c r="O128" i="5"/>
  <c r="Z128" i="5"/>
  <c r="N128" i="5"/>
  <c r="Y128" i="5"/>
  <c r="M128" i="5"/>
  <c r="X128" i="5"/>
  <c r="L128" i="5"/>
  <c r="W128" i="5"/>
  <c r="K128" i="5"/>
  <c r="V128" i="5"/>
  <c r="T59" i="4" s="1"/>
  <c r="J128" i="5"/>
  <c r="U128" i="5"/>
  <c r="I128" i="5"/>
  <c r="T128" i="5"/>
  <c r="R59" i="4" s="1"/>
  <c r="H128" i="5"/>
  <c r="S128" i="5"/>
  <c r="Q59" i="4" s="1"/>
  <c r="G128" i="5"/>
  <c r="R128" i="5"/>
  <c r="F128" i="5"/>
  <c r="AC140" i="5"/>
  <c r="AA80" i="4" s="1"/>
  <c r="Q140" i="5"/>
  <c r="AB140" i="5"/>
  <c r="Z80" i="4" s="1"/>
  <c r="P140" i="5"/>
  <c r="AA140" i="5"/>
  <c r="O140" i="5"/>
  <c r="Z140" i="5"/>
  <c r="N140" i="5"/>
  <c r="Y140" i="5"/>
  <c r="M140" i="5"/>
  <c r="X140" i="5"/>
  <c r="V80" i="4" s="1"/>
  <c r="L140" i="5"/>
  <c r="W140" i="5"/>
  <c r="K140" i="5"/>
  <c r="V140" i="5"/>
  <c r="J140" i="5"/>
  <c r="U140" i="5"/>
  <c r="I140" i="5"/>
  <c r="T140" i="5"/>
  <c r="H140" i="5"/>
  <c r="S140" i="5"/>
  <c r="Q80" i="4" s="1"/>
  <c r="G140" i="5"/>
  <c r="R140" i="5"/>
  <c r="F140" i="5"/>
  <c r="AC152" i="5"/>
  <c r="Q152" i="5"/>
  <c r="AB152" i="5"/>
  <c r="P152" i="5"/>
  <c r="AA152" i="5"/>
  <c r="O152" i="5"/>
  <c r="Z152" i="5"/>
  <c r="N152" i="5"/>
  <c r="Y152" i="5"/>
  <c r="M152" i="5"/>
  <c r="X152" i="5"/>
  <c r="L152" i="5"/>
  <c r="W152" i="5"/>
  <c r="K152" i="5"/>
  <c r="V152" i="5"/>
  <c r="J152" i="5"/>
  <c r="U152" i="5"/>
  <c r="I152" i="5"/>
  <c r="T152" i="5"/>
  <c r="H152" i="5"/>
  <c r="S152" i="5"/>
  <c r="G152" i="5"/>
  <c r="R152" i="5"/>
  <c r="F152" i="5"/>
  <c r="X164" i="5"/>
  <c r="L164" i="5"/>
  <c r="W164" i="5"/>
  <c r="K164" i="5"/>
  <c r="V164" i="5"/>
  <c r="T73" i="4" s="1"/>
  <c r="J164" i="5"/>
  <c r="U164" i="5"/>
  <c r="I164" i="5"/>
  <c r="T164" i="5"/>
  <c r="H164" i="5"/>
  <c r="S164" i="5"/>
  <c r="Q73" i="4" s="1"/>
  <c r="G164" i="5"/>
  <c r="R164" i="5"/>
  <c r="F164" i="5"/>
  <c r="AC164" i="5"/>
  <c r="AA73" i="4" s="1"/>
  <c r="Q164" i="5"/>
  <c r="AA164" i="5"/>
  <c r="O164" i="5"/>
  <c r="Z164" i="5"/>
  <c r="AB164" i="5"/>
  <c r="Z73" i="4" s="1"/>
  <c r="Y164" i="5"/>
  <c r="P164" i="5"/>
  <c r="N164" i="5"/>
  <c r="M164" i="5"/>
  <c r="X176" i="5"/>
  <c r="V100" i="4" s="1"/>
  <c r="L176" i="5"/>
  <c r="W176" i="5"/>
  <c r="K176" i="5"/>
  <c r="V176" i="5"/>
  <c r="T100" i="4" s="1"/>
  <c r="J176" i="5"/>
  <c r="U176" i="5"/>
  <c r="I176" i="5"/>
  <c r="T176" i="5"/>
  <c r="R100" i="4" s="1"/>
  <c r="H176" i="5"/>
  <c r="S176" i="5"/>
  <c r="Q100" i="4" s="1"/>
  <c r="G176" i="5"/>
  <c r="R176" i="5"/>
  <c r="F176" i="5"/>
  <c r="AC176" i="5"/>
  <c r="AA100" i="4" s="1"/>
  <c r="Q176" i="5"/>
  <c r="AB176" i="5"/>
  <c r="Z100" i="4" s="1"/>
  <c r="P176" i="5"/>
  <c r="AA176" i="5"/>
  <c r="O176" i="5"/>
  <c r="Z176" i="5"/>
  <c r="N176" i="5"/>
  <c r="Y176" i="5"/>
  <c r="M176" i="5"/>
  <c r="X188" i="5"/>
  <c r="V116" i="4" s="1"/>
  <c r="L188" i="5"/>
  <c r="W188" i="5"/>
  <c r="U116" i="4" s="1"/>
  <c r="K188" i="5"/>
  <c r="V188" i="5"/>
  <c r="T116" i="4" s="1"/>
  <c r="J188" i="5"/>
  <c r="U188" i="5"/>
  <c r="I188" i="5"/>
  <c r="T188" i="5"/>
  <c r="H188" i="5"/>
  <c r="S188" i="5"/>
  <c r="G188" i="5"/>
  <c r="R188" i="5"/>
  <c r="F188" i="5"/>
  <c r="AC188" i="5"/>
  <c r="AA116" i="4" s="1"/>
  <c r="Q188" i="5"/>
  <c r="AB188" i="5"/>
  <c r="Z116" i="4" s="1"/>
  <c r="P188" i="5"/>
  <c r="AA188" i="5"/>
  <c r="O188" i="5"/>
  <c r="Z188" i="5"/>
  <c r="N188" i="5"/>
  <c r="Y188" i="5"/>
  <c r="M188" i="5"/>
  <c r="X200" i="5"/>
  <c r="L200" i="5"/>
  <c r="W200" i="5"/>
  <c r="K200" i="5"/>
  <c r="V200" i="5"/>
  <c r="J200" i="5"/>
  <c r="U200" i="5"/>
  <c r="S142" i="4" s="1"/>
  <c r="I200" i="5"/>
  <c r="T200" i="5"/>
  <c r="H200" i="5"/>
  <c r="S200" i="5"/>
  <c r="G200" i="5"/>
  <c r="R200" i="5"/>
  <c r="P142" i="4" s="1"/>
  <c r="F200" i="5"/>
  <c r="AC200" i="5"/>
  <c r="AA142" i="4" s="1"/>
  <c r="Q200" i="5"/>
  <c r="AB200" i="5"/>
  <c r="Z142" i="4" s="1"/>
  <c r="P200" i="5"/>
  <c r="AA200" i="5"/>
  <c r="O200" i="5"/>
  <c r="Z200" i="5"/>
  <c r="N200" i="5"/>
  <c r="Y200" i="5"/>
  <c r="M200" i="5"/>
  <c r="T212" i="5"/>
  <c r="H212" i="5"/>
  <c r="S212" i="5"/>
  <c r="G212" i="5"/>
  <c r="R212" i="5"/>
  <c r="F212" i="5"/>
  <c r="AC212" i="5"/>
  <c r="Q212" i="5"/>
  <c r="AB212" i="5"/>
  <c r="P212" i="5"/>
  <c r="AA212" i="5"/>
  <c r="O212" i="5"/>
  <c r="Z212" i="5"/>
  <c r="N212" i="5"/>
  <c r="Y212" i="5"/>
  <c r="M212" i="5"/>
  <c r="J212" i="5"/>
  <c r="I212" i="5"/>
  <c r="X212" i="5"/>
  <c r="W212" i="5"/>
  <c r="V212" i="5"/>
  <c r="U212" i="5"/>
  <c r="L212" i="5"/>
  <c r="K212" i="5"/>
  <c r="T224" i="5"/>
  <c r="H224" i="5"/>
  <c r="S224" i="5"/>
  <c r="G224" i="5"/>
  <c r="R224" i="5"/>
  <c r="F224" i="5"/>
  <c r="AC224" i="5"/>
  <c r="Q224" i="5"/>
  <c r="AB224" i="5"/>
  <c r="P224" i="5"/>
  <c r="AA224" i="5"/>
  <c r="O224" i="5"/>
  <c r="Z224" i="5"/>
  <c r="N224" i="5"/>
  <c r="Y224" i="5"/>
  <c r="M224" i="5"/>
  <c r="X224" i="5"/>
  <c r="L224" i="5"/>
  <c r="W224" i="5"/>
  <c r="K224" i="5"/>
  <c r="V224" i="5"/>
  <c r="J224" i="5"/>
  <c r="U224" i="5"/>
  <c r="I224" i="5"/>
  <c r="T236" i="5"/>
  <c r="H236" i="5"/>
  <c r="S236" i="5"/>
  <c r="G236" i="5"/>
  <c r="R236" i="5"/>
  <c r="P177" i="4" s="1"/>
  <c r="F236" i="5"/>
  <c r="AC236" i="5"/>
  <c r="AA177" i="4" s="1"/>
  <c r="Q236" i="5"/>
  <c r="AB236" i="5"/>
  <c r="Z177" i="4" s="1"/>
  <c r="P236" i="5"/>
  <c r="AA236" i="5"/>
  <c r="O236" i="5"/>
  <c r="Z236" i="5"/>
  <c r="N236" i="5"/>
  <c r="Y236" i="5"/>
  <c r="W177" i="4" s="1"/>
  <c r="M236" i="5"/>
  <c r="X236" i="5"/>
  <c r="V177" i="4" s="1"/>
  <c r="L236" i="5"/>
  <c r="W236" i="5"/>
  <c r="K236" i="5"/>
  <c r="V236" i="5"/>
  <c r="J236" i="5"/>
  <c r="U236" i="5"/>
  <c r="I236" i="5"/>
  <c r="T249" i="5"/>
  <c r="H249" i="5"/>
  <c r="S249" i="5"/>
  <c r="G249" i="5"/>
  <c r="R249" i="5"/>
  <c r="F249" i="5"/>
  <c r="AC249" i="5"/>
  <c r="Q249" i="5"/>
  <c r="AB249" i="5"/>
  <c r="P249" i="5"/>
  <c r="AA249" i="5"/>
  <c r="O249" i="5"/>
  <c r="Z249" i="5"/>
  <c r="N249" i="5"/>
  <c r="Y249" i="5"/>
  <c r="M249" i="5"/>
  <c r="X249" i="5"/>
  <c r="L249" i="5"/>
  <c r="W249" i="5"/>
  <c r="K249" i="5"/>
  <c r="V249" i="5"/>
  <c r="J249" i="5"/>
  <c r="U249" i="5"/>
  <c r="I249" i="5"/>
  <c r="S261" i="5"/>
  <c r="G261" i="5"/>
  <c r="R261" i="5"/>
  <c r="F261" i="5"/>
  <c r="AC261" i="5"/>
  <c r="Q261" i="5"/>
  <c r="AB261" i="5"/>
  <c r="P261" i="5"/>
  <c r="AA261" i="5"/>
  <c r="O261" i="5"/>
  <c r="Z261" i="5"/>
  <c r="N261" i="5"/>
  <c r="Y261" i="5"/>
  <c r="M261" i="5"/>
  <c r="X261" i="5"/>
  <c r="L261" i="5"/>
  <c r="W261" i="5"/>
  <c r="K261" i="5"/>
  <c r="V261" i="5"/>
  <c r="J261" i="5"/>
  <c r="U261" i="5"/>
  <c r="I261" i="5"/>
  <c r="T261" i="5"/>
  <c r="H261" i="5"/>
  <c r="S273" i="5"/>
  <c r="Q212" i="4" s="1"/>
  <c r="G273" i="5"/>
  <c r="R273" i="5"/>
  <c r="F273" i="5"/>
  <c r="AC273" i="5"/>
  <c r="AA212" i="4" s="1"/>
  <c r="Q273" i="5"/>
  <c r="AB273" i="5"/>
  <c r="Z212" i="4" s="1"/>
  <c r="P273" i="5"/>
  <c r="AA273" i="5"/>
  <c r="O273" i="5"/>
  <c r="Z273" i="5"/>
  <c r="X212" i="4" s="1"/>
  <c r="N273" i="5"/>
  <c r="Y273" i="5"/>
  <c r="W212" i="4" s="1"/>
  <c r="M273" i="5"/>
  <c r="X273" i="5"/>
  <c r="L273" i="5"/>
  <c r="W273" i="5"/>
  <c r="K273" i="5"/>
  <c r="V273" i="5"/>
  <c r="T212" i="4" s="1"/>
  <c r="J273" i="5"/>
  <c r="U273" i="5"/>
  <c r="I273" i="5"/>
  <c r="T273" i="5"/>
  <c r="R212" i="4" s="1"/>
  <c r="H273" i="5"/>
  <c r="S285" i="5"/>
  <c r="G285" i="5"/>
  <c r="R285" i="5"/>
  <c r="F285" i="5"/>
  <c r="AC285" i="5"/>
  <c r="Q285" i="5"/>
  <c r="AB285" i="5"/>
  <c r="P285" i="5"/>
  <c r="AA285" i="5"/>
  <c r="O285" i="5"/>
  <c r="Z285" i="5"/>
  <c r="N285" i="5"/>
  <c r="Y285" i="5"/>
  <c r="M285" i="5"/>
  <c r="X285" i="5"/>
  <c r="L285" i="5"/>
  <c r="W285" i="5"/>
  <c r="K285" i="5"/>
  <c r="V285" i="5"/>
  <c r="J285" i="5"/>
  <c r="U285" i="5"/>
  <c r="I285" i="5"/>
  <c r="T285" i="5"/>
  <c r="H285" i="5"/>
  <c r="V297" i="5"/>
  <c r="AC297" i="5"/>
  <c r="S297" i="5"/>
  <c r="G297" i="5"/>
  <c r="R297" i="5"/>
  <c r="F297" i="5"/>
  <c r="Q297" i="5"/>
  <c r="P297" i="5"/>
  <c r="AB297" i="5"/>
  <c r="O297" i="5"/>
  <c r="AA297" i="5"/>
  <c r="N297" i="5"/>
  <c r="Z297" i="5"/>
  <c r="M297" i="5"/>
  <c r="Y297" i="5"/>
  <c r="L297" i="5"/>
  <c r="X297" i="5"/>
  <c r="K297" i="5"/>
  <c r="W297" i="5"/>
  <c r="J297" i="5"/>
  <c r="U297" i="5"/>
  <c r="I297" i="5"/>
  <c r="T297" i="5"/>
  <c r="H297" i="5"/>
  <c r="V309" i="5"/>
  <c r="J309" i="5"/>
  <c r="U309" i="5"/>
  <c r="I309" i="5"/>
  <c r="T309" i="5"/>
  <c r="H309" i="5"/>
  <c r="S309" i="5"/>
  <c r="G309" i="5"/>
  <c r="R309" i="5"/>
  <c r="F309" i="5"/>
  <c r="AC309" i="5"/>
  <c r="Q309" i="5"/>
  <c r="AB309" i="5"/>
  <c r="P309" i="5"/>
  <c r="AA309" i="5"/>
  <c r="O309" i="5"/>
  <c r="Z309" i="5"/>
  <c r="N309" i="5"/>
  <c r="Y309" i="5"/>
  <c r="M309" i="5"/>
  <c r="X309" i="5"/>
  <c r="L309" i="5"/>
  <c r="W309" i="5"/>
  <c r="K309" i="5"/>
  <c r="V321" i="5"/>
  <c r="J321" i="5"/>
  <c r="U321" i="5"/>
  <c r="I321" i="5"/>
  <c r="T321" i="5"/>
  <c r="H321" i="5"/>
  <c r="S321" i="5"/>
  <c r="G321" i="5"/>
  <c r="R321" i="5"/>
  <c r="F321" i="5"/>
  <c r="AC321" i="5"/>
  <c r="Q321" i="5"/>
  <c r="AB321" i="5"/>
  <c r="P321" i="5"/>
  <c r="AA321" i="5"/>
  <c r="O321" i="5"/>
  <c r="Z321" i="5"/>
  <c r="N321" i="5"/>
  <c r="Y321" i="5"/>
  <c r="M321" i="5"/>
  <c r="X321" i="5"/>
  <c r="L321" i="5"/>
  <c r="W321" i="5"/>
  <c r="K321" i="5"/>
  <c r="V334" i="5"/>
  <c r="J334" i="5"/>
  <c r="U334" i="5"/>
  <c r="S23" i="3" s="1"/>
  <c r="I334" i="5"/>
  <c r="T334" i="5"/>
  <c r="H334" i="5"/>
  <c r="S334" i="5"/>
  <c r="G334" i="5"/>
  <c r="R334" i="5"/>
  <c r="F334" i="5"/>
  <c r="AC334" i="5"/>
  <c r="Q334" i="5"/>
  <c r="AB334" i="5"/>
  <c r="P334" i="5"/>
  <c r="AA334" i="5"/>
  <c r="O334" i="5"/>
  <c r="Z334" i="5"/>
  <c r="X23" i="3" s="1"/>
  <c r="N334" i="5"/>
  <c r="Y334" i="5"/>
  <c r="M334" i="5"/>
  <c r="X334" i="5"/>
  <c r="L334" i="5"/>
  <c r="W334" i="5"/>
  <c r="K334" i="5"/>
  <c r="U346" i="5"/>
  <c r="I346" i="5"/>
  <c r="T346" i="5"/>
  <c r="H346" i="5"/>
  <c r="S346" i="5"/>
  <c r="G346" i="5"/>
  <c r="R346" i="5"/>
  <c r="F346" i="5"/>
  <c r="AC346" i="5"/>
  <c r="Q346" i="5"/>
  <c r="AB346" i="5"/>
  <c r="P346" i="5"/>
  <c r="AA346" i="5"/>
  <c r="O346" i="5"/>
  <c r="Z346" i="5"/>
  <c r="Y346" i="5"/>
  <c r="X346" i="5"/>
  <c r="W346" i="5"/>
  <c r="V346" i="5"/>
  <c r="N346" i="5"/>
  <c r="M346" i="5"/>
  <c r="L346" i="5"/>
  <c r="K346" i="5"/>
  <c r="J346" i="5"/>
  <c r="U358" i="5"/>
  <c r="I358" i="5"/>
  <c r="T358" i="5"/>
  <c r="H358" i="5"/>
  <c r="S358" i="5"/>
  <c r="Q28" i="3" s="1"/>
  <c r="G358" i="5"/>
  <c r="R358" i="5"/>
  <c r="F358" i="5"/>
  <c r="AC358" i="5"/>
  <c r="AA28" i="3" s="1"/>
  <c r="Q358" i="5"/>
  <c r="AB358" i="5"/>
  <c r="Z28" i="3" s="1"/>
  <c r="P358" i="5"/>
  <c r="AA358" i="5"/>
  <c r="O358" i="5"/>
  <c r="Z358" i="5"/>
  <c r="N358" i="5"/>
  <c r="X358" i="5"/>
  <c r="V28" i="3" s="1"/>
  <c r="L358" i="5"/>
  <c r="W358" i="5"/>
  <c r="K358" i="5"/>
  <c r="V358" i="5"/>
  <c r="J358" i="5"/>
  <c r="Y358" i="5"/>
  <c r="M358" i="5"/>
  <c r="U370" i="5"/>
  <c r="I370" i="5"/>
  <c r="T370" i="5"/>
  <c r="H370" i="5"/>
  <c r="S370" i="5"/>
  <c r="G370" i="5"/>
  <c r="R370" i="5"/>
  <c r="F370" i="5"/>
  <c r="AC370" i="5"/>
  <c r="Q370" i="5"/>
  <c r="AB370" i="5"/>
  <c r="P370" i="5"/>
  <c r="AA370" i="5"/>
  <c r="O370" i="5"/>
  <c r="Z370" i="5"/>
  <c r="N370" i="5"/>
  <c r="Y370" i="5"/>
  <c r="M370" i="5"/>
  <c r="X370" i="5"/>
  <c r="L370" i="5"/>
  <c r="W370" i="5"/>
  <c r="K370" i="5"/>
  <c r="V370" i="5"/>
  <c r="J370" i="5"/>
  <c r="Z382" i="5"/>
  <c r="N382" i="5"/>
  <c r="Y382" i="5"/>
  <c r="M382" i="5"/>
  <c r="X382" i="5"/>
  <c r="V102" i="3" s="1"/>
  <c r="L382" i="5"/>
  <c r="W382" i="5"/>
  <c r="K382" i="5"/>
  <c r="V382" i="5"/>
  <c r="J382" i="5"/>
  <c r="U382" i="5"/>
  <c r="I382" i="5"/>
  <c r="AA382" i="5"/>
  <c r="T382" i="5"/>
  <c r="S382" i="5"/>
  <c r="Q102" i="3" s="1"/>
  <c r="R382" i="5"/>
  <c r="Q382" i="5"/>
  <c r="P382" i="5"/>
  <c r="O382" i="5"/>
  <c r="H382" i="5"/>
  <c r="G382" i="5"/>
  <c r="F382" i="5"/>
  <c r="AC382" i="5"/>
  <c r="AB382" i="5"/>
  <c r="Z102" i="3" s="1"/>
  <c r="Z394" i="5"/>
  <c r="N394" i="5"/>
  <c r="Y394" i="5"/>
  <c r="W60" i="3" s="1"/>
  <c r="M394" i="5"/>
  <c r="X394" i="5"/>
  <c r="V60" i="3" s="1"/>
  <c r="L394" i="5"/>
  <c r="W394" i="5"/>
  <c r="K394" i="5"/>
  <c r="V394" i="5"/>
  <c r="J394" i="5"/>
  <c r="U394" i="5"/>
  <c r="S60" i="3" s="1"/>
  <c r="I394" i="5"/>
  <c r="S394" i="5"/>
  <c r="Q60" i="3" s="1"/>
  <c r="G394" i="5"/>
  <c r="R394" i="5"/>
  <c r="F394" i="5"/>
  <c r="AC394" i="5"/>
  <c r="AA60" i="3" s="1"/>
  <c r="Q394" i="5"/>
  <c r="AB394" i="5"/>
  <c r="AA394" i="5"/>
  <c r="T394" i="5"/>
  <c r="R60" i="3" s="1"/>
  <c r="P394" i="5"/>
  <c r="O394" i="5"/>
  <c r="H394" i="5"/>
  <c r="Z406" i="5"/>
  <c r="N406" i="5"/>
  <c r="Y406" i="5"/>
  <c r="M406" i="5"/>
  <c r="X406" i="5"/>
  <c r="V91" i="3" s="1"/>
  <c r="L406" i="5"/>
  <c r="W406" i="5"/>
  <c r="K406" i="5"/>
  <c r="V406" i="5"/>
  <c r="J406" i="5"/>
  <c r="U406" i="5"/>
  <c r="S91" i="3" s="1"/>
  <c r="I406" i="5"/>
  <c r="T406" i="5"/>
  <c r="R91" i="3" s="1"/>
  <c r="H406" i="5"/>
  <c r="S406" i="5"/>
  <c r="G406" i="5"/>
  <c r="R406" i="5"/>
  <c r="P91" i="3" s="1"/>
  <c r="F406" i="5"/>
  <c r="AC406" i="5"/>
  <c r="AA91" i="3" s="1"/>
  <c r="Q406" i="5"/>
  <c r="AB406" i="5"/>
  <c r="P406" i="5"/>
  <c r="AA406" i="5"/>
  <c r="O406" i="5"/>
  <c r="Z418" i="5"/>
  <c r="N418" i="5"/>
  <c r="Y418" i="5"/>
  <c r="M418" i="5"/>
  <c r="X418" i="5"/>
  <c r="V113" i="3" s="1"/>
  <c r="L418" i="5"/>
  <c r="W418" i="5"/>
  <c r="K418" i="5"/>
  <c r="V418" i="5"/>
  <c r="J418" i="5"/>
  <c r="AB418" i="5"/>
  <c r="Z113" i="3" s="1"/>
  <c r="F418" i="5"/>
  <c r="AA418" i="5"/>
  <c r="U418" i="5"/>
  <c r="S113" i="3" s="1"/>
  <c r="T418" i="5"/>
  <c r="S418" i="5"/>
  <c r="R418" i="5"/>
  <c r="Q418" i="5"/>
  <c r="P418" i="5"/>
  <c r="O418" i="5"/>
  <c r="I418" i="5"/>
  <c r="H418" i="5"/>
  <c r="AC418" i="5"/>
  <c r="AA113" i="3" s="1"/>
  <c r="G418" i="5"/>
  <c r="Z430" i="5"/>
  <c r="N430" i="5"/>
  <c r="Y430" i="5"/>
  <c r="M430" i="5"/>
  <c r="X430" i="5"/>
  <c r="L430" i="5"/>
  <c r="W430" i="5"/>
  <c r="K430" i="5"/>
  <c r="V430" i="5"/>
  <c r="J430" i="5"/>
  <c r="U430" i="5"/>
  <c r="I430" i="5"/>
  <c r="T430" i="5"/>
  <c r="H430" i="5"/>
  <c r="R430" i="5"/>
  <c r="F430" i="5"/>
  <c r="AC430" i="5"/>
  <c r="Q430" i="5"/>
  <c r="AB430" i="5"/>
  <c r="AA430" i="5"/>
  <c r="S430" i="5"/>
  <c r="P430" i="5"/>
  <c r="O430" i="5"/>
  <c r="G430" i="5"/>
  <c r="Z442" i="5"/>
  <c r="N442" i="5"/>
  <c r="Y442" i="5"/>
  <c r="M442" i="5"/>
  <c r="X442" i="5"/>
  <c r="L442" i="5"/>
  <c r="W442" i="5"/>
  <c r="K442" i="5"/>
  <c r="V442" i="5"/>
  <c r="J442" i="5"/>
  <c r="U442" i="5"/>
  <c r="I442" i="5"/>
  <c r="T442" i="5"/>
  <c r="H442" i="5"/>
  <c r="S442" i="5"/>
  <c r="G442" i="5"/>
  <c r="R442" i="5"/>
  <c r="F442" i="5"/>
  <c r="AC442" i="5"/>
  <c r="Q442" i="5"/>
  <c r="AB442" i="5"/>
  <c r="P442" i="5"/>
  <c r="AA442" i="5"/>
  <c r="O442" i="5"/>
  <c r="Z454" i="5"/>
  <c r="N454" i="5"/>
  <c r="Y454" i="5"/>
  <c r="M454" i="5"/>
  <c r="X454" i="5"/>
  <c r="L454" i="5"/>
  <c r="W454" i="5"/>
  <c r="K454" i="5"/>
  <c r="V454" i="5"/>
  <c r="J454" i="5"/>
  <c r="U454" i="5"/>
  <c r="I454" i="5"/>
  <c r="T454" i="5"/>
  <c r="H454" i="5"/>
  <c r="S454" i="5"/>
  <c r="G454" i="5"/>
  <c r="R454" i="5"/>
  <c r="F454" i="5"/>
  <c r="AC454" i="5"/>
  <c r="Q454" i="5"/>
  <c r="AB454" i="5"/>
  <c r="P454" i="5"/>
  <c r="AA454" i="5"/>
  <c r="O454" i="5"/>
  <c r="AA466" i="5"/>
  <c r="O466" i="5"/>
  <c r="Z466" i="5"/>
  <c r="N466" i="5"/>
  <c r="Y466" i="5"/>
  <c r="M466" i="5"/>
  <c r="X466" i="5"/>
  <c r="L466" i="5"/>
  <c r="W466" i="5"/>
  <c r="K466" i="5"/>
  <c r="V466" i="5"/>
  <c r="J466" i="5"/>
  <c r="U466" i="5"/>
  <c r="I466" i="5"/>
  <c r="T466" i="5"/>
  <c r="H466" i="5"/>
  <c r="R466" i="5"/>
  <c r="F466" i="5"/>
  <c r="AC466" i="5"/>
  <c r="AB466" i="5"/>
  <c r="S466" i="5"/>
  <c r="Q466" i="5"/>
  <c r="P466" i="5"/>
  <c r="G466" i="5"/>
  <c r="AA478" i="5"/>
  <c r="O478" i="5"/>
  <c r="Z478" i="5"/>
  <c r="N478" i="5"/>
  <c r="Y478" i="5"/>
  <c r="W65" i="3" s="1"/>
  <c r="M478" i="5"/>
  <c r="X478" i="5"/>
  <c r="V65" i="3" s="1"/>
  <c r="L478" i="5"/>
  <c r="W478" i="5"/>
  <c r="U65" i="3" s="1"/>
  <c r="K478" i="5"/>
  <c r="V478" i="5"/>
  <c r="J478" i="5"/>
  <c r="U478" i="5"/>
  <c r="I478" i="5"/>
  <c r="T478" i="5"/>
  <c r="H478" i="5"/>
  <c r="S478" i="5"/>
  <c r="G478" i="5"/>
  <c r="R478" i="5"/>
  <c r="F478" i="5"/>
  <c r="AC478" i="5"/>
  <c r="Q478" i="5"/>
  <c r="AB478" i="5"/>
  <c r="P478" i="5"/>
  <c r="T490" i="5"/>
  <c r="R72" i="3" s="1"/>
  <c r="S490" i="5"/>
  <c r="R490" i="5"/>
  <c r="O490" i="5"/>
  <c r="AC490" i="5"/>
  <c r="N490" i="5"/>
  <c r="AB490" i="5"/>
  <c r="M490" i="5"/>
  <c r="AA490" i="5"/>
  <c r="L490" i="5"/>
  <c r="Z490" i="5"/>
  <c r="K490" i="5"/>
  <c r="Y490" i="5"/>
  <c r="J490" i="5"/>
  <c r="X490" i="5"/>
  <c r="I490" i="5"/>
  <c r="W490" i="5"/>
  <c r="H490" i="5"/>
  <c r="V490" i="5"/>
  <c r="T72" i="3" s="1"/>
  <c r="G490" i="5"/>
  <c r="U490" i="5"/>
  <c r="S72" i="3" s="1"/>
  <c r="F490" i="5"/>
  <c r="Q490" i="5"/>
  <c r="P490" i="5"/>
  <c r="T502" i="5"/>
  <c r="H502" i="5"/>
  <c r="S502" i="5"/>
  <c r="G502" i="5"/>
  <c r="R502" i="5"/>
  <c r="F502" i="5"/>
  <c r="AC502" i="5"/>
  <c r="Q502" i="5"/>
  <c r="AB502" i="5"/>
  <c r="P502" i="5"/>
  <c r="AA502" i="5"/>
  <c r="O502" i="5"/>
  <c r="Y502" i="5"/>
  <c r="M502" i="5"/>
  <c r="W502" i="5"/>
  <c r="K502" i="5"/>
  <c r="J502" i="5"/>
  <c r="I502" i="5"/>
  <c r="Z502" i="5"/>
  <c r="X502" i="5"/>
  <c r="V502" i="5"/>
  <c r="U502" i="5"/>
  <c r="N502" i="5"/>
  <c r="L502" i="5"/>
  <c r="T514" i="5"/>
  <c r="H514" i="5"/>
  <c r="S514" i="5"/>
  <c r="G514" i="5"/>
  <c r="R514" i="5"/>
  <c r="F514" i="5"/>
  <c r="AA514" i="5"/>
  <c r="L514" i="5"/>
  <c r="Z514" i="5"/>
  <c r="K514" i="5"/>
  <c r="Y514" i="5"/>
  <c r="J514" i="5"/>
  <c r="X514" i="5"/>
  <c r="I514" i="5"/>
  <c r="W514" i="5"/>
  <c r="V514" i="5"/>
  <c r="U514" i="5"/>
  <c r="Q514" i="5"/>
  <c r="P514" i="5"/>
  <c r="O514" i="5"/>
  <c r="AC514" i="5"/>
  <c r="N514" i="5"/>
  <c r="AB514" i="5"/>
  <c r="M514" i="5"/>
  <c r="T526" i="5"/>
  <c r="H526" i="5"/>
  <c r="S526" i="5"/>
  <c r="G526" i="5"/>
  <c r="R526" i="5"/>
  <c r="F526" i="5"/>
  <c r="U526" i="5"/>
  <c r="I526" i="5"/>
  <c r="O526" i="5"/>
  <c r="N526" i="5"/>
  <c r="AC526" i="5"/>
  <c r="M526" i="5"/>
  <c r="V526" i="5"/>
  <c r="Q526" i="5"/>
  <c r="P526" i="5"/>
  <c r="Y526" i="5"/>
  <c r="X526" i="5"/>
  <c r="W526" i="5"/>
  <c r="L526" i="5"/>
  <c r="K526" i="5"/>
  <c r="J526" i="5"/>
  <c r="AB526" i="5"/>
  <c r="AA526" i="5"/>
  <c r="Z526" i="5"/>
  <c r="T538" i="5"/>
  <c r="H538" i="5"/>
  <c r="S538" i="5"/>
  <c r="G538" i="5"/>
  <c r="R538" i="5"/>
  <c r="F538" i="5"/>
  <c r="U538" i="5"/>
  <c r="I538" i="5"/>
  <c r="O538" i="5"/>
  <c r="N538" i="5"/>
  <c r="AC538" i="5"/>
  <c r="M538" i="5"/>
  <c r="V538" i="5"/>
  <c r="Q538" i="5"/>
  <c r="P538" i="5"/>
  <c r="Y538" i="5"/>
  <c r="X538" i="5"/>
  <c r="W538" i="5"/>
  <c r="L538" i="5"/>
  <c r="K538" i="5"/>
  <c r="J538" i="5"/>
  <c r="AB538" i="5"/>
  <c r="AA538" i="5"/>
  <c r="Z538" i="5"/>
  <c r="T550" i="5"/>
  <c r="H550" i="5"/>
  <c r="S550" i="5"/>
  <c r="G550" i="5"/>
  <c r="R550" i="5"/>
  <c r="F550" i="5"/>
  <c r="V550" i="5"/>
  <c r="J550" i="5"/>
  <c r="U550" i="5"/>
  <c r="I550" i="5"/>
  <c r="Z550" i="5"/>
  <c r="Y550" i="5"/>
  <c r="X550" i="5"/>
  <c r="AC550" i="5"/>
  <c r="L550" i="5"/>
  <c r="AB550" i="5"/>
  <c r="K550" i="5"/>
  <c r="AA550" i="5"/>
  <c r="W550" i="5"/>
  <c r="Q550" i="5"/>
  <c r="P550" i="5"/>
  <c r="O550" i="5"/>
  <c r="N550" i="5"/>
  <c r="M550" i="5"/>
  <c r="T562" i="5"/>
  <c r="R178" i="3" s="1"/>
  <c r="H562" i="5"/>
  <c r="S562" i="5"/>
  <c r="G562" i="5"/>
  <c r="R562" i="5"/>
  <c r="F562" i="5"/>
  <c r="V562" i="5"/>
  <c r="T178" i="3" s="1"/>
  <c r="J562" i="5"/>
  <c r="U562" i="5"/>
  <c r="S178" i="3" s="1"/>
  <c r="I562" i="5"/>
  <c r="Z562" i="5"/>
  <c r="Y562" i="5"/>
  <c r="X562" i="5"/>
  <c r="AC562" i="5"/>
  <c r="L562" i="5"/>
  <c r="AB562" i="5"/>
  <c r="K562" i="5"/>
  <c r="AA562" i="5"/>
  <c r="W562" i="5"/>
  <c r="Q562" i="5"/>
  <c r="P562" i="5"/>
  <c r="O562" i="5"/>
  <c r="N562" i="5"/>
  <c r="M562" i="5"/>
  <c r="Z21" i="5"/>
  <c r="N21" i="5"/>
  <c r="T21" i="5"/>
  <c r="Y21" i="5"/>
  <c r="W153" i="4" s="1"/>
  <c r="M21" i="5"/>
  <c r="X21" i="5"/>
  <c r="L21" i="5"/>
  <c r="W21" i="5"/>
  <c r="K21" i="5"/>
  <c r="V21" i="5"/>
  <c r="T153" i="4" s="1"/>
  <c r="J21" i="5"/>
  <c r="U21" i="5"/>
  <c r="I21" i="5"/>
  <c r="H21" i="5"/>
  <c r="S21" i="5"/>
  <c r="G21" i="5"/>
  <c r="R21" i="5"/>
  <c r="P153" i="4" s="1"/>
  <c r="F21" i="5"/>
  <c r="AC21" i="5"/>
  <c r="AA153" i="4" s="1"/>
  <c r="Q21" i="5"/>
  <c r="AB21" i="5"/>
  <c r="Z153" i="4" s="1"/>
  <c r="P21" i="5"/>
  <c r="AA21" i="5"/>
  <c r="Y153" i="4" s="1"/>
  <c r="O21" i="5"/>
  <c r="Z33" i="5"/>
  <c r="N33" i="5"/>
  <c r="Y33" i="5"/>
  <c r="W17" i="4" s="1"/>
  <c r="M33" i="5"/>
  <c r="X33" i="5"/>
  <c r="L33" i="5"/>
  <c r="W33" i="5"/>
  <c r="K33" i="5"/>
  <c r="V33" i="5"/>
  <c r="T17" i="4" s="1"/>
  <c r="J33" i="5"/>
  <c r="U33" i="5"/>
  <c r="S17" i="4" s="1"/>
  <c r="I33" i="5"/>
  <c r="T33" i="5"/>
  <c r="R17" i="4" s="1"/>
  <c r="H33" i="5"/>
  <c r="S33" i="5"/>
  <c r="G33" i="5"/>
  <c r="R33" i="5"/>
  <c r="P17" i="4" s="1"/>
  <c r="F33" i="5"/>
  <c r="AC33" i="5"/>
  <c r="Q33" i="5"/>
  <c r="AB33" i="5"/>
  <c r="Z17" i="4" s="1"/>
  <c r="P33" i="5"/>
  <c r="AA33" i="5"/>
  <c r="O33" i="5"/>
  <c r="Z45" i="5"/>
  <c r="N45" i="5"/>
  <c r="Y45" i="5"/>
  <c r="M45" i="5"/>
  <c r="X45" i="5"/>
  <c r="V26" i="4" s="1"/>
  <c r="L45" i="5"/>
  <c r="W45" i="5"/>
  <c r="K45" i="5"/>
  <c r="V45" i="5"/>
  <c r="T26" i="4" s="1"/>
  <c r="J45" i="5"/>
  <c r="U45" i="5"/>
  <c r="S26" i="4" s="1"/>
  <c r="I45" i="5"/>
  <c r="T45" i="5"/>
  <c r="R26" i="4" s="1"/>
  <c r="H45" i="5"/>
  <c r="S45" i="5"/>
  <c r="G45" i="5"/>
  <c r="R45" i="5"/>
  <c r="F45" i="5"/>
  <c r="AC45" i="5"/>
  <c r="AA26" i="4" s="1"/>
  <c r="Q45" i="5"/>
  <c r="AB45" i="5"/>
  <c r="Z26" i="4" s="1"/>
  <c r="P45" i="5"/>
  <c r="AA45" i="5"/>
  <c r="O45" i="5"/>
  <c r="Z57" i="5"/>
  <c r="N57" i="5"/>
  <c r="Y57" i="5"/>
  <c r="W33" i="4" s="1"/>
  <c r="M57" i="5"/>
  <c r="X57" i="5"/>
  <c r="L57" i="5"/>
  <c r="W57" i="5"/>
  <c r="K57" i="5"/>
  <c r="V57" i="5"/>
  <c r="T33" i="4" s="1"/>
  <c r="J57" i="5"/>
  <c r="U57" i="5"/>
  <c r="S33" i="4" s="1"/>
  <c r="I57" i="5"/>
  <c r="T57" i="5"/>
  <c r="R33" i="4" s="1"/>
  <c r="H57" i="5"/>
  <c r="S57" i="5"/>
  <c r="G57" i="5"/>
  <c r="R57" i="5"/>
  <c r="F57" i="5"/>
  <c r="AC57" i="5"/>
  <c r="Q57" i="5"/>
  <c r="AB57" i="5"/>
  <c r="Z33" i="4" s="1"/>
  <c r="P57" i="5"/>
  <c r="AA57" i="5"/>
  <c r="Y33" i="4" s="1"/>
  <c r="O57" i="5"/>
  <c r="Z69" i="5"/>
  <c r="N69" i="5"/>
  <c r="Y69" i="5"/>
  <c r="W41" i="4" s="1"/>
  <c r="M69" i="5"/>
  <c r="X69" i="5"/>
  <c r="V41" i="4" s="1"/>
  <c r="L69" i="5"/>
  <c r="W69" i="5"/>
  <c r="K69" i="5"/>
  <c r="V69" i="5"/>
  <c r="T41" i="4" s="1"/>
  <c r="J69" i="5"/>
  <c r="U69" i="5"/>
  <c r="S41" i="4" s="1"/>
  <c r="I69" i="5"/>
  <c r="T69" i="5"/>
  <c r="R41" i="4" s="1"/>
  <c r="H69" i="5"/>
  <c r="S69" i="5"/>
  <c r="G69" i="5"/>
  <c r="R69" i="5"/>
  <c r="F69" i="5"/>
  <c r="AC69" i="5"/>
  <c r="Q69" i="5"/>
  <c r="AB69" i="5"/>
  <c r="Z41" i="4" s="1"/>
  <c r="P69" i="5"/>
  <c r="AA69" i="5"/>
  <c r="O69" i="5"/>
  <c r="Z81" i="5"/>
  <c r="N81" i="5"/>
  <c r="Y81" i="5"/>
  <c r="M81" i="5"/>
  <c r="X81" i="5"/>
  <c r="L81" i="5"/>
  <c r="W81" i="5"/>
  <c r="K81" i="5"/>
  <c r="V81" i="5"/>
  <c r="J81" i="5"/>
  <c r="U81" i="5"/>
  <c r="I81" i="5"/>
  <c r="T81" i="5"/>
  <c r="H81" i="5"/>
  <c r="S81" i="5"/>
  <c r="G81" i="5"/>
  <c r="R81" i="5"/>
  <c r="F81" i="5"/>
  <c r="AC81" i="5"/>
  <c r="Q81" i="5"/>
  <c r="AB81" i="5"/>
  <c r="P81" i="5"/>
  <c r="AA81" i="5"/>
  <c r="O81" i="5"/>
  <c r="Z93" i="5"/>
  <c r="N93" i="5"/>
  <c r="Y93" i="5"/>
  <c r="M93" i="5"/>
  <c r="X93" i="5"/>
  <c r="L93" i="5"/>
  <c r="W93" i="5"/>
  <c r="K93" i="5"/>
  <c r="V93" i="5"/>
  <c r="J93" i="5"/>
  <c r="U93" i="5"/>
  <c r="I93" i="5"/>
  <c r="T93" i="5"/>
  <c r="H93" i="5"/>
  <c r="S93" i="5"/>
  <c r="G93" i="5"/>
  <c r="R93" i="5"/>
  <c r="F93" i="5"/>
  <c r="AC93" i="5"/>
  <c r="Q93" i="5"/>
  <c r="AB93" i="5"/>
  <c r="P93" i="5"/>
  <c r="AA93" i="5"/>
  <c r="O93" i="5"/>
  <c r="Z105" i="5"/>
  <c r="N105" i="5"/>
  <c r="Y105" i="5"/>
  <c r="M105" i="5"/>
  <c r="X105" i="5"/>
  <c r="L105" i="5"/>
  <c r="W105" i="5"/>
  <c r="K105" i="5"/>
  <c r="V105" i="5"/>
  <c r="J105" i="5"/>
  <c r="U105" i="5"/>
  <c r="I105" i="5"/>
  <c r="T105" i="5"/>
  <c r="H105" i="5"/>
  <c r="S105" i="5"/>
  <c r="G105" i="5"/>
  <c r="R105" i="5"/>
  <c r="F105" i="5"/>
  <c r="AC105" i="5"/>
  <c r="Q105" i="5"/>
  <c r="AB105" i="5"/>
  <c r="P105" i="5"/>
  <c r="AA105" i="5"/>
  <c r="O105" i="5"/>
  <c r="AC117" i="5"/>
  <c r="Q117" i="5"/>
  <c r="AB117" i="5"/>
  <c r="P117" i="5"/>
  <c r="AA117" i="5"/>
  <c r="O117" i="5"/>
  <c r="Z117" i="5"/>
  <c r="N117" i="5"/>
  <c r="Y117" i="5"/>
  <c r="M117" i="5"/>
  <c r="X117" i="5"/>
  <c r="L117" i="5"/>
  <c r="W117" i="5"/>
  <c r="K117" i="5"/>
  <c r="V117" i="5"/>
  <c r="J117" i="5"/>
  <c r="U117" i="5"/>
  <c r="I117" i="5"/>
  <c r="T117" i="5"/>
  <c r="H117" i="5"/>
  <c r="S117" i="5"/>
  <c r="G117" i="5"/>
  <c r="R117" i="5"/>
  <c r="F117" i="5"/>
  <c r="AC129" i="5"/>
  <c r="AA64" i="4" s="1"/>
  <c r="Q129" i="5"/>
  <c r="AB129" i="5"/>
  <c r="Z64" i="4" s="1"/>
  <c r="P129" i="5"/>
  <c r="AA129" i="5"/>
  <c r="O129" i="5"/>
  <c r="Z129" i="5"/>
  <c r="N129" i="5"/>
  <c r="Y129" i="5"/>
  <c r="M129" i="5"/>
  <c r="X129" i="5"/>
  <c r="V64" i="4" s="1"/>
  <c r="L129" i="5"/>
  <c r="W129" i="5"/>
  <c r="K129" i="5"/>
  <c r="V129" i="5"/>
  <c r="J129" i="5"/>
  <c r="U129" i="5"/>
  <c r="I129" i="5"/>
  <c r="T129" i="5"/>
  <c r="H129" i="5"/>
  <c r="S129" i="5"/>
  <c r="Q64" i="4" s="1"/>
  <c r="G129" i="5"/>
  <c r="R129" i="5"/>
  <c r="F129" i="5"/>
  <c r="AC141" i="5"/>
  <c r="Q141" i="5"/>
  <c r="AB141" i="5"/>
  <c r="P141" i="5"/>
  <c r="AA141" i="5"/>
  <c r="O141" i="5"/>
  <c r="Z141" i="5"/>
  <c r="N141" i="5"/>
  <c r="Y141" i="5"/>
  <c r="M141" i="5"/>
  <c r="X141" i="5"/>
  <c r="L141" i="5"/>
  <c r="W141" i="5"/>
  <c r="K141" i="5"/>
  <c r="V141" i="5"/>
  <c r="J141" i="5"/>
  <c r="U141" i="5"/>
  <c r="I141" i="5"/>
  <c r="T141" i="5"/>
  <c r="H141" i="5"/>
  <c r="S141" i="5"/>
  <c r="G141" i="5"/>
  <c r="R141" i="5"/>
  <c r="F141" i="5"/>
  <c r="AC153" i="5"/>
  <c r="Q153" i="5"/>
  <c r="AB153" i="5"/>
  <c r="P153" i="5"/>
  <c r="AA153" i="5"/>
  <c r="O153" i="5"/>
  <c r="Z153" i="5"/>
  <c r="N153" i="5"/>
  <c r="Y153" i="5"/>
  <c r="M153" i="5"/>
  <c r="X153" i="5"/>
  <c r="L153" i="5"/>
  <c r="W153" i="5"/>
  <c r="K153" i="5"/>
  <c r="V153" i="5"/>
  <c r="J153" i="5"/>
  <c r="U153" i="5"/>
  <c r="I153" i="5"/>
  <c r="T153" i="5"/>
  <c r="H153" i="5"/>
  <c r="S153" i="5"/>
  <c r="G153" i="5"/>
  <c r="R153" i="5"/>
  <c r="F153" i="5"/>
  <c r="X165" i="5"/>
  <c r="L165" i="5"/>
  <c r="W165" i="5"/>
  <c r="K165" i="5"/>
  <c r="V165" i="5"/>
  <c r="J165" i="5"/>
  <c r="U165" i="5"/>
  <c r="I165" i="5"/>
  <c r="T165" i="5"/>
  <c r="H165" i="5"/>
  <c r="S165" i="5"/>
  <c r="G165" i="5"/>
  <c r="R165" i="5"/>
  <c r="F165" i="5"/>
  <c r="AC165" i="5"/>
  <c r="Q165" i="5"/>
  <c r="AA165" i="5"/>
  <c r="O165" i="5"/>
  <c r="Z165" i="5"/>
  <c r="N165" i="5"/>
  <c r="M165" i="5"/>
  <c r="AB165" i="5"/>
  <c r="Y165" i="5"/>
  <c r="P165" i="5"/>
  <c r="X177" i="5"/>
  <c r="L177" i="5"/>
  <c r="W177" i="5"/>
  <c r="K177" i="5"/>
  <c r="V177" i="5"/>
  <c r="T101" i="4" s="1"/>
  <c r="J177" i="5"/>
  <c r="U177" i="5"/>
  <c r="I177" i="5"/>
  <c r="T177" i="5"/>
  <c r="R101" i="4" s="1"/>
  <c r="H177" i="5"/>
  <c r="S177" i="5"/>
  <c r="G177" i="5"/>
  <c r="R177" i="5"/>
  <c r="F177" i="5"/>
  <c r="AC177" i="5"/>
  <c r="AA101" i="4" s="1"/>
  <c r="Q177" i="5"/>
  <c r="AB177" i="5"/>
  <c r="Z101" i="4" s="1"/>
  <c r="P177" i="5"/>
  <c r="AA177" i="5"/>
  <c r="O177" i="5"/>
  <c r="Z177" i="5"/>
  <c r="N177" i="5"/>
  <c r="Y177" i="5"/>
  <c r="M177" i="5"/>
  <c r="X189" i="5"/>
  <c r="V117" i="4" s="1"/>
  <c r="L189" i="5"/>
  <c r="W189" i="5"/>
  <c r="U117" i="4" s="1"/>
  <c r="K189" i="5"/>
  <c r="V189" i="5"/>
  <c r="T117" i="4" s="1"/>
  <c r="J189" i="5"/>
  <c r="U189" i="5"/>
  <c r="I189" i="5"/>
  <c r="T189" i="5"/>
  <c r="H189" i="5"/>
  <c r="S189" i="5"/>
  <c r="Q117" i="4" s="1"/>
  <c r="G189" i="5"/>
  <c r="R189" i="5"/>
  <c r="F189" i="5"/>
  <c r="AC189" i="5"/>
  <c r="AA117" i="4" s="1"/>
  <c r="Q189" i="5"/>
  <c r="AB189" i="5"/>
  <c r="Z117" i="4" s="1"/>
  <c r="P189" i="5"/>
  <c r="AA189" i="5"/>
  <c r="O189" i="5"/>
  <c r="Z189" i="5"/>
  <c r="N189" i="5"/>
  <c r="Y189" i="5"/>
  <c r="M189" i="5"/>
  <c r="X201" i="5"/>
  <c r="V123" i="4" s="1"/>
  <c r="L201" i="5"/>
  <c r="W201" i="5"/>
  <c r="K201" i="5"/>
  <c r="V201" i="5"/>
  <c r="T123" i="4" s="1"/>
  <c r="J201" i="5"/>
  <c r="U201" i="5"/>
  <c r="I201" i="5"/>
  <c r="T201" i="5"/>
  <c r="H201" i="5"/>
  <c r="S201" i="5"/>
  <c r="Q123" i="4" s="1"/>
  <c r="G201" i="5"/>
  <c r="R201" i="5"/>
  <c r="P123" i="4" s="1"/>
  <c r="F201" i="5"/>
  <c r="AC201" i="5"/>
  <c r="AA123" i="4" s="1"/>
  <c r="Q201" i="5"/>
  <c r="AB201" i="5"/>
  <c r="Z123" i="4" s="1"/>
  <c r="P201" i="5"/>
  <c r="AA201" i="5"/>
  <c r="O201" i="5"/>
  <c r="Z201" i="5"/>
  <c r="N201" i="5"/>
  <c r="Y201" i="5"/>
  <c r="M201" i="5"/>
  <c r="T213" i="5"/>
  <c r="H213" i="5"/>
  <c r="S213" i="5"/>
  <c r="G213" i="5"/>
  <c r="R213" i="5"/>
  <c r="F213" i="5"/>
  <c r="AC213" i="5"/>
  <c r="Q213" i="5"/>
  <c r="AB213" i="5"/>
  <c r="P213" i="5"/>
  <c r="AA213" i="5"/>
  <c r="O213" i="5"/>
  <c r="Z213" i="5"/>
  <c r="N213" i="5"/>
  <c r="Y213" i="5"/>
  <c r="M213" i="5"/>
  <c r="W213" i="5"/>
  <c r="K213" i="5"/>
  <c r="X213" i="5"/>
  <c r="V213" i="5"/>
  <c r="U213" i="5"/>
  <c r="L213" i="5"/>
  <c r="J213" i="5"/>
  <c r="I213" i="5"/>
  <c r="T225" i="5"/>
  <c r="H225" i="5"/>
  <c r="S225" i="5"/>
  <c r="G225" i="5"/>
  <c r="R225" i="5"/>
  <c r="F225" i="5"/>
  <c r="AC225" i="5"/>
  <c r="Q225" i="5"/>
  <c r="AB225" i="5"/>
  <c r="P225" i="5"/>
  <c r="AA225" i="5"/>
  <c r="O225" i="5"/>
  <c r="Z225" i="5"/>
  <c r="N225" i="5"/>
  <c r="Y225" i="5"/>
  <c r="M225" i="5"/>
  <c r="X225" i="5"/>
  <c r="L225" i="5"/>
  <c r="W225" i="5"/>
  <c r="K225" i="5"/>
  <c r="V225" i="5"/>
  <c r="J225" i="5"/>
  <c r="U225" i="5"/>
  <c r="I225" i="5"/>
  <c r="T237" i="5"/>
  <c r="H237" i="5"/>
  <c r="S237" i="5"/>
  <c r="G237" i="5"/>
  <c r="R237" i="5"/>
  <c r="F237" i="5"/>
  <c r="AC237" i="5"/>
  <c r="Q237" i="5"/>
  <c r="AB237" i="5"/>
  <c r="P237" i="5"/>
  <c r="AA237" i="5"/>
  <c r="O237" i="5"/>
  <c r="Z237" i="5"/>
  <c r="N237" i="5"/>
  <c r="Y237" i="5"/>
  <c r="M237" i="5"/>
  <c r="X237" i="5"/>
  <c r="L237" i="5"/>
  <c r="W237" i="5"/>
  <c r="K237" i="5"/>
  <c r="V237" i="5"/>
  <c r="J237" i="5"/>
  <c r="U237" i="5"/>
  <c r="I237" i="5"/>
  <c r="T250" i="5"/>
  <c r="R202" i="4" s="1"/>
  <c r="H250" i="5"/>
  <c r="S250" i="5"/>
  <c r="G250" i="5"/>
  <c r="R250" i="5"/>
  <c r="F250" i="5"/>
  <c r="AC250" i="5"/>
  <c r="AA202" i="4" s="1"/>
  <c r="Q250" i="5"/>
  <c r="AB250" i="5"/>
  <c r="Z202" i="4" s="1"/>
  <c r="P250" i="5"/>
  <c r="AA250" i="5"/>
  <c r="O250" i="5"/>
  <c r="Z250" i="5"/>
  <c r="N250" i="5"/>
  <c r="Y250" i="5"/>
  <c r="W202" i="4" s="1"/>
  <c r="M250" i="5"/>
  <c r="X250" i="5"/>
  <c r="V202" i="4" s="1"/>
  <c r="L250" i="5"/>
  <c r="W250" i="5"/>
  <c r="K250" i="5"/>
  <c r="V250" i="5"/>
  <c r="J250" i="5"/>
  <c r="U250" i="5"/>
  <c r="I250" i="5"/>
  <c r="S262" i="5"/>
  <c r="G262" i="5"/>
  <c r="R262" i="5"/>
  <c r="F262" i="5"/>
  <c r="AC262" i="5"/>
  <c r="Q262" i="5"/>
  <c r="AB262" i="5"/>
  <c r="P262" i="5"/>
  <c r="AA262" i="5"/>
  <c r="O262" i="5"/>
  <c r="Z262" i="5"/>
  <c r="N262" i="5"/>
  <c r="Y262" i="5"/>
  <c r="M262" i="5"/>
  <c r="X262" i="5"/>
  <c r="L262" i="5"/>
  <c r="W262" i="5"/>
  <c r="K262" i="5"/>
  <c r="V262" i="5"/>
  <c r="J262" i="5"/>
  <c r="U262" i="5"/>
  <c r="I262" i="5"/>
  <c r="T262" i="5"/>
  <c r="H262" i="5"/>
  <c r="S274" i="5"/>
  <c r="G274" i="5"/>
  <c r="R274" i="5"/>
  <c r="F274" i="5"/>
  <c r="AC274" i="5"/>
  <c r="AA213" i="4" s="1"/>
  <c r="Q274" i="5"/>
  <c r="AB274" i="5"/>
  <c r="Z213" i="4" s="1"/>
  <c r="P274" i="5"/>
  <c r="AA274" i="5"/>
  <c r="Y213" i="4" s="1"/>
  <c r="O274" i="5"/>
  <c r="Z274" i="5"/>
  <c r="X213" i="4" s="1"/>
  <c r="N274" i="5"/>
  <c r="Y274" i="5"/>
  <c r="M274" i="5"/>
  <c r="X274" i="5"/>
  <c r="V213" i="4" s="1"/>
  <c r="L274" i="5"/>
  <c r="W274" i="5"/>
  <c r="K274" i="5"/>
  <c r="V274" i="5"/>
  <c r="T213" i="4" s="1"/>
  <c r="J274" i="5"/>
  <c r="U274" i="5"/>
  <c r="I274" i="5"/>
  <c r="T274" i="5"/>
  <c r="R213" i="4" s="1"/>
  <c r="H274" i="5"/>
  <c r="S286" i="5"/>
  <c r="G286" i="5"/>
  <c r="R286" i="5"/>
  <c r="F286" i="5"/>
  <c r="AC286" i="5"/>
  <c r="Q286" i="5"/>
  <c r="AB286" i="5"/>
  <c r="P286" i="5"/>
  <c r="AA286" i="5"/>
  <c r="O286" i="5"/>
  <c r="Z286" i="5"/>
  <c r="N286" i="5"/>
  <c r="Y286" i="5"/>
  <c r="M286" i="5"/>
  <c r="X286" i="5"/>
  <c r="L286" i="5"/>
  <c r="W286" i="5"/>
  <c r="K286" i="5"/>
  <c r="V286" i="5"/>
  <c r="J286" i="5"/>
  <c r="U286" i="5"/>
  <c r="I286" i="5"/>
  <c r="T286" i="5"/>
  <c r="H286" i="5"/>
  <c r="V298" i="5"/>
  <c r="T49" i="3" s="1"/>
  <c r="J298" i="5"/>
  <c r="U298" i="5"/>
  <c r="S49" i="3" s="1"/>
  <c r="I298" i="5"/>
  <c r="T298" i="5"/>
  <c r="H298" i="5"/>
  <c r="S298" i="5"/>
  <c r="G298" i="5"/>
  <c r="R298" i="5"/>
  <c r="AC298" i="5"/>
  <c r="AA49" i="3" s="1"/>
  <c r="Q298" i="5"/>
  <c r="M298" i="5"/>
  <c r="L298" i="5"/>
  <c r="K298" i="5"/>
  <c r="AB298" i="5"/>
  <c r="Z49" i="3" s="1"/>
  <c r="F298" i="5"/>
  <c r="AA298" i="5"/>
  <c r="Y49" i="3" s="1"/>
  <c r="Z298" i="5"/>
  <c r="Y298" i="5"/>
  <c r="W49" i="3" s="1"/>
  <c r="X298" i="5"/>
  <c r="W298" i="5"/>
  <c r="U49" i="3" s="1"/>
  <c r="P298" i="5"/>
  <c r="O298" i="5"/>
  <c r="N298" i="5"/>
  <c r="V310" i="5"/>
  <c r="J310" i="5"/>
  <c r="U310" i="5"/>
  <c r="I310" i="5"/>
  <c r="T310" i="5"/>
  <c r="H310" i="5"/>
  <c r="S310" i="5"/>
  <c r="G310" i="5"/>
  <c r="R310" i="5"/>
  <c r="F310" i="5"/>
  <c r="AC310" i="5"/>
  <c r="Q310" i="5"/>
  <c r="AB310" i="5"/>
  <c r="P310" i="5"/>
  <c r="AA310" i="5"/>
  <c r="O310" i="5"/>
  <c r="Z310" i="5"/>
  <c r="N310" i="5"/>
  <c r="Y310" i="5"/>
  <c r="M310" i="5"/>
  <c r="X310" i="5"/>
  <c r="L310" i="5"/>
  <c r="W310" i="5"/>
  <c r="K310" i="5"/>
  <c r="V322" i="5"/>
  <c r="J322" i="5"/>
  <c r="U322" i="5"/>
  <c r="I322" i="5"/>
  <c r="T322" i="5"/>
  <c r="H322" i="5"/>
  <c r="S322" i="5"/>
  <c r="G322" i="5"/>
  <c r="R322" i="5"/>
  <c r="F322" i="5"/>
  <c r="AC322" i="5"/>
  <c r="Q322" i="5"/>
  <c r="AB322" i="5"/>
  <c r="P322" i="5"/>
  <c r="AA322" i="5"/>
  <c r="O322" i="5"/>
  <c r="Z322" i="5"/>
  <c r="N322" i="5"/>
  <c r="Y322" i="5"/>
  <c r="M322" i="5"/>
  <c r="X322" i="5"/>
  <c r="L322" i="5"/>
  <c r="W322" i="5"/>
  <c r="K322" i="5"/>
  <c r="V335" i="5"/>
  <c r="J335" i="5"/>
  <c r="U335" i="5"/>
  <c r="I335" i="5"/>
  <c r="T335" i="5"/>
  <c r="H335" i="5"/>
  <c r="S335" i="5"/>
  <c r="G335" i="5"/>
  <c r="R335" i="5"/>
  <c r="F335" i="5"/>
  <c r="AC335" i="5"/>
  <c r="Q335" i="5"/>
  <c r="AB335" i="5"/>
  <c r="P335" i="5"/>
  <c r="AA335" i="5"/>
  <c r="O335" i="5"/>
  <c r="Z335" i="5"/>
  <c r="N335" i="5"/>
  <c r="Y335" i="5"/>
  <c r="M335" i="5"/>
  <c r="X335" i="5"/>
  <c r="L335" i="5"/>
  <c r="W335" i="5"/>
  <c r="K335" i="5"/>
  <c r="U347" i="5"/>
  <c r="I347" i="5"/>
  <c r="T347" i="5"/>
  <c r="H347" i="5"/>
  <c r="S347" i="5"/>
  <c r="G347" i="5"/>
  <c r="R347" i="5"/>
  <c r="F347" i="5"/>
  <c r="AC347" i="5"/>
  <c r="Q347" i="5"/>
  <c r="AB347" i="5"/>
  <c r="P347" i="5"/>
  <c r="AA347" i="5"/>
  <c r="O347" i="5"/>
  <c r="K347" i="5"/>
  <c r="J347" i="5"/>
  <c r="Z347" i="5"/>
  <c r="Y347" i="5"/>
  <c r="X347" i="5"/>
  <c r="W347" i="5"/>
  <c r="V347" i="5"/>
  <c r="N347" i="5"/>
  <c r="M347" i="5"/>
  <c r="L347" i="5"/>
  <c r="U359" i="5"/>
  <c r="I359" i="5"/>
  <c r="T359" i="5"/>
  <c r="H359" i="5"/>
  <c r="S359" i="5"/>
  <c r="G359" i="5"/>
  <c r="R359" i="5"/>
  <c r="F359" i="5"/>
  <c r="AC359" i="5"/>
  <c r="Q359" i="5"/>
  <c r="AB359" i="5"/>
  <c r="P359" i="5"/>
  <c r="AA359" i="5"/>
  <c r="O359" i="5"/>
  <c r="Z359" i="5"/>
  <c r="N359" i="5"/>
  <c r="X359" i="5"/>
  <c r="L359" i="5"/>
  <c r="W359" i="5"/>
  <c r="K359" i="5"/>
  <c r="V359" i="5"/>
  <c r="J359" i="5"/>
  <c r="Y359" i="5"/>
  <c r="M359" i="5"/>
  <c r="U371" i="5"/>
  <c r="I371" i="5"/>
  <c r="T371" i="5"/>
  <c r="H371" i="5"/>
  <c r="S371" i="5"/>
  <c r="G371" i="5"/>
  <c r="R371" i="5"/>
  <c r="F371" i="5"/>
  <c r="AC371" i="5"/>
  <c r="Q371" i="5"/>
  <c r="AB371" i="5"/>
  <c r="P371" i="5"/>
  <c r="AA371" i="5"/>
  <c r="O371" i="5"/>
  <c r="Z371" i="5"/>
  <c r="N371" i="5"/>
  <c r="Y371" i="5"/>
  <c r="M371" i="5"/>
  <c r="X371" i="5"/>
  <c r="L371" i="5"/>
  <c r="W371" i="5"/>
  <c r="K371" i="5"/>
  <c r="V371" i="5"/>
  <c r="J371" i="5"/>
  <c r="Z383" i="5"/>
  <c r="X103" i="3" s="1"/>
  <c r="N383" i="5"/>
  <c r="L103" i="3" s="1"/>
  <c r="Y383" i="5"/>
  <c r="W103" i="3" s="1"/>
  <c r="M383" i="5"/>
  <c r="K103" i="3" s="1"/>
  <c r="X383" i="5"/>
  <c r="V103" i="3" s="1"/>
  <c r="L383" i="5"/>
  <c r="J103" i="3" s="1"/>
  <c r="W383" i="5"/>
  <c r="U103" i="3" s="1"/>
  <c r="K383" i="5"/>
  <c r="I103" i="3" s="1"/>
  <c r="V383" i="5"/>
  <c r="T103" i="3" s="1"/>
  <c r="J383" i="5"/>
  <c r="H103" i="3" s="1"/>
  <c r="U383" i="5"/>
  <c r="S103" i="3" s="1"/>
  <c r="I383" i="5"/>
  <c r="G103" i="3" s="1"/>
  <c r="AA383" i="5"/>
  <c r="Y103" i="3" s="1"/>
  <c r="T383" i="5"/>
  <c r="R103" i="3" s="1"/>
  <c r="S383" i="5"/>
  <c r="Q103" i="3" s="1"/>
  <c r="R383" i="5"/>
  <c r="P103" i="3" s="1"/>
  <c r="Q383" i="5"/>
  <c r="O103" i="3" s="1"/>
  <c r="P383" i="5"/>
  <c r="N103" i="3" s="1"/>
  <c r="O383" i="5"/>
  <c r="M103" i="3" s="1"/>
  <c r="H383" i="5"/>
  <c r="F103" i="3" s="1"/>
  <c r="G383" i="5"/>
  <c r="E103" i="3" s="1"/>
  <c r="F383" i="5"/>
  <c r="D103" i="3" s="1"/>
  <c r="AC383" i="5"/>
  <c r="AA103" i="3" s="1"/>
  <c r="AB383" i="5"/>
  <c r="Z103" i="3" s="1"/>
  <c r="Z395" i="5"/>
  <c r="N395" i="5"/>
  <c r="Y395" i="5"/>
  <c r="M395" i="5"/>
  <c r="X395" i="5"/>
  <c r="V61" i="3" s="1"/>
  <c r="L395" i="5"/>
  <c r="W395" i="5"/>
  <c r="K395" i="5"/>
  <c r="V395" i="5"/>
  <c r="J395" i="5"/>
  <c r="U395" i="5"/>
  <c r="I395" i="5"/>
  <c r="T395" i="5"/>
  <c r="S395" i="5"/>
  <c r="G395" i="5"/>
  <c r="R395" i="5"/>
  <c r="F395" i="5"/>
  <c r="AC395" i="5"/>
  <c r="AA61" i="3" s="1"/>
  <c r="Q395" i="5"/>
  <c r="AB395" i="5"/>
  <c r="AA395" i="5"/>
  <c r="P395" i="5"/>
  <c r="O395" i="5"/>
  <c r="H395" i="5"/>
  <c r="Z407" i="5"/>
  <c r="X92" i="3" s="1"/>
  <c r="N407" i="5"/>
  <c r="L92" i="3" s="1"/>
  <c r="Y407" i="5"/>
  <c r="W92" i="3" s="1"/>
  <c r="M407" i="5"/>
  <c r="K92" i="3" s="1"/>
  <c r="X407" i="5"/>
  <c r="V92" i="3" s="1"/>
  <c r="L407" i="5"/>
  <c r="J92" i="3" s="1"/>
  <c r="W407" i="5"/>
  <c r="U92" i="3" s="1"/>
  <c r="K407" i="5"/>
  <c r="I92" i="3" s="1"/>
  <c r="V407" i="5"/>
  <c r="T92" i="3" s="1"/>
  <c r="J407" i="5"/>
  <c r="H92" i="3" s="1"/>
  <c r="U407" i="5"/>
  <c r="S92" i="3" s="1"/>
  <c r="I407" i="5"/>
  <c r="G92" i="3" s="1"/>
  <c r="T407" i="5"/>
  <c r="R92" i="3" s="1"/>
  <c r="H407" i="5"/>
  <c r="F92" i="3" s="1"/>
  <c r="S407" i="5"/>
  <c r="Q92" i="3" s="1"/>
  <c r="G407" i="5"/>
  <c r="E92" i="3" s="1"/>
  <c r="R407" i="5"/>
  <c r="P92" i="3" s="1"/>
  <c r="F407" i="5"/>
  <c r="D92" i="3" s="1"/>
  <c r="AC407" i="5"/>
  <c r="AA92" i="3" s="1"/>
  <c r="Q407" i="5"/>
  <c r="O92" i="3" s="1"/>
  <c r="AB407" i="5"/>
  <c r="Z92" i="3" s="1"/>
  <c r="P407" i="5"/>
  <c r="N92" i="3" s="1"/>
  <c r="AA407" i="5"/>
  <c r="Y92" i="3" s="1"/>
  <c r="O407" i="5"/>
  <c r="M92" i="3" s="1"/>
  <c r="Z419" i="5"/>
  <c r="N419" i="5"/>
  <c r="Y419" i="5"/>
  <c r="M419" i="5"/>
  <c r="X419" i="5"/>
  <c r="L419" i="5"/>
  <c r="W419" i="5"/>
  <c r="K419" i="5"/>
  <c r="V419" i="5"/>
  <c r="J419" i="5"/>
  <c r="U419" i="5"/>
  <c r="T419" i="5"/>
  <c r="S419" i="5"/>
  <c r="R419" i="5"/>
  <c r="Q419" i="5"/>
  <c r="P419" i="5"/>
  <c r="O419" i="5"/>
  <c r="I419" i="5"/>
  <c r="H419" i="5"/>
  <c r="AC419" i="5"/>
  <c r="G419" i="5"/>
  <c r="AB419" i="5"/>
  <c r="F419" i="5"/>
  <c r="AA419" i="5"/>
  <c r="Z431" i="5"/>
  <c r="N431" i="5"/>
  <c r="Y431" i="5"/>
  <c r="M431" i="5"/>
  <c r="X431" i="5"/>
  <c r="L431" i="5"/>
  <c r="W431" i="5"/>
  <c r="K431" i="5"/>
  <c r="V431" i="5"/>
  <c r="J431" i="5"/>
  <c r="U431" i="5"/>
  <c r="I431" i="5"/>
  <c r="T431" i="5"/>
  <c r="H431" i="5"/>
  <c r="R431" i="5"/>
  <c r="F431" i="5"/>
  <c r="AC431" i="5"/>
  <c r="Q431" i="5"/>
  <c r="G431" i="5"/>
  <c r="AB431" i="5"/>
  <c r="AA431" i="5"/>
  <c r="S431" i="5"/>
  <c r="P431" i="5"/>
  <c r="O431" i="5"/>
  <c r="Z443" i="5"/>
  <c r="X121" i="3" s="1"/>
  <c r="N443" i="5"/>
  <c r="L121" i="3" s="1"/>
  <c r="Y443" i="5"/>
  <c r="W121" i="3" s="1"/>
  <c r="M443" i="5"/>
  <c r="K121" i="3" s="1"/>
  <c r="X443" i="5"/>
  <c r="V121" i="3" s="1"/>
  <c r="L443" i="5"/>
  <c r="J121" i="3" s="1"/>
  <c r="W443" i="5"/>
  <c r="U121" i="3" s="1"/>
  <c r="K443" i="5"/>
  <c r="I121" i="3" s="1"/>
  <c r="V443" i="5"/>
  <c r="T121" i="3" s="1"/>
  <c r="J443" i="5"/>
  <c r="H121" i="3" s="1"/>
  <c r="U443" i="5"/>
  <c r="S121" i="3" s="1"/>
  <c r="I443" i="5"/>
  <c r="G121" i="3" s="1"/>
  <c r="T443" i="5"/>
  <c r="R121" i="3" s="1"/>
  <c r="H443" i="5"/>
  <c r="F121" i="3" s="1"/>
  <c r="S443" i="5"/>
  <c r="Q121" i="3" s="1"/>
  <c r="G443" i="5"/>
  <c r="E121" i="3" s="1"/>
  <c r="R443" i="5"/>
  <c r="P121" i="3" s="1"/>
  <c r="F443" i="5"/>
  <c r="D121" i="3" s="1"/>
  <c r="AC443" i="5"/>
  <c r="AA121" i="3" s="1"/>
  <c r="Q443" i="5"/>
  <c r="O121" i="3" s="1"/>
  <c r="AB443" i="5"/>
  <c r="Z121" i="3" s="1"/>
  <c r="P443" i="5"/>
  <c r="N121" i="3" s="1"/>
  <c r="AA443" i="5"/>
  <c r="Y121" i="3" s="1"/>
  <c r="O443" i="5"/>
  <c r="M121" i="3" s="1"/>
  <c r="AA455" i="5"/>
  <c r="O455" i="5"/>
  <c r="Z455" i="5"/>
  <c r="Y455" i="5"/>
  <c r="N455" i="5"/>
  <c r="AC455" i="5"/>
  <c r="M455" i="5"/>
  <c r="AB455" i="5"/>
  <c r="L455" i="5"/>
  <c r="X455" i="5"/>
  <c r="K455" i="5"/>
  <c r="W455" i="5"/>
  <c r="J455" i="5"/>
  <c r="V455" i="5"/>
  <c r="I455" i="5"/>
  <c r="U455" i="5"/>
  <c r="H455" i="5"/>
  <c r="T455" i="5"/>
  <c r="G455" i="5"/>
  <c r="S455" i="5"/>
  <c r="F455" i="5"/>
  <c r="R455" i="5"/>
  <c r="Q455" i="5"/>
  <c r="P455" i="5"/>
  <c r="AA467" i="5"/>
  <c r="O467" i="5"/>
  <c r="Z467" i="5"/>
  <c r="N467" i="5"/>
  <c r="Y467" i="5"/>
  <c r="M467" i="5"/>
  <c r="X467" i="5"/>
  <c r="L467" i="5"/>
  <c r="W467" i="5"/>
  <c r="K467" i="5"/>
  <c r="V467" i="5"/>
  <c r="J467" i="5"/>
  <c r="U467" i="5"/>
  <c r="I467" i="5"/>
  <c r="T467" i="5"/>
  <c r="H467" i="5"/>
  <c r="S467" i="5"/>
  <c r="R467" i="5"/>
  <c r="F467" i="5"/>
  <c r="AC467" i="5"/>
  <c r="Q467" i="5"/>
  <c r="AB467" i="5"/>
  <c r="P467" i="5"/>
  <c r="G467" i="5"/>
  <c r="AA479" i="5"/>
  <c r="O479" i="5"/>
  <c r="Z479" i="5"/>
  <c r="N479" i="5"/>
  <c r="Y479" i="5"/>
  <c r="W177" i="3" s="1"/>
  <c r="M479" i="5"/>
  <c r="X479" i="5"/>
  <c r="V177" i="3" s="1"/>
  <c r="L479" i="5"/>
  <c r="W479" i="5"/>
  <c r="U177" i="3" s="1"/>
  <c r="K479" i="5"/>
  <c r="V479" i="5"/>
  <c r="J479" i="5"/>
  <c r="U479" i="5"/>
  <c r="I479" i="5"/>
  <c r="T479" i="5"/>
  <c r="H479" i="5"/>
  <c r="S479" i="5"/>
  <c r="G479" i="5"/>
  <c r="R479" i="5"/>
  <c r="F479" i="5"/>
  <c r="AC479" i="5"/>
  <c r="AA177" i="3" s="1"/>
  <c r="Q479" i="5"/>
  <c r="AB479" i="5"/>
  <c r="Z177" i="3" s="1"/>
  <c r="P479" i="5"/>
  <c r="T491" i="5"/>
  <c r="R73" i="3" s="1"/>
  <c r="H491" i="5"/>
  <c r="S491" i="5"/>
  <c r="G491" i="5"/>
  <c r="R491" i="5"/>
  <c r="F491" i="5"/>
  <c r="AC491" i="5"/>
  <c r="AA73" i="3" s="1"/>
  <c r="X491" i="5"/>
  <c r="I491" i="5"/>
  <c r="W491" i="5"/>
  <c r="V491" i="5"/>
  <c r="U491" i="5"/>
  <c r="Q491" i="5"/>
  <c r="P491" i="5"/>
  <c r="O491" i="5"/>
  <c r="N491" i="5"/>
  <c r="AB491" i="5"/>
  <c r="M491" i="5"/>
  <c r="AA491" i="5"/>
  <c r="L491" i="5"/>
  <c r="Z491" i="5"/>
  <c r="K491" i="5"/>
  <c r="Y491" i="5"/>
  <c r="J491" i="5"/>
  <c r="T503" i="5"/>
  <c r="H503" i="5"/>
  <c r="S503" i="5"/>
  <c r="G503" i="5"/>
  <c r="R503" i="5"/>
  <c r="F503" i="5"/>
  <c r="AC503" i="5"/>
  <c r="AA127" i="3" s="1"/>
  <c r="Q503" i="5"/>
  <c r="AB503" i="5"/>
  <c r="Z127" i="3" s="1"/>
  <c r="P503" i="5"/>
  <c r="AA503" i="5"/>
  <c r="O503" i="5"/>
  <c r="Y503" i="5"/>
  <c r="M503" i="5"/>
  <c r="X503" i="5"/>
  <c r="L503" i="5"/>
  <c r="W503" i="5"/>
  <c r="K503" i="5"/>
  <c r="Z503" i="5"/>
  <c r="V503" i="5"/>
  <c r="U503" i="5"/>
  <c r="N503" i="5"/>
  <c r="J503" i="5"/>
  <c r="I503" i="5"/>
  <c r="T515" i="5"/>
  <c r="H515" i="5"/>
  <c r="S515" i="5"/>
  <c r="G515" i="5"/>
  <c r="R515" i="5"/>
  <c r="F515" i="5"/>
  <c r="U515" i="5"/>
  <c r="Q515" i="5"/>
  <c r="P515" i="5"/>
  <c r="O515" i="5"/>
  <c r="AC515" i="5"/>
  <c r="N515" i="5"/>
  <c r="AB515" i="5"/>
  <c r="M515" i="5"/>
  <c r="AA515" i="5"/>
  <c r="L515" i="5"/>
  <c r="Z515" i="5"/>
  <c r="K515" i="5"/>
  <c r="Y515" i="5"/>
  <c r="J515" i="5"/>
  <c r="X515" i="5"/>
  <c r="I515" i="5"/>
  <c r="W515" i="5"/>
  <c r="V515" i="5"/>
  <c r="T527" i="5"/>
  <c r="H527" i="5"/>
  <c r="S527" i="5"/>
  <c r="G527" i="5"/>
  <c r="R527" i="5"/>
  <c r="F527" i="5"/>
  <c r="U527" i="5"/>
  <c r="I527" i="5"/>
  <c r="AA527" i="5"/>
  <c r="K527" i="5"/>
  <c r="Z527" i="5"/>
  <c r="J527" i="5"/>
  <c r="Y527" i="5"/>
  <c r="N527" i="5"/>
  <c r="AC527" i="5"/>
  <c r="M527" i="5"/>
  <c r="AB527" i="5"/>
  <c r="L527" i="5"/>
  <c r="X527" i="5"/>
  <c r="W527" i="5"/>
  <c r="V527" i="5"/>
  <c r="Q527" i="5"/>
  <c r="P527" i="5"/>
  <c r="O527" i="5"/>
  <c r="T539" i="5"/>
  <c r="H539" i="5"/>
  <c r="S539" i="5"/>
  <c r="G539" i="5"/>
  <c r="R539" i="5"/>
  <c r="F539" i="5"/>
  <c r="U539" i="5"/>
  <c r="I539" i="5"/>
  <c r="AA539" i="5"/>
  <c r="K539" i="5"/>
  <c r="Z539" i="5"/>
  <c r="J539" i="5"/>
  <c r="Y539" i="5"/>
  <c r="N539" i="5"/>
  <c r="AC539" i="5"/>
  <c r="M539" i="5"/>
  <c r="AB539" i="5"/>
  <c r="L539" i="5"/>
  <c r="X539" i="5"/>
  <c r="W539" i="5"/>
  <c r="V539" i="5"/>
  <c r="Q539" i="5"/>
  <c r="P539" i="5"/>
  <c r="O539" i="5"/>
  <c r="T551" i="5"/>
  <c r="H551" i="5"/>
  <c r="S551" i="5"/>
  <c r="G551" i="5"/>
  <c r="R551" i="5"/>
  <c r="F551" i="5"/>
  <c r="V551" i="5"/>
  <c r="J551" i="5"/>
  <c r="U551" i="5"/>
  <c r="I551" i="5"/>
  <c r="X551" i="5"/>
  <c r="W551" i="5"/>
  <c r="Q551" i="5"/>
  <c r="AA551" i="5"/>
  <c r="Z551" i="5"/>
  <c r="Y551" i="5"/>
  <c r="M551" i="5"/>
  <c r="L551" i="5"/>
  <c r="K551" i="5"/>
  <c r="AC551" i="5"/>
  <c r="AB551" i="5"/>
  <c r="P551" i="5"/>
  <c r="O551" i="5"/>
  <c r="N551" i="5"/>
  <c r="T563" i="5"/>
  <c r="H563" i="5"/>
  <c r="S563" i="5"/>
  <c r="G563" i="5"/>
  <c r="R563" i="5"/>
  <c r="F563" i="5"/>
  <c r="V563" i="5"/>
  <c r="J563" i="5"/>
  <c r="U563" i="5"/>
  <c r="I563" i="5"/>
  <c r="X563" i="5"/>
  <c r="W563" i="5"/>
  <c r="Q563" i="5"/>
  <c r="AA563" i="5"/>
  <c r="Z563" i="5"/>
  <c r="Y563" i="5"/>
  <c r="M563" i="5"/>
  <c r="L563" i="5"/>
  <c r="K563" i="5"/>
  <c r="AC563" i="5"/>
  <c r="AB563" i="5"/>
  <c r="P563" i="5"/>
  <c r="O563" i="5"/>
  <c r="N563" i="5"/>
  <c r="Z22" i="5"/>
  <c r="N22" i="5"/>
  <c r="Y22" i="5"/>
  <c r="W154" i="4" s="1"/>
  <c r="M22" i="5"/>
  <c r="X22" i="5"/>
  <c r="V154" i="4" s="1"/>
  <c r="L22" i="5"/>
  <c r="W22" i="5"/>
  <c r="K22" i="5"/>
  <c r="V22" i="5"/>
  <c r="J22" i="5"/>
  <c r="U22" i="5"/>
  <c r="I22" i="5"/>
  <c r="T22" i="5"/>
  <c r="R154" i="4" s="1"/>
  <c r="H22" i="5"/>
  <c r="S22" i="5"/>
  <c r="G22" i="5"/>
  <c r="R22" i="5"/>
  <c r="P154" i="4" s="1"/>
  <c r="F22" i="5"/>
  <c r="AC22" i="5"/>
  <c r="AA154" i="4" s="1"/>
  <c r="Q22" i="5"/>
  <c r="AB22" i="5"/>
  <c r="Z154" i="4" s="1"/>
  <c r="P22" i="5"/>
  <c r="AA22" i="5"/>
  <c r="Y154" i="4" s="1"/>
  <c r="O22" i="5"/>
  <c r="Z34" i="5"/>
  <c r="N34" i="5"/>
  <c r="Y34" i="5"/>
  <c r="W18" i="4" s="1"/>
  <c r="M34" i="5"/>
  <c r="X34" i="5"/>
  <c r="V18" i="4" s="1"/>
  <c r="L34" i="5"/>
  <c r="W34" i="5"/>
  <c r="K34" i="5"/>
  <c r="V34" i="5"/>
  <c r="J34" i="5"/>
  <c r="U34" i="5"/>
  <c r="S18" i="4" s="1"/>
  <c r="I34" i="5"/>
  <c r="T34" i="5"/>
  <c r="R18" i="4" s="1"/>
  <c r="H34" i="5"/>
  <c r="S34" i="5"/>
  <c r="G34" i="5"/>
  <c r="R34" i="5"/>
  <c r="P18" i="4" s="1"/>
  <c r="F34" i="5"/>
  <c r="AC34" i="5"/>
  <c r="Q34" i="5"/>
  <c r="AB34" i="5"/>
  <c r="Z18" i="4" s="1"/>
  <c r="P34" i="5"/>
  <c r="AA34" i="5"/>
  <c r="O34" i="5"/>
  <c r="Z46" i="5"/>
  <c r="N46" i="5"/>
  <c r="Y46" i="5"/>
  <c r="M46" i="5"/>
  <c r="X46" i="5"/>
  <c r="L46" i="5"/>
  <c r="W46" i="5"/>
  <c r="K46" i="5"/>
  <c r="V46" i="5"/>
  <c r="J46" i="5"/>
  <c r="U46" i="5"/>
  <c r="I46" i="5"/>
  <c r="T46" i="5"/>
  <c r="H46" i="5"/>
  <c r="S46" i="5"/>
  <c r="G46" i="5"/>
  <c r="R46" i="5"/>
  <c r="F46" i="5"/>
  <c r="AC46" i="5"/>
  <c r="Q46" i="5"/>
  <c r="AB46" i="5"/>
  <c r="P46" i="5"/>
  <c r="AA46" i="5"/>
  <c r="O46" i="5"/>
  <c r="Z58" i="5"/>
  <c r="N58" i="5"/>
  <c r="Y58" i="5"/>
  <c r="M58" i="5"/>
  <c r="X58" i="5"/>
  <c r="L58" i="5"/>
  <c r="W58" i="5"/>
  <c r="K58" i="5"/>
  <c r="V58" i="5"/>
  <c r="J58" i="5"/>
  <c r="U58" i="5"/>
  <c r="I58" i="5"/>
  <c r="T58" i="5"/>
  <c r="H58" i="5"/>
  <c r="S58" i="5"/>
  <c r="G58" i="5"/>
  <c r="R58" i="5"/>
  <c r="F58" i="5"/>
  <c r="AC58" i="5"/>
  <c r="Q58" i="5"/>
  <c r="AB58" i="5"/>
  <c r="P58" i="5"/>
  <c r="AA58" i="5"/>
  <c r="O58" i="5"/>
  <c r="Z70" i="5"/>
  <c r="N70" i="5"/>
  <c r="Y70" i="5"/>
  <c r="M70" i="5"/>
  <c r="X70" i="5"/>
  <c r="L70" i="5"/>
  <c r="W70" i="5"/>
  <c r="K70" i="5"/>
  <c r="V70" i="5"/>
  <c r="J70" i="5"/>
  <c r="U70" i="5"/>
  <c r="I70" i="5"/>
  <c r="T70" i="5"/>
  <c r="H70" i="5"/>
  <c r="S70" i="5"/>
  <c r="G70" i="5"/>
  <c r="R70" i="5"/>
  <c r="F70" i="5"/>
  <c r="AC70" i="5"/>
  <c r="Q70" i="5"/>
  <c r="AB70" i="5"/>
  <c r="P70" i="5"/>
  <c r="AA70" i="5"/>
  <c r="O70" i="5"/>
  <c r="Z82" i="5"/>
  <c r="N82" i="5"/>
  <c r="Y82" i="5"/>
  <c r="M82" i="5"/>
  <c r="X82" i="5"/>
  <c r="L82" i="5"/>
  <c r="W82" i="5"/>
  <c r="K82" i="5"/>
  <c r="V82" i="5"/>
  <c r="J82" i="5"/>
  <c r="U82" i="5"/>
  <c r="I82" i="5"/>
  <c r="T82" i="5"/>
  <c r="H82" i="5"/>
  <c r="S82" i="5"/>
  <c r="G82" i="5"/>
  <c r="R82" i="5"/>
  <c r="F82" i="5"/>
  <c r="AC82" i="5"/>
  <c r="Q82" i="5"/>
  <c r="AB82" i="5"/>
  <c r="P82" i="5"/>
  <c r="AA82" i="5"/>
  <c r="O82" i="5"/>
  <c r="Z94" i="5"/>
  <c r="N94" i="5"/>
  <c r="Y94" i="5"/>
  <c r="M94" i="5"/>
  <c r="X94" i="5"/>
  <c r="L94" i="5"/>
  <c r="W94" i="5"/>
  <c r="K94" i="5"/>
  <c r="V94" i="5"/>
  <c r="J94" i="5"/>
  <c r="U94" i="5"/>
  <c r="I94" i="5"/>
  <c r="T94" i="5"/>
  <c r="H94" i="5"/>
  <c r="S94" i="5"/>
  <c r="G94" i="5"/>
  <c r="R94" i="5"/>
  <c r="F94" i="5"/>
  <c r="AC94" i="5"/>
  <c r="Q94" i="5"/>
  <c r="AB94" i="5"/>
  <c r="P94" i="5"/>
  <c r="AA94" i="5"/>
  <c r="O94" i="5"/>
  <c r="Z106" i="5"/>
  <c r="N106" i="5"/>
  <c r="Y106" i="5"/>
  <c r="M106" i="5"/>
  <c r="X106" i="5"/>
  <c r="L106" i="5"/>
  <c r="W106" i="5"/>
  <c r="K106" i="5"/>
  <c r="V106" i="5"/>
  <c r="J106" i="5"/>
  <c r="U106" i="5"/>
  <c r="I106" i="5"/>
  <c r="T106" i="5"/>
  <c r="H106" i="5"/>
  <c r="S106" i="5"/>
  <c r="G106" i="5"/>
  <c r="R106" i="5"/>
  <c r="F106" i="5"/>
  <c r="AC106" i="5"/>
  <c r="Q106" i="5"/>
  <c r="AB106" i="5"/>
  <c r="P106" i="5"/>
  <c r="AA106" i="5"/>
  <c r="O106" i="5"/>
  <c r="AC118" i="5"/>
  <c r="AA53" i="4" s="1"/>
  <c r="Q118" i="5"/>
  <c r="AB118" i="5"/>
  <c r="Z53" i="4" s="1"/>
  <c r="P118" i="5"/>
  <c r="AA118" i="5"/>
  <c r="O118" i="5"/>
  <c r="Z118" i="5"/>
  <c r="N118" i="5"/>
  <c r="Y118" i="5"/>
  <c r="M118" i="5"/>
  <c r="X118" i="5"/>
  <c r="L118" i="5"/>
  <c r="W118" i="5"/>
  <c r="K118" i="5"/>
  <c r="V118" i="5"/>
  <c r="J118" i="5"/>
  <c r="U118" i="5"/>
  <c r="I118" i="5"/>
  <c r="T118" i="5"/>
  <c r="H118" i="5"/>
  <c r="S118" i="5"/>
  <c r="Q53" i="4" s="1"/>
  <c r="G118" i="5"/>
  <c r="R118" i="5"/>
  <c r="F118" i="5"/>
  <c r="AC130" i="5"/>
  <c r="AA65" i="4" s="1"/>
  <c r="Q130" i="5"/>
  <c r="AB130" i="5"/>
  <c r="Z65" i="4" s="1"/>
  <c r="P130" i="5"/>
  <c r="AA130" i="5"/>
  <c r="O130" i="5"/>
  <c r="Z130" i="5"/>
  <c r="N130" i="5"/>
  <c r="Y130" i="5"/>
  <c r="M130" i="5"/>
  <c r="X130" i="5"/>
  <c r="L130" i="5"/>
  <c r="W130" i="5"/>
  <c r="K130" i="5"/>
  <c r="V130" i="5"/>
  <c r="J130" i="5"/>
  <c r="U130" i="5"/>
  <c r="I130" i="5"/>
  <c r="T130" i="5"/>
  <c r="R65" i="4" s="1"/>
  <c r="H130" i="5"/>
  <c r="S130" i="5"/>
  <c r="Q65" i="4" s="1"/>
  <c r="G130" i="5"/>
  <c r="R130" i="5"/>
  <c r="F130" i="5"/>
  <c r="AC142" i="5"/>
  <c r="Q142" i="5"/>
  <c r="AB142" i="5"/>
  <c r="P142" i="5"/>
  <c r="AA142" i="5"/>
  <c r="O142" i="5"/>
  <c r="Z142" i="5"/>
  <c r="N142" i="5"/>
  <c r="Y142" i="5"/>
  <c r="M142" i="5"/>
  <c r="X142" i="5"/>
  <c r="L142" i="5"/>
  <c r="W142" i="5"/>
  <c r="K142" i="5"/>
  <c r="V142" i="5"/>
  <c r="J142" i="5"/>
  <c r="U142" i="5"/>
  <c r="I142" i="5"/>
  <c r="T142" i="5"/>
  <c r="H142" i="5"/>
  <c r="S142" i="5"/>
  <c r="G142" i="5"/>
  <c r="R142" i="5"/>
  <c r="F142" i="5"/>
  <c r="AC154" i="5"/>
  <c r="Q154" i="5"/>
  <c r="AB154" i="5"/>
  <c r="P154" i="5"/>
  <c r="AA154" i="5"/>
  <c r="O154" i="5"/>
  <c r="Z154" i="5"/>
  <c r="N154" i="5"/>
  <c r="Y154" i="5"/>
  <c r="M154" i="5"/>
  <c r="X154" i="5"/>
  <c r="L154" i="5"/>
  <c r="W154" i="5"/>
  <c r="K154" i="5"/>
  <c r="V154" i="5"/>
  <c r="J154" i="5"/>
  <c r="U154" i="5"/>
  <c r="I154" i="5"/>
  <c r="T154" i="5"/>
  <c r="H154" i="5"/>
  <c r="S154" i="5"/>
  <c r="G154" i="5"/>
  <c r="R154" i="5"/>
  <c r="F154" i="5"/>
  <c r="X166" i="5"/>
  <c r="L166" i="5"/>
  <c r="W166" i="5"/>
  <c r="K166" i="5"/>
  <c r="V166" i="5"/>
  <c r="J166" i="5"/>
  <c r="U166" i="5"/>
  <c r="I166" i="5"/>
  <c r="T166" i="5"/>
  <c r="H166" i="5"/>
  <c r="S166" i="5"/>
  <c r="G166" i="5"/>
  <c r="R166" i="5"/>
  <c r="F166" i="5"/>
  <c r="AC166" i="5"/>
  <c r="Q166" i="5"/>
  <c r="AA166" i="5"/>
  <c r="O166" i="5"/>
  <c r="Z166" i="5"/>
  <c r="N166" i="5"/>
  <c r="AB166" i="5"/>
  <c r="Y166" i="5"/>
  <c r="P166" i="5"/>
  <c r="M166" i="5"/>
  <c r="X178" i="5"/>
  <c r="L178" i="5"/>
  <c r="W178" i="5"/>
  <c r="K178" i="5"/>
  <c r="V178" i="5"/>
  <c r="J178" i="5"/>
  <c r="U178" i="5"/>
  <c r="I178" i="5"/>
  <c r="T178" i="5"/>
  <c r="H178" i="5"/>
  <c r="S178" i="5"/>
  <c r="G178" i="5"/>
  <c r="R178" i="5"/>
  <c r="F178" i="5"/>
  <c r="AC178" i="5"/>
  <c r="Q178" i="5"/>
  <c r="AB178" i="5"/>
  <c r="P178" i="5"/>
  <c r="AA178" i="5"/>
  <c r="O178" i="5"/>
  <c r="Z178" i="5"/>
  <c r="N178" i="5"/>
  <c r="Y178" i="5"/>
  <c r="M178" i="5"/>
  <c r="X190" i="5"/>
  <c r="L190" i="5"/>
  <c r="W190" i="5"/>
  <c r="K190" i="5"/>
  <c r="V190" i="5"/>
  <c r="J190" i="5"/>
  <c r="U190" i="5"/>
  <c r="I190" i="5"/>
  <c r="T190" i="5"/>
  <c r="R118" i="4" s="1"/>
  <c r="H190" i="5"/>
  <c r="S190" i="5"/>
  <c r="Q118" i="4" s="1"/>
  <c r="G190" i="5"/>
  <c r="R190" i="5"/>
  <c r="F190" i="5"/>
  <c r="AC190" i="5"/>
  <c r="AA118" i="4" s="1"/>
  <c r="Q190" i="5"/>
  <c r="AB190" i="5"/>
  <c r="Z118" i="4" s="1"/>
  <c r="P190" i="5"/>
  <c r="AA190" i="5"/>
  <c r="Y118" i="4" s="1"/>
  <c r="O190" i="5"/>
  <c r="Z190" i="5"/>
  <c r="N190" i="5"/>
  <c r="Y190" i="5"/>
  <c r="M190" i="5"/>
  <c r="X202" i="5"/>
  <c r="L202" i="5"/>
  <c r="W202" i="5"/>
  <c r="U124" i="4" s="1"/>
  <c r="K202" i="5"/>
  <c r="V202" i="5"/>
  <c r="T124" i="4" s="1"/>
  <c r="J202" i="5"/>
  <c r="U202" i="5"/>
  <c r="I202" i="5"/>
  <c r="T202" i="5"/>
  <c r="H202" i="5"/>
  <c r="S202" i="5"/>
  <c r="G202" i="5"/>
  <c r="R202" i="5"/>
  <c r="P124" i="4" s="1"/>
  <c r="F202" i="5"/>
  <c r="AC202" i="5"/>
  <c r="AA124" i="4" s="1"/>
  <c r="Q202" i="5"/>
  <c r="AB202" i="5"/>
  <c r="Z124" i="4" s="1"/>
  <c r="P202" i="5"/>
  <c r="AA202" i="5"/>
  <c r="Y124" i="4" s="1"/>
  <c r="O202" i="5"/>
  <c r="Z202" i="5"/>
  <c r="N202" i="5"/>
  <c r="Y202" i="5"/>
  <c r="M202" i="5"/>
  <c r="T214" i="5"/>
  <c r="H214" i="5"/>
  <c r="S214" i="5"/>
  <c r="G214" i="5"/>
  <c r="R214" i="5"/>
  <c r="F214" i="5"/>
  <c r="AC214" i="5"/>
  <c r="Q214" i="5"/>
  <c r="AB214" i="5"/>
  <c r="P214" i="5"/>
  <c r="AA214" i="5"/>
  <c r="O214" i="5"/>
  <c r="Z214" i="5"/>
  <c r="N214" i="5"/>
  <c r="Y214" i="5"/>
  <c r="M214" i="5"/>
  <c r="W214" i="5"/>
  <c r="K214" i="5"/>
  <c r="X214" i="5"/>
  <c r="V214" i="5"/>
  <c r="U214" i="5"/>
  <c r="L214" i="5"/>
  <c r="J214" i="5"/>
  <c r="I214" i="5"/>
  <c r="T226" i="5"/>
  <c r="H226" i="5"/>
  <c r="S226" i="5"/>
  <c r="G226" i="5"/>
  <c r="R226" i="5"/>
  <c r="F226" i="5"/>
  <c r="AC226" i="5"/>
  <c r="AA194" i="4" s="1"/>
  <c r="Q226" i="5"/>
  <c r="AB226" i="5"/>
  <c r="Z194" i="4" s="1"/>
  <c r="P226" i="5"/>
  <c r="AA226" i="5"/>
  <c r="Y194" i="4" s="1"/>
  <c r="O226" i="5"/>
  <c r="Z226" i="5"/>
  <c r="N226" i="5"/>
  <c r="Y226" i="5"/>
  <c r="M226" i="5"/>
  <c r="X226" i="5"/>
  <c r="V194" i="4" s="1"/>
  <c r="L226" i="5"/>
  <c r="W226" i="5"/>
  <c r="K226" i="5"/>
  <c r="V226" i="5"/>
  <c r="J226" i="5"/>
  <c r="U226" i="5"/>
  <c r="S194" i="4" s="1"/>
  <c r="I226" i="5"/>
  <c r="T238" i="5"/>
  <c r="R200" i="4" s="1"/>
  <c r="H238" i="5"/>
  <c r="S238" i="5"/>
  <c r="G238" i="5"/>
  <c r="R238" i="5"/>
  <c r="P200" i="4" s="1"/>
  <c r="F238" i="5"/>
  <c r="AC238" i="5"/>
  <c r="AA200" i="4" s="1"/>
  <c r="Q238" i="5"/>
  <c r="AB238" i="5"/>
  <c r="Z200" i="4" s="1"/>
  <c r="P238" i="5"/>
  <c r="AA238" i="5"/>
  <c r="Y200" i="4" s="1"/>
  <c r="O238" i="5"/>
  <c r="Z238" i="5"/>
  <c r="N238" i="5"/>
  <c r="Y238" i="5"/>
  <c r="M238" i="5"/>
  <c r="X238" i="5"/>
  <c r="V200" i="4" s="1"/>
  <c r="L238" i="5"/>
  <c r="W238" i="5"/>
  <c r="K238" i="5"/>
  <c r="V238" i="5"/>
  <c r="J238" i="5"/>
  <c r="U238" i="5"/>
  <c r="S200" i="4" s="1"/>
  <c r="I238" i="5"/>
  <c r="T251" i="5"/>
  <c r="H251" i="5"/>
  <c r="S251" i="5"/>
  <c r="G251" i="5"/>
  <c r="R251" i="5"/>
  <c r="F251" i="5"/>
  <c r="AC251" i="5"/>
  <c r="Q251" i="5"/>
  <c r="AB251" i="5"/>
  <c r="P251" i="5"/>
  <c r="AA251" i="5"/>
  <c r="O251" i="5"/>
  <c r="Z251" i="5"/>
  <c r="N251" i="5"/>
  <c r="Y251" i="5"/>
  <c r="M251" i="5"/>
  <c r="X251" i="5"/>
  <c r="L251" i="5"/>
  <c r="W251" i="5"/>
  <c r="K251" i="5"/>
  <c r="V251" i="5"/>
  <c r="J251" i="5"/>
  <c r="U251" i="5"/>
  <c r="I251" i="5"/>
  <c r="S263" i="5"/>
  <c r="G263" i="5"/>
  <c r="R263" i="5"/>
  <c r="F263" i="5"/>
  <c r="AC263" i="5"/>
  <c r="Q263" i="5"/>
  <c r="AB263" i="5"/>
  <c r="P263" i="5"/>
  <c r="AA263" i="5"/>
  <c r="O263" i="5"/>
  <c r="Z263" i="5"/>
  <c r="N263" i="5"/>
  <c r="Y263" i="5"/>
  <c r="M263" i="5"/>
  <c r="X263" i="5"/>
  <c r="L263" i="5"/>
  <c r="W263" i="5"/>
  <c r="K263" i="5"/>
  <c r="V263" i="5"/>
  <c r="J263" i="5"/>
  <c r="U263" i="5"/>
  <c r="I263" i="5"/>
  <c r="T263" i="5"/>
  <c r="H263" i="5"/>
  <c r="S275" i="5"/>
  <c r="G275" i="5"/>
  <c r="R275" i="5"/>
  <c r="F275" i="5"/>
  <c r="AC275" i="5"/>
  <c r="Q275" i="5"/>
  <c r="AB275" i="5"/>
  <c r="P275" i="5"/>
  <c r="AA275" i="5"/>
  <c r="O275" i="5"/>
  <c r="Z275" i="5"/>
  <c r="N275" i="5"/>
  <c r="Y275" i="5"/>
  <c r="M275" i="5"/>
  <c r="X275" i="5"/>
  <c r="L275" i="5"/>
  <c r="W275" i="5"/>
  <c r="K275" i="5"/>
  <c r="V275" i="5"/>
  <c r="J275" i="5"/>
  <c r="U275" i="5"/>
  <c r="I275" i="5"/>
  <c r="T275" i="5"/>
  <c r="H275" i="5"/>
  <c r="S287" i="5"/>
  <c r="G287" i="5"/>
  <c r="R287" i="5"/>
  <c r="F287" i="5"/>
  <c r="AC287" i="5"/>
  <c r="Q287" i="5"/>
  <c r="AB287" i="5"/>
  <c r="P287" i="5"/>
  <c r="AA287" i="5"/>
  <c r="O287" i="5"/>
  <c r="Z287" i="5"/>
  <c r="N287" i="5"/>
  <c r="Y287" i="5"/>
  <c r="M287" i="5"/>
  <c r="X287" i="5"/>
  <c r="L287" i="5"/>
  <c r="W287" i="5"/>
  <c r="K287" i="5"/>
  <c r="V287" i="5"/>
  <c r="J287" i="5"/>
  <c r="U287" i="5"/>
  <c r="I287" i="5"/>
  <c r="T287" i="5"/>
  <c r="H287" i="5"/>
  <c r="V299" i="5"/>
  <c r="T51" i="3" s="1"/>
  <c r="J299" i="5"/>
  <c r="H51" i="3" s="1"/>
  <c r="U299" i="5"/>
  <c r="S51" i="3" s="1"/>
  <c r="I299" i="5"/>
  <c r="G51" i="3" s="1"/>
  <c r="T299" i="5"/>
  <c r="R51" i="3" s="1"/>
  <c r="H299" i="5"/>
  <c r="F51" i="3" s="1"/>
  <c r="S299" i="5"/>
  <c r="Q51" i="3" s="1"/>
  <c r="G299" i="5"/>
  <c r="E51" i="3" s="1"/>
  <c r="R299" i="5"/>
  <c r="P51" i="3" s="1"/>
  <c r="F299" i="5"/>
  <c r="D51" i="3" s="1"/>
  <c r="AC299" i="5"/>
  <c r="AA51" i="3" s="1"/>
  <c r="Q299" i="5"/>
  <c r="O51" i="3" s="1"/>
  <c r="M299" i="5"/>
  <c r="K51" i="3" s="1"/>
  <c r="L299" i="5"/>
  <c r="J51" i="3" s="1"/>
  <c r="K299" i="5"/>
  <c r="I51" i="3" s="1"/>
  <c r="AB299" i="5"/>
  <c r="Z51" i="3" s="1"/>
  <c r="AA299" i="5"/>
  <c r="Y51" i="3" s="1"/>
  <c r="Z299" i="5"/>
  <c r="X51" i="3" s="1"/>
  <c r="Y299" i="5"/>
  <c r="W51" i="3" s="1"/>
  <c r="X299" i="5"/>
  <c r="V51" i="3" s="1"/>
  <c r="W299" i="5"/>
  <c r="U51" i="3" s="1"/>
  <c r="P299" i="5"/>
  <c r="N51" i="3" s="1"/>
  <c r="O299" i="5"/>
  <c r="M51" i="3" s="1"/>
  <c r="N299" i="5"/>
  <c r="L51" i="3" s="1"/>
  <c r="V311" i="5"/>
  <c r="J311" i="5"/>
  <c r="U311" i="5"/>
  <c r="I311" i="5"/>
  <c r="T311" i="5"/>
  <c r="H311" i="5"/>
  <c r="S311" i="5"/>
  <c r="G311" i="5"/>
  <c r="R311" i="5"/>
  <c r="F311" i="5"/>
  <c r="AC311" i="5"/>
  <c r="Q311" i="5"/>
  <c r="AB311" i="5"/>
  <c r="P311" i="5"/>
  <c r="AA311" i="5"/>
  <c r="O311" i="5"/>
  <c r="Z311" i="5"/>
  <c r="N311" i="5"/>
  <c r="Y311" i="5"/>
  <c r="M311" i="5"/>
  <c r="X311" i="5"/>
  <c r="L311" i="5"/>
  <c r="W311" i="5"/>
  <c r="K311" i="5"/>
  <c r="V323" i="5"/>
  <c r="J323" i="5"/>
  <c r="U323" i="5"/>
  <c r="I323" i="5"/>
  <c r="T323" i="5"/>
  <c r="H323" i="5"/>
  <c r="S323" i="5"/>
  <c r="G323" i="5"/>
  <c r="R323" i="5"/>
  <c r="F323" i="5"/>
  <c r="AC323" i="5"/>
  <c r="Q323" i="5"/>
  <c r="AB323" i="5"/>
  <c r="P323" i="5"/>
  <c r="AA323" i="5"/>
  <c r="O323" i="5"/>
  <c r="Z323" i="5"/>
  <c r="N323" i="5"/>
  <c r="Y323" i="5"/>
  <c r="M323" i="5"/>
  <c r="X323" i="5"/>
  <c r="L323" i="5"/>
  <c r="W323" i="5"/>
  <c r="K323" i="5"/>
  <c r="V336" i="5"/>
  <c r="J336" i="5"/>
  <c r="U336" i="5"/>
  <c r="I336" i="5"/>
  <c r="T336" i="5"/>
  <c r="H336" i="5"/>
  <c r="S336" i="5"/>
  <c r="G336" i="5"/>
  <c r="R336" i="5"/>
  <c r="F336" i="5"/>
  <c r="AC336" i="5"/>
  <c r="Q336" i="5"/>
  <c r="AB336" i="5"/>
  <c r="P336" i="5"/>
  <c r="AA336" i="5"/>
  <c r="O336" i="5"/>
  <c r="Z336" i="5"/>
  <c r="N336" i="5"/>
  <c r="Y336" i="5"/>
  <c r="M336" i="5"/>
  <c r="X336" i="5"/>
  <c r="L336" i="5"/>
  <c r="W336" i="5"/>
  <c r="K336" i="5"/>
  <c r="U348" i="5"/>
  <c r="I348" i="5"/>
  <c r="T348" i="5"/>
  <c r="H348" i="5"/>
  <c r="S348" i="5"/>
  <c r="G348" i="5"/>
  <c r="R348" i="5"/>
  <c r="F348" i="5"/>
  <c r="AC348" i="5"/>
  <c r="Q348" i="5"/>
  <c r="AB348" i="5"/>
  <c r="P348" i="5"/>
  <c r="AA348" i="5"/>
  <c r="O348" i="5"/>
  <c r="Z348" i="5"/>
  <c r="M348" i="5"/>
  <c r="L348" i="5"/>
  <c r="K348" i="5"/>
  <c r="J348" i="5"/>
  <c r="Y348" i="5"/>
  <c r="X348" i="5"/>
  <c r="W348" i="5"/>
  <c r="V348" i="5"/>
  <c r="N348" i="5"/>
  <c r="U360" i="5"/>
  <c r="I360" i="5"/>
  <c r="T360" i="5"/>
  <c r="H360" i="5"/>
  <c r="S360" i="5"/>
  <c r="G360" i="5"/>
  <c r="R360" i="5"/>
  <c r="F360" i="5"/>
  <c r="AC360" i="5"/>
  <c r="AA29" i="3" s="1"/>
  <c r="Q360" i="5"/>
  <c r="AB360" i="5"/>
  <c r="Z29" i="3" s="1"/>
  <c r="P360" i="5"/>
  <c r="AA360" i="5"/>
  <c r="Y29" i="3" s="1"/>
  <c r="O360" i="5"/>
  <c r="Z360" i="5"/>
  <c r="N360" i="5"/>
  <c r="Y360" i="5"/>
  <c r="W29" i="3" s="1"/>
  <c r="X360" i="5"/>
  <c r="L360" i="5"/>
  <c r="W360" i="5"/>
  <c r="K360" i="5"/>
  <c r="V360" i="5"/>
  <c r="T29" i="3" s="1"/>
  <c r="J360" i="5"/>
  <c r="M360" i="5"/>
  <c r="U372" i="5"/>
  <c r="I372" i="5"/>
  <c r="T372" i="5"/>
  <c r="H372" i="5"/>
  <c r="S372" i="5"/>
  <c r="G372" i="5"/>
  <c r="R372" i="5"/>
  <c r="F372" i="5"/>
  <c r="AC372" i="5"/>
  <c r="AA37" i="3" s="1"/>
  <c r="Q372" i="5"/>
  <c r="AB372" i="5"/>
  <c r="Z37" i="3" s="1"/>
  <c r="P372" i="5"/>
  <c r="AA372" i="5"/>
  <c r="O372" i="5"/>
  <c r="Z372" i="5"/>
  <c r="N372" i="5"/>
  <c r="Y372" i="5"/>
  <c r="W37" i="3" s="1"/>
  <c r="M372" i="5"/>
  <c r="X372" i="5"/>
  <c r="L372" i="5"/>
  <c r="W372" i="5"/>
  <c r="K372" i="5"/>
  <c r="V372" i="5"/>
  <c r="J372" i="5"/>
  <c r="Z384" i="5"/>
  <c r="N384" i="5"/>
  <c r="Y384" i="5"/>
  <c r="M384" i="5"/>
  <c r="X384" i="5"/>
  <c r="V104" i="3" s="1"/>
  <c r="L384" i="5"/>
  <c r="W384" i="5"/>
  <c r="K384" i="5"/>
  <c r="V384" i="5"/>
  <c r="J384" i="5"/>
  <c r="U384" i="5"/>
  <c r="S104" i="3" s="1"/>
  <c r="I384" i="5"/>
  <c r="AA384" i="5"/>
  <c r="T384" i="5"/>
  <c r="R104" i="3" s="1"/>
  <c r="S384" i="5"/>
  <c r="R384" i="5"/>
  <c r="Q384" i="5"/>
  <c r="P384" i="5"/>
  <c r="O384" i="5"/>
  <c r="H384" i="5"/>
  <c r="G384" i="5"/>
  <c r="F384" i="5"/>
  <c r="AC384" i="5"/>
  <c r="AA104" i="3" s="1"/>
  <c r="AB384" i="5"/>
  <c r="Z396" i="5"/>
  <c r="N396" i="5"/>
  <c r="Y396" i="5"/>
  <c r="M396" i="5"/>
  <c r="X396" i="5"/>
  <c r="L396" i="5"/>
  <c r="W396" i="5"/>
  <c r="K396" i="5"/>
  <c r="V396" i="5"/>
  <c r="J396" i="5"/>
  <c r="U396" i="5"/>
  <c r="S62" i="3" s="1"/>
  <c r="I396" i="5"/>
  <c r="T396" i="5"/>
  <c r="R62" i="3" s="1"/>
  <c r="H396" i="5"/>
  <c r="S396" i="5"/>
  <c r="G396" i="5"/>
  <c r="R396" i="5"/>
  <c r="F396" i="5"/>
  <c r="AC396" i="5"/>
  <c r="AA62" i="3" s="1"/>
  <c r="Q396" i="5"/>
  <c r="O396" i="5"/>
  <c r="AB396" i="5"/>
  <c r="AA396" i="5"/>
  <c r="P396" i="5"/>
  <c r="Z408" i="5"/>
  <c r="N408" i="5"/>
  <c r="Y408" i="5"/>
  <c r="M408" i="5"/>
  <c r="X408" i="5"/>
  <c r="L408" i="5"/>
  <c r="W408" i="5"/>
  <c r="K408" i="5"/>
  <c r="V408" i="5"/>
  <c r="J408" i="5"/>
  <c r="U408" i="5"/>
  <c r="I408" i="5"/>
  <c r="T408" i="5"/>
  <c r="H408" i="5"/>
  <c r="S408" i="5"/>
  <c r="G408" i="5"/>
  <c r="R408" i="5"/>
  <c r="F408" i="5"/>
  <c r="AC408" i="5"/>
  <c r="Q408" i="5"/>
  <c r="AB408" i="5"/>
  <c r="P408" i="5"/>
  <c r="AA408" i="5"/>
  <c r="O408" i="5"/>
  <c r="Z420" i="5"/>
  <c r="N420" i="5"/>
  <c r="Y420" i="5"/>
  <c r="M420" i="5"/>
  <c r="X420" i="5"/>
  <c r="L420" i="5"/>
  <c r="W420" i="5"/>
  <c r="K420" i="5"/>
  <c r="V420" i="5"/>
  <c r="J420" i="5"/>
  <c r="S420" i="5"/>
  <c r="R420" i="5"/>
  <c r="Q420" i="5"/>
  <c r="P420" i="5"/>
  <c r="O420" i="5"/>
  <c r="I420" i="5"/>
  <c r="H420" i="5"/>
  <c r="AC420" i="5"/>
  <c r="G420" i="5"/>
  <c r="AB420" i="5"/>
  <c r="F420" i="5"/>
  <c r="AA420" i="5"/>
  <c r="U420" i="5"/>
  <c r="T420" i="5"/>
  <c r="Z432" i="5"/>
  <c r="N432" i="5"/>
  <c r="Y432" i="5"/>
  <c r="M432" i="5"/>
  <c r="X432" i="5"/>
  <c r="L432" i="5"/>
  <c r="W432" i="5"/>
  <c r="K432" i="5"/>
  <c r="V432" i="5"/>
  <c r="J432" i="5"/>
  <c r="U432" i="5"/>
  <c r="I432" i="5"/>
  <c r="T432" i="5"/>
  <c r="H432" i="5"/>
  <c r="R432" i="5"/>
  <c r="F432" i="5"/>
  <c r="AC432" i="5"/>
  <c r="Q432" i="5"/>
  <c r="AB432" i="5"/>
  <c r="AA432" i="5"/>
  <c r="S432" i="5"/>
  <c r="P432" i="5"/>
  <c r="O432" i="5"/>
  <c r="G432" i="5"/>
  <c r="Z444" i="5"/>
  <c r="N444" i="5"/>
  <c r="Y444" i="5"/>
  <c r="M444" i="5"/>
  <c r="X444" i="5"/>
  <c r="V122" i="3" s="1"/>
  <c r="L444" i="5"/>
  <c r="W444" i="5"/>
  <c r="K444" i="5"/>
  <c r="V444" i="5"/>
  <c r="T122" i="3" s="1"/>
  <c r="J444" i="5"/>
  <c r="U444" i="5"/>
  <c r="I444" i="5"/>
  <c r="T444" i="5"/>
  <c r="R122" i="3" s="1"/>
  <c r="H444" i="5"/>
  <c r="S444" i="5"/>
  <c r="Q122" i="3" s="1"/>
  <c r="G444" i="5"/>
  <c r="R444" i="5"/>
  <c r="F444" i="5"/>
  <c r="AC444" i="5"/>
  <c r="AA122" i="3" s="1"/>
  <c r="Q444" i="5"/>
  <c r="AB444" i="5"/>
  <c r="Z122" i="3" s="1"/>
  <c r="P444" i="5"/>
  <c r="AA444" i="5"/>
  <c r="O444" i="5"/>
  <c r="AA456" i="5"/>
  <c r="O456" i="5"/>
  <c r="Z456" i="5"/>
  <c r="N456" i="5"/>
  <c r="Y456" i="5"/>
  <c r="W126" i="3" s="1"/>
  <c r="M456" i="5"/>
  <c r="X456" i="5"/>
  <c r="L456" i="5"/>
  <c r="W456" i="5"/>
  <c r="K456" i="5"/>
  <c r="V456" i="5"/>
  <c r="AC456" i="5"/>
  <c r="F456" i="5"/>
  <c r="AB456" i="5"/>
  <c r="U456" i="5"/>
  <c r="S126" i="3" s="1"/>
  <c r="T456" i="5"/>
  <c r="R126" i="3" s="1"/>
  <c r="S456" i="5"/>
  <c r="R456" i="5"/>
  <c r="Q456" i="5"/>
  <c r="P456" i="5"/>
  <c r="J456" i="5"/>
  <c r="I456" i="5"/>
  <c r="H456" i="5"/>
  <c r="G456" i="5"/>
  <c r="AA468" i="5"/>
  <c r="O468" i="5"/>
  <c r="Z468" i="5"/>
  <c r="N468" i="5"/>
  <c r="Y468" i="5"/>
  <c r="M468" i="5"/>
  <c r="X468" i="5"/>
  <c r="L468" i="5"/>
  <c r="W468" i="5"/>
  <c r="K468" i="5"/>
  <c r="V468" i="5"/>
  <c r="J468" i="5"/>
  <c r="U468" i="5"/>
  <c r="I468" i="5"/>
  <c r="T468" i="5"/>
  <c r="H468" i="5"/>
  <c r="S468" i="5"/>
  <c r="G468" i="5"/>
  <c r="R468" i="5"/>
  <c r="F468" i="5"/>
  <c r="AC468" i="5"/>
  <c r="Q468" i="5"/>
  <c r="AB468" i="5"/>
  <c r="P468" i="5"/>
  <c r="AA480" i="5"/>
  <c r="O480" i="5"/>
  <c r="Z480" i="5"/>
  <c r="N480" i="5"/>
  <c r="Y480" i="5"/>
  <c r="W66" i="3" s="1"/>
  <c r="M480" i="5"/>
  <c r="X480" i="5"/>
  <c r="L480" i="5"/>
  <c r="W480" i="5"/>
  <c r="U66" i="3" s="1"/>
  <c r="K480" i="5"/>
  <c r="V480" i="5"/>
  <c r="J480" i="5"/>
  <c r="U480" i="5"/>
  <c r="S66" i="3" s="1"/>
  <c r="I480" i="5"/>
  <c r="T480" i="5"/>
  <c r="H480" i="5"/>
  <c r="S480" i="5"/>
  <c r="G480" i="5"/>
  <c r="R480" i="5"/>
  <c r="F480" i="5"/>
  <c r="AC480" i="5"/>
  <c r="Q480" i="5"/>
  <c r="AB480" i="5"/>
  <c r="P480" i="5"/>
  <c r="T492" i="5"/>
  <c r="R74" i="3" s="1"/>
  <c r="H492" i="5"/>
  <c r="S492" i="5"/>
  <c r="G492" i="5"/>
  <c r="R492" i="5"/>
  <c r="P74" i="3" s="1"/>
  <c r="F492" i="5"/>
  <c r="AC492" i="5"/>
  <c r="AA74" i="3" s="1"/>
  <c r="Q492" i="5"/>
  <c r="P492" i="5"/>
  <c r="O492" i="5"/>
  <c r="N492" i="5"/>
  <c r="M492" i="5"/>
  <c r="AB492" i="5"/>
  <c r="L492" i="5"/>
  <c r="AA492" i="5"/>
  <c r="K492" i="5"/>
  <c r="Z492" i="5"/>
  <c r="J492" i="5"/>
  <c r="Y492" i="5"/>
  <c r="W74" i="3" s="1"/>
  <c r="I492" i="5"/>
  <c r="X492" i="5"/>
  <c r="W492" i="5"/>
  <c r="U74" i="3" s="1"/>
  <c r="V492" i="5"/>
  <c r="U492" i="5"/>
  <c r="T504" i="5"/>
  <c r="R194" i="3" s="1"/>
  <c r="H504" i="5"/>
  <c r="F194" i="3" s="1"/>
  <c r="S504" i="5"/>
  <c r="Q194" i="3" s="1"/>
  <c r="G504" i="5"/>
  <c r="E194" i="3" s="1"/>
  <c r="R504" i="5"/>
  <c r="P194" i="3" s="1"/>
  <c r="F504" i="5"/>
  <c r="D194" i="3" s="1"/>
  <c r="AC504" i="5"/>
  <c r="AA194" i="3" s="1"/>
  <c r="Q504" i="5"/>
  <c r="O194" i="3" s="1"/>
  <c r="AB504" i="5"/>
  <c r="Z194" i="3" s="1"/>
  <c r="P504" i="5"/>
  <c r="N194" i="3" s="1"/>
  <c r="AA504" i="5"/>
  <c r="Y194" i="3" s="1"/>
  <c r="O504" i="5"/>
  <c r="M194" i="3" s="1"/>
  <c r="Z504" i="5"/>
  <c r="X194" i="3" s="1"/>
  <c r="Y504" i="5"/>
  <c r="W194" i="3" s="1"/>
  <c r="M504" i="5"/>
  <c r="K194" i="3" s="1"/>
  <c r="X504" i="5"/>
  <c r="V194" i="3" s="1"/>
  <c r="L504" i="5"/>
  <c r="J194" i="3" s="1"/>
  <c r="W504" i="5"/>
  <c r="U194" i="3" s="1"/>
  <c r="K504" i="5"/>
  <c r="I194" i="3" s="1"/>
  <c r="V504" i="5"/>
  <c r="T194" i="3" s="1"/>
  <c r="U504" i="5"/>
  <c r="S194" i="3" s="1"/>
  <c r="N504" i="5"/>
  <c r="L194" i="3" s="1"/>
  <c r="J504" i="5"/>
  <c r="H194" i="3" s="1"/>
  <c r="I504" i="5"/>
  <c r="G194" i="3" s="1"/>
  <c r="T516" i="5"/>
  <c r="H516" i="5"/>
  <c r="S516" i="5"/>
  <c r="G516" i="5"/>
  <c r="R516" i="5"/>
  <c r="F516" i="5"/>
  <c r="AA516" i="5"/>
  <c r="L516" i="5"/>
  <c r="Z516" i="5"/>
  <c r="K516" i="5"/>
  <c r="Y516" i="5"/>
  <c r="J516" i="5"/>
  <c r="X516" i="5"/>
  <c r="I516" i="5"/>
  <c r="W516" i="5"/>
  <c r="V516" i="5"/>
  <c r="U516" i="5"/>
  <c r="Q516" i="5"/>
  <c r="P516" i="5"/>
  <c r="O516" i="5"/>
  <c r="AC516" i="5"/>
  <c r="N516" i="5"/>
  <c r="AB516" i="5"/>
  <c r="M516" i="5"/>
  <c r="T528" i="5"/>
  <c r="H528" i="5"/>
  <c r="S528" i="5"/>
  <c r="G528" i="5"/>
  <c r="R528" i="5"/>
  <c r="F528" i="5"/>
  <c r="U528" i="5"/>
  <c r="I528" i="5"/>
  <c r="W528" i="5"/>
  <c r="V528" i="5"/>
  <c r="Q528" i="5"/>
  <c r="Z528" i="5"/>
  <c r="J528" i="5"/>
  <c r="Y528" i="5"/>
  <c r="X528" i="5"/>
  <c r="M528" i="5"/>
  <c r="L528" i="5"/>
  <c r="K528" i="5"/>
  <c r="AC528" i="5"/>
  <c r="AB528" i="5"/>
  <c r="AA528" i="5"/>
  <c r="P528" i="5"/>
  <c r="O528" i="5"/>
  <c r="N528" i="5"/>
  <c r="T540" i="5"/>
  <c r="H540" i="5"/>
  <c r="S540" i="5"/>
  <c r="G540" i="5"/>
  <c r="R540" i="5"/>
  <c r="F540" i="5"/>
  <c r="U540" i="5"/>
  <c r="I540" i="5"/>
  <c r="W540" i="5"/>
  <c r="V540" i="5"/>
  <c r="Q540" i="5"/>
  <c r="Z540" i="5"/>
  <c r="J540" i="5"/>
  <c r="Y540" i="5"/>
  <c r="X540" i="5"/>
  <c r="M540" i="5"/>
  <c r="L540" i="5"/>
  <c r="K540" i="5"/>
  <c r="AC540" i="5"/>
  <c r="AB540" i="5"/>
  <c r="AA540" i="5"/>
  <c r="P540" i="5"/>
  <c r="O540" i="5"/>
  <c r="N540" i="5"/>
  <c r="T552" i="5"/>
  <c r="R164" i="3" s="1"/>
  <c r="H552" i="5"/>
  <c r="F164" i="3" s="1"/>
  <c r="S552" i="5"/>
  <c r="Q164" i="3" s="1"/>
  <c r="G552" i="5"/>
  <c r="E164" i="3" s="1"/>
  <c r="R552" i="5"/>
  <c r="P164" i="3" s="1"/>
  <c r="F552" i="5"/>
  <c r="D164" i="3" s="1"/>
  <c r="V552" i="5"/>
  <c r="T164" i="3" s="1"/>
  <c r="J552" i="5"/>
  <c r="H164" i="3" s="1"/>
  <c r="U552" i="5"/>
  <c r="S164" i="3" s="1"/>
  <c r="I552" i="5"/>
  <c r="G164" i="3" s="1"/>
  <c r="Q552" i="5"/>
  <c r="O164" i="3" s="1"/>
  <c r="P552" i="5"/>
  <c r="N164" i="3" s="1"/>
  <c r="O552" i="5"/>
  <c r="M164" i="3" s="1"/>
  <c r="Y552" i="5"/>
  <c r="W164" i="3" s="1"/>
  <c r="X552" i="5"/>
  <c r="V164" i="3" s="1"/>
  <c r="W552" i="5"/>
  <c r="U164" i="3" s="1"/>
  <c r="AB552" i="5"/>
  <c r="Z164" i="3" s="1"/>
  <c r="AA552" i="5"/>
  <c r="Y164" i="3" s="1"/>
  <c r="Z552" i="5"/>
  <c r="X164" i="3" s="1"/>
  <c r="N552" i="5"/>
  <c r="L164" i="3" s="1"/>
  <c r="M552" i="5"/>
  <c r="K164" i="3" s="1"/>
  <c r="L552" i="5"/>
  <c r="J164" i="3" s="1"/>
  <c r="K552" i="5"/>
  <c r="I164" i="3" s="1"/>
  <c r="AC552" i="5"/>
  <c r="AA164" i="3" s="1"/>
  <c r="T564" i="5"/>
  <c r="R76" i="3" s="1"/>
  <c r="H564" i="5"/>
  <c r="S564" i="5"/>
  <c r="G564" i="5"/>
  <c r="R564" i="5"/>
  <c r="F564" i="5"/>
  <c r="V564" i="5"/>
  <c r="T76" i="3" s="1"/>
  <c r="J564" i="5"/>
  <c r="U564" i="5"/>
  <c r="I564" i="5"/>
  <c r="Q564" i="5"/>
  <c r="P564" i="5"/>
  <c r="O564" i="5"/>
  <c r="Y564" i="5"/>
  <c r="W76" i="3" s="1"/>
  <c r="X564" i="5"/>
  <c r="V76" i="3" s="1"/>
  <c r="W564" i="5"/>
  <c r="U76" i="3" s="1"/>
  <c r="AB564" i="5"/>
  <c r="AA564" i="5"/>
  <c r="Z564" i="5"/>
  <c r="N564" i="5"/>
  <c r="M564" i="5"/>
  <c r="L564" i="5"/>
  <c r="K564" i="5"/>
  <c r="AC564" i="5"/>
  <c r="Z4" i="5"/>
  <c r="N4" i="5"/>
  <c r="H4" i="5"/>
  <c r="S4" i="5"/>
  <c r="Y4" i="5"/>
  <c r="M4" i="5"/>
  <c r="J4" i="5"/>
  <c r="T4" i="5"/>
  <c r="R6" i="4" s="1"/>
  <c r="X4" i="5"/>
  <c r="L4" i="5"/>
  <c r="V4" i="5"/>
  <c r="U4" i="5"/>
  <c r="W4" i="5"/>
  <c r="U6" i="4" s="1"/>
  <c r="K4" i="5"/>
  <c r="F4" i="5"/>
  <c r="AA4" i="5"/>
  <c r="AC4" i="5"/>
  <c r="AB4" i="5"/>
  <c r="O4" i="5"/>
  <c r="I4" i="5"/>
  <c r="G4" i="5"/>
  <c r="Q4" i="5"/>
  <c r="R4" i="5"/>
  <c r="P4" i="5"/>
  <c r="Z23" i="5"/>
  <c r="N23" i="5"/>
  <c r="Y23" i="5"/>
  <c r="W155" i="4" s="1"/>
  <c r="M23" i="5"/>
  <c r="X23" i="5"/>
  <c r="L23" i="5"/>
  <c r="W23" i="5"/>
  <c r="U155" i="4" s="1"/>
  <c r="K23" i="5"/>
  <c r="V23" i="5"/>
  <c r="T155" i="4" s="1"/>
  <c r="J23" i="5"/>
  <c r="U23" i="5"/>
  <c r="I23" i="5"/>
  <c r="T23" i="5"/>
  <c r="H23" i="5"/>
  <c r="S23" i="5"/>
  <c r="G23" i="5"/>
  <c r="R23" i="5"/>
  <c r="F23" i="5"/>
  <c r="AC23" i="5"/>
  <c r="AA155" i="4" s="1"/>
  <c r="Q23" i="5"/>
  <c r="AB23" i="5"/>
  <c r="Z155" i="4" s="1"/>
  <c r="P23" i="5"/>
  <c r="AA23" i="5"/>
  <c r="O23" i="5"/>
  <c r="Z35" i="5"/>
  <c r="N35" i="5"/>
  <c r="Y35" i="5"/>
  <c r="W19" i="4" s="1"/>
  <c r="M35" i="5"/>
  <c r="X35" i="5"/>
  <c r="L35" i="5"/>
  <c r="W35" i="5"/>
  <c r="K35" i="5"/>
  <c r="V35" i="5"/>
  <c r="T19" i="4" s="1"/>
  <c r="J35" i="5"/>
  <c r="U35" i="5"/>
  <c r="I35" i="5"/>
  <c r="T35" i="5"/>
  <c r="R19" i="4" s="1"/>
  <c r="H35" i="5"/>
  <c r="S35" i="5"/>
  <c r="G35" i="5"/>
  <c r="R35" i="5"/>
  <c r="P19" i="4" s="1"/>
  <c r="F35" i="5"/>
  <c r="AC35" i="5"/>
  <c r="Q35" i="5"/>
  <c r="AB35" i="5"/>
  <c r="Z19" i="4" s="1"/>
  <c r="P35" i="5"/>
  <c r="AA35" i="5"/>
  <c r="Y19" i="4" s="1"/>
  <c r="O35" i="5"/>
  <c r="Z47" i="5"/>
  <c r="N47" i="5"/>
  <c r="Y47" i="5"/>
  <c r="W27" i="4" s="1"/>
  <c r="M47" i="5"/>
  <c r="X47" i="5"/>
  <c r="L47" i="5"/>
  <c r="W47" i="5"/>
  <c r="K47" i="5"/>
  <c r="V47" i="5"/>
  <c r="J47" i="5"/>
  <c r="U47" i="5"/>
  <c r="I47" i="5"/>
  <c r="T47" i="5"/>
  <c r="R27" i="4" s="1"/>
  <c r="H47" i="5"/>
  <c r="S47" i="5"/>
  <c r="G47" i="5"/>
  <c r="R47" i="5"/>
  <c r="P27" i="4" s="1"/>
  <c r="F47" i="5"/>
  <c r="AC47" i="5"/>
  <c r="Q47" i="5"/>
  <c r="AB47" i="5"/>
  <c r="Z27" i="4" s="1"/>
  <c r="P47" i="5"/>
  <c r="AA47" i="5"/>
  <c r="O47" i="5"/>
  <c r="Z59" i="5"/>
  <c r="N59" i="5"/>
  <c r="Y59" i="5"/>
  <c r="W35" i="4" s="1"/>
  <c r="M59" i="5"/>
  <c r="X59" i="5"/>
  <c r="L59" i="5"/>
  <c r="W59" i="5"/>
  <c r="K59" i="5"/>
  <c r="V59" i="5"/>
  <c r="T35" i="4" s="1"/>
  <c r="J59" i="5"/>
  <c r="U59" i="5"/>
  <c r="I59" i="5"/>
  <c r="T59" i="5"/>
  <c r="H59" i="5"/>
  <c r="S59" i="5"/>
  <c r="G59" i="5"/>
  <c r="R59" i="5"/>
  <c r="P35" i="4" s="1"/>
  <c r="F59" i="5"/>
  <c r="AC59" i="5"/>
  <c r="Q59" i="5"/>
  <c r="AB59" i="5"/>
  <c r="Z35" i="4" s="1"/>
  <c r="P59" i="5"/>
  <c r="AA59" i="5"/>
  <c r="O59" i="5"/>
  <c r="Z71" i="5"/>
  <c r="N71" i="5"/>
  <c r="Y71" i="5"/>
  <c r="M71" i="5"/>
  <c r="X71" i="5"/>
  <c r="L71" i="5"/>
  <c r="W71" i="5"/>
  <c r="K71" i="5"/>
  <c r="V71" i="5"/>
  <c r="J71" i="5"/>
  <c r="U71" i="5"/>
  <c r="I71" i="5"/>
  <c r="T71" i="5"/>
  <c r="H71" i="5"/>
  <c r="S71" i="5"/>
  <c r="G71" i="5"/>
  <c r="R71" i="5"/>
  <c r="F71" i="5"/>
  <c r="AC71" i="5"/>
  <c r="Q71" i="5"/>
  <c r="AB71" i="5"/>
  <c r="P71" i="5"/>
  <c r="AA71" i="5"/>
  <c r="O71" i="5"/>
  <c r="Z83" i="5"/>
  <c r="N83" i="5"/>
  <c r="Y83" i="5"/>
  <c r="M83" i="5"/>
  <c r="X83" i="5"/>
  <c r="L83" i="5"/>
  <c r="W83" i="5"/>
  <c r="K83" i="5"/>
  <c r="V83" i="5"/>
  <c r="J83" i="5"/>
  <c r="U83" i="5"/>
  <c r="I83" i="5"/>
  <c r="T83" i="5"/>
  <c r="H83" i="5"/>
  <c r="S83" i="5"/>
  <c r="G83" i="5"/>
  <c r="R83" i="5"/>
  <c r="F83" i="5"/>
  <c r="AC83" i="5"/>
  <c r="Q83" i="5"/>
  <c r="AB83" i="5"/>
  <c r="P83" i="5"/>
  <c r="AA83" i="5"/>
  <c r="O83" i="5"/>
  <c r="Z95" i="5"/>
  <c r="N95" i="5"/>
  <c r="Y95" i="5"/>
  <c r="M95" i="5"/>
  <c r="X95" i="5"/>
  <c r="L95" i="5"/>
  <c r="W95" i="5"/>
  <c r="K95" i="5"/>
  <c r="V95" i="5"/>
  <c r="J95" i="5"/>
  <c r="U95" i="5"/>
  <c r="I95" i="5"/>
  <c r="T95" i="5"/>
  <c r="H95" i="5"/>
  <c r="S95" i="5"/>
  <c r="G95" i="5"/>
  <c r="R95" i="5"/>
  <c r="F95" i="5"/>
  <c r="AC95" i="5"/>
  <c r="Q95" i="5"/>
  <c r="AB95" i="5"/>
  <c r="P95" i="5"/>
  <c r="AA95" i="5"/>
  <c r="O95" i="5"/>
  <c r="Z107" i="5"/>
  <c r="N107" i="5"/>
  <c r="Y107" i="5"/>
  <c r="M107" i="5"/>
  <c r="X107" i="5"/>
  <c r="L107" i="5"/>
  <c r="W107" i="5"/>
  <c r="K107" i="5"/>
  <c r="V107" i="5"/>
  <c r="J107" i="5"/>
  <c r="U107" i="5"/>
  <c r="I107" i="5"/>
  <c r="T107" i="5"/>
  <c r="H107" i="5"/>
  <c r="S107" i="5"/>
  <c r="G107" i="5"/>
  <c r="R107" i="5"/>
  <c r="F107" i="5"/>
  <c r="AC107" i="5"/>
  <c r="Q107" i="5"/>
  <c r="AB107" i="5"/>
  <c r="P107" i="5"/>
  <c r="AA107" i="5"/>
  <c r="O107" i="5"/>
  <c r="AC119" i="5"/>
  <c r="AA54" i="4" s="1"/>
  <c r="Q119" i="5"/>
  <c r="AB119" i="5"/>
  <c r="Z54" i="4" s="1"/>
  <c r="P119" i="5"/>
  <c r="AA119" i="5"/>
  <c r="O119" i="5"/>
  <c r="Z119" i="5"/>
  <c r="N119" i="5"/>
  <c r="Y119" i="5"/>
  <c r="M119" i="5"/>
  <c r="X119" i="5"/>
  <c r="V54" i="4" s="1"/>
  <c r="L119" i="5"/>
  <c r="W119" i="5"/>
  <c r="U54" i="4" s="1"/>
  <c r="K119" i="5"/>
  <c r="V119" i="5"/>
  <c r="T54" i="4" s="1"/>
  <c r="J119" i="5"/>
  <c r="U119" i="5"/>
  <c r="I119" i="5"/>
  <c r="T119" i="5"/>
  <c r="R54" i="4" s="1"/>
  <c r="H119" i="5"/>
  <c r="S119" i="5"/>
  <c r="G119" i="5"/>
  <c r="R119" i="5"/>
  <c r="F119" i="5"/>
  <c r="AC131" i="5"/>
  <c r="Q131" i="5"/>
  <c r="AB131" i="5"/>
  <c r="P131" i="5"/>
  <c r="AA131" i="5"/>
  <c r="O131" i="5"/>
  <c r="Z131" i="5"/>
  <c r="N131" i="5"/>
  <c r="Y131" i="5"/>
  <c r="M131" i="5"/>
  <c r="X131" i="5"/>
  <c r="L131" i="5"/>
  <c r="W131" i="5"/>
  <c r="K131" i="5"/>
  <c r="V131" i="5"/>
  <c r="J131" i="5"/>
  <c r="U131" i="5"/>
  <c r="I131" i="5"/>
  <c r="T131" i="5"/>
  <c r="H131" i="5"/>
  <c r="S131" i="5"/>
  <c r="G131" i="5"/>
  <c r="R131" i="5"/>
  <c r="F131" i="5"/>
  <c r="AC143" i="5"/>
  <c r="Q143" i="5"/>
  <c r="AB143" i="5"/>
  <c r="P143" i="5"/>
  <c r="AA143" i="5"/>
  <c r="O143" i="5"/>
  <c r="Z143" i="5"/>
  <c r="N143" i="5"/>
  <c r="Y143" i="5"/>
  <c r="M143" i="5"/>
  <c r="X143" i="5"/>
  <c r="L143" i="5"/>
  <c r="W143" i="5"/>
  <c r="K143" i="5"/>
  <c r="V143" i="5"/>
  <c r="J143" i="5"/>
  <c r="U143" i="5"/>
  <c r="I143" i="5"/>
  <c r="T143" i="5"/>
  <c r="H143" i="5"/>
  <c r="S143" i="5"/>
  <c r="G143" i="5"/>
  <c r="R143" i="5"/>
  <c r="F143" i="5"/>
  <c r="AC155" i="5"/>
  <c r="Q155" i="5"/>
  <c r="AB155" i="5"/>
  <c r="P155" i="5"/>
  <c r="AA155" i="5"/>
  <c r="O155" i="5"/>
  <c r="Z155" i="5"/>
  <c r="N155" i="5"/>
  <c r="Y155" i="5"/>
  <c r="M155" i="5"/>
  <c r="X155" i="5"/>
  <c r="L155" i="5"/>
  <c r="W155" i="5"/>
  <c r="K155" i="5"/>
  <c r="V155" i="5"/>
  <c r="J155" i="5"/>
  <c r="U155" i="5"/>
  <c r="I155" i="5"/>
  <c r="T155" i="5"/>
  <c r="H155" i="5"/>
  <c r="S155" i="5"/>
  <c r="G155" i="5"/>
  <c r="R155" i="5"/>
  <c r="F155" i="5"/>
  <c r="X167" i="5"/>
  <c r="V74" i="4" s="1"/>
  <c r="L167" i="5"/>
  <c r="W167" i="5"/>
  <c r="U74" i="4" s="1"/>
  <c r="K167" i="5"/>
  <c r="V167" i="5"/>
  <c r="J167" i="5"/>
  <c r="U167" i="5"/>
  <c r="S74" i="4" s="1"/>
  <c r="I167" i="5"/>
  <c r="T167" i="5"/>
  <c r="H167" i="5"/>
  <c r="S167" i="5"/>
  <c r="G167" i="5"/>
  <c r="R167" i="5"/>
  <c r="P74" i="4" s="1"/>
  <c r="F167" i="5"/>
  <c r="AC167" i="5"/>
  <c r="AA74" i="4" s="1"/>
  <c r="Q167" i="5"/>
  <c r="AB167" i="5"/>
  <c r="Z74" i="4" s="1"/>
  <c r="AA167" i="5"/>
  <c r="O167" i="5"/>
  <c r="Z167" i="5"/>
  <c r="N167" i="5"/>
  <c r="Y167" i="5"/>
  <c r="P167" i="5"/>
  <c r="M167" i="5"/>
  <c r="X179" i="5"/>
  <c r="L179" i="5"/>
  <c r="W179" i="5"/>
  <c r="K179" i="5"/>
  <c r="V179" i="5"/>
  <c r="J179" i="5"/>
  <c r="U179" i="5"/>
  <c r="I179" i="5"/>
  <c r="T179" i="5"/>
  <c r="H179" i="5"/>
  <c r="S179" i="5"/>
  <c r="G179" i="5"/>
  <c r="R179" i="5"/>
  <c r="F179" i="5"/>
  <c r="AC179" i="5"/>
  <c r="Q179" i="5"/>
  <c r="AB179" i="5"/>
  <c r="P179" i="5"/>
  <c r="AA179" i="5"/>
  <c r="O179" i="5"/>
  <c r="Z179" i="5"/>
  <c r="N179" i="5"/>
  <c r="Y179" i="5"/>
  <c r="M179" i="5"/>
  <c r="X191" i="5"/>
  <c r="L191" i="5"/>
  <c r="W191" i="5"/>
  <c r="K191" i="5"/>
  <c r="V191" i="5"/>
  <c r="J191" i="5"/>
  <c r="U191" i="5"/>
  <c r="I191" i="5"/>
  <c r="T191" i="5"/>
  <c r="H191" i="5"/>
  <c r="S191" i="5"/>
  <c r="G191" i="5"/>
  <c r="R191" i="5"/>
  <c r="F191" i="5"/>
  <c r="AC191" i="5"/>
  <c r="Q191" i="5"/>
  <c r="AB191" i="5"/>
  <c r="P191" i="5"/>
  <c r="AA191" i="5"/>
  <c r="O191" i="5"/>
  <c r="Z191" i="5"/>
  <c r="N191" i="5"/>
  <c r="Y191" i="5"/>
  <c r="M191" i="5"/>
  <c r="X203" i="5"/>
  <c r="V125" i="4" s="1"/>
  <c r="L203" i="5"/>
  <c r="W203" i="5"/>
  <c r="K203" i="5"/>
  <c r="V203" i="5"/>
  <c r="J203" i="5"/>
  <c r="U203" i="5"/>
  <c r="S125" i="4" s="1"/>
  <c r="I203" i="5"/>
  <c r="T203" i="5"/>
  <c r="R125" i="4" s="1"/>
  <c r="H203" i="5"/>
  <c r="S203" i="5"/>
  <c r="Q125" i="4" s="1"/>
  <c r="G203" i="5"/>
  <c r="R203" i="5"/>
  <c r="F203" i="5"/>
  <c r="AC203" i="5"/>
  <c r="AA125" i="4" s="1"/>
  <c r="Q203" i="5"/>
  <c r="AB203" i="5"/>
  <c r="Z125" i="4" s="1"/>
  <c r="P203" i="5"/>
  <c r="AA203" i="5"/>
  <c r="O203" i="5"/>
  <c r="Z203" i="5"/>
  <c r="N203" i="5"/>
  <c r="Y203" i="5"/>
  <c r="M203" i="5"/>
  <c r="T215" i="5"/>
  <c r="R108" i="4" s="1"/>
  <c r="H215" i="5"/>
  <c r="S215" i="5"/>
  <c r="G215" i="5"/>
  <c r="R215" i="5"/>
  <c r="P108" i="4" s="1"/>
  <c r="F215" i="5"/>
  <c r="AC215" i="5"/>
  <c r="AA108" i="4" s="1"/>
  <c r="Q215" i="5"/>
  <c r="AB215" i="5"/>
  <c r="Z108" i="4" s="1"/>
  <c r="P215" i="5"/>
  <c r="AA215" i="5"/>
  <c r="O215" i="5"/>
  <c r="Z215" i="5"/>
  <c r="N215" i="5"/>
  <c r="Y215" i="5"/>
  <c r="W108" i="4" s="1"/>
  <c r="M215" i="5"/>
  <c r="W215" i="5"/>
  <c r="U108" i="4" s="1"/>
  <c r="K215" i="5"/>
  <c r="V215" i="5"/>
  <c r="X215" i="5"/>
  <c r="U215" i="5"/>
  <c r="S108" i="4" s="1"/>
  <c r="L215" i="5"/>
  <c r="J215" i="5"/>
  <c r="I215" i="5"/>
  <c r="T227" i="5"/>
  <c r="H227" i="5"/>
  <c r="S227" i="5"/>
  <c r="G227" i="5"/>
  <c r="R227" i="5"/>
  <c r="F227" i="5"/>
  <c r="AC227" i="5"/>
  <c r="Q227" i="5"/>
  <c r="AB227" i="5"/>
  <c r="P227" i="5"/>
  <c r="AA227" i="5"/>
  <c r="O227" i="5"/>
  <c r="Z227" i="5"/>
  <c r="N227" i="5"/>
  <c r="Y227" i="5"/>
  <c r="M227" i="5"/>
  <c r="X227" i="5"/>
  <c r="L227" i="5"/>
  <c r="W227" i="5"/>
  <c r="K227" i="5"/>
  <c r="V227" i="5"/>
  <c r="J227" i="5"/>
  <c r="U227" i="5"/>
  <c r="I227" i="5"/>
  <c r="T239" i="5"/>
  <c r="H239" i="5"/>
  <c r="S239" i="5"/>
  <c r="G239" i="5"/>
  <c r="R239" i="5"/>
  <c r="F239" i="5"/>
  <c r="AC239" i="5"/>
  <c r="Q239" i="5"/>
  <c r="AB239" i="5"/>
  <c r="P239" i="5"/>
  <c r="AA239" i="5"/>
  <c r="O239" i="5"/>
  <c r="Z239" i="5"/>
  <c r="N239" i="5"/>
  <c r="Y239" i="5"/>
  <c r="M239" i="5"/>
  <c r="X239" i="5"/>
  <c r="L239" i="5"/>
  <c r="W239" i="5"/>
  <c r="K239" i="5"/>
  <c r="V239" i="5"/>
  <c r="J239" i="5"/>
  <c r="U239" i="5"/>
  <c r="I239" i="5"/>
  <c r="T252" i="5"/>
  <c r="H252" i="5"/>
  <c r="S252" i="5"/>
  <c r="G252" i="5"/>
  <c r="R252" i="5"/>
  <c r="F252" i="5"/>
  <c r="AC252" i="5"/>
  <c r="Q252" i="5"/>
  <c r="AB252" i="5"/>
  <c r="P252" i="5"/>
  <c r="AA252" i="5"/>
  <c r="O252" i="5"/>
  <c r="Z252" i="5"/>
  <c r="N252" i="5"/>
  <c r="Y252" i="5"/>
  <c r="M252" i="5"/>
  <c r="X252" i="5"/>
  <c r="L252" i="5"/>
  <c r="W252" i="5"/>
  <c r="K252" i="5"/>
  <c r="V252" i="5"/>
  <c r="J252" i="5"/>
  <c r="U252" i="5"/>
  <c r="I252" i="5"/>
  <c r="S264" i="5"/>
  <c r="G264" i="5"/>
  <c r="R264" i="5"/>
  <c r="P209" i="4" s="1"/>
  <c r="F264" i="5"/>
  <c r="AC264" i="5"/>
  <c r="AA209" i="4" s="1"/>
  <c r="Q264" i="5"/>
  <c r="AB264" i="5"/>
  <c r="Z209" i="4" s="1"/>
  <c r="P264" i="5"/>
  <c r="AA264" i="5"/>
  <c r="Y209" i="4" s="1"/>
  <c r="O264" i="5"/>
  <c r="Z264" i="5"/>
  <c r="X209" i="4" s="1"/>
  <c r="N264" i="5"/>
  <c r="Y264" i="5"/>
  <c r="M264" i="5"/>
  <c r="X264" i="5"/>
  <c r="V209" i="4" s="1"/>
  <c r="L264" i="5"/>
  <c r="W264" i="5"/>
  <c r="K264" i="5"/>
  <c r="V264" i="5"/>
  <c r="J264" i="5"/>
  <c r="U264" i="5"/>
  <c r="I264" i="5"/>
  <c r="T264" i="5"/>
  <c r="R209" i="4" s="1"/>
  <c r="H264" i="5"/>
  <c r="S276" i="5"/>
  <c r="G276" i="5"/>
  <c r="R276" i="5"/>
  <c r="F276" i="5"/>
  <c r="AC276" i="5"/>
  <c r="AA219" i="4" s="1"/>
  <c r="Q276" i="5"/>
  <c r="AB276" i="5"/>
  <c r="Z219" i="4" s="1"/>
  <c r="P276" i="5"/>
  <c r="AA276" i="5"/>
  <c r="Y219" i="4" s="1"/>
  <c r="O276" i="5"/>
  <c r="Z276" i="5"/>
  <c r="X219" i="4" s="1"/>
  <c r="N276" i="5"/>
  <c r="Y276" i="5"/>
  <c r="W219" i="4" s="1"/>
  <c r="M276" i="5"/>
  <c r="X276" i="5"/>
  <c r="V219" i="4" s="1"/>
  <c r="L276" i="5"/>
  <c r="W276" i="5"/>
  <c r="U219" i="4" s="1"/>
  <c r="K276" i="5"/>
  <c r="V276" i="5"/>
  <c r="J276" i="5"/>
  <c r="U276" i="5"/>
  <c r="S219" i="4" s="1"/>
  <c r="I276" i="5"/>
  <c r="T276" i="5"/>
  <c r="H276" i="5"/>
  <c r="S288" i="5"/>
  <c r="G288" i="5"/>
  <c r="R288" i="5"/>
  <c r="F288" i="5"/>
  <c r="AC288" i="5"/>
  <c r="Q288" i="5"/>
  <c r="AB288" i="5"/>
  <c r="P288" i="5"/>
  <c r="AA288" i="5"/>
  <c r="O288" i="5"/>
  <c r="Z288" i="5"/>
  <c r="N288" i="5"/>
  <c r="Y288" i="5"/>
  <c r="M288" i="5"/>
  <c r="X288" i="5"/>
  <c r="L288" i="5"/>
  <c r="W288" i="5"/>
  <c r="K288" i="5"/>
  <c r="V288" i="5"/>
  <c r="J288" i="5"/>
  <c r="U288" i="5"/>
  <c r="I288" i="5"/>
  <c r="T288" i="5"/>
  <c r="H288" i="5"/>
  <c r="V300" i="5"/>
  <c r="J300" i="5"/>
  <c r="U300" i="5"/>
  <c r="I300" i="5"/>
  <c r="T300" i="5"/>
  <c r="H300" i="5"/>
  <c r="S300" i="5"/>
  <c r="G300" i="5"/>
  <c r="R300" i="5"/>
  <c r="F300" i="5"/>
  <c r="AC300" i="5"/>
  <c r="Q300" i="5"/>
  <c r="M300" i="5"/>
  <c r="L300" i="5"/>
  <c r="K300" i="5"/>
  <c r="AB300" i="5"/>
  <c r="AA300" i="5"/>
  <c r="Z300" i="5"/>
  <c r="Y300" i="5"/>
  <c r="X300" i="5"/>
  <c r="W300" i="5"/>
  <c r="P300" i="5"/>
  <c r="O300" i="5"/>
  <c r="N300" i="5"/>
  <c r="V312" i="5"/>
  <c r="J312" i="5"/>
  <c r="U312" i="5"/>
  <c r="I312" i="5"/>
  <c r="T312" i="5"/>
  <c r="H312" i="5"/>
  <c r="S312" i="5"/>
  <c r="G312" i="5"/>
  <c r="R312" i="5"/>
  <c r="F312" i="5"/>
  <c r="AC312" i="5"/>
  <c r="Q312" i="5"/>
  <c r="AB312" i="5"/>
  <c r="P312" i="5"/>
  <c r="AA312" i="5"/>
  <c r="O312" i="5"/>
  <c r="Z312" i="5"/>
  <c r="N312" i="5"/>
  <c r="Y312" i="5"/>
  <c r="M312" i="5"/>
  <c r="X312" i="5"/>
  <c r="L312" i="5"/>
  <c r="W312" i="5"/>
  <c r="K312" i="5"/>
  <c r="V324" i="5"/>
  <c r="J324" i="5"/>
  <c r="U324" i="5"/>
  <c r="I324" i="5"/>
  <c r="T324" i="5"/>
  <c r="H324" i="5"/>
  <c r="S324" i="5"/>
  <c r="G324" i="5"/>
  <c r="R324" i="5"/>
  <c r="F324" i="5"/>
  <c r="AC324" i="5"/>
  <c r="Q324" i="5"/>
  <c r="AB324" i="5"/>
  <c r="P324" i="5"/>
  <c r="AA324" i="5"/>
  <c r="O324" i="5"/>
  <c r="Z324" i="5"/>
  <c r="N324" i="5"/>
  <c r="Y324" i="5"/>
  <c r="M324" i="5"/>
  <c r="X324" i="5"/>
  <c r="L324" i="5"/>
  <c r="W324" i="5"/>
  <c r="K324" i="5"/>
  <c r="V337" i="5"/>
  <c r="J337" i="5"/>
  <c r="U337" i="5"/>
  <c r="I337" i="5"/>
  <c r="T337" i="5"/>
  <c r="H337" i="5"/>
  <c r="S337" i="5"/>
  <c r="G337" i="5"/>
  <c r="R337" i="5"/>
  <c r="F337" i="5"/>
  <c r="AC337" i="5"/>
  <c r="Q337" i="5"/>
  <c r="AB337" i="5"/>
  <c r="P337" i="5"/>
  <c r="AA337" i="5"/>
  <c r="O337" i="5"/>
  <c r="Z337" i="5"/>
  <c r="N337" i="5"/>
  <c r="Y337" i="5"/>
  <c r="M337" i="5"/>
  <c r="X337" i="5"/>
  <c r="L337" i="5"/>
  <c r="W337" i="5"/>
  <c r="K337" i="5"/>
  <c r="U349" i="5"/>
  <c r="I349" i="5"/>
  <c r="T349" i="5"/>
  <c r="H349" i="5"/>
  <c r="S349" i="5"/>
  <c r="G349" i="5"/>
  <c r="R349" i="5"/>
  <c r="F349" i="5"/>
  <c r="AC349" i="5"/>
  <c r="Q349" i="5"/>
  <c r="AB349" i="5"/>
  <c r="P349" i="5"/>
  <c r="AA349" i="5"/>
  <c r="O349" i="5"/>
  <c r="Z349" i="5"/>
  <c r="N349" i="5"/>
  <c r="X349" i="5"/>
  <c r="W349" i="5"/>
  <c r="V349" i="5"/>
  <c r="M349" i="5"/>
  <c r="L349" i="5"/>
  <c r="K349" i="5"/>
  <c r="J349" i="5"/>
  <c r="Y349" i="5"/>
  <c r="U361" i="5"/>
  <c r="S30" i="3" s="1"/>
  <c r="I361" i="5"/>
  <c r="T361" i="5"/>
  <c r="H361" i="5"/>
  <c r="S361" i="5"/>
  <c r="G361" i="5"/>
  <c r="R361" i="5"/>
  <c r="F361" i="5"/>
  <c r="AC361" i="5"/>
  <c r="AA30" i="3" s="1"/>
  <c r="Q361" i="5"/>
  <c r="AB361" i="5"/>
  <c r="Z30" i="3" s="1"/>
  <c r="P361" i="5"/>
  <c r="AA361" i="5"/>
  <c r="O361" i="5"/>
  <c r="Z361" i="5"/>
  <c r="N361" i="5"/>
  <c r="Y361" i="5"/>
  <c r="M361" i="5"/>
  <c r="X361" i="5"/>
  <c r="L361" i="5"/>
  <c r="W361" i="5"/>
  <c r="K361" i="5"/>
  <c r="V361" i="5"/>
  <c r="J361" i="5"/>
  <c r="U373" i="5"/>
  <c r="I373" i="5"/>
  <c r="T373" i="5"/>
  <c r="H373" i="5"/>
  <c r="S373" i="5"/>
  <c r="G373" i="5"/>
  <c r="R373" i="5"/>
  <c r="F373" i="5"/>
  <c r="AC373" i="5"/>
  <c r="Q373" i="5"/>
  <c r="AB373" i="5"/>
  <c r="P373" i="5"/>
  <c r="AA373" i="5"/>
  <c r="O373" i="5"/>
  <c r="Z373" i="5"/>
  <c r="N373" i="5"/>
  <c r="Y373" i="5"/>
  <c r="M373" i="5"/>
  <c r="X373" i="5"/>
  <c r="L373" i="5"/>
  <c r="W373" i="5"/>
  <c r="K373" i="5"/>
  <c r="V373" i="5"/>
  <c r="J373" i="5"/>
  <c r="Z385" i="5"/>
  <c r="N385" i="5"/>
  <c r="Y385" i="5"/>
  <c r="M385" i="5"/>
  <c r="X385" i="5"/>
  <c r="L385" i="5"/>
  <c r="W385" i="5"/>
  <c r="K385" i="5"/>
  <c r="V385" i="5"/>
  <c r="T105" i="3" s="1"/>
  <c r="J385" i="5"/>
  <c r="U385" i="5"/>
  <c r="S105" i="3" s="1"/>
  <c r="I385" i="5"/>
  <c r="AA385" i="5"/>
  <c r="T385" i="5"/>
  <c r="S385" i="5"/>
  <c r="R385" i="5"/>
  <c r="Q385" i="5"/>
  <c r="P385" i="5"/>
  <c r="O385" i="5"/>
  <c r="H385" i="5"/>
  <c r="G385" i="5"/>
  <c r="F385" i="5"/>
  <c r="AC385" i="5"/>
  <c r="AA105" i="3" s="1"/>
  <c r="AB385" i="5"/>
  <c r="Z397" i="5"/>
  <c r="X111" i="3" s="1"/>
  <c r="N397" i="5"/>
  <c r="L111" i="3" s="1"/>
  <c r="Y397" i="5"/>
  <c r="W111" i="3" s="1"/>
  <c r="M397" i="5"/>
  <c r="K111" i="3" s="1"/>
  <c r="X397" i="5"/>
  <c r="V111" i="3" s="1"/>
  <c r="L397" i="5"/>
  <c r="J111" i="3" s="1"/>
  <c r="W397" i="5"/>
  <c r="U111" i="3" s="1"/>
  <c r="K397" i="5"/>
  <c r="I111" i="3" s="1"/>
  <c r="V397" i="5"/>
  <c r="T111" i="3" s="1"/>
  <c r="J397" i="5"/>
  <c r="H111" i="3" s="1"/>
  <c r="U397" i="5"/>
  <c r="S111" i="3" s="1"/>
  <c r="I397" i="5"/>
  <c r="G111" i="3" s="1"/>
  <c r="T397" i="5"/>
  <c r="R111" i="3" s="1"/>
  <c r="H397" i="5"/>
  <c r="F111" i="3" s="1"/>
  <c r="S397" i="5"/>
  <c r="Q111" i="3" s="1"/>
  <c r="G397" i="5"/>
  <c r="E111" i="3" s="1"/>
  <c r="R397" i="5"/>
  <c r="P111" i="3" s="1"/>
  <c r="F397" i="5"/>
  <c r="D111" i="3" s="1"/>
  <c r="AC397" i="5"/>
  <c r="AA111" i="3" s="1"/>
  <c r="Q397" i="5"/>
  <c r="O111" i="3" s="1"/>
  <c r="AB397" i="5"/>
  <c r="Z111" i="3" s="1"/>
  <c r="P397" i="5"/>
  <c r="N111" i="3" s="1"/>
  <c r="AA397" i="5"/>
  <c r="Y111" i="3" s="1"/>
  <c r="O397" i="5"/>
  <c r="M111" i="3" s="1"/>
  <c r="Z409" i="5"/>
  <c r="N409" i="5"/>
  <c r="Y409" i="5"/>
  <c r="W93" i="3" s="1"/>
  <c r="M409" i="5"/>
  <c r="X409" i="5"/>
  <c r="L409" i="5"/>
  <c r="W409" i="5"/>
  <c r="K409" i="5"/>
  <c r="V409" i="5"/>
  <c r="T93" i="3" s="1"/>
  <c r="J409" i="5"/>
  <c r="U409" i="5"/>
  <c r="S93" i="3" s="1"/>
  <c r="I409" i="5"/>
  <c r="T409" i="5"/>
  <c r="R93" i="3" s="1"/>
  <c r="H409" i="5"/>
  <c r="S409" i="5"/>
  <c r="G409" i="5"/>
  <c r="R409" i="5"/>
  <c r="F409" i="5"/>
  <c r="AC409" i="5"/>
  <c r="AA93" i="3" s="1"/>
  <c r="Q409" i="5"/>
  <c r="AB409" i="5"/>
  <c r="P409" i="5"/>
  <c r="AA409" i="5"/>
  <c r="O409" i="5"/>
  <c r="Z421" i="5"/>
  <c r="N421" i="5"/>
  <c r="Y421" i="5"/>
  <c r="M421" i="5"/>
  <c r="X421" i="5"/>
  <c r="L421" i="5"/>
  <c r="W421" i="5"/>
  <c r="K421" i="5"/>
  <c r="V421" i="5"/>
  <c r="J421" i="5"/>
  <c r="U421" i="5"/>
  <c r="S114" i="3" s="1"/>
  <c r="I421" i="5"/>
  <c r="R421" i="5"/>
  <c r="Q421" i="5"/>
  <c r="P421" i="5"/>
  <c r="O421" i="5"/>
  <c r="H421" i="5"/>
  <c r="G421" i="5"/>
  <c r="F421" i="5"/>
  <c r="AC421" i="5"/>
  <c r="AB421" i="5"/>
  <c r="AA421" i="5"/>
  <c r="T421" i="5"/>
  <c r="R114" i="3" s="1"/>
  <c r="S421" i="5"/>
  <c r="Q114" i="3" s="1"/>
  <c r="Z433" i="5"/>
  <c r="N433" i="5"/>
  <c r="Y433" i="5"/>
  <c r="W118" i="3" s="1"/>
  <c r="M433" i="5"/>
  <c r="X433" i="5"/>
  <c r="L433" i="5"/>
  <c r="W433" i="5"/>
  <c r="K433" i="5"/>
  <c r="V433" i="5"/>
  <c r="T118" i="3" s="1"/>
  <c r="J433" i="5"/>
  <c r="U433" i="5"/>
  <c r="I433" i="5"/>
  <c r="T433" i="5"/>
  <c r="R118" i="3" s="1"/>
  <c r="H433" i="5"/>
  <c r="R433" i="5"/>
  <c r="F433" i="5"/>
  <c r="AC433" i="5"/>
  <c r="AA118" i="3" s="1"/>
  <c r="Q433" i="5"/>
  <c r="AB433" i="5"/>
  <c r="Z118" i="3" s="1"/>
  <c r="G433" i="5"/>
  <c r="AA433" i="5"/>
  <c r="S433" i="5"/>
  <c r="P433" i="5"/>
  <c r="O433" i="5"/>
  <c r="Z445" i="5"/>
  <c r="N445" i="5"/>
  <c r="Y445" i="5"/>
  <c r="W123" i="3" s="1"/>
  <c r="M445" i="5"/>
  <c r="X445" i="5"/>
  <c r="L445" i="5"/>
  <c r="W445" i="5"/>
  <c r="K445" i="5"/>
  <c r="V445" i="5"/>
  <c r="J445" i="5"/>
  <c r="U445" i="5"/>
  <c r="I445" i="5"/>
  <c r="T445" i="5"/>
  <c r="R123" i="3" s="1"/>
  <c r="H445" i="5"/>
  <c r="S445" i="5"/>
  <c r="G445" i="5"/>
  <c r="R445" i="5"/>
  <c r="F445" i="5"/>
  <c r="AC445" i="5"/>
  <c r="AA123" i="3" s="1"/>
  <c r="Q445" i="5"/>
  <c r="AB445" i="5"/>
  <c r="P445" i="5"/>
  <c r="AA445" i="5"/>
  <c r="O445" i="5"/>
  <c r="AA457" i="5"/>
  <c r="O457" i="5"/>
  <c r="Z457" i="5"/>
  <c r="N457" i="5"/>
  <c r="Y457" i="5"/>
  <c r="M457" i="5"/>
  <c r="X457" i="5"/>
  <c r="L457" i="5"/>
  <c r="W457" i="5"/>
  <c r="K457" i="5"/>
  <c r="V457" i="5"/>
  <c r="J457" i="5"/>
  <c r="AC457" i="5"/>
  <c r="AB457" i="5"/>
  <c r="U457" i="5"/>
  <c r="T457" i="5"/>
  <c r="S457" i="5"/>
  <c r="R457" i="5"/>
  <c r="Q457" i="5"/>
  <c r="P457" i="5"/>
  <c r="I457" i="5"/>
  <c r="H457" i="5"/>
  <c r="G457" i="5"/>
  <c r="F457" i="5"/>
  <c r="AA469" i="5"/>
  <c r="O469" i="5"/>
  <c r="Z469" i="5"/>
  <c r="N469" i="5"/>
  <c r="Y469" i="5"/>
  <c r="M469" i="5"/>
  <c r="X469" i="5"/>
  <c r="L469" i="5"/>
  <c r="W469" i="5"/>
  <c r="K469" i="5"/>
  <c r="V469" i="5"/>
  <c r="J469" i="5"/>
  <c r="U469" i="5"/>
  <c r="I469" i="5"/>
  <c r="T469" i="5"/>
  <c r="H469" i="5"/>
  <c r="S469" i="5"/>
  <c r="G469" i="5"/>
  <c r="R469" i="5"/>
  <c r="F469" i="5"/>
  <c r="AC469" i="5"/>
  <c r="Q469" i="5"/>
  <c r="AB469" i="5"/>
  <c r="P469" i="5"/>
  <c r="AA481" i="5"/>
  <c r="O481" i="5"/>
  <c r="Z481" i="5"/>
  <c r="N481" i="5"/>
  <c r="Y481" i="5"/>
  <c r="M481" i="5"/>
  <c r="X481" i="5"/>
  <c r="L481" i="5"/>
  <c r="W481" i="5"/>
  <c r="K481" i="5"/>
  <c r="V481" i="5"/>
  <c r="J481" i="5"/>
  <c r="U481" i="5"/>
  <c r="I481" i="5"/>
  <c r="T481" i="5"/>
  <c r="H481" i="5"/>
  <c r="S481" i="5"/>
  <c r="G481" i="5"/>
  <c r="R481" i="5"/>
  <c r="F481" i="5"/>
  <c r="AC481" i="5"/>
  <c r="Q481" i="5"/>
  <c r="AB481" i="5"/>
  <c r="P481" i="5"/>
  <c r="T493" i="5"/>
  <c r="H493" i="5"/>
  <c r="S493" i="5"/>
  <c r="G493" i="5"/>
  <c r="R493" i="5"/>
  <c r="F493" i="5"/>
  <c r="AC493" i="5"/>
  <c r="Q493" i="5"/>
  <c r="AB493" i="5"/>
  <c r="L493" i="5"/>
  <c r="AA493" i="5"/>
  <c r="K493" i="5"/>
  <c r="Z493" i="5"/>
  <c r="J493" i="5"/>
  <c r="Y493" i="5"/>
  <c r="I493" i="5"/>
  <c r="X493" i="5"/>
  <c r="W493" i="5"/>
  <c r="V493" i="5"/>
  <c r="U493" i="5"/>
  <c r="P493" i="5"/>
  <c r="O493" i="5"/>
  <c r="N493" i="5"/>
  <c r="M493" i="5"/>
  <c r="T505" i="5"/>
  <c r="R195" i="3" s="1"/>
  <c r="H505" i="5"/>
  <c r="F195" i="3" s="1"/>
  <c r="S505" i="5"/>
  <c r="Q195" i="3" s="1"/>
  <c r="G505" i="5"/>
  <c r="E195" i="3" s="1"/>
  <c r="R505" i="5"/>
  <c r="P195" i="3" s="1"/>
  <c r="F505" i="5"/>
  <c r="D195" i="3" s="1"/>
  <c r="AC505" i="5"/>
  <c r="AA195" i="3" s="1"/>
  <c r="Q505" i="5"/>
  <c r="O195" i="3" s="1"/>
  <c r="AB505" i="5"/>
  <c r="Z195" i="3" s="1"/>
  <c r="P505" i="5"/>
  <c r="N195" i="3" s="1"/>
  <c r="AA505" i="5"/>
  <c r="Y195" i="3" s="1"/>
  <c r="O505" i="5"/>
  <c r="M195" i="3" s="1"/>
  <c r="Z505" i="5"/>
  <c r="X195" i="3" s="1"/>
  <c r="N505" i="5"/>
  <c r="L195" i="3" s="1"/>
  <c r="Y505" i="5"/>
  <c r="W195" i="3" s="1"/>
  <c r="M505" i="5"/>
  <c r="K195" i="3" s="1"/>
  <c r="X505" i="5"/>
  <c r="V195" i="3" s="1"/>
  <c r="L505" i="5"/>
  <c r="J195" i="3" s="1"/>
  <c r="W505" i="5"/>
  <c r="U195" i="3" s="1"/>
  <c r="K505" i="5"/>
  <c r="I195" i="3" s="1"/>
  <c r="V505" i="5"/>
  <c r="T195" i="3" s="1"/>
  <c r="J505" i="5"/>
  <c r="H195" i="3" s="1"/>
  <c r="U505" i="5"/>
  <c r="S195" i="3" s="1"/>
  <c r="I505" i="5"/>
  <c r="G195" i="3" s="1"/>
  <c r="T517" i="5"/>
  <c r="H517" i="5"/>
  <c r="S517" i="5"/>
  <c r="G517" i="5"/>
  <c r="R517" i="5"/>
  <c r="F517" i="5"/>
  <c r="U517" i="5"/>
  <c r="Q517" i="5"/>
  <c r="P517" i="5"/>
  <c r="O517" i="5"/>
  <c r="AC517" i="5"/>
  <c r="N517" i="5"/>
  <c r="AB517" i="5"/>
  <c r="M517" i="5"/>
  <c r="AA517" i="5"/>
  <c r="L517" i="5"/>
  <c r="Z517" i="5"/>
  <c r="K517" i="5"/>
  <c r="Y517" i="5"/>
  <c r="J517" i="5"/>
  <c r="X517" i="5"/>
  <c r="I517" i="5"/>
  <c r="W517" i="5"/>
  <c r="V517" i="5"/>
  <c r="T529" i="5"/>
  <c r="H529" i="5"/>
  <c r="S529" i="5"/>
  <c r="G529" i="5"/>
  <c r="R529" i="5"/>
  <c r="F529" i="5"/>
  <c r="U529" i="5"/>
  <c r="I529" i="5"/>
  <c r="O529" i="5"/>
  <c r="N529" i="5"/>
  <c r="AC529" i="5"/>
  <c r="M529" i="5"/>
  <c r="V529" i="5"/>
  <c r="Q529" i="5"/>
  <c r="P529" i="5"/>
  <c r="Y529" i="5"/>
  <c r="X529" i="5"/>
  <c r="W529" i="5"/>
  <c r="L529" i="5"/>
  <c r="K529" i="5"/>
  <c r="J529" i="5"/>
  <c r="AB529" i="5"/>
  <c r="AA529" i="5"/>
  <c r="Z529" i="5"/>
  <c r="T541" i="5"/>
  <c r="H541" i="5"/>
  <c r="S541" i="5"/>
  <c r="G541" i="5"/>
  <c r="R541" i="5"/>
  <c r="F541" i="5"/>
  <c r="U541" i="5"/>
  <c r="I541" i="5"/>
  <c r="O541" i="5"/>
  <c r="N541" i="5"/>
  <c r="AC541" i="5"/>
  <c r="M541" i="5"/>
  <c r="V541" i="5"/>
  <c r="Q541" i="5"/>
  <c r="P541" i="5"/>
  <c r="Y541" i="5"/>
  <c r="X541" i="5"/>
  <c r="W541" i="5"/>
  <c r="L541" i="5"/>
  <c r="K541" i="5"/>
  <c r="J541" i="5"/>
  <c r="AB541" i="5"/>
  <c r="AA541" i="5"/>
  <c r="Z541" i="5"/>
  <c r="T553" i="5"/>
  <c r="R160" i="3" s="1"/>
  <c r="R161" i="3" s="1"/>
  <c r="H553" i="5"/>
  <c r="S553" i="5"/>
  <c r="G553" i="5"/>
  <c r="R553" i="5"/>
  <c r="F553" i="5"/>
  <c r="V553" i="5"/>
  <c r="J553" i="5"/>
  <c r="U553" i="5"/>
  <c r="I553" i="5"/>
  <c r="G160" i="3" s="1"/>
  <c r="G161" i="3" s="1"/>
  <c r="O553" i="5"/>
  <c r="N553" i="5"/>
  <c r="M553" i="5"/>
  <c r="W553" i="5"/>
  <c r="U160" i="3" s="1"/>
  <c r="U161" i="3" s="1"/>
  <c r="Q553" i="5"/>
  <c r="P553" i="5"/>
  <c r="AC553" i="5"/>
  <c r="AA160" i="3" s="1"/>
  <c r="AA161" i="3" s="1"/>
  <c r="AB553" i="5"/>
  <c r="Z160" i="3" s="1"/>
  <c r="Z161" i="3" s="1"/>
  <c r="AA553" i="5"/>
  <c r="Z553" i="5"/>
  <c r="Y553" i="5"/>
  <c r="X553" i="5"/>
  <c r="V160" i="3" s="1"/>
  <c r="V161" i="3" s="1"/>
  <c r="L553" i="5"/>
  <c r="K553" i="5"/>
  <c r="T565" i="5"/>
  <c r="R144" i="4" s="1"/>
  <c r="H565" i="5"/>
  <c r="S565" i="5"/>
  <c r="G565" i="5"/>
  <c r="R565" i="5"/>
  <c r="F565" i="5"/>
  <c r="V565" i="5"/>
  <c r="J565" i="5"/>
  <c r="U565" i="5"/>
  <c r="I565" i="5"/>
  <c r="O565" i="5"/>
  <c r="N565" i="5"/>
  <c r="M565" i="5"/>
  <c r="W565" i="5"/>
  <c r="U144" i="4" s="1"/>
  <c r="Q565" i="5"/>
  <c r="P565" i="5"/>
  <c r="AC565" i="5"/>
  <c r="AA144" i="4" s="1"/>
  <c r="AB565" i="5"/>
  <c r="Z144" i="4" s="1"/>
  <c r="AA565" i="5"/>
  <c r="Y144" i="4" s="1"/>
  <c r="Z565" i="5"/>
  <c r="Y565" i="5"/>
  <c r="X565" i="5"/>
  <c r="V144" i="4" s="1"/>
  <c r="L565" i="5"/>
  <c r="K565" i="5"/>
  <c r="Z5" i="5"/>
  <c r="N5" i="5"/>
  <c r="U5" i="5"/>
  <c r="AC5" i="5"/>
  <c r="Y5" i="5"/>
  <c r="M5" i="5"/>
  <c r="AA5" i="5"/>
  <c r="X5" i="5"/>
  <c r="L5" i="5"/>
  <c r="T5" i="5"/>
  <c r="R5" i="5"/>
  <c r="W5" i="5"/>
  <c r="K5" i="5"/>
  <c r="I5" i="5"/>
  <c r="V5" i="5"/>
  <c r="J5" i="5"/>
  <c r="H5" i="5"/>
  <c r="G5" i="5"/>
  <c r="F5" i="5"/>
  <c r="Q5" i="5"/>
  <c r="S5" i="5"/>
  <c r="P5" i="5"/>
  <c r="O5" i="5"/>
  <c r="AB5" i="5"/>
  <c r="Z24" i="5"/>
  <c r="N24" i="5"/>
  <c r="Y24" i="5"/>
  <c r="W10" i="4" s="1"/>
  <c r="M24" i="5"/>
  <c r="X24" i="5"/>
  <c r="L24" i="5"/>
  <c r="W24" i="5"/>
  <c r="K24" i="5"/>
  <c r="V24" i="5"/>
  <c r="T10" i="4" s="1"/>
  <c r="J24" i="5"/>
  <c r="H10" i="4" s="1"/>
  <c r="U24" i="5"/>
  <c r="I24" i="5"/>
  <c r="T24" i="5"/>
  <c r="R10" i="4" s="1"/>
  <c r="H24" i="5"/>
  <c r="S24" i="5"/>
  <c r="G24" i="5"/>
  <c r="R24" i="5"/>
  <c r="P10" i="4" s="1"/>
  <c r="F24" i="5"/>
  <c r="AC24" i="5"/>
  <c r="Q24" i="5"/>
  <c r="AB24" i="5"/>
  <c r="Z10" i="4" s="1"/>
  <c r="P24" i="5"/>
  <c r="AA24" i="5"/>
  <c r="O24" i="5"/>
  <c r="Z36" i="5"/>
  <c r="N36" i="5"/>
  <c r="Y36" i="5"/>
  <c r="M36" i="5"/>
  <c r="X36" i="5"/>
  <c r="L36" i="5"/>
  <c r="W36" i="5"/>
  <c r="K36" i="5"/>
  <c r="V36" i="5"/>
  <c r="J36" i="5"/>
  <c r="U36" i="5"/>
  <c r="I36" i="5"/>
  <c r="T36" i="5"/>
  <c r="H36" i="5"/>
  <c r="S36" i="5"/>
  <c r="G36" i="5"/>
  <c r="R36" i="5"/>
  <c r="F36" i="5"/>
  <c r="AC36" i="5"/>
  <c r="Q36" i="5"/>
  <c r="AB36" i="5"/>
  <c r="P36" i="5"/>
  <c r="AA36" i="5"/>
  <c r="O36" i="5"/>
  <c r="Z48" i="5"/>
  <c r="N48" i="5"/>
  <c r="Y48" i="5"/>
  <c r="W28" i="4" s="1"/>
  <c r="M48" i="5"/>
  <c r="X48" i="5"/>
  <c r="L48" i="5"/>
  <c r="W48" i="5"/>
  <c r="K48" i="5"/>
  <c r="V48" i="5"/>
  <c r="J48" i="5"/>
  <c r="U48" i="5"/>
  <c r="I48" i="5"/>
  <c r="T48" i="5"/>
  <c r="R28" i="4" s="1"/>
  <c r="H48" i="5"/>
  <c r="S48" i="5"/>
  <c r="G48" i="5"/>
  <c r="R48" i="5"/>
  <c r="F48" i="5"/>
  <c r="AC48" i="5"/>
  <c r="Q48" i="5"/>
  <c r="AB48" i="5"/>
  <c r="Z28" i="4" s="1"/>
  <c r="P48" i="5"/>
  <c r="AA48" i="5"/>
  <c r="O48" i="5"/>
  <c r="Z60" i="5"/>
  <c r="N60" i="5"/>
  <c r="Y60" i="5"/>
  <c r="M60" i="5"/>
  <c r="X60" i="5"/>
  <c r="L60" i="5"/>
  <c r="W60" i="5"/>
  <c r="K60" i="5"/>
  <c r="V60" i="5"/>
  <c r="J60" i="5"/>
  <c r="U60" i="5"/>
  <c r="S36" i="4" s="1"/>
  <c r="I60" i="5"/>
  <c r="T60" i="5"/>
  <c r="R36" i="4" s="1"/>
  <c r="H60" i="5"/>
  <c r="S60" i="5"/>
  <c r="G60" i="5"/>
  <c r="R60" i="5"/>
  <c r="P36" i="4" s="1"/>
  <c r="F60" i="5"/>
  <c r="AC60" i="5"/>
  <c r="Q60" i="5"/>
  <c r="AB60" i="5"/>
  <c r="Z36" i="4" s="1"/>
  <c r="P60" i="5"/>
  <c r="AA60" i="5"/>
  <c r="O60" i="5"/>
  <c r="Z72" i="5"/>
  <c r="N72" i="5"/>
  <c r="Y72" i="5"/>
  <c r="M72" i="5"/>
  <c r="X72" i="5"/>
  <c r="L72" i="5"/>
  <c r="W72" i="5"/>
  <c r="K72" i="5"/>
  <c r="V72" i="5"/>
  <c r="J72" i="5"/>
  <c r="U72" i="5"/>
  <c r="S42" i="4" s="1"/>
  <c r="I72" i="5"/>
  <c r="T72" i="5"/>
  <c r="R42" i="4" s="1"/>
  <c r="H72" i="5"/>
  <c r="S72" i="5"/>
  <c r="G72" i="5"/>
  <c r="R72" i="5"/>
  <c r="P42" i="4" s="1"/>
  <c r="F72" i="5"/>
  <c r="AC72" i="5"/>
  <c r="Q72" i="5"/>
  <c r="AB72" i="5"/>
  <c r="Z42" i="4" s="1"/>
  <c r="P72" i="5"/>
  <c r="AA72" i="5"/>
  <c r="O72" i="5"/>
  <c r="Z84" i="5"/>
  <c r="N84" i="5"/>
  <c r="Y84" i="5"/>
  <c r="M84" i="5"/>
  <c r="X84" i="5"/>
  <c r="L84" i="5"/>
  <c r="W84" i="5"/>
  <c r="K84" i="5"/>
  <c r="V84" i="5"/>
  <c r="J84" i="5"/>
  <c r="U84" i="5"/>
  <c r="I84" i="5"/>
  <c r="T84" i="5"/>
  <c r="H84" i="5"/>
  <c r="S84" i="5"/>
  <c r="G84" i="5"/>
  <c r="R84" i="5"/>
  <c r="F84" i="5"/>
  <c r="AC84" i="5"/>
  <c r="Q84" i="5"/>
  <c r="AB84" i="5"/>
  <c r="P84" i="5"/>
  <c r="AA84" i="5"/>
  <c r="O84" i="5"/>
  <c r="Z96" i="5"/>
  <c r="N96" i="5"/>
  <c r="Y96" i="5"/>
  <c r="M96" i="5"/>
  <c r="X96" i="5"/>
  <c r="L96" i="5"/>
  <c r="W96" i="5"/>
  <c r="K96" i="5"/>
  <c r="V96" i="5"/>
  <c r="J96" i="5"/>
  <c r="U96" i="5"/>
  <c r="I96" i="5"/>
  <c r="T96" i="5"/>
  <c r="H96" i="5"/>
  <c r="S96" i="5"/>
  <c r="G96" i="5"/>
  <c r="R96" i="5"/>
  <c r="F96" i="5"/>
  <c r="AC96" i="5"/>
  <c r="Q96" i="5"/>
  <c r="AB96" i="5"/>
  <c r="P96" i="5"/>
  <c r="AA96" i="5"/>
  <c r="O96" i="5"/>
  <c r="Z108" i="5"/>
  <c r="N108" i="5"/>
  <c r="Y108" i="5"/>
  <c r="M108" i="5"/>
  <c r="X108" i="5"/>
  <c r="L108" i="5"/>
  <c r="W108" i="5"/>
  <c r="K108" i="5"/>
  <c r="V108" i="5"/>
  <c r="J108" i="5"/>
  <c r="U108" i="5"/>
  <c r="I108" i="5"/>
  <c r="T108" i="5"/>
  <c r="H108" i="5"/>
  <c r="S108" i="5"/>
  <c r="G108" i="5"/>
  <c r="R108" i="5"/>
  <c r="F108" i="5"/>
  <c r="AC108" i="5"/>
  <c r="Q108" i="5"/>
  <c r="AB108" i="5"/>
  <c r="P108" i="5"/>
  <c r="AA108" i="5"/>
  <c r="O108" i="5"/>
  <c r="AC120" i="5"/>
  <c r="AA55" i="4" s="1"/>
  <c r="Q120" i="5"/>
  <c r="AB120" i="5"/>
  <c r="Z55" i="4" s="1"/>
  <c r="P120" i="5"/>
  <c r="AA120" i="5"/>
  <c r="O120" i="5"/>
  <c r="Z120" i="5"/>
  <c r="N120" i="5"/>
  <c r="Y120" i="5"/>
  <c r="M120" i="5"/>
  <c r="K55" i="4" s="1"/>
  <c r="X120" i="5"/>
  <c r="L120" i="5"/>
  <c r="W120" i="5"/>
  <c r="K120" i="5"/>
  <c r="V120" i="5"/>
  <c r="J120" i="5"/>
  <c r="U120" i="5"/>
  <c r="I120" i="5"/>
  <c r="T120" i="5"/>
  <c r="H120" i="5"/>
  <c r="S120" i="5"/>
  <c r="Q55" i="4" s="1"/>
  <c r="G120" i="5"/>
  <c r="R120" i="5"/>
  <c r="P55" i="4" s="1"/>
  <c r="F120" i="5"/>
  <c r="AC132" i="5"/>
  <c r="AA134" i="4" s="1"/>
  <c r="Q132" i="5"/>
  <c r="AB132" i="5"/>
  <c r="Z134" i="4" s="1"/>
  <c r="P132" i="5"/>
  <c r="AA132" i="5"/>
  <c r="O132" i="5"/>
  <c r="Z132" i="5"/>
  <c r="N132" i="5"/>
  <c r="Y132" i="5"/>
  <c r="M132" i="5"/>
  <c r="K134" i="4" s="1"/>
  <c r="X132" i="5"/>
  <c r="V134" i="4" s="1"/>
  <c r="L132" i="5"/>
  <c r="W132" i="5"/>
  <c r="U134" i="4" s="1"/>
  <c r="K132" i="5"/>
  <c r="V132" i="5"/>
  <c r="J132" i="5"/>
  <c r="U132" i="5"/>
  <c r="I132" i="5"/>
  <c r="T132" i="5"/>
  <c r="H132" i="5"/>
  <c r="S132" i="5"/>
  <c r="Q134" i="4" s="1"/>
  <c r="G132" i="5"/>
  <c r="R132" i="5"/>
  <c r="F132" i="5"/>
  <c r="AC144" i="5"/>
  <c r="AA81" i="4" s="1"/>
  <c r="AA83" i="4" s="1"/>
  <c r="Q144" i="5"/>
  <c r="AB144" i="5"/>
  <c r="Z81" i="4" s="1"/>
  <c r="Z83" i="4" s="1"/>
  <c r="P144" i="5"/>
  <c r="AA144" i="5"/>
  <c r="O144" i="5"/>
  <c r="Z144" i="5"/>
  <c r="N144" i="5"/>
  <c r="Y144" i="5"/>
  <c r="M144" i="5"/>
  <c r="K81" i="4" s="1"/>
  <c r="X144" i="5"/>
  <c r="L144" i="5"/>
  <c r="W144" i="5"/>
  <c r="K144" i="5"/>
  <c r="V144" i="5"/>
  <c r="J144" i="5"/>
  <c r="U144" i="5"/>
  <c r="I144" i="5"/>
  <c r="T144" i="5"/>
  <c r="H144" i="5"/>
  <c r="S144" i="5"/>
  <c r="Q81" i="4" s="1"/>
  <c r="G144" i="5"/>
  <c r="E81" i="4" s="1"/>
  <c r="R144" i="5"/>
  <c r="F144" i="5"/>
  <c r="X156" i="5"/>
  <c r="L156" i="5"/>
  <c r="W156" i="5"/>
  <c r="K156" i="5"/>
  <c r="V156" i="5"/>
  <c r="U156" i="5"/>
  <c r="T156" i="5"/>
  <c r="S156" i="5"/>
  <c r="R156" i="5"/>
  <c r="Z156" i="5"/>
  <c r="Y156" i="5"/>
  <c r="Q156" i="5"/>
  <c r="P156" i="5"/>
  <c r="O156" i="5"/>
  <c r="N156" i="5"/>
  <c r="M156" i="5"/>
  <c r="J156" i="5"/>
  <c r="I156" i="5"/>
  <c r="AC156" i="5"/>
  <c r="H156" i="5"/>
  <c r="AB156" i="5"/>
  <c r="G156" i="5"/>
  <c r="AA156" i="5"/>
  <c r="F156" i="5"/>
  <c r="X168" i="5"/>
  <c r="V75" i="4" s="1"/>
  <c r="L168" i="5"/>
  <c r="W168" i="5"/>
  <c r="U75" i="4" s="1"/>
  <c r="K168" i="5"/>
  <c r="V168" i="5"/>
  <c r="T75" i="4" s="1"/>
  <c r="J168" i="5"/>
  <c r="U168" i="5"/>
  <c r="S75" i="4" s="1"/>
  <c r="I168" i="5"/>
  <c r="T168" i="5"/>
  <c r="R75" i="4" s="1"/>
  <c r="H168" i="5"/>
  <c r="F75" i="4" s="1"/>
  <c r="S168" i="5"/>
  <c r="Q75" i="4" s="1"/>
  <c r="G168" i="5"/>
  <c r="R168" i="5"/>
  <c r="P75" i="4" s="1"/>
  <c r="F168" i="5"/>
  <c r="AC168" i="5"/>
  <c r="AA75" i="4" s="1"/>
  <c r="Q168" i="5"/>
  <c r="AB168" i="5"/>
  <c r="Z75" i="4" s="1"/>
  <c r="Z77" i="4" s="1"/>
  <c r="P168" i="5"/>
  <c r="AA168" i="5"/>
  <c r="O168" i="5"/>
  <c r="Z168" i="5"/>
  <c r="N168" i="5"/>
  <c r="Y168" i="5"/>
  <c r="M168" i="5"/>
  <c r="X180" i="5"/>
  <c r="V102" i="4" s="1"/>
  <c r="L180" i="5"/>
  <c r="W180" i="5"/>
  <c r="U102" i="4" s="1"/>
  <c r="K180" i="5"/>
  <c r="V180" i="5"/>
  <c r="T102" i="4" s="1"/>
  <c r="J180" i="5"/>
  <c r="U180" i="5"/>
  <c r="I180" i="5"/>
  <c r="T180" i="5"/>
  <c r="H180" i="5"/>
  <c r="F102" i="4" s="1"/>
  <c r="S180" i="5"/>
  <c r="Q102" i="4" s="1"/>
  <c r="G180" i="5"/>
  <c r="R180" i="5"/>
  <c r="P102" i="4" s="1"/>
  <c r="F180" i="5"/>
  <c r="AC180" i="5"/>
  <c r="AA102" i="4" s="1"/>
  <c r="Q180" i="5"/>
  <c r="AB180" i="5"/>
  <c r="Z102" i="4" s="1"/>
  <c r="P180" i="5"/>
  <c r="AA180" i="5"/>
  <c r="O180" i="5"/>
  <c r="Z180" i="5"/>
  <c r="N180" i="5"/>
  <c r="L102" i="4" s="1"/>
  <c r="Y180" i="5"/>
  <c r="M180" i="5"/>
  <c r="X192" i="5"/>
  <c r="V119" i="4" s="1"/>
  <c r="L192" i="5"/>
  <c r="W192" i="5"/>
  <c r="U119" i="4" s="1"/>
  <c r="K192" i="5"/>
  <c r="V192" i="5"/>
  <c r="J192" i="5"/>
  <c r="U192" i="5"/>
  <c r="I192" i="5"/>
  <c r="T192" i="5"/>
  <c r="R119" i="4" s="1"/>
  <c r="H192" i="5"/>
  <c r="F119" i="4" s="1"/>
  <c r="S192" i="5"/>
  <c r="Q119" i="4" s="1"/>
  <c r="G192" i="5"/>
  <c r="R192" i="5"/>
  <c r="F192" i="5"/>
  <c r="AC192" i="5"/>
  <c r="AA119" i="4" s="1"/>
  <c r="Q192" i="5"/>
  <c r="AB192" i="5"/>
  <c r="Z119" i="4" s="1"/>
  <c r="P192" i="5"/>
  <c r="AA192" i="5"/>
  <c r="O192" i="5"/>
  <c r="Z192" i="5"/>
  <c r="N192" i="5"/>
  <c r="L119" i="4" s="1"/>
  <c r="Y192" i="5"/>
  <c r="M192" i="5"/>
  <c r="X204" i="5"/>
  <c r="L204" i="5"/>
  <c r="W204" i="5"/>
  <c r="U126" i="4" s="1"/>
  <c r="K204" i="5"/>
  <c r="V204" i="5"/>
  <c r="T126" i="4" s="1"/>
  <c r="J204" i="5"/>
  <c r="U204" i="5"/>
  <c r="I204" i="5"/>
  <c r="T204" i="5"/>
  <c r="R126" i="4" s="1"/>
  <c r="H204" i="5"/>
  <c r="F126" i="4" s="1"/>
  <c r="S204" i="5"/>
  <c r="Q126" i="4" s="1"/>
  <c r="G204" i="5"/>
  <c r="R204" i="5"/>
  <c r="F204" i="5"/>
  <c r="AC204" i="5"/>
  <c r="AA126" i="4" s="1"/>
  <c r="Q204" i="5"/>
  <c r="AB204" i="5"/>
  <c r="Z126" i="4" s="1"/>
  <c r="P204" i="5"/>
  <c r="AA204" i="5"/>
  <c r="O204" i="5"/>
  <c r="Z204" i="5"/>
  <c r="N204" i="5"/>
  <c r="Y204" i="5"/>
  <c r="M204" i="5"/>
  <c r="T216" i="5"/>
  <c r="H216" i="5"/>
  <c r="S216" i="5"/>
  <c r="G216" i="5"/>
  <c r="R216" i="5"/>
  <c r="F216" i="5"/>
  <c r="AC216" i="5"/>
  <c r="Q216" i="5"/>
  <c r="AB216" i="5"/>
  <c r="P216" i="5"/>
  <c r="AA216" i="5"/>
  <c r="O216" i="5"/>
  <c r="Z216" i="5"/>
  <c r="N216" i="5"/>
  <c r="Y216" i="5"/>
  <c r="M216" i="5"/>
  <c r="W216" i="5"/>
  <c r="K216" i="5"/>
  <c r="V216" i="5"/>
  <c r="J216" i="5"/>
  <c r="I216" i="5"/>
  <c r="X216" i="5"/>
  <c r="U216" i="5"/>
  <c r="L216" i="5"/>
  <c r="T228" i="5"/>
  <c r="H228" i="5"/>
  <c r="S228" i="5"/>
  <c r="G228" i="5"/>
  <c r="R228" i="5"/>
  <c r="F228" i="5"/>
  <c r="AC228" i="5"/>
  <c r="Q228" i="5"/>
  <c r="AB228" i="5"/>
  <c r="P228" i="5"/>
  <c r="AA228" i="5"/>
  <c r="O228" i="5"/>
  <c r="Z228" i="5"/>
  <c r="N228" i="5"/>
  <c r="Y228" i="5"/>
  <c r="M228" i="5"/>
  <c r="X228" i="5"/>
  <c r="L228" i="5"/>
  <c r="W228" i="5"/>
  <c r="K228" i="5"/>
  <c r="V228" i="5"/>
  <c r="J228" i="5"/>
  <c r="U228" i="5"/>
  <c r="I228" i="5"/>
  <c r="T240" i="5"/>
  <c r="H240" i="5"/>
  <c r="S240" i="5"/>
  <c r="G240" i="5"/>
  <c r="R240" i="5"/>
  <c r="F240" i="5"/>
  <c r="AC240" i="5"/>
  <c r="Q240" i="5"/>
  <c r="AB240" i="5"/>
  <c r="P240" i="5"/>
  <c r="AA240" i="5"/>
  <c r="O240" i="5"/>
  <c r="Z240" i="5"/>
  <c r="N240" i="5"/>
  <c r="Y240" i="5"/>
  <c r="M240" i="5"/>
  <c r="X240" i="5"/>
  <c r="L240" i="5"/>
  <c r="W240" i="5"/>
  <c r="K240" i="5"/>
  <c r="V240" i="5"/>
  <c r="J240" i="5"/>
  <c r="U240" i="5"/>
  <c r="I240" i="5"/>
  <c r="S253" i="5"/>
  <c r="AC253" i="5"/>
  <c r="AA253" i="5"/>
  <c r="Z253" i="5"/>
  <c r="N253" i="5"/>
  <c r="V253" i="5"/>
  <c r="H253" i="5"/>
  <c r="U253" i="5"/>
  <c r="G253" i="5"/>
  <c r="T253" i="5"/>
  <c r="F253" i="5"/>
  <c r="R253" i="5"/>
  <c r="Q253" i="5"/>
  <c r="P253" i="5"/>
  <c r="O253" i="5"/>
  <c r="M253" i="5"/>
  <c r="AB253" i="5"/>
  <c r="L253" i="5"/>
  <c r="Y253" i="5"/>
  <c r="K253" i="5"/>
  <c r="X253" i="5"/>
  <c r="J253" i="5"/>
  <c r="W253" i="5"/>
  <c r="I253" i="5"/>
  <c r="S265" i="5"/>
  <c r="G265" i="5"/>
  <c r="R265" i="5"/>
  <c r="F265" i="5"/>
  <c r="AC265" i="5"/>
  <c r="Q265" i="5"/>
  <c r="AB265" i="5"/>
  <c r="P265" i="5"/>
  <c r="AA265" i="5"/>
  <c r="O265" i="5"/>
  <c r="Z265" i="5"/>
  <c r="N265" i="5"/>
  <c r="Y265" i="5"/>
  <c r="M265" i="5"/>
  <c r="X265" i="5"/>
  <c r="L265" i="5"/>
  <c r="W265" i="5"/>
  <c r="K265" i="5"/>
  <c r="V265" i="5"/>
  <c r="J265" i="5"/>
  <c r="U265" i="5"/>
  <c r="I265" i="5"/>
  <c r="T265" i="5"/>
  <c r="H265" i="5"/>
  <c r="S277" i="5"/>
  <c r="G277" i="5"/>
  <c r="R277" i="5"/>
  <c r="P220" i="4" s="1"/>
  <c r="F277" i="5"/>
  <c r="AC277" i="5"/>
  <c r="AA220" i="4" s="1"/>
  <c r="Q277" i="5"/>
  <c r="AB277" i="5"/>
  <c r="Z220" i="4" s="1"/>
  <c r="P277" i="5"/>
  <c r="AA277" i="5"/>
  <c r="O277" i="5"/>
  <c r="M220" i="4" s="1"/>
  <c r="Z277" i="5"/>
  <c r="X220" i="4" s="1"/>
  <c r="N277" i="5"/>
  <c r="Y277" i="5"/>
  <c r="W220" i="4" s="1"/>
  <c r="M277" i="5"/>
  <c r="X277" i="5"/>
  <c r="V220" i="4" s="1"/>
  <c r="L277" i="5"/>
  <c r="W277" i="5"/>
  <c r="K277" i="5"/>
  <c r="V277" i="5"/>
  <c r="J277" i="5"/>
  <c r="U277" i="5"/>
  <c r="S220" i="4" s="1"/>
  <c r="I277" i="5"/>
  <c r="T277" i="5"/>
  <c r="R220" i="4" s="1"/>
  <c r="H277" i="5"/>
  <c r="S289" i="5"/>
  <c r="G289" i="5"/>
  <c r="R289" i="5"/>
  <c r="F289" i="5"/>
  <c r="AC289" i="5"/>
  <c r="Q289" i="5"/>
  <c r="AB289" i="5"/>
  <c r="P289" i="5"/>
  <c r="AA289" i="5"/>
  <c r="O289" i="5"/>
  <c r="Z289" i="5"/>
  <c r="N289" i="5"/>
  <c r="Y289" i="5"/>
  <c r="M289" i="5"/>
  <c r="X289" i="5"/>
  <c r="L289" i="5"/>
  <c r="W289" i="5"/>
  <c r="K289" i="5"/>
  <c r="V289" i="5"/>
  <c r="J289" i="5"/>
  <c r="U289" i="5"/>
  <c r="I289" i="5"/>
  <c r="T289" i="5"/>
  <c r="H289" i="5"/>
  <c r="V301" i="5"/>
  <c r="J301" i="5"/>
  <c r="U301" i="5"/>
  <c r="I301" i="5"/>
  <c r="T301" i="5"/>
  <c r="R12" i="3" s="1"/>
  <c r="H301" i="5"/>
  <c r="S301" i="5"/>
  <c r="G301" i="5"/>
  <c r="R301" i="5"/>
  <c r="F301" i="5"/>
  <c r="AC301" i="5"/>
  <c r="AA12" i="3" s="1"/>
  <c r="Q301" i="5"/>
  <c r="M301" i="5"/>
  <c r="L301" i="5"/>
  <c r="K301" i="5"/>
  <c r="AB301" i="5"/>
  <c r="Z12" i="3" s="1"/>
  <c r="AA301" i="5"/>
  <c r="Z301" i="5"/>
  <c r="Y301" i="5"/>
  <c r="X301" i="5"/>
  <c r="W301" i="5"/>
  <c r="U12" i="3" s="1"/>
  <c r="P301" i="5"/>
  <c r="O301" i="5"/>
  <c r="N301" i="5"/>
  <c r="V313" i="5"/>
  <c r="J313" i="5"/>
  <c r="U313" i="5"/>
  <c r="I313" i="5"/>
  <c r="T313" i="5"/>
  <c r="H313" i="5"/>
  <c r="S313" i="5"/>
  <c r="G313" i="5"/>
  <c r="R313" i="5"/>
  <c r="F313" i="5"/>
  <c r="AC313" i="5"/>
  <c r="AA11" i="3" s="1"/>
  <c r="Q313" i="5"/>
  <c r="AB313" i="5"/>
  <c r="Z11" i="3" s="1"/>
  <c r="P313" i="5"/>
  <c r="AA313" i="5"/>
  <c r="O313" i="5"/>
  <c r="Z313" i="5"/>
  <c r="N313" i="5"/>
  <c r="Y313" i="5"/>
  <c r="M313" i="5"/>
  <c r="X313" i="5"/>
  <c r="V11" i="3" s="1"/>
  <c r="L313" i="5"/>
  <c r="J11" i="3" s="1"/>
  <c r="W313" i="5"/>
  <c r="U11" i="3" s="1"/>
  <c r="K313" i="5"/>
  <c r="V325" i="5"/>
  <c r="J325" i="5"/>
  <c r="U325" i="5"/>
  <c r="I325" i="5"/>
  <c r="T325" i="5"/>
  <c r="H325" i="5"/>
  <c r="S325" i="5"/>
  <c r="G325" i="5"/>
  <c r="R325" i="5"/>
  <c r="F325" i="5"/>
  <c r="AC325" i="5"/>
  <c r="Q325" i="5"/>
  <c r="AB325" i="5"/>
  <c r="P325" i="5"/>
  <c r="AA325" i="5"/>
  <c r="O325" i="5"/>
  <c r="Z325" i="5"/>
  <c r="N325" i="5"/>
  <c r="Y325" i="5"/>
  <c r="M325" i="5"/>
  <c r="X325" i="5"/>
  <c r="L325" i="5"/>
  <c r="W325" i="5"/>
  <c r="K325" i="5"/>
  <c r="V338" i="5"/>
  <c r="J338" i="5"/>
  <c r="U338" i="5"/>
  <c r="I338" i="5"/>
  <c r="T338" i="5"/>
  <c r="H338" i="5"/>
  <c r="S338" i="5"/>
  <c r="G338" i="5"/>
  <c r="R338" i="5"/>
  <c r="F338" i="5"/>
  <c r="AC338" i="5"/>
  <c r="Q338" i="5"/>
  <c r="AB338" i="5"/>
  <c r="P338" i="5"/>
  <c r="AA338" i="5"/>
  <c r="O338" i="5"/>
  <c r="Z338" i="5"/>
  <c r="N338" i="5"/>
  <c r="Y338" i="5"/>
  <c r="M338" i="5"/>
  <c r="X338" i="5"/>
  <c r="L338" i="5"/>
  <c r="W338" i="5"/>
  <c r="K338" i="5"/>
  <c r="U350" i="5"/>
  <c r="S24" i="3" s="1"/>
  <c r="I350" i="5"/>
  <c r="T350" i="5"/>
  <c r="H350" i="5"/>
  <c r="S350" i="5"/>
  <c r="G350" i="5"/>
  <c r="R350" i="5"/>
  <c r="F350" i="5"/>
  <c r="AC350" i="5"/>
  <c r="AA24" i="3" s="1"/>
  <c r="Q350" i="5"/>
  <c r="AB350" i="5"/>
  <c r="P350" i="5"/>
  <c r="AA350" i="5"/>
  <c r="O350" i="5"/>
  <c r="Z350" i="5"/>
  <c r="N350" i="5"/>
  <c r="X350" i="5"/>
  <c r="L350" i="5"/>
  <c r="Y350" i="5"/>
  <c r="W350" i="5"/>
  <c r="V350" i="5"/>
  <c r="M350" i="5"/>
  <c r="K24" i="3" s="1"/>
  <c r="K350" i="5"/>
  <c r="J350" i="5"/>
  <c r="U362" i="5"/>
  <c r="S32" i="3" s="1"/>
  <c r="I362" i="5"/>
  <c r="T362" i="5"/>
  <c r="H362" i="5"/>
  <c r="S362" i="5"/>
  <c r="Q32" i="3" s="1"/>
  <c r="G362" i="5"/>
  <c r="R362" i="5"/>
  <c r="F362" i="5"/>
  <c r="AC362" i="5"/>
  <c r="AA32" i="3" s="1"/>
  <c r="Q362" i="5"/>
  <c r="AB362" i="5"/>
  <c r="Z32" i="3" s="1"/>
  <c r="P362" i="5"/>
  <c r="AA362" i="5"/>
  <c r="O362" i="5"/>
  <c r="Z362" i="5"/>
  <c r="N362" i="5"/>
  <c r="Y362" i="5"/>
  <c r="M362" i="5"/>
  <c r="X362" i="5"/>
  <c r="L362" i="5"/>
  <c r="W362" i="5"/>
  <c r="U32" i="3" s="1"/>
  <c r="K362" i="5"/>
  <c r="V362" i="5"/>
  <c r="T32" i="3" s="1"/>
  <c r="J362" i="5"/>
  <c r="H32" i="3" s="1"/>
  <c r="U374" i="5"/>
  <c r="S38" i="3" s="1"/>
  <c r="I374" i="5"/>
  <c r="T374" i="5"/>
  <c r="R38" i="3" s="1"/>
  <c r="H374" i="5"/>
  <c r="S374" i="5"/>
  <c r="G374" i="5"/>
  <c r="R374" i="5"/>
  <c r="F374" i="5"/>
  <c r="AC374" i="5"/>
  <c r="AA38" i="3" s="1"/>
  <c r="Q374" i="5"/>
  <c r="AB374" i="5"/>
  <c r="Z38" i="3" s="1"/>
  <c r="P374" i="5"/>
  <c r="AA374" i="5"/>
  <c r="O374" i="5"/>
  <c r="Z374" i="5"/>
  <c r="N374" i="5"/>
  <c r="Y374" i="5"/>
  <c r="M374" i="5"/>
  <c r="X374" i="5"/>
  <c r="L374" i="5"/>
  <c r="W374" i="5"/>
  <c r="U38" i="3" s="1"/>
  <c r="K374" i="5"/>
  <c r="I38" i="3" s="1"/>
  <c r="V374" i="5"/>
  <c r="J374" i="5"/>
  <c r="H38" i="3" s="1"/>
  <c r="Z386" i="5"/>
  <c r="N386" i="5"/>
  <c r="Y386" i="5"/>
  <c r="W106" i="3" s="1"/>
  <c r="M386" i="5"/>
  <c r="X386" i="5"/>
  <c r="L386" i="5"/>
  <c r="W386" i="5"/>
  <c r="K386" i="5"/>
  <c r="V386" i="5"/>
  <c r="T106" i="3" s="1"/>
  <c r="J386" i="5"/>
  <c r="U386" i="5"/>
  <c r="S106" i="3" s="1"/>
  <c r="I386" i="5"/>
  <c r="G106" i="3" s="1"/>
  <c r="AA386" i="5"/>
  <c r="T386" i="5"/>
  <c r="S386" i="5"/>
  <c r="R386" i="5"/>
  <c r="Q386" i="5"/>
  <c r="P386" i="5"/>
  <c r="O386" i="5"/>
  <c r="H386" i="5"/>
  <c r="F106" i="3" s="1"/>
  <c r="G386" i="5"/>
  <c r="F386" i="5"/>
  <c r="D106" i="3" s="1"/>
  <c r="AC386" i="5"/>
  <c r="AA106" i="3" s="1"/>
  <c r="AB386" i="5"/>
  <c r="Z398" i="5"/>
  <c r="N398" i="5"/>
  <c r="Y398" i="5"/>
  <c r="M398" i="5"/>
  <c r="X398" i="5"/>
  <c r="L398" i="5"/>
  <c r="W398" i="5"/>
  <c r="K398" i="5"/>
  <c r="V398" i="5"/>
  <c r="J398" i="5"/>
  <c r="U398" i="5"/>
  <c r="I398" i="5"/>
  <c r="T398" i="5"/>
  <c r="H398" i="5"/>
  <c r="S398" i="5"/>
  <c r="G398" i="5"/>
  <c r="R398" i="5"/>
  <c r="F398" i="5"/>
  <c r="AC398" i="5"/>
  <c r="Q398" i="5"/>
  <c r="AB398" i="5"/>
  <c r="P398" i="5"/>
  <c r="AA398" i="5"/>
  <c r="O398" i="5"/>
  <c r="Z410" i="5"/>
  <c r="N410" i="5"/>
  <c r="Y410" i="5"/>
  <c r="W94" i="3" s="1"/>
  <c r="M410" i="5"/>
  <c r="X410" i="5"/>
  <c r="L410" i="5"/>
  <c r="W410" i="5"/>
  <c r="K410" i="5"/>
  <c r="V410" i="5"/>
  <c r="J410" i="5"/>
  <c r="H94" i="3" s="1"/>
  <c r="U410" i="5"/>
  <c r="S94" i="3" s="1"/>
  <c r="I410" i="5"/>
  <c r="T410" i="5"/>
  <c r="R94" i="3" s="1"/>
  <c r="H410" i="5"/>
  <c r="S410" i="5"/>
  <c r="G410" i="5"/>
  <c r="R410" i="5"/>
  <c r="F410" i="5"/>
  <c r="AC410" i="5"/>
  <c r="AA94" i="3" s="1"/>
  <c r="Q410" i="5"/>
  <c r="AB410" i="5"/>
  <c r="P410" i="5"/>
  <c r="AA410" i="5"/>
  <c r="O410" i="5"/>
  <c r="Z422" i="5"/>
  <c r="N422" i="5"/>
  <c r="Y422" i="5"/>
  <c r="M422" i="5"/>
  <c r="X422" i="5"/>
  <c r="L422" i="5"/>
  <c r="W422" i="5"/>
  <c r="K422" i="5"/>
  <c r="V422" i="5"/>
  <c r="J422" i="5"/>
  <c r="U422" i="5"/>
  <c r="I422" i="5"/>
  <c r="T422" i="5"/>
  <c r="R422" i="5"/>
  <c r="Q422" i="5"/>
  <c r="P422" i="5"/>
  <c r="O422" i="5"/>
  <c r="H422" i="5"/>
  <c r="G422" i="5"/>
  <c r="F422" i="5"/>
  <c r="AC422" i="5"/>
  <c r="AB422" i="5"/>
  <c r="AA422" i="5"/>
  <c r="S422" i="5"/>
  <c r="Z434" i="5"/>
  <c r="N434" i="5"/>
  <c r="Y434" i="5"/>
  <c r="W119" i="3" s="1"/>
  <c r="M434" i="5"/>
  <c r="X434" i="5"/>
  <c r="L434" i="5"/>
  <c r="W434" i="5"/>
  <c r="K434" i="5"/>
  <c r="V434" i="5"/>
  <c r="T119" i="3" s="1"/>
  <c r="J434" i="5"/>
  <c r="U434" i="5"/>
  <c r="I434" i="5"/>
  <c r="G119" i="3" s="1"/>
  <c r="T434" i="5"/>
  <c r="H434" i="5"/>
  <c r="S434" i="5"/>
  <c r="G434" i="5"/>
  <c r="R434" i="5"/>
  <c r="P119" i="3" s="1"/>
  <c r="F434" i="5"/>
  <c r="AC434" i="5"/>
  <c r="AA119" i="3" s="1"/>
  <c r="Q434" i="5"/>
  <c r="AB434" i="5"/>
  <c r="P434" i="5"/>
  <c r="N119" i="3" s="1"/>
  <c r="AA434" i="5"/>
  <c r="O434" i="5"/>
  <c r="Z446" i="5"/>
  <c r="N446" i="5"/>
  <c r="Y446" i="5"/>
  <c r="M446" i="5"/>
  <c r="X446" i="5"/>
  <c r="L446" i="5"/>
  <c r="W446" i="5"/>
  <c r="K446" i="5"/>
  <c r="V446" i="5"/>
  <c r="T124" i="3" s="1"/>
  <c r="J446" i="5"/>
  <c r="U446" i="5"/>
  <c r="I446" i="5"/>
  <c r="G124" i="3" s="1"/>
  <c r="T446" i="5"/>
  <c r="R124" i="3" s="1"/>
  <c r="H446" i="5"/>
  <c r="S446" i="5"/>
  <c r="G446" i="5"/>
  <c r="R446" i="5"/>
  <c r="F446" i="5"/>
  <c r="AC446" i="5"/>
  <c r="AA124" i="3" s="1"/>
  <c r="Q446" i="5"/>
  <c r="AB446" i="5"/>
  <c r="P446" i="5"/>
  <c r="N124" i="3" s="1"/>
  <c r="AA446" i="5"/>
  <c r="O446" i="5"/>
  <c r="M124" i="3" s="1"/>
  <c r="AA458" i="5"/>
  <c r="O458" i="5"/>
  <c r="Z458" i="5"/>
  <c r="N458" i="5"/>
  <c r="Y458" i="5"/>
  <c r="M458" i="5"/>
  <c r="X458" i="5"/>
  <c r="L458" i="5"/>
  <c r="W458" i="5"/>
  <c r="K458" i="5"/>
  <c r="V458" i="5"/>
  <c r="J458" i="5"/>
  <c r="AC458" i="5"/>
  <c r="AB458" i="5"/>
  <c r="U458" i="5"/>
  <c r="T458" i="5"/>
  <c r="S458" i="5"/>
  <c r="R458" i="5"/>
  <c r="Q458" i="5"/>
  <c r="P458" i="5"/>
  <c r="I458" i="5"/>
  <c r="H458" i="5"/>
  <c r="G458" i="5"/>
  <c r="F458" i="5"/>
  <c r="AA470" i="5"/>
  <c r="O470" i="5"/>
  <c r="Z470" i="5"/>
  <c r="N470" i="5"/>
  <c r="Y470" i="5"/>
  <c r="M470" i="5"/>
  <c r="X470" i="5"/>
  <c r="L470" i="5"/>
  <c r="W470" i="5"/>
  <c r="K470" i="5"/>
  <c r="V470" i="5"/>
  <c r="J470" i="5"/>
  <c r="U470" i="5"/>
  <c r="I470" i="5"/>
  <c r="T470" i="5"/>
  <c r="H470" i="5"/>
  <c r="S470" i="5"/>
  <c r="G470" i="5"/>
  <c r="R470" i="5"/>
  <c r="F470" i="5"/>
  <c r="AC470" i="5"/>
  <c r="Q470" i="5"/>
  <c r="AB470" i="5"/>
  <c r="P470" i="5"/>
  <c r="AA482" i="5"/>
  <c r="O482" i="5"/>
  <c r="Z482" i="5"/>
  <c r="N482" i="5"/>
  <c r="Y482" i="5"/>
  <c r="M482" i="5"/>
  <c r="X482" i="5"/>
  <c r="L482" i="5"/>
  <c r="J67" i="3" s="1"/>
  <c r="W482" i="5"/>
  <c r="U67" i="3" s="1"/>
  <c r="K482" i="5"/>
  <c r="I67" i="3" s="1"/>
  <c r="V482" i="5"/>
  <c r="J482" i="5"/>
  <c r="U482" i="5"/>
  <c r="S67" i="3" s="1"/>
  <c r="I482" i="5"/>
  <c r="T482" i="5"/>
  <c r="H482" i="5"/>
  <c r="S482" i="5"/>
  <c r="G482" i="5"/>
  <c r="R482" i="5"/>
  <c r="F482" i="5"/>
  <c r="AC482" i="5"/>
  <c r="AA67" i="3" s="1"/>
  <c r="Q482" i="5"/>
  <c r="O67" i="3" s="1"/>
  <c r="AB482" i="5"/>
  <c r="P482" i="5"/>
  <c r="T494" i="5"/>
  <c r="R129" i="3" s="1"/>
  <c r="H494" i="5"/>
  <c r="S494" i="5"/>
  <c r="G494" i="5"/>
  <c r="R494" i="5"/>
  <c r="F494" i="5"/>
  <c r="AC494" i="5"/>
  <c r="AA129" i="3" s="1"/>
  <c r="Q494" i="5"/>
  <c r="O129" i="3" s="1"/>
  <c r="X494" i="5"/>
  <c r="W494" i="5"/>
  <c r="U129" i="3" s="1"/>
  <c r="V494" i="5"/>
  <c r="U494" i="5"/>
  <c r="S129" i="3" s="1"/>
  <c r="P494" i="5"/>
  <c r="O494" i="5"/>
  <c r="N494" i="5"/>
  <c r="M494" i="5"/>
  <c r="AB494" i="5"/>
  <c r="L494" i="5"/>
  <c r="AA494" i="5"/>
  <c r="K494" i="5"/>
  <c r="I129" i="3" s="1"/>
  <c r="Z494" i="5"/>
  <c r="X129" i="3" s="1"/>
  <c r="J494" i="5"/>
  <c r="Y494" i="5"/>
  <c r="I494" i="5"/>
  <c r="G129" i="3" s="1"/>
  <c r="T506" i="5"/>
  <c r="H506" i="5"/>
  <c r="S506" i="5"/>
  <c r="G506" i="5"/>
  <c r="R506" i="5"/>
  <c r="F506" i="5"/>
  <c r="AC506" i="5"/>
  <c r="Q506" i="5"/>
  <c r="AB506" i="5"/>
  <c r="P506" i="5"/>
  <c r="AA506" i="5"/>
  <c r="O506" i="5"/>
  <c r="Z506" i="5"/>
  <c r="N506" i="5"/>
  <c r="Y506" i="5"/>
  <c r="M506" i="5"/>
  <c r="X506" i="5"/>
  <c r="L506" i="5"/>
  <c r="W506" i="5"/>
  <c r="K506" i="5"/>
  <c r="V506" i="5"/>
  <c r="J506" i="5"/>
  <c r="U506" i="5"/>
  <c r="I506" i="5"/>
  <c r="T518" i="5"/>
  <c r="H518" i="5"/>
  <c r="S518" i="5"/>
  <c r="G518" i="5"/>
  <c r="R518" i="5"/>
  <c r="F518" i="5"/>
  <c r="AA518" i="5"/>
  <c r="L518" i="5"/>
  <c r="Z518" i="5"/>
  <c r="K518" i="5"/>
  <c r="Y518" i="5"/>
  <c r="J518" i="5"/>
  <c r="X518" i="5"/>
  <c r="I518" i="5"/>
  <c r="W518" i="5"/>
  <c r="V518" i="5"/>
  <c r="U518" i="5"/>
  <c r="Q518" i="5"/>
  <c r="P518" i="5"/>
  <c r="O518" i="5"/>
  <c r="AC518" i="5"/>
  <c r="N518" i="5"/>
  <c r="AB518" i="5"/>
  <c r="M518" i="5"/>
  <c r="T530" i="5"/>
  <c r="H530" i="5"/>
  <c r="S530" i="5"/>
  <c r="G530" i="5"/>
  <c r="R530" i="5"/>
  <c r="F530" i="5"/>
  <c r="U530" i="5"/>
  <c r="I530" i="5"/>
  <c r="AA530" i="5"/>
  <c r="K530" i="5"/>
  <c r="Z530" i="5"/>
  <c r="J530" i="5"/>
  <c r="Y530" i="5"/>
  <c r="N530" i="5"/>
  <c r="AC530" i="5"/>
  <c r="M530" i="5"/>
  <c r="AB530" i="5"/>
  <c r="L530" i="5"/>
  <c r="X530" i="5"/>
  <c r="W530" i="5"/>
  <c r="V530" i="5"/>
  <c r="Q530" i="5"/>
  <c r="P530" i="5"/>
  <c r="O530" i="5"/>
  <c r="T542" i="5"/>
  <c r="H542" i="5"/>
  <c r="S542" i="5"/>
  <c r="G542" i="5"/>
  <c r="R542" i="5"/>
  <c r="F542" i="5"/>
  <c r="U542" i="5"/>
  <c r="I542" i="5"/>
  <c r="AA542" i="5"/>
  <c r="K542" i="5"/>
  <c r="Z542" i="5"/>
  <c r="J542" i="5"/>
  <c r="Y542" i="5"/>
  <c r="N542" i="5"/>
  <c r="AC542" i="5"/>
  <c r="M542" i="5"/>
  <c r="AB542" i="5"/>
  <c r="L542" i="5"/>
  <c r="X542" i="5"/>
  <c r="W542" i="5"/>
  <c r="V542" i="5"/>
  <c r="Q542" i="5"/>
  <c r="P542" i="5"/>
  <c r="O542" i="5"/>
  <c r="T554" i="5"/>
  <c r="R166" i="3" s="1"/>
  <c r="H554" i="5"/>
  <c r="S554" i="5"/>
  <c r="G554" i="5"/>
  <c r="R554" i="5"/>
  <c r="F554" i="5"/>
  <c r="V554" i="5"/>
  <c r="J554" i="5"/>
  <c r="U554" i="5"/>
  <c r="S166" i="3" s="1"/>
  <c r="I554" i="5"/>
  <c r="G166" i="3" s="1"/>
  <c r="M554" i="5"/>
  <c r="K166" i="3" s="1"/>
  <c r="AC554" i="5"/>
  <c r="AA166" i="3" s="1"/>
  <c r="L554" i="5"/>
  <c r="AB554" i="5"/>
  <c r="K554" i="5"/>
  <c r="P554" i="5"/>
  <c r="O554" i="5"/>
  <c r="N554" i="5"/>
  <c r="X554" i="5"/>
  <c r="W554" i="5"/>
  <c r="U166" i="3" s="1"/>
  <c r="Q554" i="5"/>
  <c r="AA554" i="5"/>
  <c r="Z554" i="5"/>
  <c r="Y554" i="5"/>
  <c r="Z6" i="5"/>
  <c r="N6" i="5"/>
  <c r="T6" i="5"/>
  <c r="F6" i="5"/>
  <c r="AA6" i="5"/>
  <c r="Y6" i="5"/>
  <c r="M6" i="5"/>
  <c r="R6" i="5"/>
  <c r="X6" i="5"/>
  <c r="L6" i="5"/>
  <c r="U6" i="5"/>
  <c r="W6" i="5"/>
  <c r="K6" i="5"/>
  <c r="Q6" i="5"/>
  <c r="P6" i="5"/>
  <c r="V6" i="5"/>
  <c r="J6" i="5"/>
  <c r="I6" i="5"/>
  <c r="AB6" i="5"/>
  <c r="O6" i="5"/>
  <c r="H6" i="5"/>
  <c r="S6" i="5"/>
  <c r="G6" i="5"/>
  <c r="AC6" i="5"/>
  <c r="Z25" i="5"/>
  <c r="N25" i="5"/>
  <c r="Y25" i="5"/>
  <c r="M25" i="5"/>
  <c r="X25" i="5"/>
  <c r="L25" i="5"/>
  <c r="W25" i="5"/>
  <c r="K25" i="5"/>
  <c r="V25" i="5"/>
  <c r="J25" i="5"/>
  <c r="U25" i="5"/>
  <c r="I25" i="5"/>
  <c r="T25" i="5"/>
  <c r="H25" i="5"/>
  <c r="S25" i="5"/>
  <c r="G25" i="5"/>
  <c r="R25" i="5"/>
  <c r="F25" i="5"/>
  <c r="AC25" i="5"/>
  <c r="Q25" i="5"/>
  <c r="AB25" i="5"/>
  <c r="P25" i="5"/>
  <c r="AA25" i="5"/>
  <c r="O25" i="5"/>
  <c r="Z37" i="5"/>
  <c r="X20" i="4" s="1"/>
  <c r="N37" i="5"/>
  <c r="Y37" i="5"/>
  <c r="W20" i="4" s="1"/>
  <c r="M37" i="5"/>
  <c r="X37" i="5"/>
  <c r="L37" i="5"/>
  <c r="W37" i="5"/>
  <c r="K37" i="5"/>
  <c r="V37" i="5"/>
  <c r="J37" i="5"/>
  <c r="H20" i="4" s="1"/>
  <c r="U37" i="5"/>
  <c r="S20" i="4" s="1"/>
  <c r="I37" i="5"/>
  <c r="G20" i="4" s="1"/>
  <c r="T37" i="5"/>
  <c r="R20" i="4" s="1"/>
  <c r="H37" i="5"/>
  <c r="S37" i="5"/>
  <c r="G37" i="5"/>
  <c r="R37" i="5"/>
  <c r="P20" i="4" s="1"/>
  <c r="F37" i="5"/>
  <c r="AC37" i="5"/>
  <c r="Q37" i="5"/>
  <c r="AB37" i="5"/>
  <c r="Z20" i="4" s="1"/>
  <c r="P37" i="5"/>
  <c r="AA37" i="5"/>
  <c r="Y20" i="4" s="1"/>
  <c r="O37" i="5"/>
  <c r="Z49" i="5"/>
  <c r="N49" i="5"/>
  <c r="Y49" i="5"/>
  <c r="M49" i="5"/>
  <c r="X49" i="5"/>
  <c r="L49" i="5"/>
  <c r="W49" i="5"/>
  <c r="K49" i="5"/>
  <c r="V49" i="5"/>
  <c r="J49" i="5"/>
  <c r="U49" i="5"/>
  <c r="I49" i="5"/>
  <c r="T49" i="5"/>
  <c r="H49" i="5"/>
  <c r="S49" i="5"/>
  <c r="G49" i="5"/>
  <c r="R49" i="5"/>
  <c r="F49" i="5"/>
  <c r="AC49" i="5"/>
  <c r="Q49" i="5"/>
  <c r="AB49" i="5"/>
  <c r="P49" i="5"/>
  <c r="AA49" i="5"/>
  <c r="O49" i="5"/>
  <c r="Z61" i="5"/>
  <c r="X37" i="4" s="1"/>
  <c r="N61" i="5"/>
  <c r="Y61" i="5"/>
  <c r="W37" i="4" s="1"/>
  <c r="M61" i="5"/>
  <c r="X61" i="5"/>
  <c r="L61" i="5"/>
  <c r="W61" i="5"/>
  <c r="U37" i="4" s="1"/>
  <c r="K61" i="5"/>
  <c r="I37" i="4" s="1"/>
  <c r="V61" i="5"/>
  <c r="J61" i="5"/>
  <c r="H37" i="4" s="1"/>
  <c r="U61" i="5"/>
  <c r="S37" i="4" s="1"/>
  <c r="I61" i="5"/>
  <c r="G37" i="4" s="1"/>
  <c r="T61" i="5"/>
  <c r="R37" i="4" s="1"/>
  <c r="H61" i="5"/>
  <c r="S61" i="5"/>
  <c r="Q37" i="4" s="1"/>
  <c r="G61" i="5"/>
  <c r="R61" i="5"/>
  <c r="P37" i="4" s="1"/>
  <c r="F61" i="5"/>
  <c r="AC61" i="5"/>
  <c r="Q61" i="5"/>
  <c r="AB61" i="5"/>
  <c r="Z37" i="4" s="1"/>
  <c r="P61" i="5"/>
  <c r="N37" i="4" s="1"/>
  <c r="AA61" i="5"/>
  <c r="Y37" i="4" s="1"/>
  <c r="O61" i="5"/>
  <c r="M37" i="4" s="1"/>
  <c r="Z73" i="5"/>
  <c r="N73" i="5"/>
  <c r="Y73" i="5"/>
  <c r="M73" i="5"/>
  <c r="X73" i="5"/>
  <c r="L73" i="5"/>
  <c r="W73" i="5"/>
  <c r="K73" i="5"/>
  <c r="V73" i="5"/>
  <c r="J73" i="5"/>
  <c r="U73" i="5"/>
  <c r="I73" i="5"/>
  <c r="T73" i="5"/>
  <c r="H73" i="5"/>
  <c r="S73" i="5"/>
  <c r="G73" i="5"/>
  <c r="R73" i="5"/>
  <c r="F73" i="5"/>
  <c r="AC73" i="5"/>
  <c r="Q73" i="5"/>
  <c r="AB73" i="5"/>
  <c r="P73" i="5"/>
  <c r="AA73" i="5"/>
  <c r="O73" i="5"/>
  <c r="Z85" i="5"/>
  <c r="N85" i="5"/>
  <c r="Y85" i="5"/>
  <c r="M85" i="5"/>
  <c r="X85" i="5"/>
  <c r="L85" i="5"/>
  <c r="W85" i="5"/>
  <c r="K85" i="5"/>
  <c r="V85" i="5"/>
  <c r="J85" i="5"/>
  <c r="U85" i="5"/>
  <c r="I85" i="5"/>
  <c r="T85" i="5"/>
  <c r="H85" i="5"/>
  <c r="S85" i="5"/>
  <c r="G85" i="5"/>
  <c r="R85" i="5"/>
  <c r="F85" i="5"/>
  <c r="AC85" i="5"/>
  <c r="Q85" i="5"/>
  <c r="AB85" i="5"/>
  <c r="P85" i="5"/>
  <c r="AA85" i="5"/>
  <c r="O85" i="5"/>
  <c r="Z97" i="5"/>
  <c r="N97" i="5"/>
  <c r="Y97" i="5"/>
  <c r="M97" i="5"/>
  <c r="X97" i="5"/>
  <c r="L97" i="5"/>
  <c r="W97" i="5"/>
  <c r="K97" i="5"/>
  <c r="V97" i="5"/>
  <c r="J97" i="5"/>
  <c r="U97" i="5"/>
  <c r="I97" i="5"/>
  <c r="T97" i="5"/>
  <c r="H97" i="5"/>
  <c r="S97" i="5"/>
  <c r="G97" i="5"/>
  <c r="R97" i="5"/>
  <c r="F97" i="5"/>
  <c r="AC97" i="5"/>
  <c r="Q97" i="5"/>
  <c r="AB97" i="5"/>
  <c r="P97" i="5"/>
  <c r="AA97" i="5"/>
  <c r="O97" i="5"/>
  <c r="AC109" i="5"/>
  <c r="Q109" i="5"/>
  <c r="AB109" i="5"/>
  <c r="Z43" i="4" s="1"/>
  <c r="AA109" i="5"/>
  <c r="Z109" i="5"/>
  <c r="N109" i="5"/>
  <c r="Y109" i="5"/>
  <c r="X109" i="5"/>
  <c r="L109" i="5"/>
  <c r="J43" i="4" s="1"/>
  <c r="P109" i="5"/>
  <c r="N43" i="4" s="1"/>
  <c r="O109" i="5"/>
  <c r="M43" i="4" s="1"/>
  <c r="M109" i="5"/>
  <c r="K43" i="4" s="1"/>
  <c r="K109" i="5"/>
  <c r="I43" i="4" s="1"/>
  <c r="J109" i="5"/>
  <c r="I109" i="5"/>
  <c r="W109" i="5"/>
  <c r="H109" i="5"/>
  <c r="V109" i="5"/>
  <c r="T43" i="4" s="1"/>
  <c r="G109" i="5"/>
  <c r="U109" i="5"/>
  <c r="S43" i="4" s="1"/>
  <c r="F109" i="5"/>
  <c r="T109" i="5"/>
  <c r="R43" i="4" s="1"/>
  <c r="S109" i="5"/>
  <c r="Q43" i="4" s="1"/>
  <c r="R109" i="5"/>
  <c r="P43" i="4" s="1"/>
  <c r="AC121" i="5"/>
  <c r="AA56" i="4" s="1"/>
  <c r="Q121" i="5"/>
  <c r="AB121" i="5"/>
  <c r="Z56" i="4" s="1"/>
  <c r="P121" i="5"/>
  <c r="AA121" i="5"/>
  <c r="O121" i="5"/>
  <c r="Z121" i="5"/>
  <c r="N121" i="5"/>
  <c r="L56" i="4" s="1"/>
  <c r="Y121" i="5"/>
  <c r="W56" i="4" s="1"/>
  <c r="M121" i="5"/>
  <c r="K56" i="4" s="1"/>
  <c r="X121" i="5"/>
  <c r="V56" i="4" s="1"/>
  <c r="L121" i="5"/>
  <c r="J56" i="4" s="1"/>
  <c r="W121" i="5"/>
  <c r="U56" i="4" s="1"/>
  <c r="K121" i="5"/>
  <c r="V121" i="5"/>
  <c r="J121" i="5"/>
  <c r="U121" i="5"/>
  <c r="I121" i="5"/>
  <c r="T121" i="5"/>
  <c r="H121" i="5"/>
  <c r="F56" i="4" s="1"/>
  <c r="S121" i="5"/>
  <c r="Q56" i="4" s="1"/>
  <c r="G121" i="5"/>
  <c r="R121" i="5"/>
  <c r="F121" i="5"/>
  <c r="AC133" i="5"/>
  <c r="AA66" i="4" s="1"/>
  <c r="Q133" i="5"/>
  <c r="AB133" i="5"/>
  <c r="Z66" i="4" s="1"/>
  <c r="P133" i="5"/>
  <c r="AA133" i="5"/>
  <c r="O133" i="5"/>
  <c r="Z133" i="5"/>
  <c r="N133" i="5"/>
  <c r="Y133" i="5"/>
  <c r="M133" i="5"/>
  <c r="K66" i="4" s="1"/>
  <c r="X133" i="5"/>
  <c r="V66" i="4" s="1"/>
  <c r="L133" i="5"/>
  <c r="J66" i="4" s="1"/>
  <c r="W133" i="5"/>
  <c r="U66" i="4" s="1"/>
  <c r="K133" i="5"/>
  <c r="V133" i="5"/>
  <c r="T66" i="4" s="1"/>
  <c r="J133" i="5"/>
  <c r="U133" i="5"/>
  <c r="I133" i="5"/>
  <c r="T133" i="5"/>
  <c r="H133" i="5"/>
  <c r="F66" i="4" s="1"/>
  <c r="S133" i="5"/>
  <c r="Q66" i="4" s="1"/>
  <c r="G133" i="5"/>
  <c r="R133" i="5"/>
  <c r="F133" i="5"/>
  <c r="D66" i="4" s="1"/>
  <c r="AC145" i="5"/>
  <c r="Q145" i="5"/>
  <c r="AB145" i="5"/>
  <c r="P145" i="5"/>
  <c r="AA145" i="5"/>
  <c r="O145" i="5"/>
  <c r="Z145" i="5"/>
  <c r="N145" i="5"/>
  <c r="Y145" i="5"/>
  <c r="M145" i="5"/>
  <c r="X145" i="5"/>
  <c r="L145" i="5"/>
  <c r="W145" i="5"/>
  <c r="K145" i="5"/>
  <c r="V145" i="5"/>
  <c r="J145" i="5"/>
  <c r="U145" i="5"/>
  <c r="I145" i="5"/>
  <c r="T145" i="5"/>
  <c r="H145" i="5"/>
  <c r="S145" i="5"/>
  <c r="G145" i="5"/>
  <c r="R145" i="5"/>
  <c r="F145" i="5"/>
  <c r="X157" i="5"/>
  <c r="L157" i="5"/>
  <c r="W157" i="5"/>
  <c r="K157" i="5"/>
  <c r="V157" i="5"/>
  <c r="J157" i="5"/>
  <c r="U157" i="5"/>
  <c r="I157" i="5"/>
  <c r="T157" i="5"/>
  <c r="H157" i="5"/>
  <c r="S157" i="5"/>
  <c r="G157" i="5"/>
  <c r="R157" i="5"/>
  <c r="F157" i="5"/>
  <c r="AC157" i="5"/>
  <c r="AB157" i="5"/>
  <c r="AA157" i="5"/>
  <c r="Z157" i="5"/>
  <c r="Y157" i="5"/>
  <c r="Q157" i="5"/>
  <c r="P157" i="5"/>
  <c r="O157" i="5"/>
  <c r="N157" i="5"/>
  <c r="M157" i="5"/>
  <c r="X169" i="5"/>
  <c r="V89" i="4" s="1"/>
  <c r="L169" i="5"/>
  <c r="J89" i="4" s="1"/>
  <c r="W169" i="5"/>
  <c r="U89" i="4" s="1"/>
  <c r="K169" i="5"/>
  <c r="V169" i="5"/>
  <c r="J169" i="5"/>
  <c r="U169" i="5"/>
  <c r="I169" i="5"/>
  <c r="T169" i="5"/>
  <c r="R89" i="4" s="1"/>
  <c r="H169" i="5"/>
  <c r="S169" i="5"/>
  <c r="Q89" i="4" s="1"/>
  <c r="G169" i="5"/>
  <c r="E89" i="4" s="1"/>
  <c r="R169" i="5"/>
  <c r="P89" i="4" s="1"/>
  <c r="F169" i="5"/>
  <c r="D89" i="4" s="1"/>
  <c r="AC169" i="5"/>
  <c r="AA89" i="4" s="1"/>
  <c r="Q169" i="5"/>
  <c r="AB169" i="5"/>
  <c r="Z89" i="4" s="1"/>
  <c r="P169" i="5"/>
  <c r="AA169" i="5"/>
  <c r="O169" i="5"/>
  <c r="Z169" i="5"/>
  <c r="N169" i="5"/>
  <c r="L89" i="4" s="1"/>
  <c r="Y169" i="5"/>
  <c r="W89" i="4" s="1"/>
  <c r="M169" i="5"/>
  <c r="K89" i="4" s="1"/>
  <c r="X181" i="5"/>
  <c r="V103" i="4" s="1"/>
  <c r="L181" i="5"/>
  <c r="J103" i="4" s="1"/>
  <c r="W181" i="5"/>
  <c r="U103" i="4" s="1"/>
  <c r="K181" i="5"/>
  <c r="V181" i="5"/>
  <c r="T103" i="4" s="1"/>
  <c r="J181" i="5"/>
  <c r="U181" i="5"/>
  <c r="I181" i="5"/>
  <c r="T181" i="5"/>
  <c r="H181" i="5"/>
  <c r="S181" i="5"/>
  <c r="Q103" i="4" s="1"/>
  <c r="G181" i="5"/>
  <c r="R181" i="5"/>
  <c r="P103" i="4" s="1"/>
  <c r="F181" i="5"/>
  <c r="D103" i="4" s="1"/>
  <c r="AC181" i="5"/>
  <c r="AA103" i="4" s="1"/>
  <c r="Q181" i="5"/>
  <c r="AB181" i="5"/>
  <c r="Z103" i="4" s="1"/>
  <c r="P181" i="5"/>
  <c r="AA181" i="5"/>
  <c r="O181" i="5"/>
  <c r="Z181" i="5"/>
  <c r="N181" i="5"/>
  <c r="L103" i="4" s="1"/>
  <c r="Y181" i="5"/>
  <c r="W103" i="4" s="1"/>
  <c r="M181" i="5"/>
  <c r="K103" i="4" s="1"/>
  <c r="X193" i="5"/>
  <c r="V120" i="4" s="1"/>
  <c r="L193" i="5"/>
  <c r="J120" i="4" s="1"/>
  <c r="W193" i="5"/>
  <c r="U120" i="4" s="1"/>
  <c r="K193" i="5"/>
  <c r="V193" i="5"/>
  <c r="T120" i="4" s="1"/>
  <c r="J193" i="5"/>
  <c r="U193" i="5"/>
  <c r="I193" i="5"/>
  <c r="T193" i="5"/>
  <c r="R120" i="4" s="1"/>
  <c r="H193" i="5"/>
  <c r="S193" i="5"/>
  <c r="Q120" i="4" s="1"/>
  <c r="G193" i="5"/>
  <c r="E120" i="4" s="1"/>
  <c r="R193" i="5"/>
  <c r="F193" i="5"/>
  <c r="AC193" i="5"/>
  <c r="AA120" i="4" s="1"/>
  <c r="Q193" i="5"/>
  <c r="AB193" i="5"/>
  <c r="Z120" i="4" s="1"/>
  <c r="P193" i="5"/>
  <c r="AA193" i="5"/>
  <c r="O193" i="5"/>
  <c r="M120" i="4" s="1"/>
  <c r="Z193" i="5"/>
  <c r="N193" i="5"/>
  <c r="L120" i="4" s="1"/>
  <c r="Y193" i="5"/>
  <c r="W120" i="4" s="1"/>
  <c r="M193" i="5"/>
  <c r="K120" i="4" s="1"/>
  <c r="X205" i="5"/>
  <c r="V127" i="4" s="1"/>
  <c r="L205" i="5"/>
  <c r="J127" i="4" s="1"/>
  <c r="W205" i="5"/>
  <c r="U127" i="4" s="1"/>
  <c r="K205" i="5"/>
  <c r="V205" i="5"/>
  <c r="J205" i="5"/>
  <c r="U205" i="5"/>
  <c r="I205" i="5"/>
  <c r="G127" i="4" s="1"/>
  <c r="T205" i="5"/>
  <c r="R127" i="4" s="1"/>
  <c r="H205" i="5"/>
  <c r="F127" i="4" s="1"/>
  <c r="S205" i="5"/>
  <c r="Q127" i="4" s="1"/>
  <c r="G205" i="5"/>
  <c r="E127" i="4" s="1"/>
  <c r="R205" i="5"/>
  <c r="F205" i="5"/>
  <c r="D127" i="4" s="1"/>
  <c r="AC205" i="5"/>
  <c r="AA127" i="4" s="1"/>
  <c r="Q205" i="5"/>
  <c r="AB205" i="5"/>
  <c r="Z127" i="4" s="1"/>
  <c r="P205" i="5"/>
  <c r="AA205" i="5"/>
  <c r="O205" i="5"/>
  <c r="Z205" i="5"/>
  <c r="N205" i="5"/>
  <c r="Y205" i="5"/>
  <c r="M205" i="5"/>
  <c r="K127" i="4" s="1"/>
  <c r="T217" i="5"/>
  <c r="R47" i="4" s="1"/>
  <c r="H217" i="5"/>
  <c r="S217" i="5"/>
  <c r="Q47" i="4" s="1"/>
  <c r="G217" i="5"/>
  <c r="R217" i="5"/>
  <c r="F217" i="5"/>
  <c r="AC217" i="5"/>
  <c r="Q217" i="5"/>
  <c r="O47" i="4" s="1"/>
  <c r="AB217" i="5"/>
  <c r="Z47" i="4" s="1"/>
  <c r="P217" i="5"/>
  <c r="AA217" i="5"/>
  <c r="Y47" i="4" s="1"/>
  <c r="O217" i="5"/>
  <c r="Z217" i="5"/>
  <c r="X47" i="4" s="1"/>
  <c r="N217" i="5"/>
  <c r="L47" i="4" s="1"/>
  <c r="Y217" i="5"/>
  <c r="W47" i="4" s="1"/>
  <c r="M217" i="5"/>
  <c r="W217" i="5"/>
  <c r="K217" i="5"/>
  <c r="V217" i="5"/>
  <c r="J217" i="5"/>
  <c r="X217" i="5"/>
  <c r="U217" i="5"/>
  <c r="S47" i="4" s="1"/>
  <c r="L217" i="5"/>
  <c r="I217" i="5"/>
  <c r="G47" i="4" s="1"/>
  <c r="T229" i="5"/>
  <c r="R195" i="4" s="1"/>
  <c r="H229" i="5"/>
  <c r="S229" i="5"/>
  <c r="Q195" i="4" s="1"/>
  <c r="G229" i="5"/>
  <c r="R229" i="5"/>
  <c r="P195" i="4" s="1"/>
  <c r="F229" i="5"/>
  <c r="AC229" i="5"/>
  <c r="AA195" i="4" s="1"/>
  <c r="Q229" i="5"/>
  <c r="AB229" i="5"/>
  <c r="Z195" i="4" s="1"/>
  <c r="P229" i="5"/>
  <c r="AA229" i="5"/>
  <c r="Y195" i="4" s="1"/>
  <c r="O229" i="5"/>
  <c r="M195" i="4" s="1"/>
  <c r="Z229" i="5"/>
  <c r="N229" i="5"/>
  <c r="L195" i="4" s="1"/>
  <c r="Y229" i="5"/>
  <c r="W195" i="4" s="1"/>
  <c r="M229" i="5"/>
  <c r="X229" i="5"/>
  <c r="L229" i="5"/>
  <c r="W229" i="5"/>
  <c r="U195" i="4" s="1"/>
  <c r="K229" i="5"/>
  <c r="V229" i="5"/>
  <c r="T195" i="4" s="1"/>
  <c r="J229" i="5"/>
  <c r="U229" i="5"/>
  <c r="S195" i="4" s="1"/>
  <c r="I229" i="5"/>
  <c r="T241" i="5"/>
  <c r="H241" i="5"/>
  <c r="S241" i="5"/>
  <c r="G241" i="5"/>
  <c r="R241" i="5"/>
  <c r="F241" i="5"/>
  <c r="AC241" i="5"/>
  <c r="Q241" i="5"/>
  <c r="AB241" i="5"/>
  <c r="P241" i="5"/>
  <c r="AA241" i="5"/>
  <c r="O241" i="5"/>
  <c r="Z241" i="5"/>
  <c r="N241" i="5"/>
  <c r="Y241" i="5"/>
  <c r="M241" i="5"/>
  <c r="X241" i="5"/>
  <c r="L241" i="5"/>
  <c r="W241" i="5"/>
  <c r="K241" i="5"/>
  <c r="V241" i="5"/>
  <c r="J241" i="5"/>
  <c r="U241" i="5"/>
  <c r="I241" i="5"/>
  <c r="S254" i="5"/>
  <c r="G254" i="5"/>
  <c r="R254" i="5"/>
  <c r="AC254" i="5"/>
  <c r="Q254" i="5"/>
  <c r="AB254" i="5"/>
  <c r="P254" i="5"/>
  <c r="AA254" i="5"/>
  <c r="O254" i="5"/>
  <c r="Z254" i="5"/>
  <c r="N254" i="5"/>
  <c r="T254" i="5"/>
  <c r="M254" i="5"/>
  <c r="L254" i="5"/>
  <c r="K254" i="5"/>
  <c r="J254" i="5"/>
  <c r="I254" i="5"/>
  <c r="H254" i="5"/>
  <c r="Y254" i="5"/>
  <c r="F254" i="5"/>
  <c r="X254" i="5"/>
  <c r="W254" i="5"/>
  <c r="V254" i="5"/>
  <c r="U254" i="5"/>
  <c r="S266" i="5"/>
  <c r="G266" i="5"/>
  <c r="R266" i="5"/>
  <c r="F266" i="5"/>
  <c r="AC266" i="5"/>
  <c r="Q266" i="5"/>
  <c r="AB266" i="5"/>
  <c r="P266" i="5"/>
  <c r="AA266" i="5"/>
  <c r="O266" i="5"/>
  <c r="Z266" i="5"/>
  <c r="N266" i="5"/>
  <c r="Y266" i="5"/>
  <c r="M266" i="5"/>
  <c r="X266" i="5"/>
  <c r="L266" i="5"/>
  <c r="W266" i="5"/>
  <c r="K266" i="5"/>
  <c r="V266" i="5"/>
  <c r="J266" i="5"/>
  <c r="U266" i="5"/>
  <c r="I266" i="5"/>
  <c r="T266" i="5"/>
  <c r="H266" i="5"/>
  <c r="S278" i="5"/>
  <c r="G278" i="5"/>
  <c r="R278" i="5"/>
  <c r="F278" i="5"/>
  <c r="AC278" i="5"/>
  <c r="Q278" i="5"/>
  <c r="AB278" i="5"/>
  <c r="P278" i="5"/>
  <c r="AA278" i="5"/>
  <c r="O278" i="5"/>
  <c r="Z278" i="5"/>
  <c r="N278" i="5"/>
  <c r="Y278" i="5"/>
  <c r="M278" i="5"/>
  <c r="X278" i="5"/>
  <c r="L278" i="5"/>
  <c r="W278" i="5"/>
  <c r="K278" i="5"/>
  <c r="V278" i="5"/>
  <c r="J278" i="5"/>
  <c r="U278" i="5"/>
  <c r="I278" i="5"/>
  <c r="T278" i="5"/>
  <c r="H278" i="5"/>
  <c r="S290" i="5"/>
  <c r="Q9" i="3" s="1"/>
  <c r="G290" i="5"/>
  <c r="E9" i="3" s="1"/>
  <c r="R290" i="5"/>
  <c r="F290" i="5"/>
  <c r="D9" i="3" s="1"/>
  <c r="AC290" i="5"/>
  <c r="AA9" i="3" s="1"/>
  <c r="Q290" i="5"/>
  <c r="AB290" i="5"/>
  <c r="Z9" i="3" s="1"/>
  <c r="P290" i="5"/>
  <c r="AA290" i="5"/>
  <c r="Y9" i="3" s="1"/>
  <c r="O290" i="5"/>
  <c r="M9" i="3" s="1"/>
  <c r="Z290" i="5"/>
  <c r="X9" i="3" s="1"/>
  <c r="N290" i="5"/>
  <c r="L9" i="3" s="1"/>
  <c r="Y290" i="5"/>
  <c r="M290" i="5"/>
  <c r="X290" i="5"/>
  <c r="V9" i="3" s="1"/>
  <c r="L290" i="5"/>
  <c r="J9" i="3" s="1"/>
  <c r="W290" i="5"/>
  <c r="U9" i="3" s="1"/>
  <c r="K290" i="5"/>
  <c r="V290" i="5"/>
  <c r="J290" i="5"/>
  <c r="H9" i="3" s="1"/>
  <c r="U290" i="5"/>
  <c r="I290" i="5"/>
  <c r="G9" i="3" s="1"/>
  <c r="T290" i="5"/>
  <c r="R9" i="3" s="1"/>
  <c r="H290" i="5"/>
  <c r="F9" i="3" s="1"/>
  <c r="V302" i="5"/>
  <c r="J302" i="5"/>
  <c r="U302" i="5"/>
  <c r="I302" i="5"/>
  <c r="T302" i="5"/>
  <c r="H302" i="5"/>
  <c r="S302" i="5"/>
  <c r="G302" i="5"/>
  <c r="R302" i="5"/>
  <c r="F302" i="5"/>
  <c r="AC302" i="5"/>
  <c r="Q302" i="5"/>
  <c r="M302" i="5"/>
  <c r="L302" i="5"/>
  <c r="K302" i="5"/>
  <c r="AB302" i="5"/>
  <c r="AA302" i="5"/>
  <c r="Z302" i="5"/>
  <c r="Y302" i="5"/>
  <c r="X302" i="5"/>
  <c r="W302" i="5"/>
  <c r="P302" i="5"/>
  <c r="O302" i="5"/>
  <c r="N302" i="5"/>
  <c r="V314" i="5"/>
  <c r="J314" i="5"/>
  <c r="U314" i="5"/>
  <c r="I314" i="5"/>
  <c r="T314" i="5"/>
  <c r="H314" i="5"/>
  <c r="S314" i="5"/>
  <c r="G314" i="5"/>
  <c r="R314" i="5"/>
  <c r="F314" i="5"/>
  <c r="AC314" i="5"/>
  <c r="Q314" i="5"/>
  <c r="AB314" i="5"/>
  <c r="P314" i="5"/>
  <c r="AA314" i="5"/>
  <c r="O314" i="5"/>
  <c r="Z314" i="5"/>
  <c r="N314" i="5"/>
  <c r="Y314" i="5"/>
  <c r="M314" i="5"/>
  <c r="X314" i="5"/>
  <c r="L314" i="5"/>
  <c r="W314" i="5"/>
  <c r="K314" i="5"/>
  <c r="V326" i="5"/>
  <c r="J326" i="5"/>
  <c r="U326" i="5"/>
  <c r="I326" i="5"/>
  <c r="T326" i="5"/>
  <c r="H326" i="5"/>
  <c r="S326" i="5"/>
  <c r="G326" i="5"/>
  <c r="R326" i="5"/>
  <c r="F326" i="5"/>
  <c r="AC326" i="5"/>
  <c r="Q326" i="5"/>
  <c r="AB326" i="5"/>
  <c r="P326" i="5"/>
  <c r="AA326" i="5"/>
  <c r="O326" i="5"/>
  <c r="Z326" i="5"/>
  <c r="N326" i="5"/>
  <c r="Y326" i="5"/>
  <c r="M326" i="5"/>
  <c r="X326" i="5"/>
  <c r="L326" i="5"/>
  <c r="W326" i="5"/>
  <c r="K326" i="5"/>
  <c r="V339" i="5"/>
  <c r="J339" i="5"/>
  <c r="U339" i="5"/>
  <c r="I339" i="5"/>
  <c r="T339" i="5"/>
  <c r="H339" i="5"/>
  <c r="S339" i="5"/>
  <c r="G339" i="5"/>
  <c r="R339" i="5"/>
  <c r="F339" i="5"/>
  <c r="AC339" i="5"/>
  <c r="Q339" i="5"/>
  <c r="AB339" i="5"/>
  <c r="P339" i="5"/>
  <c r="AA339" i="5"/>
  <c r="O339" i="5"/>
  <c r="Z339" i="5"/>
  <c r="N339" i="5"/>
  <c r="Y339" i="5"/>
  <c r="M339" i="5"/>
  <c r="X339" i="5"/>
  <c r="L339" i="5"/>
  <c r="W339" i="5"/>
  <c r="K339" i="5"/>
  <c r="U351" i="5"/>
  <c r="I351" i="5"/>
  <c r="T351" i="5"/>
  <c r="H351" i="5"/>
  <c r="S351" i="5"/>
  <c r="G351" i="5"/>
  <c r="R351" i="5"/>
  <c r="F351" i="5"/>
  <c r="AC351" i="5"/>
  <c r="Q351" i="5"/>
  <c r="AB351" i="5"/>
  <c r="P351" i="5"/>
  <c r="AA351" i="5"/>
  <c r="O351" i="5"/>
  <c r="Z351" i="5"/>
  <c r="N351" i="5"/>
  <c r="X351" i="5"/>
  <c r="L351" i="5"/>
  <c r="W351" i="5"/>
  <c r="V351" i="5"/>
  <c r="M351" i="5"/>
  <c r="K351" i="5"/>
  <c r="J351" i="5"/>
  <c r="Y351" i="5"/>
  <c r="U363" i="5"/>
  <c r="I363" i="5"/>
  <c r="T363" i="5"/>
  <c r="H363" i="5"/>
  <c r="S363" i="5"/>
  <c r="G363" i="5"/>
  <c r="R363" i="5"/>
  <c r="F363" i="5"/>
  <c r="AC363" i="5"/>
  <c r="Q363" i="5"/>
  <c r="AB363" i="5"/>
  <c r="P363" i="5"/>
  <c r="AA363" i="5"/>
  <c r="O363" i="5"/>
  <c r="Z363" i="5"/>
  <c r="N363" i="5"/>
  <c r="Y363" i="5"/>
  <c r="M363" i="5"/>
  <c r="X363" i="5"/>
  <c r="L363" i="5"/>
  <c r="W363" i="5"/>
  <c r="K363" i="5"/>
  <c r="V363" i="5"/>
  <c r="J363" i="5"/>
  <c r="U375" i="5"/>
  <c r="I375" i="5"/>
  <c r="T375" i="5"/>
  <c r="H375" i="5"/>
  <c r="S375" i="5"/>
  <c r="G375" i="5"/>
  <c r="R375" i="5"/>
  <c r="F375" i="5"/>
  <c r="AC375" i="5"/>
  <c r="Q375" i="5"/>
  <c r="AB375" i="5"/>
  <c r="P375" i="5"/>
  <c r="AA375" i="5"/>
  <c r="O375" i="5"/>
  <c r="Z375" i="5"/>
  <c r="N375" i="5"/>
  <c r="Y375" i="5"/>
  <c r="M375" i="5"/>
  <c r="X375" i="5"/>
  <c r="L375" i="5"/>
  <c r="W375" i="5"/>
  <c r="K375" i="5"/>
  <c r="V375" i="5"/>
  <c r="J375" i="5"/>
  <c r="Z387" i="5"/>
  <c r="X107" i="3" s="1"/>
  <c r="N387" i="5"/>
  <c r="L107" i="3" s="1"/>
  <c r="Y387" i="5"/>
  <c r="W107" i="3" s="1"/>
  <c r="M387" i="5"/>
  <c r="K107" i="3" s="1"/>
  <c r="X387" i="5"/>
  <c r="V107" i="3" s="1"/>
  <c r="L387" i="5"/>
  <c r="J107" i="3" s="1"/>
  <c r="W387" i="5"/>
  <c r="K387" i="5"/>
  <c r="V387" i="5"/>
  <c r="T107" i="3" s="1"/>
  <c r="J387" i="5"/>
  <c r="U387" i="5"/>
  <c r="S107" i="3" s="1"/>
  <c r="I387" i="5"/>
  <c r="G107" i="3" s="1"/>
  <c r="AA387" i="5"/>
  <c r="Y107" i="3" s="1"/>
  <c r="T387" i="5"/>
  <c r="R107" i="3" s="1"/>
  <c r="S387" i="5"/>
  <c r="Q107" i="3" s="1"/>
  <c r="R387" i="5"/>
  <c r="P107" i="3" s="1"/>
  <c r="Q387" i="5"/>
  <c r="O107" i="3" s="1"/>
  <c r="P387" i="5"/>
  <c r="O387" i="5"/>
  <c r="M107" i="3" s="1"/>
  <c r="H387" i="5"/>
  <c r="G387" i="5"/>
  <c r="F387" i="5"/>
  <c r="AC387" i="5"/>
  <c r="AA107" i="3" s="1"/>
  <c r="AB387" i="5"/>
  <c r="Z107" i="3" s="1"/>
  <c r="Z399" i="5"/>
  <c r="X85" i="3" s="1"/>
  <c r="N399" i="5"/>
  <c r="L85" i="3" s="1"/>
  <c r="Y399" i="5"/>
  <c r="W85" i="3" s="1"/>
  <c r="M399" i="5"/>
  <c r="K85" i="3" s="1"/>
  <c r="X399" i="5"/>
  <c r="V85" i="3" s="1"/>
  <c r="L399" i="5"/>
  <c r="W399" i="5"/>
  <c r="K399" i="5"/>
  <c r="V399" i="5"/>
  <c r="T85" i="3" s="1"/>
  <c r="J399" i="5"/>
  <c r="U399" i="5"/>
  <c r="S85" i="3" s="1"/>
  <c r="I399" i="5"/>
  <c r="G85" i="3" s="1"/>
  <c r="T399" i="5"/>
  <c r="R85" i="3" s="1"/>
  <c r="H399" i="5"/>
  <c r="F85" i="3" s="1"/>
  <c r="S399" i="5"/>
  <c r="Q85" i="3" s="1"/>
  <c r="G399" i="5"/>
  <c r="E85" i="3" s="1"/>
  <c r="R399" i="5"/>
  <c r="P85" i="3" s="1"/>
  <c r="F399" i="5"/>
  <c r="AC399" i="5"/>
  <c r="AA85" i="3" s="1"/>
  <c r="Q399" i="5"/>
  <c r="O85" i="3" s="1"/>
  <c r="AB399" i="5"/>
  <c r="Z85" i="3" s="1"/>
  <c r="P399" i="5"/>
  <c r="N85" i="3" s="1"/>
  <c r="AA399" i="5"/>
  <c r="O399" i="5"/>
  <c r="M85" i="3" s="1"/>
  <c r="Z411" i="5"/>
  <c r="N411" i="5"/>
  <c r="Y411" i="5"/>
  <c r="M411" i="5"/>
  <c r="X411" i="5"/>
  <c r="L411" i="5"/>
  <c r="W411" i="5"/>
  <c r="K411" i="5"/>
  <c r="V411" i="5"/>
  <c r="J411" i="5"/>
  <c r="U411" i="5"/>
  <c r="I411" i="5"/>
  <c r="T411" i="5"/>
  <c r="H411" i="5"/>
  <c r="S411" i="5"/>
  <c r="G411" i="5"/>
  <c r="R411" i="5"/>
  <c r="F411" i="5"/>
  <c r="AC411" i="5"/>
  <c r="Q411" i="5"/>
  <c r="AB411" i="5"/>
  <c r="P411" i="5"/>
  <c r="AA411" i="5"/>
  <c r="O411" i="5"/>
  <c r="Z423" i="5"/>
  <c r="N423" i="5"/>
  <c r="Y423" i="5"/>
  <c r="M423" i="5"/>
  <c r="X423" i="5"/>
  <c r="L423" i="5"/>
  <c r="W423" i="5"/>
  <c r="K423" i="5"/>
  <c r="V423" i="5"/>
  <c r="J423" i="5"/>
  <c r="U423" i="5"/>
  <c r="I423" i="5"/>
  <c r="T423" i="5"/>
  <c r="H423" i="5"/>
  <c r="AA423" i="5"/>
  <c r="S423" i="5"/>
  <c r="R423" i="5"/>
  <c r="Q423" i="5"/>
  <c r="P423" i="5"/>
  <c r="O423" i="5"/>
  <c r="G423" i="5"/>
  <c r="F423" i="5"/>
  <c r="AC423" i="5"/>
  <c r="AB423" i="5"/>
  <c r="Z435" i="5"/>
  <c r="X147" i="3" s="1"/>
  <c r="X149" i="3" s="1"/>
  <c r="N435" i="5"/>
  <c r="L147" i="3" s="1"/>
  <c r="L149" i="3" s="1"/>
  <c r="Y435" i="5"/>
  <c r="W147" i="3" s="1"/>
  <c r="W149" i="3" s="1"/>
  <c r="M435" i="5"/>
  <c r="K147" i="3" s="1"/>
  <c r="K149" i="3" s="1"/>
  <c r="X435" i="5"/>
  <c r="V147" i="3" s="1"/>
  <c r="V149" i="3" s="1"/>
  <c r="L435" i="5"/>
  <c r="W435" i="5"/>
  <c r="K435" i="5"/>
  <c r="V435" i="5"/>
  <c r="T147" i="3" s="1"/>
  <c r="T149" i="3" s="1"/>
  <c r="J435" i="5"/>
  <c r="H147" i="3" s="1"/>
  <c r="H149" i="3" s="1"/>
  <c r="U435" i="5"/>
  <c r="S147" i="3" s="1"/>
  <c r="S149" i="3" s="1"/>
  <c r="I435" i="5"/>
  <c r="G147" i="3" s="1"/>
  <c r="G149" i="3" s="1"/>
  <c r="T435" i="5"/>
  <c r="R147" i="3" s="1"/>
  <c r="R149" i="3" s="1"/>
  <c r="H435" i="5"/>
  <c r="F147" i="3" s="1"/>
  <c r="F149" i="3" s="1"/>
  <c r="S435" i="5"/>
  <c r="Q147" i="3" s="1"/>
  <c r="Q149" i="3" s="1"/>
  <c r="G435" i="5"/>
  <c r="E147" i="3" s="1"/>
  <c r="E149" i="3" s="1"/>
  <c r="R435" i="5"/>
  <c r="F435" i="5"/>
  <c r="AC435" i="5"/>
  <c r="AA147" i="3" s="1"/>
  <c r="AA149" i="3" s="1"/>
  <c r="Q435" i="5"/>
  <c r="AB435" i="5"/>
  <c r="Z147" i="3" s="1"/>
  <c r="Z149" i="3" s="1"/>
  <c r="P435" i="5"/>
  <c r="AA435" i="5"/>
  <c r="Y147" i="3" s="1"/>
  <c r="Y149" i="3" s="1"/>
  <c r="O435" i="5"/>
  <c r="M147" i="3" s="1"/>
  <c r="M149" i="3" s="1"/>
  <c r="Z447" i="5"/>
  <c r="N447" i="5"/>
  <c r="Y447" i="5"/>
  <c r="M447" i="5"/>
  <c r="X447" i="5"/>
  <c r="L447" i="5"/>
  <c r="W447" i="5"/>
  <c r="K447" i="5"/>
  <c r="V447" i="5"/>
  <c r="J447" i="5"/>
  <c r="U447" i="5"/>
  <c r="I447" i="5"/>
  <c r="T447" i="5"/>
  <c r="H447" i="5"/>
  <c r="S447" i="5"/>
  <c r="G447" i="5"/>
  <c r="R447" i="5"/>
  <c r="F447" i="5"/>
  <c r="AC447" i="5"/>
  <c r="Q447" i="5"/>
  <c r="AB447" i="5"/>
  <c r="P447" i="5"/>
  <c r="AA447" i="5"/>
  <c r="O447" i="5"/>
  <c r="AA459" i="5"/>
  <c r="O459" i="5"/>
  <c r="Z459" i="5"/>
  <c r="N459" i="5"/>
  <c r="Y459" i="5"/>
  <c r="M459" i="5"/>
  <c r="X459" i="5"/>
  <c r="L459" i="5"/>
  <c r="W459" i="5"/>
  <c r="K459" i="5"/>
  <c r="V459" i="5"/>
  <c r="J459" i="5"/>
  <c r="U459" i="5"/>
  <c r="I459" i="5"/>
  <c r="AC459" i="5"/>
  <c r="AB459" i="5"/>
  <c r="T459" i="5"/>
  <c r="S459" i="5"/>
  <c r="R459" i="5"/>
  <c r="Q459" i="5"/>
  <c r="P459" i="5"/>
  <c r="H459" i="5"/>
  <c r="G459" i="5"/>
  <c r="F459" i="5"/>
  <c r="AA471" i="5"/>
  <c r="O471" i="5"/>
  <c r="Z471" i="5"/>
  <c r="N471" i="5"/>
  <c r="Y471" i="5"/>
  <c r="M471" i="5"/>
  <c r="X471" i="5"/>
  <c r="L471" i="5"/>
  <c r="W471" i="5"/>
  <c r="K471" i="5"/>
  <c r="V471" i="5"/>
  <c r="J471" i="5"/>
  <c r="U471" i="5"/>
  <c r="I471" i="5"/>
  <c r="T471" i="5"/>
  <c r="H471" i="5"/>
  <c r="S471" i="5"/>
  <c r="G471" i="5"/>
  <c r="R471" i="5"/>
  <c r="F471" i="5"/>
  <c r="AC471" i="5"/>
  <c r="Q471" i="5"/>
  <c r="AB471" i="5"/>
  <c r="P471" i="5"/>
  <c r="AA483" i="5"/>
  <c r="O483" i="5"/>
  <c r="Z483" i="5"/>
  <c r="N483" i="5"/>
  <c r="Y483" i="5"/>
  <c r="M483" i="5"/>
  <c r="X483" i="5"/>
  <c r="L483" i="5"/>
  <c r="W483" i="5"/>
  <c r="K483" i="5"/>
  <c r="V483" i="5"/>
  <c r="J483" i="5"/>
  <c r="U483" i="5"/>
  <c r="I483" i="5"/>
  <c r="T483" i="5"/>
  <c r="H483" i="5"/>
  <c r="S483" i="5"/>
  <c r="G483" i="5"/>
  <c r="R483" i="5"/>
  <c r="F483" i="5"/>
  <c r="AC483" i="5"/>
  <c r="Q483" i="5"/>
  <c r="AB483" i="5"/>
  <c r="P483" i="5"/>
  <c r="T495" i="5"/>
  <c r="R75" i="3" s="1"/>
  <c r="H495" i="5"/>
  <c r="F75" i="3" s="1"/>
  <c r="S495" i="5"/>
  <c r="Q75" i="3" s="1"/>
  <c r="G495" i="5"/>
  <c r="E75" i="3" s="1"/>
  <c r="R495" i="5"/>
  <c r="F495" i="5"/>
  <c r="AC495" i="5"/>
  <c r="AA75" i="3" s="1"/>
  <c r="Q495" i="5"/>
  <c r="P495" i="5"/>
  <c r="O495" i="5"/>
  <c r="M75" i="3" s="1"/>
  <c r="N495" i="5"/>
  <c r="L75" i="3" s="1"/>
  <c r="M495" i="5"/>
  <c r="K75" i="3" s="1"/>
  <c r="AB495" i="5"/>
  <c r="Z75" i="3" s="1"/>
  <c r="L495" i="5"/>
  <c r="J75" i="3" s="1"/>
  <c r="AA495" i="5"/>
  <c r="Y75" i="3" s="1"/>
  <c r="K495" i="5"/>
  <c r="Z495" i="5"/>
  <c r="X75" i="3" s="1"/>
  <c r="J495" i="5"/>
  <c r="H75" i="3" s="1"/>
  <c r="Y495" i="5"/>
  <c r="W75" i="3" s="1"/>
  <c r="I495" i="5"/>
  <c r="X495" i="5"/>
  <c r="V75" i="3" s="1"/>
  <c r="W495" i="5"/>
  <c r="U75" i="3" s="1"/>
  <c r="V495" i="5"/>
  <c r="U495" i="5"/>
  <c r="S75" i="3" s="1"/>
  <c r="R507" i="5"/>
  <c r="U507" i="5"/>
  <c r="H507" i="5"/>
  <c r="T507" i="5"/>
  <c r="G507" i="5"/>
  <c r="S507" i="5"/>
  <c r="F507" i="5"/>
  <c r="Q507" i="5"/>
  <c r="AC507" i="5"/>
  <c r="P507" i="5"/>
  <c r="AB507" i="5"/>
  <c r="O507" i="5"/>
  <c r="AA507" i="5"/>
  <c r="N507" i="5"/>
  <c r="Z507" i="5"/>
  <c r="M507" i="5"/>
  <c r="Y507" i="5"/>
  <c r="L507" i="5"/>
  <c r="X507" i="5"/>
  <c r="K507" i="5"/>
  <c r="W507" i="5"/>
  <c r="J507" i="5"/>
  <c r="V507" i="5"/>
  <c r="I507" i="5"/>
  <c r="T519" i="5"/>
  <c r="H519" i="5"/>
  <c r="S519" i="5"/>
  <c r="G519" i="5"/>
  <c r="R519" i="5"/>
  <c r="F519" i="5"/>
  <c r="U519" i="5"/>
  <c r="Q519" i="5"/>
  <c r="P519" i="5"/>
  <c r="O519" i="5"/>
  <c r="AC519" i="5"/>
  <c r="N519" i="5"/>
  <c r="AB519" i="5"/>
  <c r="M519" i="5"/>
  <c r="AA519" i="5"/>
  <c r="L519" i="5"/>
  <c r="Z519" i="5"/>
  <c r="K519" i="5"/>
  <c r="Y519" i="5"/>
  <c r="J519" i="5"/>
  <c r="X519" i="5"/>
  <c r="I519" i="5"/>
  <c r="W519" i="5"/>
  <c r="V519" i="5"/>
  <c r="T531" i="5"/>
  <c r="H531" i="5"/>
  <c r="S531" i="5"/>
  <c r="G531" i="5"/>
  <c r="R531" i="5"/>
  <c r="F531" i="5"/>
  <c r="U531" i="5"/>
  <c r="I531" i="5"/>
  <c r="W531" i="5"/>
  <c r="V531" i="5"/>
  <c r="Q531" i="5"/>
  <c r="Z531" i="5"/>
  <c r="J531" i="5"/>
  <c r="Y531" i="5"/>
  <c r="X531" i="5"/>
  <c r="M531" i="5"/>
  <c r="L531" i="5"/>
  <c r="K531" i="5"/>
  <c r="AC531" i="5"/>
  <c r="AB531" i="5"/>
  <c r="AA531" i="5"/>
  <c r="P531" i="5"/>
  <c r="O531" i="5"/>
  <c r="N531" i="5"/>
  <c r="T543" i="5"/>
  <c r="H543" i="5"/>
  <c r="S543" i="5"/>
  <c r="G543" i="5"/>
  <c r="R543" i="5"/>
  <c r="F543" i="5"/>
  <c r="U543" i="5"/>
  <c r="I543" i="5"/>
  <c r="W543" i="5"/>
  <c r="V543" i="5"/>
  <c r="Q543" i="5"/>
  <c r="Z543" i="5"/>
  <c r="J543" i="5"/>
  <c r="Y543" i="5"/>
  <c r="X543" i="5"/>
  <c r="M543" i="5"/>
  <c r="L543" i="5"/>
  <c r="K543" i="5"/>
  <c r="AC543" i="5"/>
  <c r="AB543" i="5"/>
  <c r="AA543" i="5"/>
  <c r="P543" i="5"/>
  <c r="O543" i="5"/>
  <c r="N543" i="5"/>
  <c r="T555" i="5"/>
  <c r="R135" i="3" s="1"/>
  <c r="H555" i="5"/>
  <c r="F135" i="3" s="1"/>
  <c r="S555" i="5"/>
  <c r="Q135" i="3" s="1"/>
  <c r="G555" i="5"/>
  <c r="E135" i="3" s="1"/>
  <c r="R555" i="5"/>
  <c r="F555" i="5"/>
  <c r="D135" i="3" s="1"/>
  <c r="V555" i="5"/>
  <c r="J555" i="5"/>
  <c r="U555" i="5"/>
  <c r="S135" i="3" s="1"/>
  <c r="I555" i="5"/>
  <c r="AB555" i="5"/>
  <c r="Z135" i="3" s="1"/>
  <c r="K555" i="5"/>
  <c r="I135" i="3" s="1"/>
  <c r="AA555" i="5"/>
  <c r="Y135" i="3" s="1"/>
  <c r="Z555" i="5"/>
  <c r="X135" i="3" s="1"/>
  <c r="N555" i="5"/>
  <c r="L135" i="3" s="1"/>
  <c r="M555" i="5"/>
  <c r="K135" i="3" s="1"/>
  <c r="AC555" i="5"/>
  <c r="AA135" i="3" s="1"/>
  <c r="L555" i="5"/>
  <c r="Y555" i="5"/>
  <c r="W135" i="3" s="1"/>
  <c r="X555" i="5"/>
  <c r="W555" i="5"/>
  <c r="U135" i="3" s="1"/>
  <c r="Q555" i="5"/>
  <c r="P555" i="5"/>
  <c r="N135" i="3" s="1"/>
  <c r="O555" i="5"/>
  <c r="M135" i="3" s="1"/>
  <c r="Z14" i="5"/>
  <c r="N14" i="5"/>
  <c r="P14" i="5"/>
  <c r="Y14" i="5"/>
  <c r="M14" i="5"/>
  <c r="U14" i="5"/>
  <c r="AB14" i="5"/>
  <c r="X14" i="5"/>
  <c r="L14" i="5"/>
  <c r="W14" i="5"/>
  <c r="K14" i="5"/>
  <c r="V14" i="5"/>
  <c r="J14" i="5"/>
  <c r="I14" i="5"/>
  <c r="H14" i="5"/>
  <c r="Q14" i="5"/>
  <c r="T14" i="5"/>
  <c r="F14" i="5"/>
  <c r="S14" i="5"/>
  <c r="G14" i="5"/>
  <c r="AC14" i="5"/>
  <c r="R14" i="5"/>
  <c r="O14" i="5"/>
  <c r="AA14" i="5"/>
  <c r="Z26" i="5"/>
  <c r="X11" i="4" s="1"/>
  <c r="N26" i="5"/>
  <c r="L11" i="4" s="1"/>
  <c r="Y26" i="5"/>
  <c r="W11" i="4" s="1"/>
  <c r="M26" i="5"/>
  <c r="K11" i="4" s="1"/>
  <c r="X26" i="5"/>
  <c r="V11" i="4" s="1"/>
  <c r="L26" i="5"/>
  <c r="W26" i="5"/>
  <c r="U11" i="4" s="1"/>
  <c r="K26" i="5"/>
  <c r="V26" i="5"/>
  <c r="T11" i="4" s="1"/>
  <c r="J26" i="5"/>
  <c r="H11" i="4" s="1"/>
  <c r="U26" i="5"/>
  <c r="S11" i="4" s="1"/>
  <c r="I26" i="5"/>
  <c r="G11" i="4" s="1"/>
  <c r="T26" i="5"/>
  <c r="R11" i="4" s="1"/>
  <c r="H26" i="5"/>
  <c r="F11" i="4" s="1"/>
  <c r="S26" i="5"/>
  <c r="Q11" i="4" s="1"/>
  <c r="G26" i="5"/>
  <c r="E11" i="4" s="1"/>
  <c r="R26" i="5"/>
  <c r="P11" i="4" s="1"/>
  <c r="F26" i="5"/>
  <c r="AC26" i="5"/>
  <c r="Q26" i="5"/>
  <c r="AB26" i="5"/>
  <c r="Z11" i="4" s="1"/>
  <c r="P26" i="5"/>
  <c r="AA26" i="5"/>
  <c r="Y11" i="4" s="1"/>
  <c r="O26" i="5"/>
  <c r="M11" i="4" s="1"/>
  <c r="Z38" i="5"/>
  <c r="X21" i="4" s="1"/>
  <c r="N38" i="5"/>
  <c r="L21" i="4" s="1"/>
  <c r="Y38" i="5"/>
  <c r="W21" i="4" s="1"/>
  <c r="M38" i="5"/>
  <c r="K21" i="4" s="1"/>
  <c r="X38" i="5"/>
  <c r="V21" i="4" s="1"/>
  <c r="L38" i="5"/>
  <c r="W38" i="5"/>
  <c r="U21" i="4" s="1"/>
  <c r="K38" i="5"/>
  <c r="V38" i="5"/>
  <c r="T21" i="4" s="1"/>
  <c r="J38" i="5"/>
  <c r="H21" i="4" s="1"/>
  <c r="U38" i="5"/>
  <c r="S21" i="4" s="1"/>
  <c r="I38" i="5"/>
  <c r="G21" i="4" s="1"/>
  <c r="T38" i="5"/>
  <c r="R21" i="4" s="1"/>
  <c r="H38" i="5"/>
  <c r="F21" i="4" s="1"/>
  <c r="S38" i="5"/>
  <c r="Q21" i="4" s="1"/>
  <c r="G38" i="5"/>
  <c r="E21" i="4" s="1"/>
  <c r="R38" i="5"/>
  <c r="P21" i="4" s="1"/>
  <c r="F38" i="5"/>
  <c r="AC38" i="5"/>
  <c r="Q38" i="5"/>
  <c r="O21" i="4" s="1"/>
  <c r="AB38" i="5"/>
  <c r="Z21" i="4" s="1"/>
  <c r="P38" i="5"/>
  <c r="N21" i="4" s="1"/>
  <c r="AA38" i="5"/>
  <c r="O38" i="5"/>
  <c r="Z50" i="5"/>
  <c r="X29" i="4" s="1"/>
  <c r="N50" i="5"/>
  <c r="L29" i="4" s="1"/>
  <c r="Y50" i="5"/>
  <c r="W29" i="4" s="1"/>
  <c r="M50" i="5"/>
  <c r="K29" i="4" s="1"/>
  <c r="X50" i="5"/>
  <c r="L50" i="5"/>
  <c r="W50" i="5"/>
  <c r="U29" i="4" s="1"/>
  <c r="K50" i="5"/>
  <c r="V50" i="5"/>
  <c r="T29" i="4" s="1"/>
  <c r="J50" i="5"/>
  <c r="H29" i="4" s="1"/>
  <c r="U50" i="5"/>
  <c r="S29" i="4" s="1"/>
  <c r="I50" i="5"/>
  <c r="G29" i="4" s="1"/>
  <c r="T50" i="5"/>
  <c r="R29" i="4" s="1"/>
  <c r="H50" i="5"/>
  <c r="F29" i="4" s="1"/>
  <c r="S50" i="5"/>
  <c r="Q29" i="4" s="1"/>
  <c r="G50" i="5"/>
  <c r="E29" i="4" s="1"/>
  <c r="R50" i="5"/>
  <c r="P29" i="4" s="1"/>
  <c r="F50" i="5"/>
  <c r="AC50" i="5"/>
  <c r="Q50" i="5"/>
  <c r="AB50" i="5"/>
  <c r="Z29" i="4" s="1"/>
  <c r="P50" i="5"/>
  <c r="AA50" i="5"/>
  <c r="Y29" i="4" s="1"/>
  <c r="O50" i="5"/>
  <c r="M29" i="4" s="1"/>
  <c r="Z62" i="5"/>
  <c r="N62" i="5"/>
  <c r="Y62" i="5"/>
  <c r="M62" i="5"/>
  <c r="X62" i="5"/>
  <c r="L62" i="5"/>
  <c r="W62" i="5"/>
  <c r="K62" i="5"/>
  <c r="V62" i="5"/>
  <c r="J62" i="5"/>
  <c r="U62" i="5"/>
  <c r="I62" i="5"/>
  <c r="T62" i="5"/>
  <c r="H62" i="5"/>
  <c r="S62" i="5"/>
  <c r="G62" i="5"/>
  <c r="R62" i="5"/>
  <c r="F62" i="5"/>
  <c r="AC62" i="5"/>
  <c r="Q62" i="5"/>
  <c r="AB62" i="5"/>
  <c r="P62" i="5"/>
  <c r="AA62" i="5"/>
  <c r="O62" i="5"/>
  <c r="Z74" i="5"/>
  <c r="N74" i="5"/>
  <c r="Y74" i="5"/>
  <c r="M74" i="5"/>
  <c r="X74" i="5"/>
  <c r="L74" i="5"/>
  <c r="W74" i="5"/>
  <c r="K74" i="5"/>
  <c r="V74" i="5"/>
  <c r="J74" i="5"/>
  <c r="U74" i="5"/>
  <c r="I74" i="5"/>
  <c r="T74" i="5"/>
  <c r="H74" i="5"/>
  <c r="S74" i="5"/>
  <c r="G74" i="5"/>
  <c r="R74" i="5"/>
  <c r="F74" i="5"/>
  <c r="AC74" i="5"/>
  <c r="Q74" i="5"/>
  <c r="AB74" i="5"/>
  <c r="P74" i="5"/>
  <c r="AA74" i="5"/>
  <c r="O74" i="5"/>
  <c r="Z86" i="5"/>
  <c r="N86" i="5"/>
  <c r="Y86" i="5"/>
  <c r="M86" i="5"/>
  <c r="X86" i="5"/>
  <c r="L86" i="5"/>
  <c r="W86" i="5"/>
  <c r="K86" i="5"/>
  <c r="V86" i="5"/>
  <c r="J86" i="5"/>
  <c r="U86" i="5"/>
  <c r="I86" i="5"/>
  <c r="T86" i="5"/>
  <c r="H86" i="5"/>
  <c r="S86" i="5"/>
  <c r="G86" i="5"/>
  <c r="R86" i="5"/>
  <c r="F86" i="5"/>
  <c r="AC86" i="5"/>
  <c r="Q86" i="5"/>
  <c r="AB86" i="5"/>
  <c r="P86" i="5"/>
  <c r="AA86" i="5"/>
  <c r="O86" i="5"/>
  <c r="Z98" i="5"/>
  <c r="N98" i="5"/>
  <c r="Y98" i="5"/>
  <c r="M98" i="5"/>
  <c r="X98" i="5"/>
  <c r="L98" i="5"/>
  <c r="W98" i="5"/>
  <c r="K98" i="5"/>
  <c r="V98" i="5"/>
  <c r="J98" i="5"/>
  <c r="U98" i="5"/>
  <c r="I98" i="5"/>
  <c r="T98" i="5"/>
  <c r="H98" i="5"/>
  <c r="S98" i="5"/>
  <c r="G98" i="5"/>
  <c r="R98" i="5"/>
  <c r="F98" i="5"/>
  <c r="AC98" i="5"/>
  <c r="Q98" i="5"/>
  <c r="AB98" i="5"/>
  <c r="P98" i="5"/>
  <c r="AA98" i="5"/>
  <c r="O98" i="5"/>
  <c r="AC110" i="5"/>
  <c r="AA44" i="4" s="1"/>
  <c r="Q110" i="5"/>
  <c r="O44" i="4" s="1"/>
  <c r="AB110" i="5"/>
  <c r="Z44" i="4" s="1"/>
  <c r="P110" i="5"/>
  <c r="N44" i="4" s="1"/>
  <c r="AA110" i="5"/>
  <c r="Y44" i="4" s="1"/>
  <c r="O110" i="5"/>
  <c r="Z110" i="5"/>
  <c r="X44" i="4" s="1"/>
  <c r="N110" i="5"/>
  <c r="Y110" i="5"/>
  <c r="W44" i="4" s="1"/>
  <c r="M110" i="5"/>
  <c r="X110" i="5"/>
  <c r="V44" i="4" s="1"/>
  <c r="L110" i="5"/>
  <c r="J44" i="4" s="1"/>
  <c r="K110" i="5"/>
  <c r="I44" i="4" s="1"/>
  <c r="J110" i="5"/>
  <c r="H44" i="4" s="1"/>
  <c r="I110" i="5"/>
  <c r="G44" i="4" s="1"/>
  <c r="H110" i="5"/>
  <c r="F44" i="4" s="1"/>
  <c r="G110" i="5"/>
  <c r="E44" i="4" s="1"/>
  <c r="F110" i="5"/>
  <c r="W110" i="5"/>
  <c r="U44" i="4" s="1"/>
  <c r="V110" i="5"/>
  <c r="T44" i="4" s="1"/>
  <c r="U110" i="5"/>
  <c r="S44" i="4" s="1"/>
  <c r="T110" i="5"/>
  <c r="R44" i="4" s="1"/>
  <c r="S110" i="5"/>
  <c r="Q44" i="4" s="1"/>
  <c r="R110" i="5"/>
  <c r="P44" i="4" s="1"/>
  <c r="AC122" i="5"/>
  <c r="AA57" i="4" s="1"/>
  <c r="Q122" i="5"/>
  <c r="O57" i="4" s="1"/>
  <c r="AB122" i="5"/>
  <c r="Z57" i="4" s="1"/>
  <c r="P122" i="5"/>
  <c r="N57" i="4" s="1"/>
  <c r="AA122" i="5"/>
  <c r="Y57" i="4" s="1"/>
  <c r="O122" i="5"/>
  <c r="M57" i="4" s="1"/>
  <c r="Z122" i="5"/>
  <c r="X57" i="4" s="1"/>
  <c r="N122" i="5"/>
  <c r="L57" i="4" s="1"/>
  <c r="Y122" i="5"/>
  <c r="W57" i="4" s="1"/>
  <c r="M122" i="5"/>
  <c r="K57" i="4" s="1"/>
  <c r="X122" i="5"/>
  <c r="V57" i="4" s="1"/>
  <c r="L122" i="5"/>
  <c r="J57" i="4" s="1"/>
  <c r="W122" i="5"/>
  <c r="U57" i="4" s="1"/>
  <c r="K122" i="5"/>
  <c r="I57" i="4" s="1"/>
  <c r="V122" i="5"/>
  <c r="T57" i="4" s="1"/>
  <c r="J122" i="5"/>
  <c r="H57" i="4" s="1"/>
  <c r="U122" i="5"/>
  <c r="S57" i="4" s="1"/>
  <c r="I122" i="5"/>
  <c r="T122" i="5"/>
  <c r="R57" i="4" s="1"/>
  <c r="H122" i="5"/>
  <c r="F57" i="4" s="1"/>
  <c r="S122" i="5"/>
  <c r="Q57" i="4" s="1"/>
  <c r="G122" i="5"/>
  <c r="E57" i="4" s="1"/>
  <c r="R122" i="5"/>
  <c r="P57" i="4" s="1"/>
  <c r="F122" i="5"/>
  <c r="D57" i="4" s="1"/>
  <c r="AC134" i="5"/>
  <c r="AA67" i="4" s="1"/>
  <c r="Q134" i="5"/>
  <c r="O67" i="4" s="1"/>
  <c r="AB134" i="5"/>
  <c r="Z67" i="4" s="1"/>
  <c r="Z69" i="4" s="1"/>
  <c r="P134" i="5"/>
  <c r="N67" i="4" s="1"/>
  <c r="AA134" i="5"/>
  <c r="Y67" i="4" s="1"/>
  <c r="O134" i="5"/>
  <c r="M67" i="4" s="1"/>
  <c r="Z134" i="5"/>
  <c r="X67" i="4" s="1"/>
  <c r="N134" i="5"/>
  <c r="L67" i="4" s="1"/>
  <c r="Y134" i="5"/>
  <c r="W67" i="4" s="1"/>
  <c r="M134" i="5"/>
  <c r="K67" i="4" s="1"/>
  <c r="X134" i="5"/>
  <c r="V67" i="4" s="1"/>
  <c r="L134" i="5"/>
  <c r="J67" i="4" s="1"/>
  <c r="W134" i="5"/>
  <c r="U67" i="4" s="1"/>
  <c r="K134" i="5"/>
  <c r="I67" i="4" s="1"/>
  <c r="V134" i="5"/>
  <c r="T67" i="4" s="1"/>
  <c r="J134" i="5"/>
  <c r="H67" i="4" s="1"/>
  <c r="U134" i="5"/>
  <c r="S67" i="4" s="1"/>
  <c r="I134" i="5"/>
  <c r="T134" i="5"/>
  <c r="R67" i="4" s="1"/>
  <c r="H134" i="5"/>
  <c r="S134" i="5"/>
  <c r="Q67" i="4" s="1"/>
  <c r="G134" i="5"/>
  <c r="E67" i="4" s="1"/>
  <c r="R134" i="5"/>
  <c r="P67" i="4" s="1"/>
  <c r="F134" i="5"/>
  <c r="D67" i="4" s="1"/>
  <c r="AC146" i="5"/>
  <c r="AA87" i="4" s="1"/>
  <c r="Q146" i="5"/>
  <c r="O87" i="4" s="1"/>
  <c r="AB146" i="5"/>
  <c r="Z87" i="4" s="1"/>
  <c r="P146" i="5"/>
  <c r="N87" i="4" s="1"/>
  <c r="AA146" i="5"/>
  <c r="Y87" i="4" s="1"/>
  <c r="O146" i="5"/>
  <c r="M87" i="4" s="1"/>
  <c r="Z146" i="5"/>
  <c r="X87" i="4" s="1"/>
  <c r="N146" i="5"/>
  <c r="L87" i="4" s="1"/>
  <c r="Y146" i="5"/>
  <c r="W87" i="4" s="1"/>
  <c r="M146" i="5"/>
  <c r="K87" i="4" s="1"/>
  <c r="X146" i="5"/>
  <c r="V87" i="4" s="1"/>
  <c r="L146" i="5"/>
  <c r="J87" i="4" s="1"/>
  <c r="W146" i="5"/>
  <c r="U87" i="4" s="1"/>
  <c r="K146" i="5"/>
  <c r="I87" i="4" s="1"/>
  <c r="V146" i="5"/>
  <c r="T87" i="4" s="1"/>
  <c r="J146" i="5"/>
  <c r="H87" i="4" s="1"/>
  <c r="U146" i="5"/>
  <c r="S87" i="4" s="1"/>
  <c r="I146" i="5"/>
  <c r="T146" i="5"/>
  <c r="R87" i="4" s="1"/>
  <c r="H146" i="5"/>
  <c r="F87" i="4" s="1"/>
  <c r="S146" i="5"/>
  <c r="Q87" i="4" s="1"/>
  <c r="G146" i="5"/>
  <c r="E87" i="4" s="1"/>
  <c r="R146" i="5"/>
  <c r="P87" i="4" s="1"/>
  <c r="F146" i="5"/>
  <c r="D87" i="4" s="1"/>
  <c r="X158" i="5"/>
  <c r="L158" i="5"/>
  <c r="W158" i="5"/>
  <c r="K158" i="5"/>
  <c r="V158" i="5"/>
  <c r="J158" i="5"/>
  <c r="U158" i="5"/>
  <c r="I158" i="5"/>
  <c r="T158" i="5"/>
  <c r="H158" i="5"/>
  <c r="S158" i="5"/>
  <c r="G158" i="5"/>
  <c r="R158" i="5"/>
  <c r="F158" i="5"/>
  <c r="AC158" i="5"/>
  <c r="Q158" i="5"/>
  <c r="AB158" i="5"/>
  <c r="AA158" i="5"/>
  <c r="Z158" i="5"/>
  <c r="Y158" i="5"/>
  <c r="P158" i="5"/>
  <c r="O158" i="5"/>
  <c r="N158" i="5"/>
  <c r="M158" i="5"/>
  <c r="X170" i="5"/>
  <c r="L170" i="5"/>
  <c r="W170" i="5"/>
  <c r="K170" i="5"/>
  <c r="V170" i="5"/>
  <c r="J170" i="5"/>
  <c r="U170" i="5"/>
  <c r="I170" i="5"/>
  <c r="T170" i="5"/>
  <c r="H170" i="5"/>
  <c r="S170" i="5"/>
  <c r="G170" i="5"/>
  <c r="R170" i="5"/>
  <c r="F170" i="5"/>
  <c r="AC170" i="5"/>
  <c r="Q170" i="5"/>
  <c r="AB170" i="5"/>
  <c r="P170" i="5"/>
  <c r="AA170" i="5"/>
  <c r="O170" i="5"/>
  <c r="Z170" i="5"/>
  <c r="N170" i="5"/>
  <c r="Y170" i="5"/>
  <c r="M170" i="5"/>
  <c r="X182" i="5"/>
  <c r="L182" i="5"/>
  <c r="W182" i="5"/>
  <c r="K182" i="5"/>
  <c r="V182" i="5"/>
  <c r="J182" i="5"/>
  <c r="U182" i="5"/>
  <c r="I182" i="5"/>
  <c r="T182" i="5"/>
  <c r="H182" i="5"/>
  <c r="S182" i="5"/>
  <c r="G182" i="5"/>
  <c r="R182" i="5"/>
  <c r="F182" i="5"/>
  <c r="AC182" i="5"/>
  <c r="Q182" i="5"/>
  <c r="AB182" i="5"/>
  <c r="P182" i="5"/>
  <c r="AA182" i="5"/>
  <c r="O182" i="5"/>
  <c r="Z182" i="5"/>
  <c r="N182" i="5"/>
  <c r="Y182" i="5"/>
  <c r="M182" i="5"/>
  <c r="X194" i="5"/>
  <c r="V121" i="4" s="1"/>
  <c r="L194" i="5"/>
  <c r="J121" i="4" s="1"/>
  <c r="W194" i="5"/>
  <c r="U121" i="4" s="1"/>
  <c r="K194" i="5"/>
  <c r="I121" i="4" s="1"/>
  <c r="V194" i="5"/>
  <c r="T121" i="4" s="1"/>
  <c r="J194" i="5"/>
  <c r="H121" i="4" s="1"/>
  <c r="U194" i="5"/>
  <c r="S121" i="4" s="1"/>
  <c r="I194" i="5"/>
  <c r="G121" i="4" s="1"/>
  <c r="T194" i="5"/>
  <c r="R121" i="4" s="1"/>
  <c r="H194" i="5"/>
  <c r="F121" i="4" s="1"/>
  <c r="S194" i="5"/>
  <c r="Q121" i="4" s="1"/>
  <c r="G194" i="5"/>
  <c r="E121" i="4" s="1"/>
  <c r="R194" i="5"/>
  <c r="F194" i="5"/>
  <c r="D121" i="4" s="1"/>
  <c r="AC194" i="5"/>
  <c r="AA121" i="4" s="1"/>
  <c r="Q194" i="5"/>
  <c r="O121" i="4" s="1"/>
  <c r="AB194" i="5"/>
  <c r="Z121" i="4" s="1"/>
  <c r="P194" i="5"/>
  <c r="AA194" i="5"/>
  <c r="Y121" i="4" s="1"/>
  <c r="O194" i="5"/>
  <c r="M121" i="4" s="1"/>
  <c r="Z194" i="5"/>
  <c r="X121" i="4" s="1"/>
  <c r="N194" i="5"/>
  <c r="L121" i="4" s="1"/>
  <c r="Y194" i="5"/>
  <c r="W121" i="4" s="1"/>
  <c r="M194" i="5"/>
  <c r="K121" i="4" s="1"/>
  <c r="T206" i="5"/>
  <c r="R128" i="4" s="1"/>
  <c r="R206" i="5"/>
  <c r="AC206" i="5"/>
  <c r="AA128" i="4" s="1"/>
  <c r="AB206" i="5"/>
  <c r="Z128" i="4" s="1"/>
  <c r="P206" i="5"/>
  <c r="N128" i="4" s="1"/>
  <c r="AA206" i="5"/>
  <c r="O206" i="5"/>
  <c r="M128" i="4" s="1"/>
  <c r="L206" i="5"/>
  <c r="J128" i="4" s="1"/>
  <c r="K206" i="5"/>
  <c r="I128" i="4" s="1"/>
  <c r="Z206" i="5"/>
  <c r="X128" i="4" s="1"/>
  <c r="J206" i="5"/>
  <c r="H128" i="4" s="1"/>
  <c r="Y206" i="5"/>
  <c r="W128" i="4" s="1"/>
  <c r="I206" i="5"/>
  <c r="G128" i="4" s="1"/>
  <c r="X206" i="5"/>
  <c r="V128" i="4" s="1"/>
  <c r="H206" i="5"/>
  <c r="F128" i="4" s="1"/>
  <c r="W206" i="5"/>
  <c r="U128" i="4" s="1"/>
  <c r="G206" i="5"/>
  <c r="E128" i="4" s="1"/>
  <c r="V206" i="5"/>
  <c r="T128" i="4" s="1"/>
  <c r="F206" i="5"/>
  <c r="D128" i="4" s="1"/>
  <c r="U206" i="5"/>
  <c r="S128" i="4" s="1"/>
  <c r="S206" i="5"/>
  <c r="Q128" i="4" s="1"/>
  <c r="Q206" i="5"/>
  <c r="O128" i="4" s="1"/>
  <c r="N206" i="5"/>
  <c r="L128" i="4" s="1"/>
  <c r="M206" i="5"/>
  <c r="K128" i="4" s="1"/>
  <c r="T218" i="5"/>
  <c r="R48" i="4" s="1"/>
  <c r="H218" i="5"/>
  <c r="F48" i="4" s="1"/>
  <c r="S218" i="5"/>
  <c r="Q48" i="4" s="1"/>
  <c r="G218" i="5"/>
  <c r="E48" i="4" s="1"/>
  <c r="R218" i="5"/>
  <c r="P48" i="4" s="1"/>
  <c r="F218" i="5"/>
  <c r="AC218" i="5"/>
  <c r="Q218" i="5"/>
  <c r="O48" i="4" s="1"/>
  <c r="AB218" i="5"/>
  <c r="Z48" i="4" s="1"/>
  <c r="P218" i="5"/>
  <c r="N48" i="4" s="1"/>
  <c r="AA218" i="5"/>
  <c r="Y48" i="4" s="1"/>
  <c r="O218" i="5"/>
  <c r="M48" i="4" s="1"/>
  <c r="Z218" i="5"/>
  <c r="X48" i="4" s="1"/>
  <c r="N218" i="5"/>
  <c r="L48" i="4" s="1"/>
  <c r="Y218" i="5"/>
  <c r="W48" i="4" s="1"/>
  <c r="M218" i="5"/>
  <c r="K48" i="4" s="1"/>
  <c r="W218" i="5"/>
  <c r="U48" i="4" s="1"/>
  <c r="K218" i="5"/>
  <c r="V218" i="5"/>
  <c r="T48" i="4" s="1"/>
  <c r="J218" i="5"/>
  <c r="H48" i="4" s="1"/>
  <c r="U218" i="5"/>
  <c r="S48" i="4" s="1"/>
  <c r="I218" i="5"/>
  <c r="G48" i="4" s="1"/>
  <c r="X218" i="5"/>
  <c r="V48" i="4" s="1"/>
  <c r="L218" i="5"/>
  <c r="J48" i="4" s="1"/>
  <c r="T230" i="5"/>
  <c r="R196" i="4" s="1"/>
  <c r="H230" i="5"/>
  <c r="F196" i="4" s="1"/>
  <c r="S230" i="5"/>
  <c r="Q196" i="4" s="1"/>
  <c r="G230" i="5"/>
  <c r="E196" i="4" s="1"/>
  <c r="R230" i="5"/>
  <c r="P196" i="4" s="1"/>
  <c r="F230" i="5"/>
  <c r="D196" i="4" s="1"/>
  <c r="AC230" i="5"/>
  <c r="AA196" i="4" s="1"/>
  <c r="Q230" i="5"/>
  <c r="O196" i="4" s="1"/>
  <c r="AB230" i="5"/>
  <c r="Z196" i="4" s="1"/>
  <c r="P230" i="5"/>
  <c r="N196" i="4" s="1"/>
  <c r="AA230" i="5"/>
  <c r="Y196" i="4" s="1"/>
  <c r="O230" i="5"/>
  <c r="M196" i="4" s="1"/>
  <c r="Z230" i="5"/>
  <c r="X196" i="4" s="1"/>
  <c r="N230" i="5"/>
  <c r="L196" i="4" s="1"/>
  <c r="Y230" i="5"/>
  <c r="W196" i="4" s="1"/>
  <c r="M230" i="5"/>
  <c r="K196" i="4" s="1"/>
  <c r="X230" i="5"/>
  <c r="V196" i="4" s="1"/>
  <c r="L230" i="5"/>
  <c r="J196" i="4" s="1"/>
  <c r="W230" i="5"/>
  <c r="U196" i="4" s="1"/>
  <c r="K230" i="5"/>
  <c r="I196" i="4" s="1"/>
  <c r="V230" i="5"/>
  <c r="T196" i="4" s="1"/>
  <c r="J230" i="5"/>
  <c r="H196" i="4" s="1"/>
  <c r="U230" i="5"/>
  <c r="S196" i="4" s="1"/>
  <c r="I230" i="5"/>
  <c r="T243" i="5"/>
  <c r="R178" i="4" s="1"/>
  <c r="H243" i="5"/>
  <c r="F178" i="4" s="1"/>
  <c r="S243" i="5"/>
  <c r="Q178" i="4" s="1"/>
  <c r="G243" i="5"/>
  <c r="E178" i="4" s="1"/>
  <c r="R243" i="5"/>
  <c r="P178" i="4" s="1"/>
  <c r="F243" i="5"/>
  <c r="D178" i="4" s="1"/>
  <c r="AC243" i="5"/>
  <c r="AA178" i="4" s="1"/>
  <c r="Q243" i="5"/>
  <c r="O178" i="4" s="1"/>
  <c r="AB243" i="5"/>
  <c r="Z178" i="4" s="1"/>
  <c r="P243" i="5"/>
  <c r="N178" i="4" s="1"/>
  <c r="AA243" i="5"/>
  <c r="Y178" i="4" s="1"/>
  <c r="O243" i="5"/>
  <c r="M178" i="4" s="1"/>
  <c r="Z243" i="5"/>
  <c r="X178" i="4" s="1"/>
  <c r="N243" i="5"/>
  <c r="L178" i="4" s="1"/>
  <c r="Y243" i="5"/>
  <c r="W178" i="4" s="1"/>
  <c r="M243" i="5"/>
  <c r="K178" i="4" s="1"/>
  <c r="X243" i="5"/>
  <c r="V178" i="4" s="1"/>
  <c r="L243" i="5"/>
  <c r="W243" i="5"/>
  <c r="K243" i="5"/>
  <c r="I178" i="4" s="1"/>
  <c r="V243" i="5"/>
  <c r="T178" i="4" s="1"/>
  <c r="J243" i="5"/>
  <c r="H178" i="4" s="1"/>
  <c r="U243" i="5"/>
  <c r="S178" i="4" s="1"/>
  <c r="I243" i="5"/>
  <c r="G178" i="4" s="1"/>
  <c r="S255" i="5"/>
  <c r="Q182" i="4" s="1"/>
  <c r="G255" i="5"/>
  <c r="E182" i="4" s="1"/>
  <c r="R255" i="5"/>
  <c r="P182" i="4" s="1"/>
  <c r="F255" i="5"/>
  <c r="D182" i="4" s="1"/>
  <c r="AC255" i="5"/>
  <c r="AA182" i="4" s="1"/>
  <c r="Q255" i="5"/>
  <c r="AB255" i="5"/>
  <c r="Z182" i="4" s="1"/>
  <c r="P255" i="5"/>
  <c r="N182" i="4" s="1"/>
  <c r="AA255" i="5"/>
  <c r="Y182" i="4" s="1"/>
  <c r="O255" i="5"/>
  <c r="M182" i="4" s="1"/>
  <c r="Z255" i="5"/>
  <c r="X182" i="4" s="1"/>
  <c r="N255" i="5"/>
  <c r="L182" i="4" s="1"/>
  <c r="T255" i="5"/>
  <c r="R182" i="4" s="1"/>
  <c r="M255" i="5"/>
  <c r="K182" i="4" s="1"/>
  <c r="L255" i="5"/>
  <c r="J182" i="4" s="1"/>
  <c r="K255" i="5"/>
  <c r="I182" i="4" s="1"/>
  <c r="J255" i="5"/>
  <c r="H182" i="4" s="1"/>
  <c r="I255" i="5"/>
  <c r="G182" i="4" s="1"/>
  <c r="H255" i="5"/>
  <c r="F182" i="4" s="1"/>
  <c r="Y255" i="5"/>
  <c r="W182" i="4" s="1"/>
  <c r="X255" i="5"/>
  <c r="V182" i="4" s="1"/>
  <c r="W255" i="5"/>
  <c r="U182" i="4" s="1"/>
  <c r="V255" i="5"/>
  <c r="T182" i="4" s="1"/>
  <c r="U255" i="5"/>
  <c r="S182" i="4" s="1"/>
  <c r="S267" i="5"/>
  <c r="G267" i="5"/>
  <c r="R267" i="5"/>
  <c r="F267" i="5"/>
  <c r="AC267" i="5"/>
  <c r="Q267" i="5"/>
  <c r="AB267" i="5"/>
  <c r="P267" i="5"/>
  <c r="AA267" i="5"/>
  <c r="O267" i="5"/>
  <c r="Z267" i="5"/>
  <c r="N267" i="5"/>
  <c r="Y267" i="5"/>
  <c r="M267" i="5"/>
  <c r="X267" i="5"/>
  <c r="L267" i="5"/>
  <c r="W267" i="5"/>
  <c r="K267" i="5"/>
  <c r="V267" i="5"/>
  <c r="J267" i="5"/>
  <c r="U267" i="5"/>
  <c r="I267" i="5"/>
  <c r="T267" i="5"/>
  <c r="H267" i="5"/>
  <c r="S279" i="5"/>
  <c r="G279" i="5"/>
  <c r="R279" i="5"/>
  <c r="F279" i="5"/>
  <c r="AC279" i="5"/>
  <c r="Q279" i="5"/>
  <c r="AB279" i="5"/>
  <c r="P279" i="5"/>
  <c r="AA279" i="5"/>
  <c r="O279" i="5"/>
  <c r="Z279" i="5"/>
  <c r="N279" i="5"/>
  <c r="Y279" i="5"/>
  <c r="M279" i="5"/>
  <c r="X279" i="5"/>
  <c r="L279" i="5"/>
  <c r="W279" i="5"/>
  <c r="K279" i="5"/>
  <c r="V279" i="5"/>
  <c r="J279" i="5"/>
  <c r="U279" i="5"/>
  <c r="I279" i="5"/>
  <c r="T279" i="5"/>
  <c r="H279" i="5"/>
  <c r="S291" i="5"/>
  <c r="Q10" i="3" s="1"/>
  <c r="G291" i="5"/>
  <c r="E10" i="3" s="1"/>
  <c r="R291" i="5"/>
  <c r="F291" i="5"/>
  <c r="D10" i="3" s="1"/>
  <c r="AC291" i="5"/>
  <c r="AA10" i="3" s="1"/>
  <c r="Q291" i="5"/>
  <c r="O10" i="3" s="1"/>
  <c r="AB291" i="5"/>
  <c r="Z10" i="3" s="1"/>
  <c r="P291" i="5"/>
  <c r="N10" i="3" s="1"/>
  <c r="AA291" i="5"/>
  <c r="Y10" i="3" s="1"/>
  <c r="O291" i="5"/>
  <c r="M10" i="3" s="1"/>
  <c r="Z291" i="5"/>
  <c r="X10" i="3" s="1"/>
  <c r="N291" i="5"/>
  <c r="L10" i="3" s="1"/>
  <c r="Y291" i="5"/>
  <c r="W10" i="3" s="1"/>
  <c r="M291" i="5"/>
  <c r="K10" i="3" s="1"/>
  <c r="X291" i="5"/>
  <c r="V10" i="3" s="1"/>
  <c r="L291" i="5"/>
  <c r="J10" i="3" s="1"/>
  <c r="W291" i="5"/>
  <c r="U10" i="3" s="1"/>
  <c r="K291" i="5"/>
  <c r="V291" i="5"/>
  <c r="T10" i="3" s="1"/>
  <c r="J291" i="5"/>
  <c r="U291" i="5"/>
  <c r="S10" i="3" s="1"/>
  <c r="I291" i="5"/>
  <c r="G10" i="3" s="1"/>
  <c r="T291" i="5"/>
  <c r="R10" i="3" s="1"/>
  <c r="H291" i="5"/>
  <c r="F10" i="3" s="1"/>
  <c r="V303" i="5"/>
  <c r="J303" i="5"/>
  <c r="U303" i="5"/>
  <c r="I303" i="5"/>
  <c r="T303" i="5"/>
  <c r="H303" i="5"/>
  <c r="S303" i="5"/>
  <c r="G303" i="5"/>
  <c r="R303" i="5"/>
  <c r="F303" i="5"/>
  <c r="AC303" i="5"/>
  <c r="Q303" i="5"/>
  <c r="M303" i="5"/>
  <c r="L303" i="5"/>
  <c r="K303" i="5"/>
  <c r="AB303" i="5"/>
  <c r="AA303" i="5"/>
  <c r="Z303" i="5"/>
  <c r="Y303" i="5"/>
  <c r="X303" i="5"/>
  <c r="W303" i="5"/>
  <c r="P303" i="5"/>
  <c r="O303" i="5"/>
  <c r="N303" i="5"/>
  <c r="V315" i="5"/>
  <c r="T13" i="3" s="1"/>
  <c r="J315" i="5"/>
  <c r="H13" i="3" s="1"/>
  <c r="U315" i="5"/>
  <c r="S13" i="3" s="1"/>
  <c r="I315" i="5"/>
  <c r="G13" i="3" s="1"/>
  <c r="T315" i="5"/>
  <c r="R13" i="3" s="1"/>
  <c r="H315" i="5"/>
  <c r="F13" i="3" s="1"/>
  <c r="S315" i="5"/>
  <c r="Q13" i="3" s="1"/>
  <c r="G315" i="5"/>
  <c r="E13" i="3" s="1"/>
  <c r="R315" i="5"/>
  <c r="F315" i="5"/>
  <c r="D13" i="3" s="1"/>
  <c r="AC315" i="5"/>
  <c r="AA13" i="3" s="1"/>
  <c r="Q315" i="5"/>
  <c r="O13" i="3" s="1"/>
  <c r="AB315" i="5"/>
  <c r="Z13" i="3" s="1"/>
  <c r="P315" i="5"/>
  <c r="N13" i="3" s="1"/>
  <c r="AA315" i="5"/>
  <c r="Y13" i="3" s="1"/>
  <c r="O315" i="5"/>
  <c r="M13" i="3" s="1"/>
  <c r="Z315" i="5"/>
  <c r="X13" i="3" s="1"/>
  <c r="N315" i="5"/>
  <c r="Y315" i="5"/>
  <c r="W13" i="3" s="1"/>
  <c r="M315" i="5"/>
  <c r="K13" i="3" s="1"/>
  <c r="X315" i="5"/>
  <c r="V13" i="3" s="1"/>
  <c r="L315" i="5"/>
  <c r="J13" i="3" s="1"/>
  <c r="W315" i="5"/>
  <c r="U13" i="3" s="1"/>
  <c r="K315" i="5"/>
  <c r="I13" i="3" s="1"/>
  <c r="V327" i="5"/>
  <c r="J327" i="5"/>
  <c r="U327" i="5"/>
  <c r="I327" i="5"/>
  <c r="T327" i="5"/>
  <c r="H327" i="5"/>
  <c r="S327" i="5"/>
  <c r="G327" i="5"/>
  <c r="R327" i="5"/>
  <c r="F327" i="5"/>
  <c r="AC327" i="5"/>
  <c r="Q327" i="5"/>
  <c r="AB327" i="5"/>
  <c r="P327" i="5"/>
  <c r="AA327" i="5"/>
  <c r="O327" i="5"/>
  <c r="Z327" i="5"/>
  <c r="N327" i="5"/>
  <c r="Y327" i="5"/>
  <c r="M327" i="5"/>
  <c r="X327" i="5"/>
  <c r="L327" i="5"/>
  <c r="W327" i="5"/>
  <c r="K327" i="5"/>
  <c r="V340" i="5"/>
  <c r="J340" i="5"/>
  <c r="U340" i="5"/>
  <c r="I340" i="5"/>
  <c r="T340" i="5"/>
  <c r="H340" i="5"/>
  <c r="S340" i="5"/>
  <c r="G340" i="5"/>
  <c r="R340" i="5"/>
  <c r="F340" i="5"/>
  <c r="AC340" i="5"/>
  <c r="Q340" i="5"/>
  <c r="AB340" i="5"/>
  <c r="P340" i="5"/>
  <c r="AA340" i="5"/>
  <c r="O340" i="5"/>
  <c r="Z340" i="5"/>
  <c r="N340" i="5"/>
  <c r="Y340" i="5"/>
  <c r="M340" i="5"/>
  <c r="X340" i="5"/>
  <c r="L340" i="5"/>
  <c r="W340" i="5"/>
  <c r="K340" i="5"/>
  <c r="U352" i="5"/>
  <c r="I352" i="5"/>
  <c r="T352" i="5"/>
  <c r="H352" i="5"/>
  <c r="S352" i="5"/>
  <c r="G352" i="5"/>
  <c r="R352" i="5"/>
  <c r="F352" i="5"/>
  <c r="AC352" i="5"/>
  <c r="Q352" i="5"/>
  <c r="AB352" i="5"/>
  <c r="P352" i="5"/>
  <c r="AA352" i="5"/>
  <c r="O352" i="5"/>
  <c r="Z352" i="5"/>
  <c r="N352" i="5"/>
  <c r="X352" i="5"/>
  <c r="L352" i="5"/>
  <c r="Y352" i="5"/>
  <c r="W352" i="5"/>
  <c r="V352" i="5"/>
  <c r="M352" i="5"/>
  <c r="K352" i="5"/>
  <c r="J352" i="5"/>
  <c r="U364" i="5"/>
  <c r="S31" i="3" s="1"/>
  <c r="I364" i="5"/>
  <c r="G31" i="3" s="1"/>
  <c r="T364" i="5"/>
  <c r="R31" i="3" s="1"/>
  <c r="H364" i="5"/>
  <c r="F31" i="3" s="1"/>
  <c r="S364" i="5"/>
  <c r="Q31" i="3" s="1"/>
  <c r="G364" i="5"/>
  <c r="R364" i="5"/>
  <c r="F364" i="5"/>
  <c r="D31" i="3" s="1"/>
  <c r="AC364" i="5"/>
  <c r="AA31" i="3" s="1"/>
  <c r="Q364" i="5"/>
  <c r="O31" i="3" s="1"/>
  <c r="AB364" i="5"/>
  <c r="Z31" i="3" s="1"/>
  <c r="P364" i="5"/>
  <c r="N31" i="3" s="1"/>
  <c r="AA364" i="5"/>
  <c r="Y31" i="3" s="1"/>
  <c r="O364" i="5"/>
  <c r="M31" i="3" s="1"/>
  <c r="Z364" i="5"/>
  <c r="X31" i="3" s="1"/>
  <c r="N364" i="5"/>
  <c r="L31" i="3" s="1"/>
  <c r="Y364" i="5"/>
  <c r="W31" i="3" s="1"/>
  <c r="M364" i="5"/>
  <c r="X364" i="5"/>
  <c r="L364" i="5"/>
  <c r="J31" i="3" s="1"/>
  <c r="W364" i="5"/>
  <c r="U31" i="3" s="1"/>
  <c r="K364" i="5"/>
  <c r="I31" i="3" s="1"/>
  <c r="V364" i="5"/>
  <c r="T31" i="3" s="1"/>
  <c r="J364" i="5"/>
  <c r="H31" i="3" s="1"/>
  <c r="U376" i="5"/>
  <c r="I376" i="5"/>
  <c r="T376" i="5"/>
  <c r="H376" i="5"/>
  <c r="S376" i="5"/>
  <c r="G376" i="5"/>
  <c r="R376" i="5"/>
  <c r="F376" i="5"/>
  <c r="AC376" i="5"/>
  <c r="Q376" i="5"/>
  <c r="AB376" i="5"/>
  <c r="P376" i="5"/>
  <c r="AA376" i="5"/>
  <c r="O376" i="5"/>
  <c r="Z376" i="5"/>
  <c r="N376" i="5"/>
  <c r="Y376" i="5"/>
  <c r="M376" i="5"/>
  <c r="X376" i="5"/>
  <c r="L376" i="5"/>
  <c r="W376" i="5"/>
  <c r="K376" i="5"/>
  <c r="V376" i="5"/>
  <c r="J376" i="5"/>
  <c r="Z388" i="5"/>
  <c r="X108" i="3" s="1"/>
  <c r="N388" i="5"/>
  <c r="L108" i="3" s="1"/>
  <c r="Y388" i="5"/>
  <c r="W108" i="3" s="1"/>
  <c r="M388" i="5"/>
  <c r="K108" i="3" s="1"/>
  <c r="X388" i="5"/>
  <c r="V108" i="3" s="1"/>
  <c r="L388" i="5"/>
  <c r="W388" i="5"/>
  <c r="U108" i="3" s="1"/>
  <c r="K388" i="5"/>
  <c r="I108" i="3" s="1"/>
  <c r="V388" i="5"/>
  <c r="T108" i="3" s="1"/>
  <c r="J388" i="5"/>
  <c r="H108" i="3" s="1"/>
  <c r="U388" i="5"/>
  <c r="S108" i="3" s="1"/>
  <c r="I388" i="5"/>
  <c r="G108" i="3" s="1"/>
  <c r="AA388" i="5"/>
  <c r="Y108" i="3" s="1"/>
  <c r="T388" i="5"/>
  <c r="R108" i="3" s="1"/>
  <c r="S388" i="5"/>
  <c r="Q108" i="3" s="1"/>
  <c r="R388" i="5"/>
  <c r="Q388" i="5"/>
  <c r="O108" i="3" s="1"/>
  <c r="P388" i="5"/>
  <c r="O388" i="5"/>
  <c r="H388" i="5"/>
  <c r="F108" i="3" s="1"/>
  <c r="G388" i="5"/>
  <c r="E108" i="3" s="1"/>
  <c r="F388" i="5"/>
  <c r="D108" i="3" s="1"/>
  <c r="AC388" i="5"/>
  <c r="AA108" i="3" s="1"/>
  <c r="AB388" i="5"/>
  <c r="Z108" i="3" s="1"/>
  <c r="Z400" i="5"/>
  <c r="X86" i="3" s="1"/>
  <c r="N400" i="5"/>
  <c r="L86" i="3" s="1"/>
  <c r="Y400" i="5"/>
  <c r="W86" i="3" s="1"/>
  <c r="M400" i="5"/>
  <c r="K86" i="3" s="1"/>
  <c r="X400" i="5"/>
  <c r="V86" i="3" s="1"/>
  <c r="L400" i="5"/>
  <c r="W400" i="5"/>
  <c r="U86" i="3" s="1"/>
  <c r="K400" i="5"/>
  <c r="I86" i="3" s="1"/>
  <c r="V400" i="5"/>
  <c r="T86" i="3" s="1"/>
  <c r="J400" i="5"/>
  <c r="H86" i="3" s="1"/>
  <c r="U400" i="5"/>
  <c r="S86" i="3" s="1"/>
  <c r="I400" i="5"/>
  <c r="G86" i="3" s="1"/>
  <c r="T400" i="5"/>
  <c r="R86" i="3" s="1"/>
  <c r="H400" i="5"/>
  <c r="F86" i="3" s="1"/>
  <c r="S400" i="5"/>
  <c r="Q86" i="3" s="1"/>
  <c r="G400" i="5"/>
  <c r="E86" i="3" s="1"/>
  <c r="R400" i="5"/>
  <c r="F400" i="5"/>
  <c r="AC400" i="5"/>
  <c r="AA86" i="3" s="1"/>
  <c r="Q400" i="5"/>
  <c r="O86" i="3" s="1"/>
  <c r="AB400" i="5"/>
  <c r="Z86" i="3" s="1"/>
  <c r="P400" i="5"/>
  <c r="N86" i="3" s="1"/>
  <c r="AA400" i="5"/>
  <c r="Y86" i="3" s="1"/>
  <c r="O400" i="5"/>
  <c r="M86" i="3" s="1"/>
  <c r="Z412" i="5"/>
  <c r="N412" i="5"/>
  <c r="Y412" i="5"/>
  <c r="M412" i="5"/>
  <c r="X412" i="5"/>
  <c r="L412" i="5"/>
  <c r="W412" i="5"/>
  <c r="K412" i="5"/>
  <c r="V412" i="5"/>
  <c r="J412" i="5"/>
  <c r="U412" i="5"/>
  <c r="I412" i="5"/>
  <c r="T412" i="5"/>
  <c r="H412" i="5"/>
  <c r="S412" i="5"/>
  <c r="G412" i="5"/>
  <c r="R412" i="5"/>
  <c r="F412" i="5"/>
  <c r="AC412" i="5"/>
  <c r="Q412" i="5"/>
  <c r="AB412" i="5"/>
  <c r="P412" i="5"/>
  <c r="AA412" i="5"/>
  <c r="O412" i="5"/>
  <c r="Z424" i="5"/>
  <c r="X156" i="3" s="1"/>
  <c r="X157" i="3" s="1"/>
  <c r="N424" i="5"/>
  <c r="L156" i="3" s="1"/>
  <c r="L157" i="3" s="1"/>
  <c r="Y424" i="5"/>
  <c r="W156" i="3" s="1"/>
  <c r="W157" i="3" s="1"/>
  <c r="M424" i="5"/>
  <c r="K156" i="3" s="1"/>
  <c r="K157" i="3" s="1"/>
  <c r="X424" i="5"/>
  <c r="V156" i="3" s="1"/>
  <c r="V157" i="3" s="1"/>
  <c r="L424" i="5"/>
  <c r="J156" i="3" s="1"/>
  <c r="J157" i="3" s="1"/>
  <c r="W424" i="5"/>
  <c r="U156" i="3" s="1"/>
  <c r="U157" i="3" s="1"/>
  <c r="K424" i="5"/>
  <c r="I156" i="3" s="1"/>
  <c r="I157" i="3" s="1"/>
  <c r="V424" i="5"/>
  <c r="T156" i="3" s="1"/>
  <c r="T157" i="3" s="1"/>
  <c r="J424" i="5"/>
  <c r="H156" i="3" s="1"/>
  <c r="H157" i="3" s="1"/>
  <c r="U424" i="5"/>
  <c r="S156" i="3" s="1"/>
  <c r="S157" i="3" s="1"/>
  <c r="I424" i="5"/>
  <c r="G156" i="3" s="1"/>
  <c r="G157" i="3" s="1"/>
  <c r="T424" i="5"/>
  <c r="R156" i="3" s="1"/>
  <c r="R157" i="3" s="1"/>
  <c r="H424" i="5"/>
  <c r="F156" i="3" s="1"/>
  <c r="F157" i="3" s="1"/>
  <c r="AC424" i="5"/>
  <c r="AA156" i="3" s="1"/>
  <c r="AA157" i="3" s="1"/>
  <c r="AB424" i="5"/>
  <c r="Z156" i="3" s="1"/>
  <c r="Z157" i="3" s="1"/>
  <c r="AA424" i="5"/>
  <c r="Y156" i="3" s="1"/>
  <c r="Y157" i="3" s="1"/>
  <c r="S424" i="5"/>
  <c r="Q156" i="3" s="1"/>
  <c r="Q157" i="3" s="1"/>
  <c r="R424" i="5"/>
  <c r="Q424" i="5"/>
  <c r="O156" i="3" s="1"/>
  <c r="O157" i="3" s="1"/>
  <c r="P424" i="5"/>
  <c r="N156" i="3" s="1"/>
  <c r="N157" i="3" s="1"/>
  <c r="O424" i="5"/>
  <c r="M156" i="3" s="1"/>
  <c r="M157" i="3" s="1"/>
  <c r="G424" i="5"/>
  <c r="E156" i="3" s="1"/>
  <c r="E157" i="3" s="1"/>
  <c r="F424" i="5"/>
  <c r="D156" i="3" s="1"/>
  <c r="Z436" i="5"/>
  <c r="N436" i="5"/>
  <c r="Y436" i="5"/>
  <c r="M436" i="5"/>
  <c r="X436" i="5"/>
  <c r="L436" i="5"/>
  <c r="W436" i="5"/>
  <c r="K436" i="5"/>
  <c r="V436" i="5"/>
  <c r="J436" i="5"/>
  <c r="U436" i="5"/>
  <c r="I436" i="5"/>
  <c r="T436" i="5"/>
  <c r="H436" i="5"/>
  <c r="S436" i="5"/>
  <c r="G436" i="5"/>
  <c r="R436" i="5"/>
  <c r="F436" i="5"/>
  <c r="AC436" i="5"/>
  <c r="Q436" i="5"/>
  <c r="AB436" i="5"/>
  <c r="P436" i="5"/>
  <c r="AA436" i="5"/>
  <c r="O436" i="5"/>
  <c r="Z448" i="5"/>
  <c r="X125" i="3" s="1"/>
  <c r="N448" i="5"/>
  <c r="L125" i="3" s="1"/>
  <c r="Y448" i="5"/>
  <c r="W125" i="3" s="1"/>
  <c r="M448" i="5"/>
  <c r="K125" i="3" s="1"/>
  <c r="X448" i="5"/>
  <c r="V125" i="3" s="1"/>
  <c r="L448" i="5"/>
  <c r="W448" i="5"/>
  <c r="U125" i="3" s="1"/>
  <c r="K448" i="5"/>
  <c r="I125" i="3" s="1"/>
  <c r="V448" i="5"/>
  <c r="T125" i="3" s="1"/>
  <c r="J448" i="5"/>
  <c r="H125" i="3" s="1"/>
  <c r="U448" i="5"/>
  <c r="S125" i="3" s="1"/>
  <c r="I448" i="5"/>
  <c r="G125" i="3" s="1"/>
  <c r="T448" i="5"/>
  <c r="R125" i="3" s="1"/>
  <c r="H448" i="5"/>
  <c r="F125" i="3" s="1"/>
  <c r="S448" i="5"/>
  <c r="Q125" i="3" s="1"/>
  <c r="G448" i="5"/>
  <c r="E125" i="3" s="1"/>
  <c r="R448" i="5"/>
  <c r="F448" i="5"/>
  <c r="D125" i="3" s="1"/>
  <c r="AC448" i="5"/>
  <c r="AA125" i="3" s="1"/>
  <c r="Q448" i="5"/>
  <c r="O125" i="3" s="1"/>
  <c r="AB448" i="5"/>
  <c r="Z125" i="3" s="1"/>
  <c r="P448" i="5"/>
  <c r="N125" i="3" s="1"/>
  <c r="AA448" i="5"/>
  <c r="Y125" i="3" s="1"/>
  <c r="O448" i="5"/>
  <c r="M125" i="3" s="1"/>
  <c r="AA460" i="5"/>
  <c r="Y63" i="3" s="1"/>
  <c r="O460" i="5"/>
  <c r="M63" i="3" s="1"/>
  <c r="Z460" i="5"/>
  <c r="X63" i="3" s="1"/>
  <c r="N460" i="5"/>
  <c r="L63" i="3" s="1"/>
  <c r="Y460" i="5"/>
  <c r="W63" i="3" s="1"/>
  <c r="M460" i="5"/>
  <c r="K63" i="3" s="1"/>
  <c r="X460" i="5"/>
  <c r="L460" i="5"/>
  <c r="W460" i="5"/>
  <c r="U63" i="3" s="1"/>
  <c r="K460" i="5"/>
  <c r="I63" i="3" s="1"/>
  <c r="V460" i="5"/>
  <c r="T63" i="3" s="1"/>
  <c r="J460" i="5"/>
  <c r="H63" i="3" s="1"/>
  <c r="U460" i="5"/>
  <c r="S63" i="3" s="1"/>
  <c r="I460" i="5"/>
  <c r="G63" i="3" s="1"/>
  <c r="G460" i="5"/>
  <c r="E63" i="3" s="1"/>
  <c r="F460" i="5"/>
  <c r="D63" i="3" s="1"/>
  <c r="AC460" i="5"/>
  <c r="AA63" i="3" s="1"/>
  <c r="AB460" i="5"/>
  <c r="T460" i="5"/>
  <c r="R63" i="3" s="1"/>
  <c r="S460" i="5"/>
  <c r="Q63" i="3" s="1"/>
  <c r="R460" i="5"/>
  <c r="P63" i="3" s="1"/>
  <c r="Q460" i="5"/>
  <c r="O63" i="3" s="1"/>
  <c r="P460" i="5"/>
  <c r="N63" i="3" s="1"/>
  <c r="H460" i="5"/>
  <c r="F63" i="3" s="1"/>
  <c r="AA472" i="5"/>
  <c r="O472" i="5"/>
  <c r="Z472" i="5"/>
  <c r="N472" i="5"/>
  <c r="Y472" i="5"/>
  <c r="M472" i="5"/>
  <c r="X472" i="5"/>
  <c r="L472" i="5"/>
  <c r="W472" i="5"/>
  <c r="K472" i="5"/>
  <c r="V472" i="5"/>
  <c r="J472" i="5"/>
  <c r="U472" i="5"/>
  <c r="I472" i="5"/>
  <c r="T472" i="5"/>
  <c r="H472" i="5"/>
  <c r="S472" i="5"/>
  <c r="G472" i="5"/>
  <c r="R472" i="5"/>
  <c r="F472" i="5"/>
  <c r="AC472" i="5"/>
  <c r="Q472" i="5"/>
  <c r="AB472" i="5"/>
  <c r="P472" i="5"/>
  <c r="AA484" i="5"/>
  <c r="Y68" i="3" s="1"/>
  <c r="O484" i="5"/>
  <c r="M68" i="3" s="1"/>
  <c r="Z484" i="5"/>
  <c r="X68" i="3" s="1"/>
  <c r="N484" i="5"/>
  <c r="L68" i="3" s="1"/>
  <c r="Y484" i="5"/>
  <c r="W68" i="3" s="1"/>
  <c r="M484" i="5"/>
  <c r="X484" i="5"/>
  <c r="V68" i="3" s="1"/>
  <c r="L484" i="5"/>
  <c r="J68" i="3" s="1"/>
  <c r="W484" i="5"/>
  <c r="U68" i="3" s="1"/>
  <c r="K484" i="5"/>
  <c r="I68" i="3" s="1"/>
  <c r="V484" i="5"/>
  <c r="T68" i="3" s="1"/>
  <c r="J484" i="5"/>
  <c r="H68" i="3" s="1"/>
  <c r="U484" i="5"/>
  <c r="S68" i="3" s="1"/>
  <c r="I484" i="5"/>
  <c r="G68" i="3" s="1"/>
  <c r="T484" i="5"/>
  <c r="R68" i="3" s="1"/>
  <c r="H484" i="5"/>
  <c r="F68" i="3" s="1"/>
  <c r="S484" i="5"/>
  <c r="Q68" i="3" s="1"/>
  <c r="G484" i="5"/>
  <c r="R484" i="5"/>
  <c r="F484" i="5"/>
  <c r="D68" i="3" s="1"/>
  <c r="AC484" i="5"/>
  <c r="AA68" i="3" s="1"/>
  <c r="Q484" i="5"/>
  <c r="O68" i="3" s="1"/>
  <c r="AB484" i="5"/>
  <c r="Z68" i="3" s="1"/>
  <c r="P484" i="5"/>
  <c r="N68" i="3" s="1"/>
  <c r="T496" i="5"/>
  <c r="H496" i="5"/>
  <c r="S496" i="5"/>
  <c r="G496" i="5"/>
  <c r="R496" i="5"/>
  <c r="F496" i="5"/>
  <c r="AC496" i="5"/>
  <c r="Q496" i="5"/>
  <c r="AA496" i="5"/>
  <c r="O496" i="5"/>
  <c r="L496" i="5"/>
  <c r="K496" i="5"/>
  <c r="AB496" i="5"/>
  <c r="J496" i="5"/>
  <c r="Z496" i="5"/>
  <c r="I496" i="5"/>
  <c r="Y496" i="5"/>
  <c r="X496" i="5"/>
  <c r="W496" i="5"/>
  <c r="V496" i="5"/>
  <c r="U496" i="5"/>
  <c r="P496" i="5"/>
  <c r="N496" i="5"/>
  <c r="M496" i="5"/>
  <c r="T508" i="5"/>
  <c r="R98" i="3" s="1"/>
  <c r="H508" i="5"/>
  <c r="F98" i="3" s="1"/>
  <c r="S508" i="5"/>
  <c r="Q98" i="3" s="1"/>
  <c r="G508" i="5"/>
  <c r="E98" i="3" s="1"/>
  <c r="R508" i="5"/>
  <c r="F508" i="5"/>
  <c r="D98" i="3" s="1"/>
  <c r="AA508" i="5"/>
  <c r="Y98" i="3" s="1"/>
  <c r="L508" i="5"/>
  <c r="Z508" i="5"/>
  <c r="X98" i="3" s="1"/>
  <c r="K508" i="5"/>
  <c r="I98" i="3" s="1"/>
  <c r="Y508" i="5"/>
  <c r="W98" i="3" s="1"/>
  <c r="J508" i="5"/>
  <c r="H98" i="3" s="1"/>
  <c r="X508" i="5"/>
  <c r="V98" i="3" s="1"/>
  <c r="I508" i="5"/>
  <c r="G98" i="3" s="1"/>
  <c r="W508" i="5"/>
  <c r="U98" i="3" s="1"/>
  <c r="V508" i="5"/>
  <c r="T98" i="3" s="1"/>
  <c r="U508" i="5"/>
  <c r="S98" i="3" s="1"/>
  <c r="Q508" i="5"/>
  <c r="O98" i="3" s="1"/>
  <c r="P508" i="5"/>
  <c r="O508" i="5"/>
  <c r="M98" i="3" s="1"/>
  <c r="AC508" i="5"/>
  <c r="AA98" i="3" s="1"/>
  <c r="N508" i="5"/>
  <c r="L98" i="3" s="1"/>
  <c r="AB508" i="5"/>
  <c r="Z98" i="3" s="1"/>
  <c r="M508" i="5"/>
  <c r="K98" i="3" s="1"/>
  <c r="T520" i="5"/>
  <c r="H520" i="5"/>
  <c r="S520" i="5"/>
  <c r="G520" i="5"/>
  <c r="R520" i="5"/>
  <c r="F520" i="5"/>
  <c r="AA520" i="5"/>
  <c r="L520" i="5"/>
  <c r="Z520" i="5"/>
  <c r="K520" i="5"/>
  <c r="Y520" i="5"/>
  <c r="J520" i="5"/>
  <c r="X520" i="5"/>
  <c r="I520" i="5"/>
  <c r="W520" i="5"/>
  <c r="V520" i="5"/>
  <c r="U520" i="5"/>
  <c r="Q520" i="5"/>
  <c r="P520" i="5"/>
  <c r="O520" i="5"/>
  <c r="AC520" i="5"/>
  <c r="N520" i="5"/>
  <c r="AB520" i="5"/>
  <c r="M520" i="5"/>
  <c r="T532" i="5"/>
  <c r="H532" i="5"/>
  <c r="S532" i="5"/>
  <c r="G532" i="5"/>
  <c r="R532" i="5"/>
  <c r="F532" i="5"/>
  <c r="U532" i="5"/>
  <c r="I532" i="5"/>
  <c r="O532" i="5"/>
  <c r="N532" i="5"/>
  <c r="AC532" i="5"/>
  <c r="M532" i="5"/>
  <c r="V532" i="5"/>
  <c r="Q532" i="5"/>
  <c r="P532" i="5"/>
  <c r="Y532" i="5"/>
  <c r="X532" i="5"/>
  <c r="W532" i="5"/>
  <c r="L532" i="5"/>
  <c r="K532" i="5"/>
  <c r="J532" i="5"/>
  <c r="AB532" i="5"/>
  <c r="AA532" i="5"/>
  <c r="Z532" i="5"/>
  <c r="T544" i="5"/>
  <c r="R186" i="3" s="1"/>
  <c r="H544" i="5"/>
  <c r="F186" i="3" s="1"/>
  <c r="F187" i="3" s="1"/>
  <c r="S544" i="5"/>
  <c r="Q186" i="3" s="1"/>
  <c r="Q187" i="3" s="1"/>
  <c r="G544" i="5"/>
  <c r="E186" i="3" s="1"/>
  <c r="E187" i="3" s="1"/>
  <c r="D9" i="2" s="1"/>
  <c r="R544" i="5"/>
  <c r="P186" i="3" s="1"/>
  <c r="F544" i="5"/>
  <c r="D186" i="3" s="1"/>
  <c r="U544" i="5"/>
  <c r="I544" i="5"/>
  <c r="G186" i="3" s="1"/>
  <c r="G187" i="3" s="1"/>
  <c r="O544" i="5"/>
  <c r="M186" i="3" s="1"/>
  <c r="M187" i="3" s="1"/>
  <c r="N544" i="5"/>
  <c r="L186" i="3" s="1"/>
  <c r="L187" i="3" s="1"/>
  <c r="AC544" i="5"/>
  <c r="AA186" i="3" s="1"/>
  <c r="M544" i="5"/>
  <c r="K186" i="3" s="1"/>
  <c r="K187" i="3" s="1"/>
  <c r="V544" i="5"/>
  <c r="T186" i="3" s="1"/>
  <c r="T187" i="3" s="1"/>
  <c r="Q544" i="5"/>
  <c r="O186" i="3" s="1"/>
  <c r="O187" i="3" s="1"/>
  <c r="P544" i="5"/>
  <c r="N186" i="3" s="1"/>
  <c r="N187" i="3" s="1"/>
  <c r="Y544" i="5"/>
  <c r="W186" i="3" s="1"/>
  <c r="W187" i="3" s="1"/>
  <c r="X544" i="5"/>
  <c r="V186" i="3" s="1"/>
  <c r="W544" i="5"/>
  <c r="L544" i="5"/>
  <c r="J186" i="3" s="1"/>
  <c r="J187" i="3" s="1"/>
  <c r="K544" i="5"/>
  <c r="I186" i="3" s="1"/>
  <c r="I187" i="3" s="1"/>
  <c r="J544" i="5"/>
  <c r="H186" i="3" s="1"/>
  <c r="H187" i="3" s="1"/>
  <c r="AB544" i="5"/>
  <c r="AA544" i="5"/>
  <c r="Y186" i="3" s="1"/>
  <c r="Y187" i="3" s="1"/>
  <c r="Z544" i="5"/>
  <c r="X186" i="3" s="1"/>
  <c r="X187" i="3" s="1"/>
  <c r="T556" i="5"/>
  <c r="R136" i="3" s="1"/>
  <c r="H556" i="5"/>
  <c r="F136" i="3" s="1"/>
  <c r="S556" i="5"/>
  <c r="Q136" i="3" s="1"/>
  <c r="G556" i="5"/>
  <c r="E136" i="3" s="1"/>
  <c r="R556" i="5"/>
  <c r="P136" i="3" s="1"/>
  <c r="F556" i="5"/>
  <c r="D136" i="3" s="1"/>
  <c r="V556" i="5"/>
  <c r="T136" i="3" s="1"/>
  <c r="J556" i="5"/>
  <c r="H136" i="3" s="1"/>
  <c r="U556" i="5"/>
  <c r="S136" i="3" s="1"/>
  <c r="I556" i="5"/>
  <c r="G136" i="3" s="1"/>
  <c r="Z556" i="5"/>
  <c r="X136" i="3" s="1"/>
  <c r="Y556" i="5"/>
  <c r="W136" i="3" s="1"/>
  <c r="X556" i="5"/>
  <c r="V136" i="3" s="1"/>
  <c r="AC556" i="5"/>
  <c r="AA136" i="3" s="1"/>
  <c r="L556" i="5"/>
  <c r="J136" i="3" s="1"/>
  <c r="AB556" i="5"/>
  <c r="Z136" i="3" s="1"/>
  <c r="K556" i="5"/>
  <c r="I136" i="3" s="1"/>
  <c r="AA556" i="5"/>
  <c r="Y136" i="3" s="1"/>
  <c r="O556" i="5"/>
  <c r="M136" i="3" s="1"/>
  <c r="N556" i="5"/>
  <c r="L136" i="3" s="1"/>
  <c r="M556" i="5"/>
  <c r="K136" i="3" s="1"/>
  <c r="W556" i="5"/>
  <c r="U136" i="3" s="1"/>
  <c r="Q556" i="5"/>
  <c r="O136" i="3" s="1"/>
  <c r="P556" i="5"/>
  <c r="N136" i="3" s="1"/>
  <c r="Z117" i="3"/>
  <c r="Z15" i="5"/>
  <c r="X7" i="4" s="1"/>
  <c r="N15" i="5"/>
  <c r="L7" i="4" s="1"/>
  <c r="Y15" i="5"/>
  <c r="W7" i="4" s="1"/>
  <c r="M15" i="5"/>
  <c r="K7" i="4" s="1"/>
  <c r="T15" i="5"/>
  <c r="X15" i="5"/>
  <c r="L15" i="5"/>
  <c r="J7" i="4" s="1"/>
  <c r="W15" i="5"/>
  <c r="U7" i="4" s="1"/>
  <c r="K15" i="5"/>
  <c r="I7" i="4" s="1"/>
  <c r="I15" i="5"/>
  <c r="G7" i="4" s="1"/>
  <c r="H15" i="5"/>
  <c r="F7" i="4" s="1"/>
  <c r="V15" i="5"/>
  <c r="T7" i="4" s="1"/>
  <c r="J15" i="5"/>
  <c r="H7" i="4" s="1"/>
  <c r="AA15" i="5"/>
  <c r="Y7" i="4" s="1"/>
  <c r="U15" i="5"/>
  <c r="S7" i="4" s="1"/>
  <c r="AB15" i="5"/>
  <c r="Z7" i="4" s="1"/>
  <c r="S15" i="5"/>
  <c r="G15" i="5"/>
  <c r="E7" i="4" s="1"/>
  <c r="R15" i="5"/>
  <c r="F15" i="5"/>
  <c r="D7" i="4" s="1"/>
  <c r="AC15" i="5"/>
  <c r="Q15" i="5"/>
  <c r="O7" i="4" s="1"/>
  <c r="O15" i="5"/>
  <c r="M7" i="4" s="1"/>
  <c r="P15" i="5"/>
  <c r="N7" i="4" s="1"/>
  <c r="Z27" i="5"/>
  <c r="X12" i="4" s="1"/>
  <c r="N27" i="5"/>
  <c r="L12" i="4" s="1"/>
  <c r="Y27" i="5"/>
  <c r="W12" i="4" s="1"/>
  <c r="M27" i="5"/>
  <c r="K12" i="4" s="1"/>
  <c r="X27" i="5"/>
  <c r="V12" i="4" s="1"/>
  <c r="W27" i="5"/>
  <c r="K27" i="5"/>
  <c r="I12" i="4" s="1"/>
  <c r="V27" i="5"/>
  <c r="T12" i="4" s="1"/>
  <c r="U27" i="5"/>
  <c r="S12" i="4" s="1"/>
  <c r="I27" i="5"/>
  <c r="G12" i="4" s="1"/>
  <c r="T27" i="5"/>
  <c r="R12" i="4" s="1"/>
  <c r="H27" i="5"/>
  <c r="F12" i="4" s="1"/>
  <c r="S27" i="5"/>
  <c r="Q12" i="4" s="1"/>
  <c r="G27" i="5"/>
  <c r="E12" i="4" s="1"/>
  <c r="AC27" i="5"/>
  <c r="Q27" i="5"/>
  <c r="O12" i="4" s="1"/>
  <c r="AB27" i="5"/>
  <c r="Z12" i="4" s="1"/>
  <c r="AA27" i="5"/>
  <c r="Y12" i="4" s="1"/>
  <c r="R27" i="5"/>
  <c r="P12" i="4" s="1"/>
  <c r="P27" i="5"/>
  <c r="N12" i="4" s="1"/>
  <c r="O27" i="5"/>
  <c r="M12" i="4" s="1"/>
  <c r="L27" i="5"/>
  <c r="J12" i="4" s="1"/>
  <c r="J27" i="5"/>
  <c r="H12" i="4" s="1"/>
  <c r="F27" i="5"/>
  <c r="D12" i="4" s="1"/>
  <c r="Z39" i="5"/>
  <c r="X22" i="4" s="1"/>
  <c r="N39" i="5"/>
  <c r="L22" i="4" s="1"/>
  <c r="Y39" i="5"/>
  <c r="W22" i="4" s="1"/>
  <c r="M39" i="5"/>
  <c r="K22" i="4" s="1"/>
  <c r="X39" i="5"/>
  <c r="L39" i="5"/>
  <c r="J22" i="4" s="1"/>
  <c r="W39" i="5"/>
  <c r="U22" i="4" s="1"/>
  <c r="K39" i="5"/>
  <c r="I22" i="4" s="1"/>
  <c r="V39" i="5"/>
  <c r="T22" i="4" s="1"/>
  <c r="J39" i="5"/>
  <c r="H22" i="4" s="1"/>
  <c r="U39" i="5"/>
  <c r="S22" i="4" s="1"/>
  <c r="I39" i="5"/>
  <c r="G22" i="4" s="1"/>
  <c r="T39" i="5"/>
  <c r="R22" i="4" s="1"/>
  <c r="H39" i="5"/>
  <c r="F22" i="4" s="1"/>
  <c r="S39" i="5"/>
  <c r="Q22" i="4" s="1"/>
  <c r="G39" i="5"/>
  <c r="E22" i="4" s="1"/>
  <c r="R39" i="5"/>
  <c r="P22" i="4" s="1"/>
  <c r="F39" i="5"/>
  <c r="AC39" i="5"/>
  <c r="Q39" i="5"/>
  <c r="O22" i="4" s="1"/>
  <c r="AB39" i="5"/>
  <c r="Z22" i="4" s="1"/>
  <c r="P39" i="5"/>
  <c r="N22" i="4" s="1"/>
  <c r="AA39" i="5"/>
  <c r="Y22" i="4" s="1"/>
  <c r="O39" i="5"/>
  <c r="M22" i="4" s="1"/>
  <c r="Z51" i="5"/>
  <c r="X30" i="4" s="1"/>
  <c r="N51" i="5"/>
  <c r="L30" i="4" s="1"/>
  <c r="Y51" i="5"/>
  <c r="W30" i="4" s="1"/>
  <c r="M51" i="5"/>
  <c r="K30" i="4" s="1"/>
  <c r="X51" i="5"/>
  <c r="V30" i="4" s="1"/>
  <c r="L51" i="5"/>
  <c r="J30" i="4" s="1"/>
  <c r="W51" i="5"/>
  <c r="U30" i="4" s="1"/>
  <c r="K51" i="5"/>
  <c r="V51" i="5"/>
  <c r="T30" i="4" s="1"/>
  <c r="J51" i="5"/>
  <c r="H30" i="4" s="1"/>
  <c r="U51" i="5"/>
  <c r="S30" i="4" s="1"/>
  <c r="I51" i="5"/>
  <c r="G30" i="4" s="1"/>
  <c r="T51" i="5"/>
  <c r="R30" i="4" s="1"/>
  <c r="H51" i="5"/>
  <c r="F30" i="4" s="1"/>
  <c r="S51" i="5"/>
  <c r="Q30" i="4" s="1"/>
  <c r="G51" i="5"/>
  <c r="E30" i="4" s="1"/>
  <c r="R51" i="5"/>
  <c r="P30" i="4" s="1"/>
  <c r="F51" i="5"/>
  <c r="D30" i="4" s="1"/>
  <c r="AC51" i="5"/>
  <c r="Q51" i="5"/>
  <c r="O30" i="4" s="1"/>
  <c r="AB51" i="5"/>
  <c r="Z30" i="4" s="1"/>
  <c r="P51" i="5"/>
  <c r="N30" i="4" s="1"/>
  <c r="AA51" i="5"/>
  <c r="Y30" i="4" s="1"/>
  <c r="O51" i="5"/>
  <c r="M30" i="4" s="1"/>
  <c r="Z63" i="5"/>
  <c r="N63" i="5"/>
  <c r="Y63" i="5"/>
  <c r="M63" i="5"/>
  <c r="X63" i="5"/>
  <c r="L63" i="5"/>
  <c r="W63" i="5"/>
  <c r="K63" i="5"/>
  <c r="V63" i="5"/>
  <c r="J63" i="5"/>
  <c r="U63" i="5"/>
  <c r="I63" i="5"/>
  <c r="T63" i="5"/>
  <c r="H63" i="5"/>
  <c r="S63" i="5"/>
  <c r="G63" i="5"/>
  <c r="R63" i="5"/>
  <c r="F63" i="5"/>
  <c r="AC63" i="5"/>
  <c r="Q63" i="5"/>
  <c r="AB63" i="5"/>
  <c r="P63" i="5"/>
  <c r="AA63" i="5"/>
  <c r="O63" i="5"/>
  <c r="Z75" i="5"/>
  <c r="N75" i="5"/>
  <c r="Y75" i="5"/>
  <c r="M75" i="5"/>
  <c r="X75" i="5"/>
  <c r="L75" i="5"/>
  <c r="W75" i="5"/>
  <c r="K75" i="5"/>
  <c r="V75" i="5"/>
  <c r="J75" i="5"/>
  <c r="U75" i="5"/>
  <c r="I75" i="5"/>
  <c r="T75" i="5"/>
  <c r="H75" i="5"/>
  <c r="S75" i="5"/>
  <c r="G75" i="5"/>
  <c r="R75" i="5"/>
  <c r="F75" i="5"/>
  <c r="AC75" i="5"/>
  <c r="Q75" i="5"/>
  <c r="AB75" i="5"/>
  <c r="P75" i="5"/>
  <c r="AA75" i="5"/>
  <c r="O75" i="5"/>
  <c r="Z87" i="5"/>
  <c r="N87" i="5"/>
  <c r="Y87" i="5"/>
  <c r="M87" i="5"/>
  <c r="X87" i="5"/>
  <c r="L87" i="5"/>
  <c r="W87" i="5"/>
  <c r="K87" i="5"/>
  <c r="V87" i="5"/>
  <c r="J87" i="5"/>
  <c r="U87" i="5"/>
  <c r="I87" i="5"/>
  <c r="T87" i="5"/>
  <c r="H87" i="5"/>
  <c r="S87" i="5"/>
  <c r="G87" i="5"/>
  <c r="R87" i="5"/>
  <c r="F87" i="5"/>
  <c r="AC87" i="5"/>
  <c r="Q87" i="5"/>
  <c r="AB87" i="5"/>
  <c r="P87" i="5"/>
  <c r="AA87" i="5"/>
  <c r="O87" i="5"/>
  <c r="Z99" i="5"/>
  <c r="N99" i="5"/>
  <c r="Y99" i="5"/>
  <c r="M99" i="5"/>
  <c r="X99" i="5"/>
  <c r="L99" i="5"/>
  <c r="W99" i="5"/>
  <c r="K99" i="5"/>
  <c r="V99" i="5"/>
  <c r="J99" i="5"/>
  <c r="U99" i="5"/>
  <c r="I99" i="5"/>
  <c r="T99" i="5"/>
  <c r="H99" i="5"/>
  <c r="S99" i="5"/>
  <c r="G99" i="5"/>
  <c r="R99" i="5"/>
  <c r="F99" i="5"/>
  <c r="AC99" i="5"/>
  <c r="Q99" i="5"/>
  <c r="AB99" i="5"/>
  <c r="P99" i="5"/>
  <c r="AA99" i="5"/>
  <c r="O99" i="5"/>
  <c r="AC111" i="5"/>
  <c r="Q111" i="5"/>
  <c r="AB111" i="5"/>
  <c r="P111" i="5"/>
  <c r="AA111" i="5"/>
  <c r="O111" i="5"/>
  <c r="Z111" i="5"/>
  <c r="N111" i="5"/>
  <c r="Y111" i="5"/>
  <c r="M111" i="5"/>
  <c r="X111" i="5"/>
  <c r="L111" i="5"/>
  <c r="K111" i="5"/>
  <c r="J111" i="5"/>
  <c r="I111" i="5"/>
  <c r="H111" i="5"/>
  <c r="G111" i="5"/>
  <c r="F111" i="5"/>
  <c r="W111" i="5"/>
  <c r="V111" i="5"/>
  <c r="U111" i="5"/>
  <c r="T111" i="5"/>
  <c r="S111" i="5"/>
  <c r="R111" i="5"/>
  <c r="AC123" i="5"/>
  <c r="AA58" i="4" s="1"/>
  <c r="Q123" i="5"/>
  <c r="O58" i="4" s="1"/>
  <c r="AB123" i="5"/>
  <c r="Z58" i="4" s="1"/>
  <c r="P123" i="5"/>
  <c r="N58" i="4" s="1"/>
  <c r="AA123" i="5"/>
  <c r="Y58" i="4" s="1"/>
  <c r="O123" i="5"/>
  <c r="M58" i="4" s="1"/>
  <c r="Z123" i="5"/>
  <c r="X58" i="4" s="1"/>
  <c r="N123" i="5"/>
  <c r="L58" i="4" s="1"/>
  <c r="Y123" i="5"/>
  <c r="W58" i="4" s="1"/>
  <c r="M123" i="5"/>
  <c r="K58" i="4" s="1"/>
  <c r="X123" i="5"/>
  <c r="V58" i="4" s="1"/>
  <c r="L123" i="5"/>
  <c r="J58" i="4" s="1"/>
  <c r="W123" i="5"/>
  <c r="U58" i="4" s="1"/>
  <c r="K123" i="5"/>
  <c r="I58" i="4" s="1"/>
  <c r="V123" i="5"/>
  <c r="T58" i="4" s="1"/>
  <c r="J123" i="5"/>
  <c r="H58" i="4" s="1"/>
  <c r="U123" i="5"/>
  <c r="S58" i="4" s="1"/>
  <c r="I123" i="5"/>
  <c r="G58" i="4" s="1"/>
  <c r="T123" i="5"/>
  <c r="R58" i="4" s="1"/>
  <c r="H123" i="5"/>
  <c r="F58" i="4" s="1"/>
  <c r="S123" i="5"/>
  <c r="Q58" i="4" s="1"/>
  <c r="G123" i="5"/>
  <c r="E58" i="4" s="1"/>
  <c r="R123" i="5"/>
  <c r="P58" i="4" s="1"/>
  <c r="F123" i="5"/>
  <c r="D58" i="4" s="1"/>
  <c r="AC135" i="5"/>
  <c r="Q135" i="5"/>
  <c r="AB135" i="5"/>
  <c r="P135" i="5"/>
  <c r="AA135" i="5"/>
  <c r="O135" i="5"/>
  <c r="Z135" i="5"/>
  <c r="N135" i="5"/>
  <c r="Y135" i="5"/>
  <c r="M135" i="5"/>
  <c r="X135" i="5"/>
  <c r="L135" i="5"/>
  <c r="W135" i="5"/>
  <c r="K135" i="5"/>
  <c r="V135" i="5"/>
  <c r="J135" i="5"/>
  <c r="U135" i="5"/>
  <c r="I135" i="5"/>
  <c r="T135" i="5"/>
  <c r="H135" i="5"/>
  <c r="S135" i="5"/>
  <c r="G135" i="5"/>
  <c r="R135" i="5"/>
  <c r="F135" i="5"/>
  <c r="AC147" i="5"/>
  <c r="Q147" i="5"/>
  <c r="AB147" i="5"/>
  <c r="P147" i="5"/>
  <c r="AA147" i="5"/>
  <c r="O147" i="5"/>
  <c r="Z147" i="5"/>
  <c r="N147" i="5"/>
  <c r="Y147" i="5"/>
  <c r="M147" i="5"/>
  <c r="X147" i="5"/>
  <c r="L147" i="5"/>
  <c r="W147" i="5"/>
  <c r="K147" i="5"/>
  <c r="V147" i="5"/>
  <c r="J147" i="5"/>
  <c r="U147" i="5"/>
  <c r="I147" i="5"/>
  <c r="T147" i="5"/>
  <c r="H147" i="5"/>
  <c r="S147" i="5"/>
  <c r="G147" i="5"/>
  <c r="R147" i="5"/>
  <c r="F147" i="5"/>
  <c r="X159" i="5"/>
  <c r="L159" i="5"/>
  <c r="W159" i="5"/>
  <c r="K159" i="5"/>
  <c r="V159" i="5"/>
  <c r="J159" i="5"/>
  <c r="U159" i="5"/>
  <c r="I159" i="5"/>
  <c r="T159" i="5"/>
  <c r="H159" i="5"/>
  <c r="S159" i="5"/>
  <c r="G159" i="5"/>
  <c r="R159" i="5"/>
  <c r="F159" i="5"/>
  <c r="AC159" i="5"/>
  <c r="Q159" i="5"/>
  <c r="P159" i="5"/>
  <c r="O159" i="5"/>
  <c r="N159" i="5"/>
  <c r="M159" i="5"/>
  <c r="AB159" i="5"/>
  <c r="AA159" i="5"/>
  <c r="Z159" i="5"/>
  <c r="Y159" i="5"/>
  <c r="X171" i="5"/>
  <c r="V88" i="4" s="1"/>
  <c r="L171" i="5"/>
  <c r="J88" i="4" s="1"/>
  <c r="W171" i="5"/>
  <c r="U88" i="4" s="1"/>
  <c r="K171" i="5"/>
  <c r="I88" i="4" s="1"/>
  <c r="V171" i="5"/>
  <c r="T88" i="4" s="1"/>
  <c r="J171" i="5"/>
  <c r="H88" i="4" s="1"/>
  <c r="U171" i="5"/>
  <c r="S88" i="4" s="1"/>
  <c r="I171" i="5"/>
  <c r="G88" i="4" s="1"/>
  <c r="T171" i="5"/>
  <c r="R88" i="4" s="1"/>
  <c r="H171" i="5"/>
  <c r="F88" i="4" s="1"/>
  <c r="S171" i="5"/>
  <c r="Q88" i="4" s="1"/>
  <c r="G171" i="5"/>
  <c r="E88" i="4" s="1"/>
  <c r="R171" i="5"/>
  <c r="P88" i="4" s="1"/>
  <c r="F171" i="5"/>
  <c r="D88" i="4" s="1"/>
  <c r="AC171" i="5"/>
  <c r="AA88" i="4" s="1"/>
  <c r="Q171" i="5"/>
  <c r="O88" i="4" s="1"/>
  <c r="AB171" i="5"/>
  <c r="Z88" i="4" s="1"/>
  <c r="P171" i="5"/>
  <c r="N88" i="4" s="1"/>
  <c r="AA171" i="5"/>
  <c r="Y88" i="4" s="1"/>
  <c r="O171" i="5"/>
  <c r="M88" i="4" s="1"/>
  <c r="Z171" i="5"/>
  <c r="X88" i="4" s="1"/>
  <c r="N171" i="5"/>
  <c r="L88" i="4" s="1"/>
  <c r="Y171" i="5"/>
  <c r="W88" i="4" s="1"/>
  <c r="M171" i="5"/>
  <c r="K88" i="4" s="1"/>
  <c r="X183" i="5"/>
  <c r="V104" i="4" s="1"/>
  <c r="L183" i="5"/>
  <c r="J104" i="4" s="1"/>
  <c r="W183" i="5"/>
  <c r="U104" i="4" s="1"/>
  <c r="K183" i="5"/>
  <c r="I104" i="4" s="1"/>
  <c r="V183" i="5"/>
  <c r="T104" i="4" s="1"/>
  <c r="J183" i="5"/>
  <c r="H104" i="4" s="1"/>
  <c r="U183" i="5"/>
  <c r="S104" i="4" s="1"/>
  <c r="I183" i="5"/>
  <c r="G104" i="4" s="1"/>
  <c r="T183" i="5"/>
  <c r="R104" i="4" s="1"/>
  <c r="H183" i="5"/>
  <c r="F104" i="4" s="1"/>
  <c r="S183" i="5"/>
  <c r="Q104" i="4" s="1"/>
  <c r="G183" i="5"/>
  <c r="E104" i="4" s="1"/>
  <c r="R183" i="5"/>
  <c r="P104" i="4" s="1"/>
  <c r="F183" i="5"/>
  <c r="D104" i="4" s="1"/>
  <c r="AC183" i="5"/>
  <c r="AA104" i="4" s="1"/>
  <c r="Q183" i="5"/>
  <c r="O104" i="4" s="1"/>
  <c r="AB183" i="5"/>
  <c r="Z104" i="4" s="1"/>
  <c r="P183" i="5"/>
  <c r="N104" i="4" s="1"/>
  <c r="AA183" i="5"/>
  <c r="Y104" i="4" s="1"/>
  <c r="O183" i="5"/>
  <c r="M104" i="4" s="1"/>
  <c r="Z183" i="5"/>
  <c r="X104" i="4" s="1"/>
  <c r="N183" i="5"/>
  <c r="L104" i="4" s="1"/>
  <c r="Y183" i="5"/>
  <c r="W104" i="4" s="1"/>
  <c r="M183" i="5"/>
  <c r="K104" i="4" s="1"/>
  <c r="X195" i="5"/>
  <c r="V122" i="4" s="1"/>
  <c r="L195" i="5"/>
  <c r="J122" i="4" s="1"/>
  <c r="W195" i="5"/>
  <c r="U122" i="4" s="1"/>
  <c r="K195" i="5"/>
  <c r="I122" i="4" s="1"/>
  <c r="V195" i="5"/>
  <c r="T122" i="4" s="1"/>
  <c r="J195" i="5"/>
  <c r="H122" i="4" s="1"/>
  <c r="U195" i="5"/>
  <c r="S122" i="4" s="1"/>
  <c r="I195" i="5"/>
  <c r="G122" i="4" s="1"/>
  <c r="T195" i="5"/>
  <c r="R122" i="4" s="1"/>
  <c r="H195" i="5"/>
  <c r="F122" i="4" s="1"/>
  <c r="S195" i="5"/>
  <c r="Q122" i="4" s="1"/>
  <c r="G195" i="5"/>
  <c r="E122" i="4" s="1"/>
  <c r="R195" i="5"/>
  <c r="F195" i="5"/>
  <c r="D122" i="4" s="1"/>
  <c r="AC195" i="5"/>
  <c r="AA122" i="4" s="1"/>
  <c r="Q195" i="5"/>
  <c r="O122" i="4" s="1"/>
  <c r="AB195" i="5"/>
  <c r="Z122" i="4" s="1"/>
  <c r="P195" i="5"/>
  <c r="N122" i="4" s="1"/>
  <c r="AA195" i="5"/>
  <c r="Y122" i="4" s="1"/>
  <c r="O195" i="5"/>
  <c r="M122" i="4" s="1"/>
  <c r="Z195" i="5"/>
  <c r="X122" i="4" s="1"/>
  <c r="N195" i="5"/>
  <c r="L122" i="4" s="1"/>
  <c r="Y195" i="5"/>
  <c r="W122" i="4" s="1"/>
  <c r="M195" i="5"/>
  <c r="K122" i="4" s="1"/>
  <c r="T207" i="5"/>
  <c r="R129" i="4" s="1"/>
  <c r="H207" i="5"/>
  <c r="F129" i="4" s="1"/>
  <c r="S207" i="5"/>
  <c r="Q129" i="4" s="1"/>
  <c r="G207" i="5"/>
  <c r="E129" i="4" s="1"/>
  <c r="R207" i="5"/>
  <c r="P129" i="4" s="1"/>
  <c r="F207" i="5"/>
  <c r="D129" i="4" s="1"/>
  <c r="AC207" i="5"/>
  <c r="AA129" i="4" s="1"/>
  <c r="Q207" i="5"/>
  <c r="O129" i="4" s="1"/>
  <c r="AB207" i="5"/>
  <c r="Z129" i="4" s="1"/>
  <c r="P207" i="5"/>
  <c r="N129" i="4" s="1"/>
  <c r="AA207" i="5"/>
  <c r="Y129" i="4" s="1"/>
  <c r="O207" i="5"/>
  <c r="M129" i="4" s="1"/>
  <c r="Z207" i="5"/>
  <c r="X129" i="4" s="1"/>
  <c r="N207" i="5"/>
  <c r="L129" i="4" s="1"/>
  <c r="J207" i="5"/>
  <c r="H129" i="4" s="1"/>
  <c r="I207" i="5"/>
  <c r="G129" i="4" s="1"/>
  <c r="Y207" i="5"/>
  <c r="W129" i="4" s="1"/>
  <c r="X207" i="5"/>
  <c r="V129" i="4" s="1"/>
  <c r="W207" i="5"/>
  <c r="U129" i="4" s="1"/>
  <c r="V207" i="5"/>
  <c r="T129" i="4" s="1"/>
  <c r="U207" i="5"/>
  <c r="S129" i="4" s="1"/>
  <c r="M207" i="5"/>
  <c r="K129" i="4" s="1"/>
  <c r="L207" i="5"/>
  <c r="J129" i="4" s="1"/>
  <c r="K207" i="5"/>
  <c r="I129" i="4" s="1"/>
  <c r="T219" i="5"/>
  <c r="R171" i="4" s="1"/>
  <c r="H219" i="5"/>
  <c r="F171" i="4" s="1"/>
  <c r="S219" i="5"/>
  <c r="Q171" i="4" s="1"/>
  <c r="G219" i="5"/>
  <c r="E171" i="4" s="1"/>
  <c r="R219" i="5"/>
  <c r="P171" i="4" s="1"/>
  <c r="F219" i="5"/>
  <c r="AC219" i="5"/>
  <c r="AA171" i="4" s="1"/>
  <c r="Q219" i="5"/>
  <c r="O171" i="4" s="1"/>
  <c r="AB219" i="5"/>
  <c r="Z171" i="4" s="1"/>
  <c r="P219" i="5"/>
  <c r="N171" i="4" s="1"/>
  <c r="AA219" i="5"/>
  <c r="Y171" i="4" s="1"/>
  <c r="O219" i="5"/>
  <c r="M171" i="4" s="1"/>
  <c r="Z219" i="5"/>
  <c r="X171" i="4" s="1"/>
  <c r="N219" i="5"/>
  <c r="L171" i="4" s="1"/>
  <c r="Y219" i="5"/>
  <c r="W171" i="4" s="1"/>
  <c r="M219" i="5"/>
  <c r="K171" i="4" s="1"/>
  <c r="X219" i="5"/>
  <c r="V171" i="4" s="1"/>
  <c r="L219" i="5"/>
  <c r="J171" i="4" s="1"/>
  <c r="W219" i="5"/>
  <c r="U171" i="4" s="1"/>
  <c r="K219" i="5"/>
  <c r="I171" i="4" s="1"/>
  <c r="V219" i="5"/>
  <c r="T171" i="4" s="1"/>
  <c r="J219" i="5"/>
  <c r="H171" i="4" s="1"/>
  <c r="U219" i="5"/>
  <c r="S171" i="4" s="1"/>
  <c r="I219" i="5"/>
  <c r="G171" i="4" s="1"/>
  <c r="T231" i="5"/>
  <c r="H231" i="5"/>
  <c r="S231" i="5"/>
  <c r="G231" i="5"/>
  <c r="R231" i="5"/>
  <c r="F231" i="5"/>
  <c r="AC231" i="5"/>
  <c r="Q231" i="5"/>
  <c r="AB231" i="5"/>
  <c r="P231" i="5"/>
  <c r="AA231" i="5"/>
  <c r="O231" i="5"/>
  <c r="Z231" i="5"/>
  <c r="N231" i="5"/>
  <c r="Y231" i="5"/>
  <c r="M231" i="5"/>
  <c r="X231" i="5"/>
  <c r="L231" i="5"/>
  <c r="W231" i="5"/>
  <c r="K231" i="5"/>
  <c r="V231" i="5"/>
  <c r="J231" i="5"/>
  <c r="U231" i="5"/>
  <c r="I231" i="5"/>
  <c r="T244" i="5"/>
  <c r="R179" i="4" s="1"/>
  <c r="H244" i="5"/>
  <c r="F179" i="4" s="1"/>
  <c r="S244" i="5"/>
  <c r="Q179" i="4" s="1"/>
  <c r="G244" i="5"/>
  <c r="E179" i="4" s="1"/>
  <c r="R244" i="5"/>
  <c r="P179" i="4" s="1"/>
  <c r="F244" i="5"/>
  <c r="D179" i="4" s="1"/>
  <c r="AC244" i="5"/>
  <c r="AA179" i="4" s="1"/>
  <c r="Q244" i="5"/>
  <c r="O179" i="4" s="1"/>
  <c r="AB244" i="5"/>
  <c r="Z179" i="4" s="1"/>
  <c r="P244" i="5"/>
  <c r="N179" i="4" s="1"/>
  <c r="AA244" i="5"/>
  <c r="Y179" i="4" s="1"/>
  <c r="O244" i="5"/>
  <c r="M179" i="4" s="1"/>
  <c r="Z244" i="5"/>
  <c r="X179" i="4" s="1"/>
  <c r="N244" i="5"/>
  <c r="L179" i="4" s="1"/>
  <c r="Y244" i="5"/>
  <c r="W179" i="4" s="1"/>
  <c r="M244" i="5"/>
  <c r="K179" i="4" s="1"/>
  <c r="X244" i="5"/>
  <c r="V179" i="4" s="1"/>
  <c r="L244" i="5"/>
  <c r="J179" i="4" s="1"/>
  <c r="W244" i="5"/>
  <c r="U179" i="4" s="1"/>
  <c r="K244" i="5"/>
  <c r="I179" i="4" s="1"/>
  <c r="V244" i="5"/>
  <c r="T179" i="4" s="1"/>
  <c r="J244" i="5"/>
  <c r="H179" i="4" s="1"/>
  <c r="U244" i="5"/>
  <c r="S179" i="4" s="1"/>
  <c r="I244" i="5"/>
  <c r="G179" i="4" s="1"/>
  <c r="S256" i="5"/>
  <c r="G256" i="5"/>
  <c r="R256" i="5"/>
  <c r="F256" i="5"/>
  <c r="AC256" i="5"/>
  <c r="Q256" i="5"/>
  <c r="AB256" i="5"/>
  <c r="P256" i="5"/>
  <c r="AA256" i="5"/>
  <c r="O256" i="5"/>
  <c r="Z256" i="5"/>
  <c r="N256" i="5"/>
  <c r="T256" i="5"/>
  <c r="M256" i="5"/>
  <c r="L256" i="5"/>
  <c r="K256" i="5"/>
  <c r="J256" i="5"/>
  <c r="I256" i="5"/>
  <c r="H256" i="5"/>
  <c r="Y256" i="5"/>
  <c r="X256" i="5"/>
  <c r="W256" i="5"/>
  <c r="V256" i="5"/>
  <c r="U256" i="5"/>
  <c r="S268" i="5"/>
  <c r="G268" i="5"/>
  <c r="R268" i="5"/>
  <c r="F268" i="5"/>
  <c r="AC268" i="5"/>
  <c r="Q268" i="5"/>
  <c r="AB268" i="5"/>
  <c r="P268" i="5"/>
  <c r="AA268" i="5"/>
  <c r="O268" i="5"/>
  <c r="Z268" i="5"/>
  <c r="N268" i="5"/>
  <c r="Y268" i="5"/>
  <c r="M268" i="5"/>
  <c r="X268" i="5"/>
  <c r="L268" i="5"/>
  <c r="W268" i="5"/>
  <c r="K268" i="5"/>
  <c r="V268" i="5"/>
  <c r="J268" i="5"/>
  <c r="U268" i="5"/>
  <c r="I268" i="5"/>
  <c r="T268" i="5"/>
  <c r="H268" i="5"/>
  <c r="S280" i="5"/>
  <c r="G280" i="5"/>
  <c r="R280" i="5"/>
  <c r="F280" i="5"/>
  <c r="AC280" i="5"/>
  <c r="Q280" i="5"/>
  <c r="AB280" i="5"/>
  <c r="P280" i="5"/>
  <c r="AA280" i="5"/>
  <c r="O280" i="5"/>
  <c r="Z280" i="5"/>
  <c r="N280" i="5"/>
  <c r="Y280" i="5"/>
  <c r="M280" i="5"/>
  <c r="X280" i="5"/>
  <c r="L280" i="5"/>
  <c r="W280" i="5"/>
  <c r="K280" i="5"/>
  <c r="V280" i="5"/>
  <c r="J280" i="5"/>
  <c r="U280" i="5"/>
  <c r="I280" i="5"/>
  <c r="T280" i="5"/>
  <c r="H280" i="5"/>
  <c r="S292" i="5"/>
  <c r="G292" i="5"/>
  <c r="R292" i="5"/>
  <c r="F292" i="5"/>
  <c r="AC292" i="5"/>
  <c r="Q292" i="5"/>
  <c r="AB292" i="5"/>
  <c r="P292" i="5"/>
  <c r="AA292" i="5"/>
  <c r="O292" i="5"/>
  <c r="Z292" i="5"/>
  <c r="N292" i="5"/>
  <c r="Y292" i="5"/>
  <c r="M292" i="5"/>
  <c r="X292" i="5"/>
  <c r="L292" i="5"/>
  <c r="W292" i="5"/>
  <c r="K292" i="5"/>
  <c r="V292" i="5"/>
  <c r="J292" i="5"/>
  <c r="U292" i="5"/>
  <c r="I292" i="5"/>
  <c r="T292" i="5"/>
  <c r="H292" i="5"/>
  <c r="V304" i="5"/>
  <c r="J304" i="5"/>
  <c r="U304" i="5"/>
  <c r="I304" i="5"/>
  <c r="T304" i="5"/>
  <c r="H304" i="5"/>
  <c r="S304" i="5"/>
  <c r="G304" i="5"/>
  <c r="R304" i="5"/>
  <c r="F304" i="5"/>
  <c r="AC304" i="5"/>
  <c r="Q304" i="5"/>
  <c r="AA304" i="5"/>
  <c r="O304" i="5"/>
  <c r="Y304" i="5"/>
  <c r="M304" i="5"/>
  <c r="L304" i="5"/>
  <c r="K304" i="5"/>
  <c r="AB304" i="5"/>
  <c r="Z304" i="5"/>
  <c r="X304" i="5"/>
  <c r="W304" i="5"/>
  <c r="P304" i="5"/>
  <c r="N304" i="5"/>
  <c r="V316" i="5"/>
  <c r="T14" i="3" s="1"/>
  <c r="J316" i="5"/>
  <c r="H14" i="3" s="1"/>
  <c r="U316" i="5"/>
  <c r="S14" i="3" s="1"/>
  <c r="I316" i="5"/>
  <c r="G14" i="3" s="1"/>
  <c r="T316" i="5"/>
  <c r="R14" i="3" s="1"/>
  <c r="H316" i="5"/>
  <c r="F14" i="3" s="1"/>
  <c r="S316" i="5"/>
  <c r="Q14" i="3" s="1"/>
  <c r="G316" i="5"/>
  <c r="E14" i="3" s="1"/>
  <c r="R316" i="5"/>
  <c r="F316" i="5"/>
  <c r="D14" i="3" s="1"/>
  <c r="AC316" i="5"/>
  <c r="AA14" i="3" s="1"/>
  <c r="Q316" i="5"/>
  <c r="O14" i="3" s="1"/>
  <c r="AB316" i="5"/>
  <c r="Z14" i="3" s="1"/>
  <c r="P316" i="5"/>
  <c r="N14" i="3" s="1"/>
  <c r="AA316" i="5"/>
  <c r="Y14" i="3" s="1"/>
  <c r="O316" i="5"/>
  <c r="M14" i="3" s="1"/>
  <c r="Z316" i="5"/>
  <c r="X14" i="3" s="1"/>
  <c r="N316" i="5"/>
  <c r="L14" i="3" s="1"/>
  <c r="Y316" i="5"/>
  <c r="W14" i="3" s="1"/>
  <c r="M316" i="5"/>
  <c r="K14" i="3" s="1"/>
  <c r="X316" i="5"/>
  <c r="V14" i="3" s="1"/>
  <c r="L316" i="5"/>
  <c r="J14" i="3" s="1"/>
  <c r="W316" i="5"/>
  <c r="U14" i="3" s="1"/>
  <c r="K316" i="5"/>
  <c r="I14" i="3" s="1"/>
  <c r="V328" i="5"/>
  <c r="T50" i="3" s="1"/>
  <c r="J328" i="5"/>
  <c r="H50" i="3" s="1"/>
  <c r="U328" i="5"/>
  <c r="S50" i="3" s="1"/>
  <c r="I328" i="5"/>
  <c r="G50" i="3" s="1"/>
  <c r="T328" i="5"/>
  <c r="R50" i="3" s="1"/>
  <c r="H328" i="5"/>
  <c r="F50" i="3" s="1"/>
  <c r="S328" i="5"/>
  <c r="Q50" i="3" s="1"/>
  <c r="G328" i="5"/>
  <c r="E50" i="3" s="1"/>
  <c r="R328" i="5"/>
  <c r="F328" i="5"/>
  <c r="D50" i="3" s="1"/>
  <c r="AC328" i="5"/>
  <c r="AA50" i="3" s="1"/>
  <c r="Q328" i="5"/>
  <c r="O50" i="3" s="1"/>
  <c r="AB328" i="5"/>
  <c r="Z50" i="3" s="1"/>
  <c r="P328" i="5"/>
  <c r="N50" i="3" s="1"/>
  <c r="AA328" i="5"/>
  <c r="Y50" i="3" s="1"/>
  <c r="O328" i="5"/>
  <c r="M50" i="3" s="1"/>
  <c r="Z328" i="5"/>
  <c r="X50" i="3" s="1"/>
  <c r="N328" i="5"/>
  <c r="L50" i="3" s="1"/>
  <c r="Y328" i="5"/>
  <c r="W50" i="3" s="1"/>
  <c r="M328" i="5"/>
  <c r="K50" i="3" s="1"/>
  <c r="X328" i="5"/>
  <c r="V50" i="3" s="1"/>
  <c r="L328" i="5"/>
  <c r="J50" i="3" s="1"/>
  <c r="W328" i="5"/>
  <c r="U50" i="3" s="1"/>
  <c r="K328" i="5"/>
  <c r="I50" i="3" s="1"/>
  <c r="V341" i="5"/>
  <c r="J341" i="5"/>
  <c r="U341" i="5"/>
  <c r="I341" i="5"/>
  <c r="T341" i="5"/>
  <c r="H341" i="5"/>
  <c r="S341" i="5"/>
  <c r="G341" i="5"/>
  <c r="R341" i="5"/>
  <c r="F341" i="5"/>
  <c r="AC341" i="5"/>
  <c r="Q341" i="5"/>
  <c r="AB341" i="5"/>
  <c r="P341" i="5"/>
  <c r="AA341" i="5"/>
  <c r="O341" i="5"/>
  <c r="Z341" i="5"/>
  <c r="N341" i="5"/>
  <c r="Y341" i="5"/>
  <c r="M341" i="5"/>
  <c r="X341" i="5"/>
  <c r="L341" i="5"/>
  <c r="W341" i="5"/>
  <c r="K341" i="5"/>
  <c r="U353" i="5"/>
  <c r="I353" i="5"/>
  <c r="T353" i="5"/>
  <c r="H353" i="5"/>
  <c r="S353" i="5"/>
  <c r="G353" i="5"/>
  <c r="R353" i="5"/>
  <c r="F353" i="5"/>
  <c r="AC353" i="5"/>
  <c r="Q353" i="5"/>
  <c r="AB353" i="5"/>
  <c r="P353" i="5"/>
  <c r="AA353" i="5"/>
  <c r="O353" i="5"/>
  <c r="Z353" i="5"/>
  <c r="N353" i="5"/>
  <c r="X353" i="5"/>
  <c r="L353" i="5"/>
  <c r="W353" i="5"/>
  <c r="V353" i="5"/>
  <c r="M353" i="5"/>
  <c r="K353" i="5"/>
  <c r="J353" i="5"/>
  <c r="Y353" i="5"/>
  <c r="U365" i="5"/>
  <c r="S33" i="3" s="1"/>
  <c r="I365" i="5"/>
  <c r="G33" i="3" s="1"/>
  <c r="T365" i="5"/>
  <c r="R33" i="3" s="1"/>
  <c r="H365" i="5"/>
  <c r="F33" i="3" s="1"/>
  <c r="S365" i="5"/>
  <c r="Q33" i="3" s="1"/>
  <c r="G365" i="5"/>
  <c r="E33" i="3" s="1"/>
  <c r="R365" i="5"/>
  <c r="F365" i="5"/>
  <c r="D33" i="3" s="1"/>
  <c r="AC365" i="5"/>
  <c r="AA33" i="3" s="1"/>
  <c r="Q365" i="5"/>
  <c r="O33" i="3" s="1"/>
  <c r="AB365" i="5"/>
  <c r="Z33" i="3" s="1"/>
  <c r="P365" i="5"/>
  <c r="N33" i="3" s="1"/>
  <c r="AA365" i="5"/>
  <c r="Y33" i="3" s="1"/>
  <c r="O365" i="5"/>
  <c r="M33" i="3" s="1"/>
  <c r="Z365" i="5"/>
  <c r="X33" i="3" s="1"/>
  <c r="N365" i="5"/>
  <c r="L33" i="3" s="1"/>
  <c r="Y365" i="5"/>
  <c r="W33" i="3" s="1"/>
  <c r="M365" i="5"/>
  <c r="K33" i="3" s="1"/>
  <c r="X365" i="5"/>
  <c r="V33" i="3" s="1"/>
  <c r="L365" i="5"/>
  <c r="J33" i="3" s="1"/>
  <c r="W365" i="5"/>
  <c r="U33" i="3" s="1"/>
  <c r="K365" i="5"/>
  <c r="I33" i="3" s="1"/>
  <c r="V365" i="5"/>
  <c r="T33" i="3" s="1"/>
  <c r="J365" i="5"/>
  <c r="H33" i="3" s="1"/>
  <c r="U377" i="5"/>
  <c r="I377" i="5"/>
  <c r="T377" i="5"/>
  <c r="H377" i="5"/>
  <c r="S377" i="5"/>
  <c r="G377" i="5"/>
  <c r="R377" i="5"/>
  <c r="F377" i="5"/>
  <c r="AC377" i="5"/>
  <c r="Q377" i="5"/>
  <c r="AB377" i="5"/>
  <c r="P377" i="5"/>
  <c r="AA377" i="5"/>
  <c r="O377" i="5"/>
  <c r="Z377" i="5"/>
  <c r="N377" i="5"/>
  <c r="Y377" i="5"/>
  <c r="M377" i="5"/>
  <c r="X377" i="5"/>
  <c r="L377" i="5"/>
  <c r="W377" i="5"/>
  <c r="K377" i="5"/>
  <c r="V377" i="5"/>
  <c r="J377" i="5"/>
  <c r="Z389" i="5"/>
  <c r="X109" i="3" s="1"/>
  <c r="N389" i="5"/>
  <c r="L109" i="3" s="1"/>
  <c r="Y389" i="5"/>
  <c r="W109" i="3" s="1"/>
  <c r="M389" i="5"/>
  <c r="K109" i="3" s="1"/>
  <c r="X389" i="5"/>
  <c r="V109" i="3" s="1"/>
  <c r="L389" i="5"/>
  <c r="J109" i="3" s="1"/>
  <c r="W389" i="5"/>
  <c r="U109" i="3" s="1"/>
  <c r="K389" i="5"/>
  <c r="I109" i="3" s="1"/>
  <c r="V389" i="5"/>
  <c r="T109" i="3" s="1"/>
  <c r="J389" i="5"/>
  <c r="H109" i="3" s="1"/>
  <c r="U389" i="5"/>
  <c r="S109" i="3" s="1"/>
  <c r="I389" i="5"/>
  <c r="G109" i="3" s="1"/>
  <c r="AA389" i="5"/>
  <c r="Y109" i="3" s="1"/>
  <c r="T389" i="5"/>
  <c r="R109" i="3" s="1"/>
  <c r="S389" i="5"/>
  <c r="Q109" i="3" s="1"/>
  <c r="R389" i="5"/>
  <c r="P109" i="3" s="1"/>
  <c r="Q389" i="5"/>
  <c r="O109" i="3" s="1"/>
  <c r="P389" i="5"/>
  <c r="O389" i="5"/>
  <c r="M109" i="3" s="1"/>
  <c r="H389" i="5"/>
  <c r="F109" i="3" s="1"/>
  <c r="G389" i="5"/>
  <c r="E109" i="3" s="1"/>
  <c r="F389" i="5"/>
  <c r="D109" i="3" s="1"/>
  <c r="AC389" i="5"/>
  <c r="AA109" i="3" s="1"/>
  <c r="AB389" i="5"/>
  <c r="Z109" i="3" s="1"/>
  <c r="Z401" i="5"/>
  <c r="X87" i="3" s="1"/>
  <c r="N401" i="5"/>
  <c r="L87" i="3" s="1"/>
  <c r="Y401" i="5"/>
  <c r="W87" i="3" s="1"/>
  <c r="M401" i="5"/>
  <c r="K87" i="3" s="1"/>
  <c r="X401" i="5"/>
  <c r="V87" i="3" s="1"/>
  <c r="L401" i="5"/>
  <c r="J87" i="3" s="1"/>
  <c r="W401" i="5"/>
  <c r="U87" i="3" s="1"/>
  <c r="K401" i="5"/>
  <c r="I87" i="3" s="1"/>
  <c r="V401" i="5"/>
  <c r="T87" i="3" s="1"/>
  <c r="J401" i="5"/>
  <c r="H87" i="3" s="1"/>
  <c r="U401" i="5"/>
  <c r="S87" i="3" s="1"/>
  <c r="I401" i="5"/>
  <c r="G87" i="3" s="1"/>
  <c r="T401" i="5"/>
  <c r="R87" i="3" s="1"/>
  <c r="H401" i="5"/>
  <c r="F87" i="3" s="1"/>
  <c r="S401" i="5"/>
  <c r="Q87" i="3" s="1"/>
  <c r="G401" i="5"/>
  <c r="E87" i="3" s="1"/>
  <c r="R401" i="5"/>
  <c r="F401" i="5"/>
  <c r="D87" i="3" s="1"/>
  <c r="AC401" i="5"/>
  <c r="AA87" i="3" s="1"/>
  <c r="Q401" i="5"/>
  <c r="O87" i="3" s="1"/>
  <c r="AB401" i="5"/>
  <c r="Z87" i="3" s="1"/>
  <c r="P401" i="5"/>
  <c r="N87" i="3" s="1"/>
  <c r="AA401" i="5"/>
  <c r="Y87" i="3" s="1"/>
  <c r="O401" i="5"/>
  <c r="M87" i="3" s="1"/>
  <c r="Z413" i="5"/>
  <c r="N413" i="5"/>
  <c r="Y413" i="5"/>
  <c r="M413" i="5"/>
  <c r="X413" i="5"/>
  <c r="L413" i="5"/>
  <c r="W413" i="5"/>
  <c r="K413" i="5"/>
  <c r="V413" i="5"/>
  <c r="J413" i="5"/>
  <c r="U413" i="5"/>
  <c r="I413" i="5"/>
  <c r="T413" i="5"/>
  <c r="H413" i="5"/>
  <c r="S413" i="5"/>
  <c r="G413" i="5"/>
  <c r="R413" i="5"/>
  <c r="F413" i="5"/>
  <c r="AC413" i="5"/>
  <c r="Q413" i="5"/>
  <c r="AB413" i="5"/>
  <c r="P413" i="5"/>
  <c r="AA413" i="5"/>
  <c r="O413" i="5"/>
  <c r="Z425" i="5"/>
  <c r="N425" i="5"/>
  <c r="Y425" i="5"/>
  <c r="M425" i="5"/>
  <c r="X425" i="5"/>
  <c r="L425" i="5"/>
  <c r="W425" i="5"/>
  <c r="K425" i="5"/>
  <c r="V425" i="5"/>
  <c r="J425" i="5"/>
  <c r="U425" i="5"/>
  <c r="I425" i="5"/>
  <c r="T425" i="5"/>
  <c r="H425" i="5"/>
  <c r="AC425" i="5"/>
  <c r="AB425" i="5"/>
  <c r="AA425" i="5"/>
  <c r="S425" i="5"/>
  <c r="R425" i="5"/>
  <c r="Q425" i="5"/>
  <c r="P425" i="5"/>
  <c r="O425" i="5"/>
  <c r="G425" i="5"/>
  <c r="F425" i="5"/>
  <c r="Z437" i="5"/>
  <c r="N437" i="5"/>
  <c r="Y437" i="5"/>
  <c r="M437" i="5"/>
  <c r="X437" i="5"/>
  <c r="L437" i="5"/>
  <c r="W437" i="5"/>
  <c r="K437" i="5"/>
  <c r="V437" i="5"/>
  <c r="J437" i="5"/>
  <c r="U437" i="5"/>
  <c r="I437" i="5"/>
  <c r="T437" i="5"/>
  <c r="H437" i="5"/>
  <c r="S437" i="5"/>
  <c r="G437" i="5"/>
  <c r="R437" i="5"/>
  <c r="F437" i="5"/>
  <c r="AC437" i="5"/>
  <c r="Q437" i="5"/>
  <c r="AB437" i="5"/>
  <c r="P437" i="5"/>
  <c r="AA437" i="5"/>
  <c r="O437" i="5"/>
  <c r="Z449" i="5"/>
  <c r="N449" i="5"/>
  <c r="Y449" i="5"/>
  <c r="M449" i="5"/>
  <c r="X449" i="5"/>
  <c r="L449" i="5"/>
  <c r="W449" i="5"/>
  <c r="K449" i="5"/>
  <c r="V449" i="5"/>
  <c r="J449" i="5"/>
  <c r="U449" i="5"/>
  <c r="I449" i="5"/>
  <c r="T449" i="5"/>
  <c r="H449" i="5"/>
  <c r="S449" i="5"/>
  <c r="G449" i="5"/>
  <c r="R449" i="5"/>
  <c r="F449" i="5"/>
  <c r="AC449" i="5"/>
  <c r="Q449" i="5"/>
  <c r="AB449" i="5"/>
  <c r="P449" i="5"/>
  <c r="AA449" i="5"/>
  <c r="O449" i="5"/>
  <c r="AA461" i="5"/>
  <c r="O461" i="5"/>
  <c r="Z461" i="5"/>
  <c r="N461" i="5"/>
  <c r="Y461" i="5"/>
  <c r="M461" i="5"/>
  <c r="X461" i="5"/>
  <c r="L461" i="5"/>
  <c r="W461" i="5"/>
  <c r="K461" i="5"/>
  <c r="V461" i="5"/>
  <c r="J461" i="5"/>
  <c r="U461" i="5"/>
  <c r="I461" i="5"/>
  <c r="T461" i="5"/>
  <c r="P461" i="5"/>
  <c r="H461" i="5"/>
  <c r="G461" i="5"/>
  <c r="F461" i="5"/>
  <c r="AC461" i="5"/>
  <c r="AB461" i="5"/>
  <c r="S461" i="5"/>
  <c r="R461" i="5"/>
  <c r="Q461" i="5"/>
  <c r="AA473" i="5"/>
  <c r="O473" i="5"/>
  <c r="Z473" i="5"/>
  <c r="N473" i="5"/>
  <c r="Y473" i="5"/>
  <c r="M473" i="5"/>
  <c r="X473" i="5"/>
  <c r="L473" i="5"/>
  <c r="W473" i="5"/>
  <c r="K473" i="5"/>
  <c r="V473" i="5"/>
  <c r="J473" i="5"/>
  <c r="U473" i="5"/>
  <c r="I473" i="5"/>
  <c r="T473" i="5"/>
  <c r="H473" i="5"/>
  <c r="S473" i="5"/>
  <c r="G473" i="5"/>
  <c r="R473" i="5"/>
  <c r="F473" i="5"/>
  <c r="AC473" i="5"/>
  <c r="Q473" i="5"/>
  <c r="AB473" i="5"/>
  <c r="P473" i="5"/>
  <c r="AA485" i="5"/>
  <c r="O485" i="5"/>
  <c r="Z485" i="5"/>
  <c r="N485" i="5"/>
  <c r="Y485" i="5"/>
  <c r="M485" i="5"/>
  <c r="X485" i="5"/>
  <c r="L485" i="5"/>
  <c r="W485" i="5"/>
  <c r="K485" i="5"/>
  <c r="V485" i="5"/>
  <c r="J485" i="5"/>
  <c r="U485" i="5"/>
  <c r="I485" i="5"/>
  <c r="T485" i="5"/>
  <c r="H485" i="5"/>
  <c r="S485" i="5"/>
  <c r="G485" i="5"/>
  <c r="R485" i="5"/>
  <c r="F485" i="5"/>
  <c r="AC485" i="5"/>
  <c r="Q485" i="5"/>
  <c r="AB485" i="5"/>
  <c r="P485" i="5"/>
  <c r="T497" i="5"/>
  <c r="H497" i="5"/>
  <c r="S497" i="5"/>
  <c r="G497" i="5"/>
  <c r="R497" i="5"/>
  <c r="F497" i="5"/>
  <c r="AC497" i="5"/>
  <c r="Q497" i="5"/>
  <c r="AA497" i="5"/>
  <c r="O497" i="5"/>
  <c r="AB497" i="5"/>
  <c r="J497" i="5"/>
  <c r="Z497" i="5"/>
  <c r="I497" i="5"/>
  <c r="Y497" i="5"/>
  <c r="X497" i="5"/>
  <c r="W497" i="5"/>
  <c r="V497" i="5"/>
  <c r="U497" i="5"/>
  <c r="P497" i="5"/>
  <c r="N497" i="5"/>
  <c r="M497" i="5"/>
  <c r="L497" i="5"/>
  <c r="K497" i="5"/>
  <c r="T509" i="5"/>
  <c r="H509" i="5"/>
  <c r="S509" i="5"/>
  <c r="G509" i="5"/>
  <c r="R509" i="5"/>
  <c r="F509" i="5"/>
  <c r="U509" i="5"/>
  <c r="Q509" i="5"/>
  <c r="P509" i="5"/>
  <c r="O509" i="5"/>
  <c r="AC509" i="5"/>
  <c r="N509" i="5"/>
  <c r="AB509" i="5"/>
  <c r="M509" i="5"/>
  <c r="AA509" i="5"/>
  <c r="L509" i="5"/>
  <c r="Z509" i="5"/>
  <c r="K509" i="5"/>
  <c r="Y509" i="5"/>
  <c r="J509" i="5"/>
  <c r="X509" i="5"/>
  <c r="I509" i="5"/>
  <c r="W509" i="5"/>
  <c r="V509" i="5"/>
  <c r="T521" i="5"/>
  <c r="H521" i="5"/>
  <c r="S521" i="5"/>
  <c r="G521" i="5"/>
  <c r="R521" i="5"/>
  <c r="F521" i="5"/>
  <c r="U521" i="5"/>
  <c r="Q521" i="5"/>
  <c r="P521" i="5"/>
  <c r="O521" i="5"/>
  <c r="AC521" i="5"/>
  <c r="N521" i="5"/>
  <c r="AB521" i="5"/>
  <c r="M521" i="5"/>
  <c r="AA521" i="5"/>
  <c r="L521" i="5"/>
  <c r="Z521" i="5"/>
  <c r="K521" i="5"/>
  <c r="Y521" i="5"/>
  <c r="J521" i="5"/>
  <c r="X521" i="5"/>
  <c r="I521" i="5"/>
  <c r="W521" i="5"/>
  <c r="V521" i="5"/>
  <c r="T533" i="5"/>
  <c r="H533" i="5"/>
  <c r="S533" i="5"/>
  <c r="G533" i="5"/>
  <c r="R533" i="5"/>
  <c r="F533" i="5"/>
  <c r="U533" i="5"/>
  <c r="I533" i="5"/>
  <c r="AA533" i="5"/>
  <c r="K533" i="5"/>
  <c r="Z533" i="5"/>
  <c r="J533" i="5"/>
  <c r="Y533" i="5"/>
  <c r="N533" i="5"/>
  <c r="AC533" i="5"/>
  <c r="M533" i="5"/>
  <c r="AB533" i="5"/>
  <c r="L533" i="5"/>
  <c r="X533" i="5"/>
  <c r="W533" i="5"/>
  <c r="V533" i="5"/>
  <c r="Q533" i="5"/>
  <c r="P533" i="5"/>
  <c r="O533" i="5"/>
  <c r="T545" i="5"/>
  <c r="R197" i="3" s="1"/>
  <c r="H545" i="5"/>
  <c r="F197" i="3" s="1"/>
  <c r="S545" i="5"/>
  <c r="Q197" i="3" s="1"/>
  <c r="G545" i="5"/>
  <c r="E197" i="3" s="1"/>
  <c r="R545" i="5"/>
  <c r="P197" i="3" s="1"/>
  <c r="F545" i="5"/>
  <c r="D197" i="3" s="1"/>
  <c r="U545" i="5"/>
  <c r="S197" i="3" s="1"/>
  <c r="I545" i="5"/>
  <c r="G197" i="3" s="1"/>
  <c r="AA545" i="5"/>
  <c r="Y197" i="3" s="1"/>
  <c r="K545" i="5"/>
  <c r="I197" i="3" s="1"/>
  <c r="Z545" i="5"/>
  <c r="X197" i="3" s="1"/>
  <c r="J545" i="5"/>
  <c r="H197" i="3" s="1"/>
  <c r="Y545" i="5"/>
  <c r="W197" i="3" s="1"/>
  <c r="N545" i="5"/>
  <c r="L197" i="3" s="1"/>
  <c r="AC545" i="5"/>
  <c r="AA197" i="3" s="1"/>
  <c r="M545" i="5"/>
  <c r="K197" i="3" s="1"/>
  <c r="AB545" i="5"/>
  <c r="Z197" i="3" s="1"/>
  <c r="L545" i="5"/>
  <c r="J197" i="3" s="1"/>
  <c r="X545" i="5"/>
  <c r="V197" i="3" s="1"/>
  <c r="W545" i="5"/>
  <c r="U197" i="3" s="1"/>
  <c r="V545" i="5"/>
  <c r="T197" i="3" s="1"/>
  <c r="Q545" i="5"/>
  <c r="O197" i="3" s="1"/>
  <c r="P545" i="5"/>
  <c r="N197" i="3" s="1"/>
  <c r="O545" i="5"/>
  <c r="M197" i="3" s="1"/>
  <c r="T557" i="5"/>
  <c r="R137" i="3" s="1"/>
  <c r="H557" i="5"/>
  <c r="F137" i="3" s="1"/>
  <c r="S557" i="5"/>
  <c r="Q137" i="3" s="1"/>
  <c r="G557" i="5"/>
  <c r="E137" i="3" s="1"/>
  <c r="R557" i="5"/>
  <c r="F557" i="5"/>
  <c r="D137" i="3" s="1"/>
  <c r="V557" i="5"/>
  <c r="T137" i="3" s="1"/>
  <c r="J557" i="5"/>
  <c r="H137" i="3" s="1"/>
  <c r="U557" i="5"/>
  <c r="S137" i="3" s="1"/>
  <c r="I557" i="5"/>
  <c r="G137" i="3" s="1"/>
  <c r="X557" i="5"/>
  <c r="V137" i="3" s="1"/>
  <c r="W557" i="5"/>
  <c r="U137" i="3" s="1"/>
  <c r="Q557" i="5"/>
  <c r="O137" i="3" s="1"/>
  <c r="AA557" i="5"/>
  <c r="Y137" i="3" s="1"/>
  <c r="Z557" i="5"/>
  <c r="X137" i="3" s="1"/>
  <c r="Y557" i="5"/>
  <c r="W137" i="3" s="1"/>
  <c r="AC557" i="5"/>
  <c r="AA137" i="3" s="1"/>
  <c r="AB557" i="5"/>
  <c r="Z137" i="3" s="1"/>
  <c r="P557" i="5"/>
  <c r="N137" i="3" s="1"/>
  <c r="O557" i="5"/>
  <c r="M137" i="3" s="1"/>
  <c r="N557" i="5"/>
  <c r="L137" i="3" s="1"/>
  <c r="M557" i="5"/>
  <c r="K137" i="3" s="1"/>
  <c r="L557" i="5"/>
  <c r="J137" i="3" s="1"/>
  <c r="K557" i="5"/>
  <c r="I137" i="3" s="1"/>
  <c r="Z16" i="5"/>
  <c r="X149" i="4" s="1"/>
  <c r="N16" i="5"/>
  <c r="L149" i="4" s="1"/>
  <c r="I16" i="5"/>
  <c r="G149" i="4" s="1"/>
  <c r="H16" i="5"/>
  <c r="F149" i="4" s="1"/>
  <c r="Y16" i="5"/>
  <c r="W149" i="4" s="1"/>
  <c r="M16" i="5"/>
  <c r="K149" i="4" s="1"/>
  <c r="X16" i="5"/>
  <c r="V149" i="4" s="1"/>
  <c r="L16" i="5"/>
  <c r="J149" i="4" s="1"/>
  <c r="T16" i="5"/>
  <c r="R149" i="4" s="1"/>
  <c r="P16" i="5"/>
  <c r="N149" i="4" s="1"/>
  <c r="W16" i="5"/>
  <c r="U149" i="4" s="1"/>
  <c r="K16" i="5"/>
  <c r="I149" i="4" s="1"/>
  <c r="V16" i="5"/>
  <c r="T149" i="4" s="1"/>
  <c r="J16" i="5"/>
  <c r="H149" i="4" s="1"/>
  <c r="U16" i="5"/>
  <c r="S149" i="4" s="1"/>
  <c r="S16" i="5"/>
  <c r="Q149" i="4" s="1"/>
  <c r="G16" i="5"/>
  <c r="E149" i="4" s="1"/>
  <c r="D79" i="13" s="1"/>
  <c r="AA16" i="5"/>
  <c r="Y149" i="4" s="1"/>
  <c r="R16" i="5"/>
  <c r="P149" i="4" s="1"/>
  <c r="F16" i="5"/>
  <c r="D149" i="4" s="1"/>
  <c r="AB16" i="5"/>
  <c r="Z149" i="4" s="1"/>
  <c r="AC16" i="5"/>
  <c r="AA149" i="4" s="1"/>
  <c r="Q16" i="5"/>
  <c r="O149" i="4" s="1"/>
  <c r="O16" i="5"/>
  <c r="M149" i="4" s="1"/>
  <c r="Z28" i="5"/>
  <c r="X13" i="4" s="1"/>
  <c r="N28" i="5"/>
  <c r="L13" i="4" s="1"/>
  <c r="Y28" i="5"/>
  <c r="W13" i="4" s="1"/>
  <c r="M28" i="5"/>
  <c r="K13" i="4" s="1"/>
  <c r="X28" i="5"/>
  <c r="V13" i="4" s="1"/>
  <c r="L28" i="5"/>
  <c r="J13" i="4" s="1"/>
  <c r="W28" i="5"/>
  <c r="U13" i="4" s="1"/>
  <c r="K28" i="5"/>
  <c r="I13" i="4" s="1"/>
  <c r="V28" i="5"/>
  <c r="T13" i="4" s="1"/>
  <c r="J28" i="5"/>
  <c r="H13" i="4" s="1"/>
  <c r="U28" i="5"/>
  <c r="S13" i="4" s="1"/>
  <c r="I28" i="5"/>
  <c r="G13" i="4" s="1"/>
  <c r="T28" i="5"/>
  <c r="R13" i="4" s="1"/>
  <c r="H28" i="5"/>
  <c r="F13" i="4" s="1"/>
  <c r="S28" i="5"/>
  <c r="Q13" i="4" s="1"/>
  <c r="G28" i="5"/>
  <c r="E13" i="4" s="1"/>
  <c r="R28" i="5"/>
  <c r="P13" i="4" s="1"/>
  <c r="F28" i="5"/>
  <c r="AC28" i="5"/>
  <c r="Q28" i="5"/>
  <c r="O13" i="4" s="1"/>
  <c r="AB28" i="5"/>
  <c r="Z13" i="4" s="1"/>
  <c r="P28" i="5"/>
  <c r="N13" i="4" s="1"/>
  <c r="AA28" i="5"/>
  <c r="Y13" i="4" s="1"/>
  <c r="O28" i="5"/>
  <c r="M13" i="4" s="1"/>
  <c r="Z40" i="5"/>
  <c r="N40" i="5"/>
  <c r="Y40" i="5"/>
  <c r="M40" i="5"/>
  <c r="X40" i="5"/>
  <c r="L40" i="5"/>
  <c r="W40" i="5"/>
  <c r="K40" i="5"/>
  <c r="V40" i="5"/>
  <c r="J40" i="5"/>
  <c r="U40" i="5"/>
  <c r="I40" i="5"/>
  <c r="T40" i="5"/>
  <c r="H40" i="5"/>
  <c r="S40" i="5"/>
  <c r="G40" i="5"/>
  <c r="R40" i="5"/>
  <c r="F40" i="5"/>
  <c r="AC40" i="5"/>
  <c r="Q40" i="5"/>
  <c r="AB40" i="5"/>
  <c r="P40" i="5"/>
  <c r="AA40" i="5"/>
  <c r="O40" i="5"/>
  <c r="Z52" i="5"/>
  <c r="N52" i="5"/>
  <c r="Y52" i="5"/>
  <c r="M52" i="5"/>
  <c r="X52" i="5"/>
  <c r="L52" i="5"/>
  <c r="W52" i="5"/>
  <c r="K52" i="5"/>
  <c r="V52" i="5"/>
  <c r="J52" i="5"/>
  <c r="U52" i="5"/>
  <c r="I52" i="5"/>
  <c r="T52" i="5"/>
  <c r="H52" i="5"/>
  <c r="S52" i="5"/>
  <c r="G52" i="5"/>
  <c r="R52" i="5"/>
  <c r="F52" i="5"/>
  <c r="AC52" i="5"/>
  <c r="Q52" i="5"/>
  <c r="AB52" i="5"/>
  <c r="P52" i="5"/>
  <c r="AA52" i="5"/>
  <c r="O52" i="5"/>
  <c r="Z64" i="5"/>
  <c r="N64" i="5"/>
  <c r="Y64" i="5"/>
  <c r="M64" i="5"/>
  <c r="X64" i="5"/>
  <c r="L64" i="5"/>
  <c r="W64" i="5"/>
  <c r="K64" i="5"/>
  <c r="V64" i="5"/>
  <c r="J64" i="5"/>
  <c r="U64" i="5"/>
  <c r="I64" i="5"/>
  <c r="T64" i="5"/>
  <c r="H64" i="5"/>
  <c r="S64" i="5"/>
  <c r="G64" i="5"/>
  <c r="R64" i="5"/>
  <c r="F64" i="5"/>
  <c r="AC64" i="5"/>
  <c r="Q64" i="5"/>
  <c r="AB64" i="5"/>
  <c r="P64" i="5"/>
  <c r="AA64" i="5"/>
  <c r="O64" i="5"/>
  <c r="Z76" i="5"/>
  <c r="N76" i="5"/>
  <c r="Y76" i="5"/>
  <c r="M76" i="5"/>
  <c r="X76" i="5"/>
  <c r="L76" i="5"/>
  <c r="W76" i="5"/>
  <c r="K76" i="5"/>
  <c r="V76" i="5"/>
  <c r="J76" i="5"/>
  <c r="U76" i="5"/>
  <c r="I76" i="5"/>
  <c r="T76" i="5"/>
  <c r="H76" i="5"/>
  <c r="S76" i="5"/>
  <c r="G76" i="5"/>
  <c r="R76" i="5"/>
  <c r="F76" i="5"/>
  <c r="AC76" i="5"/>
  <c r="Q76" i="5"/>
  <c r="AB76" i="5"/>
  <c r="P76" i="5"/>
  <c r="AA76" i="5"/>
  <c r="O76" i="5"/>
  <c r="Z88" i="5"/>
  <c r="N88" i="5"/>
  <c r="Y88" i="5"/>
  <c r="M88" i="5"/>
  <c r="X88" i="5"/>
  <c r="L88" i="5"/>
  <c r="W88" i="5"/>
  <c r="K88" i="5"/>
  <c r="V88" i="5"/>
  <c r="J88" i="5"/>
  <c r="U88" i="5"/>
  <c r="I88" i="5"/>
  <c r="T88" i="5"/>
  <c r="H88" i="5"/>
  <c r="S88" i="5"/>
  <c r="G88" i="5"/>
  <c r="R88" i="5"/>
  <c r="F88" i="5"/>
  <c r="AC88" i="5"/>
  <c r="Q88" i="5"/>
  <c r="AB88" i="5"/>
  <c r="P88" i="5"/>
  <c r="AA88" i="5"/>
  <c r="O88" i="5"/>
  <c r="Z100" i="5"/>
  <c r="N100" i="5"/>
  <c r="Y100" i="5"/>
  <c r="M100" i="5"/>
  <c r="X100" i="5"/>
  <c r="L100" i="5"/>
  <c r="W100" i="5"/>
  <c r="K100" i="5"/>
  <c r="V100" i="5"/>
  <c r="J100" i="5"/>
  <c r="U100" i="5"/>
  <c r="I100" i="5"/>
  <c r="T100" i="5"/>
  <c r="H100" i="5"/>
  <c r="S100" i="5"/>
  <c r="G100" i="5"/>
  <c r="R100" i="5"/>
  <c r="F100" i="5"/>
  <c r="AC100" i="5"/>
  <c r="Q100" i="5"/>
  <c r="AB100" i="5"/>
  <c r="P100" i="5"/>
  <c r="AA100" i="5"/>
  <c r="O100" i="5"/>
  <c r="AC112" i="5"/>
  <c r="Q112" i="5"/>
  <c r="AB112" i="5"/>
  <c r="P112" i="5"/>
  <c r="AA112" i="5"/>
  <c r="O112" i="5"/>
  <c r="Z112" i="5"/>
  <c r="N112" i="5"/>
  <c r="Y112" i="5"/>
  <c r="M112" i="5"/>
  <c r="X112" i="5"/>
  <c r="L112" i="5"/>
  <c r="K112" i="5"/>
  <c r="J112" i="5"/>
  <c r="I112" i="5"/>
  <c r="H112" i="5"/>
  <c r="G112" i="5"/>
  <c r="F112" i="5"/>
  <c r="W112" i="5"/>
  <c r="V112" i="5"/>
  <c r="U112" i="5"/>
  <c r="T112" i="5"/>
  <c r="S112" i="5"/>
  <c r="R112" i="5"/>
  <c r="AC124" i="5"/>
  <c r="Q124" i="5"/>
  <c r="AB124" i="5"/>
  <c r="P124" i="5"/>
  <c r="AA124" i="5"/>
  <c r="O124" i="5"/>
  <c r="Z124" i="5"/>
  <c r="N124" i="5"/>
  <c r="Y124" i="5"/>
  <c r="M124" i="5"/>
  <c r="X124" i="5"/>
  <c r="L124" i="5"/>
  <c r="W124" i="5"/>
  <c r="K124" i="5"/>
  <c r="V124" i="5"/>
  <c r="J124" i="5"/>
  <c r="U124" i="5"/>
  <c r="I124" i="5"/>
  <c r="T124" i="5"/>
  <c r="H124" i="5"/>
  <c r="S124" i="5"/>
  <c r="G124" i="5"/>
  <c r="R124" i="5"/>
  <c r="F124" i="5"/>
  <c r="AC136" i="5"/>
  <c r="Q136" i="5"/>
  <c r="AB136" i="5"/>
  <c r="P136" i="5"/>
  <c r="AA136" i="5"/>
  <c r="O136" i="5"/>
  <c r="Z136" i="5"/>
  <c r="N136" i="5"/>
  <c r="Y136" i="5"/>
  <c r="M136" i="5"/>
  <c r="X136" i="5"/>
  <c r="L136" i="5"/>
  <c r="W136" i="5"/>
  <c r="K136" i="5"/>
  <c r="V136" i="5"/>
  <c r="J136" i="5"/>
  <c r="U136" i="5"/>
  <c r="I136" i="5"/>
  <c r="T136" i="5"/>
  <c r="H136" i="5"/>
  <c r="S136" i="5"/>
  <c r="G136" i="5"/>
  <c r="R136" i="5"/>
  <c r="F136" i="5"/>
  <c r="AC148" i="5"/>
  <c r="Q148" i="5"/>
  <c r="AB148" i="5"/>
  <c r="P148" i="5"/>
  <c r="AA148" i="5"/>
  <c r="O148" i="5"/>
  <c r="Z148" i="5"/>
  <c r="N148" i="5"/>
  <c r="Y148" i="5"/>
  <c r="M148" i="5"/>
  <c r="X148" i="5"/>
  <c r="L148" i="5"/>
  <c r="W148" i="5"/>
  <c r="K148" i="5"/>
  <c r="V148" i="5"/>
  <c r="J148" i="5"/>
  <c r="U148" i="5"/>
  <c r="I148" i="5"/>
  <c r="T148" i="5"/>
  <c r="H148" i="5"/>
  <c r="S148" i="5"/>
  <c r="G148" i="5"/>
  <c r="R148" i="5"/>
  <c r="F148" i="5"/>
  <c r="X160" i="5"/>
  <c r="L160" i="5"/>
  <c r="W160" i="5"/>
  <c r="K160" i="5"/>
  <c r="V160" i="5"/>
  <c r="J160" i="5"/>
  <c r="U160" i="5"/>
  <c r="I160" i="5"/>
  <c r="T160" i="5"/>
  <c r="H160" i="5"/>
  <c r="S160" i="5"/>
  <c r="G160" i="5"/>
  <c r="R160" i="5"/>
  <c r="F160" i="5"/>
  <c r="AC160" i="5"/>
  <c r="Q160" i="5"/>
  <c r="AB160" i="5"/>
  <c r="AA160" i="5"/>
  <c r="Z160" i="5"/>
  <c r="Y160" i="5"/>
  <c r="P160" i="5"/>
  <c r="O160" i="5"/>
  <c r="N160" i="5"/>
  <c r="M160" i="5"/>
  <c r="X172" i="5"/>
  <c r="V90" i="4" s="1"/>
  <c r="L172" i="5"/>
  <c r="J90" i="4" s="1"/>
  <c r="W172" i="5"/>
  <c r="U90" i="4" s="1"/>
  <c r="K172" i="5"/>
  <c r="I90" i="4" s="1"/>
  <c r="V172" i="5"/>
  <c r="T90" i="4" s="1"/>
  <c r="J172" i="5"/>
  <c r="H90" i="4" s="1"/>
  <c r="U172" i="5"/>
  <c r="S90" i="4" s="1"/>
  <c r="I172" i="5"/>
  <c r="G90" i="4" s="1"/>
  <c r="T172" i="5"/>
  <c r="R90" i="4" s="1"/>
  <c r="H172" i="5"/>
  <c r="F90" i="4" s="1"/>
  <c r="S172" i="5"/>
  <c r="Q90" i="4" s="1"/>
  <c r="G172" i="5"/>
  <c r="E90" i="4" s="1"/>
  <c r="R172" i="5"/>
  <c r="P90" i="4" s="1"/>
  <c r="F172" i="5"/>
  <c r="D90" i="4" s="1"/>
  <c r="AC172" i="5"/>
  <c r="AA90" i="4" s="1"/>
  <c r="Q172" i="5"/>
  <c r="O90" i="4" s="1"/>
  <c r="AB172" i="5"/>
  <c r="Z90" i="4" s="1"/>
  <c r="P172" i="5"/>
  <c r="N90" i="4" s="1"/>
  <c r="AA172" i="5"/>
  <c r="Y90" i="4" s="1"/>
  <c r="O172" i="5"/>
  <c r="M90" i="4" s="1"/>
  <c r="Z172" i="5"/>
  <c r="X90" i="4" s="1"/>
  <c r="N172" i="5"/>
  <c r="L90" i="4" s="1"/>
  <c r="Y172" i="5"/>
  <c r="W90" i="4" s="1"/>
  <c r="M172" i="5"/>
  <c r="K90" i="4" s="1"/>
  <c r="X184" i="5"/>
  <c r="V105" i="4" s="1"/>
  <c r="L184" i="5"/>
  <c r="J105" i="4" s="1"/>
  <c r="W184" i="5"/>
  <c r="U105" i="4" s="1"/>
  <c r="K184" i="5"/>
  <c r="I105" i="4" s="1"/>
  <c r="V184" i="5"/>
  <c r="T105" i="4" s="1"/>
  <c r="J184" i="5"/>
  <c r="H105" i="4" s="1"/>
  <c r="U184" i="5"/>
  <c r="S105" i="4" s="1"/>
  <c r="I184" i="5"/>
  <c r="G105" i="4" s="1"/>
  <c r="T184" i="5"/>
  <c r="R105" i="4" s="1"/>
  <c r="H184" i="5"/>
  <c r="F105" i="4" s="1"/>
  <c r="S184" i="5"/>
  <c r="Q105" i="4" s="1"/>
  <c r="G184" i="5"/>
  <c r="E105" i="4" s="1"/>
  <c r="R184" i="5"/>
  <c r="P105" i="4" s="1"/>
  <c r="F184" i="5"/>
  <c r="D105" i="4" s="1"/>
  <c r="AC184" i="5"/>
  <c r="AA105" i="4" s="1"/>
  <c r="Q184" i="5"/>
  <c r="O105" i="4" s="1"/>
  <c r="AB184" i="5"/>
  <c r="Z105" i="4" s="1"/>
  <c r="P184" i="5"/>
  <c r="N105" i="4" s="1"/>
  <c r="AA184" i="5"/>
  <c r="Y105" i="4" s="1"/>
  <c r="O184" i="5"/>
  <c r="M105" i="4" s="1"/>
  <c r="Z184" i="5"/>
  <c r="X105" i="4" s="1"/>
  <c r="N184" i="5"/>
  <c r="L105" i="4" s="1"/>
  <c r="Y184" i="5"/>
  <c r="W105" i="4" s="1"/>
  <c r="M184" i="5"/>
  <c r="K105" i="4" s="1"/>
  <c r="X196" i="5"/>
  <c r="V135" i="4" s="1"/>
  <c r="L196" i="5"/>
  <c r="J135" i="4" s="1"/>
  <c r="W196" i="5"/>
  <c r="U135" i="4" s="1"/>
  <c r="K196" i="5"/>
  <c r="I135" i="4" s="1"/>
  <c r="V196" i="5"/>
  <c r="T135" i="4" s="1"/>
  <c r="J196" i="5"/>
  <c r="H135" i="4" s="1"/>
  <c r="U196" i="5"/>
  <c r="S135" i="4" s="1"/>
  <c r="I196" i="5"/>
  <c r="G135" i="4" s="1"/>
  <c r="T196" i="5"/>
  <c r="R135" i="4" s="1"/>
  <c r="H196" i="5"/>
  <c r="F135" i="4" s="1"/>
  <c r="S196" i="5"/>
  <c r="Q135" i="4" s="1"/>
  <c r="G196" i="5"/>
  <c r="E135" i="4" s="1"/>
  <c r="R196" i="5"/>
  <c r="P135" i="4" s="1"/>
  <c r="F196" i="5"/>
  <c r="D135" i="4" s="1"/>
  <c r="AC196" i="5"/>
  <c r="AA135" i="4" s="1"/>
  <c r="Q196" i="5"/>
  <c r="O135" i="4" s="1"/>
  <c r="AB196" i="5"/>
  <c r="Z135" i="4" s="1"/>
  <c r="P196" i="5"/>
  <c r="N135" i="4" s="1"/>
  <c r="AA196" i="5"/>
  <c r="Y135" i="4" s="1"/>
  <c r="O196" i="5"/>
  <c r="M135" i="4" s="1"/>
  <c r="Z196" i="5"/>
  <c r="X135" i="4" s="1"/>
  <c r="N196" i="5"/>
  <c r="L135" i="4" s="1"/>
  <c r="Y196" i="5"/>
  <c r="W135" i="4" s="1"/>
  <c r="M196" i="5"/>
  <c r="K135" i="4" s="1"/>
  <c r="T208" i="5"/>
  <c r="R143" i="4" s="1"/>
  <c r="H208" i="5"/>
  <c r="F143" i="4" s="1"/>
  <c r="S208" i="5"/>
  <c r="Q143" i="4" s="1"/>
  <c r="G208" i="5"/>
  <c r="E143" i="4" s="1"/>
  <c r="R208" i="5"/>
  <c r="F208" i="5"/>
  <c r="D143" i="4" s="1"/>
  <c r="AC208" i="5"/>
  <c r="AA143" i="4" s="1"/>
  <c r="Q208" i="5"/>
  <c r="O143" i="4" s="1"/>
  <c r="AB208" i="5"/>
  <c r="Z143" i="4" s="1"/>
  <c r="P208" i="5"/>
  <c r="N143" i="4" s="1"/>
  <c r="AA208" i="5"/>
  <c r="Y143" i="4" s="1"/>
  <c r="O208" i="5"/>
  <c r="M143" i="4" s="1"/>
  <c r="Z208" i="5"/>
  <c r="X143" i="4" s="1"/>
  <c r="N208" i="5"/>
  <c r="L143" i="4" s="1"/>
  <c r="L208" i="5"/>
  <c r="J143" i="4" s="1"/>
  <c r="K208" i="5"/>
  <c r="I143" i="4" s="1"/>
  <c r="J208" i="5"/>
  <c r="H143" i="4" s="1"/>
  <c r="I208" i="5"/>
  <c r="G143" i="4" s="1"/>
  <c r="Y208" i="5"/>
  <c r="W143" i="4" s="1"/>
  <c r="X208" i="5"/>
  <c r="V143" i="4" s="1"/>
  <c r="W208" i="5"/>
  <c r="U143" i="4" s="1"/>
  <c r="V208" i="5"/>
  <c r="T143" i="4" s="1"/>
  <c r="U208" i="5"/>
  <c r="S143" i="4" s="1"/>
  <c r="M208" i="5"/>
  <c r="K143" i="4" s="1"/>
  <c r="T220" i="5"/>
  <c r="R172" i="4" s="1"/>
  <c r="H220" i="5"/>
  <c r="F172" i="4" s="1"/>
  <c r="S220" i="5"/>
  <c r="Q172" i="4" s="1"/>
  <c r="G220" i="5"/>
  <c r="E172" i="4" s="1"/>
  <c r="R220" i="5"/>
  <c r="P172" i="4" s="1"/>
  <c r="F220" i="5"/>
  <c r="D172" i="4" s="1"/>
  <c r="AC220" i="5"/>
  <c r="AA172" i="4" s="1"/>
  <c r="AA174" i="4" s="1"/>
  <c r="Q220" i="5"/>
  <c r="O172" i="4" s="1"/>
  <c r="AB220" i="5"/>
  <c r="Z172" i="4" s="1"/>
  <c r="Z174" i="4" s="1"/>
  <c r="P220" i="5"/>
  <c r="N172" i="4" s="1"/>
  <c r="AA220" i="5"/>
  <c r="Y172" i="4" s="1"/>
  <c r="O220" i="5"/>
  <c r="M172" i="4" s="1"/>
  <c r="Z220" i="5"/>
  <c r="X172" i="4" s="1"/>
  <c r="N220" i="5"/>
  <c r="L172" i="4" s="1"/>
  <c r="Y220" i="5"/>
  <c r="W172" i="4" s="1"/>
  <c r="M220" i="5"/>
  <c r="K172" i="4" s="1"/>
  <c r="X220" i="5"/>
  <c r="V172" i="4" s="1"/>
  <c r="L220" i="5"/>
  <c r="J172" i="4" s="1"/>
  <c r="W220" i="5"/>
  <c r="U172" i="4" s="1"/>
  <c r="K220" i="5"/>
  <c r="I172" i="4" s="1"/>
  <c r="V220" i="5"/>
  <c r="T172" i="4" s="1"/>
  <c r="J220" i="5"/>
  <c r="H172" i="4" s="1"/>
  <c r="U220" i="5"/>
  <c r="S172" i="4" s="1"/>
  <c r="I220" i="5"/>
  <c r="G172" i="4" s="1"/>
  <c r="T232" i="5"/>
  <c r="R198" i="4" s="1"/>
  <c r="H232" i="5"/>
  <c r="F198" i="4" s="1"/>
  <c r="S232" i="5"/>
  <c r="Q198" i="4" s="1"/>
  <c r="G232" i="5"/>
  <c r="E198" i="4" s="1"/>
  <c r="R232" i="5"/>
  <c r="P198" i="4" s="1"/>
  <c r="F232" i="5"/>
  <c r="D198" i="4" s="1"/>
  <c r="AC232" i="5"/>
  <c r="AA198" i="4" s="1"/>
  <c r="Q232" i="5"/>
  <c r="O198" i="4" s="1"/>
  <c r="AB232" i="5"/>
  <c r="Z198" i="4" s="1"/>
  <c r="P232" i="5"/>
  <c r="N198" i="4" s="1"/>
  <c r="AA232" i="5"/>
  <c r="Y198" i="4" s="1"/>
  <c r="O232" i="5"/>
  <c r="M198" i="4" s="1"/>
  <c r="Z232" i="5"/>
  <c r="X198" i="4" s="1"/>
  <c r="N232" i="5"/>
  <c r="L198" i="4" s="1"/>
  <c r="Y232" i="5"/>
  <c r="W198" i="4" s="1"/>
  <c r="M232" i="5"/>
  <c r="K198" i="4" s="1"/>
  <c r="X232" i="5"/>
  <c r="V198" i="4" s="1"/>
  <c r="L232" i="5"/>
  <c r="J198" i="4" s="1"/>
  <c r="W232" i="5"/>
  <c r="U198" i="4" s="1"/>
  <c r="K232" i="5"/>
  <c r="I198" i="4" s="1"/>
  <c r="V232" i="5"/>
  <c r="T198" i="4" s="1"/>
  <c r="J232" i="5"/>
  <c r="H198" i="4" s="1"/>
  <c r="U232" i="5"/>
  <c r="S198" i="4" s="1"/>
  <c r="I232" i="5"/>
  <c r="G198" i="4" s="1"/>
  <c r="T245" i="5"/>
  <c r="R180" i="4" s="1"/>
  <c r="H245" i="5"/>
  <c r="F180" i="4" s="1"/>
  <c r="S245" i="5"/>
  <c r="Q180" i="4" s="1"/>
  <c r="G245" i="5"/>
  <c r="E180" i="4" s="1"/>
  <c r="R245" i="5"/>
  <c r="P180" i="4" s="1"/>
  <c r="F245" i="5"/>
  <c r="D180" i="4" s="1"/>
  <c r="AC245" i="5"/>
  <c r="AA180" i="4" s="1"/>
  <c r="Q245" i="5"/>
  <c r="O180" i="4" s="1"/>
  <c r="AB245" i="5"/>
  <c r="Z180" i="4" s="1"/>
  <c r="P245" i="5"/>
  <c r="N180" i="4" s="1"/>
  <c r="AA245" i="5"/>
  <c r="Y180" i="4" s="1"/>
  <c r="O245" i="5"/>
  <c r="M180" i="4" s="1"/>
  <c r="Z245" i="5"/>
  <c r="X180" i="4" s="1"/>
  <c r="N245" i="5"/>
  <c r="L180" i="4" s="1"/>
  <c r="Y245" i="5"/>
  <c r="W180" i="4" s="1"/>
  <c r="M245" i="5"/>
  <c r="K180" i="4" s="1"/>
  <c r="X245" i="5"/>
  <c r="V180" i="4" s="1"/>
  <c r="L245" i="5"/>
  <c r="J180" i="4" s="1"/>
  <c r="W245" i="5"/>
  <c r="U180" i="4" s="1"/>
  <c r="K245" i="5"/>
  <c r="I180" i="4" s="1"/>
  <c r="V245" i="5"/>
  <c r="T180" i="4" s="1"/>
  <c r="J245" i="5"/>
  <c r="H180" i="4" s="1"/>
  <c r="U245" i="5"/>
  <c r="S180" i="4" s="1"/>
  <c r="I245" i="5"/>
  <c r="G180" i="4" s="1"/>
  <c r="S257" i="5"/>
  <c r="G257" i="5"/>
  <c r="R257" i="5"/>
  <c r="F257" i="5"/>
  <c r="AC257" i="5"/>
  <c r="Q257" i="5"/>
  <c r="AB257" i="5"/>
  <c r="P257" i="5"/>
  <c r="AA257" i="5"/>
  <c r="O257" i="5"/>
  <c r="Z257" i="5"/>
  <c r="N257" i="5"/>
  <c r="X257" i="5"/>
  <c r="T257" i="5"/>
  <c r="M257" i="5"/>
  <c r="L257" i="5"/>
  <c r="K257" i="5"/>
  <c r="J257" i="5"/>
  <c r="I257" i="5"/>
  <c r="H257" i="5"/>
  <c r="Y257" i="5"/>
  <c r="W257" i="5"/>
  <c r="V257" i="5"/>
  <c r="U257" i="5"/>
  <c r="S269" i="5"/>
  <c r="G269" i="5"/>
  <c r="R269" i="5"/>
  <c r="F269" i="5"/>
  <c r="AC269" i="5"/>
  <c r="Q269" i="5"/>
  <c r="AB269" i="5"/>
  <c r="P269" i="5"/>
  <c r="AA269" i="5"/>
  <c r="O269" i="5"/>
  <c r="Z269" i="5"/>
  <c r="N269" i="5"/>
  <c r="Y269" i="5"/>
  <c r="M269" i="5"/>
  <c r="X269" i="5"/>
  <c r="L269" i="5"/>
  <c r="W269" i="5"/>
  <c r="K269" i="5"/>
  <c r="V269" i="5"/>
  <c r="J269" i="5"/>
  <c r="U269" i="5"/>
  <c r="I269" i="5"/>
  <c r="T269" i="5"/>
  <c r="H269" i="5"/>
  <c r="S281" i="5"/>
  <c r="Q6" i="3" s="1"/>
  <c r="G281" i="5"/>
  <c r="E6" i="3" s="1"/>
  <c r="R281" i="5"/>
  <c r="F281" i="5"/>
  <c r="D6" i="3" s="1"/>
  <c r="AC281" i="5"/>
  <c r="AA6" i="3" s="1"/>
  <c r="Q281" i="5"/>
  <c r="O6" i="3" s="1"/>
  <c r="AB281" i="5"/>
  <c r="Z6" i="3" s="1"/>
  <c r="P281" i="5"/>
  <c r="N6" i="3" s="1"/>
  <c r="AA281" i="5"/>
  <c r="Y6" i="3" s="1"/>
  <c r="O281" i="5"/>
  <c r="M6" i="3" s="1"/>
  <c r="Z281" i="5"/>
  <c r="X6" i="3" s="1"/>
  <c r="N281" i="5"/>
  <c r="L6" i="3" s="1"/>
  <c r="Y281" i="5"/>
  <c r="W6" i="3" s="1"/>
  <c r="M281" i="5"/>
  <c r="K6" i="3" s="1"/>
  <c r="X281" i="5"/>
  <c r="V6" i="3" s="1"/>
  <c r="L281" i="5"/>
  <c r="J6" i="3" s="1"/>
  <c r="W281" i="5"/>
  <c r="U6" i="3" s="1"/>
  <c r="K281" i="5"/>
  <c r="I6" i="3" s="1"/>
  <c r="V281" i="5"/>
  <c r="T6" i="3" s="1"/>
  <c r="J281" i="5"/>
  <c r="H6" i="3" s="1"/>
  <c r="U281" i="5"/>
  <c r="S6" i="3" s="1"/>
  <c r="I281" i="5"/>
  <c r="G6" i="3" s="1"/>
  <c r="T281" i="5"/>
  <c r="R6" i="3" s="1"/>
  <c r="H281" i="5"/>
  <c r="F6" i="3" s="1"/>
  <c r="S293" i="5"/>
  <c r="G293" i="5"/>
  <c r="R293" i="5"/>
  <c r="F293" i="5"/>
  <c r="AC293" i="5"/>
  <c r="Q293" i="5"/>
  <c r="AB293" i="5"/>
  <c r="P293" i="5"/>
  <c r="AA293" i="5"/>
  <c r="O293" i="5"/>
  <c r="Z293" i="5"/>
  <c r="N293" i="5"/>
  <c r="Y293" i="5"/>
  <c r="M293" i="5"/>
  <c r="X293" i="5"/>
  <c r="L293" i="5"/>
  <c r="W293" i="5"/>
  <c r="K293" i="5"/>
  <c r="V293" i="5"/>
  <c r="J293" i="5"/>
  <c r="U293" i="5"/>
  <c r="I293" i="5"/>
  <c r="T293" i="5"/>
  <c r="H293" i="5"/>
  <c r="V305" i="5"/>
  <c r="J305" i="5"/>
  <c r="U305" i="5"/>
  <c r="I305" i="5"/>
  <c r="T305" i="5"/>
  <c r="H305" i="5"/>
  <c r="S305" i="5"/>
  <c r="G305" i="5"/>
  <c r="R305" i="5"/>
  <c r="F305" i="5"/>
  <c r="AC305" i="5"/>
  <c r="Q305" i="5"/>
  <c r="AA305" i="5"/>
  <c r="O305" i="5"/>
  <c r="Y305" i="5"/>
  <c r="M305" i="5"/>
  <c r="X305" i="5"/>
  <c r="W305" i="5"/>
  <c r="P305" i="5"/>
  <c r="N305" i="5"/>
  <c r="L305" i="5"/>
  <c r="K305" i="5"/>
  <c r="AB305" i="5"/>
  <c r="Z305" i="5"/>
  <c r="V317" i="5"/>
  <c r="T15" i="3" s="1"/>
  <c r="J317" i="5"/>
  <c r="H15" i="3" s="1"/>
  <c r="U317" i="5"/>
  <c r="S15" i="3" s="1"/>
  <c r="I317" i="5"/>
  <c r="G15" i="3" s="1"/>
  <c r="T317" i="5"/>
  <c r="R15" i="3" s="1"/>
  <c r="H317" i="5"/>
  <c r="F15" i="3" s="1"/>
  <c r="S317" i="5"/>
  <c r="Q15" i="3" s="1"/>
  <c r="G317" i="5"/>
  <c r="E15" i="3" s="1"/>
  <c r="R317" i="5"/>
  <c r="F317" i="5"/>
  <c r="D15" i="3" s="1"/>
  <c r="AC317" i="5"/>
  <c r="AA15" i="3" s="1"/>
  <c r="Q317" i="5"/>
  <c r="O15" i="3" s="1"/>
  <c r="AB317" i="5"/>
  <c r="Z15" i="3" s="1"/>
  <c r="P317" i="5"/>
  <c r="N15" i="3" s="1"/>
  <c r="AA317" i="5"/>
  <c r="Y15" i="3" s="1"/>
  <c r="O317" i="5"/>
  <c r="M15" i="3" s="1"/>
  <c r="Z317" i="5"/>
  <c r="X15" i="3" s="1"/>
  <c r="N317" i="5"/>
  <c r="L15" i="3" s="1"/>
  <c r="Y317" i="5"/>
  <c r="W15" i="3" s="1"/>
  <c r="M317" i="5"/>
  <c r="K15" i="3" s="1"/>
  <c r="X317" i="5"/>
  <c r="V15" i="3" s="1"/>
  <c r="L317" i="5"/>
  <c r="J15" i="3" s="1"/>
  <c r="W317" i="5"/>
  <c r="U15" i="3" s="1"/>
  <c r="K317" i="5"/>
  <c r="I15" i="3" s="1"/>
  <c r="V329" i="5"/>
  <c r="J329" i="5"/>
  <c r="U329" i="5"/>
  <c r="I329" i="5"/>
  <c r="T329" i="5"/>
  <c r="H329" i="5"/>
  <c r="S329" i="5"/>
  <c r="G329" i="5"/>
  <c r="R329" i="5"/>
  <c r="F329" i="5"/>
  <c r="AC329" i="5"/>
  <c r="Q329" i="5"/>
  <c r="AB329" i="5"/>
  <c r="P329" i="5"/>
  <c r="AA329" i="5"/>
  <c r="O329" i="5"/>
  <c r="Z329" i="5"/>
  <c r="N329" i="5"/>
  <c r="Y329" i="5"/>
  <c r="M329" i="5"/>
  <c r="X329" i="5"/>
  <c r="L329" i="5"/>
  <c r="W329" i="5"/>
  <c r="K329" i="5"/>
  <c r="U342" i="5"/>
  <c r="T342" i="5"/>
  <c r="S342" i="5"/>
  <c r="R342" i="5"/>
  <c r="AC342" i="5"/>
  <c r="AB342" i="5"/>
  <c r="Z342" i="5"/>
  <c r="J342" i="5"/>
  <c r="Y342" i="5"/>
  <c r="I342" i="5"/>
  <c r="X342" i="5"/>
  <c r="H342" i="5"/>
  <c r="W342" i="5"/>
  <c r="G342" i="5"/>
  <c r="V342" i="5"/>
  <c r="F342" i="5"/>
  <c r="Q342" i="5"/>
  <c r="P342" i="5"/>
  <c r="O342" i="5"/>
  <c r="N342" i="5"/>
  <c r="M342" i="5"/>
  <c r="L342" i="5"/>
  <c r="AA342" i="5"/>
  <c r="K342" i="5"/>
  <c r="U354" i="5"/>
  <c r="S25" i="3" s="1"/>
  <c r="I354" i="5"/>
  <c r="G25" i="3" s="1"/>
  <c r="T354" i="5"/>
  <c r="R25" i="3" s="1"/>
  <c r="H354" i="5"/>
  <c r="F25" i="3" s="1"/>
  <c r="S354" i="5"/>
  <c r="Q25" i="3" s="1"/>
  <c r="G354" i="5"/>
  <c r="E25" i="3" s="1"/>
  <c r="R354" i="5"/>
  <c r="P25" i="3" s="1"/>
  <c r="F354" i="5"/>
  <c r="D25" i="3" s="1"/>
  <c r="AC354" i="5"/>
  <c r="AA25" i="3" s="1"/>
  <c r="Q354" i="5"/>
  <c r="O25" i="3" s="1"/>
  <c r="AB354" i="5"/>
  <c r="Z25" i="3" s="1"/>
  <c r="P354" i="5"/>
  <c r="N25" i="3" s="1"/>
  <c r="AA354" i="5"/>
  <c r="Y25" i="3" s="1"/>
  <c r="O354" i="5"/>
  <c r="M25" i="3" s="1"/>
  <c r="Z354" i="5"/>
  <c r="X25" i="3" s="1"/>
  <c r="N354" i="5"/>
  <c r="L25" i="3" s="1"/>
  <c r="X354" i="5"/>
  <c r="V25" i="3" s="1"/>
  <c r="L354" i="5"/>
  <c r="J25" i="3" s="1"/>
  <c r="W354" i="5"/>
  <c r="U25" i="3" s="1"/>
  <c r="K354" i="5"/>
  <c r="I25" i="3" s="1"/>
  <c r="Y354" i="5"/>
  <c r="W25" i="3" s="1"/>
  <c r="V354" i="5"/>
  <c r="T25" i="3" s="1"/>
  <c r="M354" i="5"/>
  <c r="K25" i="3" s="1"/>
  <c r="J354" i="5"/>
  <c r="H25" i="3" s="1"/>
  <c r="U366" i="5"/>
  <c r="S34" i="3" s="1"/>
  <c r="I366" i="5"/>
  <c r="G34" i="3" s="1"/>
  <c r="T366" i="5"/>
  <c r="R34" i="3" s="1"/>
  <c r="H366" i="5"/>
  <c r="F34" i="3" s="1"/>
  <c r="S366" i="5"/>
  <c r="Q34" i="3" s="1"/>
  <c r="G366" i="5"/>
  <c r="R366" i="5"/>
  <c r="F366" i="5"/>
  <c r="D34" i="3" s="1"/>
  <c r="AC366" i="5"/>
  <c r="AA34" i="3" s="1"/>
  <c r="Q366" i="5"/>
  <c r="O34" i="3" s="1"/>
  <c r="AB366" i="5"/>
  <c r="Z34" i="3" s="1"/>
  <c r="P366" i="5"/>
  <c r="N34" i="3" s="1"/>
  <c r="AA366" i="5"/>
  <c r="Y34" i="3" s="1"/>
  <c r="O366" i="5"/>
  <c r="M34" i="3" s="1"/>
  <c r="Z366" i="5"/>
  <c r="X34" i="3" s="1"/>
  <c r="N366" i="5"/>
  <c r="L34" i="3" s="1"/>
  <c r="Y366" i="5"/>
  <c r="W34" i="3" s="1"/>
  <c r="M366" i="5"/>
  <c r="K34" i="3" s="1"/>
  <c r="X366" i="5"/>
  <c r="V34" i="3" s="1"/>
  <c r="L366" i="5"/>
  <c r="J34" i="3" s="1"/>
  <c r="W366" i="5"/>
  <c r="U34" i="3" s="1"/>
  <c r="K366" i="5"/>
  <c r="I34" i="3" s="1"/>
  <c r="V366" i="5"/>
  <c r="T34" i="3" s="1"/>
  <c r="J366" i="5"/>
  <c r="H34" i="3" s="1"/>
  <c r="U378" i="5"/>
  <c r="S39" i="3" s="1"/>
  <c r="I378" i="5"/>
  <c r="G39" i="3" s="1"/>
  <c r="T378" i="5"/>
  <c r="R39" i="3" s="1"/>
  <c r="H378" i="5"/>
  <c r="F39" i="3" s="1"/>
  <c r="S378" i="5"/>
  <c r="Q39" i="3" s="1"/>
  <c r="G378" i="5"/>
  <c r="E39" i="3" s="1"/>
  <c r="R378" i="5"/>
  <c r="F378" i="5"/>
  <c r="D39" i="3" s="1"/>
  <c r="AC378" i="5"/>
  <c r="AA39" i="3" s="1"/>
  <c r="Q378" i="5"/>
  <c r="O39" i="3" s="1"/>
  <c r="AB378" i="5"/>
  <c r="Z39" i="3" s="1"/>
  <c r="P378" i="5"/>
  <c r="N39" i="3" s="1"/>
  <c r="AA378" i="5"/>
  <c r="Y39" i="3" s="1"/>
  <c r="O378" i="5"/>
  <c r="M39" i="3" s="1"/>
  <c r="Z378" i="5"/>
  <c r="X39" i="3" s="1"/>
  <c r="N378" i="5"/>
  <c r="L39" i="3" s="1"/>
  <c r="Y378" i="5"/>
  <c r="W39" i="3" s="1"/>
  <c r="M378" i="5"/>
  <c r="K39" i="3" s="1"/>
  <c r="X378" i="5"/>
  <c r="V39" i="3" s="1"/>
  <c r="L378" i="5"/>
  <c r="J39" i="3" s="1"/>
  <c r="W378" i="5"/>
  <c r="U39" i="3" s="1"/>
  <c r="K378" i="5"/>
  <c r="I39" i="3" s="1"/>
  <c r="V378" i="5"/>
  <c r="T39" i="3" s="1"/>
  <c r="J378" i="5"/>
  <c r="H39" i="3" s="1"/>
  <c r="Z390" i="5"/>
  <c r="X80" i="3" s="1"/>
  <c r="N390" i="5"/>
  <c r="L80" i="3" s="1"/>
  <c r="Y390" i="5"/>
  <c r="W80" i="3" s="1"/>
  <c r="M390" i="5"/>
  <c r="K80" i="3" s="1"/>
  <c r="X390" i="5"/>
  <c r="V80" i="3" s="1"/>
  <c r="L390" i="5"/>
  <c r="J80" i="3" s="1"/>
  <c r="W390" i="5"/>
  <c r="U80" i="3" s="1"/>
  <c r="K390" i="5"/>
  <c r="I80" i="3" s="1"/>
  <c r="V390" i="5"/>
  <c r="T80" i="3" s="1"/>
  <c r="J390" i="5"/>
  <c r="H80" i="3" s="1"/>
  <c r="U390" i="5"/>
  <c r="S80" i="3" s="1"/>
  <c r="I390" i="5"/>
  <c r="G80" i="3" s="1"/>
  <c r="S390" i="5"/>
  <c r="Q80" i="3" s="1"/>
  <c r="G390" i="5"/>
  <c r="E80" i="3" s="1"/>
  <c r="AC390" i="5"/>
  <c r="AA80" i="3" s="1"/>
  <c r="AB390" i="5"/>
  <c r="Z80" i="3" s="1"/>
  <c r="AA390" i="5"/>
  <c r="Y80" i="3" s="1"/>
  <c r="T390" i="5"/>
  <c r="R80" i="3" s="1"/>
  <c r="R390" i="5"/>
  <c r="Q390" i="5"/>
  <c r="O80" i="3" s="1"/>
  <c r="P390" i="5"/>
  <c r="N80" i="3" s="1"/>
  <c r="O390" i="5"/>
  <c r="M80" i="3" s="1"/>
  <c r="H390" i="5"/>
  <c r="F80" i="3" s="1"/>
  <c r="F390" i="5"/>
  <c r="D80" i="3" s="1"/>
  <c r="Z402" i="5"/>
  <c r="N402" i="5"/>
  <c r="Y402" i="5"/>
  <c r="M402" i="5"/>
  <c r="X402" i="5"/>
  <c r="L402" i="5"/>
  <c r="W402" i="5"/>
  <c r="K402" i="5"/>
  <c r="V402" i="5"/>
  <c r="J402" i="5"/>
  <c r="U402" i="5"/>
  <c r="I402" i="5"/>
  <c r="T402" i="5"/>
  <c r="H402" i="5"/>
  <c r="S402" i="5"/>
  <c r="G402" i="5"/>
  <c r="R402" i="5"/>
  <c r="F402" i="5"/>
  <c r="AC402" i="5"/>
  <c r="Q402" i="5"/>
  <c r="AB402" i="5"/>
  <c r="P402" i="5"/>
  <c r="AA402" i="5"/>
  <c r="O402" i="5"/>
  <c r="Z414" i="5"/>
  <c r="X95" i="3" s="1"/>
  <c r="N414" i="5"/>
  <c r="L95" i="3" s="1"/>
  <c r="Y414" i="5"/>
  <c r="W95" i="3" s="1"/>
  <c r="M414" i="5"/>
  <c r="K95" i="3" s="1"/>
  <c r="X414" i="5"/>
  <c r="V95" i="3" s="1"/>
  <c r="L414" i="5"/>
  <c r="J95" i="3" s="1"/>
  <c r="W414" i="5"/>
  <c r="U95" i="3" s="1"/>
  <c r="K414" i="5"/>
  <c r="I95" i="3" s="1"/>
  <c r="V414" i="5"/>
  <c r="T95" i="3" s="1"/>
  <c r="J414" i="5"/>
  <c r="H95" i="3" s="1"/>
  <c r="U414" i="5"/>
  <c r="S95" i="3" s="1"/>
  <c r="I414" i="5"/>
  <c r="G95" i="3" s="1"/>
  <c r="T414" i="5"/>
  <c r="R95" i="3" s="1"/>
  <c r="H414" i="5"/>
  <c r="F95" i="3" s="1"/>
  <c r="S414" i="5"/>
  <c r="Q95" i="3" s="1"/>
  <c r="G414" i="5"/>
  <c r="E95" i="3" s="1"/>
  <c r="R414" i="5"/>
  <c r="F414" i="5"/>
  <c r="D95" i="3" s="1"/>
  <c r="AC414" i="5"/>
  <c r="AA95" i="3" s="1"/>
  <c r="Q414" i="5"/>
  <c r="O95" i="3" s="1"/>
  <c r="AB414" i="5"/>
  <c r="Z95" i="3" s="1"/>
  <c r="P414" i="5"/>
  <c r="N95" i="3" s="1"/>
  <c r="AA414" i="5"/>
  <c r="Y95" i="3" s="1"/>
  <c r="O414" i="5"/>
  <c r="M95" i="3" s="1"/>
  <c r="Z426" i="5"/>
  <c r="N426" i="5"/>
  <c r="Y426" i="5"/>
  <c r="M426" i="5"/>
  <c r="X426" i="5"/>
  <c r="L426" i="5"/>
  <c r="W426" i="5"/>
  <c r="K426" i="5"/>
  <c r="V426" i="5"/>
  <c r="J426" i="5"/>
  <c r="U426" i="5"/>
  <c r="I426" i="5"/>
  <c r="T426" i="5"/>
  <c r="H426" i="5"/>
  <c r="G426" i="5"/>
  <c r="F426" i="5"/>
  <c r="AC426" i="5"/>
  <c r="AB426" i="5"/>
  <c r="AA426" i="5"/>
  <c r="S426" i="5"/>
  <c r="R426" i="5"/>
  <c r="Q426" i="5"/>
  <c r="P426" i="5"/>
  <c r="O426" i="5"/>
  <c r="Z438" i="5"/>
  <c r="X165" i="3" s="1"/>
  <c r="N438" i="5"/>
  <c r="L165" i="3" s="1"/>
  <c r="Y438" i="5"/>
  <c r="W165" i="3" s="1"/>
  <c r="M438" i="5"/>
  <c r="K165" i="3" s="1"/>
  <c r="X438" i="5"/>
  <c r="V165" i="3" s="1"/>
  <c r="L438" i="5"/>
  <c r="J165" i="3" s="1"/>
  <c r="W438" i="5"/>
  <c r="U165" i="3" s="1"/>
  <c r="K438" i="5"/>
  <c r="I165" i="3" s="1"/>
  <c r="V438" i="5"/>
  <c r="T165" i="3" s="1"/>
  <c r="J438" i="5"/>
  <c r="H165" i="3" s="1"/>
  <c r="U438" i="5"/>
  <c r="S165" i="3" s="1"/>
  <c r="I438" i="5"/>
  <c r="G165" i="3" s="1"/>
  <c r="T438" i="5"/>
  <c r="R165" i="3" s="1"/>
  <c r="H438" i="5"/>
  <c r="F165" i="3" s="1"/>
  <c r="S438" i="5"/>
  <c r="Q165" i="3" s="1"/>
  <c r="G438" i="5"/>
  <c r="E165" i="3" s="1"/>
  <c r="R438" i="5"/>
  <c r="P165" i="3" s="1"/>
  <c r="F438" i="5"/>
  <c r="D165" i="3" s="1"/>
  <c r="AC438" i="5"/>
  <c r="AA165" i="3" s="1"/>
  <c r="Q438" i="5"/>
  <c r="O165" i="3" s="1"/>
  <c r="AB438" i="5"/>
  <c r="Z165" i="3" s="1"/>
  <c r="P438" i="5"/>
  <c r="N165" i="3" s="1"/>
  <c r="AA438" i="5"/>
  <c r="Y165" i="3" s="1"/>
  <c r="O438" i="5"/>
  <c r="M165" i="3" s="1"/>
  <c r="Z450" i="5"/>
  <c r="X134" i="3" s="1"/>
  <c r="N450" i="5"/>
  <c r="L134" i="3" s="1"/>
  <c r="Y450" i="5"/>
  <c r="W134" i="3" s="1"/>
  <c r="M450" i="5"/>
  <c r="K134" i="3" s="1"/>
  <c r="X450" i="5"/>
  <c r="V134" i="3" s="1"/>
  <c r="L450" i="5"/>
  <c r="J134" i="3" s="1"/>
  <c r="W450" i="5"/>
  <c r="U134" i="3" s="1"/>
  <c r="K450" i="5"/>
  <c r="I134" i="3" s="1"/>
  <c r="V450" i="5"/>
  <c r="T134" i="3" s="1"/>
  <c r="J450" i="5"/>
  <c r="H134" i="3" s="1"/>
  <c r="U450" i="5"/>
  <c r="S134" i="3" s="1"/>
  <c r="I450" i="5"/>
  <c r="G134" i="3" s="1"/>
  <c r="T450" i="5"/>
  <c r="R134" i="3" s="1"/>
  <c r="H450" i="5"/>
  <c r="F134" i="3" s="1"/>
  <c r="S450" i="5"/>
  <c r="Q134" i="3" s="1"/>
  <c r="G450" i="5"/>
  <c r="E134" i="3" s="1"/>
  <c r="R450" i="5"/>
  <c r="P134" i="3" s="1"/>
  <c r="F450" i="5"/>
  <c r="D134" i="3" s="1"/>
  <c r="AC450" i="5"/>
  <c r="AA134" i="3" s="1"/>
  <c r="Q450" i="5"/>
  <c r="O134" i="3" s="1"/>
  <c r="AB450" i="5"/>
  <c r="Z134" i="3" s="1"/>
  <c r="P450" i="5"/>
  <c r="N134" i="3" s="1"/>
  <c r="AA450" i="5"/>
  <c r="Y134" i="3" s="1"/>
  <c r="O450" i="5"/>
  <c r="M134" i="3" s="1"/>
  <c r="AA462" i="5"/>
  <c r="Y81" i="3" s="1"/>
  <c r="O462" i="5"/>
  <c r="M81" i="3" s="1"/>
  <c r="Z462" i="5"/>
  <c r="X81" i="3" s="1"/>
  <c r="N462" i="5"/>
  <c r="L81" i="3" s="1"/>
  <c r="Y462" i="5"/>
  <c r="W81" i="3" s="1"/>
  <c r="M462" i="5"/>
  <c r="K81" i="3" s="1"/>
  <c r="X462" i="5"/>
  <c r="V81" i="3" s="1"/>
  <c r="L462" i="5"/>
  <c r="J81" i="3" s="1"/>
  <c r="W462" i="5"/>
  <c r="U81" i="3" s="1"/>
  <c r="K462" i="5"/>
  <c r="I81" i="3" s="1"/>
  <c r="V462" i="5"/>
  <c r="T81" i="3" s="1"/>
  <c r="J462" i="5"/>
  <c r="H81" i="3" s="1"/>
  <c r="U462" i="5"/>
  <c r="S81" i="3" s="1"/>
  <c r="I462" i="5"/>
  <c r="G81" i="3" s="1"/>
  <c r="T462" i="5"/>
  <c r="R81" i="3" s="1"/>
  <c r="H462" i="5"/>
  <c r="F81" i="3" s="1"/>
  <c r="R462" i="5"/>
  <c r="AC462" i="5"/>
  <c r="AA81" i="3" s="1"/>
  <c r="AB462" i="5"/>
  <c r="Z81" i="3" s="1"/>
  <c r="S462" i="5"/>
  <c r="Q81" i="3" s="1"/>
  <c r="Q462" i="5"/>
  <c r="O81" i="3" s="1"/>
  <c r="P462" i="5"/>
  <c r="N81" i="3" s="1"/>
  <c r="G462" i="5"/>
  <c r="E81" i="3" s="1"/>
  <c r="F462" i="5"/>
  <c r="D81" i="3" s="1"/>
  <c r="AA474" i="5"/>
  <c r="O474" i="5"/>
  <c r="Z474" i="5"/>
  <c r="N474" i="5"/>
  <c r="Y474" i="5"/>
  <c r="M474" i="5"/>
  <c r="X474" i="5"/>
  <c r="L474" i="5"/>
  <c r="W474" i="5"/>
  <c r="K474" i="5"/>
  <c r="V474" i="5"/>
  <c r="J474" i="5"/>
  <c r="U474" i="5"/>
  <c r="I474" i="5"/>
  <c r="T474" i="5"/>
  <c r="H474" i="5"/>
  <c r="S474" i="5"/>
  <c r="G474" i="5"/>
  <c r="R474" i="5"/>
  <c r="F474" i="5"/>
  <c r="AC474" i="5"/>
  <c r="Q474" i="5"/>
  <c r="AB474" i="5"/>
  <c r="P474" i="5"/>
  <c r="AA486" i="5"/>
  <c r="O486" i="5"/>
  <c r="Z486" i="5"/>
  <c r="N486" i="5"/>
  <c r="Y486" i="5"/>
  <c r="M486" i="5"/>
  <c r="X486" i="5"/>
  <c r="L486" i="5"/>
  <c r="W486" i="5"/>
  <c r="K486" i="5"/>
  <c r="V486" i="5"/>
  <c r="J486" i="5"/>
  <c r="U486" i="5"/>
  <c r="I486" i="5"/>
  <c r="T486" i="5"/>
  <c r="H486" i="5"/>
  <c r="S486" i="5"/>
  <c r="G486" i="5"/>
  <c r="R486" i="5"/>
  <c r="F486" i="5"/>
  <c r="AC486" i="5"/>
  <c r="Q486" i="5"/>
  <c r="AB486" i="5"/>
  <c r="P486" i="5"/>
  <c r="T498" i="5"/>
  <c r="H498" i="5"/>
  <c r="S498" i="5"/>
  <c r="G498" i="5"/>
  <c r="R498" i="5"/>
  <c r="F498" i="5"/>
  <c r="AC498" i="5"/>
  <c r="Q498" i="5"/>
  <c r="AA498" i="5"/>
  <c r="O498" i="5"/>
  <c r="Y498" i="5"/>
  <c r="X498" i="5"/>
  <c r="W498" i="5"/>
  <c r="V498" i="5"/>
  <c r="U498" i="5"/>
  <c r="P498" i="5"/>
  <c r="N498" i="5"/>
  <c r="M498" i="5"/>
  <c r="L498" i="5"/>
  <c r="K498" i="5"/>
  <c r="AB498" i="5"/>
  <c r="J498" i="5"/>
  <c r="Z498" i="5"/>
  <c r="I498" i="5"/>
  <c r="T510" i="5"/>
  <c r="H510" i="5"/>
  <c r="S510" i="5"/>
  <c r="G510" i="5"/>
  <c r="R510" i="5"/>
  <c r="F510" i="5"/>
  <c r="AA510" i="5"/>
  <c r="L510" i="5"/>
  <c r="Z510" i="5"/>
  <c r="K510" i="5"/>
  <c r="Y510" i="5"/>
  <c r="J510" i="5"/>
  <c r="X510" i="5"/>
  <c r="I510" i="5"/>
  <c r="W510" i="5"/>
  <c r="V510" i="5"/>
  <c r="U510" i="5"/>
  <c r="Q510" i="5"/>
  <c r="P510" i="5"/>
  <c r="O510" i="5"/>
  <c r="AC510" i="5"/>
  <c r="N510" i="5"/>
  <c r="AB510" i="5"/>
  <c r="M510" i="5"/>
  <c r="T522" i="5"/>
  <c r="H522" i="5"/>
  <c r="S522" i="5"/>
  <c r="G522" i="5"/>
  <c r="R522" i="5"/>
  <c r="F522" i="5"/>
  <c r="AA522" i="5"/>
  <c r="L522" i="5"/>
  <c r="Z522" i="5"/>
  <c r="K522" i="5"/>
  <c r="Y522" i="5"/>
  <c r="J522" i="5"/>
  <c r="X522" i="5"/>
  <c r="I522" i="5"/>
  <c r="W522" i="5"/>
  <c r="V522" i="5"/>
  <c r="U522" i="5"/>
  <c r="Q522" i="5"/>
  <c r="P522" i="5"/>
  <c r="O522" i="5"/>
  <c r="AC522" i="5"/>
  <c r="N522" i="5"/>
  <c r="AB522" i="5"/>
  <c r="M522" i="5"/>
  <c r="T534" i="5"/>
  <c r="H534" i="5"/>
  <c r="S534" i="5"/>
  <c r="G534" i="5"/>
  <c r="R534" i="5"/>
  <c r="F534" i="5"/>
  <c r="U534" i="5"/>
  <c r="I534" i="5"/>
  <c r="W534" i="5"/>
  <c r="V534" i="5"/>
  <c r="Q534" i="5"/>
  <c r="Z534" i="5"/>
  <c r="J534" i="5"/>
  <c r="Y534" i="5"/>
  <c r="X534" i="5"/>
  <c r="M534" i="5"/>
  <c r="L534" i="5"/>
  <c r="K534" i="5"/>
  <c r="AC534" i="5"/>
  <c r="AB534" i="5"/>
  <c r="AA534" i="5"/>
  <c r="P534" i="5"/>
  <c r="O534" i="5"/>
  <c r="N534" i="5"/>
  <c r="T546" i="5"/>
  <c r="H546" i="5"/>
  <c r="S546" i="5"/>
  <c r="G546" i="5"/>
  <c r="R546" i="5"/>
  <c r="F546" i="5"/>
  <c r="U546" i="5"/>
  <c r="I546" i="5"/>
  <c r="W546" i="5"/>
  <c r="V546" i="5"/>
  <c r="Q546" i="5"/>
  <c r="Z546" i="5"/>
  <c r="J546" i="5"/>
  <c r="Y546" i="5"/>
  <c r="X546" i="5"/>
  <c r="M546" i="5"/>
  <c r="L546" i="5"/>
  <c r="K546" i="5"/>
  <c r="AC546" i="5"/>
  <c r="AB546" i="5"/>
  <c r="AA546" i="5"/>
  <c r="P546" i="5"/>
  <c r="O546" i="5"/>
  <c r="N546" i="5"/>
  <c r="T558" i="5"/>
  <c r="R138" i="3" s="1"/>
  <c r="H558" i="5"/>
  <c r="F138" i="3" s="1"/>
  <c r="S558" i="5"/>
  <c r="Q138" i="3" s="1"/>
  <c r="G558" i="5"/>
  <c r="E138" i="3" s="1"/>
  <c r="R558" i="5"/>
  <c r="F558" i="5"/>
  <c r="D138" i="3" s="1"/>
  <c r="V558" i="5"/>
  <c r="T138" i="3" s="1"/>
  <c r="J558" i="5"/>
  <c r="H138" i="3" s="1"/>
  <c r="U558" i="5"/>
  <c r="S138" i="3" s="1"/>
  <c r="I558" i="5"/>
  <c r="G138" i="3" s="1"/>
  <c r="Q558" i="5"/>
  <c r="O138" i="3" s="1"/>
  <c r="P558" i="5"/>
  <c r="N138" i="3" s="1"/>
  <c r="O558" i="5"/>
  <c r="M138" i="3" s="1"/>
  <c r="Y558" i="5"/>
  <c r="W138" i="3" s="1"/>
  <c r="X558" i="5"/>
  <c r="V138" i="3" s="1"/>
  <c r="W558" i="5"/>
  <c r="U138" i="3" s="1"/>
  <c r="K558" i="5"/>
  <c r="I138" i="3" s="1"/>
  <c r="AC558" i="5"/>
  <c r="AA138" i="3" s="1"/>
  <c r="AB558" i="5"/>
  <c r="Z138" i="3" s="1"/>
  <c r="AA558" i="5"/>
  <c r="Y138" i="3" s="1"/>
  <c r="Z558" i="5"/>
  <c r="X138" i="3" s="1"/>
  <c r="N558" i="5"/>
  <c r="L138" i="3" s="1"/>
  <c r="M558" i="5"/>
  <c r="K138" i="3" s="1"/>
  <c r="L558" i="5"/>
  <c r="J138" i="3" s="1"/>
  <c r="Z17" i="5"/>
  <c r="N17" i="5"/>
  <c r="Y17" i="5"/>
  <c r="M17" i="5"/>
  <c r="X17" i="5"/>
  <c r="L17" i="5"/>
  <c r="W17" i="5"/>
  <c r="K17" i="5"/>
  <c r="V17" i="5"/>
  <c r="J17" i="5"/>
  <c r="U17" i="5"/>
  <c r="I17" i="5"/>
  <c r="H17" i="5"/>
  <c r="T17" i="5"/>
  <c r="S17" i="5"/>
  <c r="G17" i="5"/>
  <c r="R17" i="5"/>
  <c r="F17" i="5"/>
  <c r="AC17" i="5"/>
  <c r="Q17" i="5"/>
  <c r="AB17" i="5"/>
  <c r="P17" i="5"/>
  <c r="AA17" i="5"/>
  <c r="O17" i="5"/>
  <c r="Z29" i="5"/>
  <c r="N29" i="5"/>
  <c r="Y29" i="5"/>
  <c r="M29" i="5"/>
  <c r="X29" i="5"/>
  <c r="L29" i="5"/>
  <c r="W29" i="5"/>
  <c r="K29" i="5"/>
  <c r="V29" i="5"/>
  <c r="J29" i="5"/>
  <c r="U29" i="5"/>
  <c r="I29" i="5"/>
  <c r="T29" i="5"/>
  <c r="H29" i="5"/>
  <c r="S29" i="5"/>
  <c r="G29" i="5"/>
  <c r="R29" i="5"/>
  <c r="F29" i="5"/>
  <c r="AC29" i="5"/>
  <c r="Q29" i="5"/>
  <c r="AB29" i="5"/>
  <c r="P29" i="5"/>
  <c r="AA29" i="5"/>
  <c r="O29" i="5"/>
  <c r="Z41" i="5"/>
  <c r="N41" i="5"/>
  <c r="Y41" i="5"/>
  <c r="M41" i="5"/>
  <c r="X41" i="5"/>
  <c r="L41" i="5"/>
  <c r="W41" i="5"/>
  <c r="K41" i="5"/>
  <c r="V41" i="5"/>
  <c r="J41" i="5"/>
  <c r="U41" i="5"/>
  <c r="I41" i="5"/>
  <c r="T41" i="5"/>
  <c r="H41" i="5"/>
  <c r="S41" i="5"/>
  <c r="G41" i="5"/>
  <c r="R41" i="5"/>
  <c r="F41" i="5"/>
  <c r="AC41" i="5"/>
  <c r="Q41" i="5"/>
  <c r="AB41" i="5"/>
  <c r="P41" i="5"/>
  <c r="AA41" i="5"/>
  <c r="O41" i="5"/>
  <c r="Z53" i="5"/>
  <c r="X31" i="4" s="1"/>
  <c r="N53" i="5"/>
  <c r="L31" i="4" s="1"/>
  <c r="Y53" i="5"/>
  <c r="W31" i="4" s="1"/>
  <c r="M53" i="5"/>
  <c r="K31" i="4" s="1"/>
  <c r="X53" i="5"/>
  <c r="V31" i="4" s="1"/>
  <c r="L53" i="5"/>
  <c r="J31" i="4" s="1"/>
  <c r="W53" i="5"/>
  <c r="U31" i="4" s="1"/>
  <c r="K53" i="5"/>
  <c r="I31" i="4" s="1"/>
  <c r="V53" i="5"/>
  <c r="T31" i="4" s="1"/>
  <c r="J53" i="5"/>
  <c r="H31" i="4" s="1"/>
  <c r="U53" i="5"/>
  <c r="S31" i="4" s="1"/>
  <c r="I53" i="5"/>
  <c r="G31" i="4" s="1"/>
  <c r="T53" i="5"/>
  <c r="R31" i="4" s="1"/>
  <c r="H53" i="5"/>
  <c r="F31" i="4" s="1"/>
  <c r="S53" i="5"/>
  <c r="Q31" i="4" s="1"/>
  <c r="G53" i="5"/>
  <c r="E31" i="4" s="1"/>
  <c r="R53" i="5"/>
  <c r="P31" i="4" s="1"/>
  <c r="F53" i="5"/>
  <c r="D31" i="4" s="1"/>
  <c r="AC53" i="5"/>
  <c r="Q53" i="5"/>
  <c r="O31" i="4" s="1"/>
  <c r="AB53" i="5"/>
  <c r="Z31" i="4" s="1"/>
  <c r="P53" i="5"/>
  <c r="N31" i="4" s="1"/>
  <c r="AA53" i="5"/>
  <c r="Y31" i="4" s="1"/>
  <c r="O53" i="5"/>
  <c r="M31" i="4" s="1"/>
  <c r="Z65" i="5"/>
  <c r="N65" i="5"/>
  <c r="Y65" i="5"/>
  <c r="M65" i="5"/>
  <c r="X65" i="5"/>
  <c r="L65" i="5"/>
  <c r="W65" i="5"/>
  <c r="K65" i="5"/>
  <c r="V65" i="5"/>
  <c r="J65" i="5"/>
  <c r="U65" i="5"/>
  <c r="I65" i="5"/>
  <c r="T65" i="5"/>
  <c r="H65" i="5"/>
  <c r="S65" i="5"/>
  <c r="G65" i="5"/>
  <c r="R65" i="5"/>
  <c r="F65" i="5"/>
  <c r="AC65" i="5"/>
  <c r="Q65" i="5"/>
  <c r="AB65" i="5"/>
  <c r="P65" i="5"/>
  <c r="AA65" i="5"/>
  <c r="O65" i="5"/>
  <c r="Z77" i="5"/>
  <c r="N77" i="5"/>
  <c r="Y77" i="5"/>
  <c r="M77" i="5"/>
  <c r="X77" i="5"/>
  <c r="L77" i="5"/>
  <c r="W77" i="5"/>
  <c r="K77" i="5"/>
  <c r="V77" i="5"/>
  <c r="J77" i="5"/>
  <c r="U77" i="5"/>
  <c r="I77" i="5"/>
  <c r="T77" i="5"/>
  <c r="H77" i="5"/>
  <c r="S77" i="5"/>
  <c r="G77" i="5"/>
  <c r="R77" i="5"/>
  <c r="F77" i="5"/>
  <c r="AC77" i="5"/>
  <c r="Q77" i="5"/>
  <c r="AB77" i="5"/>
  <c r="P77" i="5"/>
  <c r="AA77" i="5"/>
  <c r="O77" i="5"/>
  <c r="Z89" i="5"/>
  <c r="N89" i="5"/>
  <c r="Y89" i="5"/>
  <c r="M89" i="5"/>
  <c r="X89" i="5"/>
  <c r="L89" i="5"/>
  <c r="W89" i="5"/>
  <c r="K89" i="5"/>
  <c r="V89" i="5"/>
  <c r="J89" i="5"/>
  <c r="U89" i="5"/>
  <c r="I89" i="5"/>
  <c r="T89" i="5"/>
  <c r="H89" i="5"/>
  <c r="S89" i="5"/>
  <c r="G89" i="5"/>
  <c r="R89" i="5"/>
  <c r="F89" i="5"/>
  <c r="AC89" i="5"/>
  <c r="Q89" i="5"/>
  <c r="AB89" i="5"/>
  <c r="P89" i="5"/>
  <c r="AA89" i="5"/>
  <c r="O89" i="5"/>
  <c r="Z101" i="5"/>
  <c r="N101" i="5"/>
  <c r="Y101" i="5"/>
  <c r="M101" i="5"/>
  <c r="X101" i="5"/>
  <c r="L101" i="5"/>
  <c r="W101" i="5"/>
  <c r="K101" i="5"/>
  <c r="V101" i="5"/>
  <c r="J101" i="5"/>
  <c r="U101" i="5"/>
  <c r="I101" i="5"/>
  <c r="T101" i="5"/>
  <c r="H101" i="5"/>
  <c r="S101" i="5"/>
  <c r="G101" i="5"/>
  <c r="R101" i="5"/>
  <c r="F101" i="5"/>
  <c r="AC101" i="5"/>
  <c r="Q101" i="5"/>
  <c r="AB101" i="5"/>
  <c r="P101" i="5"/>
  <c r="AA101" i="5"/>
  <c r="O101" i="5"/>
  <c r="AC113" i="5"/>
  <c r="Q113" i="5"/>
  <c r="AB113" i="5"/>
  <c r="P113" i="5"/>
  <c r="AA113" i="5"/>
  <c r="O113" i="5"/>
  <c r="Z113" i="5"/>
  <c r="N113" i="5"/>
  <c r="Y113" i="5"/>
  <c r="M113" i="5"/>
  <c r="X113" i="5"/>
  <c r="L113" i="5"/>
  <c r="W113" i="5"/>
  <c r="K113" i="5"/>
  <c r="V113" i="5"/>
  <c r="J113" i="5"/>
  <c r="S113" i="5"/>
  <c r="T113" i="5"/>
  <c r="R113" i="5"/>
  <c r="I113" i="5"/>
  <c r="H113" i="5"/>
  <c r="G113" i="5"/>
  <c r="F113" i="5"/>
  <c r="U113" i="5"/>
  <c r="AC125" i="5"/>
  <c r="AA91" i="4" s="1"/>
  <c r="Q125" i="5"/>
  <c r="O91" i="4" s="1"/>
  <c r="AB125" i="5"/>
  <c r="Z91" i="4" s="1"/>
  <c r="P125" i="5"/>
  <c r="N91" i="4" s="1"/>
  <c r="AA125" i="5"/>
  <c r="Y91" i="4" s="1"/>
  <c r="O125" i="5"/>
  <c r="M91" i="4" s="1"/>
  <c r="Z125" i="5"/>
  <c r="X91" i="4" s="1"/>
  <c r="N125" i="5"/>
  <c r="L91" i="4" s="1"/>
  <c r="Y125" i="5"/>
  <c r="W91" i="4" s="1"/>
  <c r="M125" i="5"/>
  <c r="K91" i="4" s="1"/>
  <c r="X125" i="5"/>
  <c r="V91" i="4" s="1"/>
  <c r="L125" i="5"/>
  <c r="J91" i="4" s="1"/>
  <c r="W125" i="5"/>
  <c r="U91" i="4" s="1"/>
  <c r="K125" i="5"/>
  <c r="I91" i="4" s="1"/>
  <c r="V125" i="5"/>
  <c r="T91" i="4" s="1"/>
  <c r="J125" i="5"/>
  <c r="H91" i="4" s="1"/>
  <c r="U125" i="5"/>
  <c r="S91" i="4" s="1"/>
  <c r="I125" i="5"/>
  <c r="G91" i="4" s="1"/>
  <c r="T125" i="5"/>
  <c r="R91" i="4" s="1"/>
  <c r="H125" i="5"/>
  <c r="F91" i="4" s="1"/>
  <c r="S125" i="5"/>
  <c r="Q91" i="4" s="1"/>
  <c r="G125" i="5"/>
  <c r="E91" i="4" s="1"/>
  <c r="R125" i="5"/>
  <c r="P91" i="4" s="1"/>
  <c r="F125" i="5"/>
  <c r="D91" i="4" s="1"/>
  <c r="AC137" i="5"/>
  <c r="Q137" i="5"/>
  <c r="AB137" i="5"/>
  <c r="P137" i="5"/>
  <c r="AA137" i="5"/>
  <c r="O137" i="5"/>
  <c r="Z137" i="5"/>
  <c r="N137" i="5"/>
  <c r="Y137" i="5"/>
  <c r="M137" i="5"/>
  <c r="X137" i="5"/>
  <c r="L137" i="5"/>
  <c r="W137" i="5"/>
  <c r="K137" i="5"/>
  <c r="V137" i="5"/>
  <c r="J137" i="5"/>
  <c r="U137" i="5"/>
  <c r="I137" i="5"/>
  <c r="T137" i="5"/>
  <c r="H137" i="5"/>
  <c r="S137" i="5"/>
  <c r="G137" i="5"/>
  <c r="R137" i="5"/>
  <c r="F137" i="5"/>
  <c r="AC149" i="5"/>
  <c r="Q149" i="5"/>
  <c r="AB149" i="5"/>
  <c r="P149" i="5"/>
  <c r="AA149" i="5"/>
  <c r="O149" i="5"/>
  <c r="Z149" i="5"/>
  <c r="N149" i="5"/>
  <c r="Y149" i="5"/>
  <c r="M149" i="5"/>
  <c r="X149" i="5"/>
  <c r="L149" i="5"/>
  <c r="W149" i="5"/>
  <c r="K149" i="5"/>
  <c r="V149" i="5"/>
  <c r="J149" i="5"/>
  <c r="U149" i="5"/>
  <c r="I149" i="5"/>
  <c r="T149" i="5"/>
  <c r="H149" i="5"/>
  <c r="S149" i="5"/>
  <c r="G149" i="5"/>
  <c r="R149" i="5"/>
  <c r="F149" i="5"/>
  <c r="X161" i="5"/>
  <c r="L161" i="5"/>
  <c r="W161" i="5"/>
  <c r="K161" i="5"/>
  <c r="V161" i="5"/>
  <c r="J161" i="5"/>
  <c r="U161" i="5"/>
  <c r="I161" i="5"/>
  <c r="T161" i="5"/>
  <c r="H161" i="5"/>
  <c r="S161" i="5"/>
  <c r="G161" i="5"/>
  <c r="R161" i="5"/>
  <c r="F161" i="5"/>
  <c r="AC161" i="5"/>
  <c r="Q161" i="5"/>
  <c r="AA161" i="5"/>
  <c r="O161" i="5"/>
  <c r="AB161" i="5"/>
  <c r="Z161" i="5"/>
  <c r="Y161" i="5"/>
  <c r="P161" i="5"/>
  <c r="N161" i="5"/>
  <c r="M161" i="5"/>
  <c r="X173" i="5"/>
  <c r="L173" i="5"/>
  <c r="W173" i="5"/>
  <c r="K173" i="5"/>
  <c r="V173" i="5"/>
  <c r="J173" i="5"/>
  <c r="U173" i="5"/>
  <c r="I173" i="5"/>
  <c r="T173" i="5"/>
  <c r="H173" i="5"/>
  <c r="S173" i="5"/>
  <c r="G173" i="5"/>
  <c r="R173" i="5"/>
  <c r="F173" i="5"/>
  <c r="AC173" i="5"/>
  <c r="Q173" i="5"/>
  <c r="AB173" i="5"/>
  <c r="P173" i="5"/>
  <c r="AA173" i="5"/>
  <c r="O173" i="5"/>
  <c r="Z173" i="5"/>
  <c r="N173" i="5"/>
  <c r="Y173" i="5"/>
  <c r="M173" i="5"/>
  <c r="X185" i="5"/>
  <c r="L185" i="5"/>
  <c r="W185" i="5"/>
  <c r="K185" i="5"/>
  <c r="V185" i="5"/>
  <c r="J185" i="5"/>
  <c r="U185" i="5"/>
  <c r="I185" i="5"/>
  <c r="T185" i="5"/>
  <c r="H185" i="5"/>
  <c r="S185" i="5"/>
  <c r="G185" i="5"/>
  <c r="R185" i="5"/>
  <c r="F185" i="5"/>
  <c r="AC185" i="5"/>
  <c r="Q185" i="5"/>
  <c r="AB185" i="5"/>
  <c r="P185" i="5"/>
  <c r="AA185" i="5"/>
  <c r="O185" i="5"/>
  <c r="Z185" i="5"/>
  <c r="N185" i="5"/>
  <c r="Y185" i="5"/>
  <c r="M185" i="5"/>
  <c r="X197" i="5"/>
  <c r="V139" i="4" s="1"/>
  <c r="L197" i="5"/>
  <c r="J139" i="4" s="1"/>
  <c r="W197" i="5"/>
  <c r="U139" i="4" s="1"/>
  <c r="K197" i="5"/>
  <c r="I139" i="4" s="1"/>
  <c r="V197" i="5"/>
  <c r="T139" i="4" s="1"/>
  <c r="J197" i="5"/>
  <c r="H139" i="4" s="1"/>
  <c r="U197" i="5"/>
  <c r="S139" i="4" s="1"/>
  <c r="I197" i="5"/>
  <c r="G139" i="4" s="1"/>
  <c r="T197" i="5"/>
  <c r="R139" i="4" s="1"/>
  <c r="H197" i="5"/>
  <c r="F139" i="4" s="1"/>
  <c r="S197" i="5"/>
  <c r="Q139" i="4" s="1"/>
  <c r="G197" i="5"/>
  <c r="E139" i="4" s="1"/>
  <c r="R197" i="5"/>
  <c r="P139" i="4" s="1"/>
  <c r="F197" i="5"/>
  <c r="D139" i="4" s="1"/>
  <c r="AC197" i="5"/>
  <c r="AA139" i="4" s="1"/>
  <c r="Q197" i="5"/>
  <c r="O139" i="4" s="1"/>
  <c r="AB197" i="5"/>
  <c r="Z139" i="4" s="1"/>
  <c r="P197" i="5"/>
  <c r="N139" i="4" s="1"/>
  <c r="AA197" i="5"/>
  <c r="Y139" i="4" s="1"/>
  <c r="O197" i="5"/>
  <c r="M139" i="4" s="1"/>
  <c r="Z197" i="5"/>
  <c r="X139" i="4" s="1"/>
  <c r="N197" i="5"/>
  <c r="L139" i="4" s="1"/>
  <c r="Y197" i="5"/>
  <c r="W139" i="4" s="1"/>
  <c r="M197" i="5"/>
  <c r="K139" i="4" s="1"/>
  <c r="T209" i="5"/>
  <c r="H209" i="5"/>
  <c r="S209" i="5"/>
  <c r="G209" i="5"/>
  <c r="R209" i="5"/>
  <c r="F209" i="5"/>
  <c r="AC209" i="5"/>
  <c r="Q209" i="5"/>
  <c r="AB209" i="5"/>
  <c r="P209" i="5"/>
  <c r="AA209" i="5"/>
  <c r="O209" i="5"/>
  <c r="Z209" i="5"/>
  <c r="N209" i="5"/>
  <c r="U209" i="5"/>
  <c r="M209" i="5"/>
  <c r="L209" i="5"/>
  <c r="K209" i="5"/>
  <c r="J209" i="5"/>
  <c r="I209" i="5"/>
  <c r="Y209" i="5"/>
  <c r="X209" i="5"/>
  <c r="W209" i="5"/>
  <c r="V209" i="5"/>
  <c r="T221" i="5"/>
  <c r="R197" i="4" s="1"/>
  <c r="H221" i="5"/>
  <c r="F197" i="4" s="1"/>
  <c r="S221" i="5"/>
  <c r="Q197" i="4" s="1"/>
  <c r="G221" i="5"/>
  <c r="E197" i="4" s="1"/>
  <c r="R221" i="5"/>
  <c r="P197" i="4" s="1"/>
  <c r="F221" i="5"/>
  <c r="D197" i="4" s="1"/>
  <c r="AC221" i="5"/>
  <c r="AA197" i="4" s="1"/>
  <c r="Q221" i="5"/>
  <c r="O197" i="4" s="1"/>
  <c r="AB221" i="5"/>
  <c r="Z197" i="4" s="1"/>
  <c r="P221" i="5"/>
  <c r="N197" i="4" s="1"/>
  <c r="AA221" i="5"/>
  <c r="Y197" i="4" s="1"/>
  <c r="O221" i="5"/>
  <c r="M197" i="4" s="1"/>
  <c r="Z221" i="5"/>
  <c r="X197" i="4" s="1"/>
  <c r="N221" i="5"/>
  <c r="L197" i="4" s="1"/>
  <c r="Y221" i="5"/>
  <c r="W197" i="4" s="1"/>
  <c r="M221" i="5"/>
  <c r="K197" i="4" s="1"/>
  <c r="X221" i="5"/>
  <c r="V197" i="4" s="1"/>
  <c r="L221" i="5"/>
  <c r="J197" i="4" s="1"/>
  <c r="W221" i="5"/>
  <c r="U197" i="4" s="1"/>
  <c r="K221" i="5"/>
  <c r="I197" i="4" s="1"/>
  <c r="V221" i="5"/>
  <c r="T197" i="4" s="1"/>
  <c r="J221" i="5"/>
  <c r="H197" i="4" s="1"/>
  <c r="U221" i="5"/>
  <c r="S197" i="4" s="1"/>
  <c r="I221" i="5"/>
  <c r="G197" i="4" s="1"/>
  <c r="T233" i="5"/>
  <c r="R199" i="4" s="1"/>
  <c r="H233" i="5"/>
  <c r="F199" i="4" s="1"/>
  <c r="S233" i="5"/>
  <c r="Q199" i="4" s="1"/>
  <c r="G233" i="5"/>
  <c r="E199" i="4" s="1"/>
  <c r="R233" i="5"/>
  <c r="P199" i="4" s="1"/>
  <c r="F233" i="5"/>
  <c r="D199" i="4" s="1"/>
  <c r="AC233" i="5"/>
  <c r="AA199" i="4" s="1"/>
  <c r="Q233" i="5"/>
  <c r="O199" i="4" s="1"/>
  <c r="AB233" i="5"/>
  <c r="Z199" i="4" s="1"/>
  <c r="P233" i="5"/>
  <c r="N199" i="4" s="1"/>
  <c r="AA233" i="5"/>
  <c r="Y199" i="4" s="1"/>
  <c r="O233" i="5"/>
  <c r="M199" i="4" s="1"/>
  <c r="Z233" i="5"/>
  <c r="X199" i="4" s="1"/>
  <c r="N233" i="5"/>
  <c r="L199" i="4" s="1"/>
  <c r="Y233" i="5"/>
  <c r="W199" i="4" s="1"/>
  <c r="M233" i="5"/>
  <c r="K199" i="4" s="1"/>
  <c r="X233" i="5"/>
  <c r="V199" i="4" s="1"/>
  <c r="L233" i="5"/>
  <c r="J199" i="4" s="1"/>
  <c r="W233" i="5"/>
  <c r="U199" i="4" s="1"/>
  <c r="K233" i="5"/>
  <c r="I199" i="4" s="1"/>
  <c r="V233" i="5"/>
  <c r="T199" i="4" s="1"/>
  <c r="J233" i="5"/>
  <c r="H199" i="4" s="1"/>
  <c r="U233" i="5"/>
  <c r="S199" i="4" s="1"/>
  <c r="I233" i="5"/>
  <c r="G199" i="4" s="1"/>
  <c r="T246" i="5"/>
  <c r="H246" i="5"/>
  <c r="S246" i="5"/>
  <c r="G246" i="5"/>
  <c r="R246" i="5"/>
  <c r="F246" i="5"/>
  <c r="AC246" i="5"/>
  <c r="Q246" i="5"/>
  <c r="AB246" i="5"/>
  <c r="P246" i="5"/>
  <c r="AA246" i="5"/>
  <c r="O246" i="5"/>
  <c r="Z246" i="5"/>
  <c r="N246" i="5"/>
  <c r="Y246" i="5"/>
  <c r="M246" i="5"/>
  <c r="X246" i="5"/>
  <c r="L246" i="5"/>
  <c r="W246" i="5"/>
  <c r="K246" i="5"/>
  <c r="V246" i="5"/>
  <c r="J246" i="5"/>
  <c r="U246" i="5"/>
  <c r="I246" i="5"/>
  <c r="S258" i="5"/>
  <c r="G258" i="5"/>
  <c r="R258" i="5"/>
  <c r="F258" i="5"/>
  <c r="AC258" i="5"/>
  <c r="Q258" i="5"/>
  <c r="AB258" i="5"/>
  <c r="P258" i="5"/>
  <c r="AA258" i="5"/>
  <c r="O258" i="5"/>
  <c r="Z258" i="5"/>
  <c r="N258" i="5"/>
  <c r="X258" i="5"/>
  <c r="L258" i="5"/>
  <c r="V258" i="5"/>
  <c r="U258" i="5"/>
  <c r="T258" i="5"/>
  <c r="M258" i="5"/>
  <c r="K258" i="5"/>
  <c r="J258" i="5"/>
  <c r="I258" i="5"/>
  <c r="H258" i="5"/>
  <c r="Y258" i="5"/>
  <c r="W258" i="5"/>
  <c r="S270" i="5"/>
  <c r="Q218" i="4" s="1"/>
  <c r="G270" i="5"/>
  <c r="E218" i="4" s="1"/>
  <c r="R270" i="5"/>
  <c r="P218" i="4" s="1"/>
  <c r="F270" i="5"/>
  <c r="D218" i="4" s="1"/>
  <c r="AC270" i="5"/>
  <c r="AA218" i="4" s="1"/>
  <c r="Q270" i="5"/>
  <c r="O218" i="4" s="1"/>
  <c r="AB270" i="5"/>
  <c r="Z218" i="4" s="1"/>
  <c r="P270" i="5"/>
  <c r="N218" i="4" s="1"/>
  <c r="AA270" i="5"/>
  <c r="Y218" i="4" s="1"/>
  <c r="O270" i="5"/>
  <c r="M218" i="4" s="1"/>
  <c r="Z270" i="5"/>
  <c r="X218" i="4" s="1"/>
  <c r="N270" i="5"/>
  <c r="L218" i="4" s="1"/>
  <c r="Y270" i="5"/>
  <c r="W218" i="4" s="1"/>
  <c r="M270" i="5"/>
  <c r="K218" i="4" s="1"/>
  <c r="X270" i="5"/>
  <c r="V218" i="4" s="1"/>
  <c r="L270" i="5"/>
  <c r="J218" i="4" s="1"/>
  <c r="W270" i="5"/>
  <c r="U218" i="4" s="1"/>
  <c r="K270" i="5"/>
  <c r="I218" i="4" s="1"/>
  <c r="V270" i="5"/>
  <c r="T218" i="4" s="1"/>
  <c r="J270" i="5"/>
  <c r="H218" i="4" s="1"/>
  <c r="U270" i="5"/>
  <c r="S218" i="4" s="1"/>
  <c r="I270" i="5"/>
  <c r="G218" i="4" s="1"/>
  <c r="T270" i="5"/>
  <c r="R218" i="4" s="1"/>
  <c r="H270" i="5"/>
  <c r="F218" i="4" s="1"/>
  <c r="S282" i="5"/>
  <c r="Q7" i="3" s="1"/>
  <c r="G282" i="5"/>
  <c r="E7" i="3" s="1"/>
  <c r="R282" i="5"/>
  <c r="F282" i="5"/>
  <c r="D7" i="3" s="1"/>
  <c r="AC282" i="5"/>
  <c r="AA7" i="3" s="1"/>
  <c r="Q282" i="5"/>
  <c r="O7" i="3" s="1"/>
  <c r="AB282" i="5"/>
  <c r="Z7" i="3" s="1"/>
  <c r="P282" i="5"/>
  <c r="N7" i="3" s="1"/>
  <c r="AA282" i="5"/>
  <c r="Y7" i="3" s="1"/>
  <c r="O282" i="5"/>
  <c r="M7" i="3" s="1"/>
  <c r="Z282" i="5"/>
  <c r="X7" i="3" s="1"/>
  <c r="N282" i="5"/>
  <c r="L7" i="3" s="1"/>
  <c r="Y282" i="5"/>
  <c r="W7" i="3" s="1"/>
  <c r="M282" i="5"/>
  <c r="K7" i="3" s="1"/>
  <c r="X282" i="5"/>
  <c r="V7" i="3" s="1"/>
  <c r="L282" i="5"/>
  <c r="J7" i="3" s="1"/>
  <c r="W282" i="5"/>
  <c r="U7" i="3" s="1"/>
  <c r="K282" i="5"/>
  <c r="I7" i="3" s="1"/>
  <c r="V282" i="5"/>
  <c r="T7" i="3" s="1"/>
  <c r="J282" i="5"/>
  <c r="H7" i="3" s="1"/>
  <c r="U282" i="5"/>
  <c r="S7" i="3" s="1"/>
  <c r="I282" i="5"/>
  <c r="G7" i="3" s="1"/>
  <c r="T282" i="5"/>
  <c r="R7" i="3" s="1"/>
  <c r="H282" i="5"/>
  <c r="F7" i="3" s="1"/>
  <c r="S294" i="5"/>
  <c r="G294" i="5"/>
  <c r="R294" i="5"/>
  <c r="F294" i="5"/>
  <c r="AC294" i="5"/>
  <c r="Q294" i="5"/>
  <c r="AB294" i="5"/>
  <c r="P294" i="5"/>
  <c r="AA294" i="5"/>
  <c r="O294" i="5"/>
  <c r="Z294" i="5"/>
  <c r="N294" i="5"/>
  <c r="Y294" i="5"/>
  <c r="M294" i="5"/>
  <c r="X294" i="5"/>
  <c r="L294" i="5"/>
  <c r="W294" i="5"/>
  <c r="K294" i="5"/>
  <c r="V294" i="5"/>
  <c r="J294" i="5"/>
  <c r="U294" i="5"/>
  <c r="I294" i="5"/>
  <c r="T294" i="5"/>
  <c r="H294" i="5"/>
  <c r="V306" i="5"/>
  <c r="J306" i="5"/>
  <c r="U306" i="5"/>
  <c r="I306" i="5"/>
  <c r="T306" i="5"/>
  <c r="H306" i="5"/>
  <c r="S306" i="5"/>
  <c r="G306" i="5"/>
  <c r="R306" i="5"/>
  <c r="F306" i="5"/>
  <c r="AC306" i="5"/>
  <c r="Q306" i="5"/>
  <c r="AB306" i="5"/>
  <c r="P306" i="5"/>
  <c r="AA306" i="5"/>
  <c r="O306" i="5"/>
  <c r="Z306" i="5"/>
  <c r="N306" i="5"/>
  <c r="Y306" i="5"/>
  <c r="M306" i="5"/>
  <c r="X306" i="5"/>
  <c r="L306" i="5"/>
  <c r="W306" i="5"/>
  <c r="K306" i="5"/>
  <c r="V318" i="5"/>
  <c r="T16" i="3" s="1"/>
  <c r="J318" i="5"/>
  <c r="H16" i="3" s="1"/>
  <c r="U318" i="5"/>
  <c r="S16" i="3" s="1"/>
  <c r="I318" i="5"/>
  <c r="G16" i="3" s="1"/>
  <c r="T318" i="5"/>
  <c r="R16" i="3" s="1"/>
  <c r="H318" i="5"/>
  <c r="F16" i="3" s="1"/>
  <c r="S318" i="5"/>
  <c r="Q16" i="3" s="1"/>
  <c r="G318" i="5"/>
  <c r="E16" i="3" s="1"/>
  <c r="R318" i="5"/>
  <c r="P16" i="3" s="1"/>
  <c r="F318" i="5"/>
  <c r="D16" i="3" s="1"/>
  <c r="AC318" i="5"/>
  <c r="AA16" i="3" s="1"/>
  <c r="Q318" i="5"/>
  <c r="O16" i="3" s="1"/>
  <c r="AB318" i="5"/>
  <c r="Z16" i="3" s="1"/>
  <c r="P318" i="5"/>
  <c r="N16" i="3" s="1"/>
  <c r="AA318" i="5"/>
  <c r="Y16" i="3" s="1"/>
  <c r="O318" i="5"/>
  <c r="M16" i="3" s="1"/>
  <c r="Z318" i="5"/>
  <c r="X16" i="3" s="1"/>
  <c r="N318" i="5"/>
  <c r="L16" i="3" s="1"/>
  <c r="Y318" i="5"/>
  <c r="W16" i="3" s="1"/>
  <c r="M318" i="5"/>
  <c r="K16" i="3" s="1"/>
  <c r="X318" i="5"/>
  <c r="V16" i="3" s="1"/>
  <c r="L318" i="5"/>
  <c r="J16" i="3" s="1"/>
  <c r="W318" i="5"/>
  <c r="U16" i="3" s="1"/>
  <c r="K318" i="5"/>
  <c r="I16" i="3" s="1"/>
  <c r="T53" i="3"/>
  <c r="H53" i="3"/>
  <c r="S53" i="3"/>
  <c r="G53" i="3"/>
  <c r="R53" i="3"/>
  <c r="F53" i="3"/>
  <c r="Q53" i="3"/>
  <c r="E53" i="3"/>
  <c r="P53" i="3"/>
  <c r="D53" i="3"/>
  <c r="AA53" i="3"/>
  <c r="O53" i="3"/>
  <c r="Z53" i="3"/>
  <c r="N53" i="3"/>
  <c r="Y53" i="3"/>
  <c r="M53" i="3"/>
  <c r="X53" i="3"/>
  <c r="L53" i="3"/>
  <c r="W53" i="3"/>
  <c r="K53" i="3"/>
  <c r="V53" i="3"/>
  <c r="J53" i="3"/>
  <c r="U53" i="3"/>
  <c r="I53" i="3"/>
  <c r="U343" i="5"/>
  <c r="I343" i="5"/>
  <c r="T343" i="5"/>
  <c r="H343" i="5"/>
  <c r="S343" i="5"/>
  <c r="G343" i="5"/>
  <c r="R343" i="5"/>
  <c r="F343" i="5"/>
  <c r="AC343" i="5"/>
  <c r="Q343" i="5"/>
  <c r="AB343" i="5"/>
  <c r="P343" i="5"/>
  <c r="Z343" i="5"/>
  <c r="Y343" i="5"/>
  <c r="X343" i="5"/>
  <c r="W343" i="5"/>
  <c r="V343" i="5"/>
  <c r="O343" i="5"/>
  <c r="N343" i="5"/>
  <c r="M343" i="5"/>
  <c r="L343" i="5"/>
  <c r="K343" i="5"/>
  <c r="J343" i="5"/>
  <c r="AA343" i="5"/>
  <c r="U355" i="5"/>
  <c r="S26" i="3" s="1"/>
  <c r="I355" i="5"/>
  <c r="G26" i="3" s="1"/>
  <c r="T355" i="5"/>
  <c r="R26" i="3" s="1"/>
  <c r="H355" i="5"/>
  <c r="F26" i="3" s="1"/>
  <c r="S355" i="5"/>
  <c r="Q26" i="3" s="1"/>
  <c r="G355" i="5"/>
  <c r="E26" i="3" s="1"/>
  <c r="R355" i="5"/>
  <c r="F355" i="5"/>
  <c r="D26" i="3" s="1"/>
  <c r="AC355" i="5"/>
  <c r="AA26" i="3" s="1"/>
  <c r="Q355" i="5"/>
  <c r="O26" i="3" s="1"/>
  <c r="AB355" i="5"/>
  <c r="Z26" i="3" s="1"/>
  <c r="P355" i="5"/>
  <c r="N26" i="3" s="1"/>
  <c r="AA355" i="5"/>
  <c r="Y26" i="3" s="1"/>
  <c r="O355" i="5"/>
  <c r="M26" i="3" s="1"/>
  <c r="Z355" i="5"/>
  <c r="X26" i="3" s="1"/>
  <c r="N355" i="5"/>
  <c r="L26" i="3" s="1"/>
  <c r="X355" i="5"/>
  <c r="V26" i="3" s="1"/>
  <c r="L355" i="5"/>
  <c r="J26" i="3" s="1"/>
  <c r="W355" i="5"/>
  <c r="U26" i="3" s="1"/>
  <c r="K355" i="5"/>
  <c r="I26" i="3" s="1"/>
  <c r="Y355" i="5"/>
  <c r="W26" i="3" s="1"/>
  <c r="V355" i="5"/>
  <c r="T26" i="3" s="1"/>
  <c r="M355" i="5"/>
  <c r="K26" i="3" s="1"/>
  <c r="J355" i="5"/>
  <c r="H26" i="3" s="1"/>
  <c r="U367" i="5"/>
  <c r="I367" i="5"/>
  <c r="T367" i="5"/>
  <c r="H367" i="5"/>
  <c r="S367" i="5"/>
  <c r="G367" i="5"/>
  <c r="R367" i="5"/>
  <c r="F367" i="5"/>
  <c r="AC367" i="5"/>
  <c r="Q367" i="5"/>
  <c r="AB367" i="5"/>
  <c r="P367" i="5"/>
  <c r="AA367" i="5"/>
  <c r="O367" i="5"/>
  <c r="Z367" i="5"/>
  <c r="N367" i="5"/>
  <c r="Y367" i="5"/>
  <c r="M367" i="5"/>
  <c r="X367" i="5"/>
  <c r="L367" i="5"/>
  <c r="W367" i="5"/>
  <c r="K367" i="5"/>
  <c r="V367" i="5"/>
  <c r="J367" i="5"/>
  <c r="U379" i="5"/>
  <c r="I379" i="5"/>
  <c r="T379" i="5"/>
  <c r="H379" i="5"/>
  <c r="S379" i="5"/>
  <c r="G379" i="5"/>
  <c r="R379" i="5"/>
  <c r="F379" i="5"/>
  <c r="AC379" i="5"/>
  <c r="Q379" i="5"/>
  <c r="AB379" i="5"/>
  <c r="P379" i="5"/>
  <c r="AA379" i="5"/>
  <c r="O379" i="5"/>
  <c r="Z379" i="5"/>
  <c r="N379" i="5"/>
  <c r="Y379" i="5"/>
  <c r="M379" i="5"/>
  <c r="X379" i="5"/>
  <c r="L379" i="5"/>
  <c r="W379" i="5"/>
  <c r="K379" i="5"/>
  <c r="V379" i="5"/>
  <c r="J379" i="5"/>
  <c r="Z391" i="5"/>
  <c r="X110" i="3" s="1"/>
  <c r="N391" i="5"/>
  <c r="L110" i="3" s="1"/>
  <c r="Y391" i="5"/>
  <c r="W110" i="3" s="1"/>
  <c r="M391" i="5"/>
  <c r="K110" i="3" s="1"/>
  <c r="X391" i="5"/>
  <c r="V110" i="3" s="1"/>
  <c r="L391" i="5"/>
  <c r="J110" i="3" s="1"/>
  <c r="W391" i="5"/>
  <c r="U110" i="3" s="1"/>
  <c r="K391" i="5"/>
  <c r="I110" i="3" s="1"/>
  <c r="V391" i="5"/>
  <c r="T110" i="3" s="1"/>
  <c r="J391" i="5"/>
  <c r="H110" i="3" s="1"/>
  <c r="U391" i="5"/>
  <c r="S110" i="3" s="1"/>
  <c r="I391" i="5"/>
  <c r="G110" i="3" s="1"/>
  <c r="S391" i="5"/>
  <c r="Q110" i="3" s="1"/>
  <c r="G391" i="5"/>
  <c r="E110" i="3" s="1"/>
  <c r="R391" i="5"/>
  <c r="AC391" i="5"/>
  <c r="AA110" i="3" s="1"/>
  <c r="AB391" i="5"/>
  <c r="Z110" i="3" s="1"/>
  <c r="AA391" i="5"/>
  <c r="Y110" i="3" s="1"/>
  <c r="T391" i="5"/>
  <c r="R110" i="3" s="1"/>
  <c r="Q391" i="5"/>
  <c r="O110" i="3" s="1"/>
  <c r="P391" i="5"/>
  <c r="N110" i="3" s="1"/>
  <c r="O391" i="5"/>
  <c r="M110" i="3" s="1"/>
  <c r="H391" i="5"/>
  <c r="F110" i="3" s="1"/>
  <c r="F391" i="5"/>
  <c r="D110" i="3" s="1"/>
  <c r="Z403" i="5"/>
  <c r="X88" i="3" s="1"/>
  <c r="N403" i="5"/>
  <c r="L88" i="3" s="1"/>
  <c r="Y403" i="5"/>
  <c r="W88" i="3" s="1"/>
  <c r="M403" i="5"/>
  <c r="K88" i="3" s="1"/>
  <c r="X403" i="5"/>
  <c r="V88" i="3" s="1"/>
  <c r="L403" i="5"/>
  <c r="J88" i="3" s="1"/>
  <c r="W403" i="5"/>
  <c r="U88" i="3" s="1"/>
  <c r="K403" i="5"/>
  <c r="I88" i="3" s="1"/>
  <c r="V403" i="5"/>
  <c r="T88" i="3" s="1"/>
  <c r="J403" i="5"/>
  <c r="H88" i="3" s="1"/>
  <c r="U403" i="5"/>
  <c r="S88" i="3" s="1"/>
  <c r="I403" i="5"/>
  <c r="G88" i="3" s="1"/>
  <c r="T403" i="5"/>
  <c r="R88" i="3" s="1"/>
  <c r="H403" i="5"/>
  <c r="F88" i="3" s="1"/>
  <c r="S403" i="5"/>
  <c r="Q88" i="3" s="1"/>
  <c r="G403" i="5"/>
  <c r="E88" i="3" s="1"/>
  <c r="R403" i="5"/>
  <c r="F403" i="5"/>
  <c r="D88" i="3" s="1"/>
  <c r="AC403" i="5"/>
  <c r="AA88" i="3" s="1"/>
  <c r="Q403" i="5"/>
  <c r="O88" i="3" s="1"/>
  <c r="AB403" i="5"/>
  <c r="Z88" i="3" s="1"/>
  <c r="P403" i="5"/>
  <c r="N88" i="3" s="1"/>
  <c r="AA403" i="5"/>
  <c r="Y88" i="3" s="1"/>
  <c r="O403" i="5"/>
  <c r="M88" i="3" s="1"/>
  <c r="Z415" i="5"/>
  <c r="X96" i="3" s="1"/>
  <c r="N415" i="5"/>
  <c r="L96" i="3" s="1"/>
  <c r="Y415" i="5"/>
  <c r="W96" i="3" s="1"/>
  <c r="M415" i="5"/>
  <c r="K96" i="3" s="1"/>
  <c r="X415" i="5"/>
  <c r="V96" i="3" s="1"/>
  <c r="L415" i="5"/>
  <c r="J96" i="3" s="1"/>
  <c r="W415" i="5"/>
  <c r="U96" i="3" s="1"/>
  <c r="K415" i="5"/>
  <c r="I96" i="3" s="1"/>
  <c r="V415" i="5"/>
  <c r="T96" i="3" s="1"/>
  <c r="J415" i="5"/>
  <c r="H96" i="3" s="1"/>
  <c r="U415" i="5"/>
  <c r="S96" i="3" s="1"/>
  <c r="I415" i="5"/>
  <c r="G96" i="3" s="1"/>
  <c r="T415" i="5"/>
  <c r="R96" i="3" s="1"/>
  <c r="H415" i="5"/>
  <c r="F96" i="3" s="1"/>
  <c r="S415" i="5"/>
  <c r="Q96" i="3" s="1"/>
  <c r="G415" i="5"/>
  <c r="E96" i="3" s="1"/>
  <c r="R415" i="5"/>
  <c r="F415" i="5"/>
  <c r="D96" i="3" s="1"/>
  <c r="AC415" i="5"/>
  <c r="AA96" i="3" s="1"/>
  <c r="Q415" i="5"/>
  <c r="O96" i="3" s="1"/>
  <c r="AB415" i="5"/>
  <c r="Z96" i="3" s="1"/>
  <c r="P415" i="5"/>
  <c r="N96" i="3" s="1"/>
  <c r="AA415" i="5"/>
  <c r="Y96" i="3" s="1"/>
  <c r="O415" i="5"/>
  <c r="M96" i="3" s="1"/>
  <c r="Z427" i="5"/>
  <c r="X115" i="3" s="1"/>
  <c r="N427" i="5"/>
  <c r="L115" i="3" s="1"/>
  <c r="Y427" i="5"/>
  <c r="W115" i="3" s="1"/>
  <c r="M427" i="5"/>
  <c r="K115" i="3" s="1"/>
  <c r="X427" i="5"/>
  <c r="V115" i="3" s="1"/>
  <c r="L427" i="5"/>
  <c r="J115" i="3" s="1"/>
  <c r="W427" i="5"/>
  <c r="U115" i="3" s="1"/>
  <c r="K427" i="5"/>
  <c r="I115" i="3" s="1"/>
  <c r="V427" i="5"/>
  <c r="T115" i="3" s="1"/>
  <c r="J427" i="5"/>
  <c r="H115" i="3" s="1"/>
  <c r="U427" i="5"/>
  <c r="S115" i="3" s="1"/>
  <c r="I427" i="5"/>
  <c r="G115" i="3" s="1"/>
  <c r="T427" i="5"/>
  <c r="R115" i="3" s="1"/>
  <c r="H427" i="5"/>
  <c r="F115" i="3" s="1"/>
  <c r="R427" i="5"/>
  <c r="F427" i="5"/>
  <c r="D115" i="3" s="1"/>
  <c r="Q427" i="5"/>
  <c r="O115" i="3" s="1"/>
  <c r="P427" i="5"/>
  <c r="N115" i="3" s="1"/>
  <c r="O427" i="5"/>
  <c r="M115" i="3" s="1"/>
  <c r="G427" i="5"/>
  <c r="E115" i="3" s="1"/>
  <c r="AC427" i="5"/>
  <c r="AA115" i="3" s="1"/>
  <c r="AB427" i="5"/>
  <c r="Z115" i="3" s="1"/>
  <c r="AA427" i="5"/>
  <c r="Y115" i="3" s="1"/>
  <c r="S427" i="5"/>
  <c r="Q115" i="3" s="1"/>
  <c r="Z439" i="5"/>
  <c r="X97" i="3" s="1"/>
  <c r="N439" i="5"/>
  <c r="L97" i="3" s="1"/>
  <c r="Y439" i="5"/>
  <c r="W97" i="3" s="1"/>
  <c r="M439" i="5"/>
  <c r="K97" i="3" s="1"/>
  <c r="X439" i="5"/>
  <c r="V97" i="3" s="1"/>
  <c r="L439" i="5"/>
  <c r="J97" i="3" s="1"/>
  <c r="W439" i="5"/>
  <c r="U97" i="3" s="1"/>
  <c r="K439" i="5"/>
  <c r="I97" i="3" s="1"/>
  <c r="V439" i="5"/>
  <c r="T97" i="3" s="1"/>
  <c r="J439" i="5"/>
  <c r="H97" i="3" s="1"/>
  <c r="U439" i="5"/>
  <c r="S97" i="3" s="1"/>
  <c r="I439" i="5"/>
  <c r="G97" i="3" s="1"/>
  <c r="T439" i="5"/>
  <c r="R97" i="3" s="1"/>
  <c r="H439" i="5"/>
  <c r="F97" i="3" s="1"/>
  <c r="S439" i="5"/>
  <c r="Q97" i="3" s="1"/>
  <c r="G439" i="5"/>
  <c r="E97" i="3" s="1"/>
  <c r="R439" i="5"/>
  <c r="P97" i="3" s="1"/>
  <c r="F439" i="5"/>
  <c r="D97" i="3" s="1"/>
  <c r="AC439" i="5"/>
  <c r="AA97" i="3" s="1"/>
  <c r="Q439" i="5"/>
  <c r="O97" i="3" s="1"/>
  <c r="AB439" i="5"/>
  <c r="Z97" i="3" s="1"/>
  <c r="P439" i="5"/>
  <c r="N97" i="3" s="1"/>
  <c r="AA439" i="5"/>
  <c r="Y97" i="3" s="1"/>
  <c r="O439" i="5"/>
  <c r="M97" i="3" s="1"/>
  <c r="Z451" i="5"/>
  <c r="N451" i="5"/>
  <c r="Y451" i="5"/>
  <c r="M451" i="5"/>
  <c r="X451" i="5"/>
  <c r="L451" i="5"/>
  <c r="W451" i="5"/>
  <c r="K451" i="5"/>
  <c r="V451" i="5"/>
  <c r="J451" i="5"/>
  <c r="U451" i="5"/>
  <c r="I451" i="5"/>
  <c r="T451" i="5"/>
  <c r="H451" i="5"/>
  <c r="S451" i="5"/>
  <c r="G451" i="5"/>
  <c r="R451" i="5"/>
  <c r="F451" i="5"/>
  <c r="AC451" i="5"/>
  <c r="Q451" i="5"/>
  <c r="AB451" i="5"/>
  <c r="P451" i="5"/>
  <c r="AA451" i="5"/>
  <c r="O451" i="5"/>
  <c r="AA463" i="5"/>
  <c r="Y142" i="3" s="1"/>
  <c r="O463" i="5"/>
  <c r="M142" i="3" s="1"/>
  <c r="Z463" i="5"/>
  <c r="X142" i="3" s="1"/>
  <c r="N463" i="5"/>
  <c r="L142" i="3" s="1"/>
  <c r="Y463" i="5"/>
  <c r="W142" i="3" s="1"/>
  <c r="M463" i="5"/>
  <c r="X463" i="5"/>
  <c r="V142" i="3" s="1"/>
  <c r="L463" i="5"/>
  <c r="J142" i="3" s="1"/>
  <c r="W463" i="5"/>
  <c r="U142" i="3" s="1"/>
  <c r="K463" i="5"/>
  <c r="I142" i="3" s="1"/>
  <c r="V463" i="5"/>
  <c r="T142" i="3" s="1"/>
  <c r="J463" i="5"/>
  <c r="H142" i="3" s="1"/>
  <c r="U463" i="5"/>
  <c r="S142" i="3" s="1"/>
  <c r="I463" i="5"/>
  <c r="G142" i="3" s="1"/>
  <c r="T463" i="5"/>
  <c r="R142" i="3" s="1"/>
  <c r="H463" i="5"/>
  <c r="F142" i="3" s="1"/>
  <c r="R463" i="5"/>
  <c r="F463" i="5"/>
  <c r="D142" i="3" s="1"/>
  <c r="AC463" i="5"/>
  <c r="AA142" i="3" s="1"/>
  <c r="AB463" i="5"/>
  <c r="Z142" i="3" s="1"/>
  <c r="S463" i="5"/>
  <c r="Q142" i="3" s="1"/>
  <c r="Q463" i="5"/>
  <c r="O142" i="3" s="1"/>
  <c r="P463" i="5"/>
  <c r="N142" i="3" s="1"/>
  <c r="G463" i="5"/>
  <c r="E142" i="3" s="1"/>
  <c r="AA475" i="5"/>
  <c r="Y64" i="3" s="1"/>
  <c r="O475" i="5"/>
  <c r="M64" i="3" s="1"/>
  <c r="Z475" i="5"/>
  <c r="X64" i="3" s="1"/>
  <c r="N475" i="5"/>
  <c r="L64" i="3" s="1"/>
  <c r="Y475" i="5"/>
  <c r="W64" i="3" s="1"/>
  <c r="M475" i="5"/>
  <c r="K64" i="3" s="1"/>
  <c r="X475" i="5"/>
  <c r="V64" i="3" s="1"/>
  <c r="L475" i="5"/>
  <c r="J64" i="3" s="1"/>
  <c r="W475" i="5"/>
  <c r="U64" i="3" s="1"/>
  <c r="K475" i="5"/>
  <c r="I64" i="3" s="1"/>
  <c r="V475" i="5"/>
  <c r="T64" i="3" s="1"/>
  <c r="J475" i="5"/>
  <c r="H64" i="3" s="1"/>
  <c r="U475" i="5"/>
  <c r="S64" i="3" s="1"/>
  <c r="I475" i="5"/>
  <c r="G64" i="3" s="1"/>
  <c r="T475" i="5"/>
  <c r="R64" i="3" s="1"/>
  <c r="H475" i="5"/>
  <c r="F64" i="3" s="1"/>
  <c r="S475" i="5"/>
  <c r="Q64" i="3" s="1"/>
  <c r="G475" i="5"/>
  <c r="E64" i="3" s="1"/>
  <c r="R475" i="5"/>
  <c r="F475" i="5"/>
  <c r="D64" i="3" s="1"/>
  <c r="AC475" i="5"/>
  <c r="AA64" i="3" s="1"/>
  <c r="Q475" i="5"/>
  <c r="O64" i="3" s="1"/>
  <c r="AB475" i="5"/>
  <c r="Z64" i="3" s="1"/>
  <c r="P475" i="5"/>
  <c r="N64" i="3" s="1"/>
  <c r="AA487" i="5"/>
  <c r="Y69" i="3" s="1"/>
  <c r="O487" i="5"/>
  <c r="M69" i="3" s="1"/>
  <c r="Z487" i="5"/>
  <c r="X69" i="3" s="1"/>
  <c r="N487" i="5"/>
  <c r="L69" i="3" s="1"/>
  <c r="Y487" i="5"/>
  <c r="W69" i="3" s="1"/>
  <c r="M487" i="5"/>
  <c r="K69" i="3" s="1"/>
  <c r="X487" i="5"/>
  <c r="V69" i="3" s="1"/>
  <c r="L487" i="5"/>
  <c r="J69" i="3" s="1"/>
  <c r="W487" i="5"/>
  <c r="U69" i="3" s="1"/>
  <c r="K487" i="5"/>
  <c r="I69" i="3" s="1"/>
  <c r="V487" i="5"/>
  <c r="T69" i="3" s="1"/>
  <c r="J487" i="5"/>
  <c r="H69" i="3" s="1"/>
  <c r="U487" i="5"/>
  <c r="S69" i="3" s="1"/>
  <c r="I487" i="5"/>
  <c r="G69" i="3" s="1"/>
  <c r="T487" i="5"/>
  <c r="R69" i="3" s="1"/>
  <c r="H487" i="5"/>
  <c r="F69" i="3" s="1"/>
  <c r="S487" i="5"/>
  <c r="Q69" i="3" s="1"/>
  <c r="G487" i="5"/>
  <c r="E69" i="3" s="1"/>
  <c r="R487" i="5"/>
  <c r="F487" i="5"/>
  <c r="D69" i="3" s="1"/>
  <c r="AC487" i="5"/>
  <c r="AA69" i="3" s="1"/>
  <c r="Q487" i="5"/>
  <c r="O69" i="3" s="1"/>
  <c r="AB487" i="5"/>
  <c r="Z69" i="3" s="1"/>
  <c r="P487" i="5"/>
  <c r="N69" i="3" s="1"/>
  <c r="T499" i="5"/>
  <c r="R130" i="3" s="1"/>
  <c r="H499" i="5"/>
  <c r="F130" i="3" s="1"/>
  <c r="S499" i="5"/>
  <c r="Q130" i="3" s="1"/>
  <c r="G499" i="5"/>
  <c r="E130" i="3" s="1"/>
  <c r="R499" i="5"/>
  <c r="F499" i="5"/>
  <c r="D130" i="3" s="1"/>
  <c r="AC499" i="5"/>
  <c r="AA130" i="3" s="1"/>
  <c r="Q499" i="5"/>
  <c r="O130" i="3" s="1"/>
  <c r="AB499" i="5"/>
  <c r="Z130" i="3" s="1"/>
  <c r="P499" i="5"/>
  <c r="N130" i="3" s="1"/>
  <c r="AA499" i="5"/>
  <c r="Y130" i="3" s="1"/>
  <c r="O499" i="5"/>
  <c r="M130" i="3" s="1"/>
  <c r="X499" i="5"/>
  <c r="V130" i="3" s="1"/>
  <c r="W499" i="5"/>
  <c r="U130" i="3" s="1"/>
  <c r="V499" i="5"/>
  <c r="T130" i="3" s="1"/>
  <c r="U499" i="5"/>
  <c r="S130" i="3" s="1"/>
  <c r="N499" i="5"/>
  <c r="L130" i="3" s="1"/>
  <c r="M499" i="5"/>
  <c r="K130" i="3" s="1"/>
  <c r="L499" i="5"/>
  <c r="J130" i="3" s="1"/>
  <c r="K499" i="5"/>
  <c r="I130" i="3" s="1"/>
  <c r="J499" i="5"/>
  <c r="H130" i="3" s="1"/>
  <c r="I499" i="5"/>
  <c r="G130" i="3" s="1"/>
  <c r="Z499" i="5"/>
  <c r="X130" i="3" s="1"/>
  <c r="Y499" i="5"/>
  <c r="W130" i="3" s="1"/>
  <c r="T511" i="5"/>
  <c r="H511" i="5"/>
  <c r="S511" i="5"/>
  <c r="G511" i="5"/>
  <c r="R511" i="5"/>
  <c r="F511" i="5"/>
  <c r="U511" i="5"/>
  <c r="Q511" i="5"/>
  <c r="P511" i="5"/>
  <c r="O511" i="5"/>
  <c r="AC511" i="5"/>
  <c r="N511" i="5"/>
  <c r="AB511" i="5"/>
  <c r="M511" i="5"/>
  <c r="AA511" i="5"/>
  <c r="L511" i="5"/>
  <c r="Z511" i="5"/>
  <c r="K511" i="5"/>
  <c r="Y511" i="5"/>
  <c r="J511" i="5"/>
  <c r="X511" i="5"/>
  <c r="I511" i="5"/>
  <c r="W511" i="5"/>
  <c r="V511" i="5"/>
  <c r="T523" i="5"/>
  <c r="S523" i="5"/>
  <c r="R523" i="5"/>
  <c r="W523" i="5"/>
  <c r="H523" i="5"/>
  <c r="V523" i="5"/>
  <c r="G523" i="5"/>
  <c r="U523" i="5"/>
  <c r="F523" i="5"/>
  <c r="Z523" i="5"/>
  <c r="Y523" i="5"/>
  <c r="J523" i="5"/>
  <c r="X523" i="5"/>
  <c r="I523" i="5"/>
  <c r="AC523" i="5"/>
  <c r="AB523" i="5"/>
  <c r="AA523" i="5"/>
  <c r="Q523" i="5"/>
  <c r="P523" i="5"/>
  <c r="O523" i="5"/>
  <c r="N523" i="5"/>
  <c r="M523" i="5"/>
  <c r="L523" i="5"/>
  <c r="K523" i="5"/>
  <c r="T535" i="5"/>
  <c r="H535" i="5"/>
  <c r="S535" i="5"/>
  <c r="G535" i="5"/>
  <c r="R535" i="5"/>
  <c r="F535" i="5"/>
  <c r="U535" i="5"/>
  <c r="I535" i="5"/>
  <c r="O535" i="5"/>
  <c r="N535" i="5"/>
  <c r="AC535" i="5"/>
  <c r="M535" i="5"/>
  <c r="V535" i="5"/>
  <c r="Q535" i="5"/>
  <c r="P535" i="5"/>
  <c r="Y535" i="5"/>
  <c r="X535" i="5"/>
  <c r="W535" i="5"/>
  <c r="L535" i="5"/>
  <c r="K535" i="5"/>
  <c r="J535" i="5"/>
  <c r="AB535" i="5"/>
  <c r="AA535" i="5"/>
  <c r="Z535" i="5"/>
  <c r="T547" i="5"/>
  <c r="H547" i="5"/>
  <c r="S547" i="5"/>
  <c r="G547" i="5"/>
  <c r="R547" i="5"/>
  <c r="F547" i="5"/>
  <c r="V547" i="5"/>
  <c r="U547" i="5"/>
  <c r="I547" i="5"/>
  <c r="O547" i="5"/>
  <c r="N547" i="5"/>
  <c r="M547" i="5"/>
  <c r="W547" i="5"/>
  <c r="Q547" i="5"/>
  <c r="P547" i="5"/>
  <c r="Z547" i="5"/>
  <c r="Y547" i="5"/>
  <c r="X547" i="5"/>
  <c r="L547" i="5"/>
  <c r="K547" i="5"/>
  <c r="J547" i="5"/>
  <c r="AC547" i="5"/>
  <c r="AB547" i="5"/>
  <c r="AA547" i="5"/>
  <c r="T559" i="5"/>
  <c r="H559" i="5"/>
  <c r="S559" i="5"/>
  <c r="G559" i="5"/>
  <c r="R559" i="5"/>
  <c r="F559" i="5"/>
  <c r="V559" i="5"/>
  <c r="J559" i="5"/>
  <c r="U559" i="5"/>
  <c r="I559" i="5"/>
  <c r="O559" i="5"/>
  <c r="N559" i="5"/>
  <c r="M559" i="5"/>
  <c r="W559" i="5"/>
  <c r="Q559" i="5"/>
  <c r="P559" i="5"/>
  <c r="Z559" i="5"/>
  <c r="Y559" i="5"/>
  <c r="X559" i="5"/>
  <c r="L559" i="5"/>
  <c r="K559" i="5"/>
  <c r="AC559" i="5"/>
  <c r="AB559" i="5"/>
  <c r="AA559" i="5"/>
  <c r="Z18" i="5"/>
  <c r="X150" i="4" s="1"/>
  <c r="N18" i="5"/>
  <c r="L150" i="4" s="1"/>
  <c r="H18" i="5"/>
  <c r="F150" i="4" s="1"/>
  <c r="Y18" i="5"/>
  <c r="W150" i="4" s="1"/>
  <c r="M18" i="5"/>
  <c r="K150" i="4" s="1"/>
  <c r="X18" i="5"/>
  <c r="V150" i="4" s="1"/>
  <c r="L18" i="5"/>
  <c r="J150" i="4" s="1"/>
  <c r="W18" i="5"/>
  <c r="U150" i="4" s="1"/>
  <c r="K18" i="5"/>
  <c r="I150" i="4" s="1"/>
  <c r="V18" i="5"/>
  <c r="T150" i="4" s="1"/>
  <c r="J18" i="5"/>
  <c r="H150" i="4" s="1"/>
  <c r="U18" i="5"/>
  <c r="S150" i="4" s="1"/>
  <c r="I18" i="5"/>
  <c r="G150" i="4" s="1"/>
  <c r="T18" i="5"/>
  <c r="R150" i="4" s="1"/>
  <c r="S18" i="5"/>
  <c r="Q150" i="4" s="1"/>
  <c r="G18" i="5"/>
  <c r="E150" i="4" s="1"/>
  <c r="D80" i="13" s="1"/>
  <c r="R18" i="5"/>
  <c r="P150" i="4" s="1"/>
  <c r="F18" i="5"/>
  <c r="AC18" i="5"/>
  <c r="AA150" i="4" s="1"/>
  <c r="Q18" i="5"/>
  <c r="O150" i="4" s="1"/>
  <c r="AB18" i="5"/>
  <c r="Z150" i="4" s="1"/>
  <c r="P18" i="5"/>
  <c r="N150" i="4" s="1"/>
  <c r="AA18" i="5"/>
  <c r="Y150" i="4" s="1"/>
  <c r="O18" i="5"/>
  <c r="M150" i="4" s="1"/>
  <c r="Z30" i="5"/>
  <c r="X14" i="4" s="1"/>
  <c r="N30" i="5"/>
  <c r="L14" i="4" s="1"/>
  <c r="Y30" i="5"/>
  <c r="W14" i="4" s="1"/>
  <c r="M30" i="5"/>
  <c r="K14" i="4" s="1"/>
  <c r="X30" i="5"/>
  <c r="V14" i="4" s="1"/>
  <c r="L30" i="5"/>
  <c r="J14" i="4" s="1"/>
  <c r="W30" i="5"/>
  <c r="U14" i="4" s="1"/>
  <c r="K30" i="5"/>
  <c r="I14" i="4" s="1"/>
  <c r="V30" i="5"/>
  <c r="T14" i="4" s="1"/>
  <c r="J30" i="5"/>
  <c r="H14" i="4" s="1"/>
  <c r="U30" i="5"/>
  <c r="S14" i="4" s="1"/>
  <c r="I30" i="5"/>
  <c r="G14" i="4" s="1"/>
  <c r="T30" i="5"/>
  <c r="R14" i="4" s="1"/>
  <c r="H30" i="5"/>
  <c r="F14" i="4" s="1"/>
  <c r="S30" i="5"/>
  <c r="Q14" i="4" s="1"/>
  <c r="G30" i="5"/>
  <c r="E14" i="4" s="1"/>
  <c r="R30" i="5"/>
  <c r="P14" i="4" s="1"/>
  <c r="F30" i="5"/>
  <c r="D14" i="4" s="1"/>
  <c r="AC30" i="5"/>
  <c r="Q30" i="5"/>
  <c r="O14" i="4" s="1"/>
  <c r="AB30" i="5"/>
  <c r="Z14" i="4" s="1"/>
  <c r="P30" i="5"/>
  <c r="N14" i="4" s="1"/>
  <c r="AA30" i="5"/>
  <c r="Y14" i="4" s="1"/>
  <c r="O30" i="5"/>
  <c r="M14" i="4" s="1"/>
  <c r="Z42" i="5"/>
  <c r="X23" i="4" s="1"/>
  <c r="N42" i="5"/>
  <c r="L23" i="4" s="1"/>
  <c r="Y42" i="5"/>
  <c r="W23" i="4" s="1"/>
  <c r="M42" i="5"/>
  <c r="K23" i="4" s="1"/>
  <c r="X42" i="5"/>
  <c r="V23" i="4" s="1"/>
  <c r="L42" i="5"/>
  <c r="J23" i="4" s="1"/>
  <c r="W42" i="5"/>
  <c r="U23" i="4" s="1"/>
  <c r="K42" i="5"/>
  <c r="I23" i="4" s="1"/>
  <c r="V42" i="5"/>
  <c r="T23" i="4" s="1"/>
  <c r="J42" i="5"/>
  <c r="H23" i="4" s="1"/>
  <c r="U42" i="5"/>
  <c r="S23" i="4" s="1"/>
  <c r="I42" i="5"/>
  <c r="G23" i="4" s="1"/>
  <c r="T42" i="5"/>
  <c r="R23" i="4" s="1"/>
  <c r="H42" i="5"/>
  <c r="F23" i="4" s="1"/>
  <c r="S42" i="5"/>
  <c r="Q23" i="4" s="1"/>
  <c r="G42" i="5"/>
  <c r="E23" i="4" s="1"/>
  <c r="R42" i="5"/>
  <c r="P23" i="4" s="1"/>
  <c r="F42" i="5"/>
  <c r="D23" i="4" s="1"/>
  <c r="AC42" i="5"/>
  <c r="Q42" i="5"/>
  <c r="O23" i="4" s="1"/>
  <c r="AB42" i="5"/>
  <c r="Z23" i="4" s="1"/>
  <c r="P42" i="5"/>
  <c r="N23" i="4" s="1"/>
  <c r="AA42" i="5"/>
  <c r="Y23" i="4" s="1"/>
  <c r="O42" i="5"/>
  <c r="M23" i="4" s="1"/>
  <c r="Z54" i="5"/>
  <c r="N54" i="5"/>
  <c r="Y54" i="5"/>
  <c r="M54" i="5"/>
  <c r="X54" i="5"/>
  <c r="L54" i="5"/>
  <c r="W54" i="5"/>
  <c r="K54" i="5"/>
  <c r="V54" i="5"/>
  <c r="J54" i="5"/>
  <c r="U54" i="5"/>
  <c r="I54" i="5"/>
  <c r="T54" i="5"/>
  <c r="H54" i="5"/>
  <c r="S54" i="5"/>
  <c r="G54" i="5"/>
  <c r="R54" i="5"/>
  <c r="F54" i="5"/>
  <c r="AC54" i="5"/>
  <c r="Q54" i="5"/>
  <c r="AB54" i="5"/>
  <c r="P54" i="5"/>
  <c r="AA54" i="5"/>
  <c r="O54" i="5"/>
  <c r="Z66" i="5"/>
  <c r="X38" i="4" s="1"/>
  <c r="N66" i="5"/>
  <c r="L38" i="4" s="1"/>
  <c r="Y66" i="5"/>
  <c r="W38" i="4" s="1"/>
  <c r="M66" i="5"/>
  <c r="K38" i="4" s="1"/>
  <c r="X66" i="5"/>
  <c r="V38" i="4" s="1"/>
  <c r="L66" i="5"/>
  <c r="J38" i="4" s="1"/>
  <c r="W66" i="5"/>
  <c r="U38" i="4" s="1"/>
  <c r="K66" i="5"/>
  <c r="I38" i="4" s="1"/>
  <c r="V66" i="5"/>
  <c r="T38" i="4" s="1"/>
  <c r="J66" i="5"/>
  <c r="H38" i="4" s="1"/>
  <c r="U66" i="5"/>
  <c r="S38" i="4" s="1"/>
  <c r="I66" i="5"/>
  <c r="G38" i="4" s="1"/>
  <c r="T66" i="5"/>
  <c r="R38" i="4" s="1"/>
  <c r="H66" i="5"/>
  <c r="F38" i="4" s="1"/>
  <c r="S66" i="5"/>
  <c r="Q38" i="4" s="1"/>
  <c r="G66" i="5"/>
  <c r="E38" i="4" s="1"/>
  <c r="R66" i="5"/>
  <c r="P38" i="4" s="1"/>
  <c r="F66" i="5"/>
  <c r="D38" i="4" s="1"/>
  <c r="AC66" i="5"/>
  <c r="Q66" i="5"/>
  <c r="O38" i="4" s="1"/>
  <c r="AB66" i="5"/>
  <c r="Z38" i="4" s="1"/>
  <c r="P66" i="5"/>
  <c r="N38" i="4" s="1"/>
  <c r="AA66" i="5"/>
  <c r="Y38" i="4" s="1"/>
  <c r="O66" i="5"/>
  <c r="M38" i="4" s="1"/>
  <c r="Z78" i="5"/>
  <c r="N78" i="5"/>
  <c r="Y78" i="5"/>
  <c r="M78" i="5"/>
  <c r="X78" i="5"/>
  <c r="L78" i="5"/>
  <c r="W78" i="5"/>
  <c r="K78" i="5"/>
  <c r="V78" i="5"/>
  <c r="J78" i="5"/>
  <c r="U78" i="5"/>
  <c r="I78" i="5"/>
  <c r="T78" i="5"/>
  <c r="H78" i="5"/>
  <c r="S78" i="5"/>
  <c r="G78" i="5"/>
  <c r="R78" i="5"/>
  <c r="F78" i="5"/>
  <c r="AC78" i="5"/>
  <c r="Q78" i="5"/>
  <c r="AB78" i="5"/>
  <c r="P78" i="5"/>
  <c r="AA78" i="5"/>
  <c r="O78" i="5"/>
  <c r="Z90" i="5"/>
  <c r="N90" i="5"/>
  <c r="Y90" i="5"/>
  <c r="M90" i="5"/>
  <c r="X90" i="5"/>
  <c r="L90" i="5"/>
  <c r="W90" i="5"/>
  <c r="K90" i="5"/>
  <c r="V90" i="5"/>
  <c r="J90" i="5"/>
  <c r="U90" i="5"/>
  <c r="I90" i="5"/>
  <c r="T90" i="5"/>
  <c r="H90" i="5"/>
  <c r="S90" i="5"/>
  <c r="G90" i="5"/>
  <c r="R90" i="5"/>
  <c r="F90" i="5"/>
  <c r="AC90" i="5"/>
  <c r="Q90" i="5"/>
  <c r="AB90" i="5"/>
  <c r="P90" i="5"/>
  <c r="AA90" i="5"/>
  <c r="O90" i="5"/>
  <c r="Z102" i="5"/>
  <c r="N102" i="5"/>
  <c r="Y102" i="5"/>
  <c r="M102" i="5"/>
  <c r="X102" i="5"/>
  <c r="L102" i="5"/>
  <c r="W102" i="5"/>
  <c r="K102" i="5"/>
  <c r="V102" i="5"/>
  <c r="J102" i="5"/>
  <c r="U102" i="5"/>
  <c r="I102" i="5"/>
  <c r="T102" i="5"/>
  <c r="H102" i="5"/>
  <c r="S102" i="5"/>
  <c r="G102" i="5"/>
  <c r="R102" i="5"/>
  <c r="F102" i="5"/>
  <c r="AC102" i="5"/>
  <c r="Q102" i="5"/>
  <c r="AB102" i="5"/>
  <c r="P102" i="5"/>
  <c r="AA102" i="5"/>
  <c r="O102" i="5"/>
  <c r="AC114" i="5"/>
  <c r="Q114" i="5"/>
  <c r="AB114" i="5"/>
  <c r="P114" i="5"/>
  <c r="AA114" i="5"/>
  <c r="O114" i="5"/>
  <c r="Z114" i="5"/>
  <c r="N114" i="5"/>
  <c r="Y114" i="5"/>
  <c r="M114" i="5"/>
  <c r="X114" i="5"/>
  <c r="L114" i="5"/>
  <c r="W114" i="5"/>
  <c r="K114" i="5"/>
  <c r="V114" i="5"/>
  <c r="J114" i="5"/>
  <c r="T114" i="5"/>
  <c r="H114" i="5"/>
  <c r="S114" i="5"/>
  <c r="G114" i="5"/>
  <c r="U114" i="5"/>
  <c r="R114" i="5"/>
  <c r="I114" i="5"/>
  <c r="F114" i="5"/>
  <c r="AC126" i="5"/>
  <c r="Q126" i="5"/>
  <c r="AB126" i="5"/>
  <c r="P126" i="5"/>
  <c r="AA126" i="5"/>
  <c r="O126" i="5"/>
  <c r="Z126" i="5"/>
  <c r="N126" i="5"/>
  <c r="Y126" i="5"/>
  <c r="M126" i="5"/>
  <c r="X126" i="5"/>
  <c r="L126" i="5"/>
  <c r="W126" i="5"/>
  <c r="K126" i="5"/>
  <c r="V126" i="5"/>
  <c r="J126" i="5"/>
  <c r="U126" i="5"/>
  <c r="I126" i="5"/>
  <c r="T126" i="5"/>
  <c r="H126" i="5"/>
  <c r="S126" i="5"/>
  <c r="G126" i="5"/>
  <c r="R126" i="5"/>
  <c r="F126" i="5"/>
  <c r="AC138" i="5"/>
  <c r="AA86" i="4" s="1"/>
  <c r="Q138" i="5"/>
  <c r="O86" i="4" s="1"/>
  <c r="AB138" i="5"/>
  <c r="Z86" i="4" s="1"/>
  <c r="P138" i="5"/>
  <c r="N86" i="4" s="1"/>
  <c r="AA138" i="5"/>
  <c r="Y86" i="4" s="1"/>
  <c r="O138" i="5"/>
  <c r="M86" i="4" s="1"/>
  <c r="Z138" i="5"/>
  <c r="X86" i="4" s="1"/>
  <c r="N138" i="5"/>
  <c r="L86" i="4" s="1"/>
  <c r="Y138" i="5"/>
  <c r="W86" i="4" s="1"/>
  <c r="M138" i="5"/>
  <c r="K86" i="4" s="1"/>
  <c r="X138" i="5"/>
  <c r="V86" i="4" s="1"/>
  <c r="L138" i="5"/>
  <c r="J86" i="4" s="1"/>
  <c r="W138" i="5"/>
  <c r="U86" i="4" s="1"/>
  <c r="K138" i="5"/>
  <c r="I86" i="4" s="1"/>
  <c r="V138" i="5"/>
  <c r="T86" i="4" s="1"/>
  <c r="J138" i="5"/>
  <c r="H86" i="4" s="1"/>
  <c r="U138" i="5"/>
  <c r="S86" i="4" s="1"/>
  <c r="I138" i="5"/>
  <c r="G86" i="4" s="1"/>
  <c r="T138" i="5"/>
  <c r="R86" i="4" s="1"/>
  <c r="H138" i="5"/>
  <c r="F86" i="4" s="1"/>
  <c r="S138" i="5"/>
  <c r="Q86" i="4" s="1"/>
  <c r="G138" i="5"/>
  <c r="E86" i="4" s="1"/>
  <c r="R138" i="5"/>
  <c r="P86" i="4" s="1"/>
  <c r="F138" i="5"/>
  <c r="D86" i="4" s="1"/>
  <c r="AC150" i="5"/>
  <c r="Q150" i="5"/>
  <c r="AB150" i="5"/>
  <c r="P150" i="5"/>
  <c r="AA150" i="5"/>
  <c r="O150" i="5"/>
  <c r="Z150" i="5"/>
  <c r="N150" i="5"/>
  <c r="Y150" i="5"/>
  <c r="M150" i="5"/>
  <c r="X150" i="5"/>
  <c r="L150" i="5"/>
  <c r="W150" i="5"/>
  <c r="K150" i="5"/>
  <c r="V150" i="5"/>
  <c r="J150" i="5"/>
  <c r="U150" i="5"/>
  <c r="I150" i="5"/>
  <c r="T150" i="5"/>
  <c r="H150" i="5"/>
  <c r="S150" i="5"/>
  <c r="G150" i="5"/>
  <c r="R150" i="5"/>
  <c r="F150" i="5"/>
  <c r="X162" i="5"/>
  <c r="L162" i="5"/>
  <c r="W162" i="5"/>
  <c r="K162" i="5"/>
  <c r="V162" i="5"/>
  <c r="J162" i="5"/>
  <c r="U162" i="5"/>
  <c r="I162" i="5"/>
  <c r="T162" i="5"/>
  <c r="H162" i="5"/>
  <c r="S162" i="5"/>
  <c r="G162" i="5"/>
  <c r="R162" i="5"/>
  <c r="F162" i="5"/>
  <c r="AC162" i="5"/>
  <c r="Q162" i="5"/>
  <c r="AA162" i="5"/>
  <c r="O162" i="5"/>
  <c r="AB162" i="5"/>
  <c r="Z162" i="5"/>
  <c r="Y162" i="5"/>
  <c r="P162" i="5"/>
  <c r="N162" i="5"/>
  <c r="M162" i="5"/>
  <c r="X174" i="5"/>
  <c r="L174" i="5"/>
  <c r="W174" i="5"/>
  <c r="K174" i="5"/>
  <c r="V174" i="5"/>
  <c r="J174" i="5"/>
  <c r="U174" i="5"/>
  <c r="I174" i="5"/>
  <c r="T174" i="5"/>
  <c r="H174" i="5"/>
  <c r="S174" i="5"/>
  <c r="G174" i="5"/>
  <c r="R174" i="5"/>
  <c r="F174" i="5"/>
  <c r="AC174" i="5"/>
  <c r="Q174" i="5"/>
  <c r="AB174" i="5"/>
  <c r="P174" i="5"/>
  <c r="AA174" i="5"/>
  <c r="O174" i="5"/>
  <c r="Z174" i="5"/>
  <c r="N174" i="5"/>
  <c r="Y174" i="5"/>
  <c r="M174" i="5"/>
  <c r="X186" i="5"/>
  <c r="V106" i="4" s="1"/>
  <c r="L186" i="5"/>
  <c r="J106" i="4" s="1"/>
  <c r="W186" i="5"/>
  <c r="U106" i="4" s="1"/>
  <c r="K186" i="5"/>
  <c r="I106" i="4" s="1"/>
  <c r="V186" i="5"/>
  <c r="T106" i="4" s="1"/>
  <c r="J186" i="5"/>
  <c r="H106" i="4" s="1"/>
  <c r="U186" i="5"/>
  <c r="S106" i="4" s="1"/>
  <c r="I186" i="5"/>
  <c r="G106" i="4" s="1"/>
  <c r="T186" i="5"/>
  <c r="R106" i="4" s="1"/>
  <c r="H186" i="5"/>
  <c r="F106" i="4" s="1"/>
  <c r="S186" i="5"/>
  <c r="Q106" i="4" s="1"/>
  <c r="G186" i="5"/>
  <c r="E106" i="4" s="1"/>
  <c r="R186" i="5"/>
  <c r="P106" i="4" s="1"/>
  <c r="F186" i="5"/>
  <c r="D106" i="4" s="1"/>
  <c r="AC186" i="5"/>
  <c r="AA106" i="4" s="1"/>
  <c r="Q186" i="5"/>
  <c r="O106" i="4" s="1"/>
  <c r="AB186" i="5"/>
  <c r="Z106" i="4" s="1"/>
  <c r="P186" i="5"/>
  <c r="N106" i="4" s="1"/>
  <c r="AA186" i="5"/>
  <c r="Y106" i="4" s="1"/>
  <c r="O186" i="5"/>
  <c r="M106" i="4" s="1"/>
  <c r="Z186" i="5"/>
  <c r="X106" i="4" s="1"/>
  <c r="N186" i="5"/>
  <c r="L106" i="4" s="1"/>
  <c r="Y186" i="5"/>
  <c r="W106" i="4" s="1"/>
  <c r="M186" i="5"/>
  <c r="K106" i="4" s="1"/>
  <c r="X198" i="5"/>
  <c r="V140" i="4" s="1"/>
  <c r="L198" i="5"/>
  <c r="J140" i="4" s="1"/>
  <c r="W198" i="5"/>
  <c r="U140" i="4" s="1"/>
  <c r="K198" i="5"/>
  <c r="I140" i="4" s="1"/>
  <c r="V198" i="5"/>
  <c r="T140" i="4" s="1"/>
  <c r="J198" i="5"/>
  <c r="H140" i="4" s="1"/>
  <c r="U198" i="5"/>
  <c r="S140" i="4" s="1"/>
  <c r="I198" i="5"/>
  <c r="G140" i="4" s="1"/>
  <c r="T198" i="5"/>
  <c r="R140" i="4" s="1"/>
  <c r="H198" i="5"/>
  <c r="F140" i="4" s="1"/>
  <c r="S198" i="5"/>
  <c r="Q140" i="4" s="1"/>
  <c r="G198" i="5"/>
  <c r="E140" i="4" s="1"/>
  <c r="R198" i="5"/>
  <c r="P140" i="4" s="1"/>
  <c r="F198" i="5"/>
  <c r="D140" i="4" s="1"/>
  <c r="AC198" i="5"/>
  <c r="AA140" i="4" s="1"/>
  <c r="Q198" i="5"/>
  <c r="O140" i="4" s="1"/>
  <c r="AB198" i="5"/>
  <c r="Z140" i="4" s="1"/>
  <c r="P198" i="5"/>
  <c r="N140" i="4" s="1"/>
  <c r="AA198" i="5"/>
  <c r="Y140" i="4" s="1"/>
  <c r="O198" i="5"/>
  <c r="M140" i="4" s="1"/>
  <c r="Z198" i="5"/>
  <c r="X140" i="4" s="1"/>
  <c r="N198" i="5"/>
  <c r="L140" i="4" s="1"/>
  <c r="Y198" i="5"/>
  <c r="W140" i="4" s="1"/>
  <c r="M198" i="5"/>
  <c r="K140" i="4" s="1"/>
  <c r="T210" i="5"/>
  <c r="R94" i="4" s="1"/>
  <c r="H210" i="5"/>
  <c r="F94" i="4" s="1"/>
  <c r="S210" i="5"/>
  <c r="Q94" i="4" s="1"/>
  <c r="G210" i="5"/>
  <c r="E94" i="4" s="1"/>
  <c r="R210" i="5"/>
  <c r="P94" i="4" s="1"/>
  <c r="F210" i="5"/>
  <c r="D94" i="4" s="1"/>
  <c r="AC210" i="5"/>
  <c r="AA94" i="4" s="1"/>
  <c r="Q210" i="5"/>
  <c r="O94" i="4" s="1"/>
  <c r="AB210" i="5"/>
  <c r="Z94" i="4" s="1"/>
  <c r="P210" i="5"/>
  <c r="N94" i="4" s="1"/>
  <c r="AA210" i="5"/>
  <c r="Y94" i="4" s="1"/>
  <c r="O210" i="5"/>
  <c r="M94" i="4" s="1"/>
  <c r="Z210" i="5"/>
  <c r="X94" i="4" s="1"/>
  <c r="N210" i="5"/>
  <c r="L94" i="4" s="1"/>
  <c r="W210" i="5"/>
  <c r="U94" i="4" s="1"/>
  <c r="V210" i="5"/>
  <c r="T94" i="4" s="1"/>
  <c r="U210" i="5"/>
  <c r="S94" i="4" s="1"/>
  <c r="M210" i="5"/>
  <c r="K94" i="4" s="1"/>
  <c r="L210" i="5"/>
  <c r="J94" i="4" s="1"/>
  <c r="K210" i="5"/>
  <c r="I94" i="4" s="1"/>
  <c r="J210" i="5"/>
  <c r="H94" i="4" s="1"/>
  <c r="I210" i="5"/>
  <c r="G94" i="4" s="1"/>
  <c r="Y210" i="5"/>
  <c r="W94" i="4" s="1"/>
  <c r="X210" i="5"/>
  <c r="V94" i="4" s="1"/>
  <c r="T222" i="5"/>
  <c r="H222" i="5"/>
  <c r="S222" i="5"/>
  <c r="G222" i="5"/>
  <c r="R222" i="5"/>
  <c r="F222" i="5"/>
  <c r="AC222" i="5"/>
  <c r="Q222" i="5"/>
  <c r="AB222" i="5"/>
  <c r="P222" i="5"/>
  <c r="AA222" i="5"/>
  <c r="O222" i="5"/>
  <c r="Z222" i="5"/>
  <c r="N222" i="5"/>
  <c r="Y222" i="5"/>
  <c r="M222" i="5"/>
  <c r="X222" i="5"/>
  <c r="L222" i="5"/>
  <c r="W222" i="5"/>
  <c r="K222" i="5"/>
  <c r="V222" i="5"/>
  <c r="J222" i="5"/>
  <c r="U222" i="5"/>
  <c r="I222" i="5"/>
  <c r="T234" i="5"/>
  <c r="H234" i="5"/>
  <c r="S234" i="5"/>
  <c r="G234" i="5"/>
  <c r="R234" i="5"/>
  <c r="F234" i="5"/>
  <c r="AC234" i="5"/>
  <c r="Q234" i="5"/>
  <c r="AB234" i="5"/>
  <c r="P234" i="5"/>
  <c r="AA234" i="5"/>
  <c r="O234" i="5"/>
  <c r="Z234" i="5"/>
  <c r="N234" i="5"/>
  <c r="Y234" i="5"/>
  <c r="M234" i="5"/>
  <c r="X234" i="5"/>
  <c r="L234" i="5"/>
  <c r="W234" i="5"/>
  <c r="K234" i="5"/>
  <c r="V234" i="5"/>
  <c r="J234" i="5"/>
  <c r="U234" i="5"/>
  <c r="I234" i="5"/>
  <c r="T247" i="5"/>
  <c r="R181" i="4" s="1"/>
  <c r="H247" i="5"/>
  <c r="F181" i="4" s="1"/>
  <c r="S247" i="5"/>
  <c r="Q181" i="4" s="1"/>
  <c r="G247" i="5"/>
  <c r="E181" i="4" s="1"/>
  <c r="R247" i="5"/>
  <c r="P181" i="4" s="1"/>
  <c r="F247" i="5"/>
  <c r="D181" i="4" s="1"/>
  <c r="AC247" i="5"/>
  <c r="AA181" i="4" s="1"/>
  <c r="Q247" i="5"/>
  <c r="O181" i="4" s="1"/>
  <c r="AB247" i="5"/>
  <c r="Z181" i="4" s="1"/>
  <c r="P247" i="5"/>
  <c r="N181" i="4" s="1"/>
  <c r="AA247" i="5"/>
  <c r="Y181" i="4" s="1"/>
  <c r="O247" i="5"/>
  <c r="M181" i="4" s="1"/>
  <c r="Z247" i="5"/>
  <c r="X181" i="4" s="1"/>
  <c r="N247" i="5"/>
  <c r="L181" i="4" s="1"/>
  <c r="Y247" i="5"/>
  <c r="W181" i="4" s="1"/>
  <c r="M247" i="5"/>
  <c r="K181" i="4" s="1"/>
  <c r="X247" i="5"/>
  <c r="V181" i="4" s="1"/>
  <c r="L247" i="5"/>
  <c r="J181" i="4" s="1"/>
  <c r="W247" i="5"/>
  <c r="U181" i="4" s="1"/>
  <c r="K247" i="5"/>
  <c r="I181" i="4" s="1"/>
  <c r="V247" i="5"/>
  <c r="T181" i="4" s="1"/>
  <c r="J247" i="5"/>
  <c r="H181" i="4" s="1"/>
  <c r="U247" i="5"/>
  <c r="S181" i="4" s="1"/>
  <c r="I247" i="5"/>
  <c r="G181" i="4" s="1"/>
  <c r="S259" i="5"/>
  <c r="G259" i="5"/>
  <c r="R259" i="5"/>
  <c r="F259" i="5"/>
  <c r="AC259" i="5"/>
  <c r="Q259" i="5"/>
  <c r="AB259" i="5"/>
  <c r="P259" i="5"/>
  <c r="AA259" i="5"/>
  <c r="O259" i="5"/>
  <c r="Z259" i="5"/>
  <c r="N259" i="5"/>
  <c r="Y259" i="5"/>
  <c r="M259" i="5"/>
  <c r="X259" i="5"/>
  <c r="L259" i="5"/>
  <c r="V259" i="5"/>
  <c r="U259" i="5"/>
  <c r="W259" i="5"/>
  <c r="T259" i="5"/>
  <c r="K259" i="5"/>
  <c r="J259" i="5"/>
  <c r="I259" i="5"/>
  <c r="H259" i="5"/>
  <c r="S271" i="5"/>
  <c r="Q210" i="4" s="1"/>
  <c r="G271" i="5"/>
  <c r="E210" i="4" s="1"/>
  <c r="R271" i="5"/>
  <c r="P210" i="4" s="1"/>
  <c r="F271" i="5"/>
  <c r="D210" i="4" s="1"/>
  <c r="AC271" i="5"/>
  <c r="AA210" i="4" s="1"/>
  <c r="Q271" i="5"/>
  <c r="O210" i="4" s="1"/>
  <c r="AB271" i="5"/>
  <c r="Z210" i="4" s="1"/>
  <c r="P271" i="5"/>
  <c r="N210" i="4" s="1"/>
  <c r="AA271" i="5"/>
  <c r="Y210" i="4" s="1"/>
  <c r="O271" i="5"/>
  <c r="M210" i="4" s="1"/>
  <c r="Z271" i="5"/>
  <c r="X210" i="4" s="1"/>
  <c r="N271" i="5"/>
  <c r="L210" i="4" s="1"/>
  <c r="Y271" i="5"/>
  <c r="W210" i="4" s="1"/>
  <c r="M271" i="5"/>
  <c r="K210" i="4" s="1"/>
  <c r="X271" i="5"/>
  <c r="V210" i="4" s="1"/>
  <c r="L271" i="5"/>
  <c r="J210" i="4" s="1"/>
  <c r="W271" i="5"/>
  <c r="U210" i="4" s="1"/>
  <c r="K271" i="5"/>
  <c r="I210" i="4" s="1"/>
  <c r="V271" i="5"/>
  <c r="T210" i="4" s="1"/>
  <c r="J271" i="5"/>
  <c r="H210" i="4" s="1"/>
  <c r="U271" i="5"/>
  <c r="S210" i="4" s="1"/>
  <c r="I271" i="5"/>
  <c r="G210" i="4" s="1"/>
  <c r="T271" i="5"/>
  <c r="R210" i="4" s="1"/>
  <c r="H271" i="5"/>
  <c r="F210" i="4" s="1"/>
  <c r="S283" i="5"/>
  <c r="Q8" i="3" s="1"/>
  <c r="G283" i="5"/>
  <c r="E8" i="3" s="1"/>
  <c r="R283" i="5"/>
  <c r="F283" i="5"/>
  <c r="D8" i="3" s="1"/>
  <c r="AC283" i="5"/>
  <c r="AA8" i="3" s="1"/>
  <c r="Q283" i="5"/>
  <c r="O8" i="3" s="1"/>
  <c r="AB283" i="5"/>
  <c r="Z8" i="3" s="1"/>
  <c r="P283" i="5"/>
  <c r="N8" i="3" s="1"/>
  <c r="AA283" i="5"/>
  <c r="Y8" i="3" s="1"/>
  <c r="O283" i="5"/>
  <c r="M8" i="3" s="1"/>
  <c r="Z283" i="5"/>
  <c r="X8" i="3" s="1"/>
  <c r="N283" i="5"/>
  <c r="L8" i="3" s="1"/>
  <c r="Y283" i="5"/>
  <c r="W8" i="3" s="1"/>
  <c r="M283" i="5"/>
  <c r="K8" i="3" s="1"/>
  <c r="X283" i="5"/>
  <c r="V8" i="3" s="1"/>
  <c r="L283" i="5"/>
  <c r="J8" i="3" s="1"/>
  <c r="W283" i="5"/>
  <c r="U8" i="3" s="1"/>
  <c r="K283" i="5"/>
  <c r="I8" i="3" s="1"/>
  <c r="V283" i="5"/>
  <c r="T8" i="3" s="1"/>
  <c r="J283" i="5"/>
  <c r="H8" i="3" s="1"/>
  <c r="U283" i="5"/>
  <c r="S8" i="3" s="1"/>
  <c r="I283" i="5"/>
  <c r="G8" i="3" s="1"/>
  <c r="T283" i="5"/>
  <c r="R8" i="3" s="1"/>
  <c r="H283" i="5"/>
  <c r="F8" i="3" s="1"/>
  <c r="S295" i="5"/>
  <c r="G295" i="5"/>
  <c r="R295" i="5"/>
  <c r="F295" i="5"/>
  <c r="AC295" i="5"/>
  <c r="Q295" i="5"/>
  <c r="AB295" i="5"/>
  <c r="P295" i="5"/>
  <c r="AA295" i="5"/>
  <c r="O295" i="5"/>
  <c r="Z295" i="5"/>
  <c r="N295" i="5"/>
  <c r="Y295" i="5"/>
  <c r="M295" i="5"/>
  <c r="X295" i="5"/>
  <c r="L295" i="5"/>
  <c r="W295" i="5"/>
  <c r="K295" i="5"/>
  <c r="V295" i="5"/>
  <c r="J295" i="5"/>
  <c r="U295" i="5"/>
  <c r="I295" i="5"/>
  <c r="T295" i="5"/>
  <c r="H295" i="5"/>
  <c r="V307" i="5"/>
  <c r="J307" i="5"/>
  <c r="U307" i="5"/>
  <c r="I307" i="5"/>
  <c r="T307" i="5"/>
  <c r="H307" i="5"/>
  <c r="S307" i="5"/>
  <c r="G307" i="5"/>
  <c r="R307" i="5"/>
  <c r="F307" i="5"/>
  <c r="AC307" i="5"/>
  <c r="Q307" i="5"/>
  <c r="AB307" i="5"/>
  <c r="P307" i="5"/>
  <c r="AA307" i="5"/>
  <c r="O307" i="5"/>
  <c r="Z307" i="5"/>
  <c r="N307" i="5"/>
  <c r="Y307" i="5"/>
  <c r="M307" i="5"/>
  <c r="X307" i="5"/>
  <c r="L307" i="5"/>
  <c r="W307" i="5"/>
  <c r="K307" i="5"/>
  <c r="V319" i="5"/>
  <c r="J319" i="5"/>
  <c r="U319" i="5"/>
  <c r="I319" i="5"/>
  <c r="T319" i="5"/>
  <c r="H319" i="5"/>
  <c r="S319" i="5"/>
  <c r="G319" i="5"/>
  <c r="R319" i="5"/>
  <c r="F319" i="5"/>
  <c r="AC319" i="5"/>
  <c r="Q319" i="5"/>
  <c r="AB319" i="5"/>
  <c r="P319" i="5"/>
  <c r="AA319" i="5"/>
  <c r="O319" i="5"/>
  <c r="Z319" i="5"/>
  <c r="N319" i="5"/>
  <c r="Y319" i="5"/>
  <c r="M319" i="5"/>
  <c r="X319" i="5"/>
  <c r="L319" i="5"/>
  <c r="W319" i="5"/>
  <c r="K319" i="5"/>
  <c r="V332" i="5"/>
  <c r="T17" i="3" s="1"/>
  <c r="J332" i="5"/>
  <c r="H17" i="3" s="1"/>
  <c r="U332" i="5"/>
  <c r="S17" i="3" s="1"/>
  <c r="I332" i="5"/>
  <c r="G17" i="3" s="1"/>
  <c r="T332" i="5"/>
  <c r="R17" i="3" s="1"/>
  <c r="H332" i="5"/>
  <c r="F17" i="3" s="1"/>
  <c r="S332" i="5"/>
  <c r="Q17" i="3" s="1"/>
  <c r="G332" i="5"/>
  <c r="E17" i="3" s="1"/>
  <c r="R332" i="5"/>
  <c r="F332" i="5"/>
  <c r="D17" i="3" s="1"/>
  <c r="AC332" i="5"/>
  <c r="AA17" i="3" s="1"/>
  <c r="Q332" i="5"/>
  <c r="O17" i="3" s="1"/>
  <c r="AB332" i="5"/>
  <c r="Z17" i="3" s="1"/>
  <c r="P332" i="5"/>
  <c r="N17" i="3" s="1"/>
  <c r="AA332" i="5"/>
  <c r="Y17" i="3" s="1"/>
  <c r="O332" i="5"/>
  <c r="M17" i="3" s="1"/>
  <c r="Z332" i="5"/>
  <c r="X17" i="3" s="1"/>
  <c r="N332" i="5"/>
  <c r="L17" i="3" s="1"/>
  <c r="Y332" i="5"/>
  <c r="W17" i="3" s="1"/>
  <c r="M332" i="5"/>
  <c r="K17" i="3" s="1"/>
  <c r="X332" i="5"/>
  <c r="V17" i="3" s="1"/>
  <c r="L332" i="5"/>
  <c r="J17" i="3" s="1"/>
  <c r="W332" i="5"/>
  <c r="U17" i="3" s="1"/>
  <c r="K332" i="5"/>
  <c r="I17" i="3" s="1"/>
  <c r="U344" i="5"/>
  <c r="I344" i="5"/>
  <c r="T344" i="5"/>
  <c r="H344" i="5"/>
  <c r="S344" i="5"/>
  <c r="G344" i="5"/>
  <c r="R344" i="5"/>
  <c r="F344" i="5"/>
  <c r="AC344" i="5"/>
  <c r="Q344" i="5"/>
  <c r="AB344" i="5"/>
  <c r="P344" i="5"/>
  <c r="Z344" i="5"/>
  <c r="Y344" i="5"/>
  <c r="X344" i="5"/>
  <c r="W344" i="5"/>
  <c r="V344" i="5"/>
  <c r="O344" i="5"/>
  <c r="N344" i="5"/>
  <c r="M344" i="5"/>
  <c r="L344" i="5"/>
  <c r="K344" i="5"/>
  <c r="J344" i="5"/>
  <c r="AA344" i="5"/>
  <c r="U356" i="5"/>
  <c r="I356" i="5"/>
  <c r="T356" i="5"/>
  <c r="H356" i="5"/>
  <c r="S356" i="5"/>
  <c r="G356" i="5"/>
  <c r="R356" i="5"/>
  <c r="F356" i="5"/>
  <c r="AC356" i="5"/>
  <c r="Q356" i="5"/>
  <c r="AB356" i="5"/>
  <c r="P356" i="5"/>
  <c r="AA356" i="5"/>
  <c r="O356" i="5"/>
  <c r="Z356" i="5"/>
  <c r="N356" i="5"/>
  <c r="X356" i="5"/>
  <c r="L356" i="5"/>
  <c r="W356" i="5"/>
  <c r="K356" i="5"/>
  <c r="V356" i="5"/>
  <c r="M356" i="5"/>
  <c r="J356" i="5"/>
  <c r="Y356" i="5"/>
  <c r="U368" i="5"/>
  <c r="S35" i="3" s="1"/>
  <c r="I368" i="5"/>
  <c r="G35" i="3" s="1"/>
  <c r="T368" i="5"/>
  <c r="R35" i="3" s="1"/>
  <c r="H368" i="5"/>
  <c r="F35" i="3" s="1"/>
  <c r="S368" i="5"/>
  <c r="Q35" i="3" s="1"/>
  <c r="G368" i="5"/>
  <c r="E35" i="3" s="1"/>
  <c r="R368" i="5"/>
  <c r="F368" i="5"/>
  <c r="D35" i="3" s="1"/>
  <c r="AC368" i="5"/>
  <c r="AA35" i="3" s="1"/>
  <c r="Q368" i="5"/>
  <c r="O35" i="3" s="1"/>
  <c r="AB368" i="5"/>
  <c r="Z35" i="3" s="1"/>
  <c r="P368" i="5"/>
  <c r="N35" i="3" s="1"/>
  <c r="AA368" i="5"/>
  <c r="Y35" i="3" s="1"/>
  <c r="O368" i="5"/>
  <c r="M35" i="3" s="1"/>
  <c r="Z368" i="5"/>
  <c r="X35" i="3" s="1"/>
  <c r="N368" i="5"/>
  <c r="L35" i="3" s="1"/>
  <c r="Y368" i="5"/>
  <c r="W35" i="3" s="1"/>
  <c r="M368" i="5"/>
  <c r="K35" i="3" s="1"/>
  <c r="X368" i="5"/>
  <c r="V35" i="3" s="1"/>
  <c r="L368" i="5"/>
  <c r="J35" i="3" s="1"/>
  <c r="W368" i="5"/>
  <c r="U35" i="3" s="1"/>
  <c r="K368" i="5"/>
  <c r="I35" i="3" s="1"/>
  <c r="V368" i="5"/>
  <c r="T35" i="3" s="1"/>
  <c r="J368" i="5"/>
  <c r="H35" i="3" s="1"/>
  <c r="U380" i="5"/>
  <c r="I380" i="5"/>
  <c r="T380" i="5"/>
  <c r="H380" i="5"/>
  <c r="S380" i="5"/>
  <c r="G380" i="5"/>
  <c r="R380" i="5"/>
  <c r="F380" i="5"/>
  <c r="AC380" i="5"/>
  <c r="Q380" i="5"/>
  <c r="AB380" i="5"/>
  <c r="P380" i="5"/>
  <c r="AA380" i="5"/>
  <c r="O380" i="5"/>
  <c r="Z380" i="5"/>
  <c r="N380" i="5"/>
  <c r="Y380" i="5"/>
  <c r="M380" i="5"/>
  <c r="X380" i="5"/>
  <c r="L380" i="5"/>
  <c r="W380" i="5"/>
  <c r="K380" i="5"/>
  <c r="V380" i="5"/>
  <c r="J380" i="5"/>
  <c r="Z392" i="5"/>
  <c r="X59" i="3" s="1"/>
  <c r="N392" i="5"/>
  <c r="L59" i="3" s="1"/>
  <c r="Y392" i="5"/>
  <c r="W59" i="3" s="1"/>
  <c r="M392" i="5"/>
  <c r="K59" i="3" s="1"/>
  <c r="X392" i="5"/>
  <c r="V59" i="3" s="1"/>
  <c r="L392" i="5"/>
  <c r="J59" i="3" s="1"/>
  <c r="W392" i="5"/>
  <c r="U59" i="3" s="1"/>
  <c r="K392" i="5"/>
  <c r="I59" i="3" s="1"/>
  <c r="V392" i="5"/>
  <c r="T59" i="3" s="1"/>
  <c r="J392" i="5"/>
  <c r="H59" i="3" s="1"/>
  <c r="U392" i="5"/>
  <c r="S59" i="3" s="1"/>
  <c r="I392" i="5"/>
  <c r="G59" i="3" s="1"/>
  <c r="S392" i="5"/>
  <c r="Q59" i="3" s="1"/>
  <c r="G392" i="5"/>
  <c r="E59" i="3" s="1"/>
  <c r="R392" i="5"/>
  <c r="F392" i="5"/>
  <c r="D59" i="3" s="1"/>
  <c r="P392" i="5"/>
  <c r="N59" i="3" s="1"/>
  <c r="O392" i="5"/>
  <c r="M59" i="3" s="1"/>
  <c r="H392" i="5"/>
  <c r="F59" i="3" s="1"/>
  <c r="AC392" i="5"/>
  <c r="AA59" i="3" s="1"/>
  <c r="AB392" i="5"/>
  <c r="Z59" i="3" s="1"/>
  <c r="AA392" i="5"/>
  <c r="Y59" i="3" s="1"/>
  <c r="T392" i="5"/>
  <c r="R59" i="3" s="1"/>
  <c r="Q392" i="5"/>
  <c r="O59" i="3" s="1"/>
  <c r="Z404" i="5"/>
  <c r="X89" i="3" s="1"/>
  <c r="N404" i="5"/>
  <c r="L89" i="3" s="1"/>
  <c r="Y404" i="5"/>
  <c r="W89" i="3" s="1"/>
  <c r="M404" i="5"/>
  <c r="K89" i="3" s="1"/>
  <c r="X404" i="5"/>
  <c r="V89" i="3" s="1"/>
  <c r="L404" i="5"/>
  <c r="J89" i="3" s="1"/>
  <c r="W404" i="5"/>
  <c r="U89" i="3" s="1"/>
  <c r="K404" i="5"/>
  <c r="I89" i="3" s="1"/>
  <c r="V404" i="5"/>
  <c r="T89" i="3" s="1"/>
  <c r="J404" i="5"/>
  <c r="H89" i="3" s="1"/>
  <c r="U404" i="5"/>
  <c r="S89" i="3" s="1"/>
  <c r="I404" i="5"/>
  <c r="G89" i="3" s="1"/>
  <c r="T404" i="5"/>
  <c r="R89" i="3" s="1"/>
  <c r="H404" i="5"/>
  <c r="F89" i="3" s="1"/>
  <c r="S404" i="5"/>
  <c r="Q89" i="3" s="1"/>
  <c r="G404" i="5"/>
  <c r="E89" i="3" s="1"/>
  <c r="R404" i="5"/>
  <c r="F404" i="5"/>
  <c r="D89" i="3" s="1"/>
  <c r="AC404" i="5"/>
  <c r="AA89" i="3" s="1"/>
  <c r="Q404" i="5"/>
  <c r="O89" i="3" s="1"/>
  <c r="AB404" i="5"/>
  <c r="Z89" i="3" s="1"/>
  <c r="P404" i="5"/>
  <c r="N89" i="3" s="1"/>
  <c r="AA404" i="5"/>
  <c r="Y89" i="3" s="1"/>
  <c r="O404" i="5"/>
  <c r="M89" i="3" s="1"/>
  <c r="Z416" i="5"/>
  <c r="N416" i="5"/>
  <c r="Y416" i="5"/>
  <c r="M416" i="5"/>
  <c r="X416" i="5"/>
  <c r="L416" i="5"/>
  <c r="W416" i="5"/>
  <c r="K416" i="5"/>
  <c r="V416" i="5"/>
  <c r="J416" i="5"/>
  <c r="U416" i="5"/>
  <c r="I416" i="5"/>
  <c r="T416" i="5"/>
  <c r="H416" i="5"/>
  <c r="S416" i="5"/>
  <c r="G416" i="5"/>
  <c r="R416" i="5"/>
  <c r="F416" i="5"/>
  <c r="AC416" i="5"/>
  <c r="Q416" i="5"/>
  <c r="AB416" i="5"/>
  <c r="P416" i="5"/>
  <c r="AA416" i="5"/>
  <c r="O416" i="5"/>
  <c r="Z428" i="5"/>
  <c r="X116" i="3" s="1"/>
  <c r="N428" i="5"/>
  <c r="L116" i="3" s="1"/>
  <c r="Y428" i="5"/>
  <c r="W116" i="3" s="1"/>
  <c r="M428" i="5"/>
  <c r="K116" i="3" s="1"/>
  <c r="X428" i="5"/>
  <c r="V116" i="3" s="1"/>
  <c r="L428" i="5"/>
  <c r="J116" i="3" s="1"/>
  <c r="W428" i="5"/>
  <c r="U116" i="3" s="1"/>
  <c r="K428" i="5"/>
  <c r="I116" i="3" s="1"/>
  <c r="V428" i="5"/>
  <c r="T116" i="3" s="1"/>
  <c r="J428" i="5"/>
  <c r="H116" i="3" s="1"/>
  <c r="U428" i="5"/>
  <c r="S116" i="3" s="1"/>
  <c r="I428" i="5"/>
  <c r="G116" i="3" s="1"/>
  <c r="T428" i="5"/>
  <c r="R116" i="3" s="1"/>
  <c r="H428" i="5"/>
  <c r="F116" i="3" s="1"/>
  <c r="R428" i="5"/>
  <c r="F428" i="5"/>
  <c r="D116" i="3" s="1"/>
  <c r="AC428" i="5"/>
  <c r="AA116" i="3" s="1"/>
  <c r="AB428" i="5"/>
  <c r="Z116" i="3" s="1"/>
  <c r="AA428" i="5"/>
  <c r="Y116" i="3" s="1"/>
  <c r="S428" i="5"/>
  <c r="Q116" i="3" s="1"/>
  <c r="Q428" i="5"/>
  <c r="O116" i="3" s="1"/>
  <c r="P428" i="5"/>
  <c r="N116" i="3" s="1"/>
  <c r="O428" i="5"/>
  <c r="M116" i="3" s="1"/>
  <c r="G428" i="5"/>
  <c r="E116" i="3" s="1"/>
  <c r="Z440" i="5"/>
  <c r="X120" i="3" s="1"/>
  <c r="N440" i="5"/>
  <c r="L120" i="3" s="1"/>
  <c r="Y440" i="5"/>
  <c r="W120" i="3" s="1"/>
  <c r="M440" i="5"/>
  <c r="K120" i="3" s="1"/>
  <c r="X440" i="5"/>
  <c r="V120" i="3" s="1"/>
  <c r="L440" i="5"/>
  <c r="J120" i="3" s="1"/>
  <c r="W440" i="5"/>
  <c r="U120" i="3" s="1"/>
  <c r="K440" i="5"/>
  <c r="I120" i="3" s="1"/>
  <c r="V440" i="5"/>
  <c r="T120" i="3" s="1"/>
  <c r="J440" i="5"/>
  <c r="H120" i="3" s="1"/>
  <c r="U440" i="5"/>
  <c r="S120" i="3" s="1"/>
  <c r="I440" i="5"/>
  <c r="G120" i="3" s="1"/>
  <c r="T440" i="5"/>
  <c r="R120" i="3" s="1"/>
  <c r="H440" i="5"/>
  <c r="F120" i="3" s="1"/>
  <c r="S440" i="5"/>
  <c r="Q120" i="3" s="1"/>
  <c r="G440" i="5"/>
  <c r="E120" i="3" s="1"/>
  <c r="R440" i="5"/>
  <c r="P120" i="3" s="1"/>
  <c r="F440" i="5"/>
  <c r="D120" i="3" s="1"/>
  <c r="AC440" i="5"/>
  <c r="AA120" i="3" s="1"/>
  <c r="Q440" i="5"/>
  <c r="O120" i="3" s="1"/>
  <c r="AB440" i="5"/>
  <c r="Z120" i="3" s="1"/>
  <c r="P440" i="5"/>
  <c r="N120" i="3" s="1"/>
  <c r="AA440" i="5"/>
  <c r="Y120" i="3" s="1"/>
  <c r="O440" i="5"/>
  <c r="M120" i="3" s="1"/>
  <c r="Z452" i="5"/>
  <c r="N452" i="5"/>
  <c r="Y452" i="5"/>
  <c r="M452" i="5"/>
  <c r="X452" i="5"/>
  <c r="L452" i="5"/>
  <c r="W452" i="5"/>
  <c r="K452" i="5"/>
  <c r="V452" i="5"/>
  <c r="J452" i="5"/>
  <c r="U452" i="5"/>
  <c r="I452" i="5"/>
  <c r="T452" i="5"/>
  <c r="H452" i="5"/>
  <c r="S452" i="5"/>
  <c r="G452" i="5"/>
  <c r="R452" i="5"/>
  <c r="F452" i="5"/>
  <c r="AC452" i="5"/>
  <c r="Q452" i="5"/>
  <c r="AB452" i="5"/>
  <c r="P452" i="5"/>
  <c r="AA452" i="5"/>
  <c r="O452" i="5"/>
  <c r="AA464" i="5"/>
  <c r="Y143" i="3" s="1"/>
  <c r="O464" i="5"/>
  <c r="M143" i="3" s="1"/>
  <c r="Z464" i="5"/>
  <c r="X143" i="3" s="1"/>
  <c r="N464" i="5"/>
  <c r="L143" i="3" s="1"/>
  <c r="Y464" i="5"/>
  <c r="W143" i="3" s="1"/>
  <c r="M464" i="5"/>
  <c r="K143" i="3" s="1"/>
  <c r="X464" i="5"/>
  <c r="V143" i="3" s="1"/>
  <c r="L464" i="5"/>
  <c r="J143" i="3" s="1"/>
  <c r="W464" i="5"/>
  <c r="U143" i="3" s="1"/>
  <c r="K464" i="5"/>
  <c r="I143" i="3" s="1"/>
  <c r="V464" i="5"/>
  <c r="T143" i="3" s="1"/>
  <c r="J464" i="5"/>
  <c r="H143" i="3" s="1"/>
  <c r="U464" i="5"/>
  <c r="S143" i="3" s="1"/>
  <c r="I464" i="5"/>
  <c r="G143" i="3" s="1"/>
  <c r="T464" i="5"/>
  <c r="R143" i="3" s="1"/>
  <c r="H464" i="5"/>
  <c r="F143" i="3" s="1"/>
  <c r="R464" i="5"/>
  <c r="P143" i="3" s="1"/>
  <c r="F464" i="5"/>
  <c r="D143" i="3" s="1"/>
  <c r="AC464" i="5"/>
  <c r="AA143" i="3" s="1"/>
  <c r="AB464" i="5"/>
  <c r="Z143" i="3" s="1"/>
  <c r="S464" i="5"/>
  <c r="Q143" i="3" s="1"/>
  <c r="Q464" i="5"/>
  <c r="O143" i="3" s="1"/>
  <c r="P464" i="5"/>
  <c r="N143" i="3" s="1"/>
  <c r="G464" i="5"/>
  <c r="E143" i="3" s="1"/>
  <c r="AA476" i="5"/>
  <c r="O476" i="5"/>
  <c r="Z476" i="5"/>
  <c r="N476" i="5"/>
  <c r="Y476" i="5"/>
  <c r="M476" i="5"/>
  <c r="X476" i="5"/>
  <c r="L476" i="5"/>
  <c r="W476" i="5"/>
  <c r="K476" i="5"/>
  <c r="V476" i="5"/>
  <c r="J476" i="5"/>
  <c r="U476" i="5"/>
  <c r="I476" i="5"/>
  <c r="T476" i="5"/>
  <c r="H476" i="5"/>
  <c r="S476" i="5"/>
  <c r="G476" i="5"/>
  <c r="R476" i="5"/>
  <c r="F476" i="5"/>
  <c r="AC476" i="5"/>
  <c r="Q476" i="5"/>
  <c r="AB476" i="5"/>
  <c r="P476" i="5"/>
  <c r="AA488" i="5"/>
  <c r="Y70" i="3" s="1"/>
  <c r="O488" i="5"/>
  <c r="M70" i="3" s="1"/>
  <c r="Z488" i="5"/>
  <c r="X70" i="3" s="1"/>
  <c r="N488" i="5"/>
  <c r="L70" i="3" s="1"/>
  <c r="Y488" i="5"/>
  <c r="W70" i="3" s="1"/>
  <c r="M488" i="5"/>
  <c r="K70" i="3" s="1"/>
  <c r="X488" i="5"/>
  <c r="V70" i="3" s="1"/>
  <c r="L488" i="5"/>
  <c r="J70" i="3" s="1"/>
  <c r="W488" i="5"/>
  <c r="U70" i="3" s="1"/>
  <c r="K488" i="5"/>
  <c r="I70" i="3" s="1"/>
  <c r="V488" i="5"/>
  <c r="T70" i="3" s="1"/>
  <c r="J488" i="5"/>
  <c r="H70" i="3" s="1"/>
  <c r="U488" i="5"/>
  <c r="S70" i="3" s="1"/>
  <c r="I488" i="5"/>
  <c r="G70" i="3" s="1"/>
  <c r="T488" i="5"/>
  <c r="R70" i="3" s="1"/>
  <c r="H488" i="5"/>
  <c r="F70" i="3" s="1"/>
  <c r="S488" i="5"/>
  <c r="Q70" i="3" s="1"/>
  <c r="G488" i="5"/>
  <c r="E70" i="3" s="1"/>
  <c r="R488" i="5"/>
  <c r="P70" i="3" s="1"/>
  <c r="F488" i="5"/>
  <c r="D70" i="3" s="1"/>
  <c r="AC488" i="5"/>
  <c r="AA70" i="3" s="1"/>
  <c r="Q488" i="5"/>
  <c r="O70" i="3" s="1"/>
  <c r="AB488" i="5"/>
  <c r="Z70" i="3" s="1"/>
  <c r="P488" i="5"/>
  <c r="N70" i="3" s="1"/>
  <c r="T500" i="5"/>
  <c r="H500" i="5"/>
  <c r="S500" i="5"/>
  <c r="G500" i="5"/>
  <c r="R500" i="5"/>
  <c r="F500" i="5"/>
  <c r="AC500" i="5"/>
  <c r="Q500" i="5"/>
  <c r="AB500" i="5"/>
  <c r="P500" i="5"/>
  <c r="AA500" i="5"/>
  <c r="O500" i="5"/>
  <c r="X500" i="5"/>
  <c r="W500" i="5"/>
  <c r="V500" i="5"/>
  <c r="U500" i="5"/>
  <c r="N500" i="5"/>
  <c r="M500" i="5"/>
  <c r="L500" i="5"/>
  <c r="K500" i="5"/>
  <c r="J500" i="5"/>
  <c r="I500" i="5"/>
  <c r="Z500" i="5"/>
  <c r="Y500" i="5"/>
  <c r="T512" i="5"/>
  <c r="H512" i="5"/>
  <c r="S512" i="5"/>
  <c r="G512" i="5"/>
  <c r="R512" i="5"/>
  <c r="F512" i="5"/>
  <c r="AA512" i="5"/>
  <c r="L512" i="5"/>
  <c r="Z512" i="5"/>
  <c r="K512" i="5"/>
  <c r="Y512" i="5"/>
  <c r="J512" i="5"/>
  <c r="X512" i="5"/>
  <c r="I512" i="5"/>
  <c r="W512" i="5"/>
  <c r="V512" i="5"/>
  <c r="U512" i="5"/>
  <c r="Q512" i="5"/>
  <c r="P512" i="5"/>
  <c r="O512" i="5"/>
  <c r="AC512" i="5"/>
  <c r="N512" i="5"/>
  <c r="AB512" i="5"/>
  <c r="M512" i="5"/>
  <c r="T524" i="5"/>
  <c r="H524" i="5"/>
  <c r="S524" i="5"/>
  <c r="G524" i="5"/>
  <c r="R524" i="5"/>
  <c r="F524" i="5"/>
  <c r="AC524" i="5"/>
  <c r="N524" i="5"/>
  <c r="AB524" i="5"/>
  <c r="M524" i="5"/>
  <c r="AA524" i="5"/>
  <c r="L524" i="5"/>
  <c r="Q524" i="5"/>
  <c r="P524" i="5"/>
  <c r="O524" i="5"/>
  <c r="Z524" i="5"/>
  <c r="Y524" i="5"/>
  <c r="X524" i="5"/>
  <c r="W524" i="5"/>
  <c r="V524" i="5"/>
  <c r="U524" i="5"/>
  <c r="K524" i="5"/>
  <c r="J524" i="5"/>
  <c r="I524" i="5"/>
  <c r="T536" i="5"/>
  <c r="H536" i="5"/>
  <c r="S536" i="5"/>
  <c r="G536" i="5"/>
  <c r="R536" i="5"/>
  <c r="F536" i="5"/>
  <c r="U536" i="5"/>
  <c r="I536" i="5"/>
  <c r="AA536" i="5"/>
  <c r="K536" i="5"/>
  <c r="Z536" i="5"/>
  <c r="J536" i="5"/>
  <c r="Y536" i="5"/>
  <c r="N536" i="5"/>
  <c r="AC536" i="5"/>
  <c r="M536" i="5"/>
  <c r="AB536" i="5"/>
  <c r="L536" i="5"/>
  <c r="X536" i="5"/>
  <c r="W536" i="5"/>
  <c r="V536" i="5"/>
  <c r="Q536" i="5"/>
  <c r="P536" i="5"/>
  <c r="O536" i="5"/>
  <c r="T548" i="5"/>
  <c r="H548" i="5"/>
  <c r="S548" i="5"/>
  <c r="G548" i="5"/>
  <c r="R548" i="5"/>
  <c r="F548" i="5"/>
  <c r="V548" i="5"/>
  <c r="J548" i="5"/>
  <c r="U548" i="5"/>
  <c r="I548" i="5"/>
  <c r="M548" i="5"/>
  <c r="AC548" i="5"/>
  <c r="L548" i="5"/>
  <c r="AB548" i="5"/>
  <c r="K548" i="5"/>
  <c r="P548" i="5"/>
  <c r="O548" i="5"/>
  <c r="N548" i="5"/>
  <c r="AA548" i="5"/>
  <c r="Z548" i="5"/>
  <c r="Y548" i="5"/>
  <c r="X548" i="5"/>
  <c r="W548" i="5"/>
  <c r="Q548" i="5"/>
  <c r="T560" i="5"/>
  <c r="R40" i="3" s="1"/>
  <c r="H560" i="5"/>
  <c r="F40" i="3" s="1"/>
  <c r="S560" i="5"/>
  <c r="Q40" i="3" s="1"/>
  <c r="G560" i="5"/>
  <c r="E40" i="3" s="1"/>
  <c r="R560" i="5"/>
  <c r="F560" i="5"/>
  <c r="D40" i="3" s="1"/>
  <c r="V560" i="5"/>
  <c r="T40" i="3" s="1"/>
  <c r="J560" i="5"/>
  <c r="H40" i="3" s="1"/>
  <c r="U560" i="5"/>
  <c r="S40" i="3" s="1"/>
  <c r="I560" i="5"/>
  <c r="G40" i="3" s="1"/>
  <c r="M560" i="5"/>
  <c r="K40" i="3" s="1"/>
  <c r="AC560" i="5"/>
  <c r="AA40" i="3" s="1"/>
  <c r="L560" i="5"/>
  <c r="J40" i="3" s="1"/>
  <c r="AB560" i="5"/>
  <c r="Z40" i="3" s="1"/>
  <c r="K560" i="5"/>
  <c r="I40" i="3" s="1"/>
  <c r="P560" i="5"/>
  <c r="N40" i="3" s="1"/>
  <c r="O560" i="5"/>
  <c r="M40" i="3" s="1"/>
  <c r="N560" i="5"/>
  <c r="L40" i="3" s="1"/>
  <c r="AA560" i="5"/>
  <c r="Y40" i="3" s="1"/>
  <c r="Z560" i="5"/>
  <c r="X40" i="3" s="1"/>
  <c r="Y560" i="5"/>
  <c r="W40" i="3" s="1"/>
  <c r="X560" i="5"/>
  <c r="V40" i="3" s="1"/>
  <c r="W560" i="5"/>
  <c r="U40" i="3" s="1"/>
  <c r="Q560" i="5"/>
  <c r="O40" i="3" s="1"/>
  <c r="U29" i="13"/>
  <c r="X17" i="13"/>
  <c r="Y151" i="4"/>
  <c r="Y15" i="4"/>
  <c r="X24" i="4"/>
  <c r="Y24" i="4"/>
  <c r="Y34" i="4"/>
  <c r="Y39" i="4"/>
  <c r="Y45" i="4"/>
  <c r="X46" i="4"/>
  <c r="Y46" i="4"/>
  <c r="Y72" i="4"/>
  <c r="Y99" i="4"/>
  <c r="X107" i="4"/>
  <c r="Y107" i="4"/>
  <c r="X141" i="4"/>
  <c r="Y141" i="4"/>
  <c r="Y164" i="4"/>
  <c r="Y166" i="4" s="1"/>
  <c r="Y168" i="4" s="1"/>
  <c r="Y211" i="4"/>
  <c r="Y22" i="3"/>
  <c r="Y27" i="3"/>
  <c r="X36" i="3"/>
  <c r="Y36" i="3"/>
  <c r="Y112" i="3"/>
  <c r="Y152" i="3"/>
  <c r="Y153" i="3" s="1"/>
  <c r="Y117" i="3"/>
  <c r="X128" i="3"/>
  <c r="Y128" i="3"/>
  <c r="Y71" i="3"/>
  <c r="X152" i="4"/>
  <c r="Y152" i="4"/>
  <c r="Y16" i="4"/>
  <c r="Y25" i="4"/>
  <c r="Y32" i="4"/>
  <c r="X40" i="4"/>
  <c r="Y40" i="4"/>
  <c r="Y59" i="4"/>
  <c r="Y80" i="4"/>
  <c r="Y73" i="4"/>
  <c r="X100" i="4"/>
  <c r="Y100" i="4"/>
  <c r="X116" i="4"/>
  <c r="Y116" i="4"/>
  <c r="Y142" i="4"/>
  <c r="X177" i="4"/>
  <c r="Y177" i="4"/>
  <c r="Y212" i="4"/>
  <c r="Y28" i="3"/>
  <c r="Y102" i="3"/>
  <c r="Y113" i="3"/>
  <c r="Y72" i="3"/>
  <c r="Y17" i="4"/>
  <c r="X26" i="4"/>
  <c r="Y26" i="4"/>
  <c r="Y41" i="4"/>
  <c r="Y64" i="4"/>
  <c r="X101" i="4"/>
  <c r="Y101" i="4"/>
  <c r="Y117" i="4"/>
  <c r="Y123" i="4"/>
  <c r="X202" i="4"/>
  <c r="Y202" i="4"/>
  <c r="X127" i="3"/>
  <c r="Y127" i="3"/>
  <c r="Y37" i="3"/>
  <c r="Y104" i="3"/>
  <c r="Y62" i="3"/>
  <c r="Y126" i="3"/>
  <c r="Y66" i="3"/>
  <c r="Y74" i="3"/>
  <c r="Y76" i="3"/>
  <c r="H3" i="5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X18" i="4"/>
  <c r="Y18" i="4"/>
  <c r="Y65" i="4"/>
  <c r="D394" i="17"/>
  <c r="D357" i="17"/>
  <c r="D358" i="17" s="1"/>
  <c r="D380" i="17"/>
  <c r="D381" i="17"/>
  <c r="D393" i="17"/>
  <c r="D364" i="17"/>
  <c r="D392" i="17"/>
  <c r="D365" i="17"/>
  <c r="Y155" i="4"/>
  <c r="Y27" i="4"/>
  <c r="X35" i="4"/>
  <c r="Y35" i="4"/>
  <c r="Y54" i="4"/>
  <c r="Y74" i="4"/>
  <c r="Y125" i="4"/>
  <c r="Y108" i="4"/>
  <c r="X30" i="3"/>
  <c r="Y30" i="3"/>
  <c r="Y105" i="3"/>
  <c r="Y93" i="3"/>
  <c r="Y114" i="3"/>
  <c r="Y123" i="3"/>
  <c r="Y160" i="3"/>
  <c r="Y161" i="3" s="1"/>
  <c r="Y10" i="4"/>
  <c r="Y28" i="4"/>
  <c r="X36" i="4"/>
  <c r="Y36" i="4"/>
  <c r="X42" i="4"/>
  <c r="Y42" i="4"/>
  <c r="X55" i="4"/>
  <c r="Y55" i="4"/>
  <c r="X134" i="4"/>
  <c r="Y134" i="4"/>
  <c r="X81" i="4"/>
  <c r="Y81" i="4"/>
  <c r="X75" i="4"/>
  <c r="Y75" i="4"/>
  <c r="X102" i="4"/>
  <c r="Y102" i="4"/>
  <c r="X119" i="4"/>
  <c r="Y119" i="4"/>
  <c r="X126" i="4"/>
  <c r="Y126" i="4"/>
  <c r="Y220" i="4"/>
  <c r="X12" i="3"/>
  <c r="Y12" i="3"/>
  <c r="X11" i="3"/>
  <c r="Y11" i="3"/>
  <c r="Y24" i="3"/>
  <c r="Y32" i="3"/>
  <c r="X38" i="3"/>
  <c r="Y38" i="3"/>
  <c r="Y106" i="3"/>
  <c r="Y94" i="3"/>
  <c r="Y119" i="3"/>
  <c r="Y129" i="3"/>
  <c r="X53" i="4"/>
  <c r="Y53" i="4"/>
  <c r="Y43" i="4"/>
  <c r="Y56" i="4"/>
  <c r="X66" i="4"/>
  <c r="Y66" i="4"/>
  <c r="X89" i="4"/>
  <c r="Y89" i="4"/>
  <c r="X103" i="4"/>
  <c r="Y103" i="4"/>
  <c r="Y120" i="4"/>
  <c r="Y127" i="4"/>
  <c r="Y21" i="4"/>
  <c r="Y128" i="4"/>
  <c r="F3" i="3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AL3" i="3" s="1"/>
  <c r="AM3" i="3" s="1"/>
  <c r="T38" i="14"/>
  <c r="T40" i="14" s="1"/>
  <c r="V1" i="14" s="1"/>
  <c r="X144" i="4"/>
  <c r="X153" i="4"/>
  <c r="X49" i="3"/>
  <c r="X154" i="4"/>
  <c r="X118" i="4"/>
  <c r="X124" i="4"/>
  <c r="X194" i="4"/>
  <c r="X200" i="4"/>
  <c r="X29" i="3"/>
  <c r="X19" i="4"/>
  <c r="X195" i="4"/>
  <c r="Q202" i="4"/>
  <c r="J18" i="4"/>
  <c r="U53" i="4"/>
  <c r="S74" i="3"/>
  <c r="X120" i="4"/>
  <c r="Q151" i="4"/>
  <c r="X151" i="4"/>
  <c r="G15" i="4"/>
  <c r="X15" i="4"/>
  <c r="U34" i="4"/>
  <c r="X34" i="4"/>
  <c r="F39" i="4"/>
  <c r="X39" i="4"/>
  <c r="X45" i="4"/>
  <c r="V72" i="4"/>
  <c r="X72" i="4"/>
  <c r="X99" i="4"/>
  <c r="U164" i="4"/>
  <c r="U166" i="4" s="1"/>
  <c r="U168" i="4" s="1"/>
  <c r="X164" i="4"/>
  <c r="X166" i="4" s="1"/>
  <c r="X22" i="3"/>
  <c r="X27" i="3"/>
  <c r="D90" i="3"/>
  <c r="G17" i="4"/>
  <c r="X17" i="4"/>
  <c r="G123" i="4"/>
  <c r="X123" i="4"/>
  <c r="U62" i="3"/>
  <c r="G103" i="4"/>
  <c r="U16" i="4"/>
  <c r="X16" i="4"/>
  <c r="E25" i="4"/>
  <c r="X25" i="4"/>
  <c r="X32" i="4"/>
  <c r="V59" i="4"/>
  <c r="X59" i="4"/>
  <c r="E80" i="4"/>
  <c r="X80" i="4"/>
  <c r="U73" i="4"/>
  <c r="X73" i="4"/>
  <c r="E142" i="4"/>
  <c r="X142" i="4"/>
  <c r="E28" i="3"/>
  <c r="X28" i="3"/>
  <c r="D64" i="4"/>
  <c r="X64" i="4"/>
  <c r="X117" i="4"/>
  <c r="Q37" i="3"/>
  <c r="X37" i="3"/>
  <c r="E155" i="4"/>
  <c r="X155" i="4"/>
  <c r="V27" i="4"/>
  <c r="X27" i="4"/>
  <c r="X54" i="4"/>
  <c r="X74" i="4"/>
  <c r="X125" i="4"/>
  <c r="E108" i="4"/>
  <c r="X108" i="4"/>
  <c r="X10" i="4"/>
  <c r="J28" i="4"/>
  <c r="X28" i="4"/>
  <c r="E12" i="3"/>
  <c r="R32" i="3"/>
  <c r="X32" i="3"/>
  <c r="F41" i="4"/>
  <c r="X41" i="4"/>
  <c r="P65" i="4"/>
  <c r="X65" i="4"/>
  <c r="X56" i="4"/>
  <c r="X43" i="4"/>
  <c r="X127" i="4"/>
  <c r="AJ54" i="3"/>
  <c r="J63" i="3"/>
  <c r="X105" i="3"/>
  <c r="AE90" i="3"/>
  <c r="D54" i="4"/>
  <c r="G220" i="4"/>
  <c r="AK90" i="3"/>
  <c r="AG105" i="3"/>
  <c r="AK105" i="3"/>
  <c r="AL105" i="3"/>
  <c r="U25" i="4"/>
  <c r="V32" i="3"/>
  <c r="AC112" i="3"/>
  <c r="G28" i="4"/>
  <c r="E41" i="4"/>
  <c r="S45" i="4"/>
  <c r="AG71" i="3"/>
  <c r="AD152" i="3"/>
  <c r="AD153" i="3" s="1"/>
  <c r="T28" i="4"/>
  <c r="J41" i="4"/>
  <c r="F28" i="3"/>
  <c r="AI152" i="3"/>
  <c r="AI153" i="3" s="1"/>
  <c r="E18" i="4"/>
  <c r="H28" i="3"/>
  <c r="I73" i="4"/>
  <c r="I12" i="3"/>
  <c r="AD110" i="3"/>
  <c r="J25" i="4"/>
  <c r="V53" i="4"/>
  <c r="J73" i="4"/>
  <c r="S12" i="3"/>
  <c r="R28" i="3"/>
  <c r="AL152" i="3"/>
  <c r="AL153" i="3" s="1"/>
  <c r="I18" i="4"/>
  <c r="I25" i="4"/>
  <c r="AK110" i="3"/>
  <c r="Q25" i="4"/>
  <c r="AF112" i="3"/>
  <c r="AF142" i="3"/>
  <c r="E32" i="3"/>
  <c r="S155" i="4"/>
  <c r="F220" i="4"/>
  <c r="AF65" i="3"/>
  <c r="AK65" i="3"/>
  <c r="Q71" i="3"/>
  <c r="G73" i="4"/>
  <c r="I20" i="4"/>
  <c r="Q20" i="4"/>
  <c r="R141" i="4"/>
  <c r="U141" i="4"/>
  <c r="V33" i="4"/>
  <c r="AL65" i="3"/>
  <c r="AF22" i="3"/>
  <c r="AE22" i="3"/>
  <c r="AD22" i="3"/>
  <c r="Z22" i="3"/>
  <c r="AL22" i="3"/>
  <c r="AI22" i="3"/>
  <c r="AH22" i="3"/>
  <c r="AH42" i="3" s="1"/>
  <c r="AE114" i="3"/>
  <c r="AM114" i="3"/>
  <c r="AK114" i="3"/>
  <c r="AG114" i="3"/>
  <c r="AM130" i="3"/>
  <c r="AD130" i="3"/>
  <c r="AF124" i="3"/>
  <c r="X74" i="3"/>
  <c r="AF71" i="3"/>
  <c r="AI71" i="3"/>
  <c r="AH125" i="3"/>
  <c r="E34" i="4"/>
  <c r="F34" i="4"/>
  <c r="D12" i="3"/>
  <c r="V22" i="3"/>
  <c r="AL156" i="3"/>
  <c r="AL157" i="3" s="1"/>
  <c r="G34" i="4"/>
  <c r="D41" i="4"/>
  <c r="H12" i="3"/>
  <c r="D28" i="3"/>
  <c r="T28" i="3"/>
  <c r="Q91" i="3"/>
  <c r="AK107" i="3"/>
  <c r="Y124" i="3"/>
  <c r="AF74" i="3"/>
  <c r="Z124" i="3"/>
  <c r="H66" i="4"/>
  <c r="AD124" i="3"/>
  <c r="R66" i="4"/>
  <c r="I22" i="3"/>
  <c r="G27" i="3"/>
  <c r="D27" i="3"/>
  <c r="R27" i="3"/>
  <c r="AI75" i="3"/>
  <c r="AE75" i="3"/>
  <c r="AI90" i="3"/>
  <c r="AL90" i="3"/>
  <c r="AG124" i="3"/>
  <c r="F18" i="4"/>
  <c r="U18" i="4"/>
  <c r="R22" i="3"/>
  <c r="H27" i="3"/>
  <c r="Q27" i="3"/>
  <c r="H220" i="4"/>
  <c r="Q104" i="3"/>
  <c r="D220" i="4"/>
  <c r="AD23" i="3"/>
  <c r="AB69" i="3"/>
  <c r="AH93" i="3"/>
  <c r="AI93" i="3"/>
  <c r="AM102" i="3"/>
  <c r="X102" i="3"/>
  <c r="AD106" i="3"/>
  <c r="P26" i="4"/>
  <c r="F33" i="4"/>
  <c r="G59" i="4"/>
  <c r="R72" i="4"/>
  <c r="H120" i="4"/>
  <c r="E141" i="4"/>
  <c r="F219" i="4"/>
  <c r="E219" i="4"/>
  <c r="Q219" i="4"/>
  <c r="F141" i="4"/>
  <c r="I219" i="4"/>
  <c r="J124" i="3"/>
  <c r="H209" i="4"/>
  <c r="G209" i="4"/>
  <c r="AE65" i="3"/>
  <c r="AL69" i="3"/>
  <c r="AK74" i="3"/>
  <c r="AK75" i="3"/>
  <c r="X90" i="3"/>
  <c r="AJ93" i="3"/>
  <c r="AG107" i="3"/>
  <c r="AC110" i="3"/>
  <c r="AI113" i="3"/>
  <c r="X124" i="3"/>
  <c r="AG130" i="3"/>
  <c r="AL130" i="3"/>
  <c r="E65" i="4"/>
  <c r="D65" i="4"/>
  <c r="F29" i="3"/>
  <c r="E29" i="3"/>
  <c r="AD62" i="3"/>
  <c r="AH62" i="3"/>
  <c r="AE62" i="3"/>
  <c r="AI86" i="3"/>
  <c r="AJ122" i="3"/>
  <c r="AE122" i="3"/>
  <c r="D26" i="4"/>
  <c r="D33" i="4"/>
  <c r="D120" i="4"/>
  <c r="H141" i="4"/>
  <c r="G141" i="4"/>
  <c r="I141" i="4"/>
  <c r="AJ86" i="3"/>
  <c r="G26" i="4"/>
  <c r="E33" i="4"/>
  <c r="J72" i="4"/>
  <c r="D141" i="4"/>
  <c r="E164" i="4"/>
  <c r="E166" i="4" s="1"/>
  <c r="E168" i="4" s="1"/>
  <c r="AJ117" i="3"/>
  <c r="AI142" i="3"/>
  <c r="S141" i="4"/>
  <c r="T114" i="3"/>
  <c r="X61" i="3"/>
  <c r="AH61" i="3"/>
  <c r="Z114" i="3"/>
  <c r="H28" i="4"/>
  <c r="J178" i="4"/>
  <c r="E202" i="4"/>
  <c r="I114" i="3"/>
  <c r="AF114" i="3"/>
  <c r="J202" i="4"/>
  <c r="J12" i="3"/>
  <c r="J33" i="4"/>
  <c r="P33" i="4"/>
  <c r="T202" i="4"/>
  <c r="J129" i="3"/>
  <c r="I11" i="4"/>
  <c r="Q26" i="4"/>
  <c r="G33" i="4"/>
  <c r="H33" i="4"/>
  <c r="J141" i="4"/>
  <c r="S117" i="3"/>
  <c r="U113" i="3"/>
  <c r="AD69" i="3"/>
  <c r="AF75" i="3"/>
  <c r="Z93" i="3"/>
  <c r="AG106" i="3"/>
  <c r="AJ108" i="3"/>
  <c r="AM122" i="3"/>
  <c r="AK142" i="3"/>
  <c r="AK144" i="3" s="1"/>
  <c r="AD160" i="3"/>
  <c r="AD161" i="3" s="1"/>
  <c r="AJ24" i="3"/>
  <c r="AE69" i="3"/>
  <c r="AK73" i="3"/>
  <c r="AH75" i="3"/>
  <c r="AD88" i="3"/>
  <c r="AE93" i="3"/>
  <c r="AL102" i="3"/>
  <c r="AD113" i="3"/>
  <c r="AK115" i="3"/>
  <c r="Z65" i="3"/>
  <c r="AM73" i="3"/>
  <c r="AG93" i="3"/>
  <c r="AF107" i="3"/>
  <c r="AE113" i="3"/>
  <c r="AL115" i="3"/>
  <c r="AK124" i="3"/>
  <c r="Q33" i="4"/>
  <c r="R74" i="4"/>
  <c r="AK22" i="3"/>
  <c r="V123" i="3"/>
  <c r="U178" i="3"/>
  <c r="AL59" i="3"/>
  <c r="AK66" i="3"/>
  <c r="AL66" i="3"/>
  <c r="AM66" i="3"/>
  <c r="AG66" i="3"/>
  <c r="AD118" i="3"/>
  <c r="AL118" i="3"/>
  <c r="AE118" i="3"/>
  <c r="AG118" i="3"/>
  <c r="P24" i="4"/>
  <c r="W24" i="4"/>
  <c r="O24" i="4"/>
  <c r="N24" i="4"/>
  <c r="M24" i="4"/>
  <c r="L24" i="4"/>
  <c r="F24" i="4"/>
  <c r="H24" i="4"/>
  <c r="AJ63" i="3"/>
  <c r="AG63" i="3"/>
  <c r="AF116" i="3"/>
  <c r="Z126" i="3"/>
  <c r="AI126" i="3"/>
  <c r="AE63" i="3"/>
  <c r="V17" i="4"/>
  <c r="W26" i="4"/>
  <c r="M26" i="4"/>
  <c r="O26" i="4"/>
  <c r="N26" i="4"/>
  <c r="L26" i="4"/>
  <c r="J26" i="4"/>
  <c r="I26" i="4"/>
  <c r="H26" i="4"/>
  <c r="F26" i="4"/>
  <c r="E26" i="4"/>
  <c r="N41" i="4"/>
  <c r="O41" i="4"/>
  <c r="M41" i="4"/>
  <c r="L41" i="4"/>
  <c r="U41" i="4"/>
  <c r="P41" i="4"/>
  <c r="Q41" i="4"/>
  <c r="I41" i="4"/>
  <c r="H41" i="4"/>
  <c r="G41" i="4"/>
  <c r="L37" i="4"/>
  <c r="O37" i="4"/>
  <c r="G67" i="4"/>
  <c r="Q24" i="4"/>
  <c r="AG54" i="3"/>
  <c r="AK63" i="3"/>
  <c r="AJ112" i="3"/>
  <c r="AD112" i="3"/>
  <c r="AI156" i="3"/>
  <c r="AI157" i="3" s="1"/>
  <c r="O151" i="4"/>
  <c r="W151" i="4"/>
  <c r="M151" i="4"/>
  <c r="L151" i="4"/>
  <c r="N151" i="4"/>
  <c r="E151" i="4"/>
  <c r="P151" i="4"/>
  <c r="V24" i="4"/>
  <c r="O10" i="4"/>
  <c r="N10" i="4"/>
  <c r="M10" i="4"/>
  <c r="L10" i="4"/>
  <c r="J10" i="4"/>
  <c r="AK60" i="3"/>
  <c r="AJ67" i="3"/>
  <c r="X122" i="3"/>
  <c r="AK122" i="3"/>
  <c r="AI63" i="3"/>
  <c r="AD97" i="3"/>
  <c r="Q10" i="4"/>
  <c r="Y60" i="3"/>
  <c r="X67" i="3"/>
  <c r="AB88" i="3"/>
  <c r="AD94" i="3"/>
  <c r="AH94" i="3"/>
  <c r="AJ94" i="3"/>
  <c r="AE112" i="3"/>
  <c r="AI114" i="3"/>
  <c r="AB116" i="3"/>
  <c r="AL122" i="3"/>
  <c r="X126" i="3"/>
  <c r="R151" i="4"/>
  <c r="O16" i="4"/>
  <c r="W16" i="4"/>
  <c r="N16" i="4"/>
  <c r="M16" i="4"/>
  <c r="L16" i="4"/>
  <c r="K16" i="4"/>
  <c r="O152" i="4"/>
  <c r="L152" i="4"/>
  <c r="N152" i="4"/>
  <c r="M152" i="4"/>
  <c r="N29" i="4"/>
  <c r="O29" i="4"/>
  <c r="AM88" i="3"/>
  <c r="AL116" i="3"/>
  <c r="AH152" i="3"/>
  <c r="AH153" i="3" s="1"/>
  <c r="AE152" i="3"/>
  <c r="AE153" i="3" s="1"/>
  <c r="U153" i="4"/>
  <c r="O153" i="4"/>
  <c r="N153" i="4"/>
  <c r="M153" i="4"/>
  <c r="L153" i="4"/>
  <c r="Q153" i="4"/>
  <c r="H153" i="4"/>
  <c r="G24" i="4"/>
  <c r="Z104" i="3"/>
  <c r="AG116" i="3"/>
  <c r="AB126" i="3"/>
  <c r="AJ147" i="3"/>
  <c r="AJ149" i="3" s="1"/>
  <c r="F17" i="4"/>
  <c r="E27" i="4"/>
  <c r="O42" i="4"/>
  <c r="N42" i="4"/>
  <c r="M42" i="4"/>
  <c r="L42" i="4"/>
  <c r="W42" i="4"/>
  <c r="K42" i="4"/>
  <c r="AI23" i="3"/>
  <c r="AM71" i="3"/>
  <c r="Z73" i="3"/>
  <c r="Y90" i="3"/>
  <c r="AE97" i="3"/>
  <c r="AI104" i="3"/>
  <c r="AI108" i="3"/>
  <c r="AF113" i="3"/>
  <c r="AG115" i="3"/>
  <c r="AK138" i="3"/>
  <c r="Z152" i="3"/>
  <c r="Z153" i="3" s="1"/>
  <c r="AH156" i="3"/>
  <c r="AH157" i="3" s="1"/>
  <c r="V153" i="4"/>
  <c r="J17" i="4"/>
  <c r="O17" i="4"/>
  <c r="N17" i="4"/>
  <c r="M17" i="4"/>
  <c r="L17" i="4"/>
  <c r="Q17" i="4"/>
  <c r="U17" i="4"/>
  <c r="Q27" i="4"/>
  <c r="O27" i="4"/>
  <c r="N27" i="4"/>
  <c r="M27" i="4"/>
  <c r="L27" i="4"/>
  <c r="H27" i="4"/>
  <c r="G27" i="4"/>
  <c r="AF23" i="3"/>
  <c r="AH69" i="3"/>
  <c r="AL70" i="3"/>
  <c r="X94" i="3"/>
  <c r="AF104" i="3"/>
  <c r="AK112" i="3"/>
  <c r="AF115" i="3"/>
  <c r="AM116" i="3"/>
  <c r="AJ124" i="3"/>
  <c r="AL124" i="3"/>
  <c r="AI124" i="3"/>
  <c r="AJ126" i="3"/>
  <c r="AG156" i="3"/>
  <c r="AG157" i="3" s="1"/>
  <c r="AD63" i="3"/>
  <c r="AE105" i="3"/>
  <c r="AI105" i="3"/>
  <c r="AJ115" i="3"/>
  <c r="AJ130" i="3"/>
  <c r="AC152" i="3"/>
  <c r="AC153" i="3" s="1"/>
  <c r="AK156" i="3"/>
  <c r="AK157" i="3" s="1"/>
  <c r="O154" i="4"/>
  <c r="N154" i="4"/>
  <c r="M154" i="4"/>
  <c r="L154" i="4"/>
  <c r="N11" i="4"/>
  <c r="O11" i="4"/>
  <c r="H17" i="4"/>
  <c r="J34" i="4"/>
  <c r="O34" i="4"/>
  <c r="M34" i="4"/>
  <c r="L34" i="4"/>
  <c r="N34" i="4"/>
  <c r="O35" i="4"/>
  <c r="N35" i="4"/>
  <c r="M35" i="4"/>
  <c r="L35" i="4"/>
  <c r="O65" i="4"/>
  <c r="W65" i="4"/>
  <c r="N65" i="4"/>
  <c r="L65" i="4"/>
  <c r="M65" i="4"/>
  <c r="K65" i="4"/>
  <c r="G65" i="4"/>
  <c r="V99" i="4"/>
  <c r="W99" i="4"/>
  <c r="O99" i="4"/>
  <c r="N99" i="4"/>
  <c r="L99" i="4"/>
  <c r="K99" i="4"/>
  <c r="M99" i="4"/>
  <c r="M54" i="4"/>
  <c r="W54" i="4"/>
  <c r="O54" i="4"/>
  <c r="N54" i="4"/>
  <c r="L54" i="4"/>
  <c r="G54" i="4"/>
  <c r="E54" i="4"/>
  <c r="W123" i="4"/>
  <c r="O123" i="4"/>
  <c r="N123" i="4"/>
  <c r="M123" i="4"/>
  <c r="L123" i="4"/>
  <c r="R123" i="4"/>
  <c r="H123" i="4"/>
  <c r="W100" i="4"/>
  <c r="O100" i="4"/>
  <c r="N100" i="4"/>
  <c r="M100" i="4"/>
  <c r="L100" i="4"/>
  <c r="S100" i="4"/>
  <c r="W124" i="4"/>
  <c r="O124" i="4"/>
  <c r="N124" i="4"/>
  <c r="M124" i="4"/>
  <c r="L124" i="4"/>
  <c r="D45" i="4"/>
  <c r="O45" i="4"/>
  <c r="W45" i="4"/>
  <c r="N45" i="4"/>
  <c r="L45" i="4"/>
  <c r="M45" i="4"/>
  <c r="F45" i="4"/>
  <c r="P45" i="4"/>
  <c r="I45" i="4"/>
  <c r="N55" i="4"/>
  <c r="M55" i="4"/>
  <c r="L55" i="4"/>
  <c r="W55" i="4"/>
  <c r="O55" i="4"/>
  <c r="E45" i="4"/>
  <c r="I55" i="4"/>
  <c r="T65" i="4"/>
  <c r="W46" i="4"/>
  <c r="O46" i="4"/>
  <c r="N46" i="4"/>
  <c r="L46" i="4"/>
  <c r="M46" i="4"/>
  <c r="AG142" i="3"/>
  <c r="K6" i="4"/>
  <c r="V6" i="4"/>
  <c r="J6" i="4"/>
  <c r="I6" i="4"/>
  <c r="T6" i="4"/>
  <c r="S6" i="4"/>
  <c r="G6" i="4"/>
  <c r="F6" i="4"/>
  <c r="E6" i="4"/>
  <c r="D6" i="4"/>
  <c r="O155" i="4"/>
  <c r="N155" i="4"/>
  <c r="M155" i="4"/>
  <c r="L155" i="4"/>
  <c r="G155" i="4"/>
  <c r="W15" i="4"/>
  <c r="O15" i="4"/>
  <c r="N15" i="4"/>
  <c r="K15" i="4"/>
  <c r="M15" i="4"/>
  <c r="L15" i="4"/>
  <c r="J15" i="4"/>
  <c r="D15" i="4"/>
  <c r="W25" i="4"/>
  <c r="O25" i="4"/>
  <c r="M25" i="4"/>
  <c r="N25" i="4"/>
  <c r="L25" i="4"/>
  <c r="K25" i="4"/>
  <c r="T25" i="4"/>
  <c r="W36" i="4"/>
  <c r="N36" i="4"/>
  <c r="M36" i="4"/>
  <c r="L36" i="4"/>
  <c r="O36" i="4"/>
  <c r="G45" i="4"/>
  <c r="U65" i="4"/>
  <c r="E46" i="4"/>
  <c r="F15" i="4"/>
  <c r="O20" i="4"/>
  <c r="N20" i="4"/>
  <c r="M20" i="4"/>
  <c r="L20" i="4"/>
  <c r="K20" i="4"/>
  <c r="D25" i="4"/>
  <c r="G36" i="4"/>
  <c r="W43" i="4"/>
  <c r="L43" i="4"/>
  <c r="O43" i="4"/>
  <c r="U43" i="4"/>
  <c r="H45" i="4"/>
  <c r="W80" i="4"/>
  <c r="O80" i="4"/>
  <c r="N80" i="4"/>
  <c r="M80" i="4"/>
  <c r="L80" i="4"/>
  <c r="S80" i="4"/>
  <c r="N81" i="4"/>
  <c r="W81" i="4"/>
  <c r="M81" i="4"/>
  <c r="L81" i="4"/>
  <c r="O81" i="4"/>
  <c r="H81" i="4"/>
  <c r="G81" i="4"/>
  <c r="F81" i="4"/>
  <c r="W127" i="4"/>
  <c r="N127" i="4"/>
  <c r="M127" i="4"/>
  <c r="L127" i="4"/>
  <c r="O127" i="4"/>
  <c r="T127" i="4"/>
  <c r="H127" i="4"/>
  <c r="W134" i="4"/>
  <c r="N134" i="4"/>
  <c r="M134" i="4"/>
  <c r="L134" i="4"/>
  <c r="O134" i="4"/>
  <c r="I134" i="4"/>
  <c r="O107" i="4"/>
  <c r="W107" i="4"/>
  <c r="N107" i="4"/>
  <c r="L107" i="4"/>
  <c r="M107" i="4"/>
  <c r="V107" i="4"/>
  <c r="Q107" i="4"/>
  <c r="O177" i="4"/>
  <c r="N177" i="4"/>
  <c r="M177" i="4"/>
  <c r="L177" i="4"/>
  <c r="J177" i="4"/>
  <c r="T177" i="4"/>
  <c r="G177" i="4"/>
  <c r="F177" i="4"/>
  <c r="E177" i="4"/>
  <c r="U177" i="4"/>
  <c r="P155" i="4"/>
  <c r="P15" i="4"/>
  <c r="O18" i="4"/>
  <c r="N18" i="4"/>
  <c r="M18" i="4"/>
  <c r="L18" i="4"/>
  <c r="G25" i="4"/>
  <c r="O32" i="4"/>
  <c r="W32" i="4"/>
  <c r="N32" i="4"/>
  <c r="L32" i="4"/>
  <c r="M32" i="4"/>
  <c r="AG22" i="3"/>
  <c r="AJ22" i="3"/>
  <c r="AC22" i="3"/>
  <c r="AJ75" i="3"/>
  <c r="AL142" i="3"/>
  <c r="R155" i="4"/>
  <c r="R15" i="4"/>
  <c r="D18" i="4"/>
  <c r="M21" i="4"/>
  <c r="H25" i="4"/>
  <c r="J32" i="4"/>
  <c r="O39" i="4"/>
  <c r="W39" i="4"/>
  <c r="N39" i="4"/>
  <c r="L39" i="4"/>
  <c r="M39" i="4"/>
  <c r="V43" i="4"/>
  <c r="U45" i="4"/>
  <c r="W64" i="4"/>
  <c r="O64" i="4"/>
  <c r="N64" i="4"/>
  <c r="L64" i="4"/>
  <c r="M64" i="4"/>
  <c r="K64" i="4"/>
  <c r="S64" i="4"/>
  <c r="E64" i="4"/>
  <c r="N66" i="4"/>
  <c r="W66" i="4"/>
  <c r="M66" i="4"/>
  <c r="L66" i="4"/>
  <c r="O66" i="4"/>
  <c r="N89" i="4"/>
  <c r="O89" i="4"/>
  <c r="M89" i="4"/>
  <c r="G89" i="4"/>
  <c r="F89" i="4"/>
  <c r="I107" i="4"/>
  <c r="S116" i="4"/>
  <c r="W116" i="4"/>
  <c r="O116" i="4"/>
  <c r="N116" i="4"/>
  <c r="M116" i="4"/>
  <c r="L116" i="4"/>
  <c r="N121" i="4"/>
  <c r="V73" i="4"/>
  <c r="O73" i="4"/>
  <c r="W73" i="4"/>
  <c r="L73" i="4"/>
  <c r="N73" i="4"/>
  <c r="M73" i="4"/>
  <c r="P73" i="4"/>
  <c r="D73" i="4"/>
  <c r="W102" i="4"/>
  <c r="N102" i="4"/>
  <c r="O102" i="4"/>
  <c r="M102" i="4"/>
  <c r="K102" i="4"/>
  <c r="W118" i="4"/>
  <c r="O118" i="4"/>
  <c r="M118" i="4"/>
  <c r="N118" i="4"/>
  <c r="L118" i="4"/>
  <c r="U23" i="3"/>
  <c r="M23" i="3"/>
  <c r="K23" i="3"/>
  <c r="I107" i="3"/>
  <c r="M44" i="4"/>
  <c r="L44" i="4"/>
  <c r="K44" i="4"/>
  <c r="F73" i="4"/>
  <c r="V108" i="4"/>
  <c r="O108" i="4"/>
  <c r="N108" i="4"/>
  <c r="M108" i="4"/>
  <c r="L108" i="4"/>
  <c r="F108" i="4"/>
  <c r="W194" i="4"/>
  <c r="O194" i="4"/>
  <c r="M194" i="4"/>
  <c r="L194" i="4"/>
  <c r="N194" i="4"/>
  <c r="N219" i="4"/>
  <c r="M219" i="4"/>
  <c r="L219" i="4"/>
  <c r="O219" i="4"/>
  <c r="J219" i="4"/>
  <c r="D219" i="4"/>
  <c r="H219" i="4"/>
  <c r="G219" i="4"/>
  <c r="N60" i="3"/>
  <c r="O94" i="3"/>
  <c r="L94" i="3"/>
  <c r="W126" i="4"/>
  <c r="N126" i="4"/>
  <c r="O126" i="4"/>
  <c r="M126" i="4"/>
  <c r="L126" i="4"/>
  <c r="I126" i="4"/>
  <c r="H126" i="4"/>
  <c r="W209" i="4"/>
  <c r="O209" i="4"/>
  <c r="M209" i="4"/>
  <c r="L209" i="4"/>
  <c r="N209" i="4"/>
  <c r="K209" i="4"/>
  <c r="I209" i="4"/>
  <c r="S209" i="4"/>
  <c r="F209" i="4"/>
  <c r="E209" i="4"/>
  <c r="U209" i="4"/>
  <c r="S126" i="4"/>
  <c r="N47" i="4"/>
  <c r="M47" i="4"/>
  <c r="K47" i="4"/>
  <c r="V47" i="4"/>
  <c r="F47" i="4"/>
  <c r="D47" i="4"/>
  <c r="D209" i="4"/>
  <c r="W200" i="4"/>
  <c r="O200" i="4"/>
  <c r="N200" i="4"/>
  <c r="M200" i="4"/>
  <c r="L200" i="4"/>
  <c r="W38" i="3"/>
  <c r="O38" i="3"/>
  <c r="N38" i="3"/>
  <c r="M38" i="3"/>
  <c r="L38" i="3"/>
  <c r="O90" i="3"/>
  <c r="N90" i="3"/>
  <c r="M90" i="3"/>
  <c r="L90" i="3"/>
  <c r="O19" i="4"/>
  <c r="N19" i="4"/>
  <c r="M19" i="4"/>
  <c r="L19" i="4"/>
  <c r="K19" i="4"/>
  <c r="U19" i="4"/>
  <c r="O33" i="4"/>
  <c r="N33" i="4"/>
  <c r="M33" i="4"/>
  <c r="L33" i="4"/>
  <c r="K33" i="4"/>
  <c r="I33" i="4"/>
  <c r="O59" i="4"/>
  <c r="W59" i="4"/>
  <c r="N59" i="4"/>
  <c r="L59" i="4"/>
  <c r="M59" i="4"/>
  <c r="K59" i="4"/>
  <c r="W72" i="4"/>
  <c r="O72" i="4"/>
  <c r="M72" i="4"/>
  <c r="L72" i="4"/>
  <c r="N72" i="4"/>
  <c r="W75" i="4"/>
  <c r="N75" i="4"/>
  <c r="M75" i="4"/>
  <c r="L75" i="4"/>
  <c r="O75" i="4"/>
  <c r="U47" i="4"/>
  <c r="J209" i="4"/>
  <c r="N220" i="4"/>
  <c r="L220" i="4"/>
  <c r="O220" i="4"/>
  <c r="E220" i="4"/>
  <c r="T220" i="4"/>
  <c r="I220" i="4"/>
  <c r="W30" i="3"/>
  <c r="O30" i="3"/>
  <c r="N30" i="3"/>
  <c r="M30" i="3"/>
  <c r="L30" i="3"/>
  <c r="O182" i="4"/>
  <c r="W125" i="4"/>
  <c r="N125" i="4"/>
  <c r="O125" i="4"/>
  <c r="M125" i="4"/>
  <c r="L125" i="4"/>
  <c r="U125" i="4"/>
  <c r="L106" i="3"/>
  <c r="O106" i="3"/>
  <c r="R106" i="3"/>
  <c r="O117" i="4"/>
  <c r="W117" i="4"/>
  <c r="N117" i="4"/>
  <c r="M117" i="4"/>
  <c r="L117" i="4"/>
  <c r="E117" i="4"/>
  <c r="L118" i="3"/>
  <c r="U118" i="3"/>
  <c r="S118" i="3"/>
  <c r="J118" i="3"/>
  <c r="S123" i="3"/>
  <c r="N28" i="4"/>
  <c r="M28" i="4"/>
  <c r="L28" i="4"/>
  <c r="O28" i="4"/>
  <c r="K28" i="4"/>
  <c r="O40" i="4"/>
  <c r="N40" i="4"/>
  <c r="L40" i="4"/>
  <c r="M40" i="4"/>
  <c r="U101" i="4"/>
  <c r="W101" i="4"/>
  <c r="O101" i="4"/>
  <c r="N101" i="4"/>
  <c r="M101" i="4"/>
  <c r="L101" i="4"/>
  <c r="K101" i="4"/>
  <c r="W119" i="4"/>
  <c r="N119" i="4"/>
  <c r="O119" i="4"/>
  <c r="M119" i="4"/>
  <c r="G164" i="4"/>
  <c r="G166" i="4" s="1"/>
  <c r="G168" i="4" s="1"/>
  <c r="O164" i="4"/>
  <c r="O166" i="4" s="1"/>
  <c r="O168" i="4" s="1"/>
  <c r="N164" i="4"/>
  <c r="N166" i="4" s="1"/>
  <c r="N168" i="4" s="1"/>
  <c r="L164" i="4"/>
  <c r="L166" i="4" s="1"/>
  <c r="L168" i="4" s="1"/>
  <c r="M164" i="4"/>
  <c r="M166" i="4" s="1"/>
  <c r="M168" i="4" s="1"/>
  <c r="J164" i="4"/>
  <c r="J166" i="4" s="1"/>
  <c r="J168" i="4" s="1"/>
  <c r="H164" i="4"/>
  <c r="H166" i="4" s="1"/>
  <c r="H168" i="4" s="1"/>
  <c r="W9" i="3"/>
  <c r="N9" i="3"/>
  <c r="O9" i="3"/>
  <c r="W104" i="3"/>
  <c r="N104" i="3"/>
  <c r="K61" i="3"/>
  <c r="D118" i="3"/>
  <c r="F3" i="6"/>
  <c r="F3" i="11"/>
  <c r="G3" i="11" s="1"/>
  <c r="W62" i="3"/>
  <c r="Q62" i="3"/>
  <c r="D62" i="3"/>
  <c r="Q119" i="3"/>
  <c r="Q74" i="3"/>
  <c r="O152" i="3"/>
  <c r="O153" i="3" s="1"/>
  <c r="N152" i="3"/>
  <c r="N153" i="3" s="1"/>
  <c r="M152" i="3"/>
  <c r="M153" i="3" s="1"/>
  <c r="L152" i="3"/>
  <c r="L153" i="3" s="1"/>
  <c r="W122" i="3"/>
  <c r="O122" i="3"/>
  <c r="M122" i="3"/>
  <c r="N122" i="3"/>
  <c r="K122" i="3"/>
  <c r="I122" i="3"/>
  <c r="S122" i="3"/>
  <c r="N67" i="3"/>
  <c r="M67" i="3"/>
  <c r="L67" i="3"/>
  <c r="N98" i="3"/>
  <c r="M3" i="12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T113" i="3"/>
  <c r="W113" i="3"/>
  <c r="N113" i="3"/>
  <c r="N147" i="3"/>
  <c r="N149" i="3" s="1"/>
  <c r="O147" i="3"/>
  <c r="O149" i="3" s="1"/>
  <c r="U147" i="3"/>
  <c r="U149" i="3" s="1"/>
  <c r="D122" i="3"/>
  <c r="F128" i="3"/>
  <c r="O128" i="3"/>
  <c r="N128" i="3"/>
  <c r="L128" i="3"/>
  <c r="M128" i="3"/>
  <c r="K128" i="3"/>
  <c r="Q128" i="3"/>
  <c r="T128" i="3"/>
  <c r="R128" i="3"/>
  <c r="I128" i="3"/>
  <c r="H128" i="3"/>
  <c r="W72" i="3"/>
  <c r="L72" i="3"/>
  <c r="H72" i="3"/>
  <c r="V72" i="3"/>
  <c r="N127" i="3"/>
  <c r="M127" i="3"/>
  <c r="L127" i="3"/>
  <c r="K127" i="3"/>
  <c r="W160" i="3"/>
  <c r="W161" i="3" s="1"/>
  <c r="L160" i="3"/>
  <c r="L161" i="3" s="1"/>
  <c r="K160" i="3"/>
  <c r="K161" i="3" s="1"/>
  <c r="N195" i="4"/>
  <c r="O195" i="4"/>
  <c r="K195" i="4"/>
  <c r="O212" i="4"/>
  <c r="N212" i="4"/>
  <c r="M212" i="4"/>
  <c r="L212" i="4"/>
  <c r="K212" i="4"/>
  <c r="W11" i="3"/>
  <c r="N11" i="3"/>
  <c r="M11" i="3"/>
  <c r="L11" i="3"/>
  <c r="O11" i="3"/>
  <c r="W102" i="3"/>
  <c r="O102" i="3"/>
  <c r="L102" i="3"/>
  <c r="M102" i="3"/>
  <c r="U102" i="3"/>
  <c r="F122" i="3"/>
  <c r="J128" i="3"/>
  <c r="F72" i="3"/>
  <c r="G76" i="3"/>
  <c r="N103" i="4"/>
  <c r="O103" i="4"/>
  <c r="M103" i="4"/>
  <c r="W213" i="4"/>
  <c r="O213" i="4"/>
  <c r="N213" i="4"/>
  <c r="L213" i="4"/>
  <c r="M213" i="4"/>
  <c r="K213" i="4"/>
  <c r="E102" i="3"/>
  <c r="Q113" i="3"/>
  <c r="W114" i="3"/>
  <c r="O114" i="3"/>
  <c r="M114" i="3"/>
  <c r="L114" i="3"/>
  <c r="W129" i="3"/>
  <c r="M129" i="3"/>
  <c r="L129" i="3"/>
  <c r="K129" i="3"/>
  <c r="W166" i="3"/>
  <c r="N166" i="3"/>
  <c r="L166" i="3"/>
  <c r="O36" i="3"/>
  <c r="W36" i="3"/>
  <c r="M36" i="3"/>
  <c r="N36" i="3"/>
  <c r="L36" i="3"/>
  <c r="W105" i="3"/>
  <c r="M105" i="3"/>
  <c r="L105" i="3"/>
  <c r="N105" i="3"/>
  <c r="O105" i="3"/>
  <c r="K105" i="3"/>
  <c r="O112" i="3"/>
  <c r="L112" i="3"/>
  <c r="K112" i="3"/>
  <c r="M112" i="3"/>
  <c r="M119" i="3"/>
  <c r="S119" i="3"/>
  <c r="O123" i="3"/>
  <c r="M123" i="3"/>
  <c r="L123" i="3"/>
  <c r="K123" i="3"/>
  <c r="M177" i="3"/>
  <c r="L177" i="3"/>
  <c r="K177" i="3"/>
  <c r="W73" i="3"/>
  <c r="O73" i="3"/>
  <c r="N73" i="3"/>
  <c r="M73" i="3"/>
  <c r="K73" i="3"/>
  <c r="O93" i="3"/>
  <c r="M93" i="3"/>
  <c r="N93" i="3"/>
  <c r="K93" i="3"/>
  <c r="F119" i="3"/>
  <c r="J123" i="3"/>
  <c r="G74" i="3"/>
  <c r="O74" i="3"/>
  <c r="N74" i="3"/>
  <c r="M74" i="3"/>
  <c r="L74" i="3"/>
  <c r="K74" i="3"/>
  <c r="H74" i="3"/>
  <c r="D74" i="3"/>
  <c r="T74" i="3"/>
  <c r="I75" i="3"/>
  <c r="F74" i="3"/>
  <c r="U186" i="3"/>
  <c r="I24" i="15" s="1"/>
  <c r="M3" i="8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T135" i="3"/>
  <c r="O135" i="3"/>
  <c r="L13" i="3"/>
  <c r="K31" i="3"/>
  <c r="E3" i="9"/>
  <c r="O53" i="4"/>
  <c r="W53" i="4"/>
  <c r="M53" i="4"/>
  <c r="L53" i="4"/>
  <c r="N53" i="4"/>
  <c r="K53" i="4"/>
  <c r="N56" i="4"/>
  <c r="O56" i="4"/>
  <c r="M56" i="4"/>
  <c r="Q74" i="4"/>
  <c r="W74" i="4"/>
  <c r="M74" i="4"/>
  <c r="O74" i="4"/>
  <c r="N74" i="4"/>
  <c r="K74" i="4"/>
  <c r="L74" i="4"/>
  <c r="N120" i="4"/>
  <c r="O120" i="4"/>
  <c r="W141" i="4"/>
  <c r="O141" i="4"/>
  <c r="N141" i="4"/>
  <c r="M141" i="4"/>
  <c r="L141" i="4"/>
  <c r="K141" i="4"/>
  <c r="V142" i="4"/>
  <c r="W142" i="4"/>
  <c r="O142" i="4"/>
  <c r="N142" i="4"/>
  <c r="M142" i="4"/>
  <c r="L142" i="4"/>
  <c r="O202" i="4"/>
  <c r="M202" i="4"/>
  <c r="N202" i="4"/>
  <c r="L202" i="4"/>
  <c r="K202" i="4"/>
  <c r="O49" i="3"/>
  <c r="M49" i="3"/>
  <c r="N49" i="3"/>
  <c r="L49" i="3"/>
  <c r="K49" i="3"/>
  <c r="W12" i="3"/>
  <c r="O12" i="3"/>
  <c r="N12" i="3"/>
  <c r="M12" i="3"/>
  <c r="L12" i="3"/>
  <c r="K12" i="3"/>
  <c r="V12" i="3"/>
  <c r="W28" i="3"/>
  <c r="O28" i="3"/>
  <c r="N28" i="3"/>
  <c r="M28" i="3"/>
  <c r="L28" i="3"/>
  <c r="I28" i="3"/>
  <c r="V29" i="3"/>
  <c r="O29" i="3"/>
  <c r="N29" i="3"/>
  <c r="M29" i="3"/>
  <c r="L29" i="3"/>
  <c r="K29" i="3"/>
  <c r="J37" i="3"/>
  <c r="O37" i="3"/>
  <c r="M37" i="3"/>
  <c r="N37" i="3"/>
  <c r="L37" i="3"/>
  <c r="K37" i="3"/>
  <c r="V37" i="3"/>
  <c r="M108" i="3"/>
  <c r="N108" i="3"/>
  <c r="N91" i="3"/>
  <c r="M91" i="3"/>
  <c r="L91" i="3"/>
  <c r="K91" i="3"/>
  <c r="J91" i="3"/>
  <c r="W117" i="3"/>
  <c r="L117" i="3"/>
  <c r="M117" i="3"/>
  <c r="O65" i="3"/>
  <c r="M65" i="3"/>
  <c r="V63" i="3"/>
  <c r="V66" i="3"/>
  <c r="O66" i="3"/>
  <c r="N66" i="3"/>
  <c r="L66" i="3"/>
  <c r="K66" i="3"/>
  <c r="O71" i="3"/>
  <c r="M71" i="3"/>
  <c r="L71" i="3"/>
  <c r="W144" i="4"/>
  <c r="O144" i="4"/>
  <c r="M144" i="4"/>
  <c r="L144" i="4"/>
  <c r="N144" i="4"/>
  <c r="K144" i="4"/>
  <c r="K142" i="3"/>
  <c r="O211" i="4"/>
  <c r="W211" i="4"/>
  <c r="M211" i="4"/>
  <c r="N211" i="4"/>
  <c r="L211" i="4"/>
  <c r="K211" i="4"/>
  <c r="O22" i="3"/>
  <c r="F27" i="3"/>
  <c r="W27" i="3"/>
  <c r="O27" i="3"/>
  <c r="L27" i="3"/>
  <c r="N27" i="3"/>
  <c r="M27" i="3"/>
  <c r="K27" i="3"/>
  <c r="W32" i="3"/>
  <c r="N32" i="3"/>
  <c r="O32" i="3"/>
  <c r="M32" i="3"/>
  <c r="L32" i="3"/>
  <c r="K32" i="3"/>
  <c r="W124" i="3"/>
  <c r="O124" i="3"/>
  <c r="L124" i="3"/>
  <c r="K124" i="3"/>
  <c r="O126" i="3"/>
  <c r="M126" i="3"/>
  <c r="L126" i="3"/>
  <c r="K126" i="3"/>
  <c r="W178" i="3"/>
  <c r="N178" i="3"/>
  <c r="O178" i="3"/>
  <c r="L178" i="3"/>
  <c r="K178" i="3"/>
  <c r="AM223" i="4"/>
  <c r="F3" i="4"/>
  <c r="G3" i="4" s="1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AK3" i="4" s="1"/>
  <c r="AL3" i="4" s="1"/>
  <c r="AM3" i="4" s="1"/>
  <c r="E3" i="2"/>
  <c r="E39" i="2" s="1"/>
  <c r="D37" i="13"/>
  <c r="AJ64" i="3"/>
  <c r="AF64" i="3"/>
  <c r="AD68" i="3"/>
  <c r="AH123" i="3"/>
  <c r="AE123" i="3"/>
  <c r="Z123" i="3"/>
  <c r="AK54" i="3"/>
  <c r="AE67" i="3"/>
  <c r="AC71" i="3"/>
  <c r="X71" i="3"/>
  <c r="AM74" i="3"/>
  <c r="AG74" i="3"/>
  <c r="I74" i="3"/>
  <c r="Z74" i="3"/>
  <c r="J74" i="3"/>
  <c r="AJ74" i="3"/>
  <c r="AI74" i="3"/>
  <c r="AH74" i="3"/>
  <c r="AC74" i="3"/>
  <c r="AL108" i="3"/>
  <c r="X118" i="3"/>
  <c r="AE74" i="3"/>
  <c r="AC102" i="3"/>
  <c r="AF102" i="3"/>
  <c r="F102" i="3"/>
  <c r="AD102" i="3"/>
  <c r="AG102" i="3"/>
  <c r="AA102" i="3"/>
  <c r="L104" i="3"/>
  <c r="AG109" i="3"/>
  <c r="AJ109" i="3"/>
  <c r="AL81" i="3"/>
  <c r="AH81" i="3"/>
  <c r="AL87" i="3"/>
  <c r="AK87" i="3"/>
  <c r="AM87" i="3"/>
  <c r="Z166" i="3"/>
  <c r="AM62" i="3"/>
  <c r="AF62" i="3"/>
  <c r="M62" i="3"/>
  <c r="AG62" i="3"/>
  <c r="N62" i="3"/>
  <c r="Z62" i="3"/>
  <c r="X62" i="3"/>
  <c r="AI62" i="3"/>
  <c r="X91" i="3"/>
  <c r="AD91" i="3"/>
  <c r="AI91" i="3"/>
  <c r="AE91" i="3"/>
  <c r="AC117" i="3"/>
  <c r="AE147" i="3"/>
  <c r="AE149" i="3" s="1"/>
  <c r="AC147" i="3"/>
  <c r="AC149" i="3" s="1"/>
  <c r="AG147" i="3"/>
  <c r="AG149" i="3" s="1"/>
  <c r="AF147" i="3"/>
  <c r="AF149" i="3" s="1"/>
  <c r="AD147" i="3"/>
  <c r="AD149" i="3" s="1"/>
  <c r="AE19" i="3"/>
  <c r="AJ62" i="3"/>
  <c r="AE68" i="3"/>
  <c r="AB81" i="3"/>
  <c r="AM110" i="3"/>
  <c r="AJ110" i="3"/>
  <c r="AG110" i="3"/>
  <c r="AH110" i="3"/>
  <c r="AE110" i="3"/>
  <c r="AE117" i="3"/>
  <c r="Z119" i="3"/>
  <c r="AK119" i="3"/>
  <c r="X119" i="3"/>
  <c r="AE166" i="3"/>
  <c r="AE167" i="3" s="1"/>
  <c r="AG186" i="3"/>
  <c r="AG187" i="3" s="1"/>
  <c r="K62" i="3"/>
  <c r="AK62" i="3"/>
  <c r="AM67" i="3"/>
  <c r="AD67" i="3"/>
  <c r="AC67" i="3"/>
  <c r="AB67" i="3"/>
  <c r="AH68" i="3"/>
  <c r="AC81" i="3"/>
  <c r="I91" i="3"/>
  <c r="AL107" i="3"/>
  <c r="AH107" i="3"/>
  <c r="AJ107" i="3"/>
  <c r="AM107" i="3"/>
  <c r="AF110" i="3"/>
  <c r="AF117" i="3"/>
  <c r="AF166" i="3"/>
  <c r="AF167" i="3" s="1"/>
  <c r="AM54" i="3"/>
  <c r="L62" i="3"/>
  <c r="AL62" i="3"/>
  <c r="K67" i="3"/>
  <c r="AI68" i="3"/>
  <c r="E107" i="3"/>
  <c r="AK108" i="3"/>
  <c r="AE108" i="3"/>
  <c r="AF108" i="3"/>
  <c r="AH108" i="3"/>
  <c r="AG108" i="3"/>
  <c r="AB108" i="3"/>
  <c r="J108" i="3"/>
  <c r="AI110" i="3"/>
  <c r="AI120" i="3"/>
  <c r="AE137" i="3"/>
  <c r="AK19" i="3"/>
  <c r="AC87" i="3"/>
  <c r="AJ89" i="3"/>
  <c r="AL89" i="3"/>
  <c r="AF89" i="3"/>
  <c r="AL117" i="3"/>
  <c r="N117" i="3"/>
  <c r="AB117" i="3"/>
  <c r="AM117" i="3"/>
  <c r="AM166" i="3"/>
  <c r="AM167" i="3" s="1"/>
  <c r="AH166" i="3"/>
  <c r="AH167" i="3" s="1"/>
  <c r="AI166" i="3"/>
  <c r="AI167" i="3" s="1"/>
  <c r="X166" i="3"/>
  <c r="AG166" i="3"/>
  <c r="AG167" i="3" s="1"/>
  <c r="M166" i="3"/>
  <c r="Y166" i="3"/>
  <c r="AD166" i="3"/>
  <c r="AD167" i="3" s="1"/>
  <c r="AC166" i="3"/>
  <c r="AK166" i="3"/>
  <c r="AK167" i="3" s="1"/>
  <c r="AJ19" i="3"/>
  <c r="O24" i="3"/>
  <c r="AD24" i="3"/>
  <c r="AB24" i="3"/>
  <c r="W24" i="3"/>
  <c r="N24" i="3"/>
  <c r="AI54" i="3"/>
  <c r="M72" i="3"/>
  <c r="AH72" i="3"/>
  <c r="AL72" i="3"/>
  <c r="AI72" i="3"/>
  <c r="AM76" i="3"/>
  <c r="AG76" i="3"/>
  <c r="L76" i="3"/>
  <c r="AA76" i="3"/>
  <c r="K76" i="3"/>
  <c r="AD87" i="3"/>
  <c r="AJ91" i="3"/>
  <c r="Z106" i="3"/>
  <c r="AM106" i="3"/>
  <c r="AK106" i="3"/>
  <c r="AJ106" i="3"/>
  <c r="AL110" i="3"/>
  <c r="AC118" i="3"/>
  <c r="AK118" i="3"/>
  <c r="F118" i="3"/>
  <c r="V118" i="3"/>
  <c r="O118" i="3"/>
  <c r="AD138" i="3"/>
  <c r="AM138" i="3"/>
  <c r="AG138" i="3"/>
  <c r="AH138" i="3"/>
  <c r="AC138" i="3"/>
  <c r="AL166" i="3"/>
  <c r="AL167" i="3" s="1"/>
  <c r="AF186" i="3"/>
  <c r="AF187" i="3" s="1"/>
  <c r="AB112" i="3"/>
  <c r="X112" i="3"/>
  <c r="P112" i="3"/>
  <c r="K152" i="4"/>
  <c r="J152" i="4"/>
  <c r="Q152" i="4"/>
  <c r="T152" i="4"/>
  <c r="I152" i="4"/>
  <c r="G152" i="4"/>
  <c r="AG61" i="3"/>
  <c r="O61" i="3"/>
  <c r="AE61" i="3"/>
  <c r="AD61" i="3"/>
  <c r="Z61" i="3"/>
  <c r="AE66" i="3"/>
  <c r="X66" i="3"/>
  <c r="Z66" i="3"/>
  <c r="AD66" i="3"/>
  <c r="AA66" i="3"/>
  <c r="Z67" i="3"/>
  <c r="K72" i="3"/>
  <c r="AC76" i="3"/>
  <c r="AE87" i="3"/>
  <c r="AM91" i="3"/>
  <c r="AH96" i="3"/>
  <c r="AD96" i="3"/>
  <c r="K118" i="3"/>
  <c r="AM186" i="3"/>
  <c r="AM187" i="3" s="1"/>
  <c r="AM93" i="3"/>
  <c r="AF93" i="3"/>
  <c r="L93" i="3"/>
  <c r="AL93" i="3"/>
  <c r="X93" i="3"/>
  <c r="AD93" i="3"/>
  <c r="AB93" i="3"/>
  <c r="AK93" i="3"/>
  <c r="AM96" i="3"/>
  <c r="AH115" i="3"/>
  <c r="AM115" i="3"/>
  <c r="AD115" i="3"/>
  <c r="J117" i="3"/>
  <c r="AG24" i="3"/>
  <c r="AL54" i="3"/>
  <c r="N61" i="3"/>
  <c r="AC62" i="3"/>
  <c r="AF67" i="3"/>
  <c r="X73" i="3"/>
  <c r="AC73" i="3"/>
  <c r="AD73" i="3"/>
  <c r="AJ73" i="3"/>
  <c r="AG73" i="3"/>
  <c r="AF73" i="3"/>
  <c r="AD74" i="3"/>
  <c r="AL76" i="3"/>
  <c r="AC88" i="3"/>
  <c r="AF88" i="3"/>
  <c r="AG88" i="3"/>
  <c r="AK88" i="3"/>
  <c r="AK97" i="3"/>
  <c r="AL97" i="3"/>
  <c r="AH97" i="3"/>
  <c r="AG97" i="3"/>
  <c r="AF97" i="3"/>
  <c r="AJ97" i="3"/>
  <c r="J104" i="3"/>
  <c r="N106" i="3"/>
  <c r="AM108" i="3"/>
  <c r="AI147" i="3"/>
  <c r="AI149" i="3" s="1"/>
  <c r="H152" i="4"/>
  <c r="J153" i="4"/>
  <c r="J20" i="4"/>
  <c r="S28" i="4"/>
  <c r="P28" i="4"/>
  <c r="J29" i="4"/>
  <c r="I29" i="4"/>
  <c r="K39" i="4"/>
  <c r="D39" i="4"/>
  <c r="E39" i="4"/>
  <c r="P39" i="4"/>
  <c r="J39" i="4"/>
  <c r="Y23" i="3"/>
  <c r="AH63" i="3"/>
  <c r="AI69" i="3"/>
  <c r="AM113" i="3"/>
  <c r="AJ113" i="3"/>
  <c r="K154" i="4"/>
  <c r="S154" i="4"/>
  <c r="G154" i="4"/>
  <c r="I154" i="4"/>
  <c r="F154" i="4"/>
  <c r="T37" i="4"/>
  <c r="K37" i="4"/>
  <c r="E37" i="4"/>
  <c r="D37" i="4"/>
  <c r="F37" i="4"/>
  <c r="G39" i="4"/>
  <c r="H39" i="4"/>
  <c r="AF54" i="3"/>
  <c r="AJ69" i="3"/>
  <c r="E113" i="3"/>
  <c r="T154" i="4"/>
  <c r="AI19" i="3"/>
  <c r="AK69" i="3"/>
  <c r="G90" i="3"/>
  <c r="AG90" i="3"/>
  <c r="AH90" i="3"/>
  <c r="AF90" i="3"/>
  <c r="J113" i="3"/>
  <c r="L122" i="3"/>
  <c r="AH122" i="3"/>
  <c r="AF122" i="3"/>
  <c r="Y122" i="3"/>
  <c r="AG122" i="3"/>
  <c r="AL184" i="4"/>
  <c r="K155" i="4"/>
  <c r="V155" i="4"/>
  <c r="J155" i="4"/>
  <c r="H155" i="4"/>
  <c r="F151" i="4"/>
  <c r="K151" i="4"/>
  <c r="H151" i="4"/>
  <c r="J151" i="4"/>
  <c r="G151" i="4"/>
  <c r="U151" i="4"/>
  <c r="S151" i="4"/>
  <c r="K40" i="4"/>
  <c r="G40" i="4"/>
  <c r="J40" i="4"/>
  <c r="K153" i="4"/>
  <c r="I153" i="4"/>
  <c r="F153" i="4"/>
  <c r="S153" i="4"/>
  <c r="R153" i="4"/>
  <c r="E153" i="4"/>
  <c r="T20" i="4"/>
  <c r="E20" i="4"/>
  <c r="F20" i="4"/>
  <c r="V20" i="4"/>
  <c r="U20" i="4"/>
  <c r="J37" i="4"/>
  <c r="G153" i="4"/>
  <c r="P16" i="4"/>
  <c r="D20" i="4"/>
  <c r="V37" i="4"/>
  <c r="U10" i="4"/>
  <c r="K10" i="4"/>
  <c r="I17" i="4"/>
  <c r="J24" i="4"/>
  <c r="AH54" i="3"/>
  <c r="AM124" i="3"/>
  <c r="AH124" i="3"/>
  <c r="AE124" i="3"/>
  <c r="AE126" i="3"/>
  <c r="AF126" i="3"/>
  <c r="AK130" i="3"/>
  <c r="AH130" i="3"/>
  <c r="AM142" i="3"/>
  <c r="AE142" i="3"/>
  <c r="AH142" i="3"/>
  <c r="AC142" i="3"/>
  <c r="G10" i="4"/>
  <c r="D44" i="4"/>
  <c r="T53" i="4"/>
  <c r="R53" i="4"/>
  <c r="G53" i="4"/>
  <c r="S53" i="4"/>
  <c r="J53" i="4"/>
  <c r="H53" i="4"/>
  <c r="E53" i="4"/>
  <c r="D53" i="4"/>
  <c r="V32" i="4"/>
  <c r="K32" i="4"/>
  <c r="G32" i="4"/>
  <c r="K17" i="4"/>
  <c r="D17" i="4"/>
  <c r="K24" i="4"/>
  <c r="K27" i="4"/>
  <c r="T27" i="4"/>
  <c r="S27" i="4"/>
  <c r="E32" i="4"/>
  <c r="K35" i="4"/>
  <c r="F43" i="4"/>
  <c r="D43" i="4"/>
  <c r="E43" i="4"/>
  <c r="H43" i="4"/>
  <c r="AF143" i="3"/>
  <c r="AM152" i="3"/>
  <c r="AM153" i="3" s="1"/>
  <c r="AK152" i="3"/>
  <c r="AK153" i="3" s="1"/>
  <c r="X152" i="3"/>
  <c r="X153" i="3" s="1"/>
  <c r="AF152" i="3"/>
  <c r="AF153" i="3" s="1"/>
  <c r="AC174" i="4"/>
  <c r="E17" i="4"/>
  <c r="E24" i="4"/>
  <c r="D27" i="4"/>
  <c r="K34" i="4"/>
  <c r="D34" i="4"/>
  <c r="I32" i="4"/>
  <c r="K36" i="4"/>
  <c r="I36" i="4"/>
  <c r="S32" i="4"/>
  <c r="AM70" i="3"/>
  <c r="AG75" i="3"/>
  <c r="O75" i="3"/>
  <c r="I105" i="3"/>
  <c r="AD105" i="3"/>
  <c r="AL114" i="3"/>
  <c r="AB114" i="3"/>
  <c r="AJ125" i="3"/>
  <c r="AL135" i="3"/>
  <c r="AI135" i="3"/>
  <c r="AJ143" i="3"/>
  <c r="AJ144" i="3" s="1"/>
  <c r="AG152" i="3"/>
  <c r="AG153" i="3" s="1"/>
  <c r="H34" i="4"/>
  <c r="T46" i="4"/>
  <c r="K46" i="4"/>
  <c r="P46" i="4"/>
  <c r="I46" i="4"/>
  <c r="F46" i="4"/>
  <c r="J46" i="4"/>
  <c r="U46" i="4"/>
  <c r="S46" i="4"/>
  <c r="R46" i="4"/>
  <c r="AD156" i="3"/>
  <c r="AD157" i="3" s="1"/>
  <c r="M160" i="3"/>
  <c r="M161" i="3" s="1"/>
  <c r="Q15" i="4"/>
  <c r="V15" i="4"/>
  <c r="K18" i="4"/>
  <c r="K41" i="4"/>
  <c r="D46" i="4"/>
  <c r="H55" i="4"/>
  <c r="P59" i="4"/>
  <c r="D59" i="4"/>
  <c r="U59" i="4"/>
  <c r="F59" i="4"/>
  <c r="E59" i="4"/>
  <c r="G46" i="4"/>
  <c r="T134" i="4"/>
  <c r="H134" i="4"/>
  <c r="J134" i="4"/>
  <c r="S134" i="4"/>
  <c r="H46" i="4"/>
  <c r="K80" i="4"/>
  <c r="G80" i="4"/>
  <c r="K54" i="4"/>
  <c r="Q54" i="4"/>
  <c r="P54" i="4"/>
  <c r="H54" i="4"/>
  <c r="S54" i="4"/>
  <c r="J54" i="4"/>
  <c r="I54" i="4"/>
  <c r="H56" i="4"/>
  <c r="E56" i="4"/>
  <c r="S56" i="4"/>
  <c r="P56" i="4"/>
  <c r="G56" i="4"/>
  <c r="F64" i="4"/>
  <c r="T64" i="4"/>
  <c r="F54" i="4"/>
  <c r="G64" i="4"/>
  <c r="I81" i="4"/>
  <c r="S81" i="4"/>
  <c r="R81" i="4"/>
  <c r="P81" i="4"/>
  <c r="J81" i="4"/>
  <c r="U81" i="4"/>
  <c r="T81" i="4"/>
  <c r="AD174" i="4"/>
  <c r="AL223" i="4"/>
  <c r="K26" i="4"/>
  <c r="U26" i="4"/>
  <c r="U33" i="4"/>
  <c r="F72" i="4"/>
  <c r="D74" i="4"/>
  <c r="J99" i="4"/>
  <c r="E101" i="4"/>
  <c r="D107" i="4"/>
  <c r="G116" i="4"/>
  <c r="J195" i="4"/>
  <c r="H195" i="4"/>
  <c r="F195" i="4"/>
  <c r="G66" i="4"/>
  <c r="G72" i="4"/>
  <c r="E74" i="4"/>
  <c r="G101" i="4"/>
  <c r="E107" i="4"/>
  <c r="I116" i="4"/>
  <c r="T142" i="4"/>
  <c r="T125" i="4"/>
  <c r="K125" i="4"/>
  <c r="J125" i="4"/>
  <c r="D125" i="4"/>
  <c r="H125" i="4"/>
  <c r="E125" i="4"/>
  <c r="I125" i="4"/>
  <c r="J108" i="4"/>
  <c r="E195" i="4"/>
  <c r="H72" i="4"/>
  <c r="H74" i="4"/>
  <c r="Q99" i="4"/>
  <c r="H101" i="4"/>
  <c r="F107" i="4"/>
  <c r="J116" i="4"/>
  <c r="F125" i="4"/>
  <c r="Q108" i="4"/>
  <c r="I72" i="4"/>
  <c r="I74" i="4"/>
  <c r="R99" i="4"/>
  <c r="P101" i="4"/>
  <c r="H107" i="4"/>
  <c r="G125" i="4"/>
  <c r="V195" i="4"/>
  <c r="K117" i="4"/>
  <c r="K100" i="4"/>
  <c r="I100" i="4"/>
  <c r="J100" i="4"/>
  <c r="E100" i="4"/>
  <c r="K142" i="4"/>
  <c r="D142" i="4"/>
  <c r="D171" i="4"/>
  <c r="G99" i="4"/>
  <c r="F99" i="4"/>
  <c r="D99" i="4"/>
  <c r="K118" i="4"/>
  <c r="E118" i="4"/>
  <c r="K119" i="4"/>
  <c r="F142" i="4"/>
  <c r="K124" i="4"/>
  <c r="H124" i="4"/>
  <c r="K75" i="4"/>
  <c r="J75" i="4"/>
  <c r="E99" i="4"/>
  <c r="U100" i="4"/>
  <c r="K116" i="4"/>
  <c r="R116" i="4"/>
  <c r="F116" i="4"/>
  <c r="H118" i="4"/>
  <c r="D119" i="4"/>
  <c r="G142" i="4"/>
  <c r="I124" i="4"/>
  <c r="U194" i="4"/>
  <c r="K194" i="4"/>
  <c r="K72" i="4"/>
  <c r="Q72" i="4"/>
  <c r="D72" i="4"/>
  <c r="S72" i="4"/>
  <c r="D75" i="4"/>
  <c r="H99" i="4"/>
  <c r="Q101" i="4"/>
  <c r="S101" i="4"/>
  <c r="J101" i="4"/>
  <c r="D116" i="4"/>
  <c r="I118" i="4"/>
  <c r="G119" i="4"/>
  <c r="I142" i="4"/>
  <c r="J124" i="4"/>
  <c r="T108" i="4"/>
  <c r="K108" i="4"/>
  <c r="I108" i="4"/>
  <c r="G108" i="4"/>
  <c r="D108" i="4"/>
  <c r="H108" i="4"/>
  <c r="T200" i="4"/>
  <c r="K200" i="4"/>
  <c r="E200" i="4"/>
  <c r="G200" i="4"/>
  <c r="Q200" i="4"/>
  <c r="I200" i="4"/>
  <c r="T45" i="4"/>
  <c r="K45" i="4"/>
  <c r="J45" i="4"/>
  <c r="V45" i="4"/>
  <c r="E72" i="4"/>
  <c r="T74" i="4"/>
  <c r="G74" i="4"/>
  <c r="J74" i="4"/>
  <c r="F74" i="4"/>
  <c r="G75" i="4"/>
  <c r="I99" i="4"/>
  <c r="D101" i="4"/>
  <c r="K107" i="4"/>
  <c r="R107" i="4"/>
  <c r="G107" i="4"/>
  <c r="J107" i="4"/>
  <c r="E116" i="4"/>
  <c r="J142" i="4"/>
  <c r="R124" i="4"/>
  <c r="P211" i="4"/>
  <c r="S211" i="4"/>
  <c r="U211" i="4"/>
  <c r="S202" i="4"/>
  <c r="J212" i="4"/>
  <c r="K123" i="4"/>
  <c r="E123" i="4"/>
  <c r="T164" i="4"/>
  <c r="K164" i="4"/>
  <c r="K166" i="4" s="1"/>
  <c r="K168" i="4" s="1"/>
  <c r="I164" i="4"/>
  <c r="I166" i="4" s="1"/>
  <c r="I168" i="4" s="1"/>
  <c r="D164" i="4"/>
  <c r="D166" i="4" s="1"/>
  <c r="D168" i="4" s="1"/>
  <c r="Q164" i="4"/>
  <c r="H211" i="4"/>
  <c r="E211" i="4"/>
  <c r="I211" i="4"/>
  <c r="D211" i="4"/>
  <c r="J211" i="4"/>
  <c r="F211" i="4"/>
  <c r="G87" i="4"/>
  <c r="K73" i="4"/>
  <c r="R73" i="4"/>
  <c r="F164" i="4"/>
  <c r="F166" i="4" s="1"/>
  <c r="F168" i="4" s="1"/>
  <c r="G211" i="4"/>
  <c r="V141" i="4"/>
  <c r="K126" i="4"/>
  <c r="K177" i="4"/>
  <c r="S177" i="4"/>
  <c r="V49" i="3"/>
  <c r="E49" i="3"/>
  <c r="G49" i="3"/>
  <c r="D49" i="3"/>
  <c r="Q49" i="3"/>
  <c r="T11" i="3"/>
  <c r="K11" i="3"/>
  <c r="R11" i="3"/>
  <c r="H11" i="3"/>
  <c r="E11" i="3"/>
  <c r="D11" i="3"/>
  <c r="R49" i="3"/>
  <c r="G11" i="3"/>
  <c r="K9" i="3"/>
  <c r="T9" i="3"/>
  <c r="K22" i="3"/>
  <c r="T22" i="3"/>
  <c r="Q23" i="3"/>
  <c r="T47" i="4"/>
  <c r="K30" i="3"/>
  <c r="F30" i="3"/>
  <c r="E30" i="3"/>
  <c r="V30" i="3"/>
  <c r="Q30" i="3"/>
  <c r="G30" i="3"/>
  <c r="D30" i="3"/>
  <c r="T23" i="3"/>
  <c r="D23" i="3"/>
  <c r="J23" i="3"/>
  <c r="E23" i="3"/>
  <c r="G23" i="3"/>
  <c r="H23" i="3"/>
  <c r="P23" i="3"/>
  <c r="G37" i="3"/>
  <c r="Q12" i="3"/>
  <c r="F12" i="3"/>
  <c r="G12" i="3"/>
  <c r="K28" i="3"/>
  <c r="S28" i="3"/>
  <c r="H85" i="3"/>
  <c r="K152" i="3"/>
  <c r="K153" i="3" s="1"/>
  <c r="E152" i="3"/>
  <c r="E153" i="3" s="1"/>
  <c r="Q152" i="3"/>
  <c r="Q153" i="3" s="1"/>
  <c r="D152" i="3"/>
  <c r="T61" i="3"/>
  <c r="I85" i="3"/>
  <c r="T37" i="3"/>
  <c r="I37" i="3"/>
  <c r="H37" i="3"/>
  <c r="T219" i="4"/>
  <c r="K219" i="4"/>
  <c r="R219" i="4"/>
  <c r="P219" i="4"/>
  <c r="Q220" i="4"/>
  <c r="K220" i="4"/>
  <c r="J220" i="4"/>
  <c r="T12" i="3"/>
  <c r="V24" i="3"/>
  <c r="H24" i="3"/>
  <c r="D37" i="3"/>
  <c r="E34" i="3"/>
  <c r="E37" i="3"/>
  <c r="V38" i="3"/>
  <c r="K38" i="3"/>
  <c r="F37" i="3"/>
  <c r="U90" i="3"/>
  <c r="K90" i="3"/>
  <c r="T209" i="4"/>
  <c r="Q209" i="4"/>
  <c r="R102" i="3"/>
  <c r="V106" i="3"/>
  <c r="K106" i="3"/>
  <c r="J106" i="3"/>
  <c r="Q90" i="3"/>
  <c r="V114" i="3"/>
  <c r="K114" i="3"/>
  <c r="T90" i="3"/>
  <c r="F114" i="3"/>
  <c r="H117" i="3"/>
  <c r="D117" i="3"/>
  <c r="H91" i="3"/>
  <c r="H114" i="3"/>
  <c r="E117" i="3"/>
  <c r="T36" i="3"/>
  <c r="K36" i="3"/>
  <c r="AM22" i="3"/>
  <c r="G28" i="3"/>
  <c r="J28" i="3"/>
  <c r="R37" i="3"/>
  <c r="S37" i="3"/>
  <c r="T102" i="3"/>
  <c r="U105" i="3"/>
  <c r="G91" i="3"/>
  <c r="F91" i="3"/>
  <c r="T91" i="3"/>
  <c r="Q117" i="3"/>
  <c r="F117" i="3"/>
  <c r="U122" i="3"/>
  <c r="E122" i="3"/>
  <c r="H122" i="3"/>
  <c r="G122" i="3"/>
  <c r="H123" i="3"/>
  <c r="Q123" i="3"/>
  <c r="J125" i="3"/>
  <c r="G126" i="3"/>
  <c r="D126" i="3"/>
  <c r="Q177" i="3"/>
  <c r="F177" i="3"/>
  <c r="V67" i="3"/>
  <c r="F67" i="3"/>
  <c r="E68" i="3"/>
  <c r="V71" i="3"/>
  <c r="J71" i="3"/>
  <c r="G71" i="3"/>
  <c r="T75" i="3"/>
  <c r="J98" i="3"/>
  <c r="V166" i="3"/>
  <c r="Q166" i="3"/>
  <c r="J166" i="3"/>
  <c r="F166" i="3"/>
  <c r="T129" i="3"/>
  <c r="E129" i="3"/>
  <c r="Q160" i="3"/>
  <c r="Q161" i="3" s="1"/>
  <c r="D178" i="3"/>
  <c r="F178" i="3"/>
  <c r="D144" i="4"/>
  <c r="G178" i="3"/>
  <c r="F144" i="4"/>
  <c r="I178" i="3"/>
  <c r="G144" i="4"/>
  <c r="H144" i="4"/>
  <c r="Q178" i="3"/>
  <c r="J144" i="4"/>
  <c r="Q144" i="4"/>
  <c r="S144" i="4"/>
  <c r="F76" i="3"/>
  <c r="J135" i="3"/>
  <c r="N6" i="1"/>
  <c r="N85" i="1" s="1"/>
  <c r="L145" i="1"/>
  <c r="N144" i="1"/>
  <c r="O144" i="1"/>
  <c r="F144" i="1"/>
  <c r="G144" i="1"/>
  <c r="L85" i="1"/>
  <c r="D145" i="1"/>
  <c r="F145" i="1"/>
  <c r="M6" i="1"/>
  <c r="V191" i="4"/>
  <c r="AC191" i="4"/>
  <c r="AD191" i="4"/>
  <c r="AG191" i="4"/>
  <c r="W191" i="4"/>
  <c r="F191" i="4"/>
  <c r="G191" i="4"/>
  <c r="AE191" i="4"/>
  <c r="J191" i="4"/>
  <c r="K191" i="4"/>
  <c r="Q191" i="4"/>
  <c r="E191" i="4"/>
  <c r="D70" i="2" s="1"/>
  <c r="H191" i="4"/>
  <c r="AL83" i="4"/>
  <c r="I191" i="4"/>
  <c r="AF191" i="4"/>
  <c r="AK146" i="4"/>
  <c r="AB191" i="4"/>
  <c r="T191" i="4"/>
  <c r="AK191" i="4"/>
  <c r="L191" i="4"/>
  <c r="X191" i="4"/>
  <c r="AM191" i="4"/>
  <c r="D191" i="4"/>
  <c r="C70" i="2" s="1"/>
  <c r="AL69" i="4"/>
  <c r="AJ146" i="4"/>
  <c r="AM215" i="4"/>
  <c r="AJ69" i="4"/>
  <c r="AE83" i="4"/>
  <c r="AH83" i="4"/>
  <c r="AH69" i="4"/>
  <c r="AJ77" i="4"/>
  <c r="AE174" i="4"/>
  <c r="AI83" i="4"/>
  <c r="AK83" i="4"/>
  <c r="AM69" i="4"/>
  <c r="AK61" i="4"/>
  <c r="AK69" i="4"/>
  <c r="AF69" i="4"/>
  <c r="AG96" i="4"/>
  <c r="AF110" i="4"/>
  <c r="AI96" i="4"/>
  <c r="AJ204" i="4"/>
  <c r="AI215" i="4"/>
  <c r="AJ184" i="4"/>
  <c r="AE215" i="4"/>
  <c r="AD61" i="4"/>
  <c r="AL110" i="4"/>
  <c r="AI184" i="4"/>
  <c r="AM83" i="4"/>
  <c r="AJ96" i="4"/>
  <c r="AK215" i="4"/>
  <c r="AM184" i="4"/>
  <c r="AI157" i="4"/>
  <c r="AF83" i="4"/>
  <c r="AM174" i="4"/>
  <c r="AG174" i="4"/>
  <c r="AF204" i="4"/>
  <c r="AM61" i="4"/>
  <c r="AF223" i="4"/>
  <c r="AJ110" i="4"/>
  <c r="AE204" i="4"/>
  <c r="AG77" i="4"/>
  <c r="AH146" i="4"/>
  <c r="AD204" i="4"/>
  <c r="AI223" i="4"/>
  <c r="AG69" i="4"/>
  <c r="AH77" i="4"/>
  <c r="AF77" i="4"/>
  <c r="AJ83" i="4"/>
  <c r="AE96" i="4"/>
  <c r="AM131" i="4"/>
  <c r="AH174" i="4"/>
  <c r="AH184" i="4"/>
  <c r="AI131" i="4"/>
  <c r="AE146" i="4"/>
  <c r="AI110" i="4"/>
  <c r="AG61" i="4"/>
  <c r="AB83" i="4"/>
  <c r="AD110" i="4"/>
  <c r="AH204" i="4"/>
  <c r="AD215" i="4"/>
  <c r="AK223" i="4"/>
  <c r="AI61" i="4"/>
  <c r="AM77" i="4"/>
  <c r="AD69" i="4"/>
  <c r="AG223" i="4"/>
  <c r="AI69" i="4"/>
  <c r="AD77" i="4"/>
  <c r="AJ174" i="4"/>
  <c r="AE77" i="4"/>
  <c r="AG83" i="4"/>
  <c r="AL215" i="4"/>
  <c r="AH50" i="4"/>
  <c r="AJ131" i="4"/>
  <c r="AI204" i="4"/>
  <c r="AG204" i="4"/>
  <c r="AK77" i="4"/>
  <c r="AI77" i="4"/>
  <c r="AL146" i="4"/>
  <c r="AL157" i="4"/>
  <c r="AF215" i="4"/>
  <c r="AL77" i="4"/>
  <c r="AM96" i="4"/>
  <c r="AK204" i="4"/>
  <c r="AD157" i="4"/>
  <c r="AE157" i="4"/>
  <c r="AH157" i="4"/>
  <c r="AJ157" i="4"/>
  <c r="AM157" i="4"/>
  <c r="AE223" i="4"/>
  <c r="AJ223" i="4"/>
  <c r="G3" i="7"/>
  <c r="E3" i="13"/>
  <c r="F85" i="1"/>
  <c r="E6" i="1"/>
  <c r="E145" i="1" s="1"/>
  <c r="F3" i="10"/>
  <c r="AG50" i="4"/>
  <c r="AD131" i="4"/>
  <c r="AK64" i="3"/>
  <c r="AB64" i="3"/>
  <c r="AE64" i="3"/>
  <c r="AI64" i="3"/>
  <c r="AD64" i="3"/>
  <c r="AC64" i="3"/>
  <c r="AM64" i="3"/>
  <c r="AH64" i="3"/>
  <c r="AG64" i="3"/>
  <c r="AB80" i="3"/>
  <c r="AL129" i="3"/>
  <c r="AK178" i="3"/>
  <c r="Y178" i="3"/>
  <c r="M178" i="3"/>
  <c r="AL178" i="3"/>
  <c r="X178" i="3"/>
  <c r="AB178" i="3"/>
  <c r="AE178" i="3"/>
  <c r="AH178" i="3"/>
  <c r="AM178" i="3"/>
  <c r="AJ178" i="3"/>
  <c r="AF178" i="3"/>
  <c r="AD178" i="3"/>
  <c r="AI178" i="3"/>
  <c r="E178" i="3"/>
  <c r="AA178" i="3"/>
  <c r="Z178" i="3"/>
  <c r="AF19" i="3"/>
  <c r="AC60" i="3"/>
  <c r="AG60" i="3"/>
  <c r="AJ60" i="3"/>
  <c r="AH60" i="3"/>
  <c r="M60" i="3"/>
  <c r="L60" i="3"/>
  <c r="AL60" i="3"/>
  <c r="AM60" i="3"/>
  <c r="O60" i="3"/>
  <c r="AF60" i="3"/>
  <c r="AE60" i="3"/>
  <c r="X60" i="3"/>
  <c r="AL64" i="3"/>
  <c r="AD120" i="3"/>
  <c r="AE120" i="3"/>
  <c r="AC120" i="3"/>
  <c r="AM120" i="3"/>
  <c r="AL120" i="3"/>
  <c r="AH120" i="3"/>
  <c r="AK120" i="3"/>
  <c r="AJ120" i="3"/>
  <c r="AG120" i="3"/>
  <c r="AF120" i="3"/>
  <c r="AB120" i="3"/>
  <c r="AC178" i="3"/>
  <c r="AE50" i="4"/>
  <c r="AJ61" i="4"/>
  <c r="H6" i="4"/>
  <c r="AH85" i="3"/>
  <c r="J85" i="3"/>
  <c r="AE85" i="3"/>
  <c r="AK85" i="3"/>
  <c r="AJ85" i="3"/>
  <c r="AD85" i="3"/>
  <c r="AM85" i="3"/>
  <c r="AL85" i="3"/>
  <c r="AF85" i="3"/>
  <c r="AC85" i="3"/>
  <c r="AJ80" i="3"/>
  <c r="AG80" i="3"/>
  <c r="AK80" i="3"/>
  <c r="AL80" i="3"/>
  <c r="AI80" i="3"/>
  <c r="AD80" i="3"/>
  <c r="AE80" i="3"/>
  <c r="AC80" i="3"/>
  <c r="AM80" i="3"/>
  <c r="AH80" i="3"/>
  <c r="AF80" i="3"/>
  <c r="AJ96" i="3"/>
  <c r="AK96" i="3"/>
  <c r="AB96" i="3"/>
  <c r="AL96" i="3"/>
  <c r="AI96" i="3"/>
  <c r="AE96" i="3"/>
  <c r="AG96" i="3"/>
  <c r="AF96" i="3"/>
  <c r="AG178" i="3"/>
  <c r="AG179" i="3" s="1"/>
  <c r="K60" i="3"/>
  <c r="Y85" i="3"/>
  <c r="AK110" i="4"/>
  <c r="AG110" i="4"/>
  <c r="AG85" i="3"/>
  <c r="AG19" i="3"/>
  <c r="AD59" i="3"/>
  <c r="AE59" i="3"/>
  <c r="AH59" i="3"/>
  <c r="AM59" i="3"/>
  <c r="AI59" i="3"/>
  <c r="AG59" i="3"/>
  <c r="AC59" i="3"/>
  <c r="AK59" i="3"/>
  <c r="AJ59" i="3"/>
  <c r="AF59" i="3"/>
  <c r="Z60" i="3"/>
  <c r="AI81" i="3"/>
  <c r="AJ81" i="3"/>
  <c r="AM81" i="3"/>
  <c r="AK81" i="3"/>
  <c r="AE81" i="3"/>
  <c r="AD81" i="3"/>
  <c r="AG81" i="3"/>
  <c r="AF81" i="3"/>
  <c r="AI85" i="3"/>
  <c r="AE134" i="3"/>
  <c r="AH134" i="3"/>
  <c r="AD134" i="3"/>
  <c r="AI134" i="3"/>
  <c r="AB134" i="3"/>
  <c r="AL134" i="3"/>
  <c r="AM134" i="3"/>
  <c r="AJ134" i="3"/>
  <c r="AG134" i="3"/>
  <c r="AF134" i="3"/>
  <c r="AG129" i="3"/>
  <c r="AJ129" i="3"/>
  <c r="AK129" i="3"/>
  <c r="V129" i="3"/>
  <c r="Z129" i="3"/>
  <c r="F129" i="3"/>
  <c r="AI129" i="3"/>
  <c r="AH129" i="3"/>
  <c r="AM129" i="3"/>
  <c r="N129" i="3"/>
  <c r="AF129" i="3"/>
  <c r="AE129" i="3"/>
  <c r="AD129" i="3"/>
  <c r="AD60" i="3"/>
  <c r="AD89" i="3"/>
  <c r="AK89" i="3"/>
  <c r="AI89" i="3"/>
  <c r="AE89" i="3"/>
  <c r="AC89" i="3"/>
  <c r="AM89" i="3"/>
  <c r="AH89" i="3"/>
  <c r="AG89" i="3"/>
  <c r="AK95" i="3"/>
  <c r="AH95" i="3"/>
  <c r="AL95" i="3"/>
  <c r="AF95" i="3"/>
  <c r="AJ95" i="3"/>
  <c r="AE95" i="3"/>
  <c r="AD95" i="3"/>
  <c r="AM95" i="3"/>
  <c r="AI95" i="3"/>
  <c r="AG95" i="3"/>
  <c r="AC134" i="3"/>
  <c r="AF137" i="3"/>
  <c r="AM137" i="3"/>
  <c r="AD137" i="3"/>
  <c r="AL137" i="3"/>
  <c r="AH137" i="3"/>
  <c r="AK137" i="3"/>
  <c r="AJ137" i="3"/>
  <c r="AI137" i="3"/>
  <c r="AL177" i="3"/>
  <c r="N177" i="3"/>
  <c r="AI177" i="3"/>
  <c r="AM177" i="3"/>
  <c r="Y177" i="3"/>
  <c r="AJ177" i="3"/>
  <c r="T177" i="3"/>
  <c r="X177" i="3"/>
  <c r="AK177" i="3"/>
  <c r="AH177" i="3"/>
  <c r="AE177" i="3"/>
  <c r="AD177" i="3"/>
  <c r="O177" i="3"/>
  <c r="AF177" i="3"/>
  <c r="AC177" i="3"/>
  <c r="AI60" i="3"/>
  <c r="AE70" i="3"/>
  <c r="AF70" i="3"/>
  <c r="AG70" i="3"/>
  <c r="AJ70" i="3"/>
  <c r="AD70" i="3"/>
  <c r="AC70" i="3"/>
  <c r="AK70" i="3"/>
  <c r="AI70" i="3"/>
  <c r="AH70" i="3"/>
  <c r="AC96" i="3"/>
  <c r="AB129" i="3"/>
  <c r="AK134" i="3"/>
  <c r="AE54" i="3"/>
  <c r="AC72" i="3"/>
  <c r="AG72" i="3"/>
  <c r="AJ72" i="3"/>
  <c r="J72" i="3"/>
  <c r="AK72" i="3"/>
  <c r="AE72" i="3"/>
  <c r="O72" i="3"/>
  <c r="AD72" i="3"/>
  <c r="N72" i="3"/>
  <c r="I72" i="3"/>
  <c r="AA72" i="3"/>
  <c r="AG86" i="3"/>
  <c r="AD86" i="3"/>
  <c r="D86" i="3"/>
  <c r="AH86" i="3"/>
  <c r="AK86" i="3"/>
  <c r="AE86" i="3"/>
  <c r="I119" i="3"/>
  <c r="AG119" i="3"/>
  <c r="AI50" i="4"/>
  <c r="AD50" i="4"/>
  <c r="AL23" i="3"/>
  <c r="Z23" i="3"/>
  <c r="N23" i="3"/>
  <c r="AG23" i="3"/>
  <c r="AJ23" i="3"/>
  <c r="W23" i="3"/>
  <c r="AB23" i="3"/>
  <c r="L23" i="3"/>
  <c r="AM23" i="3"/>
  <c r="AK23" i="3"/>
  <c r="AE23" i="3"/>
  <c r="AA23" i="3"/>
  <c r="AG68" i="3"/>
  <c r="AK68" i="3"/>
  <c r="K68" i="3"/>
  <c r="AM68" i="3"/>
  <c r="AL68" i="3"/>
  <c r="AF68" i="3"/>
  <c r="AB72" i="3"/>
  <c r="AB91" i="3"/>
  <c r="D91" i="3"/>
  <c r="AC91" i="3"/>
  <c r="O91" i="3"/>
  <c r="AF91" i="3"/>
  <c r="AL91" i="3"/>
  <c r="W91" i="3"/>
  <c r="AH91" i="3"/>
  <c r="AG91" i="3"/>
  <c r="Z91" i="3"/>
  <c r="Y91" i="3"/>
  <c r="AL94" i="3"/>
  <c r="Z94" i="3"/>
  <c r="N94" i="3"/>
  <c r="AF94" i="3"/>
  <c r="AI94" i="3"/>
  <c r="AM94" i="3"/>
  <c r="AG94" i="3"/>
  <c r="AE94" i="3"/>
  <c r="K94" i="3"/>
  <c r="J119" i="3"/>
  <c r="AH119" i="3"/>
  <c r="X160" i="3"/>
  <c r="X161" i="3" s="1"/>
  <c r="AJ50" i="4"/>
  <c r="AD83" i="4"/>
  <c r="AH19" i="3"/>
  <c r="AC23" i="3"/>
  <c r="K65" i="3"/>
  <c r="AI65" i="3"/>
  <c r="AF72" i="3"/>
  <c r="AF86" i="3"/>
  <c r="E91" i="3"/>
  <c r="AB94" i="3"/>
  <c r="K119" i="3"/>
  <c r="AJ119" i="3"/>
  <c r="AM135" i="3"/>
  <c r="AH61" i="4"/>
  <c r="AH131" i="4"/>
  <c r="AL131" i="4"/>
  <c r="AG146" i="4"/>
  <c r="AF157" i="4"/>
  <c r="D13" i="4"/>
  <c r="AG104" i="3"/>
  <c r="I104" i="3"/>
  <c r="AH104" i="3"/>
  <c r="G104" i="3"/>
  <c r="AK104" i="3"/>
  <c r="X104" i="3"/>
  <c r="K104" i="3"/>
  <c r="AJ104" i="3"/>
  <c r="AD104" i="3"/>
  <c r="O104" i="3"/>
  <c r="AC104" i="3"/>
  <c r="AF109" i="3"/>
  <c r="AI109" i="3"/>
  <c r="AH109" i="3"/>
  <c r="AL109" i="3"/>
  <c r="R119" i="3"/>
  <c r="AI125" i="3"/>
  <c r="AL125" i="3"/>
  <c r="AM125" i="3"/>
  <c r="AD125" i="3"/>
  <c r="AG125" i="3"/>
  <c r="AC125" i="3"/>
  <c r="AC160" i="3"/>
  <c r="AC161" i="3" s="1"/>
  <c r="O160" i="3"/>
  <c r="O161" i="3" s="1"/>
  <c r="AF160" i="3"/>
  <c r="AF161" i="3" s="1"/>
  <c r="F160" i="3"/>
  <c r="F161" i="3" s="1"/>
  <c r="AH160" i="3"/>
  <c r="AH161" i="3" s="1"/>
  <c r="AK160" i="3"/>
  <c r="AK161" i="3" s="1"/>
  <c r="AM160" i="3"/>
  <c r="AM161" i="3" s="1"/>
  <c r="AL160" i="3"/>
  <c r="AL161" i="3" s="1"/>
  <c r="AE160" i="3"/>
  <c r="AE161" i="3" s="1"/>
  <c r="AI160" i="3"/>
  <c r="AI161" i="3" s="1"/>
  <c r="AL19" i="3"/>
  <c r="AM72" i="3"/>
  <c r="AM86" i="3"/>
  <c r="AB104" i="3"/>
  <c r="AD109" i="3"/>
  <c r="P123" i="3"/>
  <c r="AF123" i="3"/>
  <c r="F123" i="3"/>
  <c r="AI123" i="3"/>
  <c r="AC123" i="3"/>
  <c r="AM123" i="3"/>
  <c r="X123" i="3"/>
  <c r="AL123" i="3"/>
  <c r="AG123" i="3"/>
  <c r="AE125" i="3"/>
  <c r="AJ160" i="3"/>
  <c r="AJ161" i="3" s="1"/>
  <c r="F42" i="4"/>
  <c r="V42" i="4"/>
  <c r="D42" i="4"/>
  <c r="G42" i="4"/>
  <c r="J42" i="4"/>
  <c r="I42" i="4"/>
  <c r="H42" i="4"/>
  <c r="U42" i="4"/>
  <c r="T42" i="4"/>
  <c r="E42" i="4"/>
  <c r="AM19" i="3"/>
  <c r="O23" i="3"/>
  <c r="AK24" i="3"/>
  <c r="M24" i="3"/>
  <c r="AI24" i="3"/>
  <c r="AM24" i="3"/>
  <c r="Z24" i="3"/>
  <c r="L24" i="3"/>
  <c r="AL24" i="3"/>
  <c r="F24" i="3"/>
  <c r="AF24" i="3"/>
  <c r="AE24" i="3"/>
  <c r="X24" i="3"/>
  <c r="AJ68" i="3"/>
  <c r="AK76" i="3"/>
  <c r="M76" i="3"/>
  <c r="O76" i="3"/>
  <c r="AE76" i="3"/>
  <c r="AJ76" i="3"/>
  <c r="AF76" i="3"/>
  <c r="AD76" i="3"/>
  <c r="N76" i="3"/>
  <c r="X76" i="3"/>
  <c r="Z76" i="3"/>
  <c r="AK91" i="3"/>
  <c r="M94" i="3"/>
  <c r="AK94" i="3"/>
  <c r="AE104" i="3"/>
  <c r="AE109" i="3"/>
  <c r="AH116" i="3"/>
  <c r="AE116" i="3"/>
  <c r="AI116" i="3"/>
  <c r="AK116" i="3"/>
  <c r="AD116" i="3"/>
  <c r="AC116" i="3"/>
  <c r="E123" i="3"/>
  <c r="AD123" i="3"/>
  <c r="AF125" i="3"/>
  <c r="Z186" i="3"/>
  <c r="AK157" i="4"/>
  <c r="F16" i="4"/>
  <c r="R16" i="4"/>
  <c r="T16" i="4"/>
  <c r="D16" i="4"/>
  <c r="J16" i="4"/>
  <c r="I16" i="4"/>
  <c r="E16" i="4"/>
  <c r="S16" i="4"/>
  <c r="Q16" i="4"/>
  <c r="H16" i="4"/>
  <c r="G16" i="4"/>
  <c r="Q42" i="4"/>
  <c r="I19" i="4"/>
  <c r="F19" i="4"/>
  <c r="S19" i="4"/>
  <c r="J19" i="4"/>
  <c r="H19" i="4"/>
  <c r="D19" i="4"/>
  <c r="V19" i="4"/>
  <c r="G19" i="4"/>
  <c r="E19" i="4"/>
  <c r="AE119" i="3"/>
  <c r="AL119" i="3"/>
  <c r="L119" i="3"/>
  <c r="O119" i="3"/>
  <c r="AI119" i="3"/>
  <c r="AD119" i="3"/>
  <c r="AM119" i="3"/>
  <c r="H119" i="3"/>
  <c r="AF50" i="4"/>
  <c r="AM50" i="4"/>
  <c r="I35" i="4"/>
  <c r="F35" i="4"/>
  <c r="H35" i="4"/>
  <c r="Q35" i="4"/>
  <c r="G35" i="4"/>
  <c r="E35" i="4"/>
  <c r="S35" i="4"/>
  <c r="R35" i="4"/>
  <c r="J35" i="4"/>
  <c r="D35" i="4"/>
  <c r="V35" i="4"/>
  <c r="U35" i="4"/>
  <c r="AJ65" i="3"/>
  <c r="X65" i="3"/>
  <c r="L65" i="3"/>
  <c r="AD65" i="3"/>
  <c r="AG65" i="3"/>
  <c r="AC65" i="3"/>
  <c r="N65" i="3"/>
  <c r="Y65" i="3"/>
  <c r="AM65" i="3"/>
  <c r="AH65" i="3"/>
  <c r="AA65" i="3"/>
  <c r="X72" i="3"/>
  <c r="M104" i="3"/>
  <c r="AL104" i="3"/>
  <c r="N109" i="3"/>
  <c r="AK109" i="3"/>
  <c r="E119" i="3"/>
  <c r="AJ123" i="3"/>
  <c r="AK125" i="3"/>
  <c r="AD135" i="3"/>
  <c r="AG135" i="3"/>
  <c r="AH135" i="3"/>
  <c r="AK135" i="3"/>
  <c r="H135" i="3"/>
  <c r="AE135" i="3"/>
  <c r="AJ135" i="3"/>
  <c r="AC135" i="3"/>
  <c r="N160" i="3"/>
  <c r="N161" i="3" s="1"/>
  <c r="AJ186" i="3"/>
  <c r="AJ187" i="3" s="1"/>
  <c r="AK186" i="3"/>
  <c r="AK187" i="3" s="1"/>
  <c r="AE186" i="3"/>
  <c r="AL186" i="3"/>
  <c r="AL187" i="3" s="1"/>
  <c r="AI186" i="3"/>
  <c r="AI187" i="3" s="1"/>
  <c r="AD186" i="3"/>
  <c r="AE69" i="4"/>
  <c r="AI61" i="3"/>
  <c r="AL61" i="3"/>
  <c r="Y61" i="3"/>
  <c r="L61" i="3"/>
  <c r="AC61" i="3"/>
  <c r="M61" i="3"/>
  <c r="AM61" i="3"/>
  <c r="W61" i="3"/>
  <c r="AK61" i="3"/>
  <c r="AF61" i="3"/>
  <c r="AB65" i="3"/>
  <c r="Z72" i="3"/>
  <c r="AH76" i="3"/>
  <c r="AM104" i="3"/>
  <c r="AM109" i="3"/>
  <c r="AJ116" i="3"/>
  <c r="AF119" i="3"/>
  <c r="N123" i="3"/>
  <c r="AK123" i="3"/>
  <c r="AF135" i="3"/>
  <c r="AL143" i="3"/>
  <c r="AC143" i="3"/>
  <c r="AI143" i="3"/>
  <c r="AM143" i="3"/>
  <c r="AE143" i="3"/>
  <c r="AD143" i="3"/>
  <c r="AH143" i="3"/>
  <c r="AG143" i="3"/>
  <c r="AH186" i="3"/>
  <c r="AH187" i="3" s="1"/>
  <c r="AE131" i="4"/>
  <c r="Q19" i="4"/>
  <c r="V22" i="4"/>
  <c r="D22" i="4"/>
  <c r="F36" i="4"/>
  <c r="V36" i="4"/>
  <c r="D36" i="4"/>
  <c r="H36" i="4"/>
  <c r="J36" i="4"/>
  <c r="Q36" i="4"/>
  <c r="E36" i="4"/>
  <c r="U36" i="4"/>
  <c r="T36" i="4"/>
  <c r="AF61" i="4"/>
  <c r="AE61" i="4"/>
  <c r="AD146" i="4"/>
  <c r="AM146" i="4"/>
  <c r="AG184" i="4"/>
  <c r="AM204" i="4"/>
  <c r="AH215" i="4"/>
  <c r="AE184" i="4"/>
  <c r="AC204" i="4"/>
  <c r="AJ215" i="4"/>
  <c r="Q6" i="4"/>
  <c r="AD19" i="3"/>
  <c r="M66" i="3"/>
  <c r="W67" i="3"/>
  <c r="N71" i="3"/>
  <c r="AI73" i="3"/>
  <c r="AL73" i="3"/>
  <c r="Y73" i="3"/>
  <c r="L73" i="3"/>
  <c r="AH73" i="3"/>
  <c r="AF87" i="3"/>
  <c r="AG87" i="3"/>
  <c r="AJ87" i="3"/>
  <c r="AI87" i="3"/>
  <c r="N102" i="3"/>
  <c r="AF105" i="3"/>
  <c r="H105" i="3"/>
  <c r="AJ105" i="3"/>
  <c r="AM105" i="3"/>
  <c r="Z105" i="3"/>
  <c r="R105" i="3"/>
  <c r="AH105" i="3"/>
  <c r="M106" i="3"/>
  <c r="AL112" i="3"/>
  <c r="Z112" i="3"/>
  <c r="N112" i="3"/>
  <c r="AI112" i="3"/>
  <c r="AM112" i="3"/>
  <c r="AG112" i="3"/>
  <c r="L113" i="3"/>
  <c r="AG117" i="3"/>
  <c r="I117" i="3"/>
  <c r="AH117" i="3"/>
  <c r="AK117" i="3"/>
  <c r="X117" i="3"/>
  <c r="K117" i="3"/>
  <c r="AI117" i="3"/>
  <c r="N118" i="3"/>
  <c r="N126" i="3"/>
  <c r="AL61" i="4"/>
  <c r="AL96" i="4"/>
  <c r="AF96" i="4"/>
  <c r="AM110" i="4"/>
  <c r="AF174" i="4"/>
  <c r="AF184" i="4"/>
  <c r="AD71" i="3"/>
  <c r="F71" i="3"/>
  <c r="AE71" i="3"/>
  <c r="AH71" i="3"/>
  <c r="AJ71" i="3"/>
  <c r="AE88" i="3"/>
  <c r="AI88" i="3"/>
  <c r="AL88" i="3"/>
  <c r="AH88" i="3"/>
  <c r="AH102" i="3"/>
  <c r="AE102" i="3"/>
  <c r="AI102" i="3"/>
  <c r="H102" i="3"/>
  <c r="AJ102" i="3"/>
  <c r="AE106" i="3"/>
  <c r="AL106" i="3"/>
  <c r="AH106" i="3"/>
  <c r="AK113" i="3"/>
  <c r="M113" i="3"/>
  <c r="AL113" i="3"/>
  <c r="X113" i="3"/>
  <c r="K113" i="3"/>
  <c r="O113" i="3"/>
  <c r="R113" i="3"/>
  <c r="AG113" i="3"/>
  <c r="AF118" i="3"/>
  <c r="H118" i="3"/>
  <c r="AJ118" i="3"/>
  <c r="AM118" i="3"/>
  <c r="M118" i="3"/>
  <c r="AH118" i="3"/>
  <c r="AH126" i="3"/>
  <c r="AK126" i="3"/>
  <c r="AD126" i="3"/>
  <c r="AG126" i="3"/>
  <c r="AL126" i="3"/>
  <c r="AK50" i="4"/>
  <c r="AE110" i="4"/>
  <c r="AF131" i="4"/>
  <c r="AF146" i="4"/>
  <c r="I21" i="4"/>
  <c r="J21" i="4"/>
  <c r="AI66" i="3"/>
  <c r="AF66" i="3"/>
  <c r="AJ66" i="3"/>
  <c r="AH66" i="3"/>
  <c r="AK71" i="3"/>
  <c r="AJ88" i="3"/>
  <c r="AK102" i="3"/>
  <c r="AI106" i="3"/>
  <c r="D113" i="3"/>
  <c r="AH113" i="3"/>
  <c r="AI118" i="3"/>
  <c r="AM126" i="3"/>
  <c r="AE138" i="3"/>
  <c r="AF138" i="3"/>
  <c r="AI138" i="3"/>
  <c r="AL138" i="3"/>
  <c r="AK147" i="3"/>
  <c r="AK149" i="3" s="1"/>
  <c r="AB147" i="3"/>
  <c r="AB149" i="3" s="1"/>
  <c r="D147" i="3"/>
  <c r="AH147" i="3"/>
  <c r="AH149" i="3" s="1"/>
  <c r="AL147" i="3"/>
  <c r="AL149" i="3" s="1"/>
  <c r="AM147" i="3"/>
  <c r="AM149" i="3" s="1"/>
  <c r="AG131" i="4"/>
  <c r="AK174" i="4"/>
  <c r="AK184" i="4"/>
  <c r="Q154" i="4"/>
  <c r="H154" i="4"/>
  <c r="U154" i="4"/>
  <c r="E154" i="4"/>
  <c r="D21" i="4"/>
  <c r="F40" i="4"/>
  <c r="S40" i="4"/>
  <c r="E40" i="4"/>
  <c r="D40" i="4"/>
  <c r="I40" i="4"/>
  <c r="H40" i="4"/>
  <c r="AH67" i="3"/>
  <c r="AI67" i="3"/>
  <c r="AL67" i="3"/>
  <c r="Y67" i="3"/>
  <c r="AG67" i="3"/>
  <c r="K71" i="3"/>
  <c r="K102" i="3"/>
  <c r="I106" i="3"/>
  <c r="X106" i="3"/>
  <c r="AD107" i="3"/>
  <c r="N107" i="3"/>
  <c r="AE107" i="3"/>
  <c r="AI107" i="3"/>
  <c r="AJ114" i="3"/>
  <c r="X114" i="3"/>
  <c r="AA114" i="3"/>
  <c r="N114" i="3"/>
  <c r="AD114" i="3"/>
  <c r="AH114" i="3"/>
  <c r="O117" i="3"/>
  <c r="AD117" i="3"/>
  <c r="I118" i="3"/>
  <c r="Y118" i="3"/>
  <c r="AA126" i="3"/>
  <c r="J147" i="3"/>
  <c r="J149" i="3" s="1"/>
  <c r="J154" i="4"/>
  <c r="U12" i="4"/>
  <c r="U40" i="4"/>
  <c r="AH96" i="4"/>
  <c r="AH110" i="4"/>
  <c r="Q7" i="4"/>
  <c r="F28" i="4"/>
  <c r="V28" i="4"/>
  <c r="D28" i="4"/>
  <c r="I28" i="4"/>
  <c r="Q28" i="4"/>
  <c r="AL63" i="3"/>
  <c r="Z63" i="3"/>
  <c r="AC63" i="3"/>
  <c r="AF69" i="3"/>
  <c r="AC69" i="3"/>
  <c r="AL75" i="3"/>
  <c r="N75" i="3"/>
  <c r="AD90" i="3"/>
  <c r="AI97" i="3"/>
  <c r="AC97" i="3"/>
  <c r="AF130" i="3"/>
  <c r="AI130" i="3"/>
  <c r="AE130" i="3"/>
  <c r="AJ156" i="3"/>
  <c r="AJ157" i="3" s="1"/>
  <c r="AM156" i="3"/>
  <c r="AM157" i="3" s="1"/>
  <c r="AF156" i="3"/>
  <c r="AF157" i="3" s="1"/>
  <c r="AD184" i="4"/>
  <c r="I10" i="4"/>
  <c r="I24" i="4"/>
  <c r="T24" i="4"/>
  <c r="S24" i="4"/>
  <c r="D24" i="4"/>
  <c r="I27" i="4"/>
  <c r="F27" i="4"/>
  <c r="J27" i="4"/>
  <c r="E28" i="4"/>
  <c r="D29" i="4"/>
  <c r="H32" i="4"/>
  <c r="AI174" i="4"/>
  <c r="AL204" i="4"/>
  <c r="AH223" i="4"/>
  <c r="R7" i="4"/>
  <c r="I15" i="4"/>
  <c r="T15" i="4"/>
  <c r="U15" i="4"/>
  <c r="E15" i="4"/>
  <c r="Q18" i="4"/>
  <c r="H18" i="4"/>
  <c r="T18" i="4"/>
  <c r="AL50" i="4"/>
  <c r="AI146" i="4"/>
  <c r="AL174" i="4"/>
  <c r="F10" i="4"/>
  <c r="V10" i="4"/>
  <c r="D10" i="4"/>
  <c r="S10" i="4"/>
  <c r="J11" i="4"/>
  <c r="U28" i="4"/>
  <c r="V29" i="4"/>
  <c r="F32" i="4"/>
  <c r="Q32" i="4"/>
  <c r="U32" i="4"/>
  <c r="AM63" i="3"/>
  <c r="AM69" i="3"/>
  <c r="AM75" i="3"/>
  <c r="Z90" i="3"/>
  <c r="AM90" i="3"/>
  <c r="AM97" i="3"/>
  <c r="AD108" i="3"/>
  <c r="AI115" i="3"/>
  <c r="AD122" i="3"/>
  <c r="AB156" i="3"/>
  <c r="AB157" i="3" s="1"/>
  <c r="AG157" i="4"/>
  <c r="V7" i="4"/>
  <c r="F152" i="4"/>
  <c r="R152" i="4"/>
  <c r="U152" i="4"/>
  <c r="E152" i="4"/>
  <c r="I155" i="4"/>
  <c r="F155" i="4"/>
  <c r="Q155" i="4"/>
  <c r="E10" i="4"/>
  <c r="D11" i="4"/>
  <c r="H15" i="4"/>
  <c r="G18" i="4"/>
  <c r="U24" i="4"/>
  <c r="U27" i="4"/>
  <c r="I30" i="4"/>
  <c r="D32" i="4"/>
  <c r="I39" i="4"/>
  <c r="T39" i="4"/>
  <c r="Q39" i="4"/>
  <c r="U39" i="4"/>
  <c r="S39" i="4"/>
  <c r="V55" i="4"/>
  <c r="D55" i="4"/>
  <c r="G55" i="4"/>
  <c r="R55" i="4"/>
  <c r="U55" i="4"/>
  <c r="T55" i="4"/>
  <c r="J55" i="4"/>
  <c r="F55" i="4"/>
  <c r="E55" i="4"/>
  <c r="S55" i="4"/>
  <c r="G57" i="4"/>
  <c r="AA22" i="3"/>
  <c r="O62" i="3"/>
  <c r="AD142" i="3"/>
  <c r="AA152" i="3"/>
  <c r="AA153" i="3" s="1"/>
  <c r="AK96" i="4"/>
  <c r="AG215" i="4"/>
  <c r="F25" i="4"/>
  <c r="I34" i="4"/>
  <c r="I56" i="4"/>
  <c r="T56" i="4"/>
  <c r="R56" i="4"/>
  <c r="I66" i="4"/>
  <c r="E66" i="4"/>
  <c r="S66" i="4"/>
  <c r="P66" i="4"/>
  <c r="D56" i="4"/>
  <c r="J59" i="4"/>
  <c r="I59" i="4"/>
  <c r="H59" i="4"/>
  <c r="S59" i="4"/>
  <c r="R80" i="4"/>
  <c r="I80" i="4"/>
  <c r="H80" i="4"/>
  <c r="D80" i="4"/>
  <c r="J80" i="4"/>
  <c r="D134" i="4"/>
  <c r="F134" i="4"/>
  <c r="E134" i="4"/>
  <c r="R134" i="4"/>
  <c r="G134" i="4"/>
  <c r="F80" i="4"/>
  <c r="P80" i="4"/>
  <c r="AK131" i="4"/>
  <c r="I151" i="4"/>
  <c r="T151" i="4"/>
  <c r="V151" i="4"/>
  <c r="I64" i="4"/>
  <c r="P64" i="4"/>
  <c r="J64" i="4"/>
  <c r="H64" i="4"/>
  <c r="R64" i="4"/>
  <c r="U64" i="4"/>
  <c r="P134" i="4"/>
  <c r="T80" i="4"/>
  <c r="U80" i="4"/>
  <c r="O166" i="3"/>
  <c r="F65" i="4"/>
  <c r="I65" i="4"/>
  <c r="J65" i="4"/>
  <c r="H65" i="4"/>
  <c r="S65" i="4"/>
  <c r="V65" i="4"/>
  <c r="I89" i="4"/>
  <c r="S89" i="4"/>
  <c r="H89" i="4"/>
  <c r="T89" i="4"/>
  <c r="R102" i="4"/>
  <c r="S102" i="4"/>
  <c r="I102" i="4"/>
  <c r="E102" i="4"/>
  <c r="D102" i="4"/>
  <c r="J102" i="4"/>
  <c r="H102" i="4"/>
  <c r="G102" i="4"/>
  <c r="I103" i="4"/>
  <c r="R103" i="4"/>
  <c r="H103" i="4"/>
  <c r="F103" i="4"/>
  <c r="E103" i="4"/>
  <c r="S103" i="4"/>
  <c r="F53" i="4"/>
  <c r="I53" i="4"/>
  <c r="P53" i="4"/>
  <c r="G117" i="4"/>
  <c r="I120" i="4"/>
  <c r="G120" i="4"/>
  <c r="S120" i="4"/>
  <c r="F120" i="4"/>
  <c r="F118" i="4"/>
  <c r="V118" i="4"/>
  <c r="D118" i="4"/>
  <c r="T118" i="4"/>
  <c r="J118" i="4"/>
  <c r="G118" i="4"/>
  <c r="U118" i="4"/>
  <c r="S118" i="4"/>
  <c r="I48" i="4"/>
  <c r="D48" i="4"/>
  <c r="G43" i="4"/>
  <c r="I75" i="4"/>
  <c r="H75" i="4"/>
  <c r="E75" i="4"/>
  <c r="H100" i="4"/>
  <c r="D100" i="4"/>
  <c r="G100" i="4"/>
  <c r="F100" i="4"/>
  <c r="P100" i="4"/>
  <c r="I117" i="4"/>
  <c r="F117" i="4"/>
  <c r="R117" i="4"/>
  <c r="J117" i="4"/>
  <c r="H117" i="4"/>
  <c r="D117" i="4"/>
  <c r="S117" i="4"/>
  <c r="H119" i="4"/>
  <c r="S119" i="4"/>
  <c r="J119" i="4"/>
  <c r="I119" i="4"/>
  <c r="E119" i="4"/>
  <c r="T119" i="4"/>
  <c r="F124" i="4"/>
  <c r="V124" i="4"/>
  <c r="D124" i="4"/>
  <c r="S124" i="4"/>
  <c r="J126" i="4"/>
  <c r="G126" i="4"/>
  <c r="D202" i="4"/>
  <c r="I123" i="4"/>
  <c r="F123" i="4"/>
  <c r="E124" i="4"/>
  <c r="D126" i="4"/>
  <c r="H73" i="4"/>
  <c r="E73" i="4"/>
  <c r="Q142" i="4"/>
  <c r="H142" i="4"/>
  <c r="U142" i="4"/>
  <c r="R142" i="4"/>
  <c r="D123" i="4"/>
  <c r="G124" i="4"/>
  <c r="E126" i="4"/>
  <c r="I195" i="4"/>
  <c r="G195" i="4"/>
  <c r="D195" i="4"/>
  <c r="Q177" i="4"/>
  <c r="H177" i="4"/>
  <c r="R177" i="4"/>
  <c r="I177" i="4"/>
  <c r="D177" i="4"/>
  <c r="J200" i="4"/>
  <c r="H202" i="4"/>
  <c r="F194" i="4"/>
  <c r="D194" i="4"/>
  <c r="Q194" i="4"/>
  <c r="I194" i="4"/>
  <c r="P212" i="4"/>
  <c r="H212" i="4"/>
  <c r="U212" i="4"/>
  <c r="S212" i="4"/>
  <c r="I212" i="4"/>
  <c r="G212" i="4"/>
  <c r="F212" i="4"/>
  <c r="E212" i="4"/>
  <c r="D212" i="4"/>
  <c r="V212" i="4"/>
  <c r="E194" i="4"/>
  <c r="G194" i="4"/>
  <c r="I213" i="4"/>
  <c r="J213" i="4"/>
  <c r="F213" i="4"/>
  <c r="U213" i="4"/>
  <c r="S213" i="4"/>
  <c r="P213" i="4"/>
  <c r="H213" i="4"/>
  <c r="G213" i="4"/>
  <c r="E213" i="4"/>
  <c r="D213" i="4"/>
  <c r="J123" i="4"/>
  <c r="Q124" i="4"/>
  <c r="S127" i="4"/>
  <c r="I47" i="4"/>
  <c r="P47" i="4"/>
  <c r="H47" i="4"/>
  <c r="E47" i="4"/>
  <c r="H194" i="4"/>
  <c r="U178" i="4"/>
  <c r="Q213" i="4"/>
  <c r="J194" i="4"/>
  <c r="P194" i="4"/>
  <c r="F67" i="4"/>
  <c r="V81" i="4"/>
  <c r="D81" i="4"/>
  <c r="S123" i="4"/>
  <c r="R194" i="4"/>
  <c r="S73" i="4"/>
  <c r="U123" i="4"/>
  <c r="V126" i="4"/>
  <c r="J47" i="4"/>
  <c r="F200" i="4"/>
  <c r="D200" i="4"/>
  <c r="H200" i="4"/>
  <c r="U200" i="4"/>
  <c r="I127" i="4"/>
  <c r="T194" i="4"/>
  <c r="I202" i="4"/>
  <c r="F202" i="4"/>
  <c r="P202" i="4"/>
  <c r="G202" i="4"/>
  <c r="U202" i="4"/>
  <c r="I10" i="3"/>
  <c r="I9" i="3"/>
  <c r="S9" i="3"/>
  <c r="H10" i="3"/>
  <c r="I101" i="4"/>
  <c r="F101" i="4"/>
  <c r="V101" i="4"/>
  <c r="Q116" i="4"/>
  <c r="H116" i="4"/>
  <c r="G196" i="4"/>
  <c r="I49" i="3"/>
  <c r="J49" i="3"/>
  <c r="H49" i="3"/>
  <c r="F49" i="3"/>
  <c r="J24" i="3"/>
  <c r="G29" i="3"/>
  <c r="G32" i="3"/>
  <c r="I32" i="3"/>
  <c r="J32" i="3"/>
  <c r="D36" i="3"/>
  <c r="D38" i="3"/>
  <c r="Q11" i="3"/>
  <c r="R24" i="3"/>
  <c r="J29" i="3"/>
  <c r="D32" i="3"/>
  <c r="F36" i="3"/>
  <c r="F38" i="3"/>
  <c r="G94" i="3"/>
  <c r="I94" i="3"/>
  <c r="T94" i="3"/>
  <c r="Q94" i="3"/>
  <c r="J94" i="3"/>
  <c r="F94" i="3"/>
  <c r="E94" i="3"/>
  <c r="D94" i="3"/>
  <c r="V94" i="3"/>
  <c r="G36" i="3"/>
  <c r="U61" i="3"/>
  <c r="D61" i="3"/>
  <c r="S61" i="3"/>
  <c r="J61" i="3"/>
  <c r="I61" i="3"/>
  <c r="H61" i="3"/>
  <c r="G61" i="3"/>
  <c r="F61" i="3"/>
  <c r="E61" i="3"/>
  <c r="S11" i="3"/>
  <c r="F32" i="3"/>
  <c r="E31" i="3"/>
  <c r="V31" i="3"/>
  <c r="I36" i="3"/>
  <c r="Q61" i="3"/>
  <c r="U94" i="3"/>
  <c r="U220" i="4"/>
  <c r="J27" i="3"/>
  <c r="E27" i="3"/>
  <c r="U27" i="3"/>
  <c r="T27" i="3"/>
  <c r="I27" i="3"/>
  <c r="J30" i="3"/>
  <c r="R30" i="3"/>
  <c r="U30" i="3"/>
  <c r="T30" i="3"/>
  <c r="I30" i="3"/>
  <c r="H30" i="3"/>
  <c r="J112" i="3"/>
  <c r="U112" i="3"/>
  <c r="I112" i="3"/>
  <c r="H112" i="3"/>
  <c r="G112" i="3"/>
  <c r="F112" i="3"/>
  <c r="E112" i="3"/>
  <c r="D112" i="3"/>
  <c r="S112" i="3"/>
  <c r="R61" i="3"/>
  <c r="I11" i="3"/>
  <c r="I62" i="3"/>
  <c r="J62" i="3"/>
  <c r="H62" i="3"/>
  <c r="G62" i="3"/>
  <c r="F62" i="3"/>
  <c r="E62" i="3"/>
  <c r="V62" i="3"/>
  <c r="G24" i="3"/>
  <c r="E24" i="3"/>
  <c r="I24" i="3"/>
  <c r="U24" i="3"/>
  <c r="T24" i="3"/>
  <c r="Q24" i="3"/>
  <c r="R29" i="3"/>
  <c r="Q29" i="3"/>
  <c r="S29" i="3"/>
  <c r="U29" i="3"/>
  <c r="I29" i="3"/>
  <c r="H29" i="3"/>
  <c r="F11" i="3"/>
  <c r="D24" i="3"/>
  <c r="D29" i="3"/>
  <c r="G60" i="3"/>
  <c r="T60" i="3"/>
  <c r="J60" i="3"/>
  <c r="I60" i="3"/>
  <c r="H60" i="3"/>
  <c r="F60" i="3"/>
  <c r="E60" i="3"/>
  <c r="D60" i="3"/>
  <c r="U60" i="3"/>
  <c r="T62" i="3"/>
  <c r="J86" i="3"/>
  <c r="J93" i="3"/>
  <c r="U93" i="3"/>
  <c r="Q93" i="3"/>
  <c r="I93" i="3"/>
  <c r="H93" i="3"/>
  <c r="G93" i="3"/>
  <c r="F93" i="3"/>
  <c r="E93" i="3"/>
  <c r="D93" i="3"/>
  <c r="V93" i="3"/>
  <c r="J36" i="3"/>
  <c r="H36" i="3"/>
  <c r="E36" i="3"/>
  <c r="V36" i="3"/>
  <c r="U36" i="3"/>
  <c r="R36" i="3"/>
  <c r="Q36" i="3"/>
  <c r="G38" i="3"/>
  <c r="Q38" i="3"/>
  <c r="T38" i="3"/>
  <c r="J38" i="3"/>
  <c r="E38" i="3"/>
  <c r="Q105" i="3"/>
  <c r="Q106" i="3"/>
  <c r="J90" i="3"/>
  <c r="E90" i="3"/>
  <c r="F90" i="3"/>
  <c r="F152" i="3"/>
  <c r="F153" i="3" s="1"/>
  <c r="F23" i="3"/>
  <c r="S102" i="3"/>
  <c r="T104" i="3"/>
  <c r="U106" i="3"/>
  <c r="H90" i="3"/>
  <c r="R152" i="3"/>
  <c r="R153" i="3" s="1"/>
  <c r="U114" i="3"/>
  <c r="U104" i="3"/>
  <c r="I90" i="3"/>
  <c r="S152" i="3"/>
  <c r="S153" i="3" s="1"/>
  <c r="U107" i="3"/>
  <c r="D107" i="3"/>
  <c r="F107" i="3"/>
  <c r="T152" i="3"/>
  <c r="T153" i="3" s="1"/>
  <c r="F104" i="3"/>
  <c r="H104" i="3"/>
  <c r="J105" i="3"/>
  <c r="V105" i="3"/>
  <c r="D105" i="3"/>
  <c r="G105" i="3"/>
  <c r="U152" i="3"/>
  <c r="U153" i="3" s="1"/>
  <c r="J114" i="3"/>
  <c r="E114" i="3"/>
  <c r="D114" i="3"/>
  <c r="G102" i="3"/>
  <c r="J102" i="3"/>
  <c r="I102" i="3"/>
  <c r="D104" i="3"/>
  <c r="E105" i="3"/>
  <c r="E106" i="3"/>
  <c r="D102" i="3"/>
  <c r="E104" i="3"/>
  <c r="F105" i="3"/>
  <c r="H106" i="3"/>
  <c r="H107" i="3"/>
  <c r="S90" i="3"/>
  <c r="G113" i="3"/>
  <c r="F113" i="3"/>
  <c r="I113" i="3"/>
  <c r="H113" i="3"/>
  <c r="G114" i="3"/>
  <c r="G117" i="3"/>
  <c r="R117" i="3"/>
  <c r="T117" i="3"/>
  <c r="V117" i="3"/>
  <c r="U117" i="3"/>
  <c r="J152" i="3"/>
  <c r="J153" i="3" s="1"/>
  <c r="H152" i="3"/>
  <c r="H153" i="3" s="1"/>
  <c r="I152" i="3"/>
  <c r="I153" i="3" s="1"/>
  <c r="G152" i="3"/>
  <c r="G153" i="3" s="1"/>
  <c r="H126" i="3"/>
  <c r="Q126" i="3"/>
  <c r="F126" i="3"/>
  <c r="E126" i="3"/>
  <c r="I126" i="3"/>
  <c r="S124" i="3"/>
  <c r="V124" i="3"/>
  <c r="D124" i="3"/>
  <c r="U124" i="3"/>
  <c r="J126" i="3"/>
  <c r="G123" i="3"/>
  <c r="I123" i="3"/>
  <c r="U123" i="3"/>
  <c r="T123" i="3"/>
  <c r="E124" i="3"/>
  <c r="G118" i="3"/>
  <c r="E118" i="3"/>
  <c r="Q118" i="3"/>
  <c r="I147" i="3"/>
  <c r="I149" i="3" s="1"/>
  <c r="D123" i="3"/>
  <c r="F124" i="3"/>
  <c r="T126" i="3"/>
  <c r="H124" i="3"/>
  <c r="U126" i="3"/>
  <c r="I124" i="3"/>
  <c r="V126" i="3"/>
  <c r="Q124" i="3"/>
  <c r="U28" i="3"/>
  <c r="U37" i="3"/>
  <c r="U85" i="3"/>
  <c r="D85" i="3"/>
  <c r="U91" i="3"/>
  <c r="R177" i="3"/>
  <c r="D177" i="3"/>
  <c r="J177" i="3"/>
  <c r="S177" i="3"/>
  <c r="I177" i="3"/>
  <c r="H177" i="3"/>
  <c r="G177" i="3"/>
  <c r="J122" i="3"/>
  <c r="E177" i="3"/>
  <c r="H73" i="3"/>
  <c r="E73" i="3"/>
  <c r="Q73" i="3"/>
  <c r="U73" i="3"/>
  <c r="D73" i="3"/>
  <c r="T73" i="3"/>
  <c r="S73" i="3"/>
  <c r="J73" i="3"/>
  <c r="I73" i="3"/>
  <c r="G73" i="3"/>
  <c r="F73" i="3"/>
  <c r="P73" i="3"/>
  <c r="D65" i="3"/>
  <c r="F65" i="3"/>
  <c r="R65" i="3"/>
  <c r="J65" i="3"/>
  <c r="I65" i="3"/>
  <c r="H65" i="3"/>
  <c r="G65" i="3"/>
  <c r="J66" i="3"/>
  <c r="T66" i="3"/>
  <c r="I66" i="3"/>
  <c r="Q66" i="3"/>
  <c r="H66" i="3"/>
  <c r="G66" i="3"/>
  <c r="V73" i="3"/>
  <c r="E65" i="3"/>
  <c r="D66" i="3"/>
  <c r="Q65" i="3"/>
  <c r="E66" i="3"/>
  <c r="D67" i="3"/>
  <c r="H67" i="3"/>
  <c r="T67" i="3"/>
  <c r="R67" i="3"/>
  <c r="Q67" i="3"/>
  <c r="S65" i="3"/>
  <c r="F66" i="3"/>
  <c r="E67" i="3"/>
  <c r="T65" i="3"/>
  <c r="R66" i="3"/>
  <c r="G67" i="3"/>
  <c r="H71" i="3"/>
  <c r="T71" i="3"/>
  <c r="D127" i="3"/>
  <c r="E128" i="3"/>
  <c r="G128" i="3"/>
  <c r="G72" i="3"/>
  <c r="U72" i="3"/>
  <c r="Q72" i="3"/>
  <c r="D72" i="3"/>
  <c r="G75" i="3"/>
  <c r="D75" i="3"/>
  <c r="U119" i="3"/>
  <c r="D119" i="3"/>
  <c r="V119" i="3"/>
  <c r="D128" i="3"/>
  <c r="E72" i="3"/>
  <c r="I71" i="3"/>
  <c r="R71" i="3"/>
  <c r="D71" i="3"/>
  <c r="H129" i="3"/>
  <c r="Q129" i="3"/>
  <c r="D129" i="3"/>
  <c r="P127" i="3"/>
  <c r="E71" i="3"/>
  <c r="V74" i="3"/>
  <c r="E74" i="3"/>
  <c r="S186" i="3"/>
  <c r="E160" i="3"/>
  <c r="E161" i="3" s="1"/>
  <c r="D160" i="3"/>
  <c r="T160" i="3"/>
  <c r="T161" i="3" s="1"/>
  <c r="S160" i="3"/>
  <c r="S161" i="3" s="1"/>
  <c r="H160" i="3"/>
  <c r="H161" i="3" s="1"/>
  <c r="I160" i="3"/>
  <c r="I161" i="3" s="1"/>
  <c r="J160" i="3"/>
  <c r="J161" i="3" s="1"/>
  <c r="H166" i="3"/>
  <c r="D166" i="3"/>
  <c r="T166" i="3"/>
  <c r="E166" i="3"/>
  <c r="I166" i="3"/>
  <c r="G135" i="3"/>
  <c r="H178" i="3"/>
  <c r="V178" i="3"/>
  <c r="H76" i="3"/>
  <c r="S76" i="3"/>
  <c r="Q76" i="3"/>
  <c r="D76" i="3"/>
  <c r="E76" i="3"/>
  <c r="I76" i="3"/>
  <c r="J178" i="3"/>
  <c r="J76" i="3"/>
  <c r="P76" i="3"/>
  <c r="V135" i="3"/>
  <c r="I144" i="4"/>
  <c r="P144" i="4"/>
  <c r="T144" i="4"/>
  <c r="E144" i="4"/>
  <c r="AD303" i="8" l="1" a="1"/>
  <c r="AD303" i="8" s="1"/>
  <c r="AE187" i="3"/>
  <c r="S24" i="15"/>
  <c r="AC69" i="4"/>
  <c r="AC54" i="3"/>
  <c r="AD300" i="8" a="1"/>
  <c r="AD300" i="8" s="1"/>
  <c r="AF569" i="5" a="1"/>
  <c r="AF569" i="5" s="1"/>
  <c r="AD221" i="4" s="1"/>
  <c r="AD223" i="4" s="1"/>
  <c r="AD225" i="4" s="1"/>
  <c r="AE303" i="8" a="1"/>
  <c r="AE303" i="8" s="1"/>
  <c r="AE300" i="8" a="1"/>
  <c r="AE300" i="8" s="1"/>
  <c r="AD289" i="12" a="1"/>
  <c r="AD289" i="12" s="1"/>
  <c r="AD286" i="12" a="1"/>
  <c r="AD286" i="12" s="1"/>
  <c r="AF300" i="8" a="1"/>
  <c r="AF300" i="8" s="1"/>
  <c r="AE289" i="12" a="1"/>
  <c r="AE289" i="12" s="1"/>
  <c r="AE286" i="12" a="1"/>
  <c r="AE286" i="12" s="1"/>
  <c r="AF303" i="8" a="1"/>
  <c r="AF303" i="8" s="1"/>
  <c r="AF289" i="12" a="1"/>
  <c r="AF289" i="12" s="1"/>
  <c r="AF286" i="12" a="1"/>
  <c r="AF286" i="12" s="1"/>
  <c r="AC83" i="4"/>
  <c r="AB61" i="4"/>
  <c r="AC146" i="4"/>
  <c r="AC215" i="4"/>
  <c r="AC77" i="4"/>
  <c r="AB69" i="4"/>
  <c r="AB96" i="4"/>
  <c r="AB184" i="4"/>
  <c r="AD566" i="5" a="1"/>
  <c r="AD566" i="5" s="1"/>
  <c r="AD2" i="5"/>
  <c r="AD569" i="5" a="1"/>
  <c r="AD569" i="5" s="1"/>
  <c r="AB221" i="4" s="1"/>
  <c r="AB223" i="4" s="1"/>
  <c r="AC167" i="3"/>
  <c r="AC96" i="4"/>
  <c r="AC157" i="4"/>
  <c r="AD187" i="3"/>
  <c r="R24" i="15"/>
  <c r="AE2" i="5"/>
  <c r="AB157" i="4"/>
  <c r="AB50" i="4"/>
  <c r="AC61" i="4"/>
  <c r="AC184" i="4"/>
  <c r="AC19" i="3"/>
  <c r="AB77" i="4"/>
  <c r="AB54" i="3"/>
  <c r="AB204" i="4"/>
  <c r="AB131" i="4"/>
  <c r="AB110" i="4"/>
  <c r="AB215" i="4"/>
  <c r="AB146" i="4"/>
  <c r="AB19" i="3"/>
  <c r="AB174" i="4"/>
  <c r="AC131" i="4"/>
  <c r="AC110" i="4"/>
  <c r="AB167" i="3"/>
  <c r="AC199" i="3"/>
  <c r="Q30" i="15" s="1"/>
  <c r="AB199" i="3"/>
  <c r="P30" i="15" s="1"/>
  <c r="Q24" i="15"/>
  <c r="Z184" i="4"/>
  <c r="AE566" i="5" a="1"/>
  <c r="AE566" i="5" s="1"/>
  <c r="AE569" i="5" a="1"/>
  <c r="AE569" i="5" s="1"/>
  <c r="AC221" i="4" s="1"/>
  <c r="AC223" i="4" s="1"/>
  <c r="AC225" i="4" s="1"/>
  <c r="AC6" i="4"/>
  <c r="AC50" i="4" s="1"/>
  <c r="M85" i="1"/>
  <c r="AB289" i="12" a="1"/>
  <c r="AB289" i="12" s="1"/>
  <c r="G3" i="6"/>
  <c r="AB286" i="12" a="1"/>
  <c r="AB286" i="12" s="1"/>
  <c r="AB187" i="3"/>
  <c r="P24" i="15"/>
  <c r="J167" i="3"/>
  <c r="AC2" i="5"/>
  <c r="AB2" i="5"/>
  <c r="AA43" i="4"/>
  <c r="AA46" i="4"/>
  <c r="AA45" i="4"/>
  <c r="AA47" i="4"/>
  <c r="AA37" i="4"/>
  <c r="AA20" i="4"/>
  <c r="AA42" i="4"/>
  <c r="AA36" i="4"/>
  <c r="AA28" i="4"/>
  <c r="AA10" i="4"/>
  <c r="AA35" i="4"/>
  <c r="AA27" i="4"/>
  <c r="AA19" i="4"/>
  <c r="AA38" i="4"/>
  <c r="AA23" i="4"/>
  <c r="AA14" i="4"/>
  <c r="AA31" i="4"/>
  <c r="AA13" i="4"/>
  <c r="AA30" i="4"/>
  <c r="AA22" i="4"/>
  <c r="AA48" i="4"/>
  <c r="AA29" i="4"/>
  <c r="AA21" i="4"/>
  <c r="AA11" i="4"/>
  <c r="AA18" i="4"/>
  <c r="AA41" i="4"/>
  <c r="AA33" i="4"/>
  <c r="AA17" i="4"/>
  <c r="AA40" i="4"/>
  <c r="AA32" i="4"/>
  <c r="AA25" i="4"/>
  <c r="AA39" i="4"/>
  <c r="AA24" i="4"/>
  <c r="AA15" i="4"/>
  <c r="AA7" i="4"/>
  <c r="AA12" i="4"/>
  <c r="Q167" i="3"/>
  <c r="Z96" i="4"/>
  <c r="V167" i="3"/>
  <c r="O167" i="3"/>
  <c r="AC286" i="12" a="1"/>
  <c r="AC286" i="12" s="1"/>
  <c r="AC289" i="12" a="1"/>
  <c r="AC289" i="12" s="1"/>
  <c r="AB303" i="8" a="1"/>
  <c r="AB303" i="8" s="1"/>
  <c r="AB300" i="8" a="1"/>
  <c r="AB300" i="8" s="1"/>
  <c r="AC303" i="8" a="1"/>
  <c r="AC303" i="8" s="1"/>
  <c r="AC300" i="8" a="1"/>
  <c r="AC300" i="8" s="1"/>
  <c r="K167" i="3"/>
  <c r="Z157" i="4"/>
  <c r="X167" i="3"/>
  <c r="S167" i="3"/>
  <c r="M167" i="3"/>
  <c r="R167" i="3"/>
  <c r="Z167" i="3"/>
  <c r="T167" i="3"/>
  <c r="D167" i="3"/>
  <c r="AA54" i="3"/>
  <c r="Z146" i="4"/>
  <c r="E167" i="3"/>
  <c r="F83" i="4"/>
  <c r="E61" i="2" s="1"/>
  <c r="L83" i="4"/>
  <c r="Z61" i="4"/>
  <c r="AA215" i="4"/>
  <c r="C71" i="20" s="1"/>
  <c r="Z54" i="3"/>
  <c r="AA69" i="4"/>
  <c r="C58" i="20" s="1"/>
  <c r="Y174" i="4"/>
  <c r="Z215" i="4"/>
  <c r="Z110" i="4"/>
  <c r="Z131" i="4"/>
  <c r="AA77" i="4"/>
  <c r="C59" i="20" s="1"/>
  <c r="AA131" i="4"/>
  <c r="AA110" i="4"/>
  <c r="AA61" i="4"/>
  <c r="AA184" i="4"/>
  <c r="AA157" i="4"/>
  <c r="AA19" i="3"/>
  <c r="AA146" i="4"/>
  <c r="U167" i="3"/>
  <c r="AA167" i="3"/>
  <c r="Z19" i="3"/>
  <c r="AA204" i="4"/>
  <c r="C70" i="20" s="1"/>
  <c r="I167" i="3"/>
  <c r="N167" i="3"/>
  <c r="AA96" i="4"/>
  <c r="C61" i="20" s="1"/>
  <c r="Z204" i="4"/>
  <c r="H83" i="4"/>
  <c r="H167" i="3"/>
  <c r="E83" i="4"/>
  <c r="D61" i="2" s="1"/>
  <c r="F167" i="3"/>
  <c r="AS165" i="3"/>
  <c r="G167" i="3"/>
  <c r="L167" i="3"/>
  <c r="AT164" i="3"/>
  <c r="J199" i="3"/>
  <c r="P199" i="3"/>
  <c r="V199" i="3"/>
  <c r="J30" i="15" s="1"/>
  <c r="E199" i="3"/>
  <c r="D10" i="13" s="1"/>
  <c r="K199" i="3"/>
  <c r="Q199" i="3"/>
  <c r="E30" i="15" s="1"/>
  <c r="W199" i="3"/>
  <c r="K30" i="15" s="1"/>
  <c r="F199" i="3"/>
  <c r="E10" i="2" s="1"/>
  <c r="X199" i="3"/>
  <c r="L30" i="15" s="1"/>
  <c r="R199" i="3"/>
  <c r="G199" i="3"/>
  <c r="M199" i="3"/>
  <c r="H199" i="3"/>
  <c r="Y199" i="3"/>
  <c r="M30" i="15" s="1"/>
  <c r="L199" i="3"/>
  <c r="N199" i="3"/>
  <c r="S199" i="3"/>
  <c r="G30" i="15" s="1"/>
  <c r="Z199" i="3"/>
  <c r="N30" i="15" s="1"/>
  <c r="T199" i="3"/>
  <c r="H30" i="15" s="1"/>
  <c r="O199" i="3"/>
  <c r="I199" i="3"/>
  <c r="AA199" i="3"/>
  <c r="O30" i="15" s="1"/>
  <c r="Y167" i="3"/>
  <c r="W167" i="3"/>
  <c r="X83" i="4"/>
  <c r="X77" i="4"/>
  <c r="AS164" i="3"/>
  <c r="U199" i="3"/>
  <c r="I30" i="15" s="1"/>
  <c r="D199" i="3"/>
  <c r="O83" i="4"/>
  <c r="X184" i="4"/>
  <c r="X96" i="4"/>
  <c r="Y69" i="4"/>
  <c r="M96" i="4"/>
  <c r="M69" i="4"/>
  <c r="N69" i="4"/>
  <c r="AF144" i="3"/>
  <c r="AI144" i="3"/>
  <c r="D67" i="2"/>
  <c r="G83" i="4"/>
  <c r="AT165" i="3"/>
  <c r="Y19" i="3"/>
  <c r="AB569" i="5" a="1"/>
  <c r="AB569" i="5" s="1"/>
  <c r="Z221" i="4" s="1"/>
  <c r="Z223" i="4" s="1"/>
  <c r="Z232" i="4" s="1"/>
  <c r="AB566" i="5" a="1"/>
  <c r="AB566" i="5" s="1"/>
  <c r="Z6" i="4"/>
  <c r="Z50" i="4" s="1"/>
  <c r="AC569" i="5" a="1"/>
  <c r="AC569" i="5" s="1"/>
  <c r="AC566" i="5" a="1"/>
  <c r="AC566" i="5" s="1"/>
  <c r="AA6" i="4"/>
  <c r="Y42" i="3"/>
  <c r="O215" i="4"/>
  <c r="M83" i="4"/>
  <c r="W131" i="4"/>
  <c r="L96" i="4"/>
  <c r="M110" i="4"/>
  <c r="N146" i="4"/>
  <c r="N110" i="4"/>
  <c r="V77" i="4"/>
  <c r="E69" i="4"/>
  <c r="D59" i="2" s="1"/>
  <c r="AA187" i="3"/>
  <c r="O24" i="15"/>
  <c r="O61" i="4"/>
  <c r="O77" i="4"/>
  <c r="M77" i="4"/>
  <c r="O110" i="4"/>
  <c r="M146" i="4"/>
  <c r="N77" i="4"/>
  <c r="Y83" i="4"/>
  <c r="Y110" i="4"/>
  <c r="W110" i="4"/>
  <c r="L77" i="4"/>
  <c r="Y204" i="4"/>
  <c r="AL144" i="3"/>
  <c r="AB144" i="3"/>
  <c r="E54" i="3"/>
  <c r="D6" i="2" s="1"/>
  <c r="AA144" i="3"/>
  <c r="I144" i="3"/>
  <c r="X144" i="3"/>
  <c r="AD42" i="3"/>
  <c r="AG144" i="3"/>
  <c r="Z144" i="3"/>
  <c r="Y96" i="4"/>
  <c r="Y146" i="4"/>
  <c r="Y77" i="4"/>
  <c r="Y157" i="4"/>
  <c r="Y131" i="4"/>
  <c r="Y61" i="4"/>
  <c r="Y215" i="4"/>
  <c r="Y54" i="3"/>
  <c r="Y144" i="3"/>
  <c r="E70" i="2"/>
  <c r="Y184" i="4"/>
  <c r="M157" i="4"/>
  <c r="X61" i="4"/>
  <c r="Z187" i="3"/>
  <c r="N24" i="15"/>
  <c r="X69" i="4"/>
  <c r="H77" i="20"/>
  <c r="C57" i="18"/>
  <c r="C67" i="18"/>
  <c r="H127" i="3"/>
  <c r="H131" i="3" s="1"/>
  <c r="G127" i="3"/>
  <c r="G131" i="3" s="1"/>
  <c r="E127" i="3"/>
  <c r="E131" i="3" s="1"/>
  <c r="C60" i="18"/>
  <c r="Q127" i="3"/>
  <c r="Q131" i="3" s="1"/>
  <c r="F127" i="3"/>
  <c r="F30" i="15"/>
  <c r="R127" i="3"/>
  <c r="R131" i="3" s="1"/>
  <c r="S127" i="3"/>
  <c r="S131" i="3" s="1"/>
  <c r="T127" i="3"/>
  <c r="T131" i="3" s="1"/>
  <c r="V127" i="3"/>
  <c r="V131" i="3" s="1"/>
  <c r="U127" i="3"/>
  <c r="U131" i="3" s="1"/>
  <c r="I127" i="3"/>
  <c r="I131" i="3" s="1"/>
  <c r="C59" i="18"/>
  <c r="W174" i="4"/>
  <c r="AA569" i="5" a="1"/>
  <c r="AA569" i="5" s="1"/>
  <c r="Y221" i="4" s="1"/>
  <c r="Y223" i="4" s="1"/>
  <c r="C68" i="20"/>
  <c r="C64" i="20"/>
  <c r="M61" i="4"/>
  <c r="C60" i="20"/>
  <c r="Z303" i="8" a="1"/>
  <c r="Z303" i="8" s="1"/>
  <c r="Z300" i="8" a="1"/>
  <c r="Z300" i="8" s="1"/>
  <c r="N215" i="4"/>
  <c r="AA303" i="8" a="1"/>
  <c r="AA303" i="8" s="1"/>
  <c r="AA300" i="8" a="1"/>
  <c r="AA300" i="8" s="1"/>
  <c r="X174" i="4"/>
  <c r="C66" i="18" s="1"/>
  <c r="C65" i="20"/>
  <c r="C57" i="20"/>
  <c r="Z3" i="8"/>
  <c r="AA3" i="8" s="1"/>
  <c r="AB3" i="8" s="1"/>
  <c r="AC3" i="8" s="1"/>
  <c r="AD3" i="8" s="1"/>
  <c r="AE3" i="8" s="1"/>
  <c r="AF3" i="8" s="1"/>
  <c r="AA566" i="5" a="1"/>
  <c r="AA566" i="5" s="1"/>
  <c r="Y6" i="4"/>
  <c r="Y50" i="4" s="1"/>
  <c r="Z289" i="12" a="1"/>
  <c r="Z289" i="12" s="1"/>
  <c r="Z286" i="12" a="1"/>
  <c r="Z286" i="12" s="1"/>
  <c r="Z3" i="12"/>
  <c r="AA3" i="12" s="1"/>
  <c r="AB3" i="12" s="1"/>
  <c r="AC3" i="12" s="1"/>
  <c r="AD3" i="12" s="1"/>
  <c r="AE3" i="12" s="1"/>
  <c r="AF3" i="12" s="1"/>
  <c r="AA289" i="12" a="1"/>
  <c r="AA289" i="12" s="1"/>
  <c r="AA286" i="12" a="1"/>
  <c r="AA286" i="12" s="1"/>
  <c r="AA2" i="5"/>
  <c r="C58" i="18"/>
  <c r="C56" i="18"/>
  <c r="C62" i="20"/>
  <c r="O127" i="3"/>
  <c r="O131" i="3" s="1"/>
  <c r="C67" i="20"/>
  <c r="J127" i="3"/>
  <c r="J131" i="3" s="1"/>
  <c r="W127" i="3"/>
  <c r="W131" i="3" s="1"/>
  <c r="N184" i="4"/>
  <c r="C66" i="20"/>
  <c r="AF42" i="3"/>
  <c r="AF44" i="3" s="1"/>
  <c r="AS97" i="3"/>
  <c r="M24" i="15"/>
  <c r="AI42" i="3"/>
  <c r="AI44" i="3" s="1"/>
  <c r="AI45" i="3" s="1"/>
  <c r="S54" i="3"/>
  <c r="AS128" i="3"/>
  <c r="AS75" i="3"/>
  <c r="AT71" i="3"/>
  <c r="AS40" i="3"/>
  <c r="AS115" i="3"/>
  <c r="AS60" i="3"/>
  <c r="AT63" i="3"/>
  <c r="AS113" i="3"/>
  <c r="AS71" i="3"/>
  <c r="O131" i="4"/>
  <c r="N131" i="4"/>
  <c r="AT109" i="3"/>
  <c r="AS37" i="3"/>
  <c r="P96" i="3"/>
  <c r="AT96" i="3" s="1"/>
  <c r="AT97" i="3"/>
  <c r="P129" i="3"/>
  <c r="AT129" i="3" s="1"/>
  <c r="P65" i="3"/>
  <c r="AT65" i="3" s="1"/>
  <c r="P93" i="3"/>
  <c r="AT93" i="3" s="1"/>
  <c r="P39" i="3"/>
  <c r="AT39" i="3" s="1"/>
  <c r="P6" i="3"/>
  <c r="AT6" i="3" s="1"/>
  <c r="AS86" i="3"/>
  <c r="AS76" i="3"/>
  <c r="P66" i="3"/>
  <c r="AT66" i="3" s="1"/>
  <c r="P125" i="3"/>
  <c r="AT125" i="3" s="1"/>
  <c r="P115" i="3"/>
  <c r="AT115" i="3" s="1"/>
  <c r="AS105" i="3"/>
  <c r="AS14" i="3"/>
  <c r="P7" i="4"/>
  <c r="AS80" i="3"/>
  <c r="P64" i="3"/>
  <c r="AT64" i="3" s="1"/>
  <c r="AS134" i="3"/>
  <c r="P117" i="3"/>
  <c r="AT117" i="3" s="1"/>
  <c r="AS53" i="3"/>
  <c r="AT70" i="3"/>
  <c r="P75" i="3"/>
  <c r="AT75" i="3" s="1"/>
  <c r="AS73" i="3"/>
  <c r="AS85" i="3"/>
  <c r="AS124" i="3"/>
  <c r="AS93" i="3"/>
  <c r="P11" i="3"/>
  <c r="AT11" i="3" s="1"/>
  <c r="P94" i="3"/>
  <c r="AT94" i="3" s="1"/>
  <c r="AS70" i="3"/>
  <c r="M99" i="3"/>
  <c r="L85" i="2" s="1"/>
  <c r="AS137" i="3"/>
  <c r="P105" i="3"/>
  <c r="AT105" i="3" s="1"/>
  <c r="AT53" i="3"/>
  <c r="P117" i="4"/>
  <c r="P95" i="3"/>
  <c r="AT95" i="3" s="1"/>
  <c r="AS32" i="3"/>
  <c r="P32" i="3"/>
  <c r="AT32" i="3" s="1"/>
  <c r="P127" i="4"/>
  <c r="P126" i="4"/>
  <c r="AT123" i="3"/>
  <c r="AS64" i="3"/>
  <c r="P135" i="3"/>
  <c r="AT135" i="3" s="1"/>
  <c r="D161" i="3"/>
  <c r="AS160" i="3"/>
  <c r="AS72" i="3"/>
  <c r="P67" i="3"/>
  <c r="AT67" i="3" s="1"/>
  <c r="AS177" i="3"/>
  <c r="P86" i="3"/>
  <c r="AT86" i="3" s="1"/>
  <c r="P24" i="3"/>
  <c r="AT24" i="3" s="1"/>
  <c r="P27" i="3"/>
  <c r="AT27" i="3" s="1"/>
  <c r="AS88" i="3"/>
  <c r="AS36" i="3"/>
  <c r="AT186" i="3"/>
  <c r="AT85" i="3"/>
  <c r="P137" i="3"/>
  <c r="AT137" i="3" s="1"/>
  <c r="AT76" i="3"/>
  <c r="P138" i="3"/>
  <c r="AT138" i="3" s="1"/>
  <c r="AS166" i="3"/>
  <c r="P160" i="3"/>
  <c r="P69" i="3"/>
  <c r="AT69" i="3" s="1"/>
  <c r="AS67" i="3"/>
  <c r="AT73" i="3"/>
  <c r="P122" i="3"/>
  <c r="AT122" i="3" s="1"/>
  <c r="AS81" i="3"/>
  <c r="AS102" i="3"/>
  <c r="AS95" i="3"/>
  <c r="P104" i="3"/>
  <c r="AT104" i="3" s="1"/>
  <c r="P36" i="3"/>
  <c r="AT36" i="3" s="1"/>
  <c r="AS87" i="3"/>
  <c r="P15" i="3"/>
  <c r="AT15" i="3" s="1"/>
  <c r="P87" i="3"/>
  <c r="AT87" i="3" s="1"/>
  <c r="P7" i="3"/>
  <c r="AT7" i="3" s="1"/>
  <c r="P119" i="4"/>
  <c r="AS129" i="3"/>
  <c r="P81" i="3"/>
  <c r="AS104" i="3"/>
  <c r="P116" i="3"/>
  <c r="AT116" i="3" s="1"/>
  <c r="AS138" i="3"/>
  <c r="AS91" i="3"/>
  <c r="AT134" i="3"/>
  <c r="P40" i="3"/>
  <c r="AT40" i="3" s="1"/>
  <c r="AS119" i="3"/>
  <c r="P68" i="3"/>
  <c r="AT68" i="3" s="1"/>
  <c r="P124" i="3"/>
  <c r="AT124" i="3" s="1"/>
  <c r="AS143" i="3"/>
  <c r="P108" i="3"/>
  <c r="AT108" i="3" s="1"/>
  <c r="P31" i="3"/>
  <c r="AT31" i="3" s="1"/>
  <c r="P61" i="3"/>
  <c r="AT61" i="3" s="1"/>
  <c r="P34" i="3"/>
  <c r="AT34" i="3" s="1"/>
  <c r="P118" i="4"/>
  <c r="AT120" i="3"/>
  <c r="AS69" i="3"/>
  <c r="AS123" i="3"/>
  <c r="AS26" i="3"/>
  <c r="AS59" i="3"/>
  <c r="AS61" i="3"/>
  <c r="P29" i="3"/>
  <c r="AT29" i="3" s="1"/>
  <c r="P14" i="3"/>
  <c r="AT14" i="3" s="1"/>
  <c r="AS7" i="3"/>
  <c r="D149" i="3"/>
  <c r="AS149" i="3" s="1"/>
  <c r="AS147" i="3"/>
  <c r="P72" i="3"/>
  <c r="AT72" i="3" s="1"/>
  <c r="AS66" i="3"/>
  <c r="AS120" i="3"/>
  <c r="AS29" i="3"/>
  <c r="AS112" i="3"/>
  <c r="P38" i="3"/>
  <c r="AS94" i="3"/>
  <c r="P10" i="3"/>
  <c r="AT10" i="3" s="1"/>
  <c r="AS6" i="3"/>
  <c r="AS10" i="3"/>
  <c r="AS68" i="3"/>
  <c r="P156" i="3"/>
  <c r="P60" i="3"/>
  <c r="AT60" i="3" s="1"/>
  <c r="AS130" i="3"/>
  <c r="O157" i="4"/>
  <c r="H76" i="18"/>
  <c r="AS135" i="3"/>
  <c r="P110" i="3"/>
  <c r="AT110" i="3" s="1"/>
  <c r="P17" i="3"/>
  <c r="AT17" i="3" s="1"/>
  <c r="P106" i="3"/>
  <c r="AT106" i="3" s="1"/>
  <c r="AS17" i="3"/>
  <c r="W96" i="4"/>
  <c r="N157" i="4"/>
  <c r="AS35" i="3"/>
  <c r="AS28" i="3"/>
  <c r="P59" i="3"/>
  <c r="AT59" i="3" s="1"/>
  <c r="AS30" i="3"/>
  <c r="P128" i="4"/>
  <c r="P90" i="3"/>
  <c r="AT90" i="3" s="1"/>
  <c r="P80" i="3"/>
  <c r="AS178" i="3"/>
  <c r="P89" i="3"/>
  <c r="AT89" i="3" s="1"/>
  <c r="P143" i="4"/>
  <c r="P146" i="4" s="1"/>
  <c r="AT112" i="3"/>
  <c r="P130" i="3"/>
  <c r="AT130" i="3" s="1"/>
  <c r="X168" i="4"/>
  <c r="C65" i="18"/>
  <c r="P166" i="3"/>
  <c r="P167" i="3" s="1"/>
  <c r="P102" i="3"/>
  <c r="AT102" i="3" s="1"/>
  <c r="AS117" i="3"/>
  <c r="AS89" i="3"/>
  <c r="D153" i="3"/>
  <c r="AS153" i="3" s="1"/>
  <c r="AS152" i="3"/>
  <c r="AS8" i="3"/>
  <c r="M204" i="4"/>
  <c r="P12" i="3"/>
  <c r="AT12" i="3" s="1"/>
  <c r="P114" i="3"/>
  <c r="AT114" i="3" s="1"/>
  <c r="AS12" i="3"/>
  <c r="AS90" i="3"/>
  <c r="P178" i="3"/>
  <c r="AT178" i="3" s="1"/>
  <c r="P152" i="3"/>
  <c r="AS15" i="3"/>
  <c r="AS9" i="3"/>
  <c r="P8" i="3"/>
  <c r="AT8" i="3" s="1"/>
  <c r="AS31" i="3"/>
  <c r="P50" i="3"/>
  <c r="AT50" i="3" s="1"/>
  <c r="AS65" i="3"/>
  <c r="P177" i="3"/>
  <c r="AT177" i="3" s="1"/>
  <c r="AS142" i="3"/>
  <c r="P126" i="3"/>
  <c r="AT126" i="3" s="1"/>
  <c r="P30" i="3"/>
  <c r="AT30" i="3" s="1"/>
  <c r="AS34" i="3"/>
  <c r="AS98" i="3"/>
  <c r="AS11" i="3"/>
  <c r="P113" i="3"/>
  <c r="AT113" i="3" s="1"/>
  <c r="AS62" i="3"/>
  <c r="P6" i="4"/>
  <c r="D157" i="3"/>
  <c r="AS157" i="3" s="1"/>
  <c r="AS156" i="3"/>
  <c r="P37" i="3"/>
  <c r="AT37" i="3" s="1"/>
  <c r="P33" i="3"/>
  <c r="AT33" i="3" s="1"/>
  <c r="AS116" i="3"/>
  <c r="AT128" i="3"/>
  <c r="P122" i="4"/>
  <c r="AT91" i="3"/>
  <c r="AS108" i="3"/>
  <c r="AS24" i="3"/>
  <c r="P35" i="3"/>
  <c r="AT35" i="3" s="1"/>
  <c r="P88" i="3"/>
  <c r="AT88" i="3" s="1"/>
  <c r="D187" i="3"/>
  <c r="C9" i="2" s="1"/>
  <c r="AS186" i="3"/>
  <c r="AS126" i="3"/>
  <c r="AT74" i="3"/>
  <c r="AS13" i="3"/>
  <c r="AS122" i="3"/>
  <c r="P125" i="4"/>
  <c r="P98" i="3"/>
  <c r="AT98" i="3" s="1"/>
  <c r="AT143" i="3"/>
  <c r="AS110" i="3"/>
  <c r="AS50" i="3"/>
  <c r="P121" i="4"/>
  <c r="P120" i="4"/>
  <c r="AS106" i="3"/>
  <c r="P142" i="3"/>
  <c r="AT142" i="3" s="1"/>
  <c r="AS114" i="3"/>
  <c r="AS107" i="3"/>
  <c r="AS109" i="3"/>
  <c r="AS96" i="3"/>
  <c r="P62" i="3"/>
  <c r="AT62" i="3" s="1"/>
  <c r="AS39" i="3"/>
  <c r="AS38" i="3"/>
  <c r="P9" i="3"/>
  <c r="AT9" i="3" s="1"/>
  <c r="AS125" i="3"/>
  <c r="AS33" i="3"/>
  <c r="AS49" i="3"/>
  <c r="P49" i="3"/>
  <c r="AT49" i="3" s="1"/>
  <c r="P116" i="4"/>
  <c r="AS74" i="3"/>
  <c r="AS118" i="3"/>
  <c r="W157" i="4"/>
  <c r="P26" i="3"/>
  <c r="AT26" i="3" s="1"/>
  <c r="F214" i="17" s="1"/>
  <c r="AS27" i="3"/>
  <c r="L24" i="15"/>
  <c r="AS63" i="3"/>
  <c r="AT107" i="3"/>
  <c r="P13" i="3"/>
  <c r="AT13" i="3" s="1"/>
  <c r="AT119" i="3"/>
  <c r="W54" i="3"/>
  <c r="P147" i="3"/>
  <c r="L157" i="4"/>
  <c r="P118" i="3"/>
  <c r="AT118" i="3" s="1"/>
  <c r="P28" i="3"/>
  <c r="AT28" i="3" s="1"/>
  <c r="U77" i="4"/>
  <c r="U69" i="4"/>
  <c r="P184" i="4"/>
  <c r="V45" i="1"/>
  <c r="V174" i="4"/>
  <c r="AI99" i="3"/>
  <c r="AH85" i="2" s="1"/>
  <c r="AG99" i="3"/>
  <c r="AF85" i="2" s="1"/>
  <c r="O99" i="3"/>
  <c r="N85" i="2" s="1"/>
  <c r="Z566" i="5" a="1"/>
  <c r="Z566" i="5" s="1"/>
  <c r="Q99" i="3"/>
  <c r="P85" i="2" s="1"/>
  <c r="AE99" i="3"/>
  <c r="AL99" i="3"/>
  <c r="AK85" i="2" s="1"/>
  <c r="AB99" i="3"/>
  <c r="AA85" i="2" s="1"/>
  <c r="AM99" i="3"/>
  <c r="AL85" i="2" s="1"/>
  <c r="Z99" i="3"/>
  <c r="Y85" i="2" s="1"/>
  <c r="X99" i="3"/>
  <c r="W85" i="2" s="1"/>
  <c r="AC99" i="3"/>
  <c r="AB85" i="2" s="1"/>
  <c r="E99" i="3"/>
  <c r="D85" i="2" s="1"/>
  <c r="R99" i="3"/>
  <c r="Q85" i="2" s="1"/>
  <c r="L99" i="3"/>
  <c r="K85" i="2" s="1"/>
  <c r="S99" i="3"/>
  <c r="R85" i="2" s="1"/>
  <c r="H99" i="3"/>
  <c r="G85" i="2" s="1"/>
  <c r="F99" i="3"/>
  <c r="E85" i="2" s="1"/>
  <c r="T99" i="3"/>
  <c r="S85" i="2" s="1"/>
  <c r="W99" i="3"/>
  <c r="V85" i="2" s="1"/>
  <c r="I99" i="3"/>
  <c r="H85" i="2" s="1"/>
  <c r="AF99" i="3"/>
  <c r="AE85" i="2" s="1"/>
  <c r="J99" i="3"/>
  <c r="I85" i="2" s="1"/>
  <c r="AH99" i="3"/>
  <c r="AG85" i="2" s="1"/>
  <c r="N99" i="3"/>
  <c r="M85" i="2" s="1"/>
  <c r="AD99" i="3"/>
  <c r="AC85" i="2" s="1"/>
  <c r="V99" i="3"/>
  <c r="U85" i="2" s="1"/>
  <c r="Y99" i="3"/>
  <c r="X85" i="2" s="1"/>
  <c r="AJ99" i="3"/>
  <c r="AI85" i="2" s="1"/>
  <c r="AA99" i="3"/>
  <c r="Z85" i="2" s="1"/>
  <c r="D99" i="3"/>
  <c r="C85" i="2" s="1"/>
  <c r="AK99" i="3"/>
  <c r="AJ85" i="2" s="1"/>
  <c r="U99" i="3"/>
  <c r="T85" i="2" s="1"/>
  <c r="K99" i="3"/>
  <c r="J85" i="2" s="1"/>
  <c r="G99" i="3"/>
  <c r="F85" i="2" s="1"/>
  <c r="X6" i="4"/>
  <c r="Z569" i="5" a="1"/>
  <c r="Z569" i="5" s="1"/>
  <c r="X221" i="4" s="1"/>
  <c r="X223" i="4" s="1"/>
  <c r="W19" i="3"/>
  <c r="L61" i="4"/>
  <c r="W61" i="4"/>
  <c r="X110" i="4"/>
  <c r="X54" i="3"/>
  <c r="O146" i="4"/>
  <c r="Q144" i="3"/>
  <c r="X19" i="3"/>
  <c r="X215" i="4"/>
  <c r="C70" i="18" s="1"/>
  <c r="X146" i="4"/>
  <c r="C63" i="18" s="1"/>
  <c r="X157" i="4"/>
  <c r="X204" i="4"/>
  <c r="C69" i="18" s="1"/>
  <c r="X131" i="4"/>
  <c r="C62" i="18" s="1"/>
  <c r="X33" i="4"/>
  <c r="Z3" i="5"/>
  <c r="Z2" i="5"/>
  <c r="H82" i="3"/>
  <c r="AE179" i="3"/>
  <c r="W83" i="4"/>
  <c r="M174" i="4"/>
  <c r="W204" i="4"/>
  <c r="J77" i="4"/>
  <c r="L144" i="3"/>
  <c r="W144" i="3"/>
  <c r="O174" i="4"/>
  <c r="L69" i="4"/>
  <c r="O184" i="4"/>
  <c r="W77" i="4"/>
  <c r="M19" i="3"/>
  <c r="O204" i="4"/>
  <c r="L146" i="4"/>
  <c r="N96" i="4"/>
  <c r="M184" i="4"/>
  <c r="M215" i="4"/>
  <c r="L204" i="4"/>
  <c r="L174" i="4"/>
  <c r="N174" i="4"/>
  <c r="W184" i="4"/>
  <c r="N83" i="4"/>
  <c r="W69" i="4"/>
  <c r="N54" i="3"/>
  <c r="L215" i="4"/>
  <c r="O96" i="4"/>
  <c r="N61" i="4"/>
  <c r="O69" i="4"/>
  <c r="M54" i="3"/>
  <c r="L19" i="3"/>
  <c r="O54" i="3"/>
  <c r="AL82" i="3"/>
  <c r="AA82" i="3"/>
  <c r="I83" i="4"/>
  <c r="W146" i="4"/>
  <c r="M131" i="4"/>
  <c r="N204" i="4"/>
  <c r="L110" i="4"/>
  <c r="Q69" i="4"/>
  <c r="L184" i="4"/>
  <c r="L131" i="4"/>
  <c r="AJ42" i="3"/>
  <c r="AJ44" i="3" s="1"/>
  <c r="AJ45" i="3" s="1"/>
  <c r="P77" i="4"/>
  <c r="L54" i="3"/>
  <c r="N19" i="3"/>
  <c r="S83" i="4"/>
  <c r="O19" i="3"/>
  <c r="W215" i="4"/>
  <c r="H144" i="3"/>
  <c r="AI179" i="3"/>
  <c r="S144" i="3"/>
  <c r="AM225" i="4"/>
  <c r="AC144" i="3"/>
  <c r="AB42" i="3"/>
  <c r="U187" i="3"/>
  <c r="AB179" i="3"/>
  <c r="AB82" i="3"/>
  <c r="E24" i="15"/>
  <c r="AD179" i="3"/>
  <c r="AC42" i="3"/>
  <c r="AL179" i="3"/>
  <c r="AH82" i="3"/>
  <c r="AH144" i="3"/>
  <c r="AK42" i="3"/>
  <c r="AK44" i="3" s="1"/>
  <c r="AK45" i="3" s="1"/>
  <c r="AE144" i="3"/>
  <c r="AG42" i="3"/>
  <c r="AG44" i="3" s="1"/>
  <c r="AM144" i="3"/>
  <c r="AC82" i="3"/>
  <c r="AG82" i="3"/>
  <c r="M2" i="5"/>
  <c r="N303" i="8" a="1"/>
  <c r="N303" i="8" s="1"/>
  <c r="N300" i="8" a="1"/>
  <c r="N300" i="8" s="1"/>
  <c r="Y569" i="5" a="1"/>
  <c r="Y569" i="5" s="1"/>
  <c r="W221" i="4" s="1"/>
  <c r="W223" i="4" s="1"/>
  <c r="W232" i="4" s="1"/>
  <c r="Y566" i="5" a="1"/>
  <c r="Y566" i="5" s="1"/>
  <c r="W6" i="4"/>
  <c r="W50" i="4" s="1"/>
  <c r="O303" i="8" a="1"/>
  <c r="O303" i="8" s="1"/>
  <c r="O300" i="8" a="1"/>
  <c r="O300" i="8" s="1"/>
  <c r="N566" i="5" a="1"/>
  <c r="N566" i="5" s="1"/>
  <c r="N569" i="5" a="1"/>
  <c r="N569" i="5" s="1"/>
  <c r="L221" i="4" s="1"/>
  <c r="L223" i="4" s="1"/>
  <c r="L6" i="4"/>
  <c r="L50" i="4" s="1"/>
  <c r="Y286" i="12" a="1"/>
  <c r="Y286" i="12" s="1"/>
  <c r="Y289" i="12" a="1"/>
  <c r="Y289" i="12" s="1"/>
  <c r="N306" i="8"/>
  <c r="M286" i="12" a="1"/>
  <c r="M286" i="12" s="1"/>
  <c r="M289" i="12" a="1"/>
  <c r="M289" i="12" s="1"/>
  <c r="N2" i="5"/>
  <c r="L22" i="3"/>
  <c r="L42" i="3" s="1"/>
  <c r="P306" i="8"/>
  <c r="Q289" i="12" a="1"/>
  <c r="Q289" i="12" s="1"/>
  <c r="Q286" i="12" a="1"/>
  <c r="Q286" i="12" s="1"/>
  <c r="O2" i="5"/>
  <c r="M22" i="3"/>
  <c r="M42" i="3" s="1"/>
  <c r="F3" i="9"/>
  <c r="Q306" i="8"/>
  <c r="P286" i="12" a="1"/>
  <c r="P286" i="12" s="1"/>
  <c r="P289" i="12" a="1"/>
  <c r="P289" i="12" s="1"/>
  <c r="P2" i="5"/>
  <c r="N22" i="3"/>
  <c r="N42" i="3" s="1"/>
  <c r="O306" i="8"/>
  <c r="O566" i="5" a="1"/>
  <c r="O566" i="5" s="1"/>
  <c r="O569" i="5" a="1"/>
  <c r="O569" i="5" s="1"/>
  <c r="M221" i="4" s="1"/>
  <c r="M223" i="4" s="1"/>
  <c r="M6" i="4"/>
  <c r="M50" i="4" s="1"/>
  <c r="O286" i="12" a="1"/>
  <c r="O286" i="12" s="1"/>
  <c r="O289" i="12" a="1"/>
  <c r="O289" i="12" s="1"/>
  <c r="Q2" i="5"/>
  <c r="P566" i="5" a="1"/>
  <c r="P566" i="5" s="1"/>
  <c r="P569" i="5" a="1"/>
  <c r="P569" i="5" s="1"/>
  <c r="N221" i="4" s="1"/>
  <c r="N223" i="4" s="1"/>
  <c r="N6" i="4"/>
  <c r="N50" i="4" s="1"/>
  <c r="N289" i="12" a="1"/>
  <c r="N289" i="12" s="1"/>
  <c r="N286" i="12" a="1"/>
  <c r="N286" i="12" s="1"/>
  <c r="Y2" i="5"/>
  <c r="W22" i="3"/>
  <c r="W42" i="3" s="1"/>
  <c r="Q566" i="5" a="1"/>
  <c r="Q566" i="5" s="1"/>
  <c r="Q569" i="5" a="1"/>
  <c r="Q569" i="5" s="1"/>
  <c r="O221" i="4" s="1"/>
  <c r="O223" i="4" s="1"/>
  <c r="O225" i="4" s="1"/>
  <c r="O6" i="4"/>
  <c r="O50" i="4" s="1"/>
  <c r="L82" i="3"/>
  <c r="O144" i="3"/>
  <c r="AC131" i="3"/>
  <c r="AH139" i="3"/>
  <c r="N144" i="3"/>
  <c r="AM179" i="3"/>
  <c r="P300" i="8" a="1"/>
  <c r="P300" i="8" s="1"/>
  <c r="P303" i="8" a="1"/>
  <c r="P303" i="8" s="1"/>
  <c r="Q303" i="8" a="1"/>
  <c r="Q303" i="8" s="1"/>
  <c r="Q300" i="8" a="1"/>
  <c r="Q300" i="8" s="1"/>
  <c r="Y179" i="3"/>
  <c r="Q54" i="3"/>
  <c r="K144" i="3"/>
  <c r="E179" i="3"/>
  <c r="D8" i="2" s="1"/>
  <c r="I77" i="4"/>
  <c r="R144" i="3"/>
  <c r="L179" i="3"/>
  <c r="C67" i="2"/>
  <c r="H24" i="15"/>
  <c r="T54" i="3"/>
  <c r="V54" i="3"/>
  <c r="T83" i="4"/>
  <c r="U54" i="3"/>
  <c r="K24" i="15"/>
  <c r="J184" i="4"/>
  <c r="K83" i="4"/>
  <c r="J83" i="4"/>
  <c r="Q166" i="4"/>
  <c r="Q168" i="4" s="1"/>
  <c r="H174" i="4"/>
  <c r="L66" i="14"/>
  <c r="P166" i="4"/>
  <c r="P168" i="4" s="1"/>
  <c r="T166" i="4"/>
  <c r="T168" i="4" s="1"/>
  <c r="I174" i="4"/>
  <c r="F174" i="4"/>
  <c r="E68" i="2" s="1"/>
  <c r="E174" i="4"/>
  <c r="D68" i="2" s="1"/>
  <c r="L67" i="14"/>
  <c r="G174" i="4"/>
  <c r="G96" i="4"/>
  <c r="AL225" i="4"/>
  <c r="S174" i="4"/>
  <c r="J157" i="4"/>
  <c r="K215" i="4"/>
  <c r="G77" i="4"/>
  <c r="AH206" i="4"/>
  <c r="J174" i="4"/>
  <c r="T184" i="4"/>
  <c r="T174" i="4"/>
  <c r="P174" i="4"/>
  <c r="E9" i="2"/>
  <c r="F3" i="2"/>
  <c r="F39" i="2" s="1"/>
  <c r="D174" i="4"/>
  <c r="C68" i="2" s="1"/>
  <c r="R77" i="4"/>
  <c r="D77" i="4"/>
  <c r="C60" i="2" s="1"/>
  <c r="R174" i="4"/>
  <c r="F77" i="4"/>
  <c r="E60" i="2" s="1"/>
  <c r="G69" i="4"/>
  <c r="U83" i="4"/>
  <c r="AM206" i="4"/>
  <c r="S184" i="4"/>
  <c r="K110" i="4"/>
  <c r="U174" i="4"/>
  <c r="K131" i="4"/>
  <c r="P61" i="4"/>
  <c r="AD206" i="4"/>
  <c r="R204" i="4"/>
  <c r="Q174" i="4"/>
  <c r="T77" i="4"/>
  <c r="H157" i="4"/>
  <c r="T69" i="4"/>
  <c r="P83" i="4"/>
  <c r="AC206" i="4"/>
  <c r="S204" i="4"/>
  <c r="U96" i="4"/>
  <c r="K69" i="4"/>
  <c r="S157" i="4"/>
  <c r="J146" i="4"/>
  <c r="E204" i="4"/>
  <c r="D71" i="2" s="1"/>
  <c r="R83" i="4"/>
  <c r="G157" i="4"/>
  <c r="E37" i="13"/>
  <c r="K306" i="8"/>
  <c r="H306" i="8"/>
  <c r="J306" i="8"/>
  <c r="L306" i="8"/>
  <c r="M306" i="8"/>
  <c r="G306" i="8"/>
  <c r="I306" i="8"/>
  <c r="F306" i="8"/>
  <c r="Y300" i="8" a="1"/>
  <c r="Y300" i="8" s="1"/>
  <c r="Y303" i="8" a="1"/>
  <c r="Y303" i="8" s="1"/>
  <c r="M303" i="8" a="1"/>
  <c r="M303" i="8" s="1"/>
  <c r="M300" i="8" a="1"/>
  <c r="M300" i="8" s="1"/>
  <c r="X139" i="3"/>
  <c r="O139" i="3"/>
  <c r="M144" i="3"/>
  <c r="K96" i="4"/>
  <c r="K77" i="4"/>
  <c r="K146" i="4"/>
  <c r="K61" i="4"/>
  <c r="K157" i="4"/>
  <c r="K50" i="4"/>
  <c r="K204" i="4"/>
  <c r="K19" i="3"/>
  <c r="K184" i="4"/>
  <c r="K179" i="3"/>
  <c r="K82" i="3"/>
  <c r="K42" i="3"/>
  <c r="AD131" i="3"/>
  <c r="L2" i="5"/>
  <c r="J22" i="3"/>
  <c r="J42" i="3" s="1"/>
  <c r="H2" i="5"/>
  <c r="F22" i="3"/>
  <c r="F42" i="3" s="1"/>
  <c r="E5" i="2" s="1"/>
  <c r="K174" i="4"/>
  <c r="M566" i="5" a="1"/>
  <c r="M566" i="5" s="1"/>
  <c r="M569" i="5" a="1"/>
  <c r="M569" i="5" s="1"/>
  <c r="K221" i="4" s="1"/>
  <c r="K223" i="4" s="1"/>
  <c r="V19" i="3"/>
  <c r="T42" i="3"/>
  <c r="AK82" i="3"/>
  <c r="V23" i="3"/>
  <c r="V42" i="3" s="1"/>
  <c r="X2" i="5"/>
  <c r="N179" i="3"/>
  <c r="M77" i="3"/>
  <c r="L84" i="2" s="1"/>
  <c r="I23" i="3"/>
  <c r="I42" i="3" s="1"/>
  <c r="K2" i="5"/>
  <c r="E22" i="3"/>
  <c r="E42" i="3" s="1"/>
  <c r="G2" i="5"/>
  <c r="E184" i="4"/>
  <c r="D69" i="2" s="1"/>
  <c r="AL42" i="3"/>
  <c r="AL44" i="3" s="1"/>
  <c r="M82" i="3"/>
  <c r="E67" i="2"/>
  <c r="T2" i="5"/>
  <c r="P22" i="3"/>
  <c r="R2" i="5"/>
  <c r="H22" i="3"/>
  <c r="H42" i="3" s="1"/>
  <c r="J2" i="5"/>
  <c r="AM131" i="3"/>
  <c r="AL131" i="3"/>
  <c r="AM42" i="3"/>
  <c r="AM44" i="3" s="1"/>
  <c r="AH179" i="3"/>
  <c r="AF225" i="4"/>
  <c r="I179" i="3"/>
  <c r="Q22" i="3"/>
  <c r="Q42" i="3" s="1"/>
  <c r="S2" i="5"/>
  <c r="M131" i="3"/>
  <c r="AC179" i="3"/>
  <c r="AK179" i="3"/>
  <c r="N82" i="3"/>
  <c r="S22" i="3"/>
  <c r="S42" i="3" s="1"/>
  <c r="U2" i="5"/>
  <c r="D54" i="3"/>
  <c r="AF179" i="3"/>
  <c r="AM82" i="3"/>
  <c r="K54" i="3"/>
  <c r="R23" i="3"/>
  <c r="R42" i="3" s="1"/>
  <c r="R179" i="3"/>
  <c r="AB131" i="3"/>
  <c r="M179" i="3"/>
  <c r="V144" i="3"/>
  <c r="D22" i="3"/>
  <c r="F2" i="5"/>
  <c r="R54" i="3"/>
  <c r="AL77" i="3"/>
  <c r="AK84" i="2" s="1"/>
  <c r="W2" i="5"/>
  <c r="I2" i="5"/>
  <c r="G22" i="3"/>
  <c r="G42" i="3" s="1"/>
  <c r="G54" i="3"/>
  <c r="V2" i="5"/>
  <c r="J215" i="4"/>
  <c r="AF131" i="3"/>
  <c r="O179" i="3"/>
  <c r="T179" i="3"/>
  <c r="AE77" i="3"/>
  <c r="S146" i="4"/>
  <c r="U179" i="3"/>
  <c r="AJ179" i="3"/>
  <c r="M139" i="3"/>
  <c r="R187" i="3"/>
  <c r="F24" i="15"/>
  <c r="Y139" i="3"/>
  <c r="G179" i="3"/>
  <c r="S187" i="3"/>
  <c r="G24" i="15"/>
  <c r="V187" i="3"/>
  <c r="J24" i="15"/>
  <c r="X42" i="3"/>
  <c r="V179" i="3"/>
  <c r="P187" i="3"/>
  <c r="D24" i="15"/>
  <c r="W179" i="3"/>
  <c r="T139" i="3"/>
  <c r="Z42" i="3"/>
  <c r="Y131" i="3"/>
  <c r="N145" i="1"/>
  <c r="S569" i="5" a="1"/>
  <c r="S569" i="5" s="1"/>
  <c r="Q221" i="4" s="1"/>
  <c r="Q223" i="4" s="1"/>
  <c r="F179" i="3"/>
  <c r="E8" i="2" s="1"/>
  <c r="V300" i="8" a="1"/>
  <c r="V300" i="8" s="1"/>
  <c r="L303" i="8" a="1"/>
  <c r="L303" i="8" s="1"/>
  <c r="V569" i="5" a="1"/>
  <c r="V569" i="5" s="1"/>
  <c r="T221" i="4" s="1"/>
  <c r="T223" i="4" s="1"/>
  <c r="K286" i="12" a="1"/>
  <c r="K286" i="12" s="1"/>
  <c r="D9" i="13"/>
  <c r="U300" i="8" a="1"/>
  <c r="U300" i="8" s="1"/>
  <c r="AA131" i="3"/>
  <c r="AA179" i="3"/>
  <c r="S303" i="8" a="1"/>
  <c r="S303" i="8" s="1"/>
  <c r="W303" i="8" a="1"/>
  <c r="W303" i="8" s="1"/>
  <c r="G300" i="8" a="1"/>
  <c r="G300" i="8" s="1"/>
  <c r="K303" i="8" a="1"/>
  <c r="K303" i="8" s="1"/>
  <c r="R569" i="5" a="1"/>
  <c r="R569" i="5" s="1"/>
  <c r="P221" i="4" s="1"/>
  <c r="P223" i="4" s="1"/>
  <c r="Y77" i="3"/>
  <c r="R303" i="8" a="1"/>
  <c r="R303" i="8" s="1"/>
  <c r="X303" i="8" a="1"/>
  <c r="X303" i="8" s="1"/>
  <c r="U19" i="3"/>
  <c r="D19" i="3"/>
  <c r="P69" i="4"/>
  <c r="H569" i="5" a="1"/>
  <c r="H569" i="5" s="1"/>
  <c r="F221" i="4" s="1"/>
  <c r="F223" i="4" s="1"/>
  <c r="E73" i="2" s="1"/>
  <c r="X131" i="3"/>
  <c r="T303" i="8" a="1"/>
  <c r="T303" i="8" s="1"/>
  <c r="I54" i="3"/>
  <c r="H19" i="3"/>
  <c r="T19" i="3"/>
  <c r="Z77" i="3"/>
  <c r="G82" i="3"/>
  <c r="Z179" i="3"/>
  <c r="D139" i="3"/>
  <c r="F144" i="3"/>
  <c r="R566" i="5" a="1"/>
  <c r="R566" i="5" s="1"/>
  <c r="H300" i="8" a="1"/>
  <c r="H300" i="8" s="1"/>
  <c r="J303" i="8" a="1"/>
  <c r="J303" i="8" s="1"/>
  <c r="F303" i="8" a="1"/>
  <c r="F303" i="8" s="1"/>
  <c r="I139" i="3"/>
  <c r="S179" i="3"/>
  <c r="J566" i="5" a="1"/>
  <c r="J566" i="5" s="1"/>
  <c r="X566" i="5" a="1"/>
  <c r="X566" i="5" s="1"/>
  <c r="S139" i="3"/>
  <c r="D179" i="3"/>
  <c r="W569" i="5" a="1"/>
  <c r="W569" i="5" s="1"/>
  <c r="U221" i="4" s="1"/>
  <c r="U223" i="4" s="1"/>
  <c r="X179" i="3"/>
  <c r="O6" i="1"/>
  <c r="M145" i="1"/>
  <c r="H3" i="11"/>
  <c r="AI191" i="4"/>
  <c r="AJ191" i="4"/>
  <c r="S191" i="4"/>
  <c r="AL191" i="4"/>
  <c r="P191" i="4"/>
  <c r="AH191" i="4"/>
  <c r="T157" i="4"/>
  <c r="AH159" i="4"/>
  <c r="R191" i="4"/>
  <c r="AE206" i="4"/>
  <c r="AA191" i="4"/>
  <c r="AI159" i="4"/>
  <c r="AG206" i="4"/>
  <c r="AE159" i="4"/>
  <c r="AG225" i="4"/>
  <c r="Z206" i="4"/>
  <c r="H146" i="4"/>
  <c r="Y191" i="4"/>
  <c r="O191" i="4"/>
  <c r="M191" i="4"/>
  <c r="Z191" i="4"/>
  <c r="N191" i="4"/>
  <c r="D110" i="4"/>
  <c r="C78" i="13" s="1"/>
  <c r="AE225" i="4"/>
  <c r="AK225" i="4"/>
  <c r="S77" i="4"/>
  <c r="AL159" i="4"/>
  <c r="AI112" i="4"/>
  <c r="R110" i="4"/>
  <c r="AJ206" i="4"/>
  <c r="S96" i="4"/>
  <c r="AI206" i="4"/>
  <c r="I110" i="4"/>
  <c r="AK159" i="4"/>
  <c r="Q157" i="4"/>
  <c r="U215" i="4"/>
  <c r="AJ225" i="4"/>
  <c r="G215" i="4"/>
  <c r="E77" i="4"/>
  <c r="D60" i="2" s="1"/>
  <c r="J61" i="4"/>
  <c r="P215" i="4"/>
  <c r="R131" i="4"/>
  <c r="T110" i="4"/>
  <c r="V184" i="4"/>
  <c r="Z159" i="4"/>
  <c r="Q77" i="4"/>
  <c r="S131" i="4"/>
  <c r="V110" i="4"/>
  <c r="U184" i="4"/>
  <c r="D184" i="4"/>
  <c r="C69" i="2" s="1"/>
  <c r="AI225" i="4"/>
  <c r="G131" i="4"/>
  <c r="J96" i="4"/>
  <c r="J69" i="4"/>
  <c r="I61" i="4"/>
  <c r="E110" i="4"/>
  <c r="D69" i="4"/>
  <c r="S61" i="4"/>
  <c r="D157" i="4"/>
  <c r="C79" i="13"/>
  <c r="AK112" i="4"/>
  <c r="AJ112" i="4"/>
  <c r="S215" i="4"/>
  <c r="T131" i="4"/>
  <c r="I69" i="4"/>
  <c r="G61" i="4"/>
  <c r="AF206" i="4"/>
  <c r="H61" i="4"/>
  <c r="S50" i="4"/>
  <c r="V69" i="4"/>
  <c r="L58" i="14" s="1"/>
  <c r="E50" i="4"/>
  <c r="T50" i="4"/>
  <c r="J131" i="4"/>
  <c r="T61" i="4"/>
  <c r="I146" i="4"/>
  <c r="H204" i="4"/>
  <c r="Q204" i="4"/>
  <c r="Q184" i="4"/>
  <c r="G184" i="4"/>
  <c r="E131" i="4"/>
  <c r="Q110" i="4"/>
  <c r="U110" i="4"/>
  <c r="U61" i="4"/>
  <c r="I50" i="4"/>
  <c r="V131" i="4"/>
  <c r="T204" i="4"/>
  <c r="I215" i="4"/>
  <c r="V215" i="4"/>
  <c r="D204" i="4"/>
  <c r="C71" i="2" s="1"/>
  <c r="U131" i="4"/>
  <c r="R61" i="4"/>
  <c r="F50" i="4"/>
  <c r="E57" i="2" s="1"/>
  <c r="AM112" i="4"/>
  <c r="D215" i="4"/>
  <c r="C72" i="2" s="1"/>
  <c r="F96" i="4"/>
  <c r="E62" i="2" s="1"/>
  <c r="U50" i="4"/>
  <c r="I131" i="4"/>
  <c r="H110" i="4"/>
  <c r="T96" i="4"/>
  <c r="D61" i="4"/>
  <c r="C58" i="2" s="1"/>
  <c r="R50" i="4"/>
  <c r="T215" i="4"/>
  <c r="F215" i="4"/>
  <c r="E72" i="2" s="1"/>
  <c r="R69" i="4"/>
  <c r="U146" i="4"/>
  <c r="V61" i="4"/>
  <c r="U204" i="4"/>
  <c r="H131" i="4"/>
  <c r="P110" i="4"/>
  <c r="F131" i="4"/>
  <c r="E64" i="2" s="1"/>
  <c r="H69" i="4"/>
  <c r="Q61" i="4"/>
  <c r="R157" i="4"/>
  <c r="AJ159" i="4"/>
  <c r="E79" i="13"/>
  <c r="E80" i="13"/>
  <c r="AM159" i="4"/>
  <c r="F157" i="4"/>
  <c r="E66" i="2" s="1"/>
  <c r="U157" i="4"/>
  <c r="H3" i="7"/>
  <c r="F3" i="13"/>
  <c r="E9" i="13"/>
  <c r="G6" i="1"/>
  <c r="V289" i="12" a="1"/>
  <c r="V289" i="12" s="1"/>
  <c r="V286" i="12" a="1"/>
  <c r="V286" i="12" s="1"/>
  <c r="K289" i="12" a="1"/>
  <c r="K289" i="12" s="1"/>
  <c r="W289" i="12" a="1"/>
  <c r="W289" i="12" s="1"/>
  <c r="W286" i="12" a="1"/>
  <c r="W286" i="12" s="1"/>
  <c r="X289" i="12" a="1"/>
  <c r="X289" i="12" s="1"/>
  <c r="X286" i="12" a="1"/>
  <c r="X286" i="12" s="1"/>
  <c r="G3" i="10"/>
  <c r="H289" i="12" a="1"/>
  <c r="H289" i="12" s="1"/>
  <c r="H286" i="12" a="1"/>
  <c r="H286" i="12" s="1"/>
  <c r="F289" i="12" a="1"/>
  <c r="F289" i="12" s="1"/>
  <c r="F286" i="12" a="1"/>
  <c r="F286" i="12" s="1"/>
  <c r="G289" i="12" a="1"/>
  <c r="G289" i="12" s="1"/>
  <c r="G286" i="12" a="1"/>
  <c r="G286" i="12" s="1"/>
  <c r="U289" i="12" a="1"/>
  <c r="U289" i="12" s="1"/>
  <c r="U286" i="12" a="1"/>
  <c r="U286" i="12" s="1"/>
  <c r="L289" i="12" a="1"/>
  <c r="L289" i="12" s="1"/>
  <c r="L286" i="12" a="1"/>
  <c r="L286" i="12" s="1"/>
  <c r="T289" i="12" a="1"/>
  <c r="T289" i="12" s="1"/>
  <c r="T286" i="12" a="1"/>
  <c r="T286" i="12" s="1"/>
  <c r="J289" i="12" a="1"/>
  <c r="J289" i="12" s="1"/>
  <c r="J286" i="12" a="1"/>
  <c r="J286" i="12" s="1"/>
  <c r="R289" i="12" a="1"/>
  <c r="R289" i="12" s="1"/>
  <c r="R286" i="12" a="1"/>
  <c r="R286" i="12" s="1"/>
  <c r="I289" i="12" a="1"/>
  <c r="I289" i="12" s="1"/>
  <c r="I286" i="12" a="1"/>
  <c r="I286" i="12" s="1"/>
  <c r="S289" i="12" a="1"/>
  <c r="S289" i="12" s="1"/>
  <c r="S286" i="12" a="1"/>
  <c r="S286" i="12" s="1"/>
  <c r="V303" i="8" a="1"/>
  <c r="V303" i="8" s="1"/>
  <c r="K300" i="8" a="1"/>
  <c r="K300" i="8" s="1"/>
  <c r="U303" i="8" a="1"/>
  <c r="U303" i="8" s="1"/>
  <c r="J300" i="8" a="1"/>
  <c r="J300" i="8" s="1"/>
  <c r="T300" i="8" a="1"/>
  <c r="T300" i="8" s="1"/>
  <c r="I300" i="8" a="1"/>
  <c r="I300" i="8" s="1"/>
  <c r="I303" i="8" a="1"/>
  <c r="I303" i="8" s="1"/>
  <c r="S300" i="8" a="1"/>
  <c r="S300" i="8" s="1"/>
  <c r="H303" i="8" a="1"/>
  <c r="H303" i="8" s="1"/>
  <c r="X300" i="8" a="1"/>
  <c r="X300" i="8" s="1"/>
  <c r="R300" i="8" a="1"/>
  <c r="R300" i="8" s="1"/>
  <c r="G303" i="8" a="1"/>
  <c r="G303" i="8" s="1"/>
  <c r="W300" i="8" a="1"/>
  <c r="W300" i="8" s="1"/>
  <c r="L300" i="8" a="1"/>
  <c r="L300" i="8" s="1"/>
  <c r="F300" i="8" a="1"/>
  <c r="F300" i="8" s="1"/>
  <c r="V77" i="3"/>
  <c r="U77" i="3"/>
  <c r="R77" i="3"/>
  <c r="H179" i="3"/>
  <c r="V82" i="3"/>
  <c r="E77" i="3"/>
  <c r="D84" i="2" s="1"/>
  <c r="J179" i="3"/>
  <c r="F131" i="3"/>
  <c r="T77" i="3"/>
  <c r="D77" i="3"/>
  <c r="C84" i="2" s="1"/>
  <c r="AE42" i="3"/>
  <c r="N139" i="3"/>
  <c r="AI139" i="3"/>
  <c r="AF77" i="3"/>
  <c r="AE84" i="2" s="1"/>
  <c r="AC77" i="3"/>
  <c r="AB84" i="2" s="1"/>
  <c r="AH77" i="3"/>
  <c r="AG84" i="2" s="1"/>
  <c r="AF82" i="3"/>
  <c r="O82" i="3"/>
  <c r="V96" i="4"/>
  <c r="V83" i="4"/>
  <c r="J204" i="4"/>
  <c r="F110" i="4"/>
  <c r="E63" i="2" s="1"/>
  <c r="H96" i="4"/>
  <c r="J144" i="3"/>
  <c r="E146" i="4"/>
  <c r="D65" i="2" s="1"/>
  <c r="E61" i="4"/>
  <c r="D58" i="2" s="1"/>
  <c r="AF139" i="3"/>
  <c r="I77" i="3"/>
  <c r="K569" i="5" a="1"/>
  <c r="K569" i="5" s="1"/>
  <c r="I221" i="4" s="1"/>
  <c r="I223" i="4" s="1"/>
  <c r="S69" i="4"/>
  <c r="U566" i="5" a="1"/>
  <c r="U566" i="5" s="1"/>
  <c r="X569" i="5" a="1"/>
  <c r="X569" i="5" s="1"/>
  <c r="V221" i="4" s="1"/>
  <c r="E157" i="4"/>
  <c r="L131" i="3"/>
  <c r="Q50" i="4"/>
  <c r="F54" i="3"/>
  <c r="E6" i="2" s="1"/>
  <c r="J19" i="3"/>
  <c r="Q96" i="4"/>
  <c r="Q146" i="4"/>
  <c r="P157" i="4"/>
  <c r="D131" i="3"/>
  <c r="H54" i="3"/>
  <c r="E19" i="3"/>
  <c r="G204" i="4"/>
  <c r="F69" i="4"/>
  <c r="E59" i="2" s="1"/>
  <c r="P96" i="4"/>
  <c r="R96" i="4"/>
  <c r="AH131" i="3"/>
  <c r="AF112" i="4"/>
  <c r="U144" i="3"/>
  <c r="J54" i="3"/>
  <c r="H77" i="4"/>
  <c r="J110" i="4"/>
  <c r="D96" i="4"/>
  <c r="C62" i="2" s="1"/>
  <c r="D83" i="4"/>
  <c r="C61" i="2" s="1"/>
  <c r="I157" i="4"/>
  <c r="AK206" i="4"/>
  <c r="AM139" i="3"/>
  <c r="K77" i="3"/>
  <c r="L77" i="3"/>
  <c r="AD82" i="3"/>
  <c r="U42" i="3"/>
  <c r="AD139" i="3"/>
  <c r="AJ77" i="3"/>
  <c r="AI84" i="2" s="1"/>
  <c r="AA77" i="3"/>
  <c r="Q77" i="3"/>
  <c r="Q82" i="3"/>
  <c r="D82" i="3"/>
  <c r="T82" i="3"/>
  <c r="H50" i="4"/>
  <c r="AD159" i="4"/>
  <c r="S82" i="3"/>
  <c r="J569" i="5" a="1"/>
  <c r="J569" i="5" s="1"/>
  <c r="H221" i="4" s="1"/>
  <c r="AC159" i="4"/>
  <c r="Q179" i="3"/>
  <c r="W139" i="3"/>
  <c r="AA139" i="3"/>
  <c r="AK77" i="3"/>
  <c r="AJ84" i="2" s="1"/>
  <c r="AG77" i="3"/>
  <c r="AF84" i="2" s="1"/>
  <c r="F77" i="3"/>
  <c r="E13" i="2" s="1"/>
  <c r="R82" i="3"/>
  <c r="AI82" i="3"/>
  <c r="AG112" i="4"/>
  <c r="U139" i="3"/>
  <c r="J139" i="3"/>
  <c r="S77" i="3"/>
  <c r="E82" i="3"/>
  <c r="X82" i="3"/>
  <c r="N131" i="3"/>
  <c r="G50" i="4"/>
  <c r="J50" i="4"/>
  <c r="AH225" i="4"/>
  <c r="R139" i="3"/>
  <c r="T144" i="3"/>
  <c r="I19" i="3"/>
  <c r="G19" i="3"/>
  <c r="I184" i="4"/>
  <c r="D131" i="4"/>
  <c r="G110" i="4"/>
  <c r="I566" i="5" a="1"/>
  <c r="I566" i="5" s="1"/>
  <c r="G146" i="4"/>
  <c r="F569" i="5" a="1"/>
  <c r="F569" i="5" s="1"/>
  <c r="D221" i="4" s="1"/>
  <c r="D223" i="4" s="1"/>
  <c r="AD144" i="3"/>
  <c r="L569" i="5" a="1"/>
  <c r="L569" i="5" s="1"/>
  <c r="J221" i="4" s="1"/>
  <c r="G144" i="3"/>
  <c r="E144" i="3"/>
  <c r="Q19" i="3"/>
  <c r="F184" i="4"/>
  <c r="E69" i="2" s="1"/>
  <c r="R184" i="4"/>
  <c r="F61" i="4"/>
  <c r="E58" i="2" s="1"/>
  <c r="I569" i="5" a="1"/>
  <c r="I569" i="5" s="1"/>
  <c r="G221" i="4" s="1"/>
  <c r="F566" i="5" a="1"/>
  <c r="F566" i="5" s="1"/>
  <c r="AA42" i="3"/>
  <c r="AL206" i="4"/>
  <c r="L566" i="5" a="1"/>
  <c r="L566" i="5" s="1"/>
  <c r="D144" i="3"/>
  <c r="R19" i="3"/>
  <c r="T146" i="4"/>
  <c r="H215" i="4"/>
  <c r="I204" i="4"/>
  <c r="H184" i="4"/>
  <c r="S110" i="4"/>
  <c r="R146" i="4"/>
  <c r="Q83" i="4"/>
  <c r="O42" i="3"/>
  <c r="AL112" i="4"/>
  <c r="V50" i="4"/>
  <c r="AI131" i="3"/>
  <c r="AK139" i="3"/>
  <c r="AC139" i="3"/>
  <c r="E139" i="3"/>
  <c r="AL139" i="3"/>
  <c r="V139" i="3"/>
  <c r="AI77" i="3"/>
  <c r="AH84" i="2" s="1"/>
  <c r="AD77" i="3"/>
  <c r="Y82" i="3"/>
  <c r="U82" i="3"/>
  <c r="AJ82" i="3"/>
  <c r="Z82" i="3"/>
  <c r="F82" i="3"/>
  <c r="O77" i="3"/>
  <c r="N84" i="2" s="1"/>
  <c r="F139" i="3"/>
  <c r="Z139" i="3"/>
  <c r="G139" i="3"/>
  <c r="W77" i="3"/>
  <c r="X77" i="3"/>
  <c r="AE112" i="4"/>
  <c r="AH112" i="4"/>
  <c r="AD112" i="4"/>
  <c r="AG139" i="3"/>
  <c r="K139" i="3"/>
  <c r="AM77" i="3"/>
  <c r="AL84" i="2" s="1"/>
  <c r="W566" i="5" a="1"/>
  <c r="W566" i="5" s="1"/>
  <c r="AJ131" i="3"/>
  <c r="S19" i="3"/>
  <c r="T566" i="5" a="1"/>
  <c r="T566" i="5" s="1"/>
  <c r="F19" i="3"/>
  <c r="Q215" i="4"/>
  <c r="T569" i="5" a="1"/>
  <c r="T569" i="5" s="1"/>
  <c r="R221" i="4" s="1"/>
  <c r="F146" i="4"/>
  <c r="E65" i="2" s="1"/>
  <c r="H566" i="5" a="1"/>
  <c r="H566" i="5" s="1"/>
  <c r="R215" i="4"/>
  <c r="V204" i="4"/>
  <c r="K566" i="5" a="1"/>
  <c r="K566" i="5" s="1"/>
  <c r="I96" i="4"/>
  <c r="D146" i="4"/>
  <c r="C65" i="2" s="1"/>
  <c r="V566" i="5" a="1"/>
  <c r="V566" i="5" s="1"/>
  <c r="U569" i="5" a="1"/>
  <c r="U569" i="5" s="1"/>
  <c r="S221" i="4" s="1"/>
  <c r="S223" i="4" s="1"/>
  <c r="G566" i="5" a="1"/>
  <c r="G566" i="5" s="1"/>
  <c r="Z131" i="3"/>
  <c r="AK131" i="3"/>
  <c r="AF159" i="4"/>
  <c r="AE131" i="3"/>
  <c r="S566" i="5" a="1"/>
  <c r="S566" i="5" s="1"/>
  <c r="Q131" i="4"/>
  <c r="P204" i="4"/>
  <c r="E215" i="4"/>
  <c r="F204" i="4"/>
  <c r="E96" i="4"/>
  <c r="D62" i="2" s="1"/>
  <c r="V146" i="4"/>
  <c r="L64" i="14" s="1"/>
  <c r="D50" i="4"/>
  <c r="G569" i="5" a="1"/>
  <c r="G569" i="5" s="1"/>
  <c r="E221" i="4" s="1"/>
  <c r="E223" i="4" s="1"/>
  <c r="D73" i="2" s="1"/>
  <c r="V157" i="4"/>
  <c r="V1" i="4" s="1"/>
  <c r="K131" i="3"/>
  <c r="AG159" i="4"/>
  <c r="AH44" i="3"/>
  <c r="N77" i="3"/>
  <c r="M84" i="2" s="1"/>
  <c r="H139" i="3"/>
  <c r="AB139" i="3"/>
  <c r="AE139" i="3"/>
  <c r="AB77" i="3"/>
  <c r="H77" i="3"/>
  <c r="AE82" i="3"/>
  <c r="J82" i="3"/>
  <c r="AG131" i="3"/>
  <c r="AJ139" i="3"/>
  <c r="Q139" i="3"/>
  <c r="J77" i="3"/>
  <c r="G77" i="3"/>
  <c r="L139" i="3"/>
  <c r="AC112" i="4"/>
  <c r="I82" i="3"/>
  <c r="W82" i="3"/>
  <c r="AD85" i="2" l="1"/>
  <c r="AE44" i="3"/>
  <c r="AD84" i="2"/>
  <c r="E73" i="1"/>
  <c r="G84" i="2"/>
  <c r="T84" i="2"/>
  <c r="W84" i="2"/>
  <c r="F84" i="2"/>
  <c r="R84" i="2"/>
  <c r="K84" i="2"/>
  <c r="Q84" i="2"/>
  <c r="X84" i="2"/>
  <c r="AA84" i="2"/>
  <c r="S84" i="2"/>
  <c r="E84" i="2"/>
  <c r="V84" i="2"/>
  <c r="U84" i="2"/>
  <c r="P84" i="2"/>
  <c r="AT38" i="3"/>
  <c r="F213" i="17" s="1"/>
  <c r="AC84" i="2"/>
  <c r="I84" i="2"/>
  <c r="J84" i="2"/>
  <c r="H84" i="2"/>
  <c r="Y84" i="2"/>
  <c r="Z84" i="2"/>
  <c r="AB206" i="4"/>
  <c r="AB112" i="4"/>
  <c r="AS161" i="3"/>
  <c r="AQ162" i="3"/>
  <c r="AB225" i="4"/>
  <c r="AB159" i="4"/>
  <c r="AD44" i="3"/>
  <c r="AD45" i="3" s="1"/>
  <c r="C63" i="20"/>
  <c r="Y30" i="15"/>
  <c r="Y24" i="15"/>
  <c r="AC44" i="3"/>
  <c r="Z112" i="4"/>
  <c r="AS167" i="3"/>
  <c r="AA159" i="4"/>
  <c r="H3" i="6"/>
  <c r="I3" i="11"/>
  <c r="AB44" i="3"/>
  <c r="L59" i="14"/>
  <c r="AA50" i="4"/>
  <c r="AA112" i="4" s="1"/>
  <c r="AA221" i="4"/>
  <c r="AA223" i="4" s="1"/>
  <c r="X24" i="15"/>
  <c r="C68" i="18"/>
  <c r="Y206" i="4"/>
  <c r="C56" i="20"/>
  <c r="AA206" i="4"/>
  <c r="Z225" i="4"/>
  <c r="Z227" i="4" s="1"/>
  <c r="M112" i="4"/>
  <c r="P50" i="4"/>
  <c r="P112" i="4" s="1"/>
  <c r="Y112" i="4"/>
  <c r="M159" i="4"/>
  <c r="Y159" i="4"/>
  <c r="AA44" i="3"/>
  <c r="D10" i="2"/>
  <c r="Y232" i="4"/>
  <c r="Y225" i="4"/>
  <c r="N225" i="4"/>
  <c r="E10" i="13"/>
  <c r="Z44" i="3"/>
  <c r="Z45" i="3" s="1"/>
  <c r="X232" i="4"/>
  <c r="W159" i="4"/>
  <c r="O159" i="4"/>
  <c r="N159" i="4"/>
  <c r="P131" i="4"/>
  <c r="P159" i="4" s="1"/>
  <c r="P82" i="3"/>
  <c r="C8" i="20" s="1"/>
  <c r="H8" i="20" s="1"/>
  <c r="L225" i="4"/>
  <c r="C69" i="20"/>
  <c r="L69" i="14"/>
  <c r="AA3" i="5"/>
  <c r="AB3" i="5" s="1"/>
  <c r="AC3" i="5" s="1"/>
  <c r="AD3" i="5" s="1"/>
  <c r="AE3" i="5" s="1"/>
  <c r="AF3" i="5" s="1"/>
  <c r="Y44" i="3"/>
  <c r="Y45" i="3" s="1"/>
  <c r="AS199" i="3"/>
  <c r="C10" i="13"/>
  <c r="P139" i="3"/>
  <c r="C11" i="20" s="1"/>
  <c r="L19" i="14"/>
  <c r="C19" i="20"/>
  <c r="P131" i="3"/>
  <c r="C10" i="20" s="1"/>
  <c r="P19" i="3"/>
  <c r="C22" i="20" s="1"/>
  <c r="P77" i="3"/>
  <c r="O84" i="2" s="1"/>
  <c r="P179" i="3"/>
  <c r="C18" i="20" s="1"/>
  <c r="X206" i="4"/>
  <c r="P161" i="3"/>
  <c r="AT160" i="3"/>
  <c r="P42" i="3"/>
  <c r="AT22" i="3"/>
  <c r="AS144" i="3"/>
  <c r="C10" i="2"/>
  <c r="C64" i="18"/>
  <c r="L65" i="14"/>
  <c r="P149" i="3"/>
  <c r="AT147" i="3"/>
  <c r="C6" i="2"/>
  <c r="AS54" i="3"/>
  <c r="P157" i="3"/>
  <c r="AT156" i="3"/>
  <c r="L63" i="14"/>
  <c r="D42" i="3"/>
  <c r="AS42" i="3" s="1"/>
  <c r="AS22" i="3"/>
  <c r="AS131" i="3"/>
  <c r="AT187" i="3"/>
  <c r="C19" i="18"/>
  <c r="P54" i="3"/>
  <c r="AS77" i="3"/>
  <c r="AS179" i="3"/>
  <c r="AS99" i="3"/>
  <c r="AT166" i="3"/>
  <c r="AS82" i="3"/>
  <c r="P144" i="3"/>
  <c r="AS139" i="3"/>
  <c r="C61" i="18"/>
  <c r="L62" i="14"/>
  <c r="AS23" i="3"/>
  <c r="C9" i="13"/>
  <c r="AS187" i="3"/>
  <c r="G8" i="18"/>
  <c r="AT80" i="3"/>
  <c r="C4" i="2"/>
  <c r="C15" i="2" s="1"/>
  <c r="AS19" i="3"/>
  <c r="AT81" i="3"/>
  <c r="H8" i="18"/>
  <c r="P99" i="3"/>
  <c r="O85" i="2" s="1"/>
  <c r="D73" i="1" s="1"/>
  <c r="P153" i="3"/>
  <c r="AT152" i="3"/>
  <c r="AT23" i="3"/>
  <c r="X28" i="1"/>
  <c r="X225" i="4"/>
  <c r="W44" i="3"/>
  <c r="W45" i="3" s="1"/>
  <c r="X50" i="4"/>
  <c r="M206" i="4"/>
  <c r="L71" i="14"/>
  <c r="L60" i="14"/>
  <c r="X159" i="4"/>
  <c r="X44" i="3"/>
  <c r="X45" i="3" s="1"/>
  <c r="O112" i="4"/>
  <c r="L44" i="3"/>
  <c r="L45" i="3" s="1"/>
  <c r="W206" i="4"/>
  <c r="L112" i="4"/>
  <c r="L159" i="4"/>
  <c r="O206" i="4"/>
  <c r="O227" i="4" s="1"/>
  <c r="O44" i="3"/>
  <c r="O45" i="3" s="1"/>
  <c r="M44" i="3"/>
  <c r="M45" i="3" s="1"/>
  <c r="W112" i="4"/>
  <c r="N112" i="4"/>
  <c r="L206" i="4"/>
  <c r="AM227" i="4"/>
  <c r="M225" i="4"/>
  <c r="N206" i="4"/>
  <c r="F58" i="2"/>
  <c r="F62" i="2"/>
  <c r="F65" i="2"/>
  <c r="F64" i="2"/>
  <c r="F9" i="2"/>
  <c r="F8" i="2"/>
  <c r="F10" i="2"/>
  <c r="F63" i="2"/>
  <c r="F13" i="2"/>
  <c r="T44" i="3"/>
  <c r="T45" i="3" s="1"/>
  <c r="N44" i="3"/>
  <c r="N45" i="3" s="1"/>
  <c r="W225" i="4"/>
  <c r="F4" i="2"/>
  <c r="F15" i="2" s="1"/>
  <c r="G3" i="2"/>
  <c r="G39" i="2" s="1"/>
  <c r="F72" i="2"/>
  <c r="F61" i="2"/>
  <c r="F70" i="2"/>
  <c r="AL227" i="4"/>
  <c r="F69" i="2"/>
  <c r="F67" i="2"/>
  <c r="F60" i="2"/>
  <c r="F6" i="2"/>
  <c r="V44" i="3"/>
  <c r="V45" i="3" s="1"/>
  <c r="F68" i="2"/>
  <c r="F66" i="2"/>
  <c r="AE170" i="3"/>
  <c r="F5" i="2"/>
  <c r="AL170" i="3"/>
  <c r="AL173" i="3" s="1"/>
  <c r="F59" i="2"/>
  <c r="G3" i="9"/>
  <c r="L57" i="14"/>
  <c r="L61" i="14"/>
  <c r="H44" i="3"/>
  <c r="H45" i="3" s="1"/>
  <c r="L68" i="14"/>
  <c r="S44" i="3"/>
  <c r="S45" i="3" s="1"/>
  <c r="J44" i="3"/>
  <c r="J45" i="3" s="1"/>
  <c r="I44" i="3"/>
  <c r="I45" i="3" s="1"/>
  <c r="U44" i="3"/>
  <c r="U45" i="3" s="1"/>
  <c r="K225" i="4"/>
  <c r="S206" i="4"/>
  <c r="T206" i="4"/>
  <c r="P206" i="4"/>
  <c r="R206" i="4"/>
  <c r="J206" i="4"/>
  <c r="AH227" i="4"/>
  <c r="AI161" i="4"/>
  <c r="AK227" i="4"/>
  <c r="J159" i="4"/>
  <c r="U225" i="4"/>
  <c r="U206" i="4"/>
  <c r="AD227" i="4"/>
  <c r="F37" i="13"/>
  <c r="K112" i="4"/>
  <c r="K2" i="4"/>
  <c r="E206" i="4"/>
  <c r="K159" i="4"/>
  <c r="S159" i="4"/>
  <c r="AE161" i="4"/>
  <c r="AC227" i="4"/>
  <c r="AF227" i="4"/>
  <c r="AL161" i="4"/>
  <c r="AG227" i="4"/>
  <c r="R159" i="4"/>
  <c r="Y170" i="3"/>
  <c r="Y207" i="3" s="1"/>
  <c r="K206" i="4"/>
  <c r="M170" i="3"/>
  <c r="K44" i="3"/>
  <c r="K45" i="3" s="1"/>
  <c r="N170" i="3"/>
  <c r="H159" i="4"/>
  <c r="AF170" i="3"/>
  <c r="AF173" i="3" s="1"/>
  <c r="AE227" i="4"/>
  <c r="AM161" i="4"/>
  <c r="R44" i="3"/>
  <c r="R45" i="3" s="1"/>
  <c r="D206" i="4"/>
  <c r="C8" i="2"/>
  <c r="X170" i="3"/>
  <c r="X207" i="3" s="1"/>
  <c r="Q44" i="3"/>
  <c r="Q45" i="3" s="1"/>
  <c r="W170" i="3"/>
  <c r="W207" i="3" s="1"/>
  <c r="C13" i="2"/>
  <c r="G170" i="3"/>
  <c r="F7" i="2" s="1"/>
  <c r="J170" i="3"/>
  <c r="V206" i="4"/>
  <c r="L70" i="14"/>
  <c r="D5" i="2"/>
  <c r="D13" i="2"/>
  <c r="Z170" i="3"/>
  <c r="Z207" i="3" s="1"/>
  <c r="T112" i="4"/>
  <c r="O145" i="1"/>
  <c r="G145" i="1"/>
  <c r="C63" i="2"/>
  <c r="R112" i="4"/>
  <c r="I225" i="4"/>
  <c r="AH161" i="4"/>
  <c r="P225" i="4"/>
  <c r="U112" i="4"/>
  <c r="G159" i="4"/>
  <c r="T159" i="4"/>
  <c r="D57" i="2"/>
  <c r="AJ227" i="4"/>
  <c r="Q159" i="4"/>
  <c r="I159" i="4"/>
  <c r="G206" i="4"/>
  <c r="AK161" i="4"/>
  <c r="S225" i="4"/>
  <c r="D64" i="2"/>
  <c r="Q206" i="4"/>
  <c r="G112" i="4"/>
  <c r="F225" i="4"/>
  <c r="AI227" i="4"/>
  <c r="AB161" i="4"/>
  <c r="F57" i="2"/>
  <c r="F71" i="2"/>
  <c r="Z161" i="4"/>
  <c r="AJ161" i="4"/>
  <c r="T225" i="4"/>
  <c r="I206" i="4"/>
  <c r="I112" i="4"/>
  <c r="Q225" i="4"/>
  <c r="E78" i="13"/>
  <c r="H206" i="4"/>
  <c r="AC161" i="4"/>
  <c r="J112" i="4"/>
  <c r="H112" i="4"/>
  <c r="S112" i="4"/>
  <c r="U159" i="4"/>
  <c r="C66" i="2"/>
  <c r="C67" i="13"/>
  <c r="E67" i="13"/>
  <c r="C59" i="2"/>
  <c r="D63" i="2"/>
  <c r="D78" i="13"/>
  <c r="F80" i="13"/>
  <c r="F79" i="13"/>
  <c r="F78" i="13"/>
  <c r="V159" i="4"/>
  <c r="AG161" i="4"/>
  <c r="D66" i="2"/>
  <c r="D67" i="13"/>
  <c r="F67" i="13"/>
  <c r="I3" i="7"/>
  <c r="G3" i="13"/>
  <c r="F9" i="13"/>
  <c r="F10" i="13"/>
  <c r="H3" i="10"/>
  <c r="J3" i="11"/>
  <c r="C73" i="2"/>
  <c r="D225" i="4"/>
  <c r="C57" i="2"/>
  <c r="D112" i="4"/>
  <c r="AG45" i="3"/>
  <c r="AA45" i="3"/>
  <c r="AF45" i="3"/>
  <c r="E159" i="4"/>
  <c r="E112" i="4"/>
  <c r="AB45" i="3"/>
  <c r="AH170" i="3"/>
  <c r="AH173" i="3" s="1"/>
  <c r="AM170" i="3"/>
  <c r="AM173" i="3" s="1"/>
  <c r="G223" i="4"/>
  <c r="AC170" i="3"/>
  <c r="F112" i="4"/>
  <c r="E170" i="3"/>
  <c r="H223" i="4"/>
  <c r="H225" i="4" s="1"/>
  <c r="Q170" i="3"/>
  <c r="Q207" i="3" s="1"/>
  <c r="E44" i="3"/>
  <c r="D4" i="2"/>
  <c r="D15" i="2" s="1"/>
  <c r="I170" i="3"/>
  <c r="AA170" i="3"/>
  <c r="AD161" i="4"/>
  <c r="O170" i="3"/>
  <c r="AI170" i="3"/>
  <c r="AI173" i="3" s="1"/>
  <c r="AJ170" i="3"/>
  <c r="AJ173" i="3" s="1"/>
  <c r="L170" i="3"/>
  <c r="F159" i="4"/>
  <c r="T170" i="3"/>
  <c r="T207" i="3" s="1"/>
  <c r="AH45" i="3"/>
  <c r="F206" i="4"/>
  <c r="E71" i="2"/>
  <c r="AM45" i="3"/>
  <c r="AD170" i="3"/>
  <c r="AL45" i="3"/>
  <c r="H170" i="3"/>
  <c r="D159" i="4"/>
  <c r="C64" i="2"/>
  <c r="F170" i="3"/>
  <c r="K170" i="3"/>
  <c r="Q112" i="4"/>
  <c r="E225" i="4"/>
  <c r="D72" i="2"/>
  <c r="F44" i="3"/>
  <c r="E4" i="2"/>
  <c r="E15" i="2" s="1"/>
  <c r="S170" i="3"/>
  <c r="S207" i="3" s="1"/>
  <c r="AG170" i="3"/>
  <c r="AG173" i="3" s="1"/>
  <c r="R170" i="3"/>
  <c r="R207" i="3" s="1"/>
  <c r="J223" i="4"/>
  <c r="J225" i="4" s="1"/>
  <c r="V112" i="4"/>
  <c r="U2" i="4"/>
  <c r="AB170" i="3"/>
  <c r="G44" i="3"/>
  <c r="AK170" i="3"/>
  <c r="AK173" i="3" s="1"/>
  <c r="AE45" i="3"/>
  <c r="R223" i="4"/>
  <c r="R225" i="4" s="1"/>
  <c r="U170" i="3"/>
  <c r="U207" i="3" s="1"/>
  <c r="AF161" i="4"/>
  <c r="V223" i="4"/>
  <c r="V232" i="4" s="1"/>
  <c r="AC45" i="3"/>
  <c r="D170" i="3"/>
  <c r="V170" i="3"/>
  <c r="V207" i="3" s="1"/>
  <c r="AE173" i="3" l="1"/>
  <c r="H73" i="1"/>
  <c r="AB227" i="4"/>
  <c r="C7" i="20"/>
  <c r="Z229" i="4"/>
  <c r="AA207" i="3"/>
  <c r="AD173" i="3"/>
  <c r="AC173" i="3"/>
  <c r="AC174" i="3" s="1"/>
  <c r="AA161" i="4"/>
  <c r="I3" i="6"/>
  <c r="AB173" i="3"/>
  <c r="AB182" i="3" s="1"/>
  <c r="M161" i="4"/>
  <c r="AA225" i="4"/>
  <c r="AA227" i="4" s="1"/>
  <c r="C72" i="20"/>
  <c r="C74" i="20" s="1"/>
  <c r="C71" i="18"/>
  <c r="Y227" i="4"/>
  <c r="Y161" i="4"/>
  <c r="N161" i="4"/>
  <c r="AT77" i="3"/>
  <c r="AA173" i="3"/>
  <c r="AA182" i="3" s="1"/>
  <c r="N227" i="4"/>
  <c r="L227" i="4"/>
  <c r="C5" i="20"/>
  <c r="L5" i="14"/>
  <c r="AT82" i="3"/>
  <c r="C10" i="18"/>
  <c r="F10" i="18" s="1"/>
  <c r="C22" i="18"/>
  <c r="L22" i="14"/>
  <c r="L8" i="14"/>
  <c r="Q8" i="14" s="1"/>
  <c r="Y173" i="3"/>
  <c r="Y182" i="3" s="1"/>
  <c r="C8" i="18"/>
  <c r="F8" i="18" s="1"/>
  <c r="M8" i="18" s="1"/>
  <c r="C11" i="18"/>
  <c r="H11" i="18" s="1"/>
  <c r="AT139" i="3"/>
  <c r="O161" i="4"/>
  <c r="L11" i="14"/>
  <c r="Q11" i="14" s="1"/>
  <c r="W161" i="4"/>
  <c r="AT19" i="3"/>
  <c r="Z173" i="3"/>
  <c r="AT131" i="3"/>
  <c r="X227" i="4"/>
  <c r="D44" i="3"/>
  <c r="D45" i="3" s="1"/>
  <c r="C7" i="18"/>
  <c r="F7" i="18" s="1"/>
  <c r="H7" i="18" s="1"/>
  <c r="O173" i="3"/>
  <c r="O182" i="3" s="1"/>
  <c r="H10" i="20"/>
  <c r="L10" i="14"/>
  <c r="Q10" i="14" s="1"/>
  <c r="AT179" i="3"/>
  <c r="H11" i="20"/>
  <c r="L12" i="14"/>
  <c r="Q12" i="14" s="1"/>
  <c r="C12" i="20"/>
  <c r="L18" i="14"/>
  <c r="L14" i="14"/>
  <c r="C14" i="20"/>
  <c r="L7" i="14"/>
  <c r="L13" i="14"/>
  <c r="C13" i="20"/>
  <c r="C18" i="18"/>
  <c r="F18" i="18" s="1"/>
  <c r="H18" i="18" s="1"/>
  <c r="M18" i="18" s="1"/>
  <c r="L9" i="14"/>
  <c r="T43" i="14" s="1"/>
  <c r="C9" i="20"/>
  <c r="L6" i="14"/>
  <c r="C6" i="20"/>
  <c r="L15" i="14"/>
  <c r="C15" i="20"/>
  <c r="L20" i="14"/>
  <c r="Q20" i="14" s="1"/>
  <c r="C20" i="20"/>
  <c r="L16" i="14"/>
  <c r="C16" i="20"/>
  <c r="L17" i="14"/>
  <c r="C17" i="20"/>
  <c r="M227" i="4"/>
  <c r="P44" i="3"/>
  <c r="P45" i="3" s="1"/>
  <c r="AT99" i="3"/>
  <c r="C9" i="18"/>
  <c r="AT157" i="3"/>
  <c r="C15" i="18"/>
  <c r="F15" i="18" s="1"/>
  <c r="X112" i="4"/>
  <c r="X161" i="4" s="1"/>
  <c r="C55" i="18"/>
  <c r="AT42" i="3"/>
  <c r="BB16" i="14" s="1"/>
  <c r="C5" i="18"/>
  <c r="L161" i="4"/>
  <c r="AT161" i="3"/>
  <c r="C16" i="18"/>
  <c r="F16" i="18" s="1"/>
  <c r="P170" i="3"/>
  <c r="C5" i="2"/>
  <c r="L56" i="14"/>
  <c r="AT199" i="3"/>
  <c r="C20" i="18"/>
  <c r="D30" i="15"/>
  <c r="X30" i="15" s="1"/>
  <c r="AT149" i="3"/>
  <c r="C13" i="18"/>
  <c r="F13" i="18" s="1"/>
  <c r="AT54" i="3"/>
  <c r="C6" i="18"/>
  <c r="F6" i="18" s="1"/>
  <c r="AT167" i="3"/>
  <c r="C17" i="18"/>
  <c r="F17" i="18" s="1"/>
  <c r="H17" i="18" s="1"/>
  <c r="M17" i="18" s="1"/>
  <c r="AS44" i="3"/>
  <c r="AS170" i="3"/>
  <c r="AT144" i="3"/>
  <c r="C12" i="18"/>
  <c r="G19" i="18"/>
  <c r="F19" i="18"/>
  <c r="W173" i="3"/>
  <c r="W174" i="3" s="1"/>
  <c r="AT153" i="3"/>
  <c r="C14" i="18"/>
  <c r="F14" i="18" s="1"/>
  <c r="X173" i="3"/>
  <c r="X174" i="3" s="1"/>
  <c r="L173" i="3"/>
  <c r="L174" i="3" s="1"/>
  <c r="G9" i="2"/>
  <c r="G4" i="2"/>
  <c r="G15" i="2" s="1"/>
  <c r="G59" i="2"/>
  <c r="G62" i="2"/>
  <c r="G71" i="2"/>
  <c r="G72" i="2"/>
  <c r="G58" i="2"/>
  <c r="G63" i="2"/>
  <c r="G60" i="2"/>
  <c r="G61" i="2"/>
  <c r="G68" i="2"/>
  <c r="G70" i="2"/>
  <c r="G67" i="2"/>
  <c r="G6" i="2"/>
  <c r="G13" i="2"/>
  <c r="G69" i="2"/>
  <c r="G8" i="2"/>
  <c r="G10" i="2"/>
  <c r="G57" i="2"/>
  <c r="G66" i="2"/>
  <c r="G64" i="2"/>
  <c r="H3" i="2"/>
  <c r="H39" i="2" s="1"/>
  <c r="M173" i="3"/>
  <c r="M174" i="3" s="1"/>
  <c r="W227" i="4"/>
  <c r="V173" i="3"/>
  <c r="V182" i="3" s="1"/>
  <c r="AM229" i="4"/>
  <c r="N173" i="3"/>
  <c r="N182" i="3" s="1"/>
  <c r="N190" i="3" s="1"/>
  <c r="H173" i="3"/>
  <c r="H182" i="3" s="1"/>
  <c r="S173" i="3"/>
  <c r="S174" i="3" s="1"/>
  <c r="G5" i="2"/>
  <c r="G65" i="2"/>
  <c r="T173" i="3"/>
  <c r="T174" i="3" s="1"/>
  <c r="AL229" i="4"/>
  <c r="I173" i="3"/>
  <c r="I174" i="3" s="1"/>
  <c r="J173" i="3"/>
  <c r="J174" i="3" s="1"/>
  <c r="U173" i="3"/>
  <c r="U174" i="3" s="1"/>
  <c r="H3" i="9"/>
  <c r="O229" i="4"/>
  <c r="K227" i="4"/>
  <c r="K173" i="3"/>
  <c r="K174" i="3" s="1"/>
  <c r="T227" i="4"/>
  <c r="P227" i="4"/>
  <c r="J227" i="4"/>
  <c r="J161" i="4"/>
  <c r="R173" i="3"/>
  <c r="R182" i="3" s="1"/>
  <c r="S227" i="4"/>
  <c r="AI229" i="4"/>
  <c r="R227" i="4"/>
  <c r="U227" i="4"/>
  <c r="AH229" i="4"/>
  <c r="AK229" i="4"/>
  <c r="S161" i="4"/>
  <c r="AD229" i="4"/>
  <c r="AC229" i="4"/>
  <c r="K161" i="4"/>
  <c r="R161" i="4"/>
  <c r="E227" i="4"/>
  <c r="AF229" i="4"/>
  <c r="AG229" i="4"/>
  <c r="G37" i="13"/>
  <c r="AE229" i="4"/>
  <c r="AB229" i="4"/>
  <c r="D227" i="4"/>
  <c r="H161" i="4"/>
  <c r="AJ229" i="4"/>
  <c r="I227" i="4"/>
  <c r="F227" i="4"/>
  <c r="Q161" i="4"/>
  <c r="I161" i="4"/>
  <c r="Q173" i="3"/>
  <c r="Q182" i="3" s="1"/>
  <c r="Q227" i="4"/>
  <c r="V225" i="4"/>
  <c r="V227" i="4" s="1"/>
  <c r="L72" i="14"/>
  <c r="C7" i="2"/>
  <c r="E7" i="2"/>
  <c r="D7" i="2"/>
  <c r="G161" i="4"/>
  <c r="T161" i="4"/>
  <c r="U161" i="4"/>
  <c r="H227" i="4"/>
  <c r="P161" i="4"/>
  <c r="V161" i="4"/>
  <c r="G80" i="13"/>
  <c r="G79" i="13"/>
  <c r="G78" i="13"/>
  <c r="G67" i="13"/>
  <c r="J3" i="7"/>
  <c r="H3" i="13"/>
  <c r="G10" i="13"/>
  <c r="G9" i="13"/>
  <c r="K3" i="11"/>
  <c r="I3" i="10"/>
  <c r="AM174" i="3"/>
  <c r="AM182" i="3"/>
  <c r="AK182" i="3"/>
  <c r="AK174" i="3"/>
  <c r="AL182" i="3"/>
  <c r="AL174" i="3"/>
  <c r="G73" i="2"/>
  <c r="AI174" i="3"/>
  <c r="AI182" i="3"/>
  <c r="G173" i="3"/>
  <c r="G45" i="3"/>
  <c r="AJ174" i="3"/>
  <c r="AJ182" i="3"/>
  <c r="G225" i="4"/>
  <c r="G227" i="4" s="1"/>
  <c r="F73" i="2"/>
  <c r="G7" i="2"/>
  <c r="F173" i="3"/>
  <c r="F45" i="3"/>
  <c r="AH182" i="3"/>
  <c r="AH174" i="3"/>
  <c r="E161" i="4"/>
  <c r="D161" i="4"/>
  <c r="E45" i="3"/>
  <c r="E173" i="3"/>
  <c r="AG174" i="3"/>
  <c r="AG182" i="3"/>
  <c r="AF182" i="3"/>
  <c r="AF174" i="3"/>
  <c r="AE182" i="3"/>
  <c r="AE174" i="3"/>
  <c r="F161" i="4"/>
  <c r="AD182" i="3" l="1"/>
  <c r="AD174" i="3"/>
  <c r="AC182" i="3"/>
  <c r="AC183" i="3" s="1"/>
  <c r="Y174" i="3"/>
  <c r="Y229" i="4"/>
  <c r="AA229" i="4"/>
  <c r="AB174" i="3"/>
  <c r="AA174" i="3"/>
  <c r="M229" i="4"/>
  <c r="J3" i="6"/>
  <c r="AT170" i="3"/>
  <c r="AV170" i="3" s="1"/>
  <c r="P207" i="3"/>
  <c r="N229" i="4"/>
  <c r="L229" i="4"/>
  <c r="W229" i="4"/>
  <c r="O174" i="3"/>
  <c r="D173" i="3"/>
  <c r="D174" i="3" s="1"/>
  <c r="G10" i="18"/>
  <c r="H10" i="18"/>
  <c r="G11" i="18"/>
  <c r="F11" i="18"/>
  <c r="Z182" i="3"/>
  <c r="Z183" i="3" s="1"/>
  <c r="AT44" i="3"/>
  <c r="AT45" i="3" s="1"/>
  <c r="Z174" i="3"/>
  <c r="X229" i="4"/>
  <c r="D199" i="17"/>
  <c r="D13" i="17"/>
  <c r="D276" i="17"/>
  <c r="D304" i="17"/>
  <c r="D204" i="17"/>
  <c r="D235" i="17"/>
  <c r="D198" i="17"/>
  <c r="D216" i="17"/>
  <c r="D294" i="17"/>
  <c r="D300" i="17"/>
  <c r="D323" i="17"/>
  <c r="D310" i="17"/>
  <c r="D236" i="17"/>
  <c r="L74" i="14"/>
  <c r="P173" i="3"/>
  <c r="P182" i="3" s="1"/>
  <c r="H20" i="20"/>
  <c r="H12" i="20"/>
  <c r="L182" i="3"/>
  <c r="L190" i="3" s="1"/>
  <c r="K43" i="20"/>
  <c r="W182" i="3"/>
  <c r="W190" i="3" s="1"/>
  <c r="W201" i="3" s="1"/>
  <c r="W202" i="3" s="1"/>
  <c r="M19" i="18"/>
  <c r="N183" i="3"/>
  <c r="G16" i="18"/>
  <c r="M16" i="18" s="1"/>
  <c r="H20" i="18"/>
  <c r="F20" i="18"/>
  <c r="F5" i="18"/>
  <c r="AR11" i="18"/>
  <c r="H6" i="18"/>
  <c r="M6" i="18" s="1"/>
  <c r="H15" i="18"/>
  <c r="M15" i="18" s="1"/>
  <c r="H14" i="18"/>
  <c r="M14" i="18" s="1"/>
  <c r="M7" i="18"/>
  <c r="H12" i="18"/>
  <c r="F12" i="18"/>
  <c r="AS45" i="3"/>
  <c r="AS173" i="3"/>
  <c r="C73" i="18"/>
  <c r="H13" i="18"/>
  <c r="M13" i="18" s="1"/>
  <c r="K43" i="18"/>
  <c r="F9" i="18"/>
  <c r="X182" i="3"/>
  <c r="X183" i="3" s="1"/>
  <c r="T229" i="4"/>
  <c r="V174" i="3"/>
  <c r="H174" i="3"/>
  <c r="U182" i="3"/>
  <c r="U183" i="3" s="1"/>
  <c r="H60" i="2"/>
  <c r="H5" i="2"/>
  <c r="H70" i="2"/>
  <c r="I3" i="2"/>
  <c r="I39" i="2" s="1"/>
  <c r="H65" i="2"/>
  <c r="H10" i="2"/>
  <c r="H57" i="2"/>
  <c r="H72" i="2"/>
  <c r="H73" i="2"/>
  <c r="H59" i="2"/>
  <c r="H63" i="2"/>
  <c r="M182" i="3"/>
  <c r="M190" i="3" s="1"/>
  <c r="H13" i="2"/>
  <c r="H67" i="2"/>
  <c r="H4" i="2"/>
  <c r="H62" i="2"/>
  <c r="H66" i="2"/>
  <c r="H68" i="2"/>
  <c r="H8" i="2"/>
  <c r="H71" i="2"/>
  <c r="H64" i="2"/>
  <c r="H6" i="2"/>
  <c r="H58" i="2"/>
  <c r="H61" i="2"/>
  <c r="H7" i="2"/>
  <c r="H69" i="2"/>
  <c r="H9" i="2"/>
  <c r="S182" i="3"/>
  <c r="S183" i="3" s="1"/>
  <c r="N174" i="3"/>
  <c r="T182" i="3"/>
  <c r="T183" i="3" s="1"/>
  <c r="I182" i="3"/>
  <c r="I183" i="3" s="1"/>
  <c r="R174" i="3"/>
  <c r="J182" i="3"/>
  <c r="J183" i="3" s="1"/>
  <c r="K182" i="3"/>
  <c r="K190" i="3" s="1"/>
  <c r="P229" i="4"/>
  <c r="I3" i="9"/>
  <c r="K229" i="4"/>
  <c r="J229" i="4"/>
  <c r="S229" i="4"/>
  <c r="H229" i="4"/>
  <c r="R229" i="4"/>
  <c r="U229" i="4"/>
  <c r="F229" i="4"/>
  <c r="E229" i="4"/>
  <c r="I229" i="4"/>
  <c r="D229" i="4"/>
  <c r="H37" i="13"/>
  <c r="Q229" i="4"/>
  <c r="V229" i="4"/>
  <c r="G229" i="4"/>
  <c r="Q174" i="3"/>
  <c r="U191" i="4"/>
  <c r="I3" i="13"/>
  <c r="H80" i="13"/>
  <c r="H79" i="13"/>
  <c r="H78" i="13"/>
  <c r="H67" i="13"/>
  <c r="K3" i="7"/>
  <c r="H10" i="13"/>
  <c r="H9" i="13"/>
  <c r="J3" i="10"/>
  <c r="L3" i="11"/>
  <c r="H183" i="3"/>
  <c r="H190" i="3"/>
  <c r="AD190" i="3"/>
  <c r="AD183" i="3"/>
  <c r="G174" i="3"/>
  <c r="G182" i="3"/>
  <c r="N201" i="3"/>
  <c r="N191" i="3"/>
  <c r="AF183" i="3"/>
  <c r="AF190" i="3"/>
  <c r="E182" i="3"/>
  <c r="E174" i="3"/>
  <c r="AG190" i="3"/>
  <c r="AG183" i="3"/>
  <c r="Y183" i="3"/>
  <c r="Y190" i="3"/>
  <c r="AJ190" i="3"/>
  <c r="AJ183" i="3"/>
  <c r="AI183" i="3"/>
  <c r="AI190" i="3"/>
  <c r="O190" i="3"/>
  <c r="O183" i="3"/>
  <c r="AB190" i="3"/>
  <c r="AB183" i="3"/>
  <c r="AH183" i="3"/>
  <c r="AH190" i="3"/>
  <c r="AK183" i="3"/>
  <c r="AK190" i="3"/>
  <c r="AC190" i="3"/>
  <c r="F182" i="3"/>
  <c r="F174" i="3"/>
  <c r="Q190" i="3"/>
  <c r="Q183" i="3"/>
  <c r="R190" i="3"/>
  <c r="R183" i="3"/>
  <c r="AE190" i="3"/>
  <c r="AE183" i="3"/>
  <c r="AA190" i="3"/>
  <c r="AA201" i="3" s="1"/>
  <c r="AA183" i="3"/>
  <c r="AM183" i="3"/>
  <c r="AM190" i="3"/>
  <c r="V190" i="3"/>
  <c r="V183" i="3"/>
  <c r="AL183" i="3"/>
  <c r="AL190" i="3"/>
  <c r="D182" i="3" l="1"/>
  <c r="D190" i="3" s="1"/>
  <c r="K3" i="6"/>
  <c r="Z190" i="3"/>
  <c r="Z191" i="3" s="1"/>
  <c r="AT173" i="3"/>
  <c r="AT174" i="3" s="1"/>
  <c r="M10" i="18"/>
  <c r="M11" i="18"/>
  <c r="H15" i="2"/>
  <c r="H54" i="2"/>
  <c r="I60" i="2"/>
  <c r="X190" i="3"/>
  <c r="X191" i="3" s="1"/>
  <c r="W191" i="3"/>
  <c r="W183" i="3"/>
  <c r="M183" i="3"/>
  <c r="L183" i="3"/>
  <c r="D226" i="17"/>
  <c r="D258" i="17"/>
  <c r="D385" i="17"/>
  <c r="D8" i="17"/>
  <c r="D224" i="17"/>
  <c r="D194" i="17"/>
  <c r="I63" i="2"/>
  <c r="I73" i="2"/>
  <c r="D9" i="17"/>
  <c r="D309" i="17"/>
  <c r="D272" i="17"/>
  <c r="D322" i="17"/>
  <c r="D324" i="17" s="1"/>
  <c r="D213" i="17"/>
  <c r="D94" i="17"/>
  <c r="D195" i="17"/>
  <c r="D261" i="17"/>
  <c r="D336" i="17"/>
  <c r="D337" i="17" s="1"/>
  <c r="I59" i="2"/>
  <c r="I6" i="2"/>
  <c r="D217" i="17"/>
  <c r="D386" i="17"/>
  <c r="D247" i="17"/>
  <c r="D248" i="17" s="1"/>
  <c r="D283" i="17"/>
  <c r="D284" i="17" s="1"/>
  <c r="D191" i="17"/>
  <c r="D16" i="17"/>
  <c r="D229" i="17"/>
  <c r="D318" i="17"/>
  <c r="D369" i="17"/>
  <c r="D346" i="17"/>
  <c r="D277" i="17"/>
  <c r="D193" i="17"/>
  <c r="I68" i="2"/>
  <c r="D19" i="17"/>
  <c r="I57" i="2"/>
  <c r="D331" i="17"/>
  <c r="D15" i="17"/>
  <c r="D18" i="17"/>
  <c r="D387" i="17"/>
  <c r="D190" i="17"/>
  <c r="D214" i="17"/>
  <c r="D230" i="17"/>
  <c r="D363" i="17"/>
  <c r="D344" i="17"/>
  <c r="D370" i="17"/>
  <c r="D233" i="17"/>
  <c r="D241" i="17"/>
  <c r="D242" i="17" s="1"/>
  <c r="D327" i="17"/>
  <c r="D328" i="17" s="1"/>
  <c r="I7" i="2"/>
  <c r="I72" i="2"/>
  <c r="D12" i="17"/>
  <c r="J3" i="2"/>
  <c r="J39" i="2" s="1"/>
  <c r="D17" i="17"/>
  <c r="D267" i="17"/>
  <c r="D301" i="17"/>
  <c r="P174" i="3"/>
  <c r="I61" i="2"/>
  <c r="D14" i="17"/>
  <c r="D11" i="17"/>
  <c r="D192" i="17"/>
  <c r="D196" i="17"/>
  <c r="I65" i="2"/>
  <c r="D374" i="17"/>
  <c r="D375" i="17" s="1"/>
  <c r="D234" i="17"/>
  <c r="D10" i="17"/>
  <c r="D200" i="17"/>
  <c r="D361" i="17"/>
  <c r="I8" i="2"/>
  <c r="I64" i="2"/>
  <c r="D302" i="17"/>
  <c r="D317" i="17"/>
  <c r="D345" i="17"/>
  <c r="I71" i="2"/>
  <c r="D299" i="17"/>
  <c r="D289" i="17"/>
  <c r="I4" i="2"/>
  <c r="D351" i="17"/>
  <c r="D237" i="17"/>
  <c r="D287" i="17"/>
  <c r="D232" i="17"/>
  <c r="D260" i="17"/>
  <c r="D311" i="17"/>
  <c r="D206" i="17"/>
  <c r="D340" i="17"/>
  <c r="D341" i="17" s="1"/>
  <c r="D390" i="17"/>
  <c r="D332" i="17"/>
  <c r="D197" i="17"/>
  <c r="D215" i="17"/>
  <c r="D218" i="17"/>
  <c r="D231" i="17"/>
  <c r="D93" i="17"/>
  <c r="D257" i="17"/>
  <c r="D362" i="17"/>
  <c r="I10" i="2"/>
  <c r="D352" i="17"/>
  <c r="D303" i="17"/>
  <c r="D391" i="17"/>
  <c r="D265" i="17"/>
  <c r="I67" i="2"/>
  <c r="I69" i="2"/>
  <c r="I13" i="2"/>
  <c r="D228" i="17"/>
  <c r="D275" i="17"/>
  <c r="D189" i="17"/>
  <c r="D353" i="17"/>
  <c r="I58" i="2"/>
  <c r="I66" i="2"/>
  <c r="I70" i="2"/>
  <c r="D288" i="17"/>
  <c r="D388" i="17"/>
  <c r="D274" i="17"/>
  <c r="D350" i="17"/>
  <c r="D293" i="17"/>
  <c r="D295" i="17" s="1"/>
  <c r="D379" i="17"/>
  <c r="D382" i="17" s="1"/>
  <c r="D205" i="17"/>
  <c r="D266" i="17"/>
  <c r="D227" i="17"/>
  <c r="D225" i="17"/>
  <c r="D256" i="17"/>
  <c r="D278" i="17"/>
  <c r="D268" i="17"/>
  <c r="D273" i="17"/>
  <c r="D259" i="17"/>
  <c r="D305" i="17"/>
  <c r="D92" i="17"/>
  <c r="H21" i="18"/>
  <c r="M12" i="18"/>
  <c r="M20" i="18"/>
  <c r="AS182" i="3"/>
  <c r="AS174" i="3"/>
  <c r="G9" i="18"/>
  <c r="G21" i="18" s="1"/>
  <c r="F21" i="18"/>
  <c r="U190" i="3"/>
  <c r="U191" i="3" s="1"/>
  <c r="I9" i="2"/>
  <c r="I62" i="2"/>
  <c r="I5" i="2"/>
  <c r="I190" i="3"/>
  <c r="I191" i="3" s="1"/>
  <c r="T190" i="3"/>
  <c r="T191" i="3" s="1"/>
  <c r="J190" i="3"/>
  <c r="J191" i="3" s="1"/>
  <c r="S190" i="3"/>
  <c r="S191" i="3" s="1"/>
  <c r="K183" i="3"/>
  <c r="J3" i="9"/>
  <c r="I37" i="13"/>
  <c r="N202" i="3"/>
  <c r="I9" i="13"/>
  <c r="I10" i="13"/>
  <c r="J3" i="13"/>
  <c r="J70" i="2"/>
  <c r="I67" i="13"/>
  <c r="I80" i="13"/>
  <c r="I79" i="13"/>
  <c r="I78" i="13"/>
  <c r="L3" i="7"/>
  <c r="M3" i="11"/>
  <c r="K3" i="10"/>
  <c r="AB201" i="3"/>
  <c r="AB191" i="3"/>
  <c r="E183" i="3"/>
  <c r="E190" i="3"/>
  <c r="AG191" i="3"/>
  <c r="AG201" i="3"/>
  <c r="AG202" i="3" s="1"/>
  <c r="G190" i="3"/>
  <c r="G183" i="3"/>
  <c r="AK191" i="3"/>
  <c r="AK201" i="3"/>
  <c r="AK202" i="3" s="1"/>
  <c r="O201" i="3"/>
  <c r="O191" i="3"/>
  <c r="R201" i="3"/>
  <c r="R191" i="3"/>
  <c r="Q191" i="3"/>
  <c r="Q201" i="3"/>
  <c r="AI201" i="3"/>
  <c r="AI202" i="3" s="1"/>
  <c r="AI191" i="3"/>
  <c r="AA191" i="3"/>
  <c r="L191" i="3"/>
  <c r="L201" i="3"/>
  <c r="V201" i="3"/>
  <c r="V191" i="3"/>
  <c r="AE191" i="3"/>
  <c r="AE201" i="3"/>
  <c r="AH201" i="3"/>
  <c r="AH202" i="3" s="1"/>
  <c r="AH191" i="3"/>
  <c r="AD201" i="3"/>
  <c r="AD191" i="3"/>
  <c r="F190" i="3"/>
  <c r="F183" i="3"/>
  <c r="K201" i="3"/>
  <c r="K191" i="3"/>
  <c r="AF201" i="3"/>
  <c r="AF202" i="3" s="1"/>
  <c r="AF191" i="3"/>
  <c r="H201" i="3"/>
  <c r="H191" i="3"/>
  <c r="P183" i="3"/>
  <c r="P190" i="3"/>
  <c r="J72" i="2"/>
  <c r="J4" i="2"/>
  <c r="AJ191" i="3"/>
  <c r="AJ201" i="3"/>
  <c r="AJ202" i="3" s="1"/>
  <c r="M201" i="3"/>
  <c r="M191" i="3"/>
  <c r="AM201" i="3"/>
  <c r="AM202" i="3" s="1"/>
  <c r="AM191" i="3"/>
  <c r="D183" i="3"/>
  <c r="Y191" i="3"/>
  <c r="Y201" i="3"/>
  <c r="Y202" i="3" s="1"/>
  <c r="AL201" i="3"/>
  <c r="AL202" i="3" s="1"/>
  <c r="AL191" i="3"/>
  <c r="AC201" i="3"/>
  <c r="AC191" i="3"/>
  <c r="AE202" i="3" l="1"/>
  <c r="Z201" i="3"/>
  <c r="AD202" i="3"/>
  <c r="AC202" i="3"/>
  <c r="AT182" i="3"/>
  <c r="AT190" i="3" s="1"/>
  <c r="J62" i="2"/>
  <c r="L3" i="6"/>
  <c r="AB202" i="3"/>
  <c r="AA202" i="3"/>
  <c r="X201" i="3"/>
  <c r="X202" i="3" s="1"/>
  <c r="I15" i="2"/>
  <c r="I54" i="2"/>
  <c r="J15" i="2"/>
  <c r="J54" i="2"/>
  <c r="J13" i="2"/>
  <c r="J63" i="2"/>
  <c r="J5" i="2"/>
  <c r="K3" i="2"/>
  <c r="K39" i="2" s="1"/>
  <c r="J57" i="2"/>
  <c r="J8" i="2"/>
  <c r="J69" i="2"/>
  <c r="J60" i="2"/>
  <c r="J66" i="2"/>
  <c r="J71" i="2"/>
  <c r="J58" i="2"/>
  <c r="J64" i="2"/>
  <c r="J67" i="2"/>
  <c r="J10" i="2"/>
  <c r="J73" i="2"/>
  <c r="J6" i="2"/>
  <c r="J68" i="2"/>
  <c r="J9" i="2"/>
  <c r="J59" i="2"/>
  <c r="J65" i="2"/>
  <c r="J7" i="2"/>
  <c r="J61" i="2"/>
  <c r="U201" i="3"/>
  <c r="U202" i="3" s="1"/>
  <c r="S201" i="3"/>
  <c r="S202" i="3" s="1"/>
  <c r="J201" i="3"/>
  <c r="J202" i="3" s="1"/>
  <c r="Z202" i="3"/>
  <c r="D209" i="17"/>
  <c r="D312" i="17"/>
  <c r="D306" i="17"/>
  <c r="D354" i="17"/>
  <c r="D201" i="17"/>
  <c r="D319" i="17"/>
  <c r="D219" i="17"/>
  <c r="D333" i="17"/>
  <c r="D238" i="17"/>
  <c r="D290" i="17"/>
  <c r="D366" i="17"/>
  <c r="D347" i="17"/>
  <c r="D395" i="17"/>
  <c r="D262" i="17"/>
  <c r="D280" i="17"/>
  <c r="D269" i="17"/>
  <c r="D371" i="17"/>
  <c r="M9" i="18"/>
  <c r="M21" i="18"/>
  <c r="AT183" i="3"/>
  <c r="I201" i="3"/>
  <c r="I202" i="3" s="1"/>
  <c r="AS190" i="3"/>
  <c r="AS183" i="3"/>
  <c r="T201" i="3"/>
  <c r="T202" i="3" s="1"/>
  <c r="K3" i="9"/>
  <c r="J37" i="13"/>
  <c r="O202" i="3"/>
  <c r="M202" i="3"/>
  <c r="K202" i="3"/>
  <c r="L202" i="3"/>
  <c r="V202" i="3"/>
  <c r="R202" i="3"/>
  <c r="Q202" i="3"/>
  <c r="H202" i="3"/>
  <c r="J9" i="13"/>
  <c r="J78" i="13"/>
  <c r="K3" i="13"/>
  <c r="K37" i="13" s="1"/>
  <c r="J67" i="13"/>
  <c r="J10" i="13"/>
  <c r="J79" i="13"/>
  <c r="J80" i="13"/>
  <c r="M3" i="7"/>
  <c r="L3" i="10"/>
  <c r="N3" i="11"/>
  <c r="P201" i="3"/>
  <c r="P191" i="3"/>
  <c r="E191" i="3"/>
  <c r="E201" i="3"/>
  <c r="D191" i="3"/>
  <c r="D201" i="3"/>
  <c r="K58" i="2"/>
  <c r="G191" i="3"/>
  <c r="G201" i="3"/>
  <c r="F201" i="3"/>
  <c r="F191" i="3"/>
  <c r="M3" i="6" l="1"/>
  <c r="K60" i="2"/>
  <c r="K72" i="2"/>
  <c r="K5" i="2"/>
  <c r="K9" i="2"/>
  <c r="K57" i="2"/>
  <c r="K61" i="2"/>
  <c r="K63" i="2"/>
  <c r="K73" i="2"/>
  <c r="K6" i="2"/>
  <c r="K62" i="2"/>
  <c r="K7" i="2"/>
  <c r="L3" i="2"/>
  <c r="L39" i="2" s="1"/>
  <c r="K13" i="2"/>
  <c r="K65" i="2"/>
  <c r="K10" i="2"/>
  <c r="K71" i="2"/>
  <c r="K68" i="2"/>
  <c r="K67" i="2"/>
  <c r="K8" i="2"/>
  <c r="K69" i="2"/>
  <c r="K70" i="2"/>
  <c r="K59" i="2"/>
  <c r="K64" i="2"/>
  <c r="K4" i="2"/>
  <c r="K66" i="2"/>
  <c r="D243" i="17"/>
  <c r="V234" i="4"/>
  <c r="AS191" i="3"/>
  <c r="AS201" i="3"/>
  <c r="AS202" i="3" s="1"/>
  <c r="AT191" i="3"/>
  <c r="AT201" i="3"/>
  <c r="AT202" i="3" s="1"/>
  <c r="L3" i="9"/>
  <c r="K79" i="13"/>
  <c r="K80" i="13"/>
  <c r="K9" i="13"/>
  <c r="K10" i="13"/>
  <c r="E202" i="3"/>
  <c r="F202" i="3"/>
  <c r="G202" i="3"/>
  <c r="K78" i="13"/>
  <c r="K67" i="13"/>
  <c r="L3" i="13"/>
  <c r="N3" i="7"/>
  <c r="O3" i="11"/>
  <c r="M3" i="10"/>
  <c r="D202" i="3"/>
  <c r="F234" i="4"/>
  <c r="G234" i="4"/>
  <c r="H234" i="4"/>
  <c r="J234" i="4"/>
  <c r="I234" i="4"/>
  <c r="E234" i="4"/>
  <c r="D234" i="4"/>
  <c r="P202" i="3"/>
  <c r="T234" i="4"/>
  <c r="Q234" i="4"/>
  <c r="U234" i="4"/>
  <c r="P234" i="4"/>
  <c r="R234" i="4"/>
  <c r="S234" i="4"/>
  <c r="L66" i="2" l="1"/>
  <c r="N3" i="6"/>
  <c r="L71" i="2"/>
  <c r="L68" i="2"/>
  <c r="M3" i="2"/>
  <c r="M73" i="2" s="1"/>
  <c r="L58" i="2"/>
  <c r="L62" i="2"/>
  <c r="K15" i="2"/>
  <c r="K54" i="2"/>
  <c r="L67" i="2"/>
  <c r="L60" i="2"/>
  <c r="L72" i="2"/>
  <c r="L8" i="2"/>
  <c r="L57" i="2"/>
  <c r="L63" i="2"/>
  <c r="L65" i="2"/>
  <c r="L13" i="2"/>
  <c r="L9" i="2"/>
  <c r="L69" i="2"/>
  <c r="L64" i="2"/>
  <c r="L59" i="2"/>
  <c r="L61" i="2"/>
  <c r="L70" i="2"/>
  <c r="L73" i="2"/>
  <c r="L7" i="2"/>
  <c r="L5" i="2"/>
  <c r="L10" i="2"/>
  <c r="L4" i="2"/>
  <c r="L6" i="2"/>
  <c r="N3" i="10"/>
  <c r="M3" i="9"/>
  <c r="M3" i="13"/>
  <c r="M37" i="13" s="1"/>
  <c r="L37" i="13"/>
  <c r="L67" i="13"/>
  <c r="L78" i="13"/>
  <c r="L79" i="13"/>
  <c r="L9" i="13"/>
  <c r="L10" i="13"/>
  <c r="L80" i="13"/>
  <c r="O3" i="7"/>
  <c r="P3" i="11"/>
  <c r="M68" i="2" l="1"/>
  <c r="M10" i="2"/>
  <c r="M58" i="2"/>
  <c r="O3" i="6"/>
  <c r="M6" i="2"/>
  <c r="M59" i="2"/>
  <c r="M71" i="2"/>
  <c r="M67" i="2"/>
  <c r="M8" i="2"/>
  <c r="M61" i="2"/>
  <c r="M7" i="2"/>
  <c r="M60" i="2"/>
  <c r="M13" i="2"/>
  <c r="M66" i="2"/>
  <c r="M63" i="2"/>
  <c r="M72" i="2"/>
  <c r="N3" i="2"/>
  <c r="N68" i="2" s="1"/>
  <c r="M62" i="2"/>
  <c r="M70" i="2"/>
  <c r="M39" i="2"/>
  <c r="M5" i="2"/>
  <c r="M57" i="2"/>
  <c r="M69" i="2"/>
  <c r="M9" i="2"/>
  <c r="M65" i="2"/>
  <c r="M64" i="2"/>
  <c r="M4" i="2"/>
  <c r="M15" i="2" s="1"/>
  <c r="L15" i="2"/>
  <c r="L54" i="2"/>
  <c r="M10" i="13"/>
  <c r="M9" i="13"/>
  <c r="M67" i="13"/>
  <c r="M78" i="13"/>
  <c r="M79" i="13"/>
  <c r="N3" i="9"/>
  <c r="N3" i="13"/>
  <c r="N37" i="13" s="1"/>
  <c r="M80" i="13"/>
  <c r="P3" i="7"/>
  <c r="Q3" i="11"/>
  <c r="O3" i="10"/>
  <c r="N8" i="2"/>
  <c r="N73" i="2" l="1"/>
  <c r="N61" i="2"/>
  <c r="M54" i="2"/>
  <c r="N5" i="2"/>
  <c r="N63" i="2"/>
  <c r="N10" i="2"/>
  <c r="N9" i="2"/>
  <c r="N70" i="2"/>
  <c r="N6" i="2"/>
  <c r="N57" i="2"/>
  <c r="N39" i="2"/>
  <c r="N4" i="2"/>
  <c r="N54" i="2" s="1"/>
  <c r="N59" i="2"/>
  <c r="N60" i="2"/>
  <c r="N67" i="2"/>
  <c r="N58" i="2"/>
  <c r="P3" i="6"/>
  <c r="N71" i="2"/>
  <c r="N7" i="2"/>
  <c r="N13" i="2"/>
  <c r="N69" i="2"/>
  <c r="N72" i="2"/>
  <c r="O3" i="2"/>
  <c r="O39" i="2" s="1"/>
  <c r="N62" i="2"/>
  <c r="N64" i="2"/>
  <c r="N65" i="2"/>
  <c r="N66" i="2"/>
  <c r="N80" i="13"/>
  <c r="N67" i="13"/>
  <c r="N78" i="13"/>
  <c r="N79" i="13"/>
  <c r="O3" i="13"/>
  <c r="O37" i="13" s="1"/>
  <c r="N9" i="13"/>
  <c r="N10" i="13"/>
  <c r="O3" i="9"/>
  <c r="Q3" i="7"/>
  <c r="R3" i="11"/>
  <c r="P3" i="10"/>
  <c r="P3" i="2" l="1"/>
  <c r="P39" i="2" s="1"/>
  <c r="O61" i="2"/>
  <c r="N15" i="2"/>
  <c r="O9" i="2"/>
  <c r="O7" i="2"/>
  <c r="O66" i="2"/>
  <c r="O13" i="2"/>
  <c r="O6" i="2"/>
  <c r="O64" i="2"/>
  <c r="O4" i="2"/>
  <c r="O15" i="2" s="1"/>
  <c r="O67" i="2"/>
  <c r="O10" i="2"/>
  <c r="O63" i="2"/>
  <c r="O62" i="2"/>
  <c r="O5" i="2"/>
  <c r="O70" i="2"/>
  <c r="O8" i="2"/>
  <c r="O68" i="2"/>
  <c r="O57" i="2"/>
  <c r="Q3" i="6"/>
  <c r="O65" i="2"/>
  <c r="O69" i="2"/>
  <c r="O58" i="2"/>
  <c r="O71" i="2"/>
  <c r="O59" i="2"/>
  <c r="O72" i="2"/>
  <c r="O60" i="2"/>
  <c r="O73" i="2"/>
  <c r="O79" i="13"/>
  <c r="P3" i="13"/>
  <c r="P37" i="13" s="1"/>
  <c r="O9" i="13"/>
  <c r="O10" i="13"/>
  <c r="O80" i="13"/>
  <c r="O67" i="13"/>
  <c r="O78" i="13"/>
  <c r="P3" i="9"/>
  <c r="P13" i="2"/>
  <c r="P70" i="2"/>
  <c r="R3" i="7"/>
  <c r="Q3" i="10"/>
  <c r="S3" i="11"/>
  <c r="P72" i="2"/>
  <c r="P67" i="2"/>
  <c r="P63" i="2"/>
  <c r="P59" i="2"/>
  <c r="P71" i="2"/>
  <c r="P66" i="2"/>
  <c r="P62" i="2"/>
  <c r="P58" i="2"/>
  <c r="P68" i="2"/>
  <c r="P60" i="2"/>
  <c r="P69" i="2"/>
  <c r="P9" i="2"/>
  <c r="P4" i="2"/>
  <c r="P8" i="2"/>
  <c r="P65" i="2"/>
  <c r="P61" i="2"/>
  <c r="P64" i="2"/>
  <c r="P10" i="2"/>
  <c r="P7" i="2"/>
  <c r="P57" i="2"/>
  <c r="P6" i="2"/>
  <c r="Q3" i="2"/>
  <c r="Q39" i="2" s="1"/>
  <c r="P73" i="2"/>
  <c r="P5" i="2"/>
  <c r="Q3" i="13" l="1"/>
  <c r="Q37" i="13" s="1"/>
  <c r="P10" i="13"/>
  <c r="O54" i="2"/>
  <c r="R3" i="6"/>
  <c r="P67" i="13"/>
  <c r="P80" i="13"/>
  <c r="P15" i="2"/>
  <c r="P54" i="2"/>
  <c r="P78" i="13"/>
  <c r="P79" i="13"/>
  <c r="P9" i="13"/>
  <c r="Q3" i="9"/>
  <c r="Q13" i="2"/>
  <c r="Q70" i="2"/>
  <c r="S3" i="7"/>
  <c r="Q10" i="13"/>
  <c r="Q9" i="13"/>
  <c r="T3" i="11"/>
  <c r="R3" i="10"/>
  <c r="R3" i="2"/>
  <c r="R39" i="2" s="1"/>
  <c r="Q61" i="2"/>
  <c r="Q8" i="2"/>
  <c r="Q7" i="2"/>
  <c r="Q71" i="2"/>
  <c r="Q63" i="2"/>
  <c r="Q10" i="2"/>
  <c r="Q73" i="2"/>
  <c r="Q62" i="2"/>
  <c r="Q4" i="2"/>
  <c r="Q58" i="2"/>
  <c r="Q72" i="2"/>
  <c r="Q9" i="2"/>
  <c r="Q59" i="2"/>
  <c r="Q66" i="2"/>
  <c r="Q64" i="2"/>
  <c r="Q60" i="2"/>
  <c r="Q68" i="2"/>
  <c r="Q6" i="2"/>
  <c r="Q67" i="2"/>
  <c r="Q65" i="2"/>
  <c r="Q57" i="2"/>
  <c r="Q69" i="2"/>
  <c r="Q5" i="2"/>
  <c r="R3" i="13" l="1"/>
  <c r="R37" i="13" s="1"/>
  <c r="Q78" i="13"/>
  <c r="Q79" i="13"/>
  <c r="Q80" i="13"/>
  <c r="Q67" i="13"/>
  <c r="S3" i="6"/>
  <c r="Q15" i="2"/>
  <c r="Q54" i="2"/>
  <c r="R3" i="9"/>
  <c r="R13" i="2"/>
  <c r="R70" i="2"/>
  <c r="R80" i="13"/>
  <c r="R79" i="13"/>
  <c r="R78" i="13"/>
  <c r="R67" i="13"/>
  <c r="T3" i="7"/>
  <c r="R10" i="13"/>
  <c r="R9" i="13"/>
  <c r="S3" i="13"/>
  <c r="S37" i="13" s="1"/>
  <c r="U3" i="11"/>
  <c r="S3" i="10"/>
  <c r="R10" i="2"/>
  <c r="R9" i="2"/>
  <c r="R8" i="2"/>
  <c r="R7" i="2"/>
  <c r="R6" i="2"/>
  <c r="R5" i="2"/>
  <c r="R4" i="2"/>
  <c r="R72" i="2"/>
  <c r="R64" i="2"/>
  <c r="R71" i="2"/>
  <c r="R63" i="2"/>
  <c r="R65" i="2"/>
  <c r="R69" i="2"/>
  <c r="R61" i="2"/>
  <c r="R59" i="2"/>
  <c r="R57" i="2"/>
  <c r="R62" i="2"/>
  <c r="R60" i="2"/>
  <c r="R58" i="2"/>
  <c r="R73" i="2"/>
  <c r="R67" i="2"/>
  <c r="R68" i="2"/>
  <c r="R66" i="2"/>
  <c r="S3" i="2"/>
  <c r="S39" i="2" s="1"/>
  <c r="T3" i="6" l="1"/>
  <c r="R15" i="2"/>
  <c r="R54" i="2"/>
  <c r="S3" i="9"/>
  <c r="S13" i="2"/>
  <c r="S70" i="2"/>
  <c r="S67" i="13"/>
  <c r="S80" i="13"/>
  <c r="S79" i="13"/>
  <c r="S78" i="13"/>
  <c r="U3" i="7"/>
  <c r="S9" i="13"/>
  <c r="S10" i="13"/>
  <c r="T3" i="13"/>
  <c r="T37" i="13" s="1"/>
  <c r="V3" i="11"/>
  <c r="T3" i="10"/>
  <c r="S73" i="2"/>
  <c r="S68" i="2"/>
  <c r="S64" i="2"/>
  <c r="S60" i="2"/>
  <c r="S9" i="2"/>
  <c r="S5" i="2"/>
  <c r="S72" i="2"/>
  <c r="S67" i="2"/>
  <c r="S63" i="2"/>
  <c r="S59" i="2"/>
  <c r="S8" i="2"/>
  <c r="S4" i="2"/>
  <c r="S57" i="2"/>
  <c r="S10" i="2"/>
  <c r="T3" i="2"/>
  <c r="T39" i="2" s="1"/>
  <c r="S66" i="2"/>
  <c r="S58" i="2"/>
  <c r="S69" i="2"/>
  <c r="S6" i="2"/>
  <c r="S62" i="2"/>
  <c r="S7" i="2"/>
  <c r="S61" i="2"/>
  <c r="S65" i="2"/>
  <c r="S71" i="2"/>
  <c r="U3" i="6" l="1"/>
  <c r="S15" i="2"/>
  <c r="S54" i="2"/>
  <c r="T3" i="9"/>
  <c r="T13" i="2"/>
  <c r="T70" i="2"/>
  <c r="T80" i="13"/>
  <c r="T79" i="13"/>
  <c r="T78" i="13"/>
  <c r="T67" i="13"/>
  <c r="V3" i="7"/>
  <c r="T10" i="13"/>
  <c r="T9" i="13"/>
  <c r="U3" i="13"/>
  <c r="U37" i="13" s="1"/>
  <c r="U3" i="10"/>
  <c r="W3" i="11"/>
  <c r="T66" i="2"/>
  <c r="T69" i="2"/>
  <c r="T59" i="2"/>
  <c r="T68" i="2"/>
  <c r="T61" i="2"/>
  <c r="T5" i="2"/>
  <c r="T72" i="2"/>
  <c r="T8" i="2"/>
  <c r="T67" i="2"/>
  <c r="T65" i="2"/>
  <c r="T57" i="2"/>
  <c r="T6" i="2"/>
  <c r="T73" i="2"/>
  <c r="T60" i="2"/>
  <c r="T10" i="2"/>
  <c r="T58" i="2"/>
  <c r="T4" i="2"/>
  <c r="T63" i="2"/>
  <c r="U3" i="2"/>
  <c r="T7" i="2"/>
  <c r="T64" i="2"/>
  <c r="T62" i="2"/>
  <c r="T71" i="2"/>
  <c r="T9" i="2"/>
  <c r="V3" i="6" l="1"/>
  <c r="T15" i="2"/>
  <c r="T54" i="2"/>
  <c r="U39" i="2"/>
  <c r="U63" i="2"/>
  <c r="U3" i="9"/>
  <c r="U13" i="2"/>
  <c r="U70" i="2"/>
  <c r="U67" i="13"/>
  <c r="U80" i="13"/>
  <c r="U79" i="13"/>
  <c r="U78" i="13"/>
  <c r="W3" i="7"/>
  <c r="U10" i="13"/>
  <c r="U9" i="13"/>
  <c r="V3" i="13"/>
  <c r="V37" i="13" s="1"/>
  <c r="X3" i="11"/>
  <c r="V3" i="10"/>
  <c r="U67" i="2"/>
  <c r="U60" i="2"/>
  <c r="U4" i="2"/>
  <c r="U69" i="2"/>
  <c r="U59" i="2"/>
  <c r="U6" i="2"/>
  <c r="U62" i="2"/>
  <c r="U72" i="2"/>
  <c r="U8" i="2"/>
  <c r="U65" i="2"/>
  <c r="U5" i="2"/>
  <c r="U73" i="2"/>
  <c r="U71" i="2"/>
  <c r="V3" i="2"/>
  <c r="V39" i="2" s="1"/>
  <c r="U58" i="2"/>
  <c r="U66" i="2"/>
  <c r="U64" i="2"/>
  <c r="U2" i="2"/>
  <c r="U68" i="2"/>
  <c r="U57" i="2"/>
  <c r="U61" i="2"/>
  <c r="U10" i="2"/>
  <c r="U7" i="2"/>
  <c r="U9" i="2"/>
  <c r="W3" i="6" l="1"/>
  <c r="U15" i="2"/>
  <c r="U54" i="2"/>
  <c r="V3" i="9"/>
  <c r="V13" i="2"/>
  <c r="V70" i="2"/>
  <c r="V80" i="13"/>
  <c r="V79" i="13"/>
  <c r="V78" i="13"/>
  <c r="V67" i="13"/>
  <c r="X3" i="7"/>
  <c r="V10" i="13"/>
  <c r="V9" i="13"/>
  <c r="V2" i="13"/>
  <c r="W3" i="13"/>
  <c r="W37" i="13" s="1"/>
  <c r="Y3" i="11"/>
  <c r="W3" i="10"/>
  <c r="V69" i="2"/>
  <c r="V65" i="2"/>
  <c r="V61" i="2"/>
  <c r="V57" i="2"/>
  <c r="V10" i="2"/>
  <c r="V6" i="2"/>
  <c r="V73" i="2"/>
  <c r="V68" i="2"/>
  <c r="V64" i="2"/>
  <c r="V60" i="2"/>
  <c r="V9" i="2"/>
  <c r="V5" i="2"/>
  <c r="V2" i="2"/>
  <c r="V71" i="2"/>
  <c r="V7" i="2"/>
  <c r="V62" i="2"/>
  <c r="V72" i="2"/>
  <c r="V8" i="2"/>
  <c r="V67" i="2"/>
  <c r="V63" i="2"/>
  <c r="W3" i="2"/>
  <c r="W39" i="2" s="1"/>
  <c r="V4" i="2"/>
  <c r="V66" i="2"/>
  <c r="V59" i="2"/>
  <c r="V58" i="2"/>
  <c r="X3" i="6" l="1"/>
  <c r="Y3" i="7"/>
  <c r="V15" i="2"/>
  <c r="V54" i="2"/>
  <c r="W3" i="9"/>
  <c r="W13" i="2"/>
  <c r="W70" i="2"/>
  <c r="W80" i="13"/>
  <c r="W79" i="13"/>
  <c r="W78" i="13"/>
  <c r="W67" i="13"/>
  <c r="W10" i="13"/>
  <c r="W9" i="13"/>
  <c r="W2" i="13"/>
  <c r="X3" i="13"/>
  <c r="X37" i="13" s="1"/>
  <c r="Z3" i="11"/>
  <c r="X3" i="10"/>
  <c r="W63" i="2"/>
  <c r="X3" i="2"/>
  <c r="X39" i="2" s="1"/>
  <c r="W73" i="2"/>
  <c r="W65" i="2"/>
  <c r="W58" i="2"/>
  <c r="W9" i="2"/>
  <c r="W64" i="2"/>
  <c r="W57" i="2"/>
  <c r="W67" i="2"/>
  <c r="W5" i="2"/>
  <c r="W61" i="2"/>
  <c r="W71" i="2"/>
  <c r="W68" i="2"/>
  <c r="W66" i="2"/>
  <c r="W2" i="2"/>
  <c r="W72" i="2"/>
  <c r="W8" i="2"/>
  <c r="W69" i="2"/>
  <c r="W60" i="2"/>
  <c r="W10" i="2"/>
  <c r="W7" i="2"/>
  <c r="W62" i="2"/>
  <c r="W4" i="2"/>
  <c r="W59" i="2"/>
  <c r="W6" i="2"/>
  <c r="Y3" i="6" l="1"/>
  <c r="W15" i="2"/>
  <c r="W54" i="2"/>
  <c r="X3" i="9"/>
  <c r="X13" i="2"/>
  <c r="X70" i="2"/>
  <c r="X80" i="13"/>
  <c r="X79" i="13"/>
  <c r="X78" i="13"/>
  <c r="X67" i="13"/>
  <c r="Z3" i="7"/>
  <c r="X10" i="13"/>
  <c r="X9" i="13"/>
  <c r="Y3" i="13"/>
  <c r="Y37" i="13" s="1"/>
  <c r="AA3" i="11"/>
  <c r="Y3" i="10"/>
  <c r="Y3" i="2"/>
  <c r="Y39" i="2" s="1"/>
  <c r="X66" i="2"/>
  <c r="X10" i="2"/>
  <c r="X73" i="2"/>
  <c r="X65" i="2"/>
  <c r="X58" i="2"/>
  <c r="X9" i="2"/>
  <c r="X67" i="2"/>
  <c r="X4" i="2"/>
  <c r="X5" i="2"/>
  <c r="X63" i="2"/>
  <c r="X61" i="2"/>
  <c r="X59" i="2"/>
  <c r="X68" i="2"/>
  <c r="X7" i="2"/>
  <c r="X72" i="2"/>
  <c r="X8" i="2"/>
  <c r="X69" i="2"/>
  <c r="X64" i="2"/>
  <c r="X71" i="2"/>
  <c r="X62" i="2"/>
  <c r="X6" i="2"/>
  <c r="X60" i="2"/>
  <c r="X57" i="2"/>
  <c r="Z3" i="6" l="1"/>
  <c r="X15" i="2"/>
  <c r="X54" i="2"/>
  <c r="Y3" i="9"/>
  <c r="V73" i="14"/>
  <c r="Y13" i="2"/>
  <c r="Y70" i="2"/>
  <c r="Y80" i="13"/>
  <c r="Y79" i="13"/>
  <c r="Y78" i="13"/>
  <c r="Y67" i="13"/>
  <c r="AA3" i="7"/>
  <c r="Y10" i="13"/>
  <c r="Y9" i="13"/>
  <c r="Z3" i="13"/>
  <c r="Z37" i="13" s="1"/>
  <c r="Z3" i="10"/>
  <c r="AB3" i="11"/>
  <c r="Y71" i="2"/>
  <c r="Y66" i="2"/>
  <c r="Y62" i="2"/>
  <c r="Y58" i="2"/>
  <c r="Y7" i="2"/>
  <c r="Y69" i="2"/>
  <c r="Y65" i="2"/>
  <c r="Y61" i="2"/>
  <c r="Y57" i="2"/>
  <c r="Y10" i="2"/>
  <c r="Y6" i="2"/>
  <c r="Y59" i="2"/>
  <c r="Y68" i="2"/>
  <c r="Y60" i="2"/>
  <c r="Y63" i="2"/>
  <c r="Y9" i="2"/>
  <c r="Y64" i="2"/>
  <c r="Y67" i="2"/>
  <c r="Y5" i="2"/>
  <c r="Z3" i="2"/>
  <c r="Z39" i="2" s="1"/>
  <c r="Y4" i="2"/>
  <c r="Y8" i="2"/>
  <c r="Y72" i="2"/>
  <c r="Y73" i="2"/>
  <c r="AA3" i="6" l="1"/>
  <c r="AA3" i="10"/>
  <c r="Y15" i="2"/>
  <c r="Y54" i="2"/>
  <c r="Z3" i="9"/>
  <c r="Z13" i="2"/>
  <c r="Z70" i="2"/>
  <c r="Z80" i="13"/>
  <c r="Z79" i="13"/>
  <c r="Z78" i="13"/>
  <c r="Z67" i="13"/>
  <c r="AB3" i="7"/>
  <c r="Z10" i="13"/>
  <c r="Z9" i="13"/>
  <c r="AA3" i="13"/>
  <c r="AC3" i="11"/>
  <c r="Z68" i="2"/>
  <c r="Z5" i="2"/>
  <c r="Z72" i="2"/>
  <c r="Z61" i="2"/>
  <c r="Z71" i="2"/>
  <c r="Z63" i="2"/>
  <c r="Z7" i="2"/>
  <c r="Z65" i="2"/>
  <c r="Z59" i="2"/>
  <c r="Z9" i="2"/>
  <c r="Z57" i="2"/>
  <c r="Z6" i="2"/>
  <c r="Z66" i="2"/>
  <c r="Z64" i="2"/>
  <c r="Z62" i="2"/>
  <c r="Z69" i="2"/>
  <c r="Z67" i="2"/>
  <c r="AA3" i="2"/>
  <c r="AA39" i="2" s="1"/>
  <c r="Z10" i="2"/>
  <c r="Z58" i="2"/>
  <c r="Z73" i="2"/>
  <c r="Z8" i="2"/>
  <c r="Z60" i="2"/>
  <c r="Z4" i="2"/>
  <c r="Z15" i="2" s="1"/>
  <c r="AB3" i="6" l="1"/>
  <c r="Z54" i="2"/>
  <c r="AA3" i="9"/>
  <c r="AA37" i="13"/>
  <c r="AA13" i="2"/>
  <c r="AA70" i="2"/>
  <c r="AA80" i="13"/>
  <c r="AA79" i="13"/>
  <c r="AA78" i="13"/>
  <c r="AA67" i="13"/>
  <c r="AC3" i="7"/>
  <c r="AA9" i="13"/>
  <c r="AA10" i="13"/>
  <c r="AB3" i="13"/>
  <c r="AB37" i="13" s="1"/>
  <c r="AB3" i="10"/>
  <c r="AD3" i="11"/>
  <c r="AA73" i="2"/>
  <c r="AA72" i="2"/>
  <c r="AA71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B3" i="2"/>
  <c r="AB39" i="2" s="1"/>
  <c r="AA6" i="2"/>
  <c r="AA8" i="2"/>
  <c r="AA7" i="2"/>
  <c r="AA10" i="2"/>
  <c r="AA4" i="2"/>
  <c r="AA54" i="2" s="1"/>
  <c r="AA5" i="2"/>
  <c r="AA9" i="2"/>
  <c r="AC3" i="6" l="1"/>
  <c r="AA15" i="2"/>
  <c r="AB3" i="9"/>
  <c r="AB13" i="2"/>
  <c r="AB70" i="2"/>
  <c r="AB80" i="13"/>
  <c r="AB79" i="13"/>
  <c r="AB78" i="13"/>
  <c r="AB67" i="13"/>
  <c r="AD3" i="7"/>
  <c r="AB9" i="13"/>
  <c r="AB10" i="13"/>
  <c r="AC3" i="13"/>
  <c r="AC3" i="10"/>
  <c r="AE3" i="11"/>
  <c r="AB8" i="2"/>
  <c r="AB4" i="2"/>
  <c r="AB7" i="2"/>
  <c r="AB69" i="2"/>
  <c r="AB62" i="2"/>
  <c r="AB9" i="2"/>
  <c r="AB72" i="2"/>
  <c r="AB61" i="2"/>
  <c r="AB64" i="2"/>
  <c r="AB10" i="2"/>
  <c r="AC3" i="2"/>
  <c r="AC39" i="2" s="1"/>
  <c r="AB57" i="2"/>
  <c r="AB6" i="2"/>
  <c r="AB73" i="2"/>
  <c r="AB60" i="2"/>
  <c r="AB65" i="2"/>
  <c r="AB63" i="2"/>
  <c r="AB59" i="2"/>
  <c r="AB66" i="2"/>
  <c r="AB58" i="2"/>
  <c r="AB71" i="2"/>
  <c r="AB67" i="2"/>
  <c r="AB68" i="2"/>
  <c r="AB5" i="2"/>
  <c r="AD3" i="6" l="1"/>
  <c r="AB15" i="2"/>
  <c r="AB54" i="2"/>
  <c r="AC3" i="9"/>
  <c r="AC37" i="13"/>
  <c r="AC13" i="2"/>
  <c r="AC70" i="2"/>
  <c r="AC80" i="13"/>
  <c r="AC79" i="13"/>
  <c r="AC78" i="13"/>
  <c r="AC67" i="13"/>
  <c r="AE3" i="7"/>
  <c r="AC9" i="13"/>
  <c r="AC10" i="13"/>
  <c r="AD3" i="13"/>
  <c r="AD37" i="13" s="1"/>
  <c r="AF3" i="11"/>
  <c r="AD3" i="10"/>
  <c r="AD3" i="2"/>
  <c r="AC72" i="2"/>
  <c r="AC67" i="2"/>
  <c r="AC63" i="2"/>
  <c r="AC59" i="2"/>
  <c r="AC71" i="2"/>
  <c r="AC66" i="2"/>
  <c r="AC62" i="2"/>
  <c r="AC58" i="2"/>
  <c r="AC73" i="2"/>
  <c r="AC64" i="2"/>
  <c r="AC57" i="2"/>
  <c r="AC6" i="2"/>
  <c r="AC60" i="2"/>
  <c r="AC10" i="2"/>
  <c r="AC4" i="2"/>
  <c r="AC54" i="2" s="1"/>
  <c r="AC65" i="2"/>
  <c r="AC9" i="2"/>
  <c r="AC61" i="2"/>
  <c r="AC7" i="2"/>
  <c r="AC69" i="2"/>
  <c r="AC8" i="2"/>
  <c r="AC5" i="2"/>
  <c r="AC68" i="2"/>
  <c r="AD39" i="2" l="1"/>
  <c r="AE3" i="6"/>
  <c r="AD3" i="9"/>
  <c r="AC15" i="2"/>
  <c r="AD13" i="2"/>
  <c r="AD70" i="2"/>
  <c r="AD80" i="13"/>
  <c r="AD79" i="13"/>
  <c r="AD78" i="13"/>
  <c r="AD67" i="13"/>
  <c r="AF3" i="7"/>
  <c r="AD9" i="13"/>
  <c r="AD10" i="13"/>
  <c r="AE3" i="13"/>
  <c r="AE37" i="13" s="1"/>
  <c r="AG3" i="11"/>
  <c r="AE3" i="10"/>
  <c r="AD10" i="2"/>
  <c r="AD9" i="2"/>
  <c r="AD8" i="2"/>
  <c r="AD7" i="2"/>
  <c r="AD6" i="2"/>
  <c r="AD5" i="2"/>
  <c r="AD4" i="2"/>
  <c r="AD65" i="2"/>
  <c r="AD57" i="2"/>
  <c r="AD67" i="2"/>
  <c r="AD60" i="2"/>
  <c r="AD66" i="2"/>
  <c r="AD59" i="2"/>
  <c r="AD73" i="2"/>
  <c r="AD71" i="2"/>
  <c r="AD68" i="2"/>
  <c r="AE3" i="2"/>
  <c r="AE39" i="2" s="1"/>
  <c r="AD62" i="2"/>
  <c r="AD58" i="2"/>
  <c r="AD63" i="2"/>
  <c r="AD61" i="2"/>
  <c r="AD69" i="2"/>
  <c r="AD64" i="2"/>
  <c r="AD72" i="2"/>
  <c r="AF3" i="6" l="1"/>
  <c r="AD15" i="2"/>
  <c r="AD54" i="2"/>
  <c r="AE3" i="9"/>
  <c r="AE71" i="13"/>
  <c r="AE11" i="13"/>
  <c r="AE13" i="2"/>
  <c r="AE70" i="2"/>
  <c r="AE80" i="13"/>
  <c r="AE79" i="13"/>
  <c r="AE78" i="13"/>
  <c r="AE77" i="13"/>
  <c r="AE65" i="13"/>
  <c r="AE73" i="13"/>
  <c r="AE60" i="13"/>
  <c r="AE67" i="13"/>
  <c r="AE62" i="13"/>
  <c r="AE69" i="13"/>
  <c r="AE59" i="13"/>
  <c r="AE58" i="13"/>
  <c r="AE74" i="13"/>
  <c r="AE68" i="13"/>
  <c r="AE70" i="13"/>
  <c r="AE72" i="13"/>
  <c r="AE64" i="13"/>
  <c r="AE63" i="13"/>
  <c r="AE66" i="13"/>
  <c r="AE61" i="13"/>
  <c r="AG3" i="7"/>
  <c r="AE13" i="13"/>
  <c r="AE8" i="13"/>
  <c r="AE6" i="13"/>
  <c r="AE4" i="13"/>
  <c r="AE10" i="13"/>
  <c r="AE9" i="13"/>
  <c r="AE7" i="13"/>
  <c r="AE5" i="13"/>
  <c r="AF3" i="13"/>
  <c r="AF37" i="13" s="1"/>
  <c r="AH3" i="11"/>
  <c r="AF3" i="10"/>
  <c r="AE68" i="2"/>
  <c r="AE58" i="2"/>
  <c r="AE5" i="2"/>
  <c r="AE67" i="2"/>
  <c r="AE60" i="2"/>
  <c r="AE4" i="2"/>
  <c r="AE54" i="2" s="1"/>
  <c r="AE69" i="2"/>
  <c r="AE6" i="2"/>
  <c r="AE73" i="2"/>
  <c r="AE71" i="2"/>
  <c r="AF3" i="2"/>
  <c r="AE8" i="2"/>
  <c r="AE61" i="2"/>
  <c r="AE9" i="2"/>
  <c r="AE59" i="2"/>
  <c r="AE57" i="2"/>
  <c r="AE10" i="2"/>
  <c r="AE7" i="2"/>
  <c r="AE64" i="2"/>
  <c r="AE65" i="2"/>
  <c r="AE72" i="2"/>
  <c r="AE62" i="2"/>
  <c r="AE66" i="2"/>
  <c r="AE63" i="2"/>
  <c r="AF39" i="2" l="1"/>
  <c r="AG3" i="6"/>
  <c r="AF3" i="9"/>
  <c r="AF71" i="13"/>
  <c r="AF11" i="13"/>
  <c r="AE15" i="2"/>
  <c r="AF13" i="2"/>
  <c r="AF70" i="2"/>
  <c r="AF79" i="13"/>
  <c r="AF80" i="13"/>
  <c r="AF78" i="13"/>
  <c r="AF77" i="13"/>
  <c r="AF73" i="13"/>
  <c r="AF60" i="13"/>
  <c r="AF67" i="13"/>
  <c r="AF62" i="13"/>
  <c r="AF69" i="13"/>
  <c r="AF64" i="13"/>
  <c r="AF72" i="13"/>
  <c r="AF68" i="13"/>
  <c r="AF65" i="13"/>
  <c r="AF70" i="13"/>
  <c r="AF63" i="13"/>
  <c r="AF66" i="13"/>
  <c r="AF61" i="13"/>
  <c r="AF74" i="13"/>
  <c r="AF58" i="13"/>
  <c r="AF59" i="13"/>
  <c r="AH3" i="7"/>
  <c r="AF13" i="13"/>
  <c r="AF10" i="13"/>
  <c r="AF8" i="13"/>
  <c r="AF6" i="13"/>
  <c r="AF4" i="13"/>
  <c r="AF9" i="13"/>
  <c r="AF7" i="13"/>
  <c r="AF5" i="13"/>
  <c r="AG3" i="13"/>
  <c r="AG37" i="13" s="1"/>
  <c r="AI3" i="11"/>
  <c r="AG3" i="10"/>
  <c r="AF73" i="2"/>
  <c r="AF68" i="2"/>
  <c r="AF64" i="2"/>
  <c r="AF60" i="2"/>
  <c r="AF9" i="2"/>
  <c r="AF5" i="2"/>
  <c r="AF72" i="2"/>
  <c r="AF67" i="2"/>
  <c r="AF63" i="2"/>
  <c r="AF59" i="2"/>
  <c r="AF8" i="2"/>
  <c r="AF4" i="2"/>
  <c r="AF61" i="2"/>
  <c r="AF71" i="2"/>
  <c r="AF62" i="2"/>
  <c r="AF66" i="2"/>
  <c r="AF7" i="2"/>
  <c r="AF58" i="2"/>
  <c r="AF57" i="2"/>
  <c r="AF6" i="2"/>
  <c r="AF69" i="2"/>
  <c r="AF65" i="2"/>
  <c r="AF10" i="2"/>
  <c r="AG3" i="2"/>
  <c r="AG39" i="2" l="1"/>
  <c r="AH3" i="6"/>
  <c r="AF15" i="2"/>
  <c r="AF54" i="2"/>
  <c r="AG3" i="9"/>
  <c r="AG71" i="13"/>
  <c r="AG11" i="13"/>
  <c r="AG13" i="2"/>
  <c r="AG70" i="2"/>
  <c r="AG79" i="13"/>
  <c r="AG80" i="13"/>
  <c r="AG78" i="13"/>
  <c r="AG77" i="13"/>
  <c r="AG67" i="13"/>
  <c r="AG62" i="13"/>
  <c r="AG69" i="13"/>
  <c r="AG64" i="13"/>
  <c r="AG72" i="13"/>
  <c r="AG59" i="13"/>
  <c r="AG66" i="13"/>
  <c r="AG65" i="13"/>
  <c r="AG73" i="13"/>
  <c r="AG61" i="13"/>
  <c r="AG60" i="13"/>
  <c r="AG70" i="13"/>
  <c r="AG63" i="13"/>
  <c r="AG74" i="13"/>
  <c r="AG58" i="13"/>
  <c r="AG68" i="13"/>
  <c r="AI3" i="7"/>
  <c r="AG13" i="13"/>
  <c r="AG10" i="13"/>
  <c r="AG9" i="13"/>
  <c r="AG8" i="13"/>
  <c r="AG7" i="13"/>
  <c r="AG6" i="13"/>
  <c r="AG5" i="13"/>
  <c r="AG4" i="13"/>
  <c r="AH3" i="13"/>
  <c r="AH37" i="13" s="1"/>
  <c r="AH3" i="10"/>
  <c r="AJ3" i="11"/>
  <c r="AG71" i="2"/>
  <c r="AG7" i="2"/>
  <c r="AG63" i="2"/>
  <c r="AG10" i="2"/>
  <c r="AG73" i="2"/>
  <c r="AG65" i="2"/>
  <c r="AG9" i="2"/>
  <c r="AG68" i="2"/>
  <c r="AG66" i="2"/>
  <c r="AG64" i="2"/>
  <c r="AG8" i="2"/>
  <c r="AG72" i="2"/>
  <c r="AG69" i="2"/>
  <c r="AG59" i="2"/>
  <c r="AG57" i="2"/>
  <c r="AG6" i="2"/>
  <c r="AH3" i="2"/>
  <c r="AG58" i="2"/>
  <c r="AG61" i="2"/>
  <c r="AG4" i="2"/>
  <c r="AG54" i="2" s="1"/>
  <c r="AG67" i="2"/>
  <c r="AG62" i="2"/>
  <c r="AG5" i="2"/>
  <c r="AG60" i="2"/>
  <c r="AH39" i="2" l="1"/>
  <c r="AI3" i="6"/>
  <c r="AH3" i="9"/>
  <c r="AH71" i="13"/>
  <c r="AH11" i="13"/>
  <c r="AG15" i="2"/>
  <c r="AH13" i="2"/>
  <c r="AH70" i="2"/>
  <c r="AH79" i="13"/>
  <c r="AH80" i="13"/>
  <c r="AH78" i="13"/>
  <c r="AH77" i="13"/>
  <c r="AH62" i="13"/>
  <c r="AH69" i="13"/>
  <c r="AH64" i="13"/>
  <c r="AH72" i="13"/>
  <c r="AH59" i="13"/>
  <c r="AH66" i="13"/>
  <c r="AH74" i="13"/>
  <c r="AH65" i="13"/>
  <c r="AH73" i="13"/>
  <c r="AH61" i="13"/>
  <c r="AH60" i="13"/>
  <c r="AH63" i="13"/>
  <c r="AH67" i="13"/>
  <c r="AH58" i="13"/>
  <c r="AH68" i="13"/>
  <c r="AH70" i="13"/>
  <c r="AJ3" i="7"/>
  <c r="AH13" i="13"/>
  <c r="AH10" i="13"/>
  <c r="AH9" i="13"/>
  <c r="AH8" i="13"/>
  <c r="AH7" i="13"/>
  <c r="AH6" i="13"/>
  <c r="AH5" i="13"/>
  <c r="AH4" i="13"/>
  <c r="AI3" i="13"/>
  <c r="AI37" i="13" s="1"/>
  <c r="AK3" i="11"/>
  <c r="AI3" i="10"/>
  <c r="AH72" i="2"/>
  <c r="AH64" i="2"/>
  <c r="AH57" i="2"/>
  <c r="AH8" i="2"/>
  <c r="AH63" i="2"/>
  <c r="AH10" i="2"/>
  <c r="AI3" i="2"/>
  <c r="AH66" i="2"/>
  <c r="AH58" i="2"/>
  <c r="AH71" i="2"/>
  <c r="AH68" i="2"/>
  <c r="AH7" i="2"/>
  <c r="AH62" i="2"/>
  <c r="AH69" i="2"/>
  <c r="AH5" i="2"/>
  <c r="AH73" i="2"/>
  <c r="AH61" i="2"/>
  <c r="AH4" i="2"/>
  <c r="AH9" i="2"/>
  <c r="AH59" i="2"/>
  <c r="AH65" i="2"/>
  <c r="AH67" i="2"/>
  <c r="AH60" i="2"/>
  <c r="AH6" i="2"/>
  <c r="AI39" i="2" l="1"/>
  <c r="AJ3" i="6"/>
  <c r="AH15" i="2"/>
  <c r="AH54" i="2"/>
  <c r="AI3" i="9"/>
  <c r="AI71" i="13"/>
  <c r="AI11" i="13"/>
  <c r="AI13" i="2"/>
  <c r="AI70" i="2"/>
  <c r="AI80" i="13"/>
  <c r="AI79" i="13"/>
  <c r="AI78" i="13"/>
  <c r="AI77" i="13"/>
  <c r="AI69" i="13"/>
  <c r="AI64" i="13"/>
  <c r="AI72" i="13"/>
  <c r="AI59" i="13"/>
  <c r="AI66" i="13"/>
  <c r="AI74" i="13"/>
  <c r="AI61" i="13"/>
  <c r="AI68" i="13"/>
  <c r="AI65" i="13"/>
  <c r="AI73" i="13"/>
  <c r="AI60" i="13"/>
  <c r="AI67" i="13"/>
  <c r="AI58" i="13"/>
  <c r="AI70" i="13"/>
  <c r="AI63" i="13"/>
  <c r="AI62" i="13"/>
  <c r="AK3" i="7"/>
  <c r="AI13" i="13"/>
  <c r="AI10" i="13"/>
  <c r="AI9" i="13"/>
  <c r="AI8" i="13"/>
  <c r="AI7" i="13"/>
  <c r="AI6" i="13"/>
  <c r="AI5" i="13"/>
  <c r="AI4" i="13"/>
  <c r="AJ3" i="13"/>
  <c r="AJ37" i="13" s="1"/>
  <c r="AL3" i="11"/>
  <c r="AJ3" i="10"/>
  <c r="AI69" i="2"/>
  <c r="AI65" i="2"/>
  <c r="AI61" i="2"/>
  <c r="AI57" i="2"/>
  <c r="AI10" i="2"/>
  <c r="AI6" i="2"/>
  <c r="AI73" i="2"/>
  <c r="AI68" i="2"/>
  <c r="AI64" i="2"/>
  <c r="AI60" i="2"/>
  <c r="AI9" i="2"/>
  <c r="AI5" i="2"/>
  <c r="AI66" i="2"/>
  <c r="AI59" i="2"/>
  <c r="AI7" i="2"/>
  <c r="AI62" i="2"/>
  <c r="AI4" i="2"/>
  <c r="AI54" i="2" s="1"/>
  <c r="AI72" i="2"/>
  <c r="AI67" i="2"/>
  <c r="AJ3" i="2"/>
  <c r="AJ39" i="2" s="1"/>
  <c r="AI71" i="2"/>
  <c r="AI63" i="2"/>
  <c r="AI58" i="2"/>
  <c r="AI8" i="2"/>
  <c r="AK3" i="6" l="1"/>
  <c r="AJ3" i="9"/>
  <c r="AJ71" i="13"/>
  <c r="AJ11" i="13"/>
  <c r="AI15" i="2"/>
  <c r="AJ13" i="2"/>
  <c r="AJ70" i="2"/>
  <c r="AJ80" i="13"/>
  <c r="AJ79" i="13"/>
  <c r="AJ78" i="13"/>
  <c r="AJ77" i="13"/>
  <c r="AJ64" i="13"/>
  <c r="AJ72" i="13"/>
  <c r="AJ59" i="13"/>
  <c r="AJ66" i="13"/>
  <c r="AJ74" i="13"/>
  <c r="AJ61" i="13"/>
  <c r="AJ68" i="13"/>
  <c r="AJ73" i="13"/>
  <c r="AJ60" i="13"/>
  <c r="AJ69" i="13"/>
  <c r="AJ67" i="13"/>
  <c r="AJ58" i="13"/>
  <c r="AJ70" i="13"/>
  <c r="AJ63" i="13"/>
  <c r="AJ62" i="13"/>
  <c r="AJ65" i="13"/>
  <c r="AL3" i="7"/>
  <c r="AJ13" i="13"/>
  <c r="AJ10" i="13"/>
  <c r="AJ9" i="13"/>
  <c r="AJ8" i="13"/>
  <c r="AJ7" i="13"/>
  <c r="AJ6" i="13"/>
  <c r="AJ5" i="13"/>
  <c r="AJ4" i="13"/>
  <c r="AK3" i="13"/>
  <c r="AK37" i="13" s="1"/>
  <c r="AK3" i="10"/>
  <c r="AM3" i="11"/>
  <c r="AJ67" i="2"/>
  <c r="AJ4" i="2"/>
  <c r="AJ59" i="2"/>
  <c r="AJ69" i="2"/>
  <c r="AJ62" i="2"/>
  <c r="AJ68" i="2"/>
  <c r="AJ61" i="2"/>
  <c r="AJ5" i="2"/>
  <c r="AJ64" i="2"/>
  <c r="AJ60" i="2"/>
  <c r="AJ58" i="2"/>
  <c r="AJ10" i="2"/>
  <c r="AJ65" i="2"/>
  <c r="AJ73" i="2"/>
  <c r="AJ71" i="2"/>
  <c r="AJ7" i="2"/>
  <c r="AJ66" i="2"/>
  <c r="AJ8" i="2"/>
  <c r="AJ72" i="2"/>
  <c r="AJ57" i="2"/>
  <c r="AJ6" i="2"/>
  <c r="AJ63" i="2"/>
  <c r="AJ9" i="2"/>
  <c r="AK3" i="2"/>
  <c r="AK39" i="2" s="1"/>
  <c r="AL3" i="6" l="1"/>
  <c r="AJ15" i="2"/>
  <c r="AJ54" i="2"/>
  <c r="E65" i="18"/>
  <c r="E68" i="20"/>
  <c r="E66" i="20"/>
  <c r="E61" i="18"/>
  <c r="E65" i="20"/>
  <c r="E67" i="18"/>
  <c r="E63" i="18"/>
  <c r="E62" i="20"/>
  <c r="E64" i="20"/>
  <c r="E64" i="18"/>
  <c r="AK3" i="9"/>
  <c r="N62" i="14"/>
  <c r="N64" i="14"/>
  <c r="N68" i="14"/>
  <c r="N65" i="14"/>
  <c r="N66" i="14"/>
  <c r="AK71" i="13"/>
  <c r="AK11" i="13"/>
  <c r="AK13" i="2"/>
  <c r="AK70" i="2"/>
  <c r="AK80" i="13"/>
  <c r="AK79" i="13"/>
  <c r="AK78" i="13"/>
  <c r="AK77" i="13"/>
  <c r="AK72" i="13"/>
  <c r="AK59" i="13"/>
  <c r="AK66" i="13"/>
  <c r="AK74" i="13"/>
  <c r="AK61" i="13"/>
  <c r="AK68" i="13"/>
  <c r="AK63" i="13"/>
  <c r="AK70" i="13"/>
  <c r="AK69" i="13"/>
  <c r="AK64" i="13"/>
  <c r="AK65" i="13"/>
  <c r="AK62" i="13"/>
  <c r="AK67" i="13"/>
  <c r="AK58" i="13"/>
  <c r="AK60" i="13"/>
  <c r="AK73" i="13"/>
  <c r="AM3" i="7"/>
  <c r="AK13" i="13"/>
  <c r="AK10" i="13"/>
  <c r="AK9" i="13"/>
  <c r="AK8" i="13"/>
  <c r="AK7" i="13"/>
  <c r="AK6" i="13"/>
  <c r="AK5" i="13"/>
  <c r="AK4" i="13"/>
  <c r="AL3" i="13"/>
  <c r="M98" i="1" s="1"/>
  <c r="AL3" i="10"/>
  <c r="AL3" i="2"/>
  <c r="AK71" i="2"/>
  <c r="AK60" i="2"/>
  <c r="AK7" i="2"/>
  <c r="AK69" i="2"/>
  <c r="AK62" i="2"/>
  <c r="AK6" i="2"/>
  <c r="AK72" i="2"/>
  <c r="AK8" i="2"/>
  <c r="AK64" i="2"/>
  <c r="AK58" i="2"/>
  <c r="AK10" i="2"/>
  <c r="AK4" i="2"/>
  <c r="AK67" i="2"/>
  <c r="AK65" i="2"/>
  <c r="AK5" i="2"/>
  <c r="AK63" i="2"/>
  <c r="AK68" i="2"/>
  <c r="AK66" i="2"/>
  <c r="AK61" i="2"/>
  <c r="AK73" i="2"/>
  <c r="AK59" i="2"/>
  <c r="AK9" i="2"/>
  <c r="AK57" i="2"/>
  <c r="E108" i="1" l="1"/>
  <c r="E104" i="1"/>
  <c r="E97" i="1"/>
  <c r="E90" i="1"/>
  <c r="E105" i="1"/>
  <c r="E91" i="1"/>
  <c r="E110" i="1"/>
  <c r="E92" i="1"/>
  <c r="E98" i="1"/>
  <c r="E89" i="1"/>
  <c r="E88" i="1"/>
  <c r="E103" i="1"/>
  <c r="E96" i="1"/>
  <c r="E93" i="1"/>
  <c r="E111" i="1"/>
  <c r="E102" i="1"/>
  <c r="E87" i="1"/>
  <c r="AM3" i="6"/>
  <c r="AL39" i="2"/>
  <c r="E42" i="1"/>
  <c r="D42" i="1"/>
  <c r="E40" i="1"/>
  <c r="D40" i="1"/>
  <c r="D54" i="1" s="1"/>
  <c r="D27" i="1"/>
  <c r="L71" i="1"/>
  <c r="AG10" i="1" s="1"/>
  <c r="AI10" i="1" s="1"/>
  <c r="L40" i="1"/>
  <c r="L55" i="1" s="1"/>
  <c r="M40" i="1"/>
  <c r="M42" i="1"/>
  <c r="L42" i="1"/>
  <c r="AK15" i="2"/>
  <c r="AK54" i="2"/>
  <c r="D65" i="20"/>
  <c r="F65" i="20" s="1"/>
  <c r="D64" i="18"/>
  <c r="F64" i="18" s="1"/>
  <c r="H64" i="18" s="1"/>
  <c r="AL3" i="9"/>
  <c r="M65" i="14"/>
  <c r="O65" i="14" s="1"/>
  <c r="Q65" i="14" s="1"/>
  <c r="AL37" i="13"/>
  <c r="L39" i="1"/>
  <c r="M39" i="1"/>
  <c r="D26" i="1"/>
  <c r="E24" i="1"/>
  <c r="D24" i="1"/>
  <c r="E25" i="1"/>
  <c r="D25" i="1"/>
  <c r="D39" i="1"/>
  <c r="E26" i="1"/>
  <c r="E23" i="1"/>
  <c r="E39" i="1"/>
  <c r="D23" i="1"/>
  <c r="AL11" i="13"/>
  <c r="M24" i="1"/>
  <c r="L26" i="1"/>
  <c r="M26" i="1"/>
  <c r="L24" i="1"/>
  <c r="L34" i="1"/>
  <c r="L35" i="1"/>
  <c r="M38" i="1"/>
  <c r="L60" i="1"/>
  <c r="M37" i="1"/>
  <c r="M60" i="1"/>
  <c r="L33" i="1"/>
  <c r="M32" i="1"/>
  <c r="L36" i="1"/>
  <c r="L52" i="1" s="1"/>
  <c r="L38" i="1"/>
  <c r="L37" i="1"/>
  <c r="L32" i="1"/>
  <c r="M35" i="1"/>
  <c r="M36" i="1"/>
  <c r="M34" i="1"/>
  <c r="M33" i="1"/>
  <c r="E60" i="1"/>
  <c r="D36" i="1"/>
  <c r="D52" i="1" s="1"/>
  <c r="E36" i="1"/>
  <c r="D38" i="1"/>
  <c r="D37" i="1"/>
  <c r="E37" i="1"/>
  <c r="E32" i="1"/>
  <c r="E34" i="1"/>
  <c r="D35" i="1"/>
  <c r="E38" i="1"/>
  <c r="D32" i="1"/>
  <c r="D34" i="1"/>
  <c r="D33" i="1"/>
  <c r="E35" i="1"/>
  <c r="E33" i="1"/>
  <c r="AL71" i="13"/>
  <c r="AL70" i="2"/>
  <c r="D104" i="1"/>
  <c r="AL13" i="2"/>
  <c r="D69" i="1"/>
  <c r="AL80" i="13"/>
  <c r="AL79" i="13"/>
  <c r="AL78" i="13"/>
  <c r="AL77" i="13"/>
  <c r="AL66" i="13"/>
  <c r="AL74" i="13"/>
  <c r="AL61" i="13"/>
  <c r="AL65" i="13"/>
  <c r="AL68" i="13"/>
  <c r="AL63" i="13"/>
  <c r="AL70" i="13"/>
  <c r="AL58" i="13"/>
  <c r="AL69" i="13"/>
  <c r="AL62" i="13"/>
  <c r="AL64" i="13"/>
  <c r="AL72" i="13"/>
  <c r="AL67" i="13"/>
  <c r="AL60" i="13"/>
  <c r="AL73" i="13"/>
  <c r="AL59" i="13"/>
  <c r="L18" i="1"/>
  <c r="L16" i="1"/>
  <c r="L98" i="1"/>
  <c r="AL13" i="13"/>
  <c r="AL10" i="13"/>
  <c r="M18" i="1" s="1"/>
  <c r="AL9" i="13"/>
  <c r="M16" i="1" s="1"/>
  <c r="AL8" i="13"/>
  <c r="AL7" i="13"/>
  <c r="AL6" i="13"/>
  <c r="AL5" i="13"/>
  <c r="AL4" i="13"/>
  <c r="AM3" i="10"/>
  <c r="AL71" i="2"/>
  <c r="AL66" i="2"/>
  <c r="AL62" i="2"/>
  <c r="AL58" i="2"/>
  <c r="AL7" i="2"/>
  <c r="AL69" i="2"/>
  <c r="AL65" i="2"/>
  <c r="AL61" i="2"/>
  <c r="AL57" i="2"/>
  <c r="AL10" i="2"/>
  <c r="AL6" i="2"/>
  <c r="AL63" i="2"/>
  <c r="AL73" i="2"/>
  <c r="AL9" i="2"/>
  <c r="E16" i="1" s="1"/>
  <c r="AL64" i="2"/>
  <c r="AL4" i="2"/>
  <c r="AL54" i="2" s="1"/>
  <c r="AL60" i="2"/>
  <c r="AL8" i="2"/>
  <c r="E14" i="1" s="1"/>
  <c r="AL68" i="2"/>
  <c r="AL67" i="2"/>
  <c r="AL5" i="2"/>
  <c r="E9" i="1" s="1"/>
  <c r="AL72" i="2"/>
  <c r="AL59" i="2"/>
  <c r="D103" i="1"/>
  <c r="E12" i="1"/>
  <c r="D88" i="1"/>
  <c r="D87" i="1"/>
  <c r="E82" i="1" s="1"/>
  <c r="D90" i="1"/>
  <c r="D102" i="1"/>
  <c r="D91" i="1"/>
  <c r="D14" i="1"/>
  <c r="D149" i="1" s="1"/>
  <c r="D12" i="1"/>
  <c r="D96" i="1"/>
  <c r="D98" i="1"/>
  <c r="D93" i="1"/>
  <c r="D110" i="1"/>
  <c r="D92" i="1"/>
  <c r="D105" i="1"/>
  <c r="D9" i="1"/>
  <c r="D111" i="1"/>
  <c r="D16" i="1"/>
  <c r="D8" i="1"/>
  <c r="D74" i="1" s="1"/>
  <c r="D97" i="1"/>
  <c r="D108" i="1"/>
  <c r="D89" i="1"/>
  <c r="Q16" i="1" l="1"/>
  <c r="Q18" i="1"/>
  <c r="D68" i="1"/>
  <c r="D3" i="1"/>
  <c r="M19" i="14"/>
  <c r="M20" i="14"/>
  <c r="D19" i="20"/>
  <c r="D20" i="20"/>
  <c r="D53" i="1"/>
  <c r="L53" i="1"/>
  <c r="P42" i="1"/>
  <c r="H40" i="1"/>
  <c r="H42" i="1"/>
  <c r="P40" i="1"/>
  <c r="AM3" i="9"/>
  <c r="AN3" i="9" s="1"/>
  <c r="AO3" i="9" s="1"/>
  <c r="AP3" i="9" s="1"/>
  <c r="AQ3" i="9" s="1"/>
  <c r="AR3" i="9" s="1"/>
  <c r="E12" i="21"/>
  <c r="H65" i="20"/>
  <c r="E19" i="20"/>
  <c r="E20" i="20"/>
  <c r="M64" i="18"/>
  <c r="V21" i="1"/>
  <c r="N19" i="14"/>
  <c r="N20" i="14"/>
  <c r="M71" i="1"/>
  <c r="O71" i="1" s="1"/>
  <c r="D71" i="1"/>
  <c r="D72" i="1" s="1"/>
  <c r="N71" i="1"/>
  <c r="P39" i="1"/>
  <c r="E51" i="1"/>
  <c r="M51" i="1"/>
  <c r="H39" i="1"/>
  <c r="H25" i="1"/>
  <c r="H24" i="1"/>
  <c r="H23" i="1"/>
  <c r="H26" i="1"/>
  <c r="P24" i="1"/>
  <c r="P26" i="1"/>
  <c r="E18" i="1"/>
  <c r="D18" i="1"/>
  <c r="D20" i="1" s="1"/>
  <c r="P33" i="1"/>
  <c r="M53" i="1"/>
  <c r="P60" i="1"/>
  <c r="M52" i="1"/>
  <c r="P32" i="1"/>
  <c r="P35" i="1"/>
  <c r="P37" i="1"/>
  <c r="P38" i="1"/>
  <c r="P36" i="1"/>
  <c r="P34" i="1"/>
  <c r="E53" i="1"/>
  <c r="E52" i="1"/>
  <c r="E8" i="1"/>
  <c r="AL15" i="2"/>
  <c r="H36" i="1"/>
  <c r="H32" i="1"/>
  <c r="H33" i="1"/>
  <c r="H34" i="1"/>
  <c r="H35" i="1"/>
  <c r="H37" i="1"/>
  <c r="H38" i="1"/>
  <c r="E69" i="1"/>
  <c r="H104" i="1"/>
  <c r="E149" i="1"/>
  <c r="P16" i="1"/>
  <c r="P18" i="1"/>
  <c r="P98" i="1"/>
  <c r="D133" i="1"/>
  <c r="D134" i="1" s="1"/>
  <c r="D130" i="1"/>
  <c r="D131" i="1" s="1"/>
  <c r="D70" i="1"/>
  <c r="E133" i="1"/>
  <c r="E134" i="1" s="1"/>
  <c r="D119" i="1"/>
  <c r="D106" i="1"/>
  <c r="E106" i="1"/>
  <c r="E120" i="1" s="1"/>
  <c r="E119" i="1"/>
  <c r="H110" i="1"/>
  <c r="D112" i="1"/>
  <c r="E18" i="21" s="1"/>
  <c r="H103" i="1"/>
  <c r="H14" i="1"/>
  <c r="H105" i="1"/>
  <c r="E94" i="1"/>
  <c r="E118" i="1" s="1"/>
  <c r="E11" i="1"/>
  <c r="D11" i="1"/>
  <c r="H93" i="1"/>
  <c r="D94" i="1"/>
  <c r="D118" i="1" s="1"/>
  <c r="H87" i="1"/>
  <c r="H97" i="1"/>
  <c r="H98" i="1"/>
  <c r="D10" i="1"/>
  <c r="D65" i="1" s="1"/>
  <c r="H96" i="1"/>
  <c r="D99" i="1"/>
  <c r="H16" i="1"/>
  <c r="H12" i="1"/>
  <c r="D79" i="1"/>
  <c r="E112" i="1"/>
  <c r="H9" i="1"/>
  <c r="D78" i="1"/>
  <c r="H91" i="1"/>
  <c r="H102" i="1"/>
  <c r="H88" i="1"/>
  <c r="H89" i="1"/>
  <c r="H90" i="1"/>
  <c r="E99" i="1"/>
  <c r="H111" i="1"/>
  <c r="H108" i="1"/>
  <c r="H92" i="1"/>
  <c r="E68" i="1" l="1"/>
  <c r="E74" i="1"/>
  <c r="AS3" i="9"/>
  <c r="AT3" i="9" s="1"/>
  <c r="AU3" i="9" s="1"/>
  <c r="AV3" i="9" s="1"/>
  <c r="AW3" i="9" s="1"/>
  <c r="AX3" i="9" s="1"/>
  <c r="AY3" i="9" s="1"/>
  <c r="AZ3" i="9" s="1"/>
  <c r="BA3" i="9" s="1"/>
  <c r="BB3" i="9" s="1"/>
  <c r="BC3" i="9" s="1"/>
  <c r="BD3" i="9" s="1"/>
  <c r="BE3" i="9" s="1"/>
  <c r="AK2" i="10" s="1"/>
  <c r="F3" i="1"/>
  <c r="G3" i="1"/>
  <c r="AJ2" i="10"/>
  <c r="AL2" i="11"/>
  <c r="AL2" i="7"/>
  <c r="AJ2" i="6"/>
  <c r="AJ67" i="6" s="1"/>
  <c r="AI2" i="6"/>
  <c r="AI67" i="6" s="1"/>
  <c r="AM2" i="7"/>
  <c r="AM2" i="11"/>
  <c r="AM125" i="11" s="1"/>
  <c r="AK2" i="6"/>
  <c r="AK67" i="6" s="1"/>
  <c r="E2" i="6"/>
  <c r="D2" i="7"/>
  <c r="E2" i="11"/>
  <c r="E2" i="10"/>
  <c r="E76" i="10" s="1"/>
  <c r="D2" i="10"/>
  <c r="E2" i="7"/>
  <c r="D2" i="11"/>
  <c r="G2" i="7"/>
  <c r="F2" i="7"/>
  <c r="D2" i="6"/>
  <c r="F2" i="10"/>
  <c r="F75" i="10" s="1"/>
  <c r="G2" i="11"/>
  <c r="G112" i="11" s="1"/>
  <c r="F2" i="11"/>
  <c r="H2" i="7"/>
  <c r="G2" i="10"/>
  <c r="G73" i="10" s="1"/>
  <c r="F2" i="6"/>
  <c r="I2" i="6"/>
  <c r="J2" i="11"/>
  <c r="J112" i="11" s="1"/>
  <c r="I2" i="7"/>
  <c r="G2" i="6"/>
  <c r="I2" i="11"/>
  <c r="I25" i="11" s="1"/>
  <c r="H2" i="10"/>
  <c r="H2" i="11"/>
  <c r="J2" i="7"/>
  <c r="H2" i="6"/>
  <c r="I2" i="10"/>
  <c r="K2" i="11"/>
  <c r="L2" i="11"/>
  <c r="L10" i="11" s="1"/>
  <c r="J2" i="10"/>
  <c r="K2" i="7"/>
  <c r="L2" i="10"/>
  <c r="J2" i="6"/>
  <c r="K2" i="10"/>
  <c r="M2" i="11"/>
  <c r="L2" i="7"/>
  <c r="N2" i="11"/>
  <c r="N112" i="11" s="1"/>
  <c r="M2" i="7"/>
  <c r="K2" i="6"/>
  <c r="N2" i="10"/>
  <c r="N75" i="10" s="1"/>
  <c r="O2" i="7"/>
  <c r="L2" i="6"/>
  <c r="N2" i="7"/>
  <c r="M2" i="10"/>
  <c r="N2" i="6"/>
  <c r="P2" i="10"/>
  <c r="M2" i="6"/>
  <c r="P2" i="11"/>
  <c r="P44" i="11" s="1"/>
  <c r="O2" i="11"/>
  <c r="O112" i="11" s="1"/>
  <c r="P2" i="7"/>
  <c r="O2" i="10"/>
  <c r="O76" i="10" s="1"/>
  <c r="Q2" i="11"/>
  <c r="Q2" i="7"/>
  <c r="R2" i="7"/>
  <c r="R2" i="11"/>
  <c r="R112" i="11" s="1"/>
  <c r="S2" i="11"/>
  <c r="S44" i="11" s="1"/>
  <c r="O2" i="6"/>
  <c r="Q2" i="6"/>
  <c r="Q2" i="10"/>
  <c r="P2" i="6"/>
  <c r="U2" i="11"/>
  <c r="T2" i="7"/>
  <c r="R2" i="6"/>
  <c r="T2" i="10"/>
  <c r="T76" i="10" s="1"/>
  <c r="R2" i="10"/>
  <c r="R74" i="10" s="1"/>
  <c r="T2" i="11"/>
  <c r="S2" i="7"/>
  <c r="U2" i="7"/>
  <c r="S2" i="10"/>
  <c r="X2" i="11"/>
  <c r="V2" i="11"/>
  <c r="U2" i="10"/>
  <c r="U76" i="10" s="1"/>
  <c r="T2" i="6"/>
  <c r="U2" i="6"/>
  <c r="V2" i="7"/>
  <c r="W2" i="11"/>
  <c r="W2" i="7"/>
  <c r="S2" i="6"/>
  <c r="V2" i="10"/>
  <c r="V76" i="10" s="1"/>
  <c r="V2" i="6"/>
  <c r="W2" i="10"/>
  <c r="X2" i="7"/>
  <c r="Y2" i="7"/>
  <c r="Y2" i="11"/>
  <c r="X2" i="10"/>
  <c r="X73" i="10" s="1"/>
  <c r="Z2" i="11"/>
  <c r="AA2" i="11"/>
  <c r="Y2" i="10"/>
  <c r="Y73" i="10" s="1"/>
  <c r="W2" i="6"/>
  <c r="AC2" i="11"/>
  <c r="X2" i="6"/>
  <c r="X40" i="6" s="1"/>
  <c r="Y2" i="6"/>
  <c r="AB2" i="11"/>
  <c r="AA2" i="6"/>
  <c r="AA2" i="10"/>
  <c r="AA2" i="7"/>
  <c r="AB2" i="7"/>
  <c r="Z2" i="7"/>
  <c r="AC2" i="7"/>
  <c r="AB2" i="10"/>
  <c r="AB74" i="10" s="1"/>
  <c r="Z2" i="10"/>
  <c r="Z76" i="10" s="1"/>
  <c r="Z2" i="6"/>
  <c r="AD2" i="11"/>
  <c r="AD10" i="11" s="1"/>
  <c r="AB2" i="6"/>
  <c r="AB67" i="6" s="1"/>
  <c r="AE2" i="11"/>
  <c r="AC2" i="10"/>
  <c r="AC75" i="10" s="1"/>
  <c r="AD2" i="7"/>
  <c r="AD2" i="10"/>
  <c r="AD74" i="10" s="1"/>
  <c r="AF2" i="11"/>
  <c r="AF24" i="11" s="1"/>
  <c r="AC2" i="6"/>
  <c r="AC67" i="6" s="1"/>
  <c r="AG2" i="7"/>
  <c r="AE2" i="7"/>
  <c r="AH2" i="11"/>
  <c r="AF2" i="7"/>
  <c r="AE2" i="6"/>
  <c r="AE67" i="6" s="1"/>
  <c r="AF2" i="10"/>
  <c r="AE2" i="10"/>
  <c r="AG2" i="10"/>
  <c r="AG63" i="10" s="1"/>
  <c r="AG2" i="11"/>
  <c r="AH2" i="7"/>
  <c r="AD2" i="6"/>
  <c r="AD42" i="6" s="1"/>
  <c r="AH2" i="10"/>
  <c r="AJ2" i="11"/>
  <c r="AG2" i="6"/>
  <c r="AG67" i="6" s="1"/>
  <c r="AI2" i="10"/>
  <c r="AI74" i="10" s="1"/>
  <c r="AJ2" i="7"/>
  <c r="AF2" i="6"/>
  <c r="AF61" i="6" s="1"/>
  <c r="AI2" i="7"/>
  <c r="AI2" i="11"/>
  <c r="AK2" i="11"/>
  <c r="AH2" i="6"/>
  <c r="AL2" i="6"/>
  <c r="AM2" i="6"/>
  <c r="AM67" i="6" s="1"/>
  <c r="AL2" i="10"/>
  <c r="AL111" i="10" s="1"/>
  <c r="D120" i="1"/>
  <c r="E17" i="21"/>
  <c r="J10" i="11"/>
  <c r="J44" i="11"/>
  <c r="G10" i="11"/>
  <c r="D44" i="11"/>
  <c r="N44" i="11"/>
  <c r="AL61" i="10"/>
  <c r="AL106" i="10"/>
  <c r="AL107" i="10" s="1"/>
  <c r="AL101" i="10"/>
  <c r="AL8" i="10"/>
  <c r="AL92" i="10"/>
  <c r="AK76" i="10"/>
  <c r="AK75" i="10"/>
  <c r="AK74" i="10"/>
  <c r="AK73" i="10"/>
  <c r="V73" i="10"/>
  <c r="V75" i="10"/>
  <c r="V74" i="10"/>
  <c r="J73" i="10"/>
  <c r="J74" i="10"/>
  <c r="F74" i="10"/>
  <c r="F73" i="10"/>
  <c r="F76" i="10"/>
  <c r="G19" i="20"/>
  <c r="F19" i="20"/>
  <c r="O73" i="10"/>
  <c r="O75" i="10"/>
  <c r="O74" i="10"/>
  <c r="M65" i="20"/>
  <c r="D73" i="10"/>
  <c r="D76" i="10"/>
  <c r="D75" i="10"/>
  <c r="D74" i="10"/>
  <c r="W73" i="10"/>
  <c r="W76" i="10"/>
  <c r="W74" i="10"/>
  <c r="AJ73" i="10"/>
  <c r="AJ76" i="10"/>
  <c r="AJ75" i="10"/>
  <c r="AC76" i="10"/>
  <c r="U73" i="10"/>
  <c r="U75" i="10"/>
  <c r="U74" i="10"/>
  <c r="P73" i="10"/>
  <c r="P76" i="10"/>
  <c r="P75" i="10"/>
  <c r="P74" i="10"/>
  <c r="I73" i="10"/>
  <c r="I76" i="10"/>
  <c r="I75" i="10"/>
  <c r="I74" i="10"/>
  <c r="Y9" i="7"/>
  <c r="Y19" i="7"/>
  <c r="Y21" i="7" s="1"/>
  <c r="Y27" i="7"/>
  <c r="Y107" i="7"/>
  <c r="Y119" i="7"/>
  <c r="AE76" i="10"/>
  <c r="AE74" i="10"/>
  <c r="M73" i="10"/>
  <c r="M76" i="10"/>
  <c r="M75" i="10"/>
  <c r="M74" i="10"/>
  <c r="AG75" i="10"/>
  <c r="X7" i="6"/>
  <c r="X123" i="6"/>
  <c r="X29" i="6"/>
  <c r="X106" i="6"/>
  <c r="X107" i="6" s="1"/>
  <c r="X88" i="6"/>
  <c r="X78" i="6"/>
  <c r="X41" i="6"/>
  <c r="X54" i="6"/>
  <c r="X8" i="6"/>
  <c r="X43" i="6"/>
  <c r="X75" i="6"/>
  <c r="X39" i="6"/>
  <c r="X92" i="6"/>
  <c r="X94" i="6" s="1"/>
  <c r="X9" i="6"/>
  <c r="X17" i="6"/>
  <c r="X98" i="6"/>
  <c r="X38" i="6"/>
  <c r="X36" i="6"/>
  <c r="X53" i="6"/>
  <c r="X85" i="6"/>
  <c r="X16" i="6"/>
  <c r="X19" i="6"/>
  <c r="X15" i="6"/>
  <c r="X56" i="6"/>
  <c r="X74" i="6"/>
  <c r="X63" i="6"/>
  <c r="X18" i="6"/>
  <c r="X68" i="6"/>
  <c r="X79" i="6"/>
  <c r="X102" i="6"/>
  <c r="X103" i="6" s="1"/>
  <c r="X14" i="6"/>
  <c r="X62" i="6"/>
  <c r="X110" i="6"/>
  <c r="X76" i="6"/>
  <c r="X87" i="6"/>
  <c r="X122" i="6"/>
  <c r="X80" i="6"/>
  <c r="X55" i="6"/>
  <c r="X64" i="6"/>
  <c r="X69" i="6"/>
  <c r="X42" i="6"/>
  <c r="X37" i="6"/>
  <c r="X66" i="6"/>
  <c r="X77" i="6"/>
  <c r="X48" i="6"/>
  <c r="X61" i="6"/>
  <c r="X49" i="6"/>
  <c r="X86" i="6"/>
  <c r="X65" i="6"/>
  <c r="X28" i="6"/>
  <c r="X97" i="6"/>
  <c r="X6" i="6"/>
  <c r="AF73" i="10"/>
  <c r="AF75" i="10"/>
  <c r="AF74" i="10"/>
  <c r="AF76" i="10"/>
  <c r="S73" i="10"/>
  <c r="S76" i="10"/>
  <c r="S75" i="10"/>
  <c r="S74" i="10"/>
  <c r="N76" i="10"/>
  <c r="N74" i="10"/>
  <c r="L73" i="10"/>
  <c r="L76" i="10"/>
  <c r="L75" i="10"/>
  <c r="L74" i="10"/>
  <c r="AD76" i="10"/>
  <c r="AD73" i="10"/>
  <c r="AD75" i="10"/>
  <c r="Z75" i="10"/>
  <c r="Z73" i="10"/>
  <c r="H73" i="10"/>
  <c r="H76" i="10"/>
  <c r="H75" i="10"/>
  <c r="H74" i="10"/>
  <c r="G74" i="10"/>
  <c r="AL110" i="10"/>
  <c r="AL75" i="10"/>
  <c r="AL73" i="10"/>
  <c r="AL74" i="10"/>
  <c r="AL76" i="10"/>
  <c r="K73" i="10"/>
  <c r="K76" i="10"/>
  <c r="K75" i="10"/>
  <c r="K74" i="10"/>
  <c r="G20" i="20"/>
  <c r="F20" i="20"/>
  <c r="AL92" i="6"/>
  <c r="AL94" i="6" s="1"/>
  <c r="AG52" i="7"/>
  <c r="AG32" i="7"/>
  <c r="AG34" i="7" s="1"/>
  <c r="AG125" i="7"/>
  <c r="AG90" i="7"/>
  <c r="AG38" i="7"/>
  <c r="AG82" i="7"/>
  <c r="AG85" i="7" s="1"/>
  <c r="AG25" i="7"/>
  <c r="AL41" i="6"/>
  <c r="AG24" i="7"/>
  <c r="AG109" i="7"/>
  <c r="AG107" i="7"/>
  <c r="AG118" i="7"/>
  <c r="AG27" i="10"/>
  <c r="AG16" i="10"/>
  <c r="AG35" i="10"/>
  <c r="AL36" i="6"/>
  <c r="AG9" i="7"/>
  <c r="AG27" i="7"/>
  <c r="AG88" i="7"/>
  <c r="AG64" i="10"/>
  <c r="AG68" i="10"/>
  <c r="AG97" i="10"/>
  <c r="AG98" i="10" s="1"/>
  <c r="AL74" i="6"/>
  <c r="AG91" i="7"/>
  <c r="AG75" i="7"/>
  <c r="AG77" i="7" s="1"/>
  <c r="AG79" i="7" s="1"/>
  <c r="AL6" i="10"/>
  <c r="AG60" i="10"/>
  <c r="AL16" i="6"/>
  <c r="AG61" i="7"/>
  <c r="AG117" i="7"/>
  <c r="AG105" i="7"/>
  <c r="AL26" i="10"/>
  <c r="AG8" i="10"/>
  <c r="AG84" i="10"/>
  <c r="AG26" i="10"/>
  <c r="AL66" i="6"/>
  <c r="AG108" i="7"/>
  <c r="AG126" i="7"/>
  <c r="AG60" i="7"/>
  <c r="AH98" i="6"/>
  <c r="AL7" i="10"/>
  <c r="AG110" i="10"/>
  <c r="AG59" i="10"/>
  <c r="AL64" i="6"/>
  <c r="AG6" i="7"/>
  <c r="AG106" i="7"/>
  <c r="AG37" i="7"/>
  <c r="AH49" i="6"/>
  <c r="AG119" i="7"/>
  <c r="AG9" i="10"/>
  <c r="AG123" i="10"/>
  <c r="AG102" i="10"/>
  <c r="AL65" i="10"/>
  <c r="AG59" i="7"/>
  <c r="AG92" i="10"/>
  <c r="AL14" i="10"/>
  <c r="AG52" i="10"/>
  <c r="AG91" i="10"/>
  <c r="AL6" i="6"/>
  <c r="AG54" i="7"/>
  <c r="AG89" i="7"/>
  <c r="AG14" i="7"/>
  <c r="AG16" i="7" s="1"/>
  <c r="AH61" i="6"/>
  <c r="AL87" i="6"/>
  <c r="AG43" i="7"/>
  <c r="AG45" i="7" s="1"/>
  <c r="AL28" i="6"/>
  <c r="AG92" i="7"/>
  <c r="AG26" i="7"/>
  <c r="AL77" i="6"/>
  <c r="AG99" i="7"/>
  <c r="AG19" i="7"/>
  <c r="AG21" i="7" s="1"/>
  <c r="AG124" i="7"/>
  <c r="AG51" i="7"/>
  <c r="AG51" i="10"/>
  <c r="AL85" i="10"/>
  <c r="AL52" i="10"/>
  <c r="AG122" i="10"/>
  <c r="AL18" i="6"/>
  <c r="AG127" i="7"/>
  <c r="AG98" i="7"/>
  <c r="AL123" i="10"/>
  <c r="AL9" i="10"/>
  <c r="AL27" i="10"/>
  <c r="AL16" i="10"/>
  <c r="AL66" i="10"/>
  <c r="AL84" i="10"/>
  <c r="AL62" i="10"/>
  <c r="AL91" i="10"/>
  <c r="AL46" i="10"/>
  <c r="AL48" i="10" s="1"/>
  <c r="AL68" i="10"/>
  <c r="AL51" i="10"/>
  <c r="AL102" i="10"/>
  <c r="AL60" i="10"/>
  <c r="AL15" i="10"/>
  <c r="AL59" i="10"/>
  <c r="AL34" i="10"/>
  <c r="AL63" i="10"/>
  <c r="AL35" i="10"/>
  <c r="AH86" i="6"/>
  <c r="AH68" i="6"/>
  <c r="AH87" i="6"/>
  <c r="AH65" i="6"/>
  <c r="AH106" i="6"/>
  <c r="AH107" i="6" s="1"/>
  <c r="AH48" i="6"/>
  <c r="AH8" i="6"/>
  <c r="AG33" i="13" s="1"/>
  <c r="AH28" i="6"/>
  <c r="AH17" i="6"/>
  <c r="AH37" i="6"/>
  <c r="AH85" i="6"/>
  <c r="AH102" i="6"/>
  <c r="AH103" i="6" s="1"/>
  <c r="AH40" i="6"/>
  <c r="AH80" i="6"/>
  <c r="AH56" i="6"/>
  <c r="AH110" i="6"/>
  <c r="AH112" i="6" s="1"/>
  <c r="E61" i="1"/>
  <c r="AL76" i="6"/>
  <c r="AL110" i="6"/>
  <c r="AL112" i="6" s="1"/>
  <c r="AL43" i="6"/>
  <c r="AL7" i="6"/>
  <c r="AK34" i="2" s="1"/>
  <c r="AL48" i="6"/>
  <c r="AL78" i="6"/>
  <c r="AL56" i="6"/>
  <c r="AL37" i="6"/>
  <c r="AL40" i="6"/>
  <c r="AL63" i="6"/>
  <c r="AL102" i="6"/>
  <c r="AL103" i="6" s="1"/>
  <c r="AL68" i="6"/>
  <c r="AL49" i="6"/>
  <c r="AL61" i="6"/>
  <c r="AL122" i="6"/>
  <c r="AL39" i="6"/>
  <c r="AL106" i="6"/>
  <c r="AL107" i="6" s="1"/>
  <c r="AL79" i="6"/>
  <c r="AL8" i="6"/>
  <c r="AL19" i="6"/>
  <c r="AL80" i="6"/>
  <c r="AL62" i="6"/>
  <c r="AL14" i="6"/>
  <c r="AL69" i="6"/>
  <c r="AL42" i="6"/>
  <c r="AL123" i="6"/>
  <c r="AL55" i="6"/>
  <c r="AL15" i="6"/>
  <c r="AL97" i="6"/>
  <c r="AL38" i="6"/>
  <c r="AL65" i="6"/>
  <c r="AL29" i="6"/>
  <c r="AL53" i="6"/>
  <c r="AL17" i="6"/>
  <c r="AL98" i="6"/>
  <c r="AL54" i="6"/>
  <c r="AL85" i="6"/>
  <c r="AL86" i="6"/>
  <c r="AL75" i="6"/>
  <c r="AL88" i="6"/>
  <c r="AH39" i="6"/>
  <c r="AH43" i="6"/>
  <c r="AH97" i="6"/>
  <c r="AH78" i="6"/>
  <c r="AH7" i="6"/>
  <c r="AG32" i="13" s="1"/>
  <c r="AH75" i="6"/>
  <c r="AH38" i="6"/>
  <c r="AH15" i="6"/>
  <c r="AH14" i="6"/>
  <c r="AH63" i="6"/>
  <c r="AH41" i="6"/>
  <c r="AH92" i="6"/>
  <c r="AH94" i="6" s="1"/>
  <c r="AH55" i="6"/>
  <c r="AH79" i="6"/>
  <c r="AH18" i="6"/>
  <c r="AH69" i="6"/>
  <c r="AH6" i="6"/>
  <c r="AH88" i="6"/>
  <c r="AH62" i="6"/>
  <c r="AH36" i="6"/>
  <c r="AH66" i="6"/>
  <c r="AH64" i="6"/>
  <c r="AH53" i="6"/>
  <c r="AH29" i="6"/>
  <c r="AH42" i="6"/>
  <c r="AH54" i="6"/>
  <c r="AH19" i="6"/>
  <c r="AH16" i="6"/>
  <c r="AH122" i="6"/>
  <c r="AH77" i="6"/>
  <c r="AH9" i="6"/>
  <c r="AG33" i="2" s="1"/>
  <c r="AH74" i="6"/>
  <c r="AH123" i="6"/>
  <c r="AE27" i="7"/>
  <c r="AE125" i="7"/>
  <c r="AE75" i="7"/>
  <c r="AE77" i="7" s="1"/>
  <c r="AE19" i="7"/>
  <c r="AE21" i="7" s="1"/>
  <c r="AE118" i="7"/>
  <c r="AE108" i="7"/>
  <c r="AE53" i="7"/>
  <c r="AE127" i="7"/>
  <c r="AE89" i="7"/>
  <c r="AE61" i="7"/>
  <c r="AE105" i="7"/>
  <c r="AE59" i="7"/>
  <c r="AE52" i="7"/>
  <c r="AE43" i="7"/>
  <c r="AE45" i="7" s="1"/>
  <c r="AD64" i="13" s="1"/>
  <c r="AE106" i="7"/>
  <c r="AE88" i="7"/>
  <c r="AE26" i="7"/>
  <c r="AE51" i="7"/>
  <c r="AE24" i="7"/>
  <c r="AH68" i="10"/>
  <c r="AH92" i="10"/>
  <c r="AH66" i="10"/>
  <c r="AH46" i="10"/>
  <c r="AH48" i="10" s="1"/>
  <c r="AH16" i="10"/>
  <c r="AH27" i="10"/>
  <c r="AH6" i="10"/>
  <c r="AH61" i="10"/>
  <c r="AH14" i="10"/>
  <c r="AH110" i="10"/>
  <c r="AH123" i="10"/>
  <c r="AH35" i="10"/>
  <c r="AH97" i="10"/>
  <c r="AH98" i="10" s="1"/>
  <c r="AH91" i="10"/>
  <c r="AH102" i="10"/>
  <c r="AE25" i="7"/>
  <c r="AE124" i="7"/>
  <c r="AE99" i="7"/>
  <c r="AH60" i="10"/>
  <c r="AH84" i="10"/>
  <c r="AH85" i="10"/>
  <c r="AE117" i="7"/>
  <c r="AE126" i="7"/>
  <c r="AE32" i="7"/>
  <c r="AE34" i="7" s="1"/>
  <c r="AH59" i="10"/>
  <c r="AH101" i="10"/>
  <c r="AH51" i="10"/>
  <c r="AH64" i="10"/>
  <c r="AE98" i="7"/>
  <c r="AE60" i="7"/>
  <c r="AE119" i="7"/>
  <c r="AH106" i="10"/>
  <c r="AH107" i="10" s="1"/>
  <c r="AH7" i="10"/>
  <c r="AH65" i="10"/>
  <c r="AE54" i="7"/>
  <c r="AE9" i="7"/>
  <c r="AE92" i="7"/>
  <c r="AH122" i="10"/>
  <c r="AH8" i="10"/>
  <c r="AE6" i="7"/>
  <c r="AE91" i="7"/>
  <c r="AE107" i="7"/>
  <c r="AH111" i="10"/>
  <c r="AH52" i="10"/>
  <c r="AH15" i="10"/>
  <c r="AH26" i="10"/>
  <c r="AH63" i="10"/>
  <c r="AE90" i="7"/>
  <c r="AE37" i="7"/>
  <c r="AE109" i="7"/>
  <c r="AH34" i="10"/>
  <c r="AH62" i="10"/>
  <c r="AE82" i="7"/>
  <c r="AE85" i="7" s="1"/>
  <c r="AE14" i="7"/>
  <c r="AE16" i="7" s="1"/>
  <c r="V65" i="14"/>
  <c r="AM88" i="7"/>
  <c r="AM92" i="7"/>
  <c r="AM53" i="7"/>
  <c r="AM43" i="7"/>
  <c r="AM45" i="7" s="1"/>
  <c r="AM91" i="7"/>
  <c r="AM59" i="7"/>
  <c r="AM117" i="7"/>
  <c r="AM82" i="7"/>
  <c r="AM85" i="7" s="1"/>
  <c r="AM89" i="7"/>
  <c r="AM14" i="7"/>
  <c r="AM16" i="7" s="1"/>
  <c r="AM99" i="7"/>
  <c r="AM27" i="7"/>
  <c r="AM19" i="7"/>
  <c r="AM21" i="7" s="1"/>
  <c r="AM107" i="7"/>
  <c r="AM61" i="7"/>
  <c r="AM105" i="7"/>
  <c r="AM118" i="7"/>
  <c r="AM125" i="7"/>
  <c r="AM90" i="7"/>
  <c r="AM60" i="7"/>
  <c r="AM6" i="7"/>
  <c r="AM106" i="7"/>
  <c r="AM32" i="7"/>
  <c r="AM34" i="7" s="1"/>
  <c r="AM124" i="7"/>
  <c r="AM54" i="7"/>
  <c r="AM109" i="7"/>
  <c r="AM75" i="7"/>
  <c r="AM77" i="7" s="1"/>
  <c r="AM79" i="7" s="1"/>
  <c r="AM126" i="7"/>
  <c r="AM9" i="7"/>
  <c r="AM108" i="7"/>
  <c r="AM25" i="7"/>
  <c r="AM24" i="7"/>
  <c r="AM37" i="7"/>
  <c r="AM52" i="7"/>
  <c r="AM51" i="7"/>
  <c r="AM98" i="7"/>
  <c r="AM127" i="7"/>
  <c r="AM26" i="7"/>
  <c r="AM119" i="7"/>
  <c r="AM38" i="7"/>
  <c r="AG40" i="6"/>
  <c r="AG78" i="6"/>
  <c r="AG56" i="6"/>
  <c r="AG7" i="6"/>
  <c r="AG69" i="6"/>
  <c r="AG62" i="6"/>
  <c r="AG6" i="6"/>
  <c r="AG80" i="6"/>
  <c r="AG16" i="6"/>
  <c r="AG43" i="6"/>
  <c r="AG77" i="6"/>
  <c r="AG19" i="6"/>
  <c r="AG123" i="6"/>
  <c r="AG74" i="6"/>
  <c r="AG18" i="6"/>
  <c r="AG65" i="6"/>
  <c r="AG88" i="6"/>
  <c r="AG63" i="6"/>
  <c r="AG39" i="6"/>
  <c r="AG79" i="6"/>
  <c r="AG42" i="6"/>
  <c r="AG92" i="6"/>
  <c r="AG94" i="6" s="1"/>
  <c r="AG106" i="6"/>
  <c r="AG107" i="6" s="1"/>
  <c r="AG49" i="6"/>
  <c r="AG9" i="6"/>
  <c r="AG15" i="6"/>
  <c r="AG76" i="6"/>
  <c r="AG68" i="6"/>
  <c r="AG36" i="6"/>
  <c r="AG14" i="6"/>
  <c r="AG97" i="6"/>
  <c r="AG87" i="6"/>
  <c r="AG66" i="6"/>
  <c r="AG54" i="6"/>
  <c r="AG85" i="6"/>
  <c r="AG61" i="6"/>
  <c r="AG41" i="6"/>
  <c r="AG98" i="6"/>
  <c r="AG37" i="6"/>
  <c r="AG8" i="6"/>
  <c r="AG53" i="6"/>
  <c r="AG86" i="6"/>
  <c r="AG102" i="6"/>
  <c r="AG103" i="6" s="1"/>
  <c r="AG38" i="6"/>
  <c r="AG64" i="6"/>
  <c r="AG29" i="6"/>
  <c r="AG110" i="6"/>
  <c r="AG112" i="6" s="1"/>
  <c r="AG48" i="6"/>
  <c r="AG17" i="6"/>
  <c r="AG55" i="6"/>
  <c r="AG28" i="6"/>
  <c r="AG122" i="6"/>
  <c r="AG75" i="6"/>
  <c r="AF9" i="11"/>
  <c r="AF25" i="11"/>
  <c r="AF132" i="11"/>
  <c r="AF104" i="11"/>
  <c r="AF107" i="11" s="1"/>
  <c r="AF43" i="11"/>
  <c r="AF124" i="11"/>
  <c r="AF17" i="11"/>
  <c r="AF11" i="11"/>
  <c r="AF57" i="11"/>
  <c r="AF18" i="11"/>
  <c r="AF111" i="11"/>
  <c r="I123" i="11"/>
  <c r="I17" i="11"/>
  <c r="I125" i="11"/>
  <c r="I38" i="11"/>
  <c r="I40" i="11" s="1"/>
  <c r="I58" i="11"/>
  <c r="I9" i="11"/>
  <c r="I7" i="11"/>
  <c r="I6" i="11"/>
  <c r="I124" i="11"/>
  <c r="I11" i="11"/>
  <c r="I131" i="11"/>
  <c r="I111" i="11"/>
  <c r="I132" i="11"/>
  <c r="I18" i="11"/>
  <c r="I8" i="11"/>
  <c r="I24" i="11"/>
  <c r="I30" i="11"/>
  <c r="I35" i="11" s="1"/>
  <c r="I104" i="11"/>
  <c r="I107" i="11" s="1"/>
  <c r="AK84" i="10"/>
  <c r="AK46" i="10"/>
  <c r="AK48" i="10" s="1"/>
  <c r="AK63" i="10"/>
  <c r="AK59" i="10"/>
  <c r="AK122" i="10"/>
  <c r="AK66" i="10"/>
  <c r="AK102" i="10"/>
  <c r="AK85" i="10"/>
  <c r="AK8" i="10"/>
  <c r="AK34" i="10"/>
  <c r="AK97" i="10"/>
  <c r="AK98" i="10" s="1"/>
  <c r="AK35" i="10"/>
  <c r="AK92" i="10"/>
  <c r="AK14" i="10"/>
  <c r="AK61" i="10"/>
  <c r="AK64" i="10"/>
  <c r="AK62" i="10"/>
  <c r="AK9" i="10"/>
  <c r="AK52" i="10"/>
  <c r="AK7" i="10"/>
  <c r="AK91" i="10"/>
  <c r="AK65" i="10"/>
  <c r="AK101" i="10"/>
  <c r="AK6" i="10"/>
  <c r="AK106" i="10"/>
  <c r="AK107" i="10" s="1"/>
  <c r="AK111" i="10"/>
  <c r="AK15" i="10"/>
  <c r="AK110" i="10"/>
  <c r="AK60" i="10"/>
  <c r="AK51" i="10"/>
  <c r="AK68" i="10"/>
  <c r="AK123" i="10"/>
  <c r="AK27" i="10"/>
  <c r="AK16" i="10"/>
  <c r="AK26" i="10"/>
  <c r="AD29" i="6"/>
  <c r="AD102" i="6"/>
  <c r="AD103" i="6" s="1"/>
  <c r="AD39" i="6"/>
  <c r="AD92" i="6"/>
  <c r="AD94" i="6" s="1"/>
  <c r="AD14" i="6"/>
  <c r="AD41" i="6"/>
  <c r="AD19" i="6"/>
  <c r="AD106" i="6"/>
  <c r="AD107" i="6" s="1"/>
  <c r="AD74" i="6"/>
  <c r="AD66" i="6"/>
  <c r="AD64" i="6"/>
  <c r="AD62" i="6"/>
  <c r="AD76" i="6"/>
  <c r="AD87" i="6"/>
  <c r="AD78" i="6"/>
  <c r="AD69" i="6"/>
  <c r="AD97" i="6"/>
  <c r="AD37" i="6"/>
  <c r="AD75" i="6"/>
  <c r="AD61" i="6"/>
  <c r="AD68" i="6"/>
  <c r="AD79" i="6"/>
  <c r="AD86" i="6"/>
  <c r="AB61" i="7"/>
  <c r="AB59" i="7"/>
  <c r="AB88" i="7"/>
  <c r="AB90" i="7"/>
  <c r="AB108" i="7"/>
  <c r="AB99" i="7"/>
  <c r="AB19" i="7"/>
  <c r="AB21" i="7" s="1"/>
  <c r="AB52" i="7"/>
  <c r="AB26" i="7"/>
  <c r="AB6" i="7"/>
  <c r="AB43" i="7"/>
  <c r="AB45" i="7" s="1"/>
  <c r="AA64" i="13" s="1"/>
  <c r="AB75" i="7"/>
  <c r="AB77" i="7" s="1"/>
  <c r="AB89" i="7"/>
  <c r="AB109" i="7"/>
  <c r="AB127" i="7"/>
  <c r="AB91" i="7"/>
  <c r="AB53" i="7"/>
  <c r="AB106" i="7"/>
  <c r="AB126" i="7"/>
  <c r="AB51" i="7"/>
  <c r="AB27" i="7"/>
  <c r="AB92" i="7"/>
  <c r="AB24" i="7"/>
  <c r="AB32" i="7"/>
  <c r="AB34" i="7" s="1"/>
  <c r="AB117" i="7"/>
  <c r="AB124" i="7"/>
  <c r="AB54" i="7"/>
  <c r="AB118" i="7"/>
  <c r="AB38" i="7"/>
  <c r="AB9" i="7"/>
  <c r="AB119" i="7"/>
  <c r="AB125" i="7"/>
  <c r="AB60" i="7"/>
  <c r="AB25" i="7"/>
  <c r="AB98" i="7"/>
  <c r="AB105" i="7"/>
  <c r="AB107" i="7"/>
  <c r="AB82" i="7"/>
  <c r="AB85" i="7" s="1"/>
  <c r="AB14" i="7"/>
  <c r="AB16" i="7" s="1"/>
  <c r="AB37" i="7"/>
  <c r="AB38" i="11"/>
  <c r="AB40" i="11" s="1"/>
  <c r="AB133" i="11"/>
  <c r="AB88" i="11"/>
  <c r="AB91" i="11" s="1"/>
  <c r="AB17" i="11"/>
  <c r="AB7" i="11"/>
  <c r="AB124" i="11"/>
  <c r="AB9" i="11"/>
  <c r="AB132" i="11"/>
  <c r="AB123" i="11"/>
  <c r="AB6" i="11"/>
  <c r="AB104" i="11"/>
  <c r="AB107" i="11" s="1"/>
  <c r="AB8" i="11"/>
  <c r="AB24" i="11"/>
  <c r="AB19" i="11"/>
  <c r="AB30" i="11"/>
  <c r="AB35" i="11" s="1"/>
  <c r="AB111" i="11"/>
  <c r="AB125" i="11"/>
  <c r="AB131" i="11"/>
  <c r="AB18" i="11"/>
  <c r="AB11" i="11"/>
  <c r="AB25" i="11"/>
  <c r="AB58" i="11"/>
  <c r="AB57" i="11"/>
  <c r="T90" i="7"/>
  <c r="T99" i="7"/>
  <c r="T60" i="7"/>
  <c r="T54" i="7"/>
  <c r="T117" i="7"/>
  <c r="T75" i="7"/>
  <c r="T77" i="7" s="1"/>
  <c r="T19" i="7"/>
  <c r="T21" i="7" s="1"/>
  <c r="T119" i="7"/>
  <c r="T91" i="7"/>
  <c r="T26" i="7"/>
  <c r="T109" i="7"/>
  <c r="T108" i="7"/>
  <c r="T52" i="7"/>
  <c r="T53" i="7"/>
  <c r="T107" i="7"/>
  <c r="T59" i="7"/>
  <c r="T24" i="7"/>
  <c r="T61" i="7"/>
  <c r="T27" i="7"/>
  <c r="T14" i="7"/>
  <c r="T16" i="7" s="1"/>
  <c r="T118" i="7"/>
  <c r="T9" i="7"/>
  <c r="T127" i="7"/>
  <c r="T38" i="7"/>
  <c r="T37" i="7"/>
  <c r="T124" i="7"/>
  <c r="T51" i="7"/>
  <c r="T92" i="7"/>
  <c r="T105" i="7"/>
  <c r="T6" i="7"/>
  <c r="T126" i="7"/>
  <c r="T125" i="7"/>
  <c r="T98" i="7"/>
  <c r="T106" i="7"/>
  <c r="T25" i="7"/>
  <c r="T82" i="7"/>
  <c r="T85" i="7" s="1"/>
  <c r="T43" i="7"/>
  <c r="T45" i="7" s="1"/>
  <c r="S64" i="13" s="1"/>
  <c r="T88" i="7"/>
  <c r="T32" i="7"/>
  <c r="T34" i="7" s="1"/>
  <c r="T89" i="7"/>
  <c r="R40" i="6"/>
  <c r="R39" i="6"/>
  <c r="R80" i="6"/>
  <c r="R62" i="6"/>
  <c r="R41" i="6"/>
  <c r="R122" i="6"/>
  <c r="R48" i="6"/>
  <c r="R37" i="6"/>
  <c r="R65" i="6"/>
  <c r="R78" i="6"/>
  <c r="R74" i="6"/>
  <c r="R43" i="6"/>
  <c r="R6" i="6"/>
  <c r="R76" i="6"/>
  <c r="R38" i="6"/>
  <c r="R106" i="6"/>
  <c r="R107" i="6" s="1"/>
  <c r="R42" i="6"/>
  <c r="R68" i="6"/>
  <c r="R14" i="6"/>
  <c r="R53" i="6"/>
  <c r="R64" i="6"/>
  <c r="R79" i="6"/>
  <c r="R29" i="6"/>
  <c r="R15" i="6"/>
  <c r="R63" i="6"/>
  <c r="R66" i="6"/>
  <c r="R8" i="6"/>
  <c r="R88" i="6"/>
  <c r="R55" i="6"/>
  <c r="R61" i="6"/>
  <c r="R36" i="6"/>
  <c r="R69" i="6"/>
  <c r="R19" i="6"/>
  <c r="R123" i="6"/>
  <c r="R98" i="6"/>
  <c r="R87" i="6"/>
  <c r="R7" i="6"/>
  <c r="R16" i="6"/>
  <c r="R92" i="6"/>
  <c r="R94" i="6" s="1"/>
  <c r="R18" i="6"/>
  <c r="R28" i="6"/>
  <c r="R54" i="6"/>
  <c r="R86" i="6"/>
  <c r="R85" i="6"/>
  <c r="R102" i="6"/>
  <c r="R103" i="6" s="1"/>
  <c r="R9" i="6"/>
  <c r="R110" i="6"/>
  <c r="R17" i="6"/>
  <c r="R75" i="6"/>
  <c r="R56" i="6"/>
  <c r="R97" i="6"/>
  <c r="R77" i="6"/>
  <c r="R49" i="6"/>
  <c r="N54" i="7"/>
  <c r="N105" i="7"/>
  <c r="N38" i="7"/>
  <c r="N98" i="7"/>
  <c r="N52" i="7"/>
  <c r="N32" i="7"/>
  <c r="N34" i="7" s="1"/>
  <c r="N82" i="7"/>
  <c r="N85" i="7" s="1"/>
  <c r="N24" i="7"/>
  <c r="N90" i="7"/>
  <c r="N14" i="7"/>
  <c r="N16" i="7" s="1"/>
  <c r="N37" i="7"/>
  <c r="N119" i="7"/>
  <c r="N124" i="7"/>
  <c r="N91" i="7"/>
  <c r="N109" i="7"/>
  <c r="N43" i="7"/>
  <c r="N45" i="7" s="1"/>
  <c r="M64" i="13" s="1"/>
  <c r="N51" i="7"/>
  <c r="N99" i="7"/>
  <c r="N61" i="7"/>
  <c r="N108" i="7"/>
  <c r="N25" i="7"/>
  <c r="N9" i="7"/>
  <c r="N27" i="7"/>
  <c r="N92" i="7"/>
  <c r="N53" i="7"/>
  <c r="N19" i="7"/>
  <c r="N21" i="7" s="1"/>
  <c r="N59" i="7"/>
  <c r="N118" i="7"/>
  <c r="N126" i="7"/>
  <c r="N127" i="7"/>
  <c r="N125" i="7"/>
  <c r="N107" i="7"/>
  <c r="N60" i="7"/>
  <c r="N75" i="7"/>
  <c r="N77" i="7" s="1"/>
  <c r="N26" i="7"/>
  <c r="N117" i="7"/>
  <c r="N6" i="7"/>
  <c r="N88" i="7"/>
  <c r="N106" i="7"/>
  <c r="N89" i="7"/>
  <c r="N61" i="6"/>
  <c r="N68" i="6"/>
  <c r="N66" i="6"/>
  <c r="N17" i="6"/>
  <c r="N122" i="6"/>
  <c r="N86" i="6"/>
  <c r="N48" i="6"/>
  <c r="N53" i="6"/>
  <c r="N102" i="6"/>
  <c r="N103" i="6" s="1"/>
  <c r="N40" i="6"/>
  <c r="N38" i="6"/>
  <c r="N64" i="6"/>
  <c r="N62" i="6"/>
  <c r="N63" i="6"/>
  <c r="N6" i="6"/>
  <c r="N79" i="6"/>
  <c r="N54" i="6"/>
  <c r="N19" i="6"/>
  <c r="N123" i="6"/>
  <c r="N77" i="6"/>
  <c r="N92" i="6"/>
  <c r="N94" i="6" s="1"/>
  <c r="N15" i="6"/>
  <c r="N43" i="6"/>
  <c r="N18" i="6"/>
  <c r="N9" i="6"/>
  <c r="N110" i="6"/>
  <c r="N106" i="6"/>
  <c r="N107" i="6" s="1"/>
  <c r="N28" i="6"/>
  <c r="N7" i="6"/>
  <c r="N42" i="6"/>
  <c r="N80" i="6"/>
  <c r="N55" i="6"/>
  <c r="N75" i="6"/>
  <c r="N98" i="6"/>
  <c r="N36" i="6"/>
  <c r="N69" i="6"/>
  <c r="N85" i="6"/>
  <c r="N29" i="6"/>
  <c r="N14" i="6"/>
  <c r="N78" i="6"/>
  <c r="N74" i="6"/>
  <c r="N49" i="6"/>
  <c r="N87" i="6"/>
  <c r="N56" i="6"/>
  <c r="N65" i="6"/>
  <c r="N97" i="6"/>
  <c r="N16" i="6"/>
  <c r="N37" i="6"/>
  <c r="N41" i="6"/>
  <c r="N8" i="6"/>
  <c r="N76" i="6"/>
  <c r="N39" i="6"/>
  <c r="N88" i="6"/>
  <c r="M24" i="11"/>
  <c r="M25" i="11"/>
  <c r="M19" i="11"/>
  <c r="M104" i="11"/>
  <c r="M107" i="11" s="1"/>
  <c r="M11" i="11"/>
  <c r="M18" i="11"/>
  <c r="M58" i="11"/>
  <c r="M133" i="11"/>
  <c r="M6" i="11"/>
  <c r="M124" i="11"/>
  <c r="M9" i="11"/>
  <c r="M17" i="11"/>
  <c r="M125" i="11"/>
  <c r="M7" i="11"/>
  <c r="M38" i="11"/>
  <c r="M40" i="11" s="1"/>
  <c r="M57" i="11"/>
  <c r="M111" i="11"/>
  <c r="M123" i="11"/>
  <c r="M132" i="11"/>
  <c r="M88" i="11"/>
  <c r="M91" i="11" s="1"/>
  <c r="M8" i="11"/>
  <c r="M131" i="11"/>
  <c r="M43" i="11"/>
  <c r="M30" i="11"/>
  <c r="M35" i="11" s="1"/>
  <c r="H59" i="10"/>
  <c r="H60" i="10"/>
  <c r="H111" i="10"/>
  <c r="H97" i="10"/>
  <c r="H98" i="10" s="1"/>
  <c r="H6" i="10"/>
  <c r="H26" i="10"/>
  <c r="H35" i="10"/>
  <c r="H122" i="10"/>
  <c r="H64" i="10"/>
  <c r="H61" i="10"/>
  <c r="H66" i="10"/>
  <c r="H15" i="10"/>
  <c r="H106" i="10"/>
  <c r="H107" i="10" s="1"/>
  <c r="H27" i="10"/>
  <c r="H85" i="10"/>
  <c r="H68" i="10"/>
  <c r="H7" i="10"/>
  <c r="H9" i="10"/>
  <c r="H65" i="10"/>
  <c r="H16" i="10"/>
  <c r="H51" i="10"/>
  <c r="H84" i="10"/>
  <c r="H123" i="10"/>
  <c r="H91" i="10"/>
  <c r="H63" i="10"/>
  <c r="H8" i="10"/>
  <c r="H92" i="10"/>
  <c r="H62" i="10"/>
  <c r="H46" i="10"/>
  <c r="H48" i="10" s="1"/>
  <c r="H110" i="10"/>
  <c r="H14" i="10"/>
  <c r="H34" i="10"/>
  <c r="H101" i="10"/>
  <c r="H52" i="10"/>
  <c r="H102" i="10"/>
  <c r="G102" i="10"/>
  <c r="G27" i="10"/>
  <c r="G46" i="10"/>
  <c r="G48" i="10" s="1"/>
  <c r="G123" i="10"/>
  <c r="G64" i="10"/>
  <c r="G51" i="10"/>
  <c r="G122" i="10"/>
  <c r="G110" i="10"/>
  <c r="G8" i="10"/>
  <c r="G14" i="10"/>
  <c r="G59" i="10"/>
  <c r="G7" i="10"/>
  <c r="G66" i="10"/>
  <c r="G97" i="10"/>
  <c r="G98" i="10" s="1"/>
  <c r="G63" i="10"/>
  <c r="G34" i="10"/>
  <c r="G26" i="10"/>
  <c r="G111" i="10"/>
  <c r="G52" i="10"/>
  <c r="G9" i="10"/>
  <c r="G85" i="10"/>
  <c r="G6" i="10"/>
  <c r="G92" i="10"/>
  <c r="G16" i="10"/>
  <c r="G101" i="10"/>
  <c r="G106" i="10"/>
  <c r="G107" i="10" s="1"/>
  <c r="G62" i="10"/>
  <c r="G84" i="10"/>
  <c r="G65" i="10"/>
  <c r="G60" i="10"/>
  <c r="G35" i="10"/>
  <c r="G15" i="10"/>
  <c r="G61" i="10"/>
  <c r="G91" i="10"/>
  <c r="G68" i="10"/>
  <c r="S123" i="10"/>
  <c r="G28" i="15" s="1"/>
  <c r="S6" i="10"/>
  <c r="S27" i="10"/>
  <c r="S102" i="10"/>
  <c r="S14" i="10"/>
  <c r="S92" i="10"/>
  <c r="S60" i="10"/>
  <c r="S34" i="10"/>
  <c r="S84" i="10"/>
  <c r="S111" i="10"/>
  <c r="S122" i="10"/>
  <c r="S52" i="10"/>
  <c r="S61" i="10"/>
  <c r="S110" i="10"/>
  <c r="S63" i="10"/>
  <c r="S35" i="10"/>
  <c r="S101" i="10"/>
  <c r="S106" i="10"/>
  <c r="S107" i="10" s="1"/>
  <c r="S7" i="10"/>
  <c r="S9" i="10"/>
  <c r="S46" i="10"/>
  <c r="S48" i="10" s="1"/>
  <c r="S65" i="10"/>
  <c r="S62" i="10"/>
  <c r="S91" i="10"/>
  <c r="S16" i="10"/>
  <c r="S26" i="10"/>
  <c r="S97" i="10"/>
  <c r="S98" i="10" s="1"/>
  <c r="S68" i="10"/>
  <c r="S85" i="10"/>
  <c r="S59" i="10"/>
  <c r="S15" i="10"/>
  <c r="S51" i="10"/>
  <c r="S66" i="10"/>
  <c r="S8" i="10"/>
  <c r="S64" i="10"/>
  <c r="F54" i="7"/>
  <c r="F118" i="7"/>
  <c r="F6" i="7"/>
  <c r="F9" i="7"/>
  <c r="F89" i="7"/>
  <c r="F38" i="7"/>
  <c r="F99" i="7"/>
  <c r="F32" i="7"/>
  <c r="F34" i="7" s="1"/>
  <c r="F90" i="7"/>
  <c r="F92" i="7"/>
  <c r="F88" i="7"/>
  <c r="F108" i="7"/>
  <c r="F52" i="7"/>
  <c r="F53" i="7"/>
  <c r="F59" i="7"/>
  <c r="F105" i="7"/>
  <c r="F37" i="7"/>
  <c r="F82" i="7"/>
  <c r="F85" i="7" s="1"/>
  <c r="F24" i="7"/>
  <c r="F119" i="7"/>
  <c r="F117" i="7"/>
  <c r="F43" i="7"/>
  <c r="F45" i="7" s="1"/>
  <c r="E64" i="13" s="1"/>
  <c r="F126" i="7"/>
  <c r="F51" i="7"/>
  <c r="F19" i="7"/>
  <c r="F21" i="7" s="1"/>
  <c r="F91" i="7"/>
  <c r="F14" i="7"/>
  <c r="F16" i="7" s="1"/>
  <c r="F27" i="7"/>
  <c r="F109" i="7"/>
  <c r="F25" i="7"/>
  <c r="F106" i="7"/>
  <c r="F107" i="7"/>
  <c r="F26" i="7"/>
  <c r="F125" i="7"/>
  <c r="F98" i="7"/>
  <c r="F124" i="7"/>
  <c r="F60" i="7"/>
  <c r="F61" i="7"/>
  <c r="F75" i="7"/>
  <c r="F77" i="7" s="1"/>
  <c r="F127" i="7"/>
  <c r="AI43" i="7"/>
  <c r="AI45" i="7" s="1"/>
  <c r="AI75" i="7"/>
  <c r="AI77" i="7" s="1"/>
  <c r="AI79" i="7" s="1"/>
  <c r="AI89" i="7"/>
  <c r="AI88" i="7"/>
  <c r="AI107" i="7"/>
  <c r="AI59" i="7"/>
  <c r="AI38" i="7"/>
  <c r="AI52" i="7"/>
  <c r="AI24" i="7"/>
  <c r="AI9" i="7"/>
  <c r="AI51" i="7"/>
  <c r="AI98" i="7"/>
  <c r="AI32" i="7"/>
  <c r="AI34" i="7" s="1"/>
  <c r="AI6" i="7"/>
  <c r="AI27" i="7"/>
  <c r="AI109" i="7"/>
  <c r="AI82" i="7"/>
  <c r="AI85" i="7" s="1"/>
  <c r="AI127" i="7"/>
  <c r="AI25" i="7"/>
  <c r="AI117" i="7"/>
  <c r="AI19" i="7"/>
  <c r="AI21" i="7" s="1"/>
  <c r="AI118" i="7"/>
  <c r="AI37" i="7"/>
  <c r="AI14" i="7"/>
  <c r="AI16" i="7" s="1"/>
  <c r="AI108" i="7"/>
  <c r="AI61" i="7"/>
  <c r="AI124" i="7"/>
  <c r="AI91" i="7"/>
  <c r="AI92" i="7"/>
  <c r="AI126" i="7"/>
  <c r="AI125" i="7"/>
  <c r="AI53" i="7"/>
  <c r="AI54" i="7"/>
  <c r="AI105" i="7"/>
  <c r="AI119" i="7"/>
  <c r="AI99" i="7"/>
  <c r="AI90" i="7"/>
  <c r="AI26" i="7"/>
  <c r="AI106" i="7"/>
  <c r="AI60" i="7"/>
  <c r="AM124" i="11"/>
  <c r="AM131" i="11"/>
  <c r="AM133" i="11"/>
  <c r="AM7" i="11"/>
  <c r="AM11" i="11"/>
  <c r="AM88" i="11"/>
  <c r="AM91" i="11" s="1"/>
  <c r="AM38" i="11"/>
  <c r="AM40" i="11" s="1"/>
  <c r="AM9" i="11"/>
  <c r="AM58" i="11"/>
  <c r="AM57" i="11"/>
  <c r="AM8" i="11"/>
  <c r="AM43" i="11"/>
  <c r="AM25" i="11"/>
  <c r="AM17" i="11"/>
  <c r="AM24" i="11"/>
  <c r="AM19" i="11"/>
  <c r="AM132" i="11"/>
  <c r="AM111" i="11"/>
  <c r="AM6" i="11"/>
  <c r="AM104" i="11"/>
  <c r="AM107" i="11" s="1"/>
  <c r="AM18" i="11"/>
  <c r="AM30" i="11"/>
  <c r="AM35" i="11" s="1"/>
  <c r="AC51" i="7"/>
  <c r="AC126" i="7"/>
  <c r="AC26" i="7"/>
  <c r="AC24" i="7"/>
  <c r="AC124" i="7"/>
  <c r="AC6" i="7"/>
  <c r="AC43" i="7"/>
  <c r="AC45" i="7" s="1"/>
  <c r="AB64" i="13" s="1"/>
  <c r="AC125" i="7"/>
  <c r="AC59" i="7"/>
  <c r="AC9" i="7"/>
  <c r="AC109" i="7"/>
  <c r="AC27" i="7"/>
  <c r="AC25" i="7"/>
  <c r="AC32" i="7"/>
  <c r="AC34" i="7" s="1"/>
  <c r="AC90" i="7"/>
  <c r="AC107" i="7"/>
  <c r="AC92" i="7"/>
  <c r="AC61" i="7"/>
  <c r="AC37" i="7"/>
  <c r="AC60" i="7"/>
  <c r="AC108" i="7"/>
  <c r="AC38" i="7"/>
  <c r="AC19" i="7"/>
  <c r="AC21" i="7" s="1"/>
  <c r="AC119" i="7"/>
  <c r="AC105" i="7"/>
  <c r="AC117" i="7"/>
  <c r="AC98" i="7"/>
  <c r="AC127" i="7"/>
  <c r="AC54" i="7"/>
  <c r="AC89" i="7"/>
  <c r="AC106" i="7"/>
  <c r="AC91" i="7"/>
  <c r="AC118" i="7"/>
  <c r="AC88" i="7"/>
  <c r="AC14" i="7"/>
  <c r="AC16" i="7" s="1"/>
  <c r="AC53" i="7"/>
  <c r="AC99" i="7"/>
  <c r="AC52" i="7"/>
  <c r="AC82" i="7"/>
  <c r="AC85" i="7" s="1"/>
  <c r="AC75" i="7"/>
  <c r="AC77" i="7" s="1"/>
  <c r="Y35" i="10"/>
  <c r="Y6" i="10"/>
  <c r="Y27" i="10"/>
  <c r="Y46" i="10"/>
  <c r="Y48" i="10" s="1"/>
  <c r="Y14" i="10"/>
  <c r="Y97" i="10"/>
  <c r="Y98" i="10" s="1"/>
  <c r="Y65" i="10"/>
  <c r="Y62" i="10"/>
  <c r="Y51" i="10"/>
  <c r="Y52" i="10"/>
  <c r="Y110" i="10"/>
  <c r="Y8" i="10"/>
  <c r="Y85" i="10"/>
  <c r="Y63" i="10"/>
  <c r="Y106" i="10"/>
  <c r="Y107" i="10" s="1"/>
  <c r="Y15" i="10"/>
  <c r="Y26" i="10"/>
  <c r="Y66" i="10"/>
  <c r="Y102" i="10"/>
  <c r="Y9" i="10"/>
  <c r="Y122" i="10"/>
  <c r="Y91" i="10"/>
  <c r="Y84" i="10"/>
  <c r="Y7" i="10"/>
  <c r="Y16" i="10"/>
  <c r="Y111" i="10"/>
  <c r="Y61" i="10"/>
  <c r="Y59" i="10"/>
  <c r="Y64" i="10"/>
  <c r="Y68" i="10"/>
  <c r="Y123" i="10"/>
  <c r="M28" i="15" s="1"/>
  <c r="Y60" i="10"/>
  <c r="Y34" i="10"/>
  <c r="Y92" i="10"/>
  <c r="Y101" i="10"/>
  <c r="Z111" i="11"/>
  <c r="Z123" i="11"/>
  <c r="Z6" i="11"/>
  <c r="Z133" i="11"/>
  <c r="Z88" i="11"/>
  <c r="Z91" i="11" s="1"/>
  <c r="Z24" i="11"/>
  <c r="Z38" i="11"/>
  <c r="Z40" i="11" s="1"/>
  <c r="Z17" i="11"/>
  <c r="Z132" i="11"/>
  <c r="Z125" i="11"/>
  <c r="Z11" i="11"/>
  <c r="Z124" i="11"/>
  <c r="Z9" i="11"/>
  <c r="Z131" i="11"/>
  <c r="Z57" i="11"/>
  <c r="Z8" i="11"/>
  <c r="Z43" i="11"/>
  <c r="Z19" i="11"/>
  <c r="Z58" i="11"/>
  <c r="Z7" i="11"/>
  <c r="Z18" i="11"/>
  <c r="Z104" i="11"/>
  <c r="Z107" i="11" s="1"/>
  <c r="Z25" i="11"/>
  <c r="Z30" i="11"/>
  <c r="Z35" i="11" s="1"/>
  <c r="X25" i="11"/>
  <c r="X131" i="11"/>
  <c r="X8" i="11"/>
  <c r="X104" i="11"/>
  <c r="X107" i="11" s="1"/>
  <c r="X19" i="11"/>
  <c r="X58" i="11"/>
  <c r="X133" i="11"/>
  <c r="X38" i="11"/>
  <c r="X40" i="11" s="1"/>
  <c r="X124" i="11"/>
  <c r="X7" i="11"/>
  <c r="X18" i="11"/>
  <c r="X123" i="11"/>
  <c r="X17" i="11"/>
  <c r="X57" i="11"/>
  <c r="X6" i="11"/>
  <c r="X9" i="11"/>
  <c r="X125" i="11"/>
  <c r="X88" i="11"/>
  <c r="X91" i="11" s="1"/>
  <c r="X43" i="11"/>
  <c r="X132" i="11"/>
  <c r="X11" i="11"/>
  <c r="X30" i="11"/>
  <c r="X35" i="11" s="1"/>
  <c r="X111" i="11"/>
  <c r="X24" i="11"/>
  <c r="T132" i="11"/>
  <c r="T18" i="11"/>
  <c r="T111" i="11"/>
  <c r="T7" i="11"/>
  <c r="T9" i="11"/>
  <c r="T30" i="11"/>
  <c r="T35" i="11" s="1"/>
  <c r="T8" i="11"/>
  <c r="T6" i="11"/>
  <c r="T24" i="11"/>
  <c r="T133" i="11"/>
  <c r="T125" i="11"/>
  <c r="T104" i="11"/>
  <c r="T107" i="11" s="1"/>
  <c r="T131" i="11"/>
  <c r="T25" i="11"/>
  <c r="T58" i="11"/>
  <c r="T11" i="11"/>
  <c r="T124" i="11"/>
  <c r="T19" i="11"/>
  <c r="T88" i="11"/>
  <c r="T91" i="11" s="1"/>
  <c r="T57" i="11"/>
  <c r="T38" i="11"/>
  <c r="T40" i="11" s="1"/>
  <c r="T17" i="11"/>
  <c r="T43" i="11"/>
  <c r="T123" i="11"/>
  <c r="K82" i="7"/>
  <c r="K85" i="7" s="1"/>
  <c r="K108" i="7"/>
  <c r="K32" i="7"/>
  <c r="K34" i="7" s="1"/>
  <c r="K38" i="7"/>
  <c r="K118" i="7"/>
  <c r="K91" i="7"/>
  <c r="K54" i="7"/>
  <c r="K106" i="7"/>
  <c r="K105" i="7"/>
  <c r="K107" i="7"/>
  <c r="K75" i="7"/>
  <c r="K77" i="7" s="1"/>
  <c r="K98" i="7"/>
  <c r="K88" i="7"/>
  <c r="K37" i="7"/>
  <c r="K9" i="7"/>
  <c r="K89" i="7"/>
  <c r="K92" i="7"/>
  <c r="K51" i="7"/>
  <c r="K117" i="7"/>
  <c r="K126" i="7"/>
  <c r="K24" i="7"/>
  <c r="K124" i="7"/>
  <c r="K26" i="7"/>
  <c r="K59" i="7"/>
  <c r="K61" i="7"/>
  <c r="K43" i="7"/>
  <c r="K45" i="7" s="1"/>
  <c r="J64" i="13" s="1"/>
  <c r="K109" i="7"/>
  <c r="K25" i="7"/>
  <c r="K99" i="7"/>
  <c r="K52" i="7"/>
  <c r="K14" i="7"/>
  <c r="K16" i="7" s="1"/>
  <c r="K19" i="7"/>
  <c r="K21" i="7" s="1"/>
  <c r="K119" i="7"/>
  <c r="K53" i="7"/>
  <c r="K6" i="7"/>
  <c r="K127" i="7"/>
  <c r="K27" i="7"/>
  <c r="K60" i="7"/>
  <c r="K90" i="7"/>
  <c r="K125" i="7"/>
  <c r="N123" i="11"/>
  <c r="N58" i="11"/>
  <c r="N18" i="11"/>
  <c r="N11" i="11"/>
  <c r="N9" i="11"/>
  <c r="N132" i="11"/>
  <c r="N125" i="11"/>
  <c r="N43" i="11"/>
  <c r="N46" i="11" s="1"/>
  <c r="N57" i="11"/>
  <c r="N8" i="11"/>
  <c r="N25" i="11"/>
  <c r="N133" i="11"/>
  <c r="N131" i="11"/>
  <c r="N124" i="11"/>
  <c r="N7" i="11"/>
  <c r="N111" i="11"/>
  <c r="N118" i="11" s="1"/>
  <c r="N19" i="11"/>
  <c r="N17" i="11"/>
  <c r="N104" i="11"/>
  <c r="N107" i="11" s="1"/>
  <c r="N24" i="11"/>
  <c r="N30" i="11"/>
  <c r="N35" i="11" s="1"/>
  <c r="N6" i="11"/>
  <c r="N88" i="11"/>
  <c r="N91" i="11" s="1"/>
  <c r="N38" i="11"/>
  <c r="N40" i="11" s="1"/>
  <c r="K122" i="10"/>
  <c r="K59" i="10"/>
  <c r="K9" i="10"/>
  <c r="K7" i="10"/>
  <c r="K8" i="10"/>
  <c r="K63" i="10"/>
  <c r="K97" i="10"/>
  <c r="K98" i="10" s="1"/>
  <c r="K51" i="10"/>
  <c r="K91" i="10"/>
  <c r="K35" i="10"/>
  <c r="K14" i="10"/>
  <c r="K34" i="10"/>
  <c r="K15" i="10"/>
  <c r="K64" i="10"/>
  <c r="K68" i="10"/>
  <c r="K106" i="10"/>
  <c r="K107" i="10" s="1"/>
  <c r="K85" i="10"/>
  <c r="K60" i="10"/>
  <c r="K66" i="10"/>
  <c r="K101" i="10"/>
  <c r="K92" i="10"/>
  <c r="K27" i="10"/>
  <c r="K26" i="10"/>
  <c r="K61" i="10"/>
  <c r="K102" i="10"/>
  <c r="K65" i="10"/>
  <c r="K62" i="10"/>
  <c r="K110" i="10"/>
  <c r="K84" i="10"/>
  <c r="K6" i="10"/>
  <c r="K16" i="10"/>
  <c r="K123" i="10"/>
  <c r="K46" i="10"/>
  <c r="K48" i="10" s="1"/>
  <c r="K111" i="10"/>
  <c r="K52" i="10"/>
  <c r="F30" i="11"/>
  <c r="F35" i="11" s="1"/>
  <c r="F58" i="11"/>
  <c r="F7" i="11"/>
  <c r="F125" i="11"/>
  <c r="F24" i="11"/>
  <c r="F124" i="11"/>
  <c r="F43" i="11"/>
  <c r="F9" i="11"/>
  <c r="F111" i="11"/>
  <c r="F11" i="11"/>
  <c r="F8" i="11"/>
  <c r="F25" i="11"/>
  <c r="F19" i="11"/>
  <c r="F132" i="11"/>
  <c r="F123" i="11"/>
  <c r="F88" i="11"/>
  <c r="F91" i="11" s="1"/>
  <c r="F17" i="11"/>
  <c r="F6" i="11"/>
  <c r="F38" i="11"/>
  <c r="F40" i="11" s="1"/>
  <c r="F104" i="11"/>
  <c r="F107" i="11" s="1"/>
  <c r="F57" i="11"/>
  <c r="F18" i="11"/>
  <c r="F131" i="11"/>
  <c r="F133" i="11"/>
  <c r="AJ89" i="7"/>
  <c r="AJ19" i="7"/>
  <c r="AJ21" i="7" s="1"/>
  <c r="AJ98" i="7"/>
  <c r="AJ126" i="7"/>
  <c r="AJ119" i="7"/>
  <c r="AJ107" i="7"/>
  <c r="AJ59" i="7"/>
  <c r="AJ38" i="7"/>
  <c r="AJ106" i="7"/>
  <c r="AJ75" i="7"/>
  <c r="AJ77" i="7" s="1"/>
  <c r="AJ79" i="7" s="1"/>
  <c r="AJ124" i="7"/>
  <c r="AJ54" i="7"/>
  <c r="AJ24" i="7"/>
  <c r="AJ127" i="7"/>
  <c r="AJ125" i="7"/>
  <c r="AJ14" i="7"/>
  <c r="AJ16" i="7" s="1"/>
  <c r="AJ109" i="7"/>
  <c r="AJ105" i="7"/>
  <c r="AJ27" i="7"/>
  <c r="AJ52" i="7"/>
  <c r="AJ37" i="7"/>
  <c r="AJ26" i="7"/>
  <c r="AJ25" i="7"/>
  <c r="AJ91" i="7"/>
  <c r="AJ92" i="7"/>
  <c r="AJ61" i="7"/>
  <c r="AJ51" i="7"/>
  <c r="AJ6" i="7"/>
  <c r="AJ9" i="7"/>
  <c r="AJ117" i="7"/>
  <c r="AJ43" i="7"/>
  <c r="AJ45" i="7" s="1"/>
  <c r="AJ32" i="7"/>
  <c r="AJ34" i="7" s="1"/>
  <c r="AJ53" i="7"/>
  <c r="AJ108" i="7"/>
  <c r="AJ60" i="7"/>
  <c r="AJ90" i="7"/>
  <c r="AJ99" i="7"/>
  <c r="AJ88" i="7"/>
  <c r="AJ118" i="7"/>
  <c r="AJ82" i="7"/>
  <c r="AJ85" i="7" s="1"/>
  <c r="AK68" i="6"/>
  <c r="AK110" i="6"/>
  <c r="AK112" i="6" s="1"/>
  <c r="AK49" i="6"/>
  <c r="AK29" i="6"/>
  <c r="AK39" i="6"/>
  <c r="AK86" i="6"/>
  <c r="AK80" i="6"/>
  <c r="AK66" i="6"/>
  <c r="AK41" i="6"/>
  <c r="AK36" i="6"/>
  <c r="AK62" i="6"/>
  <c r="AK92" i="6"/>
  <c r="AK94" i="6" s="1"/>
  <c r="AK63" i="6"/>
  <c r="AK122" i="6"/>
  <c r="AK61" i="6"/>
  <c r="AK7" i="6"/>
  <c r="AK106" i="6"/>
  <c r="AK107" i="6" s="1"/>
  <c r="AK37" i="6"/>
  <c r="AK15" i="6"/>
  <c r="AK123" i="6"/>
  <c r="AK77" i="6"/>
  <c r="AK28" i="6"/>
  <c r="AK85" i="6"/>
  <c r="AK54" i="6"/>
  <c r="AK79" i="6"/>
  <c r="AK40" i="6"/>
  <c r="AK43" i="6"/>
  <c r="AK69" i="6"/>
  <c r="AK53" i="6"/>
  <c r="AK97" i="6"/>
  <c r="AK78" i="6"/>
  <c r="AK48" i="6"/>
  <c r="AK42" i="6"/>
  <c r="AK56" i="6"/>
  <c r="AK64" i="6"/>
  <c r="AK88" i="6"/>
  <c r="AK76" i="6"/>
  <c r="AK55" i="6"/>
  <c r="AK75" i="6"/>
  <c r="AK19" i="6"/>
  <c r="AK9" i="6"/>
  <c r="AK8" i="6"/>
  <c r="AK74" i="6"/>
  <c r="AK17" i="6"/>
  <c r="AK6" i="6"/>
  <c r="AK102" i="6"/>
  <c r="AK103" i="6" s="1"/>
  <c r="AK14" i="6"/>
  <c r="AK16" i="6"/>
  <c r="AK18" i="6"/>
  <c r="AK65" i="6"/>
  <c r="AK98" i="6"/>
  <c r="AK87" i="6"/>
  <c r="AK38" i="6"/>
  <c r="X60" i="10"/>
  <c r="X64" i="10"/>
  <c r="X62" i="10"/>
  <c r="X9" i="10"/>
  <c r="X14" i="10"/>
  <c r="X15" i="10"/>
  <c r="X8" i="10"/>
  <c r="X34" i="10"/>
  <c r="X92" i="10"/>
  <c r="X27" i="10"/>
  <c r="X102" i="10"/>
  <c r="X26" i="10"/>
  <c r="X106" i="10"/>
  <c r="X107" i="10" s="1"/>
  <c r="X46" i="10"/>
  <c r="X48" i="10" s="1"/>
  <c r="X7" i="10"/>
  <c r="X123" i="10"/>
  <c r="L28" i="15" s="1"/>
  <c r="X52" i="10"/>
  <c r="X6" i="10"/>
  <c r="X51" i="10"/>
  <c r="X68" i="10"/>
  <c r="X110" i="10"/>
  <c r="X63" i="10"/>
  <c r="X65" i="10"/>
  <c r="X91" i="10"/>
  <c r="X101" i="10"/>
  <c r="X97" i="10"/>
  <c r="X98" i="10" s="1"/>
  <c r="X35" i="10"/>
  <c r="X59" i="10"/>
  <c r="X16" i="10"/>
  <c r="X61" i="10"/>
  <c r="X85" i="10"/>
  <c r="X84" i="10"/>
  <c r="X111" i="10"/>
  <c r="X122" i="10"/>
  <c r="X66" i="10"/>
  <c r="V110" i="10"/>
  <c r="V14" i="10"/>
  <c r="V97" i="10"/>
  <c r="V98" i="10" s="1"/>
  <c r="V9" i="10"/>
  <c r="V101" i="10"/>
  <c r="V35" i="10"/>
  <c r="V85" i="10"/>
  <c r="V66" i="10"/>
  <c r="V7" i="10"/>
  <c r="V68" i="10"/>
  <c r="V84" i="10"/>
  <c r="V64" i="10"/>
  <c r="V65" i="10"/>
  <c r="V60" i="10"/>
  <c r="V63" i="10"/>
  <c r="V59" i="10"/>
  <c r="V122" i="10"/>
  <c r="V26" i="10"/>
  <c r="V106" i="10"/>
  <c r="V107" i="10" s="1"/>
  <c r="V6" i="10"/>
  <c r="V34" i="10"/>
  <c r="V102" i="10"/>
  <c r="V8" i="10"/>
  <c r="V16" i="10"/>
  <c r="V91" i="10"/>
  <c r="V52" i="10"/>
  <c r="V92" i="10"/>
  <c r="V61" i="10"/>
  <c r="V123" i="10"/>
  <c r="J28" i="15" s="1"/>
  <c r="V15" i="10"/>
  <c r="V111" i="10"/>
  <c r="V51" i="10"/>
  <c r="V62" i="10"/>
  <c r="V27" i="10"/>
  <c r="V46" i="10"/>
  <c r="V48" i="10" s="1"/>
  <c r="Q62" i="10"/>
  <c r="Q26" i="10"/>
  <c r="Q65" i="10"/>
  <c r="Q111" i="10"/>
  <c r="Q85" i="10"/>
  <c r="Q51" i="10"/>
  <c r="Q6" i="10"/>
  <c r="Q46" i="10"/>
  <c r="Q48" i="10" s="1"/>
  <c r="Q16" i="10"/>
  <c r="Q7" i="10"/>
  <c r="Q66" i="10"/>
  <c r="Q35" i="10"/>
  <c r="Q92" i="10"/>
  <c r="Q59" i="10"/>
  <c r="Q123" i="10"/>
  <c r="E28" i="15" s="1"/>
  <c r="Q102" i="10"/>
  <c r="Q15" i="10"/>
  <c r="Q63" i="10"/>
  <c r="Q101" i="10"/>
  <c r="Q61" i="10"/>
  <c r="Q60" i="10"/>
  <c r="Q84" i="10"/>
  <c r="Q27" i="10"/>
  <c r="Q91" i="10"/>
  <c r="Q14" i="10"/>
  <c r="Q110" i="10"/>
  <c r="Q34" i="10"/>
  <c r="Q9" i="10"/>
  <c r="Q122" i="10"/>
  <c r="Q8" i="10"/>
  <c r="Q64" i="10"/>
  <c r="Q106" i="10"/>
  <c r="Q107" i="10" s="1"/>
  <c r="Q97" i="10"/>
  <c r="Q98" i="10" s="1"/>
  <c r="Q52" i="10"/>
  <c r="Q68" i="10"/>
  <c r="O68" i="6"/>
  <c r="O123" i="6"/>
  <c r="O43" i="6"/>
  <c r="O98" i="6"/>
  <c r="O65" i="6"/>
  <c r="O19" i="6"/>
  <c r="O97" i="6"/>
  <c r="O78" i="6"/>
  <c r="O39" i="6"/>
  <c r="O7" i="6"/>
  <c r="O28" i="6"/>
  <c r="O18" i="6"/>
  <c r="O80" i="6"/>
  <c r="O8" i="6"/>
  <c r="O86" i="6"/>
  <c r="O77" i="6"/>
  <c r="O17" i="6"/>
  <c r="O29" i="6"/>
  <c r="O40" i="6"/>
  <c r="O76" i="6"/>
  <c r="O53" i="6"/>
  <c r="O9" i="6"/>
  <c r="O88" i="6"/>
  <c r="O110" i="6"/>
  <c r="O79" i="6"/>
  <c r="O36" i="6"/>
  <c r="O48" i="6"/>
  <c r="O87" i="6"/>
  <c r="O49" i="6"/>
  <c r="O64" i="6"/>
  <c r="O37" i="6"/>
  <c r="O42" i="6"/>
  <c r="O56" i="6"/>
  <c r="O38" i="6"/>
  <c r="O41" i="6"/>
  <c r="O66" i="6"/>
  <c r="O102" i="6"/>
  <c r="O103" i="6" s="1"/>
  <c r="O63" i="6"/>
  <c r="O69" i="6"/>
  <c r="O16" i="6"/>
  <c r="O55" i="6"/>
  <c r="O15" i="6"/>
  <c r="O61" i="6"/>
  <c r="O6" i="6"/>
  <c r="O106" i="6"/>
  <c r="O107" i="6" s="1"/>
  <c r="O85" i="6"/>
  <c r="O54" i="6"/>
  <c r="O14" i="6"/>
  <c r="O122" i="6"/>
  <c r="O62" i="6"/>
  <c r="O92" i="6"/>
  <c r="O94" i="6" s="1"/>
  <c r="O75" i="6"/>
  <c r="O74" i="6"/>
  <c r="M39" i="6"/>
  <c r="M78" i="6"/>
  <c r="M37" i="6"/>
  <c r="M63" i="6"/>
  <c r="M102" i="6"/>
  <c r="M103" i="6" s="1"/>
  <c r="M41" i="6"/>
  <c r="M66" i="6"/>
  <c r="M123" i="6"/>
  <c r="M14" i="6"/>
  <c r="M122" i="6"/>
  <c r="M38" i="6"/>
  <c r="M36" i="6"/>
  <c r="M53" i="6"/>
  <c r="M106" i="6"/>
  <c r="M107" i="6" s="1"/>
  <c r="M19" i="6"/>
  <c r="M110" i="6"/>
  <c r="M69" i="6"/>
  <c r="M76" i="6"/>
  <c r="M49" i="6"/>
  <c r="M15" i="6"/>
  <c r="M18" i="6"/>
  <c r="M98" i="6"/>
  <c r="M9" i="6"/>
  <c r="M48" i="6"/>
  <c r="M74" i="6"/>
  <c r="M42" i="6"/>
  <c r="M80" i="6"/>
  <c r="M92" i="6"/>
  <c r="M94" i="6" s="1"/>
  <c r="M40" i="6"/>
  <c r="M7" i="6"/>
  <c r="M77" i="6"/>
  <c r="M87" i="6"/>
  <c r="M8" i="6"/>
  <c r="M64" i="6"/>
  <c r="M79" i="6"/>
  <c r="M85" i="6"/>
  <c r="M16" i="6"/>
  <c r="M6" i="6"/>
  <c r="M29" i="6"/>
  <c r="M55" i="6"/>
  <c r="M68" i="6"/>
  <c r="M97" i="6"/>
  <c r="M56" i="6"/>
  <c r="M54" i="6"/>
  <c r="M65" i="6"/>
  <c r="M61" i="6"/>
  <c r="M75" i="6"/>
  <c r="M28" i="6"/>
  <c r="M17" i="6"/>
  <c r="M43" i="6"/>
  <c r="M86" i="6"/>
  <c r="M62" i="6"/>
  <c r="M88" i="6"/>
  <c r="H97" i="6"/>
  <c r="H9" i="6"/>
  <c r="H87" i="6"/>
  <c r="H37" i="6"/>
  <c r="H80" i="6"/>
  <c r="H75" i="6"/>
  <c r="H78" i="6"/>
  <c r="H16" i="6"/>
  <c r="H85" i="6"/>
  <c r="H7" i="6"/>
  <c r="H19" i="6"/>
  <c r="H92" i="6"/>
  <c r="H94" i="6" s="1"/>
  <c r="H41" i="6"/>
  <c r="H68" i="6"/>
  <c r="H63" i="6"/>
  <c r="H18" i="6"/>
  <c r="H6" i="6"/>
  <c r="H53" i="6"/>
  <c r="H36" i="6"/>
  <c r="H48" i="6"/>
  <c r="H106" i="6"/>
  <c r="H107" i="6" s="1"/>
  <c r="H17" i="6"/>
  <c r="H98" i="6"/>
  <c r="H42" i="6"/>
  <c r="H88" i="6"/>
  <c r="H38" i="6"/>
  <c r="H28" i="6"/>
  <c r="H62" i="6"/>
  <c r="H43" i="6"/>
  <c r="H66" i="6"/>
  <c r="H61" i="6"/>
  <c r="H64" i="6"/>
  <c r="H79" i="6"/>
  <c r="H74" i="6"/>
  <c r="H77" i="6"/>
  <c r="H39" i="6"/>
  <c r="H49" i="6"/>
  <c r="H65" i="6"/>
  <c r="H29" i="6"/>
  <c r="H110" i="6"/>
  <c r="H54" i="6"/>
  <c r="H69" i="6"/>
  <c r="H8" i="6"/>
  <c r="H86" i="6"/>
  <c r="H55" i="6"/>
  <c r="H14" i="6"/>
  <c r="H56" i="6"/>
  <c r="H40" i="6"/>
  <c r="H122" i="6"/>
  <c r="H15" i="6"/>
  <c r="H123" i="6"/>
  <c r="H76" i="6"/>
  <c r="H102" i="6"/>
  <c r="H103" i="6" s="1"/>
  <c r="H119" i="7"/>
  <c r="H126" i="7"/>
  <c r="H19" i="7"/>
  <c r="H21" i="7" s="1"/>
  <c r="H88" i="7"/>
  <c r="H109" i="7"/>
  <c r="H26" i="7"/>
  <c r="H60" i="7"/>
  <c r="H32" i="7"/>
  <c r="H34" i="7" s="1"/>
  <c r="H107" i="7"/>
  <c r="H108" i="7"/>
  <c r="H59" i="7"/>
  <c r="H106" i="7"/>
  <c r="H99" i="7"/>
  <c r="H118" i="7"/>
  <c r="H54" i="7"/>
  <c r="H24" i="7"/>
  <c r="H125" i="7"/>
  <c r="H37" i="7"/>
  <c r="H127" i="7"/>
  <c r="H14" i="7"/>
  <c r="H16" i="7" s="1"/>
  <c r="H105" i="7"/>
  <c r="H53" i="7"/>
  <c r="H27" i="7"/>
  <c r="H9" i="7"/>
  <c r="H91" i="7"/>
  <c r="H61" i="7"/>
  <c r="H38" i="7"/>
  <c r="H6" i="7"/>
  <c r="H92" i="7"/>
  <c r="H98" i="7"/>
  <c r="H90" i="7"/>
  <c r="H43" i="7"/>
  <c r="H45" i="7" s="1"/>
  <c r="G64" i="13" s="1"/>
  <c r="H75" i="7"/>
  <c r="H77" i="7" s="1"/>
  <c r="H89" i="7"/>
  <c r="H124" i="7"/>
  <c r="H117" i="7"/>
  <c r="H51" i="7"/>
  <c r="H52" i="7"/>
  <c r="H82" i="7"/>
  <c r="H85" i="7" s="1"/>
  <c r="H25" i="7"/>
  <c r="E26" i="10"/>
  <c r="E34" i="10"/>
  <c r="E102" i="10"/>
  <c r="E62" i="10"/>
  <c r="E63" i="10"/>
  <c r="E85" i="10"/>
  <c r="E111" i="10"/>
  <c r="E101" i="10"/>
  <c r="E14" i="10"/>
  <c r="E16" i="10"/>
  <c r="E46" i="10"/>
  <c r="E48" i="10" s="1"/>
  <c r="E110" i="10"/>
  <c r="E9" i="10"/>
  <c r="E123" i="10"/>
  <c r="E27" i="10"/>
  <c r="E51" i="10"/>
  <c r="E84" i="10"/>
  <c r="E8" i="10"/>
  <c r="E52" i="10"/>
  <c r="E35" i="10"/>
  <c r="E6" i="10"/>
  <c r="E68" i="10"/>
  <c r="E92" i="10"/>
  <c r="E122" i="10"/>
  <c r="E7" i="10"/>
  <c r="E66" i="10"/>
  <c r="E91" i="10"/>
  <c r="E106" i="10"/>
  <c r="E107" i="10" s="1"/>
  <c r="E59" i="10"/>
  <c r="E60" i="10"/>
  <c r="E65" i="10"/>
  <c r="E61" i="10"/>
  <c r="E64" i="10"/>
  <c r="E15" i="10"/>
  <c r="E97" i="10"/>
  <c r="E98" i="10" s="1"/>
  <c r="AF51" i="10"/>
  <c r="AF6" i="10"/>
  <c r="AF102" i="10"/>
  <c r="AF15" i="10"/>
  <c r="AF122" i="10"/>
  <c r="AF62" i="10"/>
  <c r="AF61" i="10"/>
  <c r="AF123" i="10"/>
  <c r="AF91" i="10"/>
  <c r="AF9" i="10"/>
  <c r="AF60" i="10"/>
  <c r="AF97" i="10"/>
  <c r="AF98" i="10" s="1"/>
  <c r="AF14" i="10"/>
  <c r="AF85" i="10"/>
  <c r="AF26" i="10"/>
  <c r="AF59" i="10"/>
  <c r="AF46" i="10"/>
  <c r="AF48" i="10" s="1"/>
  <c r="AF92" i="10"/>
  <c r="AF52" i="10"/>
  <c r="AF35" i="10"/>
  <c r="AF8" i="10"/>
  <c r="AF68" i="10"/>
  <c r="AF106" i="10"/>
  <c r="AF107" i="10" s="1"/>
  <c r="AF111" i="10"/>
  <c r="AF7" i="10"/>
  <c r="AF110" i="10"/>
  <c r="AF65" i="10"/>
  <c r="AF66" i="10"/>
  <c r="AF84" i="10"/>
  <c r="AF16" i="10"/>
  <c r="AF101" i="10"/>
  <c r="AF27" i="10"/>
  <c r="AF64" i="10"/>
  <c r="AF63" i="10"/>
  <c r="AF34" i="10"/>
  <c r="X82" i="7"/>
  <c r="X85" i="7" s="1"/>
  <c r="X37" i="7"/>
  <c r="X127" i="7"/>
  <c r="X90" i="7"/>
  <c r="X60" i="7"/>
  <c r="X14" i="7"/>
  <c r="X16" i="7" s="1"/>
  <c r="X106" i="7"/>
  <c r="X92" i="7"/>
  <c r="X108" i="7"/>
  <c r="X105" i="7"/>
  <c r="X43" i="7"/>
  <c r="X45" i="7" s="1"/>
  <c r="X25" i="7"/>
  <c r="X75" i="7"/>
  <c r="X77" i="7" s="1"/>
  <c r="X19" i="7"/>
  <c r="X21" i="7" s="1"/>
  <c r="X32" i="7"/>
  <c r="X34" i="7" s="1"/>
  <c r="X59" i="7"/>
  <c r="X109" i="7"/>
  <c r="X53" i="7"/>
  <c r="X89" i="7"/>
  <c r="X99" i="7"/>
  <c r="X51" i="7"/>
  <c r="X98" i="7"/>
  <c r="X54" i="7"/>
  <c r="X91" i="7"/>
  <c r="X52" i="7"/>
  <c r="X27" i="7"/>
  <c r="X117" i="7"/>
  <c r="X61" i="7"/>
  <c r="X6" i="7"/>
  <c r="X126" i="7"/>
  <c r="X118" i="7"/>
  <c r="X125" i="7"/>
  <c r="X9" i="7"/>
  <c r="X107" i="7"/>
  <c r="X38" i="7"/>
  <c r="X119" i="7"/>
  <c r="X88" i="7"/>
  <c r="X24" i="7"/>
  <c r="X26" i="7"/>
  <c r="X124" i="7"/>
  <c r="AD32" i="7"/>
  <c r="AD34" i="7" s="1"/>
  <c r="AD37" i="7"/>
  <c r="AD124" i="7"/>
  <c r="AD60" i="7"/>
  <c r="AD92" i="7"/>
  <c r="AD126" i="7"/>
  <c r="AD14" i="7"/>
  <c r="AD16" i="7" s="1"/>
  <c r="AD91" i="7"/>
  <c r="AD90" i="7"/>
  <c r="AD26" i="7"/>
  <c r="AD59" i="7"/>
  <c r="AD6" i="7"/>
  <c r="AD52" i="7"/>
  <c r="AD43" i="7"/>
  <c r="AD45" i="7" s="1"/>
  <c r="AC64" i="13" s="1"/>
  <c r="AD61" i="7"/>
  <c r="AD25" i="7"/>
  <c r="AD127" i="7"/>
  <c r="AD82" i="7"/>
  <c r="AD85" i="7" s="1"/>
  <c r="AD27" i="7"/>
  <c r="AD54" i="7"/>
  <c r="AD118" i="7"/>
  <c r="AD19" i="7"/>
  <c r="AD21" i="7" s="1"/>
  <c r="AD125" i="7"/>
  <c r="AD108" i="7"/>
  <c r="AD99" i="7"/>
  <c r="AD106" i="7"/>
  <c r="AD89" i="7"/>
  <c r="AD24" i="7"/>
  <c r="AD75" i="7"/>
  <c r="AD77" i="7" s="1"/>
  <c r="AD98" i="7"/>
  <c r="AD9" i="7"/>
  <c r="AD51" i="7"/>
  <c r="AD119" i="7"/>
  <c r="AD117" i="7"/>
  <c r="AD107" i="7"/>
  <c r="AD88" i="7"/>
  <c r="AD109" i="7"/>
  <c r="AD53" i="7"/>
  <c r="AD38" i="7"/>
  <c r="AD105" i="7"/>
  <c r="AL53" i="7"/>
  <c r="AL124" i="7"/>
  <c r="AL98" i="7"/>
  <c r="AL119" i="7"/>
  <c r="AL127" i="7"/>
  <c r="AL107" i="7"/>
  <c r="AL27" i="7"/>
  <c r="AL125" i="7"/>
  <c r="AL88" i="7"/>
  <c r="AL59" i="7"/>
  <c r="AL61" i="7"/>
  <c r="AL19" i="7"/>
  <c r="AL21" i="7" s="1"/>
  <c r="AL24" i="7"/>
  <c r="AL37" i="7"/>
  <c r="AL38" i="7"/>
  <c r="AL89" i="7"/>
  <c r="AL118" i="7"/>
  <c r="AL82" i="7"/>
  <c r="AL85" i="7" s="1"/>
  <c r="AL90" i="7"/>
  <c r="AL14" i="7"/>
  <c r="AL16" i="7" s="1"/>
  <c r="AL43" i="7"/>
  <c r="AL45" i="7" s="1"/>
  <c r="AL6" i="7"/>
  <c r="AL109" i="7"/>
  <c r="AL9" i="7"/>
  <c r="AL25" i="7"/>
  <c r="AL51" i="7"/>
  <c r="AL26" i="7"/>
  <c r="AL126" i="7"/>
  <c r="AL92" i="7"/>
  <c r="AL91" i="7"/>
  <c r="AL108" i="7"/>
  <c r="AL106" i="7"/>
  <c r="AL105" i="7"/>
  <c r="AL75" i="7"/>
  <c r="AL77" i="7" s="1"/>
  <c r="AL79" i="7" s="1"/>
  <c r="AL99" i="7"/>
  <c r="AL54" i="7"/>
  <c r="AL117" i="7"/>
  <c r="AL32" i="7"/>
  <c r="AL34" i="7" s="1"/>
  <c r="AL60" i="7"/>
  <c r="AL52" i="7"/>
  <c r="AD19" i="11"/>
  <c r="AD8" i="11"/>
  <c r="AD6" i="11"/>
  <c r="AD125" i="11"/>
  <c r="AD25" i="11"/>
  <c r="AD133" i="11"/>
  <c r="AD111" i="11"/>
  <c r="AD18" i="11"/>
  <c r="AD124" i="11"/>
  <c r="AD88" i="11"/>
  <c r="AD91" i="11" s="1"/>
  <c r="AD38" i="11"/>
  <c r="AD40" i="11" s="1"/>
  <c r="AD17" i="11"/>
  <c r="AD30" i="11"/>
  <c r="AD35" i="11" s="1"/>
  <c r="AD123" i="11"/>
  <c r="AD9" i="11"/>
  <c r="AD11" i="11"/>
  <c r="AD7" i="11"/>
  <c r="AD132" i="11"/>
  <c r="AD58" i="11"/>
  <c r="AD43" i="11"/>
  <c r="AD24" i="11"/>
  <c r="AD104" i="11"/>
  <c r="AD107" i="11" s="1"/>
  <c r="AD57" i="11"/>
  <c r="AD131" i="11"/>
  <c r="T122" i="10"/>
  <c r="T15" i="10"/>
  <c r="T35" i="10"/>
  <c r="T9" i="10"/>
  <c r="T51" i="10"/>
  <c r="T62" i="10"/>
  <c r="T123" i="10"/>
  <c r="H28" i="15" s="1"/>
  <c r="T14" i="10"/>
  <c r="T26" i="10"/>
  <c r="T60" i="10"/>
  <c r="T64" i="10"/>
  <c r="T110" i="10"/>
  <c r="T111" i="10"/>
  <c r="T91" i="10"/>
  <c r="T68" i="10"/>
  <c r="T66" i="10"/>
  <c r="T84" i="10"/>
  <c r="T52" i="10"/>
  <c r="T6" i="10"/>
  <c r="T97" i="10"/>
  <c r="T98" i="10" s="1"/>
  <c r="T7" i="10"/>
  <c r="T34" i="10"/>
  <c r="T27" i="10"/>
  <c r="T92" i="10"/>
  <c r="T8" i="10"/>
  <c r="T63" i="10"/>
  <c r="T102" i="10"/>
  <c r="T106" i="10"/>
  <c r="T107" i="10" s="1"/>
  <c r="T59" i="10"/>
  <c r="T85" i="10"/>
  <c r="T46" i="10"/>
  <c r="T48" i="10" s="1"/>
  <c r="T101" i="10"/>
  <c r="T16" i="10"/>
  <c r="T65" i="10"/>
  <c r="T61" i="10"/>
  <c r="S87" i="6"/>
  <c r="S9" i="6"/>
  <c r="S98" i="6"/>
  <c r="S69" i="6"/>
  <c r="S65" i="6"/>
  <c r="S76" i="6"/>
  <c r="S36" i="6"/>
  <c r="S61" i="6"/>
  <c r="S48" i="6"/>
  <c r="S39" i="6"/>
  <c r="S92" i="6"/>
  <c r="S94" i="6" s="1"/>
  <c r="S37" i="6"/>
  <c r="S15" i="6"/>
  <c r="S79" i="6"/>
  <c r="S68" i="6"/>
  <c r="S62" i="6"/>
  <c r="S66" i="6"/>
  <c r="S49" i="6"/>
  <c r="S86" i="6"/>
  <c r="S55" i="6"/>
  <c r="S64" i="6"/>
  <c r="S28" i="6"/>
  <c r="S17" i="6"/>
  <c r="S74" i="6"/>
  <c r="S14" i="6"/>
  <c r="S77" i="6"/>
  <c r="S80" i="6"/>
  <c r="S102" i="6"/>
  <c r="S103" i="6" s="1"/>
  <c r="S41" i="6"/>
  <c r="S40" i="6"/>
  <c r="S88" i="6"/>
  <c r="S53" i="6"/>
  <c r="S63" i="6"/>
  <c r="S110" i="6"/>
  <c r="S16" i="6"/>
  <c r="S75" i="6"/>
  <c r="S8" i="6"/>
  <c r="S123" i="6"/>
  <c r="S54" i="6"/>
  <c r="S7" i="6"/>
  <c r="S122" i="6"/>
  <c r="S106" i="6"/>
  <c r="S107" i="6" s="1"/>
  <c r="S43" i="6"/>
  <c r="S19" i="6"/>
  <c r="S42" i="6"/>
  <c r="S78" i="6"/>
  <c r="S56" i="6"/>
  <c r="S18" i="6"/>
  <c r="S6" i="6"/>
  <c r="S97" i="6"/>
  <c r="S29" i="6"/>
  <c r="S85" i="6"/>
  <c r="S38" i="6"/>
  <c r="P19" i="6"/>
  <c r="P123" i="6"/>
  <c r="P39" i="6"/>
  <c r="P122" i="6"/>
  <c r="P48" i="6"/>
  <c r="P14" i="6"/>
  <c r="P18" i="6"/>
  <c r="P9" i="6"/>
  <c r="P7" i="6"/>
  <c r="P15" i="6"/>
  <c r="P36" i="6"/>
  <c r="P86" i="6"/>
  <c r="P49" i="6"/>
  <c r="P29" i="6"/>
  <c r="P106" i="6"/>
  <c r="P107" i="6" s="1"/>
  <c r="P43" i="6"/>
  <c r="P87" i="6"/>
  <c r="P56" i="6"/>
  <c r="P76" i="6"/>
  <c r="P40" i="6"/>
  <c r="P8" i="6"/>
  <c r="P66" i="6"/>
  <c r="P80" i="6"/>
  <c r="P55" i="6"/>
  <c r="P98" i="6"/>
  <c r="P28" i="6"/>
  <c r="P17" i="6"/>
  <c r="P54" i="6"/>
  <c r="P63" i="6"/>
  <c r="P85" i="6"/>
  <c r="P92" i="6"/>
  <c r="P94" i="6" s="1"/>
  <c r="P62" i="6"/>
  <c r="P74" i="6"/>
  <c r="P53" i="6"/>
  <c r="P88" i="6"/>
  <c r="P77" i="6"/>
  <c r="P38" i="6"/>
  <c r="P42" i="6"/>
  <c r="P65" i="6"/>
  <c r="P16" i="6"/>
  <c r="P110" i="6"/>
  <c r="P6" i="6"/>
  <c r="P61" i="6"/>
  <c r="P37" i="6"/>
  <c r="P79" i="6"/>
  <c r="P102" i="6"/>
  <c r="P103" i="6" s="1"/>
  <c r="P75" i="6"/>
  <c r="P68" i="6"/>
  <c r="P69" i="6"/>
  <c r="P64" i="6"/>
  <c r="P78" i="6"/>
  <c r="P97" i="6"/>
  <c r="P41" i="6"/>
  <c r="Q124" i="11"/>
  <c r="Q24" i="11"/>
  <c r="Q57" i="11"/>
  <c r="Q7" i="11"/>
  <c r="Q38" i="11"/>
  <c r="Q40" i="11" s="1"/>
  <c r="Q18" i="11"/>
  <c r="Q104" i="11"/>
  <c r="Q107" i="11" s="1"/>
  <c r="Q123" i="11"/>
  <c r="Q88" i="11"/>
  <c r="Q91" i="11" s="1"/>
  <c r="Q131" i="11"/>
  <c r="Q19" i="11"/>
  <c r="Q43" i="11"/>
  <c r="Q9" i="11"/>
  <c r="Q125" i="11"/>
  <c r="Q133" i="11"/>
  <c r="Q11" i="11"/>
  <c r="Q6" i="11"/>
  <c r="Q25" i="11"/>
  <c r="Q132" i="11"/>
  <c r="Q111" i="11"/>
  <c r="Q8" i="11"/>
  <c r="Q58" i="11"/>
  <c r="Q17" i="11"/>
  <c r="Q30" i="11"/>
  <c r="Q35" i="11" s="1"/>
  <c r="I98" i="6"/>
  <c r="I42" i="6"/>
  <c r="I8" i="6"/>
  <c r="I87" i="6"/>
  <c r="I48" i="6"/>
  <c r="I68" i="6"/>
  <c r="I6" i="6"/>
  <c r="I85" i="6"/>
  <c r="I55" i="6"/>
  <c r="I63" i="6"/>
  <c r="I74" i="6"/>
  <c r="I14" i="6"/>
  <c r="I123" i="6"/>
  <c r="I77" i="6"/>
  <c r="I62" i="6"/>
  <c r="I61" i="6"/>
  <c r="I29" i="6"/>
  <c r="I65" i="6"/>
  <c r="I39" i="6"/>
  <c r="I28" i="6"/>
  <c r="I79" i="6"/>
  <c r="I69" i="6"/>
  <c r="I37" i="6"/>
  <c r="I97" i="6"/>
  <c r="I43" i="6"/>
  <c r="I66" i="6"/>
  <c r="I86" i="6"/>
  <c r="I41" i="6"/>
  <c r="I7" i="6"/>
  <c r="I76" i="6"/>
  <c r="I17" i="6"/>
  <c r="I38" i="6"/>
  <c r="I122" i="6"/>
  <c r="I110" i="6"/>
  <c r="I75" i="6"/>
  <c r="I36" i="6"/>
  <c r="I56" i="6"/>
  <c r="I19" i="6"/>
  <c r="I102" i="6"/>
  <c r="I103" i="6" s="1"/>
  <c r="I53" i="6"/>
  <c r="I88" i="6"/>
  <c r="I16" i="6"/>
  <c r="I49" i="6"/>
  <c r="I15" i="6"/>
  <c r="I18" i="6"/>
  <c r="I9" i="6"/>
  <c r="I40" i="6"/>
  <c r="I80" i="6"/>
  <c r="I54" i="6"/>
  <c r="I64" i="6"/>
  <c r="I92" i="6"/>
  <c r="I94" i="6" s="1"/>
  <c r="I106" i="6"/>
  <c r="I107" i="6" s="1"/>
  <c r="I78" i="6"/>
  <c r="D92" i="7"/>
  <c r="D32" i="7"/>
  <c r="D34" i="7" s="1"/>
  <c r="D61" i="7"/>
  <c r="D53" i="7"/>
  <c r="D60" i="7"/>
  <c r="D37" i="7"/>
  <c r="D59" i="7"/>
  <c r="D98" i="7"/>
  <c r="D75" i="7"/>
  <c r="D77" i="7" s="1"/>
  <c r="D126" i="7"/>
  <c r="D119" i="7"/>
  <c r="D108" i="7"/>
  <c r="D9" i="7"/>
  <c r="D89" i="7"/>
  <c r="D91" i="7"/>
  <c r="D107" i="7"/>
  <c r="D19" i="7"/>
  <c r="D21" i="7" s="1"/>
  <c r="D38" i="7"/>
  <c r="D124" i="7"/>
  <c r="D27" i="7"/>
  <c r="D26" i="7"/>
  <c r="D125" i="7"/>
  <c r="D106" i="7"/>
  <c r="D109" i="7"/>
  <c r="D118" i="7"/>
  <c r="D82" i="7"/>
  <c r="D85" i="7" s="1"/>
  <c r="D117" i="7"/>
  <c r="D90" i="7"/>
  <c r="D14" i="7"/>
  <c r="D16" i="7" s="1"/>
  <c r="D43" i="7"/>
  <c r="D45" i="7" s="1"/>
  <c r="C64" i="13" s="1"/>
  <c r="D25" i="7"/>
  <c r="D88" i="7"/>
  <c r="D105" i="7"/>
  <c r="D52" i="7"/>
  <c r="D99" i="7"/>
  <c r="D51" i="7"/>
  <c r="D6" i="7"/>
  <c r="D24" i="7"/>
  <c r="D54" i="7"/>
  <c r="D127" i="7"/>
  <c r="E26" i="7"/>
  <c r="E99" i="7"/>
  <c r="E32" i="7"/>
  <c r="E34" i="7" s="1"/>
  <c r="E51" i="7"/>
  <c r="E53" i="7"/>
  <c r="E89" i="7"/>
  <c r="E124" i="7"/>
  <c r="E108" i="7"/>
  <c r="E107" i="7"/>
  <c r="E126" i="7"/>
  <c r="E109" i="7"/>
  <c r="E105" i="7"/>
  <c r="E91" i="7"/>
  <c r="E38" i="7"/>
  <c r="E119" i="7"/>
  <c r="E37" i="7"/>
  <c r="E125" i="7"/>
  <c r="E25" i="7"/>
  <c r="E27" i="7"/>
  <c r="E90" i="7"/>
  <c r="E106" i="7"/>
  <c r="E82" i="7"/>
  <c r="E85" i="7" s="1"/>
  <c r="E117" i="7"/>
  <c r="E19" i="7"/>
  <c r="E21" i="7" s="1"/>
  <c r="E118" i="7"/>
  <c r="E59" i="7"/>
  <c r="E61" i="7"/>
  <c r="E75" i="7"/>
  <c r="E77" i="7" s="1"/>
  <c r="E14" i="7"/>
  <c r="E16" i="7" s="1"/>
  <c r="E98" i="7"/>
  <c r="E6" i="7"/>
  <c r="E9" i="7"/>
  <c r="E88" i="7"/>
  <c r="E92" i="7"/>
  <c r="E60" i="7"/>
  <c r="E52" i="7"/>
  <c r="E24" i="7"/>
  <c r="E43" i="7"/>
  <c r="E45" i="7" s="1"/>
  <c r="D64" i="13" s="1"/>
  <c r="E54" i="7"/>
  <c r="E127" i="7"/>
  <c r="AG111" i="11"/>
  <c r="AG19" i="11"/>
  <c r="AG30" i="11"/>
  <c r="AG35" i="11" s="1"/>
  <c r="AG25" i="11"/>
  <c r="AG131" i="11"/>
  <c r="AG57" i="11"/>
  <c r="AG58" i="11"/>
  <c r="AG24" i="11"/>
  <c r="AG125" i="11"/>
  <c r="AG124" i="11"/>
  <c r="AG132" i="11"/>
  <c r="AG8" i="11"/>
  <c r="AG43" i="11"/>
  <c r="AG133" i="11"/>
  <c r="AG6" i="11"/>
  <c r="AG88" i="11"/>
  <c r="AG91" i="11" s="1"/>
  <c r="AG9" i="11"/>
  <c r="AG38" i="11"/>
  <c r="AG40" i="11" s="1"/>
  <c r="AG17" i="11"/>
  <c r="AG18" i="11"/>
  <c r="AG123" i="11"/>
  <c r="AG11" i="11"/>
  <c r="AG7" i="11"/>
  <c r="AG104" i="11"/>
  <c r="AG107" i="11" s="1"/>
  <c r="W11" i="11"/>
  <c r="W9" i="11"/>
  <c r="W57" i="11"/>
  <c r="W25" i="11"/>
  <c r="W133" i="11"/>
  <c r="W7" i="11"/>
  <c r="W131" i="11"/>
  <c r="W58" i="11"/>
  <c r="W43" i="11"/>
  <c r="W17" i="11"/>
  <c r="W8" i="11"/>
  <c r="W111" i="11"/>
  <c r="W132" i="11"/>
  <c r="W38" i="11"/>
  <c r="W40" i="11" s="1"/>
  <c r="W124" i="11"/>
  <c r="W104" i="11"/>
  <c r="W107" i="11" s="1"/>
  <c r="W123" i="11"/>
  <c r="W6" i="11"/>
  <c r="W125" i="11"/>
  <c r="W88" i="11"/>
  <c r="W91" i="11" s="1"/>
  <c r="W24" i="11"/>
  <c r="W30" i="11"/>
  <c r="W35" i="11" s="1"/>
  <c r="W18" i="11"/>
  <c r="W19" i="11"/>
  <c r="L106" i="10"/>
  <c r="L107" i="10" s="1"/>
  <c r="L102" i="10"/>
  <c r="L111" i="10"/>
  <c r="L60" i="10"/>
  <c r="L51" i="10"/>
  <c r="L123" i="10"/>
  <c r="L59" i="10"/>
  <c r="L15" i="10"/>
  <c r="L97" i="10"/>
  <c r="L98" i="10" s="1"/>
  <c r="L7" i="10"/>
  <c r="L9" i="10"/>
  <c r="L64" i="10"/>
  <c r="L26" i="10"/>
  <c r="L62" i="10"/>
  <c r="L35" i="10"/>
  <c r="L16" i="10"/>
  <c r="L63" i="10"/>
  <c r="L85" i="10"/>
  <c r="L61" i="10"/>
  <c r="L68" i="10"/>
  <c r="L66" i="10"/>
  <c r="L8" i="10"/>
  <c r="L92" i="10"/>
  <c r="L122" i="10"/>
  <c r="L6" i="10"/>
  <c r="L52" i="10"/>
  <c r="L65" i="10"/>
  <c r="L91" i="10"/>
  <c r="L46" i="10"/>
  <c r="L48" i="10" s="1"/>
  <c r="L110" i="10"/>
  <c r="L101" i="10"/>
  <c r="L84" i="10"/>
  <c r="L34" i="10"/>
  <c r="L14" i="10"/>
  <c r="L27" i="10"/>
  <c r="AJ6" i="6"/>
  <c r="AJ102" i="6"/>
  <c r="AJ103" i="6" s="1"/>
  <c r="AJ80" i="6"/>
  <c r="AJ37" i="6"/>
  <c r="AJ68" i="6"/>
  <c r="AJ29" i="6"/>
  <c r="AJ106" i="6"/>
  <c r="AJ107" i="6" s="1"/>
  <c r="AJ17" i="6"/>
  <c r="AJ88" i="6"/>
  <c r="AJ63" i="6"/>
  <c r="AJ61" i="6"/>
  <c r="AJ92" i="6"/>
  <c r="AJ94" i="6" s="1"/>
  <c r="AJ14" i="6"/>
  <c r="AJ98" i="6"/>
  <c r="AJ42" i="6"/>
  <c r="AJ62" i="6"/>
  <c r="AJ78" i="6"/>
  <c r="AJ56" i="6"/>
  <c r="AJ49" i="6"/>
  <c r="AJ36" i="6"/>
  <c r="AJ40" i="6"/>
  <c r="AJ87" i="6"/>
  <c r="AJ74" i="6"/>
  <c r="AJ39" i="6"/>
  <c r="AJ123" i="6"/>
  <c r="AJ110" i="6"/>
  <c r="AJ112" i="6" s="1"/>
  <c r="AJ41" i="6"/>
  <c r="AJ55" i="6"/>
  <c r="AJ85" i="6"/>
  <c r="AJ75" i="6"/>
  <c r="AJ7" i="6"/>
  <c r="AJ66" i="6"/>
  <c r="AJ54" i="6"/>
  <c r="AJ48" i="6"/>
  <c r="AJ53" i="6"/>
  <c r="AJ69" i="6"/>
  <c r="AJ97" i="6"/>
  <c r="AJ79" i="6"/>
  <c r="AJ9" i="6"/>
  <c r="AJ38" i="6"/>
  <c r="AJ16" i="6"/>
  <c r="AJ43" i="6"/>
  <c r="AJ19" i="6"/>
  <c r="AJ86" i="6"/>
  <c r="AJ8" i="6"/>
  <c r="AJ122" i="6"/>
  <c r="AJ28" i="6"/>
  <c r="AJ77" i="6"/>
  <c r="AJ64" i="6"/>
  <c r="AJ65" i="6"/>
  <c r="AJ15" i="6"/>
  <c r="AJ18" i="6"/>
  <c r="AJ76" i="6"/>
  <c r="AI29" i="6"/>
  <c r="AI15" i="6"/>
  <c r="AI76" i="6"/>
  <c r="AI97" i="6"/>
  <c r="AI16" i="6"/>
  <c r="AI86" i="6"/>
  <c r="AI55" i="6"/>
  <c r="AI14" i="6"/>
  <c r="AI122" i="6"/>
  <c r="AI92" i="6"/>
  <c r="AI94" i="6" s="1"/>
  <c r="AI61" i="6"/>
  <c r="AI53" i="6"/>
  <c r="AI88" i="6"/>
  <c r="AI6" i="6"/>
  <c r="AI65" i="6"/>
  <c r="AI38" i="6"/>
  <c r="AI42" i="6"/>
  <c r="AI40" i="6"/>
  <c r="AI75" i="6"/>
  <c r="AI43" i="6"/>
  <c r="AI39" i="6"/>
  <c r="AI102" i="6"/>
  <c r="AI103" i="6" s="1"/>
  <c r="AI7" i="6"/>
  <c r="AI80" i="6"/>
  <c r="AI54" i="6"/>
  <c r="AI41" i="6"/>
  <c r="AI106" i="6"/>
  <c r="AI107" i="6" s="1"/>
  <c r="AI77" i="6"/>
  <c r="AI74" i="6"/>
  <c r="AI8" i="6"/>
  <c r="AI98" i="6"/>
  <c r="AI66" i="6"/>
  <c r="AI36" i="6"/>
  <c r="AI49" i="6"/>
  <c r="AI28" i="6"/>
  <c r="AI9" i="6"/>
  <c r="AI87" i="6"/>
  <c r="AI79" i="6"/>
  <c r="AI48" i="6"/>
  <c r="AI17" i="6"/>
  <c r="AI19" i="6"/>
  <c r="AI64" i="6"/>
  <c r="AI18" i="6"/>
  <c r="AI110" i="6"/>
  <c r="AI112" i="6" s="1"/>
  <c r="AI68" i="6"/>
  <c r="AI63" i="6"/>
  <c r="AI78" i="6"/>
  <c r="AI37" i="6"/>
  <c r="AI85" i="6"/>
  <c r="AI62" i="6"/>
  <c r="AI123" i="6"/>
  <c r="AI69" i="6"/>
  <c r="AI56" i="6"/>
  <c r="AM14" i="6"/>
  <c r="AM9" i="6"/>
  <c r="AM77" i="6"/>
  <c r="AM16" i="6"/>
  <c r="AM53" i="6"/>
  <c r="AM87" i="6"/>
  <c r="AM37" i="6"/>
  <c r="AM85" i="6"/>
  <c r="AM63" i="6"/>
  <c r="AM78" i="6"/>
  <c r="AM76" i="6"/>
  <c r="AM49" i="6"/>
  <c r="AM17" i="6"/>
  <c r="AM55" i="6"/>
  <c r="AM88" i="6"/>
  <c r="AM97" i="6"/>
  <c r="AM54" i="6"/>
  <c r="AM69" i="6"/>
  <c r="AM122" i="6"/>
  <c r="AM43" i="6"/>
  <c r="AM62" i="6"/>
  <c r="AM75" i="6"/>
  <c r="AM102" i="6"/>
  <c r="AM103" i="6" s="1"/>
  <c r="AM41" i="6"/>
  <c r="AM92" i="6"/>
  <c r="AM94" i="6" s="1"/>
  <c r="AM48" i="6"/>
  <c r="AM80" i="6"/>
  <c r="AM7" i="6"/>
  <c r="AM106" i="6"/>
  <c r="AM107" i="6" s="1"/>
  <c r="AM6" i="6"/>
  <c r="AM98" i="6"/>
  <c r="AM42" i="6"/>
  <c r="AM64" i="6"/>
  <c r="AM86" i="6"/>
  <c r="AM28" i="6"/>
  <c r="AM74" i="6"/>
  <c r="AM39" i="6"/>
  <c r="AM40" i="6"/>
  <c r="AM65" i="6"/>
  <c r="AM110" i="6"/>
  <c r="AM112" i="6" s="1"/>
  <c r="AM29" i="6"/>
  <c r="AM8" i="6"/>
  <c r="AM68" i="6"/>
  <c r="AM56" i="6"/>
  <c r="AM61" i="6"/>
  <c r="AM38" i="6"/>
  <c r="AM36" i="6"/>
  <c r="AM66" i="6"/>
  <c r="AM79" i="6"/>
  <c r="AM15" i="6"/>
  <c r="AM123" i="6"/>
  <c r="AM19" i="6"/>
  <c r="AM18" i="6"/>
  <c r="AA74" i="6"/>
  <c r="AA55" i="6"/>
  <c r="AA56" i="6"/>
  <c r="AA64" i="6"/>
  <c r="AA7" i="6"/>
  <c r="AA97" i="6"/>
  <c r="AA48" i="6"/>
  <c r="AA69" i="6"/>
  <c r="AA54" i="6"/>
  <c r="AA86" i="6"/>
  <c r="AA41" i="6"/>
  <c r="AA14" i="6"/>
  <c r="AA102" i="6"/>
  <c r="AA103" i="6" s="1"/>
  <c r="AA15" i="6"/>
  <c r="AA53" i="6"/>
  <c r="AA80" i="6"/>
  <c r="AA29" i="6"/>
  <c r="AA37" i="6"/>
  <c r="AA92" i="6"/>
  <c r="AA94" i="6" s="1"/>
  <c r="AA61" i="6"/>
  <c r="AA110" i="6"/>
  <c r="AA66" i="6"/>
  <c r="AA6" i="6"/>
  <c r="AA42" i="6"/>
  <c r="AA76" i="6"/>
  <c r="AA28" i="6"/>
  <c r="AA9" i="6"/>
  <c r="AA17" i="6"/>
  <c r="AA43" i="6"/>
  <c r="AA40" i="6"/>
  <c r="AA68" i="6"/>
  <c r="AA36" i="6"/>
  <c r="AA62" i="6"/>
  <c r="AA98" i="6"/>
  <c r="AA85" i="6"/>
  <c r="AA79" i="6"/>
  <c r="AA19" i="6"/>
  <c r="AA75" i="6"/>
  <c r="AA87" i="6"/>
  <c r="AA106" i="6"/>
  <c r="AA107" i="6" s="1"/>
  <c r="AA78" i="6"/>
  <c r="AA8" i="6"/>
  <c r="AA16" i="6"/>
  <c r="AA38" i="6"/>
  <c r="AA122" i="6"/>
  <c r="AA18" i="6"/>
  <c r="AA49" i="6"/>
  <c r="AA77" i="6"/>
  <c r="AA123" i="6"/>
  <c r="AA39" i="6"/>
  <c r="AA65" i="6"/>
  <c r="AA63" i="6"/>
  <c r="AA88" i="6"/>
  <c r="AA30" i="11"/>
  <c r="AA35" i="11" s="1"/>
  <c r="AA25" i="11"/>
  <c r="AA6" i="11"/>
  <c r="AA104" i="11"/>
  <c r="AA107" i="11" s="1"/>
  <c r="AA133" i="11"/>
  <c r="AA88" i="11"/>
  <c r="AA91" i="11" s="1"/>
  <c r="AA38" i="11"/>
  <c r="AA40" i="11" s="1"/>
  <c r="AA123" i="11"/>
  <c r="AA18" i="11"/>
  <c r="AA43" i="11"/>
  <c r="AA111" i="11"/>
  <c r="AA8" i="11"/>
  <c r="AA7" i="11"/>
  <c r="AA132" i="11"/>
  <c r="AA57" i="11"/>
  <c r="AA11" i="11"/>
  <c r="AA19" i="11"/>
  <c r="AA24" i="11"/>
  <c r="AA17" i="11"/>
  <c r="AA124" i="11"/>
  <c r="AA58" i="11"/>
  <c r="AA9" i="11"/>
  <c r="AA125" i="11"/>
  <c r="AA131" i="11"/>
  <c r="T48" i="6"/>
  <c r="T97" i="6"/>
  <c r="T78" i="6"/>
  <c r="T102" i="6"/>
  <c r="T103" i="6" s="1"/>
  <c r="T15" i="6"/>
  <c r="T74" i="6"/>
  <c r="T80" i="6"/>
  <c r="T42" i="6"/>
  <c r="T54" i="6"/>
  <c r="T41" i="6"/>
  <c r="T6" i="6"/>
  <c r="T66" i="6"/>
  <c r="T28" i="6"/>
  <c r="T53" i="6"/>
  <c r="T110" i="6"/>
  <c r="T77" i="6"/>
  <c r="T37" i="6"/>
  <c r="T75" i="6"/>
  <c r="T19" i="6"/>
  <c r="T43" i="6"/>
  <c r="T29" i="6"/>
  <c r="T76" i="6"/>
  <c r="T55" i="6"/>
  <c r="T68" i="6"/>
  <c r="T40" i="6"/>
  <c r="T49" i="6"/>
  <c r="T63" i="6"/>
  <c r="T69" i="6"/>
  <c r="T62" i="6"/>
  <c r="T18" i="6"/>
  <c r="T65" i="6"/>
  <c r="T87" i="6"/>
  <c r="T106" i="6"/>
  <c r="T107" i="6" s="1"/>
  <c r="T38" i="6"/>
  <c r="T9" i="6"/>
  <c r="T8" i="6"/>
  <c r="T86" i="6"/>
  <c r="T64" i="6"/>
  <c r="T14" i="6"/>
  <c r="T61" i="6"/>
  <c r="T39" i="6"/>
  <c r="T79" i="6"/>
  <c r="T7" i="6"/>
  <c r="T85" i="6"/>
  <c r="T36" i="6"/>
  <c r="T122" i="6"/>
  <c r="T56" i="6"/>
  <c r="T17" i="6"/>
  <c r="T16" i="6"/>
  <c r="T98" i="6"/>
  <c r="T92" i="6"/>
  <c r="T94" i="6" s="1"/>
  <c r="T88" i="6"/>
  <c r="T123" i="6"/>
  <c r="U132" i="11"/>
  <c r="U124" i="11"/>
  <c r="U25" i="11"/>
  <c r="U111" i="11"/>
  <c r="U38" i="11"/>
  <c r="U40" i="11" s="1"/>
  <c r="U104" i="11"/>
  <c r="U107" i="11" s="1"/>
  <c r="U123" i="11"/>
  <c r="U58" i="11"/>
  <c r="U19" i="11"/>
  <c r="U6" i="11"/>
  <c r="U30" i="11"/>
  <c r="U35" i="11" s="1"/>
  <c r="U8" i="11"/>
  <c r="U131" i="11"/>
  <c r="U7" i="11"/>
  <c r="U11" i="11"/>
  <c r="U24" i="11"/>
  <c r="U18" i="11"/>
  <c r="U57" i="11"/>
  <c r="U125" i="11"/>
  <c r="U9" i="11"/>
  <c r="U17" i="11"/>
  <c r="U43" i="11"/>
  <c r="U88" i="11"/>
  <c r="U91" i="11" s="1"/>
  <c r="U133" i="11"/>
  <c r="M25" i="7"/>
  <c r="M91" i="7"/>
  <c r="M38" i="7"/>
  <c r="M107" i="7"/>
  <c r="M98" i="7"/>
  <c r="M6" i="7"/>
  <c r="M124" i="7"/>
  <c r="M27" i="7"/>
  <c r="M9" i="7"/>
  <c r="M75" i="7"/>
  <c r="M77" i="7" s="1"/>
  <c r="M60" i="7"/>
  <c r="M127" i="7"/>
  <c r="M126" i="7"/>
  <c r="M19" i="7"/>
  <c r="M21" i="7" s="1"/>
  <c r="M32" i="7"/>
  <c r="M34" i="7" s="1"/>
  <c r="M37" i="7"/>
  <c r="M109" i="7"/>
  <c r="M43" i="7"/>
  <c r="M45" i="7" s="1"/>
  <c r="L64" i="13" s="1"/>
  <c r="M14" i="7"/>
  <c r="M16" i="7" s="1"/>
  <c r="M88" i="7"/>
  <c r="M108" i="7"/>
  <c r="M89" i="7"/>
  <c r="M82" i="7"/>
  <c r="M85" i="7" s="1"/>
  <c r="M119" i="7"/>
  <c r="M26" i="7"/>
  <c r="M24" i="7"/>
  <c r="M117" i="7"/>
  <c r="M52" i="7"/>
  <c r="M90" i="7"/>
  <c r="M54" i="7"/>
  <c r="M125" i="7"/>
  <c r="M51" i="7"/>
  <c r="M105" i="7"/>
  <c r="M61" i="7"/>
  <c r="M53" i="7"/>
  <c r="M92" i="7"/>
  <c r="M106" i="7"/>
  <c r="M59" i="7"/>
  <c r="M118" i="7"/>
  <c r="M99" i="7"/>
  <c r="L52" i="7"/>
  <c r="L37" i="7"/>
  <c r="L61" i="7"/>
  <c r="L88" i="7"/>
  <c r="L107" i="7"/>
  <c r="L24" i="7"/>
  <c r="L98" i="7"/>
  <c r="L92" i="7"/>
  <c r="L118" i="7"/>
  <c r="L9" i="7"/>
  <c r="L89" i="7"/>
  <c r="L26" i="7"/>
  <c r="L54" i="7"/>
  <c r="L82" i="7"/>
  <c r="L85" i="7" s="1"/>
  <c r="L108" i="7"/>
  <c r="L43" i="7"/>
  <c r="L45" i="7" s="1"/>
  <c r="K64" i="13" s="1"/>
  <c r="L38" i="7"/>
  <c r="L117" i="7"/>
  <c r="L119" i="7"/>
  <c r="L19" i="7"/>
  <c r="L21" i="7" s="1"/>
  <c r="L127" i="7"/>
  <c r="L126" i="7"/>
  <c r="L91" i="7"/>
  <c r="L32" i="7"/>
  <c r="L34" i="7" s="1"/>
  <c r="L27" i="7"/>
  <c r="L125" i="7"/>
  <c r="L105" i="7"/>
  <c r="L99" i="7"/>
  <c r="L124" i="7"/>
  <c r="L106" i="7"/>
  <c r="L6" i="7"/>
  <c r="L51" i="7"/>
  <c r="L14" i="7"/>
  <c r="L16" i="7" s="1"/>
  <c r="L25" i="7"/>
  <c r="L60" i="7"/>
  <c r="L53" i="7"/>
  <c r="L90" i="7"/>
  <c r="L59" i="7"/>
  <c r="L109" i="7"/>
  <c r="L75" i="7"/>
  <c r="L77" i="7" s="1"/>
  <c r="J123" i="10"/>
  <c r="J92" i="10"/>
  <c r="J60" i="10"/>
  <c r="J51" i="10"/>
  <c r="J97" i="10"/>
  <c r="J98" i="10" s="1"/>
  <c r="J34" i="10"/>
  <c r="J7" i="10"/>
  <c r="J6" i="10"/>
  <c r="J61" i="10"/>
  <c r="J106" i="10"/>
  <c r="J107" i="10" s="1"/>
  <c r="J15" i="10"/>
  <c r="J65" i="10"/>
  <c r="J27" i="10"/>
  <c r="J102" i="10"/>
  <c r="J35" i="10"/>
  <c r="J63" i="10"/>
  <c r="J101" i="10"/>
  <c r="J62" i="10"/>
  <c r="J111" i="10"/>
  <c r="J91" i="10"/>
  <c r="J8" i="10"/>
  <c r="J122" i="10"/>
  <c r="J59" i="10"/>
  <c r="J85" i="10"/>
  <c r="J26" i="10"/>
  <c r="J46" i="10"/>
  <c r="J48" i="10" s="1"/>
  <c r="J68" i="10"/>
  <c r="J16" i="10"/>
  <c r="J110" i="10"/>
  <c r="J64" i="10"/>
  <c r="J52" i="10"/>
  <c r="J84" i="10"/>
  <c r="J9" i="10"/>
  <c r="J14" i="10"/>
  <c r="J66" i="10"/>
  <c r="F84" i="10"/>
  <c r="F122" i="10"/>
  <c r="F6" i="10"/>
  <c r="F66" i="10"/>
  <c r="F64" i="10"/>
  <c r="F65" i="10"/>
  <c r="F34" i="10"/>
  <c r="F101" i="10"/>
  <c r="F14" i="10"/>
  <c r="F27" i="10"/>
  <c r="F68" i="10"/>
  <c r="F59" i="10"/>
  <c r="F63" i="10"/>
  <c r="F26" i="10"/>
  <c r="F91" i="10"/>
  <c r="F123" i="10"/>
  <c r="F62" i="10"/>
  <c r="F61" i="10"/>
  <c r="F9" i="10"/>
  <c r="F8" i="10"/>
  <c r="F52" i="10"/>
  <c r="F35" i="10"/>
  <c r="F92" i="10"/>
  <c r="F106" i="10"/>
  <c r="F107" i="10" s="1"/>
  <c r="F16" i="10"/>
  <c r="F111" i="10"/>
  <c r="F97" i="10"/>
  <c r="F98" i="10" s="1"/>
  <c r="F15" i="10"/>
  <c r="F110" i="10"/>
  <c r="F102" i="10"/>
  <c r="F7" i="10"/>
  <c r="F46" i="10"/>
  <c r="F48" i="10" s="1"/>
  <c r="F85" i="10"/>
  <c r="F60" i="10"/>
  <c r="F51" i="10"/>
  <c r="E28" i="6"/>
  <c r="E55" i="6"/>
  <c r="E7" i="6"/>
  <c r="E87" i="6"/>
  <c r="E102" i="6"/>
  <c r="E103" i="6" s="1"/>
  <c r="E38" i="6"/>
  <c r="E56" i="6"/>
  <c r="E29" i="6"/>
  <c r="E8" i="6"/>
  <c r="E86" i="6"/>
  <c r="E62" i="6"/>
  <c r="E36" i="6"/>
  <c r="E75" i="6"/>
  <c r="E106" i="6"/>
  <c r="E107" i="6" s="1"/>
  <c r="E40" i="6"/>
  <c r="E53" i="6"/>
  <c r="E92" i="6"/>
  <c r="E94" i="6" s="1"/>
  <c r="E43" i="6"/>
  <c r="E42" i="6"/>
  <c r="E122" i="6"/>
  <c r="E6" i="6"/>
  <c r="E79" i="6"/>
  <c r="E85" i="6"/>
  <c r="E48" i="6"/>
  <c r="E41" i="6"/>
  <c r="E14" i="6"/>
  <c r="E37" i="6"/>
  <c r="E18" i="6"/>
  <c r="E61" i="6"/>
  <c r="E77" i="6"/>
  <c r="E76" i="6"/>
  <c r="E74" i="6"/>
  <c r="E110" i="6"/>
  <c r="E49" i="6"/>
  <c r="E9" i="6"/>
  <c r="E78" i="6"/>
  <c r="E88" i="6"/>
  <c r="E63" i="6"/>
  <c r="E68" i="6"/>
  <c r="E64" i="6"/>
  <c r="E17" i="6"/>
  <c r="E69" i="6"/>
  <c r="E65" i="6"/>
  <c r="E39" i="6"/>
  <c r="E15" i="6"/>
  <c r="E19" i="6"/>
  <c r="E54" i="6"/>
  <c r="E66" i="6"/>
  <c r="E80" i="6"/>
  <c r="E97" i="6"/>
  <c r="E123" i="6"/>
  <c r="E16" i="6"/>
  <c r="E98" i="6"/>
  <c r="W26" i="7"/>
  <c r="W14" i="7"/>
  <c r="W16" i="7" s="1"/>
  <c r="W99" i="7"/>
  <c r="W25" i="7"/>
  <c r="W61" i="7"/>
  <c r="W6" i="7"/>
  <c r="W60" i="7"/>
  <c r="W105" i="7"/>
  <c r="W54" i="7"/>
  <c r="W19" i="7"/>
  <c r="W21" i="7" s="1"/>
  <c r="W59" i="7"/>
  <c r="W82" i="7"/>
  <c r="W85" i="7" s="1"/>
  <c r="W107" i="7"/>
  <c r="W91" i="7"/>
  <c r="W24" i="7"/>
  <c r="W51" i="7"/>
  <c r="W117" i="7"/>
  <c r="W119" i="7"/>
  <c r="W125" i="7"/>
  <c r="W32" i="7"/>
  <c r="W34" i="7" s="1"/>
  <c r="W9" i="7"/>
  <c r="W52" i="7"/>
  <c r="W43" i="7"/>
  <c r="W45" i="7" s="1"/>
  <c r="W108" i="7"/>
  <c r="W37" i="7"/>
  <c r="W124" i="7"/>
  <c r="W90" i="7"/>
  <c r="W126" i="7"/>
  <c r="W127" i="7"/>
  <c r="W109" i="7"/>
  <c r="W27" i="7"/>
  <c r="W106" i="7"/>
  <c r="W98" i="7"/>
  <c r="W38" i="7"/>
  <c r="W75" i="7"/>
  <c r="W77" i="7" s="1"/>
  <c r="W88" i="7"/>
  <c r="W92" i="7"/>
  <c r="W118" i="7"/>
  <c r="W89" i="7"/>
  <c r="W53" i="7"/>
  <c r="N101" i="10"/>
  <c r="N61" i="10"/>
  <c r="N27" i="10"/>
  <c r="N62" i="10"/>
  <c r="N91" i="10"/>
  <c r="N35" i="10"/>
  <c r="N110" i="10"/>
  <c r="N85" i="10"/>
  <c r="N14" i="10"/>
  <c r="N63" i="10"/>
  <c r="N51" i="10"/>
  <c r="N52" i="10"/>
  <c r="N123" i="10"/>
  <c r="N59" i="10"/>
  <c r="N68" i="10"/>
  <c r="N111" i="10"/>
  <c r="N15" i="10"/>
  <c r="N65" i="10"/>
  <c r="N102" i="10"/>
  <c r="N46" i="10"/>
  <c r="N48" i="10" s="1"/>
  <c r="N66" i="10"/>
  <c r="N9" i="10"/>
  <c r="N106" i="10"/>
  <c r="N107" i="10" s="1"/>
  <c r="N26" i="10"/>
  <c r="N92" i="10"/>
  <c r="N64" i="10"/>
  <c r="N8" i="10"/>
  <c r="N34" i="10"/>
  <c r="N97" i="10"/>
  <c r="N98" i="10" s="1"/>
  <c r="N16" i="10"/>
  <c r="N84" i="10"/>
  <c r="N60" i="10"/>
  <c r="N122" i="10"/>
  <c r="N7" i="10"/>
  <c r="N6" i="10"/>
  <c r="AH119" i="7"/>
  <c r="AH24" i="7"/>
  <c r="AH92" i="7"/>
  <c r="AH82" i="7"/>
  <c r="AH85" i="7" s="1"/>
  <c r="AH14" i="7"/>
  <c r="AH16" i="7" s="1"/>
  <c r="AH52" i="7"/>
  <c r="AH125" i="7"/>
  <c r="AH108" i="7"/>
  <c r="AH126" i="7"/>
  <c r="AH106" i="7"/>
  <c r="AH32" i="7"/>
  <c r="AH34" i="7" s="1"/>
  <c r="AH60" i="7"/>
  <c r="AH61" i="7"/>
  <c r="AH38" i="7"/>
  <c r="AH53" i="7"/>
  <c r="AH37" i="7"/>
  <c r="AH105" i="7"/>
  <c r="AH9" i="7"/>
  <c r="AH88" i="7"/>
  <c r="AH107" i="7"/>
  <c r="AH25" i="7"/>
  <c r="AH89" i="7"/>
  <c r="AH90" i="7"/>
  <c r="AH19" i="7"/>
  <c r="AH21" i="7" s="1"/>
  <c r="AH118" i="7"/>
  <c r="AH43" i="7"/>
  <c r="AH45" i="7" s="1"/>
  <c r="AH75" i="7"/>
  <c r="AH77" i="7" s="1"/>
  <c r="AH79" i="7" s="1"/>
  <c r="AH26" i="7"/>
  <c r="AH59" i="7"/>
  <c r="AH99" i="7"/>
  <c r="AH91" i="7"/>
  <c r="AH27" i="7"/>
  <c r="AH6" i="7"/>
  <c r="AH98" i="7"/>
  <c r="AH127" i="7"/>
  <c r="AH109" i="7"/>
  <c r="AH124" i="7"/>
  <c r="AH54" i="7"/>
  <c r="AH51" i="7"/>
  <c r="AH117" i="7"/>
  <c r="AF59" i="7"/>
  <c r="AF75" i="7"/>
  <c r="AF77" i="7" s="1"/>
  <c r="AF79" i="7" s="1"/>
  <c r="AF108" i="7"/>
  <c r="AF90" i="7"/>
  <c r="AF25" i="7"/>
  <c r="AF37" i="7"/>
  <c r="AF54" i="7"/>
  <c r="AF52" i="7"/>
  <c r="AF24" i="7"/>
  <c r="AF6" i="7"/>
  <c r="AF124" i="7"/>
  <c r="AF118" i="7"/>
  <c r="AF27" i="7"/>
  <c r="AF117" i="7"/>
  <c r="AF99" i="7"/>
  <c r="AF9" i="7"/>
  <c r="AF43" i="7"/>
  <c r="AF45" i="7" s="1"/>
  <c r="AF26" i="7"/>
  <c r="AF127" i="7"/>
  <c r="AF60" i="7"/>
  <c r="AF38" i="7"/>
  <c r="AF107" i="7"/>
  <c r="AF92" i="7"/>
  <c r="AF51" i="7"/>
  <c r="AF98" i="7"/>
  <c r="AF32" i="7"/>
  <c r="AF34" i="7" s="1"/>
  <c r="AF14" i="7"/>
  <c r="AF16" i="7" s="1"/>
  <c r="AF82" i="7"/>
  <c r="AF85" i="7" s="1"/>
  <c r="AF53" i="7"/>
  <c r="AF61" i="7"/>
  <c r="AF91" i="7"/>
  <c r="AF109" i="7"/>
  <c r="AF89" i="7"/>
  <c r="AF119" i="7"/>
  <c r="AF88" i="7"/>
  <c r="AF105" i="7"/>
  <c r="AF126" i="7"/>
  <c r="AF106" i="7"/>
  <c r="AF19" i="7"/>
  <c r="AF21" i="7" s="1"/>
  <c r="AF125" i="7"/>
  <c r="Z63" i="6"/>
  <c r="Z55" i="6"/>
  <c r="Z37" i="6"/>
  <c r="Z123" i="6"/>
  <c r="Z75" i="6"/>
  <c r="Z28" i="6"/>
  <c r="Z88" i="6"/>
  <c r="Z15" i="6"/>
  <c r="Z41" i="6"/>
  <c r="Z76" i="6"/>
  <c r="Z48" i="6"/>
  <c r="Z17" i="6"/>
  <c r="Z92" i="6"/>
  <c r="Z94" i="6" s="1"/>
  <c r="Z19" i="6"/>
  <c r="Z9" i="6"/>
  <c r="Z43" i="6"/>
  <c r="Z68" i="6"/>
  <c r="Z16" i="6"/>
  <c r="Z18" i="6"/>
  <c r="Z29" i="6"/>
  <c r="Z14" i="6"/>
  <c r="Z64" i="6"/>
  <c r="Z86" i="6"/>
  <c r="Z6" i="6"/>
  <c r="Z102" i="6"/>
  <c r="Z103" i="6" s="1"/>
  <c r="Z40" i="6"/>
  <c r="Z61" i="6"/>
  <c r="Z106" i="6"/>
  <c r="Z107" i="6" s="1"/>
  <c r="Z65" i="6"/>
  <c r="Z110" i="6"/>
  <c r="Z56" i="6"/>
  <c r="Z62" i="6"/>
  <c r="Z79" i="6"/>
  <c r="Z42" i="6"/>
  <c r="Z69" i="6"/>
  <c r="Z80" i="6"/>
  <c r="Z97" i="6"/>
  <c r="Z85" i="6"/>
  <c r="Z36" i="6"/>
  <c r="Z78" i="6"/>
  <c r="Z77" i="6"/>
  <c r="Z66" i="6"/>
  <c r="Z122" i="6"/>
  <c r="Z49" i="6"/>
  <c r="Z54" i="6"/>
  <c r="Z8" i="6"/>
  <c r="Z74" i="6"/>
  <c r="Z39" i="6"/>
  <c r="Z38" i="6"/>
  <c r="Z87" i="6"/>
  <c r="Z7" i="6"/>
  <c r="Z53" i="6"/>
  <c r="Z98" i="6"/>
  <c r="V79" i="6"/>
  <c r="V42" i="6"/>
  <c r="V7" i="6"/>
  <c r="V98" i="6"/>
  <c r="V37" i="6"/>
  <c r="V92" i="6"/>
  <c r="V94" i="6" s="1"/>
  <c r="V6" i="6"/>
  <c r="V41" i="6"/>
  <c r="V110" i="6"/>
  <c r="V80" i="6"/>
  <c r="V39" i="6"/>
  <c r="V76" i="6"/>
  <c r="V40" i="6"/>
  <c r="V36" i="6"/>
  <c r="V55" i="6"/>
  <c r="V77" i="6"/>
  <c r="V88" i="6"/>
  <c r="V85" i="6"/>
  <c r="V123" i="6"/>
  <c r="V87" i="6"/>
  <c r="V17" i="6"/>
  <c r="V43" i="6"/>
  <c r="V8" i="6"/>
  <c r="V66" i="6"/>
  <c r="V53" i="6"/>
  <c r="V78" i="6"/>
  <c r="V9" i="6"/>
  <c r="V15" i="6"/>
  <c r="V29" i="6"/>
  <c r="V56" i="6"/>
  <c r="V49" i="6"/>
  <c r="V61" i="6"/>
  <c r="V63" i="6"/>
  <c r="V106" i="6"/>
  <c r="V107" i="6" s="1"/>
  <c r="V86" i="6"/>
  <c r="V62" i="6"/>
  <c r="V16" i="6"/>
  <c r="V102" i="6"/>
  <c r="V103" i="6" s="1"/>
  <c r="V19" i="6"/>
  <c r="V18" i="6"/>
  <c r="V122" i="6"/>
  <c r="V64" i="6"/>
  <c r="V97" i="6"/>
  <c r="V75" i="6"/>
  <c r="V54" i="6"/>
  <c r="V38" i="6"/>
  <c r="V68" i="6"/>
  <c r="V74" i="6"/>
  <c r="V48" i="6"/>
  <c r="V69" i="6"/>
  <c r="V14" i="6"/>
  <c r="V65" i="6"/>
  <c r="V28" i="6"/>
  <c r="U18" i="6"/>
  <c r="U6" i="6"/>
  <c r="U29" i="6"/>
  <c r="U49" i="6"/>
  <c r="U79" i="6"/>
  <c r="U98" i="6"/>
  <c r="U17" i="6"/>
  <c r="U36" i="6"/>
  <c r="U74" i="6"/>
  <c r="U85" i="6"/>
  <c r="U53" i="6"/>
  <c r="U14" i="6"/>
  <c r="U19" i="6"/>
  <c r="U40" i="6"/>
  <c r="U92" i="6"/>
  <c r="U94" i="6" s="1"/>
  <c r="U110" i="6"/>
  <c r="U48" i="6"/>
  <c r="U15" i="6"/>
  <c r="U41" i="6"/>
  <c r="U62" i="6"/>
  <c r="U16" i="6"/>
  <c r="U28" i="6"/>
  <c r="U56" i="6"/>
  <c r="U68" i="6"/>
  <c r="U38" i="6"/>
  <c r="U87" i="6"/>
  <c r="U43" i="6"/>
  <c r="U106" i="6"/>
  <c r="U107" i="6" s="1"/>
  <c r="U102" i="6"/>
  <c r="U103" i="6" s="1"/>
  <c r="U7" i="6"/>
  <c r="U65" i="6"/>
  <c r="U88" i="6"/>
  <c r="U37" i="6"/>
  <c r="U54" i="6"/>
  <c r="U8" i="6"/>
  <c r="U78" i="6"/>
  <c r="U66" i="6"/>
  <c r="U86" i="6"/>
  <c r="U76" i="6"/>
  <c r="U39" i="6"/>
  <c r="U122" i="6"/>
  <c r="U69" i="6"/>
  <c r="U123" i="6"/>
  <c r="U55" i="6"/>
  <c r="U64" i="6"/>
  <c r="U75" i="6"/>
  <c r="U80" i="6"/>
  <c r="U97" i="6"/>
  <c r="U9" i="6"/>
  <c r="U77" i="6"/>
  <c r="U63" i="6"/>
  <c r="U42" i="6"/>
  <c r="U61" i="6"/>
  <c r="R101" i="10"/>
  <c r="R62" i="10"/>
  <c r="R85" i="10"/>
  <c r="R35" i="10"/>
  <c r="R64" i="10"/>
  <c r="R15" i="10"/>
  <c r="R91" i="10"/>
  <c r="R110" i="10"/>
  <c r="R27" i="10"/>
  <c r="R61" i="10"/>
  <c r="R46" i="10"/>
  <c r="R48" i="10" s="1"/>
  <c r="R8" i="10"/>
  <c r="R68" i="10"/>
  <c r="R84" i="10"/>
  <c r="R59" i="10"/>
  <c r="R52" i="10"/>
  <c r="R111" i="10"/>
  <c r="R102" i="10"/>
  <c r="R66" i="10"/>
  <c r="R63" i="10"/>
  <c r="R106" i="10"/>
  <c r="R107" i="10" s="1"/>
  <c r="R92" i="10"/>
  <c r="R97" i="10"/>
  <c r="R98" i="10" s="1"/>
  <c r="R34" i="10"/>
  <c r="R122" i="10"/>
  <c r="R26" i="10"/>
  <c r="R123" i="10"/>
  <c r="F28" i="15" s="1"/>
  <c r="R6" i="10"/>
  <c r="R60" i="10"/>
  <c r="R51" i="10"/>
  <c r="R7" i="10"/>
  <c r="R65" i="10"/>
  <c r="R14" i="10"/>
  <c r="R9" i="10"/>
  <c r="R16" i="10"/>
  <c r="O97" i="10"/>
  <c r="O98" i="10" s="1"/>
  <c r="O60" i="10"/>
  <c r="O15" i="10"/>
  <c r="O66" i="10"/>
  <c r="O91" i="10"/>
  <c r="O122" i="10"/>
  <c r="O51" i="10"/>
  <c r="O34" i="10"/>
  <c r="O63" i="10"/>
  <c r="O62" i="10"/>
  <c r="O85" i="10"/>
  <c r="O6" i="10"/>
  <c r="O14" i="10"/>
  <c r="O61" i="10"/>
  <c r="O64" i="10"/>
  <c r="O26" i="10"/>
  <c r="O68" i="10"/>
  <c r="O59" i="10"/>
  <c r="O46" i="10"/>
  <c r="O48" i="10" s="1"/>
  <c r="O35" i="10"/>
  <c r="O52" i="10"/>
  <c r="O106" i="10"/>
  <c r="O107" i="10" s="1"/>
  <c r="O27" i="10"/>
  <c r="O8" i="10"/>
  <c r="O123" i="10"/>
  <c r="O110" i="10"/>
  <c r="O16" i="10"/>
  <c r="O7" i="10"/>
  <c r="O9" i="10"/>
  <c r="O65" i="10"/>
  <c r="O102" i="10"/>
  <c r="O111" i="10"/>
  <c r="O92" i="10"/>
  <c r="O84" i="10"/>
  <c r="O101" i="10"/>
  <c r="P104" i="11"/>
  <c r="P107" i="11" s="1"/>
  <c r="P131" i="11"/>
  <c r="P57" i="11"/>
  <c r="P132" i="11"/>
  <c r="P125" i="11"/>
  <c r="P30" i="11"/>
  <c r="P35" i="11" s="1"/>
  <c r="P11" i="11"/>
  <c r="P8" i="11"/>
  <c r="P124" i="11"/>
  <c r="P88" i="11"/>
  <c r="P91" i="11" s="1"/>
  <c r="P18" i="11"/>
  <c r="P9" i="11"/>
  <c r="P111" i="11"/>
  <c r="P58" i="11"/>
  <c r="P38" i="11"/>
  <c r="P40" i="11" s="1"/>
  <c r="P19" i="11"/>
  <c r="P133" i="11"/>
  <c r="P43" i="11"/>
  <c r="P123" i="11"/>
  <c r="P24" i="11"/>
  <c r="P7" i="11"/>
  <c r="P6" i="11"/>
  <c r="P17" i="11"/>
  <c r="P25" i="11"/>
  <c r="I52" i="7"/>
  <c r="I82" i="7"/>
  <c r="I85" i="7" s="1"/>
  <c r="I109" i="7"/>
  <c r="I98" i="7"/>
  <c r="I14" i="7"/>
  <c r="I16" i="7" s="1"/>
  <c r="I6" i="7"/>
  <c r="I127" i="7"/>
  <c r="I90" i="7"/>
  <c r="I59" i="7"/>
  <c r="I54" i="7"/>
  <c r="I106" i="7"/>
  <c r="I99" i="7"/>
  <c r="I92" i="7"/>
  <c r="I91" i="7"/>
  <c r="I38" i="7"/>
  <c r="I108" i="7"/>
  <c r="I124" i="7"/>
  <c r="I107" i="7"/>
  <c r="I24" i="7"/>
  <c r="I61" i="7"/>
  <c r="I89" i="7"/>
  <c r="I119" i="7"/>
  <c r="I32" i="7"/>
  <c r="I34" i="7" s="1"/>
  <c r="I125" i="7"/>
  <c r="I43" i="7"/>
  <c r="I45" i="7" s="1"/>
  <c r="H64" i="13" s="1"/>
  <c r="I27" i="7"/>
  <c r="I51" i="7"/>
  <c r="I37" i="7"/>
  <c r="I105" i="7"/>
  <c r="I75" i="7"/>
  <c r="I77" i="7" s="1"/>
  <c r="I60" i="7"/>
  <c r="I53" i="7"/>
  <c r="I25" i="7"/>
  <c r="I26" i="7"/>
  <c r="I9" i="7"/>
  <c r="I117" i="7"/>
  <c r="I118" i="7"/>
  <c r="I19" i="7"/>
  <c r="I21" i="7" s="1"/>
  <c r="I88" i="7"/>
  <c r="I126" i="7"/>
  <c r="F110" i="6"/>
  <c r="F9" i="6"/>
  <c r="F98" i="6"/>
  <c r="F37" i="6"/>
  <c r="F7" i="6"/>
  <c r="F66" i="6"/>
  <c r="F41" i="6"/>
  <c r="F78" i="6"/>
  <c r="F97" i="6"/>
  <c r="F36" i="6"/>
  <c r="F106" i="6"/>
  <c r="F107" i="6" s="1"/>
  <c r="F42" i="6"/>
  <c r="F79" i="6"/>
  <c r="F80" i="6"/>
  <c r="F38" i="6"/>
  <c r="F55" i="6"/>
  <c r="F102" i="6"/>
  <c r="F103" i="6" s="1"/>
  <c r="F92" i="6"/>
  <c r="F94" i="6" s="1"/>
  <c r="F61" i="6"/>
  <c r="F8" i="6"/>
  <c r="F28" i="6"/>
  <c r="F123" i="6"/>
  <c r="F39" i="6"/>
  <c r="F19" i="6"/>
  <c r="F122" i="6"/>
  <c r="F29" i="6"/>
  <c r="F63" i="6"/>
  <c r="F17" i="6"/>
  <c r="F56" i="6"/>
  <c r="F16" i="6"/>
  <c r="F18" i="6"/>
  <c r="F68" i="6"/>
  <c r="F75" i="6"/>
  <c r="F69" i="6"/>
  <c r="F43" i="6"/>
  <c r="F77" i="6"/>
  <c r="F49" i="6"/>
  <c r="F86" i="6"/>
  <c r="F48" i="6"/>
  <c r="F76" i="6"/>
  <c r="F85" i="6"/>
  <c r="F15" i="6"/>
  <c r="F64" i="6"/>
  <c r="F40" i="6"/>
  <c r="F74" i="6"/>
  <c r="F54" i="6"/>
  <c r="F87" i="6"/>
  <c r="F88" i="6"/>
  <c r="F6" i="6"/>
  <c r="F14" i="6"/>
  <c r="F53" i="6"/>
  <c r="F65" i="6"/>
  <c r="F62" i="6"/>
  <c r="G69" i="6"/>
  <c r="G78" i="6"/>
  <c r="G29" i="6"/>
  <c r="G6" i="6"/>
  <c r="G43" i="6"/>
  <c r="G102" i="6"/>
  <c r="G103" i="6" s="1"/>
  <c r="G86" i="6"/>
  <c r="G106" i="6"/>
  <c r="G107" i="6" s="1"/>
  <c r="G8" i="6"/>
  <c r="G87" i="6"/>
  <c r="G123" i="6"/>
  <c r="G49" i="6"/>
  <c r="G98" i="6"/>
  <c r="G39" i="6"/>
  <c r="G62" i="6"/>
  <c r="G9" i="6"/>
  <c r="G17" i="6"/>
  <c r="G92" i="6"/>
  <c r="G94" i="6" s="1"/>
  <c r="G77" i="6"/>
  <c r="G110" i="6"/>
  <c r="G42" i="6"/>
  <c r="G80" i="6"/>
  <c r="G85" i="6"/>
  <c r="G16" i="6"/>
  <c r="G65" i="6"/>
  <c r="G64" i="6"/>
  <c r="G55" i="6"/>
  <c r="G68" i="6"/>
  <c r="G53" i="6"/>
  <c r="G122" i="6"/>
  <c r="G75" i="6"/>
  <c r="G14" i="6"/>
  <c r="G28" i="6"/>
  <c r="G63" i="6"/>
  <c r="G40" i="6"/>
  <c r="G88" i="6"/>
  <c r="G15" i="6"/>
  <c r="G48" i="6"/>
  <c r="G7" i="6"/>
  <c r="G18" i="6"/>
  <c r="G61" i="6"/>
  <c r="G38" i="6"/>
  <c r="G37" i="6"/>
  <c r="G97" i="6"/>
  <c r="G74" i="6"/>
  <c r="G36" i="6"/>
  <c r="G76" i="6"/>
  <c r="G79" i="6"/>
  <c r="G19" i="6"/>
  <c r="G66" i="6"/>
  <c r="G41" i="6"/>
  <c r="G56" i="6"/>
  <c r="G54" i="6"/>
  <c r="AE19" i="6"/>
  <c r="AE123" i="6"/>
  <c r="AE7" i="6"/>
  <c r="AE77" i="6"/>
  <c r="AE62" i="6"/>
  <c r="AE18" i="6"/>
  <c r="AE68" i="6"/>
  <c r="AE28" i="6"/>
  <c r="AE78" i="6"/>
  <c r="AE55" i="6"/>
  <c r="AE14" i="6"/>
  <c r="AE79" i="6"/>
  <c r="AE54" i="6"/>
  <c r="AE65" i="6"/>
  <c r="AE17" i="6"/>
  <c r="AE53" i="6"/>
  <c r="AE86" i="6"/>
  <c r="AE63" i="6"/>
  <c r="AE85" i="6"/>
  <c r="AE48" i="6"/>
  <c r="AE40" i="6"/>
  <c r="AE102" i="6"/>
  <c r="AE103" i="6" s="1"/>
  <c r="AE75" i="6"/>
  <c r="AE43" i="6"/>
  <c r="AE66" i="6"/>
  <c r="AE16" i="6"/>
  <c r="AE6" i="6"/>
  <c r="AE56" i="6"/>
  <c r="AE98" i="6"/>
  <c r="AE88" i="6"/>
  <c r="AE69" i="6"/>
  <c r="AE64" i="6"/>
  <c r="AE9" i="6"/>
  <c r="AE106" i="6"/>
  <c r="AE107" i="6" s="1"/>
  <c r="AE74" i="6"/>
  <c r="AE122" i="6"/>
  <c r="AE97" i="6"/>
  <c r="AE8" i="6"/>
  <c r="AE29" i="6"/>
  <c r="AE80" i="6"/>
  <c r="AE36" i="6"/>
  <c r="AE110" i="6"/>
  <c r="AE112" i="6" s="1"/>
  <c r="AE15" i="6"/>
  <c r="AE41" i="6"/>
  <c r="AE61" i="6"/>
  <c r="AE38" i="6"/>
  <c r="AE76" i="6"/>
  <c r="AE92" i="6"/>
  <c r="AE94" i="6" s="1"/>
  <c r="AE42" i="6"/>
  <c r="AE49" i="6"/>
  <c r="AE39" i="6"/>
  <c r="AE87" i="6"/>
  <c r="AE37" i="6"/>
  <c r="AH17" i="11"/>
  <c r="AH25" i="11"/>
  <c r="AH132" i="11"/>
  <c r="AH88" i="11"/>
  <c r="AH91" i="11" s="1"/>
  <c r="AH19" i="11"/>
  <c r="AH8" i="11"/>
  <c r="AH58" i="11"/>
  <c r="AH125" i="11"/>
  <c r="AH43" i="11"/>
  <c r="AH7" i="11"/>
  <c r="AH104" i="11"/>
  <c r="AH107" i="11" s="1"/>
  <c r="AH24" i="11"/>
  <c r="AH124" i="11"/>
  <c r="AH111" i="11"/>
  <c r="AH6" i="11"/>
  <c r="AH131" i="11"/>
  <c r="AH38" i="11"/>
  <c r="AH40" i="11" s="1"/>
  <c r="AH133" i="11"/>
  <c r="AH30" i="11"/>
  <c r="AH35" i="11" s="1"/>
  <c r="AH123" i="11"/>
  <c r="AH57" i="11"/>
  <c r="AH18" i="11"/>
  <c r="AH11" i="11"/>
  <c r="AH9" i="11"/>
  <c r="AB16" i="10"/>
  <c r="AB6" i="10"/>
  <c r="AB85" i="10"/>
  <c r="AB68" i="10"/>
  <c r="AB102" i="10"/>
  <c r="AB15" i="10"/>
  <c r="AB7" i="10"/>
  <c r="AB61" i="10"/>
  <c r="AB106" i="10"/>
  <c r="AB107" i="10" s="1"/>
  <c r="AB34" i="10"/>
  <c r="AB66" i="10"/>
  <c r="AB14" i="10"/>
  <c r="AB123" i="10"/>
  <c r="P28" i="15" s="1"/>
  <c r="AB51" i="10"/>
  <c r="AB111" i="10"/>
  <c r="AB62" i="10"/>
  <c r="AB26" i="10"/>
  <c r="AB46" i="10"/>
  <c r="AB48" i="10" s="1"/>
  <c r="AB59" i="10"/>
  <c r="AB64" i="10"/>
  <c r="AB92" i="10"/>
  <c r="AB8" i="10"/>
  <c r="AB63" i="10"/>
  <c r="AB60" i="10"/>
  <c r="AB101" i="10"/>
  <c r="AB35" i="10"/>
  <c r="AB9" i="10"/>
  <c r="AB91" i="10"/>
  <c r="AB110" i="10"/>
  <c r="AB84" i="10"/>
  <c r="AB97" i="10"/>
  <c r="AB98" i="10" s="1"/>
  <c r="AB122" i="10"/>
  <c r="AB27" i="10"/>
  <c r="AB65" i="10"/>
  <c r="AB52" i="10"/>
  <c r="Y57" i="11"/>
  <c r="Y19" i="11"/>
  <c r="Y25" i="11"/>
  <c r="Y11" i="11"/>
  <c r="Y30" i="11"/>
  <c r="Y35" i="11" s="1"/>
  <c r="Y125" i="11"/>
  <c r="Y43" i="11"/>
  <c r="Y124" i="11"/>
  <c r="Y133" i="11"/>
  <c r="Y132" i="11"/>
  <c r="Y9" i="11"/>
  <c r="Y111" i="11"/>
  <c r="Y131" i="11"/>
  <c r="Y6" i="11"/>
  <c r="Y58" i="11"/>
  <c r="Y8" i="11"/>
  <c r="Y104" i="11"/>
  <c r="Y107" i="11" s="1"/>
  <c r="Y18" i="11"/>
  <c r="Y88" i="11"/>
  <c r="Y91" i="11" s="1"/>
  <c r="Y24" i="11"/>
  <c r="Y38" i="11"/>
  <c r="Y40" i="11" s="1"/>
  <c r="Y17" i="11"/>
  <c r="Y7" i="11"/>
  <c r="Y123" i="11"/>
  <c r="V18" i="11"/>
  <c r="V8" i="11"/>
  <c r="V58" i="11"/>
  <c r="V132" i="11"/>
  <c r="V43" i="11"/>
  <c r="V25" i="11"/>
  <c r="V131" i="11"/>
  <c r="V6" i="11"/>
  <c r="V104" i="11"/>
  <c r="V107" i="11" s="1"/>
  <c r="V24" i="11"/>
  <c r="V57" i="11"/>
  <c r="V38" i="11"/>
  <c r="V40" i="11" s="1"/>
  <c r="V11" i="11"/>
  <c r="V7" i="11"/>
  <c r="V17" i="11"/>
  <c r="V123" i="11"/>
  <c r="V88" i="11"/>
  <c r="V91" i="11" s="1"/>
  <c r="V19" i="11"/>
  <c r="V124" i="11"/>
  <c r="V133" i="11"/>
  <c r="V125" i="11"/>
  <c r="V30" i="11"/>
  <c r="V35" i="11" s="1"/>
  <c r="V111" i="11"/>
  <c r="V9" i="11"/>
  <c r="O126" i="7"/>
  <c r="O98" i="7"/>
  <c r="O106" i="7"/>
  <c r="O54" i="7"/>
  <c r="O117" i="7"/>
  <c r="O59" i="7"/>
  <c r="O105" i="7"/>
  <c r="O9" i="7"/>
  <c r="O38" i="7"/>
  <c r="O26" i="7"/>
  <c r="O52" i="7"/>
  <c r="O25" i="7"/>
  <c r="O88" i="7"/>
  <c r="O6" i="7"/>
  <c r="O82" i="7"/>
  <c r="O85" i="7" s="1"/>
  <c r="O19" i="7"/>
  <c r="O21" i="7" s="1"/>
  <c r="O125" i="7"/>
  <c r="O32" i="7"/>
  <c r="O34" i="7" s="1"/>
  <c r="O108" i="7"/>
  <c r="O124" i="7"/>
  <c r="O119" i="7"/>
  <c r="O75" i="7"/>
  <c r="O77" i="7" s="1"/>
  <c r="O89" i="7"/>
  <c r="O90" i="7"/>
  <c r="O27" i="7"/>
  <c r="O14" i="7"/>
  <c r="O16" i="7" s="1"/>
  <c r="O107" i="7"/>
  <c r="O60" i="7"/>
  <c r="O61" i="7"/>
  <c r="O127" i="7"/>
  <c r="O43" i="7"/>
  <c r="O45" i="7" s="1"/>
  <c r="N64" i="13" s="1"/>
  <c r="O24" i="7"/>
  <c r="O99" i="7"/>
  <c r="O91" i="7"/>
  <c r="O51" i="7"/>
  <c r="O109" i="7"/>
  <c r="O92" i="7"/>
  <c r="O118" i="7"/>
  <c r="O53" i="7"/>
  <c r="O37" i="7"/>
  <c r="K9" i="6"/>
  <c r="K28" i="6"/>
  <c r="K63" i="6"/>
  <c r="K110" i="6"/>
  <c r="K39" i="6"/>
  <c r="K61" i="6"/>
  <c r="K68" i="6"/>
  <c r="K41" i="6"/>
  <c r="K62" i="6"/>
  <c r="K74" i="6"/>
  <c r="K17" i="6"/>
  <c r="K106" i="6"/>
  <c r="K107" i="6" s="1"/>
  <c r="K53" i="6"/>
  <c r="K88" i="6"/>
  <c r="K37" i="6"/>
  <c r="K38" i="6"/>
  <c r="K79" i="6"/>
  <c r="K40" i="6"/>
  <c r="K78" i="6"/>
  <c r="K6" i="6"/>
  <c r="K43" i="6"/>
  <c r="K64" i="6"/>
  <c r="K29" i="6"/>
  <c r="K54" i="6"/>
  <c r="K65" i="6"/>
  <c r="K36" i="6"/>
  <c r="K86" i="6"/>
  <c r="K97" i="6"/>
  <c r="K19" i="6"/>
  <c r="K14" i="6"/>
  <c r="K49" i="6"/>
  <c r="K80" i="6"/>
  <c r="K76" i="6"/>
  <c r="K8" i="6"/>
  <c r="K18" i="6"/>
  <c r="K122" i="6"/>
  <c r="K123" i="6"/>
  <c r="K87" i="6"/>
  <c r="K48" i="6"/>
  <c r="K102" i="6"/>
  <c r="K103" i="6" s="1"/>
  <c r="K55" i="6"/>
  <c r="K92" i="6"/>
  <c r="K94" i="6" s="1"/>
  <c r="K75" i="6"/>
  <c r="K85" i="6"/>
  <c r="K77" i="6"/>
  <c r="K66" i="6"/>
  <c r="K56" i="6"/>
  <c r="K15" i="6"/>
  <c r="K98" i="6"/>
  <c r="K42" i="6"/>
  <c r="K16" i="6"/>
  <c r="K69" i="6"/>
  <c r="K7" i="6"/>
  <c r="L18" i="11"/>
  <c r="L43" i="11"/>
  <c r="L24" i="11"/>
  <c r="L30" i="11"/>
  <c r="L35" i="11" s="1"/>
  <c r="L11" i="11"/>
  <c r="L38" i="11"/>
  <c r="L40" i="11" s="1"/>
  <c r="L58" i="11"/>
  <c r="L8" i="11"/>
  <c r="L125" i="11"/>
  <c r="L123" i="11"/>
  <c r="L133" i="11"/>
  <c r="L19" i="11"/>
  <c r="L131" i="11"/>
  <c r="L6" i="11"/>
  <c r="L25" i="11"/>
  <c r="L124" i="11"/>
  <c r="L88" i="11"/>
  <c r="L91" i="11" s="1"/>
  <c r="L132" i="11"/>
  <c r="L17" i="11"/>
  <c r="L7" i="11"/>
  <c r="L111" i="11"/>
  <c r="L104" i="11"/>
  <c r="L107" i="11" s="1"/>
  <c r="L57" i="11"/>
  <c r="L9" i="11"/>
  <c r="H111" i="11"/>
  <c r="H57" i="11"/>
  <c r="H24" i="11"/>
  <c r="H38" i="11"/>
  <c r="H40" i="11" s="1"/>
  <c r="H7" i="11"/>
  <c r="H123" i="11"/>
  <c r="H8" i="11"/>
  <c r="H9" i="11"/>
  <c r="H6" i="11"/>
  <c r="H30" i="11"/>
  <c r="H35" i="11" s="1"/>
  <c r="H18" i="11"/>
  <c r="H43" i="11"/>
  <c r="H17" i="11"/>
  <c r="H104" i="11"/>
  <c r="H107" i="11" s="1"/>
  <c r="H124" i="11"/>
  <c r="H19" i="11"/>
  <c r="H133" i="11"/>
  <c r="H132" i="11"/>
  <c r="H125" i="11"/>
  <c r="H25" i="11"/>
  <c r="H58" i="11"/>
  <c r="H88" i="11"/>
  <c r="H91" i="11" s="1"/>
  <c r="H11" i="11"/>
  <c r="H131" i="11"/>
  <c r="E58" i="11"/>
  <c r="E9" i="11"/>
  <c r="E11" i="11"/>
  <c r="E88" i="11"/>
  <c r="E91" i="11" s="1"/>
  <c r="E17" i="11"/>
  <c r="E8" i="11"/>
  <c r="E19" i="11"/>
  <c r="E43" i="11"/>
  <c r="E7" i="11"/>
  <c r="E131" i="11"/>
  <c r="E30" i="11"/>
  <c r="E35" i="11" s="1"/>
  <c r="E132" i="11"/>
  <c r="E125" i="11"/>
  <c r="E24" i="11"/>
  <c r="E123" i="11"/>
  <c r="E57" i="11"/>
  <c r="E104" i="11"/>
  <c r="E107" i="11" s="1"/>
  <c r="E38" i="11"/>
  <c r="E40" i="11" s="1"/>
  <c r="E6" i="11"/>
  <c r="E111" i="11"/>
  <c r="E124" i="11"/>
  <c r="E18" i="11"/>
  <c r="E25" i="11"/>
  <c r="E133" i="11"/>
  <c r="AI132" i="11"/>
  <c r="AI11" i="11"/>
  <c r="AI6" i="11"/>
  <c r="AI57" i="11"/>
  <c r="AI133" i="11"/>
  <c r="AI9" i="11"/>
  <c r="AI18" i="11"/>
  <c r="AI88" i="11"/>
  <c r="AI91" i="11" s="1"/>
  <c r="AI8" i="11"/>
  <c r="AI17" i="11"/>
  <c r="AI30" i="11"/>
  <c r="AI35" i="11" s="1"/>
  <c r="AI58" i="11"/>
  <c r="AI111" i="11"/>
  <c r="AI19" i="11"/>
  <c r="AI125" i="11"/>
  <c r="AI104" i="11"/>
  <c r="AI107" i="11" s="1"/>
  <c r="AI131" i="11"/>
  <c r="AI38" i="11"/>
  <c r="AI40" i="11" s="1"/>
  <c r="AI124" i="11"/>
  <c r="AI7" i="11"/>
  <c r="AI123" i="11"/>
  <c r="AI43" i="11"/>
  <c r="AI25" i="11"/>
  <c r="AI24" i="11"/>
  <c r="AK38" i="11"/>
  <c r="AK40" i="11" s="1"/>
  <c r="AK8" i="11"/>
  <c r="AK104" i="11"/>
  <c r="AK107" i="11" s="1"/>
  <c r="AK131" i="11"/>
  <c r="AK30" i="11"/>
  <c r="AK35" i="11" s="1"/>
  <c r="AK123" i="11"/>
  <c r="AK17" i="11"/>
  <c r="AK57" i="11"/>
  <c r="AK43" i="11"/>
  <c r="AK133" i="11"/>
  <c r="AK124" i="11"/>
  <c r="AK7" i="11"/>
  <c r="AK11" i="11"/>
  <c r="AK111" i="11"/>
  <c r="AK9" i="11"/>
  <c r="AK58" i="11"/>
  <c r="AK25" i="11"/>
  <c r="AK132" i="11"/>
  <c r="AK88" i="11"/>
  <c r="AK91" i="11" s="1"/>
  <c r="AK6" i="11"/>
  <c r="AK125" i="11"/>
  <c r="AK18" i="11"/>
  <c r="AK24" i="11"/>
  <c r="AK19" i="11"/>
  <c r="AJ123" i="10"/>
  <c r="AJ7" i="10"/>
  <c r="AJ9" i="10"/>
  <c r="AJ91" i="10"/>
  <c r="AJ106" i="10"/>
  <c r="AJ107" i="10" s="1"/>
  <c r="AJ8" i="10"/>
  <c r="AJ34" i="10"/>
  <c r="AJ102" i="10"/>
  <c r="AJ59" i="10"/>
  <c r="AJ26" i="10"/>
  <c r="AJ97" i="10"/>
  <c r="AJ98" i="10" s="1"/>
  <c r="AJ35" i="10"/>
  <c r="AJ92" i="10"/>
  <c r="AJ51" i="10"/>
  <c r="AJ122" i="10"/>
  <c r="AJ110" i="10"/>
  <c r="AJ52" i="10"/>
  <c r="AJ84" i="10"/>
  <c r="AJ16" i="10"/>
  <c r="AJ66" i="10"/>
  <c r="AJ6" i="10"/>
  <c r="AJ64" i="10"/>
  <c r="AJ60" i="10"/>
  <c r="AJ61" i="10"/>
  <c r="AJ14" i="10"/>
  <c r="AJ15" i="10"/>
  <c r="AJ68" i="10"/>
  <c r="AJ85" i="10"/>
  <c r="AJ65" i="10"/>
  <c r="AJ62" i="10"/>
  <c r="AJ63" i="10"/>
  <c r="AJ101" i="10"/>
  <c r="AJ27" i="10"/>
  <c r="AJ111" i="10"/>
  <c r="AJ46" i="10"/>
  <c r="AJ48" i="10" s="1"/>
  <c r="AC16" i="10"/>
  <c r="AC35" i="10"/>
  <c r="AC51" i="10"/>
  <c r="AC65" i="10"/>
  <c r="AC15" i="10"/>
  <c r="AC62" i="10"/>
  <c r="AC123" i="10"/>
  <c r="Q28" i="15" s="1"/>
  <c r="AC111" i="10"/>
  <c r="AC84" i="10"/>
  <c r="AC102" i="10"/>
  <c r="AC63" i="10"/>
  <c r="AC60" i="10"/>
  <c r="AC6" i="10"/>
  <c r="AC106" i="10"/>
  <c r="AC107" i="10" s="1"/>
  <c r="AC66" i="10"/>
  <c r="AC91" i="10"/>
  <c r="AC92" i="10"/>
  <c r="AC122" i="10"/>
  <c r="AC52" i="10"/>
  <c r="AC68" i="10"/>
  <c r="AC64" i="10"/>
  <c r="AC34" i="10"/>
  <c r="AC97" i="10"/>
  <c r="AC98" i="10" s="1"/>
  <c r="AC27" i="10"/>
  <c r="AC14" i="10"/>
  <c r="AC59" i="10"/>
  <c r="AC26" i="10"/>
  <c r="AC61" i="10"/>
  <c r="AC7" i="10"/>
  <c r="AC85" i="10"/>
  <c r="AC110" i="10"/>
  <c r="AC8" i="10"/>
  <c r="AC101" i="10"/>
  <c r="AC9" i="10"/>
  <c r="AC46" i="10"/>
  <c r="AC48" i="10" s="1"/>
  <c r="V14" i="7"/>
  <c r="V16" i="7" s="1"/>
  <c r="V98" i="7"/>
  <c r="V52" i="7"/>
  <c r="V60" i="7"/>
  <c r="V38" i="7"/>
  <c r="V59" i="7"/>
  <c r="V53" i="7"/>
  <c r="V106" i="7"/>
  <c r="V51" i="7"/>
  <c r="V118" i="7"/>
  <c r="V89" i="7"/>
  <c r="V6" i="7"/>
  <c r="V9" i="7"/>
  <c r="V99" i="7"/>
  <c r="V124" i="7"/>
  <c r="V107" i="7"/>
  <c r="V108" i="7"/>
  <c r="V126" i="7"/>
  <c r="V75" i="7"/>
  <c r="V77" i="7" s="1"/>
  <c r="V109" i="7"/>
  <c r="V119" i="7"/>
  <c r="V26" i="7"/>
  <c r="V91" i="7"/>
  <c r="V88" i="7"/>
  <c r="V125" i="7"/>
  <c r="V24" i="7"/>
  <c r="V19" i="7"/>
  <c r="V21" i="7" s="1"/>
  <c r="V92" i="7"/>
  <c r="V54" i="7"/>
  <c r="V105" i="7"/>
  <c r="V25" i="7"/>
  <c r="V43" i="7"/>
  <c r="V45" i="7" s="1"/>
  <c r="U64" i="13" s="1"/>
  <c r="V127" i="7"/>
  <c r="V32" i="7"/>
  <c r="V34" i="7" s="1"/>
  <c r="V61" i="7"/>
  <c r="V37" i="7"/>
  <c r="V90" i="7"/>
  <c r="V82" i="7"/>
  <c r="V85" i="7" s="1"/>
  <c r="V117" i="7"/>
  <c r="V27" i="7"/>
  <c r="U92" i="7"/>
  <c r="U25" i="7"/>
  <c r="U127" i="7"/>
  <c r="U54" i="7"/>
  <c r="U117" i="7"/>
  <c r="U19" i="7"/>
  <c r="U21" i="7" s="1"/>
  <c r="U106" i="7"/>
  <c r="U105" i="7"/>
  <c r="U6" i="7"/>
  <c r="U119" i="7"/>
  <c r="U124" i="7"/>
  <c r="U107" i="7"/>
  <c r="U27" i="7"/>
  <c r="U98" i="7"/>
  <c r="U32" i="7"/>
  <c r="U34" i="7" s="1"/>
  <c r="U75" i="7"/>
  <c r="U77" i="7" s="1"/>
  <c r="U24" i="7"/>
  <c r="U109" i="7"/>
  <c r="U59" i="7"/>
  <c r="U126" i="7"/>
  <c r="U43" i="7"/>
  <c r="U45" i="7" s="1"/>
  <c r="T64" i="13" s="1"/>
  <c r="U91" i="7"/>
  <c r="U108" i="7"/>
  <c r="U60" i="7"/>
  <c r="U26" i="7"/>
  <c r="U118" i="7"/>
  <c r="U99" i="7"/>
  <c r="U89" i="7"/>
  <c r="U38" i="7"/>
  <c r="U51" i="7"/>
  <c r="U37" i="7"/>
  <c r="U82" i="7"/>
  <c r="U85" i="7" s="1"/>
  <c r="U52" i="7"/>
  <c r="U88" i="7"/>
  <c r="U9" i="7"/>
  <c r="U61" i="7"/>
  <c r="U14" i="7"/>
  <c r="U16" i="7" s="1"/>
  <c r="U53" i="7"/>
  <c r="U90" i="7"/>
  <c r="U125" i="7"/>
  <c r="S98" i="7"/>
  <c r="S53" i="7"/>
  <c r="S61" i="7"/>
  <c r="S89" i="7"/>
  <c r="S26" i="7"/>
  <c r="S37" i="7"/>
  <c r="S51" i="7"/>
  <c r="S118" i="7"/>
  <c r="S106" i="7"/>
  <c r="S43" i="7"/>
  <c r="S45" i="7" s="1"/>
  <c r="R64" i="13" s="1"/>
  <c r="S126" i="7"/>
  <c r="S19" i="7"/>
  <c r="S21" i="7" s="1"/>
  <c r="S9" i="7"/>
  <c r="S25" i="7"/>
  <c r="S127" i="7"/>
  <c r="S125" i="7"/>
  <c r="S99" i="7"/>
  <c r="S109" i="7"/>
  <c r="S90" i="7"/>
  <c r="S88" i="7"/>
  <c r="S32" i="7"/>
  <c r="S34" i="7" s="1"/>
  <c r="S92" i="7"/>
  <c r="S82" i="7"/>
  <c r="S85" i="7" s="1"/>
  <c r="S119" i="7"/>
  <c r="S52" i="7"/>
  <c r="S117" i="7"/>
  <c r="S27" i="7"/>
  <c r="S108" i="7"/>
  <c r="S91" i="7"/>
  <c r="S107" i="7"/>
  <c r="S54" i="7"/>
  <c r="S59" i="7"/>
  <c r="S38" i="7"/>
  <c r="S124" i="7"/>
  <c r="S60" i="7"/>
  <c r="S6" i="7"/>
  <c r="S105" i="7"/>
  <c r="S24" i="7"/>
  <c r="S14" i="7"/>
  <c r="S16" i="7" s="1"/>
  <c r="S75" i="7"/>
  <c r="S77" i="7" s="1"/>
  <c r="R43" i="11"/>
  <c r="R24" i="11"/>
  <c r="R38" i="11"/>
  <c r="R40" i="11" s="1"/>
  <c r="R123" i="11"/>
  <c r="R8" i="11"/>
  <c r="R18" i="11"/>
  <c r="R17" i="11"/>
  <c r="R7" i="11"/>
  <c r="R132" i="11"/>
  <c r="R88" i="11"/>
  <c r="R91" i="11" s="1"/>
  <c r="R30" i="11"/>
  <c r="R35" i="11" s="1"/>
  <c r="R58" i="11"/>
  <c r="R6" i="11"/>
  <c r="R131" i="11"/>
  <c r="R133" i="11"/>
  <c r="R124" i="11"/>
  <c r="R25" i="11"/>
  <c r="R9" i="11"/>
  <c r="R125" i="11"/>
  <c r="R111" i="11"/>
  <c r="R118" i="11" s="1"/>
  <c r="R19" i="11"/>
  <c r="R11" i="11"/>
  <c r="R57" i="11"/>
  <c r="R104" i="11"/>
  <c r="R107" i="11" s="1"/>
  <c r="J6" i="7"/>
  <c r="J38" i="7"/>
  <c r="J117" i="7"/>
  <c r="J54" i="7"/>
  <c r="J43" i="7"/>
  <c r="J45" i="7" s="1"/>
  <c r="I64" i="13" s="1"/>
  <c r="J59" i="7"/>
  <c r="J105" i="7"/>
  <c r="J51" i="7"/>
  <c r="J126" i="7"/>
  <c r="J26" i="7"/>
  <c r="J19" i="7"/>
  <c r="J21" i="7" s="1"/>
  <c r="J37" i="7"/>
  <c r="J88" i="7"/>
  <c r="J25" i="7"/>
  <c r="J118" i="7"/>
  <c r="J53" i="7"/>
  <c r="J82" i="7"/>
  <c r="J85" i="7" s="1"/>
  <c r="J90" i="7"/>
  <c r="J14" i="7"/>
  <c r="J16" i="7" s="1"/>
  <c r="J109" i="7"/>
  <c r="J9" i="7"/>
  <c r="J92" i="7"/>
  <c r="J61" i="7"/>
  <c r="J107" i="7"/>
  <c r="J124" i="7"/>
  <c r="J32" i="7"/>
  <c r="J34" i="7" s="1"/>
  <c r="J52" i="7"/>
  <c r="J75" i="7"/>
  <c r="J77" i="7" s="1"/>
  <c r="J60" i="7"/>
  <c r="J125" i="7"/>
  <c r="J119" i="7"/>
  <c r="J89" i="7"/>
  <c r="J98" i="7"/>
  <c r="J24" i="7"/>
  <c r="J106" i="7"/>
  <c r="J127" i="7"/>
  <c r="J108" i="7"/>
  <c r="J99" i="7"/>
  <c r="J27" i="7"/>
  <c r="J91" i="7"/>
  <c r="J111" i="11"/>
  <c r="J118" i="11" s="1"/>
  <c r="J30" i="11"/>
  <c r="J35" i="11" s="1"/>
  <c r="J19" i="11"/>
  <c r="J38" i="11"/>
  <c r="J40" i="11" s="1"/>
  <c r="J18" i="11"/>
  <c r="J104" i="11"/>
  <c r="J107" i="11" s="1"/>
  <c r="J17" i="11"/>
  <c r="J123" i="11"/>
  <c r="J124" i="11"/>
  <c r="J125" i="11"/>
  <c r="J88" i="11"/>
  <c r="J91" i="11" s="1"/>
  <c r="J131" i="11"/>
  <c r="J58" i="11"/>
  <c r="J57" i="11"/>
  <c r="J24" i="11"/>
  <c r="J43" i="11"/>
  <c r="J46" i="11" s="1"/>
  <c r="J25" i="11"/>
  <c r="J6" i="11"/>
  <c r="J9" i="11"/>
  <c r="J8" i="11"/>
  <c r="J11" i="11"/>
  <c r="J133" i="11"/>
  <c r="J132" i="11"/>
  <c r="J7" i="11"/>
  <c r="D92" i="10"/>
  <c r="D102" i="10"/>
  <c r="D66" i="10"/>
  <c r="D65" i="10"/>
  <c r="D62" i="10"/>
  <c r="D60" i="10"/>
  <c r="D68" i="10"/>
  <c r="D106" i="10"/>
  <c r="D107" i="10" s="1"/>
  <c r="D63" i="10"/>
  <c r="D8" i="10"/>
  <c r="D16" i="10"/>
  <c r="D59" i="10"/>
  <c r="D85" i="10"/>
  <c r="D51" i="10"/>
  <c r="D91" i="10"/>
  <c r="D84" i="10"/>
  <c r="D64" i="10"/>
  <c r="D110" i="10"/>
  <c r="D122" i="10"/>
  <c r="D6" i="10"/>
  <c r="D123" i="10"/>
  <c r="D35" i="10"/>
  <c r="D101" i="10"/>
  <c r="D9" i="10"/>
  <c r="D52" i="10"/>
  <c r="D46" i="10"/>
  <c r="D48" i="10" s="1"/>
  <c r="D7" i="10"/>
  <c r="D97" i="10"/>
  <c r="D98" i="10" s="1"/>
  <c r="D34" i="10"/>
  <c r="D111" i="10"/>
  <c r="D14" i="10"/>
  <c r="D61" i="10"/>
  <c r="D15" i="10"/>
  <c r="D27" i="10"/>
  <c r="D26" i="10"/>
  <c r="AE123" i="10"/>
  <c r="S28" i="15" s="1"/>
  <c r="AE8" i="10"/>
  <c r="AE91" i="10"/>
  <c r="AE111" i="10"/>
  <c r="AE101" i="10"/>
  <c r="AE46" i="10"/>
  <c r="AE48" i="10" s="1"/>
  <c r="AE64" i="10"/>
  <c r="AE102" i="10"/>
  <c r="AE6" i="10"/>
  <c r="AE84" i="10"/>
  <c r="AE110" i="10"/>
  <c r="AE27" i="10"/>
  <c r="AE63" i="10"/>
  <c r="AE122" i="10"/>
  <c r="AE60" i="10"/>
  <c r="AE26" i="10"/>
  <c r="AE7" i="10"/>
  <c r="AE97" i="10"/>
  <c r="AE98" i="10" s="1"/>
  <c r="AE51" i="10"/>
  <c r="AE14" i="10"/>
  <c r="AE35" i="10"/>
  <c r="AE106" i="10"/>
  <c r="AE107" i="10" s="1"/>
  <c r="AE92" i="10"/>
  <c r="AE85" i="10"/>
  <c r="AE59" i="10"/>
  <c r="AE52" i="10"/>
  <c r="AE66" i="10"/>
  <c r="AE15" i="10"/>
  <c r="AE68" i="10"/>
  <c r="AE16" i="10"/>
  <c r="AE65" i="10"/>
  <c r="AE34" i="10"/>
  <c r="AE9" i="10"/>
  <c r="AE61" i="10"/>
  <c r="AE62" i="10"/>
  <c r="AB63" i="6"/>
  <c r="AB64" i="6"/>
  <c r="AB98" i="6"/>
  <c r="AB54" i="6"/>
  <c r="AB53" i="6"/>
  <c r="AB62" i="6"/>
  <c r="AB38" i="6"/>
  <c r="AB49" i="6"/>
  <c r="AB92" i="6"/>
  <c r="AB94" i="6" s="1"/>
  <c r="AB74" i="6"/>
  <c r="AB69" i="6"/>
  <c r="AB106" i="6"/>
  <c r="AB107" i="6" s="1"/>
  <c r="AB56" i="6"/>
  <c r="AB43" i="6"/>
  <c r="AB88" i="6"/>
  <c r="AB39" i="6"/>
  <c r="AB6" i="6"/>
  <c r="AB36" i="6"/>
  <c r="AB41" i="6"/>
  <c r="AB42" i="6"/>
  <c r="AB9" i="6"/>
  <c r="AB123" i="6"/>
  <c r="AB48" i="6"/>
  <c r="AB87" i="6"/>
  <c r="AB122" i="6"/>
  <c r="AB8" i="6"/>
  <c r="AB86" i="6"/>
  <c r="AB97" i="6"/>
  <c r="AB29" i="6"/>
  <c r="AB110" i="6"/>
  <c r="AB112" i="6" s="1"/>
  <c r="AB80" i="6"/>
  <c r="AB75" i="6"/>
  <c r="AB76" i="6"/>
  <c r="AB55" i="6"/>
  <c r="AB65" i="6"/>
  <c r="AB15" i="6"/>
  <c r="AB61" i="6"/>
  <c r="AB14" i="6"/>
  <c r="AB77" i="6"/>
  <c r="AB66" i="6"/>
  <c r="AB28" i="6"/>
  <c r="AB40" i="6"/>
  <c r="AB19" i="6"/>
  <c r="AB79" i="6"/>
  <c r="AB68" i="6"/>
  <c r="AB78" i="6"/>
  <c r="AB37" i="6"/>
  <c r="AB17" i="6"/>
  <c r="AB85" i="6"/>
  <c r="AB18" i="6"/>
  <c r="AB7" i="6"/>
  <c r="AB102" i="6"/>
  <c r="AB103" i="6" s="1"/>
  <c r="AB16" i="6"/>
  <c r="AE133" i="11"/>
  <c r="AE7" i="11"/>
  <c r="AE57" i="11"/>
  <c r="AE58" i="11"/>
  <c r="AE24" i="11"/>
  <c r="AE9" i="11"/>
  <c r="AE18" i="11"/>
  <c r="AE19" i="11"/>
  <c r="AE11" i="11"/>
  <c r="AE30" i="11"/>
  <c r="AE35" i="11" s="1"/>
  <c r="AE132" i="11"/>
  <c r="AE125" i="11"/>
  <c r="AE43" i="11"/>
  <c r="AE25" i="11"/>
  <c r="AE131" i="11"/>
  <c r="AE6" i="11"/>
  <c r="AE123" i="11"/>
  <c r="AE17" i="11"/>
  <c r="AE104" i="11"/>
  <c r="AE107" i="11" s="1"/>
  <c r="AE111" i="11"/>
  <c r="AE88" i="11"/>
  <c r="AE91" i="11" s="1"/>
  <c r="AE38" i="11"/>
  <c r="AE40" i="11" s="1"/>
  <c r="AE124" i="11"/>
  <c r="AE8" i="11"/>
  <c r="AC9" i="11"/>
  <c r="AC38" i="11"/>
  <c r="AC40" i="11" s="1"/>
  <c r="AC133" i="11"/>
  <c r="AC7" i="11"/>
  <c r="AC123" i="11"/>
  <c r="AC111" i="11"/>
  <c r="AC8" i="11"/>
  <c r="AC124" i="11"/>
  <c r="AC132" i="11"/>
  <c r="AC57" i="11"/>
  <c r="AC30" i="11"/>
  <c r="AC35" i="11" s="1"/>
  <c r="AC24" i="11"/>
  <c r="AC104" i="11"/>
  <c r="AC107" i="11" s="1"/>
  <c r="AC18" i="11"/>
  <c r="AC125" i="11"/>
  <c r="AC17" i="11"/>
  <c r="AC25" i="11"/>
  <c r="AC88" i="11"/>
  <c r="AC91" i="11" s="1"/>
  <c r="AC19" i="11"/>
  <c r="AC11" i="11"/>
  <c r="AC131" i="11"/>
  <c r="AC58" i="11"/>
  <c r="AC43" i="11"/>
  <c r="AC6" i="11"/>
  <c r="W85" i="10"/>
  <c r="W111" i="10"/>
  <c r="W61" i="10"/>
  <c r="W123" i="10"/>
  <c r="K28" i="15" s="1"/>
  <c r="W52" i="10"/>
  <c r="W34" i="10"/>
  <c r="W122" i="10"/>
  <c r="W101" i="10"/>
  <c r="W35" i="10"/>
  <c r="W60" i="10"/>
  <c r="W8" i="10"/>
  <c r="W102" i="10"/>
  <c r="W15" i="10"/>
  <c r="W97" i="10"/>
  <c r="W98" i="10" s="1"/>
  <c r="W14" i="10"/>
  <c r="W6" i="10"/>
  <c r="W92" i="10"/>
  <c r="W64" i="10"/>
  <c r="W59" i="10"/>
  <c r="W62" i="10"/>
  <c r="W63" i="10"/>
  <c r="W66" i="10"/>
  <c r="W7" i="10"/>
  <c r="W106" i="10"/>
  <c r="W107" i="10" s="1"/>
  <c r="W91" i="10"/>
  <c r="W84" i="10"/>
  <c r="W9" i="10"/>
  <c r="W65" i="10"/>
  <c r="W27" i="10"/>
  <c r="W68" i="10"/>
  <c r="W51" i="10"/>
  <c r="W46" i="10"/>
  <c r="W48" i="10" s="1"/>
  <c r="W26" i="10"/>
  <c r="W16" i="10"/>
  <c r="W110" i="10"/>
  <c r="Q89" i="7"/>
  <c r="Q59" i="7"/>
  <c r="Q92" i="7"/>
  <c r="Q126" i="7"/>
  <c r="Q51" i="7"/>
  <c r="Q106" i="7"/>
  <c r="Q54" i="7"/>
  <c r="Q52" i="7"/>
  <c r="Q127" i="7"/>
  <c r="Q19" i="7"/>
  <c r="Q21" i="7" s="1"/>
  <c r="Q75" i="7"/>
  <c r="Q77" i="7" s="1"/>
  <c r="Q24" i="7"/>
  <c r="Q107" i="7"/>
  <c r="Q108" i="7"/>
  <c r="Q27" i="7"/>
  <c r="Q125" i="7"/>
  <c r="Q105" i="7"/>
  <c r="Q117" i="7"/>
  <c r="Q43" i="7"/>
  <c r="Q45" i="7" s="1"/>
  <c r="P64" i="13" s="1"/>
  <c r="Q98" i="7"/>
  <c r="Q124" i="7"/>
  <c r="Q60" i="7"/>
  <c r="Q88" i="7"/>
  <c r="Q14" i="7"/>
  <c r="Q16" i="7" s="1"/>
  <c r="Q25" i="7"/>
  <c r="Q82" i="7"/>
  <c r="Q85" i="7" s="1"/>
  <c r="Q99" i="7"/>
  <c r="Q118" i="7"/>
  <c r="Q37" i="7"/>
  <c r="Q109" i="7"/>
  <c r="Q26" i="7"/>
  <c r="Q90" i="7"/>
  <c r="Q61" i="7"/>
  <c r="Q53" i="7"/>
  <c r="Q32" i="7"/>
  <c r="Q34" i="7" s="1"/>
  <c r="Q6" i="7"/>
  <c r="Q91" i="7"/>
  <c r="Q119" i="7"/>
  <c r="Q38" i="7"/>
  <c r="Q9" i="7"/>
  <c r="S123" i="11"/>
  <c r="S57" i="11"/>
  <c r="S24" i="11"/>
  <c r="S18" i="11"/>
  <c r="S58" i="11"/>
  <c r="S111" i="11"/>
  <c r="S7" i="11"/>
  <c r="S9" i="11"/>
  <c r="S132" i="11"/>
  <c r="S124" i="11"/>
  <c r="S38" i="11"/>
  <c r="S40" i="11" s="1"/>
  <c r="S8" i="11"/>
  <c r="S88" i="11"/>
  <c r="S91" i="11" s="1"/>
  <c r="S125" i="11"/>
  <c r="S30" i="11"/>
  <c r="S35" i="11" s="1"/>
  <c r="S133" i="11"/>
  <c r="S6" i="11"/>
  <c r="S25" i="11"/>
  <c r="S43" i="11"/>
  <c r="S17" i="11"/>
  <c r="S131" i="11"/>
  <c r="S11" i="11"/>
  <c r="S104" i="11"/>
  <c r="S107" i="11" s="1"/>
  <c r="S19" i="11"/>
  <c r="L74" i="6"/>
  <c r="L79" i="6"/>
  <c r="L62" i="6"/>
  <c r="L106" i="6"/>
  <c r="L107" i="6" s="1"/>
  <c r="L17" i="6"/>
  <c r="L92" i="6"/>
  <c r="L94" i="6" s="1"/>
  <c r="L6" i="6"/>
  <c r="L102" i="6"/>
  <c r="L103" i="6" s="1"/>
  <c r="L29" i="6"/>
  <c r="L65" i="6"/>
  <c r="L75" i="6"/>
  <c r="L66" i="6"/>
  <c r="L36" i="6"/>
  <c r="L14" i="6"/>
  <c r="L40" i="6"/>
  <c r="L16" i="6"/>
  <c r="L76" i="6"/>
  <c r="L63" i="6"/>
  <c r="L123" i="6"/>
  <c r="L48" i="6"/>
  <c r="L88" i="6"/>
  <c r="L54" i="6"/>
  <c r="L9" i="6"/>
  <c r="L69" i="6"/>
  <c r="L56" i="6"/>
  <c r="L49" i="6"/>
  <c r="L86" i="6"/>
  <c r="L85" i="6"/>
  <c r="L37" i="6"/>
  <c r="L68" i="6"/>
  <c r="L43" i="6"/>
  <c r="L19" i="6"/>
  <c r="L8" i="6"/>
  <c r="L122" i="6"/>
  <c r="L41" i="6"/>
  <c r="L80" i="6"/>
  <c r="L7" i="6"/>
  <c r="L28" i="6"/>
  <c r="L78" i="6"/>
  <c r="L64" i="6"/>
  <c r="L97" i="6"/>
  <c r="L18" i="6"/>
  <c r="L39" i="6"/>
  <c r="L87" i="6"/>
  <c r="L53" i="6"/>
  <c r="L61" i="6"/>
  <c r="L98" i="6"/>
  <c r="L77" i="6"/>
  <c r="L55" i="6"/>
  <c r="L15" i="6"/>
  <c r="L42" i="6"/>
  <c r="L110" i="6"/>
  <c r="L38" i="6"/>
  <c r="K38" i="11"/>
  <c r="K40" i="11" s="1"/>
  <c r="K124" i="11"/>
  <c r="K8" i="11"/>
  <c r="K6" i="11"/>
  <c r="K123" i="11"/>
  <c r="K24" i="11"/>
  <c r="K57" i="11"/>
  <c r="K11" i="11"/>
  <c r="K9" i="11"/>
  <c r="K131" i="11"/>
  <c r="K111" i="11"/>
  <c r="K43" i="11"/>
  <c r="K88" i="11"/>
  <c r="K91" i="11" s="1"/>
  <c r="K125" i="11"/>
  <c r="K132" i="11"/>
  <c r="K7" i="11"/>
  <c r="K133" i="11"/>
  <c r="K30" i="11"/>
  <c r="K35" i="11" s="1"/>
  <c r="K18" i="11"/>
  <c r="K19" i="11"/>
  <c r="K58" i="11"/>
  <c r="K104" i="11"/>
  <c r="K107" i="11" s="1"/>
  <c r="K25" i="11"/>
  <c r="K17" i="11"/>
  <c r="G123" i="11"/>
  <c r="G43" i="11"/>
  <c r="G11" i="11"/>
  <c r="G88" i="11"/>
  <c r="G91" i="11" s="1"/>
  <c r="G58" i="11"/>
  <c r="G30" i="11"/>
  <c r="G35" i="11" s="1"/>
  <c r="G17" i="11"/>
  <c r="G124" i="11"/>
  <c r="G7" i="11"/>
  <c r="G111" i="11"/>
  <c r="G118" i="11" s="1"/>
  <c r="G19" i="11"/>
  <c r="G57" i="11"/>
  <c r="G132" i="11"/>
  <c r="G25" i="11"/>
  <c r="G38" i="11"/>
  <c r="G40" i="11" s="1"/>
  <c r="G18" i="11"/>
  <c r="G6" i="11"/>
  <c r="G104" i="11"/>
  <c r="G107" i="11" s="1"/>
  <c r="G8" i="11"/>
  <c r="G131" i="11"/>
  <c r="G125" i="11"/>
  <c r="G9" i="11"/>
  <c r="G24" i="11"/>
  <c r="G133" i="11"/>
  <c r="AC7" i="6"/>
  <c r="AC39" i="6"/>
  <c r="AC92" i="6"/>
  <c r="AC94" i="6" s="1"/>
  <c r="AC48" i="6"/>
  <c r="AC43" i="6"/>
  <c r="AC86" i="6"/>
  <c r="AC65" i="6"/>
  <c r="AC78" i="6"/>
  <c r="AC66" i="6"/>
  <c r="AC63" i="6"/>
  <c r="AC77" i="6"/>
  <c r="AC9" i="6"/>
  <c r="AC102" i="6"/>
  <c r="AC103" i="6" s="1"/>
  <c r="AC37" i="6"/>
  <c r="AC53" i="6"/>
  <c r="AC79" i="6"/>
  <c r="AC28" i="6"/>
  <c r="AC62" i="6"/>
  <c r="AC97" i="6"/>
  <c r="AC64" i="6"/>
  <c r="AC123" i="6"/>
  <c r="AC55" i="6"/>
  <c r="AC87" i="6"/>
  <c r="AC54" i="6"/>
  <c r="AC49" i="6"/>
  <c r="AC61" i="6"/>
  <c r="AC88" i="6"/>
  <c r="AC122" i="6"/>
  <c r="AC42" i="6"/>
  <c r="AC98" i="6"/>
  <c r="AC19" i="6"/>
  <c r="AC68" i="6"/>
  <c r="AC69" i="6"/>
  <c r="AC56" i="6"/>
  <c r="AC18" i="6"/>
  <c r="AC38" i="6"/>
  <c r="AC15" i="6"/>
  <c r="AC106" i="6"/>
  <c r="AC107" i="6" s="1"/>
  <c r="AC6" i="6"/>
  <c r="AC29" i="6"/>
  <c r="Q23" i="15" s="1"/>
  <c r="AC41" i="6"/>
  <c r="AC80" i="6"/>
  <c r="AC14" i="6"/>
  <c r="AC17" i="6"/>
  <c r="AC85" i="6"/>
  <c r="AC40" i="6"/>
  <c r="AC110" i="6"/>
  <c r="AC112" i="6" s="1"/>
  <c r="AC74" i="6"/>
  <c r="AC75" i="6"/>
  <c r="AC16" i="6"/>
  <c r="AC76" i="6"/>
  <c r="AC8" i="6"/>
  <c r="AC36" i="6"/>
  <c r="AA51" i="7"/>
  <c r="AA75" i="7"/>
  <c r="AA77" i="7" s="1"/>
  <c r="AA117" i="7"/>
  <c r="AA126" i="7"/>
  <c r="AA125" i="7"/>
  <c r="AA9" i="7"/>
  <c r="AA82" i="7"/>
  <c r="AA85" i="7" s="1"/>
  <c r="Z69" i="13" s="1"/>
  <c r="AA92" i="7"/>
  <c r="AA59" i="7"/>
  <c r="AA119" i="7"/>
  <c r="AA88" i="7"/>
  <c r="AA98" i="7"/>
  <c r="AA124" i="7"/>
  <c r="AA105" i="7"/>
  <c r="AA19" i="7"/>
  <c r="AA21" i="7" s="1"/>
  <c r="AA52" i="7"/>
  <c r="AA99" i="7"/>
  <c r="AA60" i="7"/>
  <c r="AA24" i="7"/>
  <c r="AA61" i="7"/>
  <c r="AA14" i="7"/>
  <c r="AA16" i="7" s="1"/>
  <c r="AA89" i="7"/>
  <c r="AA38" i="7"/>
  <c r="AA91" i="7"/>
  <c r="AA106" i="7"/>
  <c r="AA26" i="7"/>
  <c r="AA118" i="7"/>
  <c r="AA90" i="7"/>
  <c r="AA27" i="7"/>
  <c r="AA53" i="7"/>
  <c r="AA109" i="7"/>
  <c r="AA6" i="7"/>
  <c r="AA37" i="7"/>
  <c r="AA32" i="7"/>
  <c r="AA34" i="7" s="1"/>
  <c r="AA107" i="7"/>
  <c r="AA43" i="7"/>
  <c r="AA45" i="7" s="1"/>
  <c r="Z64" i="13" s="1"/>
  <c r="AA108" i="7"/>
  <c r="AA54" i="7"/>
  <c r="AA25" i="7"/>
  <c r="AA127" i="7"/>
  <c r="Z99" i="7"/>
  <c r="Z27" i="7"/>
  <c r="Z91" i="7"/>
  <c r="Z125" i="7"/>
  <c r="Z126" i="7"/>
  <c r="Z53" i="7"/>
  <c r="Z118" i="7"/>
  <c r="Z124" i="7"/>
  <c r="Z32" i="7"/>
  <c r="Z34" i="7" s="1"/>
  <c r="Y62" i="13" s="1"/>
  <c r="Z26" i="7"/>
  <c r="Z19" i="7"/>
  <c r="Z21" i="7" s="1"/>
  <c r="Z60" i="7"/>
  <c r="Z24" i="7"/>
  <c r="Z108" i="7"/>
  <c r="Z127" i="7"/>
  <c r="Z82" i="7"/>
  <c r="Z85" i="7" s="1"/>
  <c r="Z109" i="7"/>
  <c r="Z98" i="7"/>
  <c r="Z88" i="7"/>
  <c r="Z54" i="7"/>
  <c r="Z25" i="7"/>
  <c r="Z117" i="7"/>
  <c r="Z51" i="7"/>
  <c r="Z107" i="7"/>
  <c r="Z43" i="7"/>
  <c r="Z45" i="7" s="1"/>
  <c r="Y64" i="13" s="1"/>
  <c r="Z59" i="7"/>
  <c r="Z61" i="7"/>
  <c r="Z38" i="7"/>
  <c r="Z9" i="7"/>
  <c r="Z105" i="7"/>
  <c r="Z119" i="7"/>
  <c r="Z52" i="7"/>
  <c r="Z14" i="7"/>
  <c r="Z16" i="7" s="1"/>
  <c r="Z106" i="7"/>
  <c r="Z92" i="7"/>
  <c r="Z37" i="7"/>
  <c r="Z6" i="7"/>
  <c r="Z90" i="7"/>
  <c r="Z75" i="7"/>
  <c r="Z77" i="7" s="1"/>
  <c r="Z89" i="7"/>
  <c r="U106" i="10"/>
  <c r="U107" i="10" s="1"/>
  <c r="U61" i="10"/>
  <c r="U66" i="10"/>
  <c r="U15" i="10"/>
  <c r="U68" i="10"/>
  <c r="U102" i="10"/>
  <c r="U91" i="10"/>
  <c r="U34" i="10"/>
  <c r="U64" i="10"/>
  <c r="U62" i="10"/>
  <c r="U97" i="10"/>
  <c r="U98" i="10" s="1"/>
  <c r="U26" i="10"/>
  <c r="U60" i="10"/>
  <c r="U123" i="10"/>
  <c r="I28" i="15" s="1"/>
  <c r="U52" i="10"/>
  <c r="U35" i="10"/>
  <c r="U59" i="10"/>
  <c r="U111" i="10"/>
  <c r="U65" i="10"/>
  <c r="U110" i="10"/>
  <c r="U7" i="10"/>
  <c r="U122" i="10"/>
  <c r="U16" i="10"/>
  <c r="U85" i="10"/>
  <c r="U63" i="10"/>
  <c r="U8" i="10"/>
  <c r="U27" i="10"/>
  <c r="U51" i="10"/>
  <c r="U9" i="10"/>
  <c r="U14" i="10"/>
  <c r="U6" i="10"/>
  <c r="U92" i="10"/>
  <c r="U84" i="10"/>
  <c r="U101" i="10"/>
  <c r="U46" i="10"/>
  <c r="U48" i="10" s="1"/>
  <c r="R52" i="7"/>
  <c r="R127" i="7"/>
  <c r="R75" i="7"/>
  <c r="R77" i="7" s="1"/>
  <c r="R88" i="7"/>
  <c r="R37" i="7"/>
  <c r="R32" i="7"/>
  <c r="R34" i="7" s="1"/>
  <c r="R38" i="7"/>
  <c r="R24" i="7"/>
  <c r="R59" i="7"/>
  <c r="R53" i="7"/>
  <c r="R26" i="7"/>
  <c r="R61" i="7"/>
  <c r="R98" i="7"/>
  <c r="R9" i="7"/>
  <c r="R25" i="7"/>
  <c r="R27" i="7"/>
  <c r="R117" i="7"/>
  <c r="R91" i="7"/>
  <c r="R90" i="7"/>
  <c r="R107" i="7"/>
  <c r="R54" i="7"/>
  <c r="R125" i="7"/>
  <c r="R19" i="7"/>
  <c r="R21" i="7" s="1"/>
  <c r="R124" i="7"/>
  <c r="R108" i="7"/>
  <c r="R99" i="7"/>
  <c r="R82" i="7"/>
  <c r="R85" i="7" s="1"/>
  <c r="R43" i="7"/>
  <c r="R45" i="7" s="1"/>
  <c r="Q64" i="13" s="1"/>
  <c r="R92" i="7"/>
  <c r="R118" i="7"/>
  <c r="R6" i="7"/>
  <c r="R60" i="7"/>
  <c r="R14" i="7"/>
  <c r="R16" i="7" s="1"/>
  <c r="R119" i="7"/>
  <c r="R89" i="7"/>
  <c r="R106" i="7"/>
  <c r="R51" i="7"/>
  <c r="R109" i="7"/>
  <c r="R105" i="7"/>
  <c r="R126" i="7"/>
  <c r="P108" i="7"/>
  <c r="P51" i="7"/>
  <c r="P60" i="7"/>
  <c r="P124" i="7"/>
  <c r="P14" i="7"/>
  <c r="P16" i="7" s="1"/>
  <c r="P99" i="7"/>
  <c r="P54" i="7"/>
  <c r="P106" i="7"/>
  <c r="P37" i="7"/>
  <c r="P88" i="7"/>
  <c r="P53" i="7"/>
  <c r="P107" i="7"/>
  <c r="P19" i="7"/>
  <c r="P21" i="7" s="1"/>
  <c r="P90" i="7"/>
  <c r="P91" i="7"/>
  <c r="P43" i="7"/>
  <c r="P45" i="7" s="1"/>
  <c r="O64" i="13" s="1"/>
  <c r="P126" i="7"/>
  <c r="P89" i="7"/>
  <c r="P25" i="7"/>
  <c r="P82" i="7"/>
  <c r="P85" i="7" s="1"/>
  <c r="P125" i="7"/>
  <c r="P127" i="7"/>
  <c r="P24" i="7"/>
  <c r="P61" i="7"/>
  <c r="P6" i="7"/>
  <c r="P118" i="7"/>
  <c r="P75" i="7"/>
  <c r="P77" i="7" s="1"/>
  <c r="P105" i="7"/>
  <c r="P9" i="7"/>
  <c r="P98" i="7"/>
  <c r="P119" i="7"/>
  <c r="P27" i="7"/>
  <c r="P117" i="7"/>
  <c r="P92" i="7"/>
  <c r="P26" i="7"/>
  <c r="P38" i="7"/>
  <c r="P52" i="7"/>
  <c r="P109" i="7"/>
  <c r="P59" i="7"/>
  <c r="P32" i="7"/>
  <c r="P34" i="7" s="1"/>
  <c r="P102" i="10"/>
  <c r="P7" i="10"/>
  <c r="P64" i="10"/>
  <c r="P111" i="10"/>
  <c r="P85" i="10"/>
  <c r="P15" i="10"/>
  <c r="P61" i="10"/>
  <c r="P65" i="10"/>
  <c r="P46" i="10"/>
  <c r="P48" i="10" s="1"/>
  <c r="P84" i="10"/>
  <c r="P68" i="10"/>
  <c r="P123" i="10"/>
  <c r="D28" i="15" s="1"/>
  <c r="P60" i="10"/>
  <c r="P6" i="10"/>
  <c r="P16" i="10"/>
  <c r="P91" i="10"/>
  <c r="P35" i="10"/>
  <c r="P110" i="10"/>
  <c r="P52" i="10"/>
  <c r="P59" i="10"/>
  <c r="P106" i="10"/>
  <c r="P107" i="10" s="1"/>
  <c r="P8" i="10"/>
  <c r="P62" i="10"/>
  <c r="P63" i="10"/>
  <c r="P14" i="10"/>
  <c r="P26" i="10"/>
  <c r="P51" i="10"/>
  <c r="P92" i="10"/>
  <c r="P97" i="10"/>
  <c r="P98" i="10" s="1"/>
  <c r="P122" i="10"/>
  <c r="P27" i="10"/>
  <c r="P9" i="10"/>
  <c r="P66" i="10"/>
  <c r="P34" i="10"/>
  <c r="P101" i="10"/>
  <c r="O25" i="11"/>
  <c r="O104" i="11"/>
  <c r="O107" i="11" s="1"/>
  <c r="O24" i="11"/>
  <c r="O38" i="11"/>
  <c r="O40" i="11" s="1"/>
  <c r="O9" i="11"/>
  <c r="O123" i="11"/>
  <c r="O19" i="11"/>
  <c r="O7" i="11"/>
  <c r="O17" i="11"/>
  <c r="O6" i="11"/>
  <c r="O8" i="11"/>
  <c r="O57" i="11"/>
  <c r="O132" i="11"/>
  <c r="O11" i="11"/>
  <c r="O111" i="11"/>
  <c r="O118" i="11" s="1"/>
  <c r="O18" i="11"/>
  <c r="O88" i="11"/>
  <c r="O91" i="11" s="1"/>
  <c r="O58" i="11"/>
  <c r="O131" i="11"/>
  <c r="O125" i="11"/>
  <c r="O124" i="11"/>
  <c r="O133" i="11"/>
  <c r="O43" i="11"/>
  <c r="O30" i="11"/>
  <c r="O35" i="11" s="1"/>
  <c r="I26" i="10"/>
  <c r="I46" i="10"/>
  <c r="I48" i="10" s="1"/>
  <c r="I66" i="10"/>
  <c r="I106" i="10"/>
  <c r="I107" i="10" s="1"/>
  <c r="I84" i="10"/>
  <c r="I15" i="10"/>
  <c r="I101" i="10"/>
  <c r="I122" i="10"/>
  <c r="I6" i="10"/>
  <c r="I34" i="10"/>
  <c r="I14" i="10"/>
  <c r="I9" i="10"/>
  <c r="I97" i="10"/>
  <c r="I98" i="10" s="1"/>
  <c r="I35" i="10"/>
  <c r="I111" i="10"/>
  <c r="I123" i="10"/>
  <c r="I62" i="10"/>
  <c r="I102" i="10"/>
  <c r="I16" i="10"/>
  <c r="I52" i="10"/>
  <c r="I59" i="10"/>
  <c r="I65" i="10"/>
  <c r="I64" i="10"/>
  <c r="I92" i="10"/>
  <c r="I91" i="10"/>
  <c r="I68" i="10"/>
  <c r="I63" i="10"/>
  <c r="I110" i="10"/>
  <c r="I85" i="10"/>
  <c r="I8" i="10"/>
  <c r="I61" i="10"/>
  <c r="I7" i="10"/>
  <c r="I51" i="10"/>
  <c r="I27" i="10"/>
  <c r="I60" i="10"/>
  <c r="D19" i="11"/>
  <c r="D30" i="11"/>
  <c r="D35" i="11" s="1"/>
  <c r="D25" i="11"/>
  <c r="D124" i="11"/>
  <c r="D11" i="11"/>
  <c r="D24" i="11"/>
  <c r="D8" i="11"/>
  <c r="D6" i="11"/>
  <c r="D111" i="11"/>
  <c r="D7" i="11"/>
  <c r="D57" i="11"/>
  <c r="D58" i="11"/>
  <c r="D125" i="11"/>
  <c r="D18" i="11"/>
  <c r="D131" i="11"/>
  <c r="D88" i="11"/>
  <c r="D91" i="11" s="1"/>
  <c r="D17" i="11"/>
  <c r="D123" i="11"/>
  <c r="D38" i="11"/>
  <c r="D40" i="11" s="1"/>
  <c r="D9" i="11"/>
  <c r="D43" i="11"/>
  <c r="D46" i="11" s="1"/>
  <c r="D104" i="11"/>
  <c r="D107" i="11" s="1"/>
  <c r="D132" i="11"/>
  <c r="D133" i="11"/>
  <c r="AL88" i="11"/>
  <c r="AL91" i="11" s="1"/>
  <c r="AL25" i="11"/>
  <c r="AL125" i="11"/>
  <c r="AL111" i="11"/>
  <c r="AL124" i="11"/>
  <c r="AL131" i="11"/>
  <c r="AL8" i="11"/>
  <c r="AL7" i="11"/>
  <c r="AL57" i="11"/>
  <c r="AL30" i="11"/>
  <c r="AL35" i="11" s="1"/>
  <c r="AL9" i="11"/>
  <c r="AL38" i="11"/>
  <c r="AL40" i="11" s="1"/>
  <c r="AL6" i="11"/>
  <c r="AL43" i="11"/>
  <c r="AL123" i="11"/>
  <c r="AL133" i="11"/>
  <c r="AL24" i="11"/>
  <c r="AL132" i="11"/>
  <c r="AL17" i="11"/>
  <c r="AL104" i="11"/>
  <c r="AL107" i="11" s="1"/>
  <c r="AL58" i="11"/>
  <c r="AL19" i="11"/>
  <c r="AL11" i="11"/>
  <c r="AL18" i="11"/>
  <c r="AJ111" i="11"/>
  <c r="AJ125" i="11"/>
  <c r="AJ17" i="11"/>
  <c r="AJ7" i="11"/>
  <c r="AJ38" i="11"/>
  <c r="AJ40" i="11" s="1"/>
  <c r="AJ57" i="11"/>
  <c r="AJ124" i="11"/>
  <c r="AJ43" i="11"/>
  <c r="AJ18" i="11"/>
  <c r="AJ30" i="11"/>
  <c r="AJ35" i="11" s="1"/>
  <c r="AJ123" i="11"/>
  <c r="AJ11" i="11"/>
  <c r="AJ104" i="11"/>
  <c r="AJ107" i="11" s="1"/>
  <c r="AJ131" i="11"/>
  <c r="AJ58" i="11"/>
  <c r="AJ24" i="11"/>
  <c r="AJ132" i="11"/>
  <c r="AJ25" i="11"/>
  <c r="AJ6" i="11"/>
  <c r="AJ88" i="11"/>
  <c r="AJ91" i="11" s="1"/>
  <c r="AJ8" i="11"/>
  <c r="AJ133" i="11"/>
  <c r="AJ9" i="11"/>
  <c r="AJ19" i="11"/>
  <c r="AD123" i="10"/>
  <c r="R28" i="15" s="1"/>
  <c r="AD16" i="10"/>
  <c r="AD35" i="10"/>
  <c r="AD59" i="10"/>
  <c r="AD111" i="10"/>
  <c r="AD7" i="10"/>
  <c r="AD101" i="10"/>
  <c r="AD122" i="10"/>
  <c r="AD85" i="10"/>
  <c r="AD46" i="10"/>
  <c r="AD48" i="10" s="1"/>
  <c r="AD6" i="10"/>
  <c r="AD84" i="10"/>
  <c r="AD62" i="10"/>
  <c r="AD106" i="10"/>
  <c r="AD107" i="10" s="1"/>
  <c r="AD15" i="10"/>
  <c r="AD64" i="10"/>
  <c r="AD61" i="10"/>
  <c r="AD66" i="10"/>
  <c r="AD92" i="10"/>
  <c r="AD51" i="10"/>
  <c r="AD60" i="10"/>
  <c r="AD26" i="10"/>
  <c r="AD9" i="10"/>
  <c r="AD102" i="10"/>
  <c r="AD91" i="10"/>
  <c r="AD68" i="10"/>
  <c r="AD34" i="10"/>
  <c r="AD63" i="10"/>
  <c r="AD52" i="10"/>
  <c r="AD110" i="10"/>
  <c r="AD14" i="10"/>
  <c r="AD97" i="10"/>
  <c r="AD98" i="10" s="1"/>
  <c r="AD8" i="10"/>
  <c r="AD27" i="10"/>
  <c r="AD65" i="10"/>
  <c r="Z6" i="10"/>
  <c r="Z91" i="10"/>
  <c r="Z101" i="10"/>
  <c r="Z110" i="10"/>
  <c r="Z123" i="10"/>
  <c r="N28" i="15" s="1"/>
  <c r="Z84" i="10"/>
  <c r="Z97" i="10"/>
  <c r="Z98" i="10" s="1"/>
  <c r="Z46" i="10"/>
  <c r="Z48" i="10" s="1"/>
  <c r="Z34" i="10"/>
  <c r="Z85" i="10"/>
  <c r="Z51" i="10"/>
  <c r="Z26" i="10"/>
  <c r="Z92" i="10"/>
  <c r="Z16" i="10"/>
  <c r="Z65" i="10"/>
  <c r="Z66" i="10"/>
  <c r="Z59" i="10"/>
  <c r="Z102" i="10"/>
  <c r="Z14" i="10"/>
  <c r="Z8" i="10"/>
  <c r="Z122" i="10"/>
  <c r="Z63" i="10"/>
  <c r="Z52" i="10"/>
  <c r="Z60" i="10"/>
  <c r="Z9" i="10"/>
  <c r="Z111" i="10"/>
  <c r="Z7" i="10"/>
  <c r="Z62" i="10"/>
  <c r="Z106" i="10"/>
  <c r="Z107" i="10" s="1"/>
  <c r="Z64" i="10"/>
  <c r="Z61" i="10"/>
  <c r="Z35" i="10"/>
  <c r="Z27" i="10"/>
  <c r="Z15" i="10"/>
  <c r="Z68" i="10"/>
  <c r="Y39" i="6"/>
  <c r="Y9" i="6"/>
  <c r="Y85" i="6"/>
  <c r="Y37" i="6"/>
  <c r="Y102" i="6"/>
  <c r="Y103" i="6" s="1"/>
  <c r="Y77" i="6"/>
  <c r="Y53" i="6"/>
  <c r="Y36" i="6"/>
  <c r="Y61" i="6"/>
  <c r="Y6" i="6"/>
  <c r="Y62" i="6"/>
  <c r="Y38" i="6"/>
  <c r="Y8" i="6"/>
  <c r="Y54" i="6"/>
  <c r="Y106" i="6"/>
  <c r="Y107" i="6" s="1"/>
  <c r="Y14" i="6"/>
  <c r="Y43" i="6"/>
  <c r="Y76" i="6"/>
  <c r="Y123" i="6"/>
  <c r="Y17" i="6"/>
  <c r="Y65" i="6"/>
  <c r="Y74" i="6"/>
  <c r="Y40" i="6"/>
  <c r="Y56" i="6"/>
  <c r="Y63" i="6"/>
  <c r="Y42" i="6"/>
  <c r="Y69" i="6"/>
  <c r="Y92" i="6"/>
  <c r="Y94" i="6" s="1"/>
  <c r="Y110" i="6"/>
  <c r="Y78" i="6"/>
  <c r="Y88" i="6"/>
  <c r="Y16" i="6"/>
  <c r="Y64" i="6"/>
  <c r="Y79" i="6"/>
  <c r="Y122" i="6"/>
  <c r="Y75" i="6"/>
  <c r="Y80" i="6"/>
  <c r="Y7" i="6"/>
  <c r="Y66" i="6"/>
  <c r="Y98" i="6"/>
  <c r="Y49" i="6"/>
  <c r="Y41" i="6"/>
  <c r="Y28" i="6"/>
  <c r="Y86" i="6"/>
  <c r="Y68" i="6"/>
  <c r="Y19" i="6"/>
  <c r="Y29" i="6"/>
  <c r="Y97" i="6"/>
  <c r="Y87" i="6"/>
  <c r="Y15" i="6"/>
  <c r="Y55" i="6"/>
  <c r="Y48" i="6"/>
  <c r="Y18" i="6"/>
  <c r="W53" i="6"/>
  <c r="W74" i="6"/>
  <c r="W17" i="6"/>
  <c r="W87" i="6"/>
  <c r="W55" i="6"/>
  <c r="W122" i="6"/>
  <c r="W36" i="6"/>
  <c r="W106" i="6"/>
  <c r="W107" i="6" s="1"/>
  <c r="W43" i="6"/>
  <c r="W76" i="6"/>
  <c r="W28" i="6"/>
  <c r="W63" i="6"/>
  <c r="W9" i="6"/>
  <c r="W110" i="6"/>
  <c r="W88" i="6"/>
  <c r="W14" i="6"/>
  <c r="W15" i="6"/>
  <c r="W123" i="6"/>
  <c r="W98" i="6"/>
  <c r="W80" i="6"/>
  <c r="W65" i="6"/>
  <c r="W38" i="6"/>
  <c r="W69" i="6"/>
  <c r="W19" i="6"/>
  <c r="W18" i="6"/>
  <c r="W49" i="6"/>
  <c r="W64" i="6"/>
  <c r="W85" i="6"/>
  <c r="W66" i="6"/>
  <c r="W102" i="6"/>
  <c r="W103" i="6" s="1"/>
  <c r="W78" i="6"/>
  <c r="W61" i="6"/>
  <c r="W42" i="6"/>
  <c r="W29" i="6"/>
  <c r="W68" i="6"/>
  <c r="W8" i="6"/>
  <c r="W16" i="6"/>
  <c r="W48" i="6"/>
  <c r="W79" i="6"/>
  <c r="W56" i="6"/>
  <c r="W7" i="6"/>
  <c r="W41" i="6"/>
  <c r="W40" i="6"/>
  <c r="W86" i="6"/>
  <c r="W92" i="6"/>
  <c r="W94" i="6" s="1"/>
  <c r="W97" i="6"/>
  <c r="W6" i="6"/>
  <c r="W37" i="6"/>
  <c r="W54" i="6"/>
  <c r="W75" i="6"/>
  <c r="W62" i="6"/>
  <c r="W39" i="6"/>
  <c r="W77" i="6"/>
  <c r="Q6" i="6"/>
  <c r="Q78" i="6"/>
  <c r="Q75" i="6"/>
  <c r="Q36" i="6"/>
  <c r="Q8" i="6"/>
  <c r="Q69" i="6"/>
  <c r="Q66" i="6"/>
  <c r="Q62" i="6"/>
  <c r="Q88" i="6"/>
  <c r="Q43" i="6"/>
  <c r="Q9" i="6"/>
  <c r="Q102" i="6"/>
  <c r="Q103" i="6" s="1"/>
  <c r="Q37" i="6"/>
  <c r="Q19" i="6"/>
  <c r="Q15" i="6"/>
  <c r="Q97" i="6"/>
  <c r="Q92" i="6"/>
  <c r="Q94" i="6" s="1"/>
  <c r="Q17" i="6"/>
  <c r="Q74" i="6"/>
  <c r="Q40" i="6"/>
  <c r="Q18" i="6"/>
  <c r="Q54" i="6"/>
  <c r="Q49" i="6"/>
  <c r="Q85" i="6"/>
  <c r="Q39" i="6"/>
  <c r="Q38" i="6"/>
  <c r="Q76" i="6"/>
  <c r="Q110" i="6"/>
  <c r="Q7" i="6"/>
  <c r="Q86" i="6"/>
  <c r="Q77" i="6"/>
  <c r="Q68" i="6"/>
  <c r="Q14" i="6"/>
  <c r="Q64" i="6"/>
  <c r="Q65" i="6"/>
  <c r="Q56" i="6"/>
  <c r="Q16" i="6"/>
  <c r="Q41" i="6"/>
  <c r="Q48" i="6"/>
  <c r="Q61" i="6"/>
  <c r="Q123" i="6"/>
  <c r="Q53" i="6"/>
  <c r="Q122" i="6"/>
  <c r="Q98" i="6"/>
  <c r="Q42" i="6"/>
  <c r="Q87" i="6"/>
  <c r="Q106" i="6"/>
  <c r="Q107" i="6" s="1"/>
  <c r="Q55" i="6"/>
  <c r="Q28" i="6"/>
  <c r="Q80" i="6"/>
  <c r="Q63" i="6"/>
  <c r="Q79" i="6"/>
  <c r="Q29" i="6"/>
  <c r="M110" i="10"/>
  <c r="M6" i="10"/>
  <c r="M63" i="10"/>
  <c r="M101" i="10"/>
  <c r="M59" i="10"/>
  <c r="M85" i="10"/>
  <c r="M91" i="10"/>
  <c r="M97" i="10"/>
  <c r="M98" i="10" s="1"/>
  <c r="M46" i="10"/>
  <c r="M48" i="10" s="1"/>
  <c r="M66" i="10"/>
  <c r="M7" i="10"/>
  <c r="M122" i="10"/>
  <c r="M26" i="10"/>
  <c r="M34" i="10"/>
  <c r="M106" i="10"/>
  <c r="M107" i="10" s="1"/>
  <c r="M8" i="10"/>
  <c r="M68" i="10"/>
  <c r="M123" i="10"/>
  <c r="M65" i="10"/>
  <c r="M111" i="10"/>
  <c r="M64" i="10"/>
  <c r="M61" i="10"/>
  <c r="M35" i="10"/>
  <c r="M62" i="10"/>
  <c r="M51" i="10"/>
  <c r="M92" i="10"/>
  <c r="M15" i="10"/>
  <c r="M52" i="10"/>
  <c r="M14" i="10"/>
  <c r="M9" i="10"/>
  <c r="M84" i="10"/>
  <c r="M16" i="10"/>
  <c r="M60" i="10"/>
  <c r="M102" i="10"/>
  <c r="M27" i="10"/>
  <c r="J122" i="6"/>
  <c r="J15" i="6"/>
  <c r="J80" i="6"/>
  <c r="J17" i="6"/>
  <c r="J68" i="6"/>
  <c r="J64" i="6"/>
  <c r="J6" i="6"/>
  <c r="J87" i="6"/>
  <c r="J16" i="6"/>
  <c r="J54" i="6"/>
  <c r="J9" i="6"/>
  <c r="J36" i="6"/>
  <c r="J102" i="6"/>
  <c r="J103" i="6" s="1"/>
  <c r="J76" i="6"/>
  <c r="J48" i="6"/>
  <c r="J18" i="6"/>
  <c r="J88" i="6"/>
  <c r="J92" i="6"/>
  <c r="J94" i="6" s="1"/>
  <c r="J49" i="6"/>
  <c r="J53" i="6"/>
  <c r="J56" i="6"/>
  <c r="J28" i="6"/>
  <c r="J69" i="6"/>
  <c r="J110" i="6"/>
  <c r="J106" i="6"/>
  <c r="J107" i="6" s="1"/>
  <c r="J86" i="6"/>
  <c r="J74" i="6"/>
  <c r="J85" i="6"/>
  <c r="J62" i="6"/>
  <c r="J39" i="6"/>
  <c r="J61" i="6"/>
  <c r="J123" i="6"/>
  <c r="J40" i="6"/>
  <c r="J42" i="6"/>
  <c r="J38" i="6"/>
  <c r="J43" i="6"/>
  <c r="J63" i="6"/>
  <c r="J79" i="6"/>
  <c r="J97" i="6"/>
  <c r="J65" i="6"/>
  <c r="J77" i="6"/>
  <c r="J8" i="6"/>
  <c r="J37" i="6"/>
  <c r="J14" i="6"/>
  <c r="J41" i="6"/>
  <c r="J98" i="6"/>
  <c r="J66" i="6"/>
  <c r="J7" i="6"/>
  <c r="J78" i="6"/>
  <c r="J55" i="6"/>
  <c r="J75" i="6"/>
  <c r="J29" i="6"/>
  <c r="J19" i="6"/>
  <c r="D53" i="6"/>
  <c r="D6" i="6"/>
  <c r="D106" i="6"/>
  <c r="D107" i="6" s="1"/>
  <c r="D69" i="6"/>
  <c r="D76" i="6"/>
  <c r="D62" i="6"/>
  <c r="D7" i="6"/>
  <c r="D37" i="6"/>
  <c r="D85" i="6"/>
  <c r="D36" i="6"/>
  <c r="D56" i="6"/>
  <c r="D86" i="6"/>
  <c r="D79" i="6"/>
  <c r="D39" i="6"/>
  <c r="D110" i="6"/>
  <c r="D9" i="6"/>
  <c r="D97" i="6"/>
  <c r="D29" i="6"/>
  <c r="D41" i="6"/>
  <c r="D43" i="6"/>
  <c r="D54" i="6"/>
  <c r="D87" i="6"/>
  <c r="D8" i="6"/>
  <c r="D88" i="6"/>
  <c r="D28" i="6"/>
  <c r="D16" i="6"/>
  <c r="D18" i="6"/>
  <c r="D77" i="6"/>
  <c r="D55" i="6"/>
  <c r="D42" i="6"/>
  <c r="D40" i="6"/>
  <c r="D78" i="6"/>
  <c r="D92" i="6"/>
  <c r="D94" i="6" s="1"/>
  <c r="D61" i="6"/>
  <c r="D19" i="6"/>
  <c r="D38" i="6"/>
  <c r="D75" i="6"/>
  <c r="D63" i="6"/>
  <c r="D122" i="6"/>
  <c r="D74" i="6"/>
  <c r="D123" i="6"/>
  <c r="D48" i="6"/>
  <c r="D68" i="6"/>
  <c r="D49" i="6"/>
  <c r="D15" i="6"/>
  <c r="D102" i="6"/>
  <c r="D103" i="6" s="1"/>
  <c r="D66" i="6"/>
  <c r="D65" i="6"/>
  <c r="D98" i="6"/>
  <c r="D80" i="6"/>
  <c r="D14" i="6"/>
  <c r="D64" i="6"/>
  <c r="D17" i="6"/>
  <c r="G43" i="7"/>
  <c r="G45" i="7" s="1"/>
  <c r="F64" i="13" s="1"/>
  <c r="G54" i="7"/>
  <c r="G99" i="7"/>
  <c r="G106" i="7"/>
  <c r="G38" i="7"/>
  <c r="G119" i="7"/>
  <c r="G92" i="7"/>
  <c r="G127" i="7"/>
  <c r="G91" i="7"/>
  <c r="G88" i="7"/>
  <c r="G37" i="7"/>
  <c r="G126" i="7"/>
  <c r="G26" i="7"/>
  <c r="G117" i="7"/>
  <c r="G108" i="7"/>
  <c r="G98" i="7"/>
  <c r="G105" i="7"/>
  <c r="G53" i="7"/>
  <c r="G52" i="7"/>
  <c r="G107" i="7"/>
  <c r="G27" i="7"/>
  <c r="G109" i="7"/>
  <c r="G51" i="7"/>
  <c r="G9" i="7"/>
  <c r="G118" i="7"/>
  <c r="G25" i="7"/>
  <c r="G125" i="7"/>
  <c r="G19" i="7"/>
  <c r="G21" i="7" s="1"/>
  <c r="G60" i="7"/>
  <c r="G24" i="7"/>
  <c r="G59" i="7"/>
  <c r="G14" i="7"/>
  <c r="G16" i="7" s="1"/>
  <c r="G75" i="7"/>
  <c r="G77" i="7" s="1"/>
  <c r="G82" i="7"/>
  <c r="G85" i="7" s="1"/>
  <c r="G89" i="7"/>
  <c r="G6" i="7"/>
  <c r="G124" i="7"/>
  <c r="G61" i="7"/>
  <c r="G90" i="7"/>
  <c r="G32" i="7"/>
  <c r="G34" i="7" s="1"/>
  <c r="P20" i="14"/>
  <c r="O20" i="14"/>
  <c r="P19" i="14"/>
  <c r="O19" i="14"/>
  <c r="P71" i="1"/>
  <c r="F71" i="1"/>
  <c r="H71" i="1"/>
  <c r="H18" i="1"/>
  <c r="H52" i="1"/>
  <c r="P52" i="1"/>
  <c r="P53" i="1"/>
  <c r="H53" i="1"/>
  <c r="E56" i="1"/>
  <c r="E10" i="1"/>
  <c r="H10" i="1" s="1"/>
  <c r="E130" i="1"/>
  <c r="E131" i="1" s="1"/>
  <c r="E72" i="1"/>
  <c r="E78" i="1"/>
  <c r="H78" i="1" s="1"/>
  <c r="E79" i="1"/>
  <c r="H79" i="1" s="1"/>
  <c r="H8" i="1"/>
  <c r="H69" i="1"/>
  <c r="E70" i="1"/>
  <c r="H70" i="1" s="1"/>
  <c r="E132" i="1"/>
  <c r="D132" i="1"/>
  <c r="E125" i="1"/>
  <c r="D125" i="1"/>
  <c r="E114" i="1"/>
  <c r="D114" i="1"/>
  <c r="H99" i="1"/>
  <c r="E80" i="1"/>
  <c r="D100" i="1"/>
  <c r="E16" i="21" s="1"/>
  <c r="H94" i="1"/>
  <c r="H11" i="1"/>
  <c r="D13" i="1"/>
  <c r="H112" i="1"/>
  <c r="D80" i="1"/>
  <c r="E100" i="1"/>
  <c r="H106" i="1"/>
  <c r="AG73" i="10" l="1"/>
  <c r="AG74" i="10"/>
  <c r="AG65" i="10"/>
  <c r="AG76" i="10"/>
  <c r="AC73" i="10"/>
  <c r="AG62" i="10"/>
  <c r="S22" i="15"/>
  <c r="AG106" i="10"/>
  <c r="AG107" i="10" s="1"/>
  <c r="AD69" i="13"/>
  <c r="S23" i="15"/>
  <c r="AD62" i="13"/>
  <c r="AC74" i="10"/>
  <c r="X76" i="10"/>
  <c r="AE79" i="7"/>
  <c r="AD68" i="13"/>
  <c r="AF8" i="11"/>
  <c r="AF38" i="11"/>
  <c r="AF40" i="11" s="1"/>
  <c r="AF19" i="11"/>
  <c r="AG61" i="10"/>
  <c r="Z62" i="13"/>
  <c r="AF37" i="6"/>
  <c r="AD88" i="6"/>
  <c r="AD16" i="6"/>
  <c r="AD17" i="6"/>
  <c r="AD8" i="6"/>
  <c r="AD55" i="6"/>
  <c r="X74" i="10"/>
  <c r="AF8" i="6"/>
  <c r="AE35" i="2" s="1"/>
  <c r="AF54" i="6"/>
  <c r="X75" i="10"/>
  <c r="G75" i="10"/>
  <c r="AF14" i="6"/>
  <c r="G76" i="10"/>
  <c r="O44" i="11"/>
  <c r="O46" i="11" s="1"/>
  <c r="Z74" i="10"/>
  <c r="N73" i="10"/>
  <c r="X31" i="6"/>
  <c r="AF106" i="6"/>
  <c r="AF107" i="6" s="1"/>
  <c r="AU107" i="6" s="1"/>
  <c r="AF19" i="6"/>
  <c r="R75" i="10"/>
  <c r="AF16" i="6"/>
  <c r="T75" i="10"/>
  <c r="AH7" i="7"/>
  <c r="AH8" i="7"/>
  <c r="AA7" i="7"/>
  <c r="AA8" i="7"/>
  <c r="L8" i="7"/>
  <c r="L7" i="7"/>
  <c r="AD7" i="7"/>
  <c r="AD8" i="7"/>
  <c r="Y92" i="7"/>
  <c r="Y7" i="7"/>
  <c r="Y8" i="7"/>
  <c r="AM7" i="7"/>
  <c r="AM8" i="7"/>
  <c r="X8" i="7"/>
  <c r="X7" i="7"/>
  <c r="F8" i="7"/>
  <c r="F7" i="7"/>
  <c r="G7" i="7"/>
  <c r="G8" i="7"/>
  <c r="AI7" i="7"/>
  <c r="AI8" i="7"/>
  <c r="U7" i="7"/>
  <c r="U8" i="7"/>
  <c r="I7" i="7"/>
  <c r="I8" i="7"/>
  <c r="AL7" i="7"/>
  <c r="AL8" i="7"/>
  <c r="S7" i="7"/>
  <c r="S8" i="7"/>
  <c r="N7" i="7"/>
  <c r="N8" i="7"/>
  <c r="K7" i="7"/>
  <c r="K8" i="7"/>
  <c r="E7" i="7"/>
  <c r="E8" i="7"/>
  <c r="AJ8" i="7"/>
  <c r="AJ7" i="7"/>
  <c r="AF7" i="7"/>
  <c r="AF8" i="7"/>
  <c r="R7" i="7"/>
  <c r="R8" i="7"/>
  <c r="W7" i="7"/>
  <c r="W8" i="7"/>
  <c r="Q7" i="7"/>
  <c r="Q8" i="7"/>
  <c r="O7" i="7"/>
  <c r="O8" i="7"/>
  <c r="AE38" i="7"/>
  <c r="AE40" i="7" s="1"/>
  <c r="AE7" i="7"/>
  <c r="AE8" i="7"/>
  <c r="Y106" i="7"/>
  <c r="AG53" i="7"/>
  <c r="AG7" i="7"/>
  <c r="AG8" i="7"/>
  <c r="AC7" i="7"/>
  <c r="AC8" i="7"/>
  <c r="V7" i="7"/>
  <c r="V8" i="7"/>
  <c r="H8" i="7"/>
  <c r="H7" i="7"/>
  <c r="D7" i="7"/>
  <c r="D8" i="7"/>
  <c r="Z7" i="7"/>
  <c r="Z8" i="7"/>
  <c r="T7" i="7"/>
  <c r="T8" i="7"/>
  <c r="P7" i="7"/>
  <c r="P8" i="7"/>
  <c r="M7" i="7"/>
  <c r="M8" i="7"/>
  <c r="AB7" i="7"/>
  <c r="AB8" i="7"/>
  <c r="J7" i="7"/>
  <c r="J8" i="7"/>
  <c r="Y82" i="7"/>
  <c r="Y85" i="7" s="1"/>
  <c r="Y52" i="7"/>
  <c r="Y53" i="7"/>
  <c r="Y124" i="7"/>
  <c r="Y109" i="7"/>
  <c r="Y14" i="7"/>
  <c r="Y16" i="7" s="1"/>
  <c r="Y108" i="7"/>
  <c r="Y91" i="7"/>
  <c r="Y6" i="7"/>
  <c r="Y89" i="7"/>
  <c r="Y61" i="7"/>
  <c r="Y43" i="7"/>
  <c r="Y45" i="7" s="1"/>
  <c r="Y126" i="7"/>
  <c r="Y99" i="7"/>
  <c r="Y25" i="7"/>
  <c r="Y24" i="7"/>
  <c r="Y88" i="7"/>
  <c r="Y60" i="7"/>
  <c r="Y32" i="7"/>
  <c r="Y34" i="7" s="1"/>
  <c r="X62" i="13" s="1"/>
  <c r="Y127" i="7"/>
  <c r="Y105" i="7"/>
  <c r="Y98" i="7"/>
  <c r="Y101" i="7" s="1"/>
  <c r="X71" i="13" s="1"/>
  <c r="AF122" i="6"/>
  <c r="AF28" i="6"/>
  <c r="AF68" i="6"/>
  <c r="AF86" i="6"/>
  <c r="AF102" i="6"/>
  <c r="AF103" i="6" s="1"/>
  <c r="AU103" i="6" s="1"/>
  <c r="AF15" i="6"/>
  <c r="AF80" i="6"/>
  <c r="AF56" i="6"/>
  <c r="AF66" i="6"/>
  <c r="AF7" i="6"/>
  <c r="AF78" i="6"/>
  <c r="AU78" i="6" s="1"/>
  <c r="AF39" i="6"/>
  <c r="AF49" i="6"/>
  <c r="AF77" i="6"/>
  <c r="AF42" i="6"/>
  <c r="AF62" i="6"/>
  <c r="AF85" i="6"/>
  <c r="S46" i="11"/>
  <c r="P46" i="11"/>
  <c r="AF125" i="11"/>
  <c r="AF7" i="11"/>
  <c r="R44" i="11"/>
  <c r="R46" i="11" s="1"/>
  <c r="I19" i="11"/>
  <c r="I133" i="11"/>
  <c r="AF88" i="11"/>
  <c r="AF91" i="11" s="1"/>
  <c r="AF6" i="11"/>
  <c r="R10" i="11"/>
  <c r="AF131" i="11"/>
  <c r="AF30" i="11"/>
  <c r="AF35" i="11" s="1"/>
  <c r="AM123" i="11"/>
  <c r="I88" i="11"/>
  <c r="I91" i="11" s="1"/>
  <c r="I43" i="11"/>
  <c r="AF58" i="11"/>
  <c r="AF133" i="11"/>
  <c r="AF10" i="11"/>
  <c r="I57" i="11"/>
  <c r="AF123" i="11"/>
  <c r="G53" i="1"/>
  <c r="G73" i="1"/>
  <c r="F73" i="1"/>
  <c r="Q22" i="15"/>
  <c r="AF48" i="6"/>
  <c r="O10" i="11"/>
  <c r="G44" i="11"/>
  <c r="G46" i="11" s="1"/>
  <c r="N10" i="11"/>
  <c r="AC62" i="13"/>
  <c r="AF97" i="6"/>
  <c r="AF98" i="6"/>
  <c r="AF6" i="6"/>
  <c r="AF40" i="6"/>
  <c r="AF55" i="6"/>
  <c r="R23" i="15"/>
  <c r="AF63" i="6"/>
  <c r="AF76" i="6"/>
  <c r="AC69" i="13"/>
  <c r="AD79" i="7"/>
  <c r="AC68" i="13"/>
  <c r="J65" i="20"/>
  <c r="M81" i="1"/>
  <c r="AF17" i="6"/>
  <c r="E115" i="1"/>
  <c r="U111" i="6"/>
  <c r="U112" i="6" s="1"/>
  <c r="U67" i="6"/>
  <c r="H111" i="6"/>
  <c r="H112" i="6" s="1"/>
  <c r="H67" i="6"/>
  <c r="E111" i="6"/>
  <c r="E112" i="6" s="1"/>
  <c r="E67" i="6"/>
  <c r="AD43" i="6"/>
  <c r="AD67" i="6"/>
  <c r="T111" i="6"/>
  <c r="T112" i="6" s="1"/>
  <c r="T67" i="6"/>
  <c r="AF79" i="6"/>
  <c r="AU79" i="6" s="1"/>
  <c r="AL9" i="6"/>
  <c r="AL67" i="6"/>
  <c r="P111" i="6"/>
  <c r="P112" i="6" s="1"/>
  <c r="P67" i="6"/>
  <c r="AH76" i="6"/>
  <c r="AH67" i="6"/>
  <c r="M111" i="6"/>
  <c r="M112" i="6" s="1"/>
  <c r="M67" i="6"/>
  <c r="D111" i="6"/>
  <c r="D112" i="6" s="1"/>
  <c r="D67" i="6"/>
  <c r="AA111" i="6"/>
  <c r="AA112" i="6" s="1"/>
  <c r="AA67" i="6"/>
  <c r="Q111" i="6"/>
  <c r="Q112" i="6" s="1"/>
  <c r="Q67" i="6"/>
  <c r="O111" i="6"/>
  <c r="O112" i="6" s="1"/>
  <c r="O67" i="6"/>
  <c r="N111" i="6"/>
  <c r="N112" i="6" s="1"/>
  <c r="N67" i="6"/>
  <c r="N71" i="6" s="1"/>
  <c r="J111" i="6"/>
  <c r="J112" i="6" s="1"/>
  <c r="J67" i="6"/>
  <c r="G111" i="6"/>
  <c r="G112" i="6" s="1"/>
  <c r="G67" i="6"/>
  <c r="Y111" i="6"/>
  <c r="Y112" i="6" s="1"/>
  <c r="Y67" i="6"/>
  <c r="V111" i="6"/>
  <c r="V112" i="6" s="1"/>
  <c r="V67" i="6"/>
  <c r="AF92" i="6"/>
  <c r="AF94" i="6" s="1"/>
  <c r="AU94" i="6" s="1"/>
  <c r="AF67" i="6"/>
  <c r="X111" i="6"/>
  <c r="X112" i="6" s="1"/>
  <c r="X67" i="6"/>
  <c r="AF43" i="6"/>
  <c r="Z111" i="6"/>
  <c r="Z112" i="6" s="1"/>
  <c r="Z67" i="6"/>
  <c r="S111" i="6"/>
  <c r="S112" i="6" s="1"/>
  <c r="S67" i="6"/>
  <c r="L111" i="6"/>
  <c r="L112" i="6" s="1"/>
  <c r="L67" i="6"/>
  <c r="I111" i="6"/>
  <c r="I112" i="6" s="1"/>
  <c r="I67" i="6"/>
  <c r="AF29" i="6"/>
  <c r="AF31" i="6" s="1"/>
  <c r="AF36" i="6"/>
  <c r="W111" i="6"/>
  <c r="W112" i="6" s="1"/>
  <c r="W67" i="6"/>
  <c r="F111" i="6"/>
  <c r="F112" i="6" s="1"/>
  <c r="F67" i="6"/>
  <c r="AF87" i="6"/>
  <c r="R111" i="6"/>
  <c r="R112" i="6" s="1"/>
  <c r="R67" i="6"/>
  <c r="K111" i="6"/>
  <c r="K112" i="6" s="1"/>
  <c r="K67" i="6"/>
  <c r="AD6" i="6"/>
  <c r="AD80" i="6"/>
  <c r="AU80" i="6" s="1"/>
  <c r="AD110" i="6"/>
  <c r="AD112" i="6" s="1"/>
  <c r="AD65" i="6"/>
  <c r="AD9" i="6"/>
  <c r="AD53" i="6"/>
  <c r="AD54" i="6"/>
  <c r="AD7" i="6"/>
  <c r="AD56" i="6"/>
  <c r="AU56" i="6" s="1"/>
  <c r="AD28" i="6"/>
  <c r="R22" i="15" s="1"/>
  <c r="AD77" i="6"/>
  <c r="AD49" i="6"/>
  <c r="AD36" i="6"/>
  <c r="AD40" i="6"/>
  <c r="AD48" i="6"/>
  <c r="AD123" i="6"/>
  <c r="AD18" i="6"/>
  <c r="AD38" i="6"/>
  <c r="AD15" i="6"/>
  <c r="AD63" i="6"/>
  <c r="AD98" i="6"/>
  <c r="AD122" i="6"/>
  <c r="AD85" i="6"/>
  <c r="AF9" i="6"/>
  <c r="AE33" i="2" s="1"/>
  <c r="AF53" i="6"/>
  <c r="AI76" i="10"/>
  <c r="T74" i="10"/>
  <c r="Z10" i="11"/>
  <c r="Z112" i="11"/>
  <c r="Z118" i="11" s="1"/>
  <c r="Z120" i="11" s="1"/>
  <c r="F10" i="11"/>
  <c r="F112" i="11"/>
  <c r="F118" i="11" s="1"/>
  <c r="F120" i="11" s="1"/>
  <c r="Y74" i="10"/>
  <c r="AF44" i="11"/>
  <c r="AF46" i="11" s="1"/>
  <c r="AF112" i="11"/>
  <c r="AF118" i="11" s="1"/>
  <c r="AF120" i="11" s="1"/>
  <c r="U44" i="11"/>
  <c r="U112" i="11"/>
  <c r="U118" i="11" s="1"/>
  <c r="U120" i="11" s="1"/>
  <c r="Y10" i="11"/>
  <c r="Y112" i="11"/>
  <c r="Y118" i="11" s="1"/>
  <c r="Y120" i="11" s="1"/>
  <c r="P10" i="11"/>
  <c r="P112" i="11"/>
  <c r="P118" i="11" s="1"/>
  <c r="P120" i="11" s="1"/>
  <c r="H44" i="11"/>
  <c r="H46" i="11" s="1"/>
  <c r="H112" i="11"/>
  <c r="H118" i="11" s="1"/>
  <c r="H120" i="11" s="1"/>
  <c r="AM10" i="11"/>
  <c r="AM112" i="11"/>
  <c r="AM118" i="11" s="1"/>
  <c r="AM120" i="11" s="1"/>
  <c r="E73" i="10"/>
  <c r="AG10" i="11"/>
  <c r="AG112" i="11"/>
  <c r="AG118" i="11" s="1"/>
  <c r="AG120" i="11" s="1"/>
  <c r="V10" i="11"/>
  <c r="V112" i="11"/>
  <c r="V118" i="11" s="1"/>
  <c r="V120" i="11" s="1"/>
  <c r="M10" i="11"/>
  <c r="M112" i="11"/>
  <c r="M118" i="11" s="1"/>
  <c r="M120" i="11" s="1"/>
  <c r="E74" i="10"/>
  <c r="AK10" i="11"/>
  <c r="AK112" i="11"/>
  <c r="X10" i="11"/>
  <c r="X112" i="11"/>
  <c r="X118" i="11" s="1"/>
  <c r="X120" i="11" s="1"/>
  <c r="I10" i="11"/>
  <c r="I112" i="11"/>
  <c r="I118" i="11" s="1"/>
  <c r="I120" i="11" s="1"/>
  <c r="E75" i="10"/>
  <c r="AI44" i="11"/>
  <c r="AI46" i="11" s="1"/>
  <c r="AI112" i="11"/>
  <c r="AI118" i="11" s="1"/>
  <c r="AI120" i="11" s="1"/>
  <c r="AE10" i="11"/>
  <c r="AE112" i="11"/>
  <c r="AE118" i="11" s="1"/>
  <c r="AE120" i="11" s="1"/>
  <c r="AB10" i="11"/>
  <c r="AB14" i="11" s="1"/>
  <c r="AB112" i="11"/>
  <c r="AB118" i="11" s="1"/>
  <c r="AB120" i="11" s="1"/>
  <c r="AK118" i="11"/>
  <c r="R76" i="10"/>
  <c r="S10" i="11"/>
  <c r="S112" i="11"/>
  <c r="S118" i="11" s="1"/>
  <c r="S120" i="11" s="1"/>
  <c r="D10" i="11"/>
  <c r="D112" i="11"/>
  <c r="D118" i="11" s="1"/>
  <c r="D120" i="11" s="1"/>
  <c r="R73" i="10"/>
  <c r="AD44" i="11"/>
  <c r="AD46" i="11" s="1"/>
  <c r="AD112" i="11"/>
  <c r="AD118" i="11" s="1"/>
  <c r="AD120" i="11" s="1"/>
  <c r="AL10" i="11"/>
  <c r="AL112" i="11"/>
  <c r="AL118" i="11" s="1"/>
  <c r="AL120" i="11" s="1"/>
  <c r="AC10" i="11"/>
  <c r="AC112" i="11"/>
  <c r="AC118" i="11" s="1"/>
  <c r="T10" i="11"/>
  <c r="T112" i="11"/>
  <c r="T118" i="11" s="1"/>
  <c r="T120" i="11" s="1"/>
  <c r="AH10" i="11"/>
  <c r="AH112" i="11"/>
  <c r="AH118" i="11" s="1"/>
  <c r="AH120" i="11" s="1"/>
  <c r="L44" i="11"/>
  <c r="L112" i="11"/>
  <c r="L118" i="11" s="1"/>
  <c r="L120" i="11" s="1"/>
  <c r="W10" i="11"/>
  <c r="W112" i="11"/>
  <c r="W118" i="11" s="1"/>
  <c r="W120" i="11" s="1"/>
  <c r="Q10" i="11"/>
  <c r="Q112" i="11"/>
  <c r="Q118" i="11" s="1"/>
  <c r="Q120" i="11" s="1"/>
  <c r="K44" i="11"/>
  <c r="K46" i="11" s="1"/>
  <c r="K112" i="11"/>
  <c r="K118" i="11" s="1"/>
  <c r="K120" i="11" s="1"/>
  <c r="E10" i="11"/>
  <c r="E112" i="11"/>
  <c r="E118" i="11" s="1"/>
  <c r="E120" i="11" s="1"/>
  <c r="AJ10" i="11"/>
  <c r="AJ112" i="11"/>
  <c r="AJ118" i="11" s="1"/>
  <c r="AJ120" i="11" s="1"/>
  <c r="AA10" i="11"/>
  <c r="AA112" i="11"/>
  <c r="AA118" i="11" s="1"/>
  <c r="AA120" i="11" s="1"/>
  <c r="Y28" i="15"/>
  <c r="F18" i="1"/>
  <c r="AC79" i="7"/>
  <c r="AB68" i="13"/>
  <c r="AB69" i="13"/>
  <c r="AB62" i="13"/>
  <c r="G51" i="1"/>
  <c r="X19" i="14"/>
  <c r="O20" i="20"/>
  <c r="F11" i="1"/>
  <c r="N53" i="1"/>
  <c r="X20" i="14"/>
  <c r="S65" i="14"/>
  <c r="O52" i="1"/>
  <c r="G8" i="1"/>
  <c r="N52" i="1"/>
  <c r="G52" i="1"/>
  <c r="O19" i="20"/>
  <c r="G72" i="1"/>
  <c r="AF123" i="6"/>
  <c r="AF124" i="6" s="1"/>
  <c r="AF41" i="6"/>
  <c r="AF65" i="6"/>
  <c r="AF38" i="6"/>
  <c r="AF18" i="6"/>
  <c r="AA84" i="10"/>
  <c r="AA67" i="10"/>
  <c r="Q53" i="10"/>
  <c r="Q67" i="10"/>
  <c r="Q70" i="10" s="1"/>
  <c r="H53" i="10"/>
  <c r="H67" i="10"/>
  <c r="AG53" i="10"/>
  <c r="AG67" i="10"/>
  <c r="AC53" i="10"/>
  <c r="AC67" i="10"/>
  <c r="P53" i="10"/>
  <c r="P67" i="10"/>
  <c r="K53" i="10"/>
  <c r="K67" i="10"/>
  <c r="AE53" i="10"/>
  <c r="AE67" i="10"/>
  <c r="AE70" i="10" s="1"/>
  <c r="W53" i="10"/>
  <c r="W67" i="10"/>
  <c r="S53" i="10"/>
  <c r="S67" i="10"/>
  <c r="AF53" i="10"/>
  <c r="AF67" i="10"/>
  <c r="M53" i="10"/>
  <c r="M67" i="10"/>
  <c r="L53" i="10"/>
  <c r="L67" i="10"/>
  <c r="V53" i="10"/>
  <c r="V67" i="10"/>
  <c r="V70" i="10" s="1"/>
  <c r="J53" i="10"/>
  <c r="J67" i="10"/>
  <c r="D53" i="10"/>
  <c r="D67" i="10"/>
  <c r="AJ53" i="10"/>
  <c r="AJ67" i="10"/>
  <c r="AI60" i="10"/>
  <c r="AI67" i="10"/>
  <c r="Z53" i="10"/>
  <c r="Z67" i="10"/>
  <c r="R53" i="10"/>
  <c r="R67" i="10"/>
  <c r="R70" i="10" s="1"/>
  <c r="E53" i="10"/>
  <c r="E67" i="10"/>
  <c r="AB53" i="10"/>
  <c r="AB67" i="10"/>
  <c r="Y53" i="10"/>
  <c r="Y67" i="10"/>
  <c r="T53" i="10"/>
  <c r="T67" i="10"/>
  <c r="N53" i="10"/>
  <c r="N67" i="10"/>
  <c r="G53" i="10"/>
  <c r="G67" i="10"/>
  <c r="G70" i="10" s="1"/>
  <c r="O53" i="10"/>
  <c r="O67" i="10"/>
  <c r="I53" i="10"/>
  <c r="I67" i="10"/>
  <c r="AL53" i="10"/>
  <c r="AL56" i="10" s="1"/>
  <c r="AL67" i="10"/>
  <c r="AH53" i="10"/>
  <c r="AH67" i="10"/>
  <c r="AH70" i="10" s="1"/>
  <c r="Q75" i="10"/>
  <c r="X53" i="10"/>
  <c r="X67" i="10"/>
  <c r="AK53" i="10"/>
  <c r="AK56" i="10" s="1"/>
  <c r="AK67" i="10"/>
  <c r="AD53" i="10"/>
  <c r="AD56" i="10" s="1"/>
  <c r="AD67" i="10"/>
  <c r="AD70" i="10" s="1"/>
  <c r="U53" i="10"/>
  <c r="U67" i="10"/>
  <c r="F53" i="10"/>
  <c r="F67" i="10"/>
  <c r="AI51" i="10"/>
  <c r="AG101" i="10"/>
  <c r="AG6" i="10"/>
  <c r="G69" i="1"/>
  <c r="G18" i="1"/>
  <c r="G151" i="1"/>
  <c r="G160" i="1"/>
  <c r="O167" i="1"/>
  <c r="O152" i="1"/>
  <c r="O166" i="1"/>
  <c r="O153" i="1"/>
  <c r="G155" i="1"/>
  <c r="G153" i="1"/>
  <c r="O3" i="1"/>
  <c r="O159" i="1"/>
  <c r="G152" i="1"/>
  <c r="G154" i="1"/>
  <c r="G165" i="1"/>
  <c r="G161" i="1"/>
  <c r="G174" i="1"/>
  <c r="O155" i="1"/>
  <c r="G167" i="1"/>
  <c r="O165" i="1"/>
  <c r="O174" i="1"/>
  <c r="G166" i="1"/>
  <c r="O154" i="1"/>
  <c r="O160" i="1"/>
  <c r="O161" i="1"/>
  <c r="O151" i="1"/>
  <c r="G159" i="1"/>
  <c r="G91" i="1"/>
  <c r="G35" i="1"/>
  <c r="G111" i="1"/>
  <c r="G104" i="1"/>
  <c r="O60" i="1"/>
  <c r="G38" i="1"/>
  <c r="O40" i="1"/>
  <c r="G39" i="1"/>
  <c r="O35" i="1"/>
  <c r="G90" i="1"/>
  <c r="G96" i="1"/>
  <c r="G16" i="1"/>
  <c r="G97" i="1"/>
  <c r="G25" i="1"/>
  <c r="O24" i="1"/>
  <c r="G102" i="1"/>
  <c r="G105" i="1"/>
  <c r="G60" i="1"/>
  <c r="G89" i="1"/>
  <c r="O39" i="1"/>
  <c r="O36" i="1"/>
  <c r="G40" i="1"/>
  <c r="O98" i="1"/>
  <c r="G93" i="1"/>
  <c r="O16" i="1"/>
  <c r="G23" i="1"/>
  <c r="G37" i="1"/>
  <c r="G32" i="1"/>
  <c r="G103" i="1"/>
  <c r="O33" i="1"/>
  <c r="G34" i="1"/>
  <c r="G98" i="1"/>
  <c r="G14" i="1"/>
  <c r="G36" i="1"/>
  <c r="G26" i="1"/>
  <c r="G92" i="1"/>
  <c r="G9" i="1"/>
  <c r="O18" i="1"/>
  <c r="G12" i="1"/>
  <c r="G33" i="1"/>
  <c r="O34" i="1"/>
  <c r="O26" i="1"/>
  <c r="O38" i="1"/>
  <c r="G24" i="1"/>
  <c r="O32" i="1"/>
  <c r="G87" i="1"/>
  <c r="G110" i="1"/>
  <c r="G88" i="1"/>
  <c r="O37" i="1"/>
  <c r="G108" i="1"/>
  <c r="G42" i="1"/>
  <c r="O42" i="1"/>
  <c r="O18" i="16"/>
  <c r="Y11" i="14"/>
  <c r="P11" i="20"/>
  <c r="Y17" i="14"/>
  <c r="R62" i="14"/>
  <c r="AK2" i="18"/>
  <c r="G85" i="18"/>
  <c r="G90" i="18" s="1"/>
  <c r="G91" i="18" s="1"/>
  <c r="P15" i="18"/>
  <c r="AE2" i="18"/>
  <c r="R60" i="14"/>
  <c r="R63" i="14"/>
  <c r="F161" i="1"/>
  <c r="R9" i="18"/>
  <c r="N174" i="1"/>
  <c r="D17" i="16"/>
  <c r="AO15" i="20"/>
  <c r="O19" i="18"/>
  <c r="D18" i="16"/>
  <c r="X14" i="14"/>
  <c r="O10" i="18"/>
  <c r="P19" i="18"/>
  <c r="N167" i="1"/>
  <c r="P16" i="18"/>
  <c r="I58" i="20"/>
  <c r="R66" i="14"/>
  <c r="A5" i="14"/>
  <c r="A6" i="14" s="1"/>
  <c r="P6" i="14" s="1"/>
  <c r="X6" i="14" s="1"/>
  <c r="AA10" i="1" s="1"/>
  <c r="BI10" i="1" s="1"/>
  <c r="O18" i="18"/>
  <c r="O13" i="20"/>
  <c r="O12" i="18"/>
  <c r="I71" i="18"/>
  <c r="AQ2" i="18"/>
  <c r="F154" i="1"/>
  <c r="X18" i="14"/>
  <c r="Y17" i="2"/>
  <c r="Y33" i="1"/>
  <c r="AA9" i="14"/>
  <c r="R61" i="14"/>
  <c r="P10" i="18"/>
  <c r="Y39" i="1"/>
  <c r="N98" i="1"/>
  <c r="F9" i="1"/>
  <c r="F93" i="1"/>
  <c r="F96" i="1"/>
  <c r="F91" i="1"/>
  <c r="T9" i="20"/>
  <c r="N32" i="1"/>
  <c r="O18" i="20"/>
  <c r="O17" i="16"/>
  <c r="F26" i="1"/>
  <c r="N60" i="1"/>
  <c r="N36" i="1"/>
  <c r="F36" i="1"/>
  <c r="F37" i="1"/>
  <c r="X14" i="1"/>
  <c r="BF14" i="1" s="1"/>
  <c r="I66" i="18"/>
  <c r="I65" i="18"/>
  <c r="I72" i="20"/>
  <c r="P10" i="20"/>
  <c r="N152" i="1"/>
  <c r="I68" i="20"/>
  <c r="I57" i="20"/>
  <c r="R5" i="18"/>
  <c r="AB9" i="14"/>
  <c r="O7" i="18"/>
  <c r="G171" i="1"/>
  <c r="AA14" i="1"/>
  <c r="BI14" i="1" s="1"/>
  <c r="F166" i="1"/>
  <c r="N171" i="1"/>
  <c r="O14" i="20"/>
  <c r="N18" i="1"/>
  <c r="J64" i="18"/>
  <c r="N24" i="1"/>
  <c r="W6" i="1" s="1"/>
  <c r="BE6" i="1" s="1"/>
  <c r="F38" i="1"/>
  <c r="AC9" i="14"/>
  <c r="F88" i="1"/>
  <c r="G86" i="20"/>
  <c r="G91" i="20" s="1"/>
  <c r="G92" i="20" s="1"/>
  <c r="W14" i="1"/>
  <c r="BE14" i="1" s="1"/>
  <c r="X11" i="1"/>
  <c r="BF11" i="1" s="1"/>
  <c r="I61" i="20"/>
  <c r="I67" i="20"/>
  <c r="I62" i="18"/>
  <c r="R59" i="14"/>
  <c r="R64" i="14"/>
  <c r="X15" i="14"/>
  <c r="F42" i="1"/>
  <c r="O16" i="18"/>
  <c r="Q9" i="18"/>
  <c r="Y8" i="14"/>
  <c r="O20" i="16"/>
  <c r="N155" i="1"/>
  <c r="AO15" i="18"/>
  <c r="Y30" i="1"/>
  <c r="F39" i="1"/>
  <c r="N34" i="1"/>
  <c r="F32" i="1"/>
  <c r="N42" i="1"/>
  <c r="F14" i="1"/>
  <c r="F12" i="1"/>
  <c r="N154" i="1"/>
  <c r="I62" i="20"/>
  <c r="P14" i="18"/>
  <c r="P97" i="14"/>
  <c r="BA2" i="14"/>
  <c r="Y20" i="14"/>
  <c r="P8" i="20"/>
  <c r="F105" i="1"/>
  <c r="F92" i="1"/>
  <c r="F90" i="1"/>
  <c r="N151" i="1"/>
  <c r="G96" i="18"/>
  <c r="Y14" i="1"/>
  <c r="BG14" i="1" s="1"/>
  <c r="W45" i="1"/>
  <c r="P11" i="18"/>
  <c r="AJ2" i="14"/>
  <c r="P20" i="20"/>
  <c r="AA2" i="18"/>
  <c r="I59" i="18"/>
  <c r="O9" i="18"/>
  <c r="O20" i="18"/>
  <c r="O17" i="18"/>
  <c r="AK2" i="20"/>
  <c r="P12" i="20"/>
  <c r="P6" i="18"/>
  <c r="O19" i="16"/>
  <c r="I63" i="18"/>
  <c r="O6" i="18"/>
  <c r="N40" i="1"/>
  <c r="N26" i="1"/>
  <c r="Y6" i="1" s="1"/>
  <c r="BG6" i="1" s="1"/>
  <c r="F104" i="1"/>
  <c r="F103" i="1"/>
  <c r="F87" i="1"/>
  <c r="F16" i="1"/>
  <c r="F111" i="1"/>
  <c r="F165" i="1"/>
  <c r="I59" i="20"/>
  <c r="O11" i="18"/>
  <c r="V14" i="1"/>
  <c r="R65" i="14"/>
  <c r="W11" i="1"/>
  <c r="BE11" i="1" s="1"/>
  <c r="Y19" i="14"/>
  <c r="I60" i="18"/>
  <c r="I61" i="18"/>
  <c r="I66" i="20"/>
  <c r="I71" i="20"/>
  <c r="T9" i="18"/>
  <c r="P17" i="18"/>
  <c r="F155" i="1"/>
  <c r="X13" i="14"/>
  <c r="O14" i="18"/>
  <c r="F25" i="1"/>
  <c r="N35" i="1"/>
  <c r="F53" i="1"/>
  <c r="F33" i="1"/>
  <c r="F102" i="1"/>
  <c r="F108" i="1"/>
  <c r="F8" i="1"/>
  <c r="N33" i="1"/>
  <c r="R67" i="14"/>
  <c r="Y28" i="1"/>
  <c r="O8" i="18"/>
  <c r="Y12" i="14"/>
  <c r="O15" i="18"/>
  <c r="O15" i="20"/>
  <c r="I67" i="18"/>
  <c r="F167" i="1"/>
  <c r="R71" i="14"/>
  <c r="O6" i="20"/>
  <c r="R57" i="14"/>
  <c r="I70" i="18"/>
  <c r="F153" i="1"/>
  <c r="I57" i="18"/>
  <c r="Y37" i="1"/>
  <c r="P12" i="18"/>
  <c r="AY15" i="14"/>
  <c r="P13" i="18"/>
  <c r="N3" i="1"/>
  <c r="I68" i="18"/>
  <c r="F160" i="1"/>
  <c r="AU2" i="14"/>
  <c r="P19" i="20"/>
  <c r="P7" i="18"/>
  <c r="N16" i="1"/>
  <c r="F24" i="1"/>
  <c r="F149" i="1"/>
  <c r="F97" i="1"/>
  <c r="N160" i="1"/>
  <c r="S5" i="18"/>
  <c r="P18" i="18"/>
  <c r="D19" i="16"/>
  <c r="F40" i="1"/>
  <c r="T5" i="18"/>
  <c r="I65" i="20"/>
  <c r="R68" i="14"/>
  <c r="P9" i="18"/>
  <c r="R72" i="14"/>
  <c r="I58" i="18"/>
  <c r="F34" i="1"/>
  <c r="AA11" i="1"/>
  <c r="N161" i="1"/>
  <c r="Y10" i="14"/>
  <c r="G97" i="20"/>
  <c r="F174" i="1"/>
  <c r="AQ2" i="20"/>
  <c r="Y11" i="1"/>
  <c r="BG11" i="1" s="1"/>
  <c r="P8" i="18"/>
  <c r="O13" i="18"/>
  <c r="R69" i="14"/>
  <c r="F151" i="1"/>
  <c r="I69" i="20"/>
  <c r="N153" i="1"/>
  <c r="F171" i="1"/>
  <c r="D28" i="16"/>
  <c r="S9" i="18"/>
  <c r="I56" i="18"/>
  <c r="R9" i="20"/>
  <c r="N37" i="1"/>
  <c r="F52" i="1"/>
  <c r="F69" i="1"/>
  <c r="F89" i="1"/>
  <c r="P86" i="14"/>
  <c r="P91" i="14" s="1"/>
  <c r="P92" i="14" s="1"/>
  <c r="F23" i="1"/>
  <c r="F35" i="1"/>
  <c r="F98" i="1"/>
  <c r="P17" i="20"/>
  <c r="Y38" i="1"/>
  <c r="I63" i="20"/>
  <c r="O171" i="1"/>
  <c r="N159" i="1"/>
  <c r="R58" i="14"/>
  <c r="AA2" i="20"/>
  <c r="P20" i="18"/>
  <c r="N166" i="1"/>
  <c r="N165" i="1"/>
  <c r="I60" i="20"/>
  <c r="I64" i="20"/>
  <c r="F159" i="1"/>
  <c r="S9" i="20"/>
  <c r="I64" i="18"/>
  <c r="F152" i="1"/>
  <c r="N39" i="1"/>
  <c r="N38" i="1"/>
  <c r="F110" i="1"/>
  <c r="AI97" i="10"/>
  <c r="AI98" i="10" s="1"/>
  <c r="AI64" i="10"/>
  <c r="AF88" i="6"/>
  <c r="AF89" i="6" s="1"/>
  <c r="AM2" i="10"/>
  <c r="AM67" i="10" s="1"/>
  <c r="F72" i="1"/>
  <c r="G149" i="1"/>
  <c r="AK2" i="7"/>
  <c r="G11" i="1"/>
  <c r="O53" i="1"/>
  <c r="AG34" i="10"/>
  <c r="AG43" i="10" s="1"/>
  <c r="AG7" i="10"/>
  <c r="AG11" i="10" s="1"/>
  <c r="H10" i="11"/>
  <c r="U10" i="11"/>
  <c r="AG15" i="10"/>
  <c r="AE75" i="10"/>
  <c r="P23" i="15"/>
  <c r="AB43" i="11"/>
  <c r="AH75" i="10"/>
  <c r="Z44" i="11"/>
  <c r="Z46" i="11" s="1"/>
  <c r="AH73" i="10"/>
  <c r="AH74" i="10"/>
  <c r="AL122" i="10"/>
  <c r="AL124" i="10" s="1"/>
  <c r="AE73" i="10"/>
  <c r="Y37" i="7"/>
  <c r="Y54" i="7"/>
  <c r="Y51" i="7"/>
  <c r="AA68" i="10"/>
  <c r="AI66" i="10"/>
  <c r="Y44" i="11"/>
  <c r="Y46" i="11" s="1"/>
  <c r="AI75" i="10"/>
  <c r="Q74" i="10"/>
  <c r="Y59" i="7"/>
  <c r="Y38" i="7"/>
  <c r="Y26" i="7"/>
  <c r="Y29" i="7" s="1"/>
  <c r="AI73" i="10"/>
  <c r="Q76" i="10"/>
  <c r="AL97" i="10"/>
  <c r="AL98" i="10" s="1"/>
  <c r="AG85" i="10"/>
  <c r="AG88" i="10" s="1"/>
  <c r="AA44" i="11"/>
  <c r="AA46" i="11" s="1"/>
  <c r="AJ44" i="11"/>
  <c r="AJ46" i="11" s="1"/>
  <c r="Q44" i="11"/>
  <c r="Q46" i="11" s="1"/>
  <c r="AB73" i="10"/>
  <c r="AA76" i="10"/>
  <c r="AB75" i="10"/>
  <c r="AH76" i="10"/>
  <c r="AA102" i="10"/>
  <c r="AB76" i="10"/>
  <c r="AH9" i="10"/>
  <c r="AH11" i="10" s="1"/>
  <c r="K10" i="11"/>
  <c r="Y117" i="7"/>
  <c r="Y125" i="7"/>
  <c r="AJ74" i="10"/>
  <c r="T73" i="10"/>
  <c r="T81" i="10" s="1"/>
  <c r="M44" i="11"/>
  <c r="M46" i="11" s="1"/>
  <c r="Y118" i="7"/>
  <c r="Y90" i="7"/>
  <c r="Y75" i="7"/>
  <c r="Y77" i="7" s="1"/>
  <c r="Y79" i="7" s="1"/>
  <c r="W75" i="10"/>
  <c r="J75" i="10"/>
  <c r="Y75" i="10"/>
  <c r="F44" i="11"/>
  <c r="F46" i="11" s="1"/>
  <c r="E44" i="11"/>
  <c r="E46" i="11" s="1"/>
  <c r="AF110" i="6"/>
  <c r="AF112" i="6" s="1"/>
  <c r="J76" i="10"/>
  <c r="Y76" i="10"/>
  <c r="AI7" i="10"/>
  <c r="AC44" i="11"/>
  <c r="AC46" i="11" s="1"/>
  <c r="T44" i="11"/>
  <c r="T46" i="11" s="1"/>
  <c r="AG66" i="10"/>
  <c r="AG70" i="10" s="1"/>
  <c r="AI102" i="10"/>
  <c r="AI14" i="10"/>
  <c r="AF75" i="6"/>
  <c r="AU75" i="6" s="1"/>
  <c r="AA60" i="10"/>
  <c r="L46" i="11"/>
  <c r="AI15" i="10"/>
  <c r="AL44" i="11"/>
  <c r="AL46" i="11" s="1"/>
  <c r="U46" i="11"/>
  <c r="AA73" i="10"/>
  <c r="AI46" i="10"/>
  <c r="AI48" i="10" s="1"/>
  <c r="AI59" i="10"/>
  <c r="AI91" i="10"/>
  <c r="AI27" i="10"/>
  <c r="AI9" i="10"/>
  <c r="AM44" i="11"/>
  <c r="AM46" i="11" s="1"/>
  <c r="Q73" i="10"/>
  <c r="AI85" i="10"/>
  <c r="AH44" i="11"/>
  <c r="AH46" i="11" s="1"/>
  <c r="AF74" i="6"/>
  <c r="AU74" i="6" s="1"/>
  <c r="AI101" i="10"/>
  <c r="P22" i="15"/>
  <c r="AF69" i="6"/>
  <c r="W44" i="11"/>
  <c r="W46" i="11" s="1"/>
  <c r="AF64" i="6"/>
  <c r="AA92" i="10"/>
  <c r="AI62" i="10"/>
  <c r="AI65" i="10"/>
  <c r="AI6" i="10"/>
  <c r="AG111" i="10"/>
  <c r="AG112" i="10" s="1"/>
  <c r="AG46" i="10"/>
  <c r="AG48" i="10" s="1"/>
  <c r="AI122" i="10"/>
  <c r="AI16" i="10"/>
  <c r="AG14" i="10"/>
  <c r="AA75" i="10"/>
  <c r="I44" i="11"/>
  <c r="I46" i="11" s="1"/>
  <c r="AA123" i="10"/>
  <c r="O28" i="15" s="1"/>
  <c r="X28" i="15" s="1"/>
  <c r="AA111" i="10"/>
  <c r="AK44" i="11"/>
  <c r="AK46" i="11" s="1"/>
  <c r="AA74" i="10"/>
  <c r="X44" i="11"/>
  <c r="X46" i="11" s="1"/>
  <c r="AA35" i="10"/>
  <c r="V44" i="11"/>
  <c r="V46" i="11" s="1"/>
  <c r="AA110" i="10"/>
  <c r="AA46" i="10"/>
  <c r="AA48" i="10" s="1"/>
  <c r="AT48" i="10" s="1"/>
  <c r="AE44" i="11"/>
  <c r="AE46" i="11" s="1"/>
  <c r="AB44" i="11"/>
  <c r="AA65" i="10"/>
  <c r="AA91" i="10"/>
  <c r="AL64" i="10"/>
  <c r="AL70" i="10" s="1"/>
  <c r="AA52" i="10"/>
  <c r="AA59" i="10"/>
  <c r="AI10" i="11"/>
  <c r="AI110" i="10"/>
  <c r="AA16" i="10"/>
  <c r="AA85" i="10"/>
  <c r="AA88" i="10" s="1"/>
  <c r="AA9" i="10"/>
  <c r="AA15" i="10"/>
  <c r="AA26" i="10"/>
  <c r="O23" i="15" s="1"/>
  <c r="AA34" i="10"/>
  <c r="AA122" i="10"/>
  <c r="AA6" i="10"/>
  <c r="AA63" i="10"/>
  <c r="AA61" i="10"/>
  <c r="AA66" i="10"/>
  <c r="AA101" i="10"/>
  <c r="AA14" i="10"/>
  <c r="AA106" i="10"/>
  <c r="AA107" i="10" s="1"/>
  <c r="AT107" i="10" s="1"/>
  <c r="AG44" i="11"/>
  <c r="AG46" i="11" s="1"/>
  <c r="AA64" i="10"/>
  <c r="AA53" i="10"/>
  <c r="AA62" i="10"/>
  <c r="AA51" i="10"/>
  <c r="AI26" i="10"/>
  <c r="AI111" i="10"/>
  <c r="AI8" i="10"/>
  <c r="AI123" i="10"/>
  <c r="AI68" i="10"/>
  <c r="AI106" i="10"/>
  <c r="AI107" i="10" s="1"/>
  <c r="AI53" i="10"/>
  <c r="AI35" i="10"/>
  <c r="AI92" i="10"/>
  <c r="AI34" i="10"/>
  <c r="AI63" i="10"/>
  <c r="AA7" i="10"/>
  <c r="AI84" i="10"/>
  <c r="AI52" i="10"/>
  <c r="AI61" i="10"/>
  <c r="AA27" i="10"/>
  <c r="AA97" i="10"/>
  <c r="AA98" i="10" s="1"/>
  <c r="AT98" i="10" s="1"/>
  <c r="AA8" i="10"/>
  <c r="AA62" i="13"/>
  <c r="AB79" i="7"/>
  <c r="AA68" i="13"/>
  <c r="AA69" i="13"/>
  <c r="AS94" i="6"/>
  <c r="AT94" i="6"/>
  <c r="AA79" i="7"/>
  <c r="Z68" i="13"/>
  <c r="A15" i="6"/>
  <c r="A14" i="6"/>
  <c r="A16" i="6"/>
  <c r="A17" i="6"/>
  <c r="B1" i="3"/>
  <c r="N23" i="15"/>
  <c r="Y69" i="13"/>
  <c r="N22" i="15"/>
  <c r="D59" i="18"/>
  <c r="D57" i="20"/>
  <c r="D65" i="18"/>
  <c r="F65" i="18" s="1"/>
  <c r="H65" i="18" s="1"/>
  <c r="J65" i="18" s="1"/>
  <c r="D66" i="18"/>
  <c r="D67" i="20"/>
  <c r="D60" i="20"/>
  <c r="Z79" i="7"/>
  <c r="Y68" i="13"/>
  <c r="D58" i="20"/>
  <c r="D57" i="18"/>
  <c r="AE33" i="13"/>
  <c r="L23" i="15"/>
  <c r="X124" i="6"/>
  <c r="L27" i="15" s="1"/>
  <c r="AG34" i="2"/>
  <c r="AG94" i="10"/>
  <c r="AF50" i="6"/>
  <c r="L22" i="15"/>
  <c r="P31" i="6"/>
  <c r="AG50" i="6"/>
  <c r="AF58" i="6"/>
  <c r="AG112" i="7"/>
  <c r="AG121" i="7"/>
  <c r="AL112" i="10"/>
  <c r="AG35" i="2"/>
  <c r="AL94" i="10"/>
  <c r="AG103" i="10"/>
  <c r="AH19" i="10"/>
  <c r="M22" i="15"/>
  <c r="AG81" i="10"/>
  <c r="M23" i="15"/>
  <c r="AL29" i="10"/>
  <c r="AG56" i="10"/>
  <c r="AL103" i="10"/>
  <c r="M19" i="20"/>
  <c r="AG29" i="7"/>
  <c r="X99" i="6"/>
  <c r="AK32" i="13"/>
  <c r="M20" i="20"/>
  <c r="D56" i="18"/>
  <c r="AG11" i="7"/>
  <c r="X11" i="6"/>
  <c r="D15" i="20"/>
  <c r="G5" i="20"/>
  <c r="O5" i="20" s="1"/>
  <c r="AL43" i="10"/>
  <c r="X64" i="13"/>
  <c r="D62" i="20"/>
  <c r="F62" i="20" s="1"/>
  <c r="X82" i="6"/>
  <c r="D13" i="20"/>
  <c r="N59" i="14"/>
  <c r="E58" i="18"/>
  <c r="S56" i="10"/>
  <c r="X71" i="6"/>
  <c r="X50" i="6"/>
  <c r="L6" i="15" s="1"/>
  <c r="D66" i="20"/>
  <c r="F66" i="20" s="1"/>
  <c r="D17" i="20"/>
  <c r="X89" i="6"/>
  <c r="X21" i="6"/>
  <c r="X58" i="6"/>
  <c r="Y11" i="7"/>
  <c r="E66" i="18"/>
  <c r="X45" i="6"/>
  <c r="E59" i="18"/>
  <c r="E67" i="20"/>
  <c r="X69" i="13"/>
  <c r="E69" i="20"/>
  <c r="E59" i="20"/>
  <c r="E60" i="20"/>
  <c r="AH99" i="6"/>
  <c r="AG63" i="7"/>
  <c r="AL19" i="10"/>
  <c r="AG124" i="10"/>
  <c r="AG129" i="7"/>
  <c r="AE29" i="7"/>
  <c r="AD61" i="13" s="1"/>
  <c r="AG29" i="10"/>
  <c r="AL11" i="10"/>
  <c r="AL50" i="6"/>
  <c r="AL88" i="10"/>
  <c r="AG101" i="7"/>
  <c r="AG40" i="7"/>
  <c r="AG94" i="7"/>
  <c r="AH50" i="6"/>
  <c r="AG56" i="7"/>
  <c r="E68" i="18"/>
  <c r="N69" i="14"/>
  <c r="AH103" i="10"/>
  <c r="AT54" i="6"/>
  <c r="AT78" i="6"/>
  <c r="AT107" i="6"/>
  <c r="AT56" i="6"/>
  <c r="AT77" i="6"/>
  <c r="AL31" i="6"/>
  <c r="AT55" i="6"/>
  <c r="AT75" i="6"/>
  <c r="AT80" i="6"/>
  <c r="AL11" i="6"/>
  <c r="AT53" i="6"/>
  <c r="AL81" i="10"/>
  <c r="AL89" i="6"/>
  <c r="AT79" i="6"/>
  <c r="AH31" i="6"/>
  <c r="AT74" i="6"/>
  <c r="AT76" i="6"/>
  <c r="AT103" i="6"/>
  <c r="W64" i="13"/>
  <c r="M93" i="1" s="1"/>
  <c r="O93" i="1" s="1"/>
  <c r="D61" i="18"/>
  <c r="F61" i="18" s="1"/>
  <c r="AS107" i="10"/>
  <c r="AS98" i="10"/>
  <c r="AS48" i="10"/>
  <c r="AS107" i="6"/>
  <c r="AS103" i="6"/>
  <c r="AH89" i="6"/>
  <c r="AL71" i="6"/>
  <c r="G5" i="18"/>
  <c r="P5" i="14"/>
  <c r="X5" i="14" s="1"/>
  <c r="W62" i="13"/>
  <c r="N60" i="14"/>
  <c r="AH82" i="6"/>
  <c r="AL21" i="6"/>
  <c r="AH11" i="6"/>
  <c r="AL58" i="6"/>
  <c r="AH21" i="6"/>
  <c r="AG31" i="13"/>
  <c r="AG46" i="13" s="1"/>
  <c r="AL82" i="6"/>
  <c r="AL124" i="6"/>
  <c r="AL45" i="6"/>
  <c r="AL99" i="6"/>
  <c r="AK35" i="2"/>
  <c r="AH58" i="6"/>
  <c r="AH45" i="6"/>
  <c r="AH1" i="3" s="1"/>
  <c r="AK33" i="13"/>
  <c r="AH71" i="6"/>
  <c r="AH124" i="6"/>
  <c r="N67" i="14"/>
  <c r="AE56" i="7"/>
  <c r="W69" i="13"/>
  <c r="X79" i="7"/>
  <c r="W68" i="13"/>
  <c r="AH94" i="10"/>
  <c r="AE63" i="7"/>
  <c r="AD66" i="13" s="1"/>
  <c r="AH43" i="10"/>
  <c r="AH124" i="10"/>
  <c r="AH29" i="10"/>
  <c r="G94" i="10"/>
  <c r="AH112" i="10"/>
  <c r="N29" i="10"/>
  <c r="AE129" i="7"/>
  <c r="V31" i="6"/>
  <c r="W112" i="10"/>
  <c r="N99" i="6"/>
  <c r="AH56" i="10"/>
  <c r="J112" i="10"/>
  <c r="L62" i="13"/>
  <c r="F22" i="15"/>
  <c r="H69" i="13"/>
  <c r="AH88" i="10"/>
  <c r="D62" i="13"/>
  <c r="L124" i="10"/>
  <c r="AE112" i="7"/>
  <c r="AD72" i="13" s="1"/>
  <c r="AE121" i="7"/>
  <c r="AE11" i="7"/>
  <c r="AE101" i="7"/>
  <c r="N88" i="10"/>
  <c r="AE94" i="7"/>
  <c r="AD70" i="13" s="1"/>
  <c r="W50" i="6"/>
  <c r="K6" i="15" s="1"/>
  <c r="AI50" i="6"/>
  <c r="AD101" i="7"/>
  <c r="AF43" i="10"/>
  <c r="E103" i="10"/>
  <c r="Q43" i="10"/>
  <c r="Q56" i="10"/>
  <c r="AD27" i="11"/>
  <c r="AC60" i="13" s="1"/>
  <c r="G29" i="10"/>
  <c r="D11" i="7"/>
  <c r="Q62" i="13"/>
  <c r="L11" i="7"/>
  <c r="U69" i="13"/>
  <c r="G124" i="6"/>
  <c r="AA62" i="11"/>
  <c r="AA76" i="11" s="1"/>
  <c r="F62" i="11"/>
  <c r="F76" i="11" s="1"/>
  <c r="Y29" i="10"/>
  <c r="AJ112" i="10"/>
  <c r="E27" i="11"/>
  <c r="D60" i="13" s="1"/>
  <c r="H62" i="11"/>
  <c r="H76" i="11" s="1"/>
  <c r="AB112" i="10"/>
  <c r="O103" i="10"/>
  <c r="AH63" i="7"/>
  <c r="AJ50" i="6"/>
  <c r="P103" i="10"/>
  <c r="AJ124" i="10"/>
  <c r="R88" i="10"/>
  <c r="Z124" i="6"/>
  <c r="X11" i="7"/>
  <c r="L69" i="13"/>
  <c r="I62" i="13"/>
  <c r="O11" i="7"/>
  <c r="AB43" i="10"/>
  <c r="O112" i="10"/>
  <c r="Q129" i="7"/>
  <c r="M124" i="6"/>
  <c r="M101" i="7"/>
  <c r="L77" i="13" s="1"/>
  <c r="T11" i="7"/>
  <c r="G128" i="11"/>
  <c r="Q112" i="10"/>
  <c r="AI40" i="7"/>
  <c r="AB62" i="11"/>
  <c r="AB76" i="11" s="1"/>
  <c r="AL11" i="7"/>
  <c r="AF62" i="11"/>
  <c r="AF76" i="11" s="1"/>
  <c r="AD63" i="7"/>
  <c r="AC66" i="13" s="1"/>
  <c r="Z27" i="11"/>
  <c r="Y60" i="13" s="1"/>
  <c r="Z99" i="6"/>
  <c r="E11" i="6"/>
  <c r="AA124" i="6"/>
  <c r="H88" i="10"/>
  <c r="L50" i="6"/>
  <c r="Q11" i="7"/>
  <c r="AE112" i="10"/>
  <c r="AJ43" i="10"/>
  <c r="R94" i="10"/>
  <c r="W101" i="7"/>
  <c r="V71" i="13" s="1"/>
  <c r="U21" i="11"/>
  <c r="T59" i="13" s="1"/>
  <c r="AA50" i="6"/>
  <c r="W62" i="11"/>
  <c r="W76" i="11" s="1"/>
  <c r="AD135" i="11"/>
  <c r="AF29" i="10"/>
  <c r="V56" i="10"/>
  <c r="V43" i="10"/>
  <c r="AI11" i="7"/>
  <c r="D31" i="6"/>
  <c r="AC56" i="10"/>
  <c r="K89" i="6"/>
  <c r="Y128" i="11"/>
  <c r="AB88" i="10"/>
  <c r="F99" i="6"/>
  <c r="U99" i="6"/>
  <c r="T31" i="6"/>
  <c r="AM31" i="6"/>
  <c r="AJ31" i="6"/>
  <c r="AD62" i="11"/>
  <c r="AD76" i="11" s="1"/>
  <c r="AL101" i="7"/>
  <c r="X124" i="10"/>
  <c r="AK31" i="6"/>
  <c r="K103" i="10"/>
  <c r="H112" i="10"/>
  <c r="N56" i="7"/>
  <c r="AB27" i="11"/>
  <c r="AA60" i="13" s="1"/>
  <c r="AJ62" i="11"/>
  <c r="AJ76" i="11" s="1"/>
  <c r="I81" i="10"/>
  <c r="P62" i="13"/>
  <c r="V40" i="7"/>
  <c r="H27" i="11"/>
  <c r="G60" i="13" s="1"/>
  <c r="AH128" i="11"/>
  <c r="F31" i="6"/>
  <c r="D29" i="7"/>
  <c r="C61" i="13" s="1"/>
  <c r="S124" i="6"/>
  <c r="G27" i="15" s="1"/>
  <c r="X40" i="7"/>
  <c r="AF112" i="10"/>
  <c r="H50" i="6"/>
  <c r="AJ56" i="7"/>
  <c r="AC94" i="7"/>
  <c r="AB70" i="13" s="1"/>
  <c r="E69" i="13"/>
  <c r="G88" i="10"/>
  <c r="AC31" i="6"/>
  <c r="AM101" i="7"/>
  <c r="AC11" i="6"/>
  <c r="S99" i="6"/>
  <c r="H29" i="10"/>
  <c r="G101" i="7"/>
  <c r="F71" i="13" s="1"/>
  <c r="AA40" i="7"/>
  <c r="AA63" i="7"/>
  <c r="Z66" i="13" s="1"/>
  <c r="AM27" i="11"/>
  <c r="AB31" i="6"/>
  <c r="T112" i="10"/>
  <c r="AD40" i="7"/>
  <c r="AC63" i="13" s="1"/>
  <c r="AF81" i="10"/>
  <c r="W31" i="6"/>
  <c r="Y50" i="6"/>
  <c r="M6" i="15" s="1"/>
  <c r="AE124" i="10"/>
  <c r="O89" i="6"/>
  <c r="H94" i="10"/>
  <c r="M27" i="11"/>
  <c r="L60" i="13" s="1"/>
  <c r="AB135" i="11"/>
  <c r="AB101" i="7"/>
  <c r="E29" i="7"/>
  <c r="D61" i="13" s="1"/>
  <c r="T103" i="10"/>
  <c r="H101" i="7"/>
  <c r="G71" i="13" s="1"/>
  <c r="AK124" i="6"/>
  <c r="I22" i="15"/>
  <c r="R27" i="11"/>
  <c r="Q60" i="13" s="1"/>
  <c r="S40" i="7"/>
  <c r="AB124" i="10"/>
  <c r="O94" i="10"/>
  <c r="E124" i="6"/>
  <c r="F19" i="10"/>
  <c r="L29" i="7"/>
  <c r="K61" i="13" s="1"/>
  <c r="AD121" i="7"/>
  <c r="V88" i="10"/>
  <c r="N135" i="11"/>
  <c r="G124" i="10"/>
  <c r="H43" i="10"/>
  <c r="T121" i="7"/>
  <c r="P112" i="10"/>
  <c r="Z121" i="7"/>
  <c r="I31" i="6"/>
  <c r="X121" i="7"/>
  <c r="O99" i="6"/>
  <c r="X94" i="10"/>
  <c r="M135" i="11"/>
  <c r="AG89" i="6"/>
  <c r="E21" i="11"/>
  <c r="D59" i="13" s="1"/>
  <c r="O11" i="6"/>
  <c r="AC124" i="10"/>
  <c r="U94" i="7"/>
  <c r="T70" i="13" s="1"/>
  <c r="AJ21" i="6"/>
  <c r="D43" i="10"/>
  <c r="L81" i="10"/>
  <c r="S58" i="6"/>
  <c r="AE62" i="11"/>
  <c r="AE76" i="11" s="1"/>
  <c r="U11" i="7"/>
  <c r="AK21" i="11"/>
  <c r="N11" i="6"/>
  <c r="Z103" i="10"/>
  <c r="AA129" i="7"/>
  <c r="AE99" i="6"/>
  <c r="H19" i="10"/>
  <c r="AD11" i="6"/>
  <c r="AK81" i="10"/>
  <c r="I21" i="11"/>
  <c r="H59" i="13" s="1"/>
  <c r="Q31" i="6"/>
  <c r="AD94" i="10"/>
  <c r="P40" i="7"/>
  <c r="O63" i="13" s="1"/>
  <c r="AA101" i="7"/>
  <c r="AE11" i="10"/>
  <c r="U63" i="7"/>
  <c r="T66" i="13" s="1"/>
  <c r="AF63" i="7"/>
  <c r="AJ124" i="6"/>
  <c r="L43" i="10"/>
  <c r="K11" i="10"/>
  <c r="G29" i="7"/>
  <c r="F61" i="13" s="1"/>
  <c r="Y11" i="6"/>
  <c r="I56" i="10"/>
  <c r="I19" i="10"/>
  <c r="O69" i="13"/>
  <c r="AC124" i="6"/>
  <c r="G62" i="11"/>
  <c r="G76" i="11" s="1"/>
  <c r="K21" i="11"/>
  <c r="J59" i="13" s="1"/>
  <c r="L99" i="6"/>
  <c r="AC27" i="11"/>
  <c r="AB60" i="13" s="1"/>
  <c r="AE56" i="10"/>
  <c r="AJ94" i="10"/>
  <c r="V27" i="11"/>
  <c r="U60" i="13" s="1"/>
  <c r="G50" i="6"/>
  <c r="AH121" i="7"/>
  <c r="AH40" i="7"/>
  <c r="F112" i="10"/>
  <c r="L88" i="10"/>
  <c r="F135" i="11"/>
  <c r="G56" i="10"/>
  <c r="T69" i="13"/>
  <c r="J99" i="6"/>
  <c r="Q101" i="7"/>
  <c r="P71" i="13" s="1"/>
  <c r="L62" i="11"/>
  <c r="L76" i="11" s="1"/>
  <c r="F94" i="10"/>
  <c r="AM124" i="6"/>
  <c r="Y99" i="6"/>
  <c r="M103" i="10"/>
  <c r="O62" i="11"/>
  <c r="O76" i="11" s="1"/>
  <c r="W56" i="10"/>
  <c r="T124" i="6"/>
  <c r="H27" i="15" s="1"/>
  <c r="J124" i="6"/>
  <c r="M43" i="10"/>
  <c r="T62" i="13"/>
  <c r="Y88" i="10"/>
  <c r="E124" i="10"/>
  <c r="L11" i="6"/>
  <c r="AE88" i="10"/>
  <c r="AJ21" i="11"/>
  <c r="P11" i="10"/>
  <c r="Z101" i="7"/>
  <c r="AC58" i="6"/>
  <c r="F62" i="13"/>
  <c r="AD88" i="10"/>
  <c r="Z124" i="10"/>
  <c r="I124" i="10"/>
  <c r="O62" i="13"/>
  <c r="D56" i="10"/>
  <c r="J43" i="10"/>
  <c r="D101" i="7"/>
  <c r="C77" i="13" s="1"/>
  <c r="P11" i="6"/>
  <c r="E56" i="10"/>
  <c r="AG124" i="6"/>
  <c r="G11" i="7"/>
  <c r="AJ99" i="6"/>
  <c r="H56" i="10"/>
  <c r="AB56" i="7"/>
  <c r="AK128" i="11"/>
  <c r="L94" i="7"/>
  <c r="K70" i="13" s="1"/>
  <c r="AA99" i="6"/>
  <c r="L19" i="10"/>
  <c r="D27" i="11"/>
  <c r="C60" i="13" s="1"/>
  <c r="AB124" i="6"/>
  <c r="U101" i="7"/>
  <c r="T71" i="13" s="1"/>
  <c r="AC88" i="10"/>
  <c r="F50" i="6"/>
  <c r="E50" i="6"/>
  <c r="Z63" i="7"/>
  <c r="Y66" i="13" s="1"/>
  <c r="AE94" i="10"/>
  <c r="O43" i="10"/>
  <c r="U50" i="6"/>
  <c r="I6" i="15" s="1"/>
  <c r="U135" i="11"/>
  <c r="AM99" i="6"/>
  <c r="L56" i="10"/>
  <c r="Z11" i="10"/>
  <c r="R101" i="7"/>
  <c r="Q71" i="13" s="1"/>
  <c r="D22" i="15"/>
  <c r="H128" i="11"/>
  <c r="V21" i="11"/>
  <c r="U59" i="13" s="1"/>
  <c r="O124" i="10"/>
  <c r="AH11" i="7"/>
  <c r="L101" i="7"/>
  <c r="K71" i="13" s="1"/>
  <c r="AM50" i="6"/>
  <c r="W128" i="11"/>
  <c r="AG135" i="11"/>
  <c r="E63" i="7"/>
  <c r="D66" i="13" s="1"/>
  <c r="P99" i="6"/>
  <c r="P124" i="6"/>
  <c r="S50" i="6"/>
  <c r="G6" i="15" s="1"/>
  <c r="K121" i="7"/>
  <c r="AB29" i="7"/>
  <c r="AA61" i="13" s="1"/>
  <c r="AK112" i="10"/>
  <c r="I94" i="10"/>
  <c r="R112" i="7"/>
  <c r="AA112" i="7"/>
  <c r="AC99" i="6"/>
  <c r="AE43" i="10"/>
  <c r="AC94" i="10"/>
  <c r="AJ88" i="10"/>
  <c r="O101" i="7"/>
  <c r="N71" i="13" s="1"/>
  <c r="AE11" i="6"/>
  <c r="I94" i="7"/>
  <c r="H70" i="13" s="1"/>
  <c r="I56" i="7"/>
  <c r="P62" i="11"/>
  <c r="P76" i="11" s="1"/>
  <c r="R112" i="10"/>
  <c r="Z11" i="6"/>
  <c r="E82" i="6"/>
  <c r="J19" i="10"/>
  <c r="L121" i="7"/>
  <c r="U14" i="11"/>
  <c r="AJ112" i="7"/>
  <c r="K29" i="10"/>
  <c r="K43" i="10"/>
  <c r="K70" i="10"/>
  <c r="AC56" i="7"/>
  <c r="AM128" i="11"/>
  <c r="F121" i="7"/>
  <c r="H103" i="10"/>
  <c r="AM112" i="7"/>
  <c r="N21" i="6"/>
  <c r="AL128" i="11"/>
  <c r="P56" i="10"/>
  <c r="Z94" i="7"/>
  <c r="Y70" i="13" s="1"/>
  <c r="AC50" i="6"/>
  <c r="Q6" i="15" s="1"/>
  <c r="L14" i="11"/>
  <c r="O56" i="7"/>
  <c r="V62" i="11"/>
  <c r="V76" i="11" s="1"/>
  <c r="AE124" i="6"/>
  <c r="I121" i="7"/>
  <c r="Z21" i="6"/>
  <c r="AF101" i="7"/>
  <c r="AH112" i="7"/>
  <c r="N11" i="10"/>
  <c r="E71" i="6"/>
  <c r="L112" i="7"/>
  <c r="AA135" i="11"/>
  <c r="D69" i="13"/>
  <c r="C69" i="13"/>
  <c r="C62" i="13"/>
  <c r="I11" i="6"/>
  <c r="T88" i="10"/>
  <c r="AD21" i="11"/>
  <c r="AC59" i="13" s="1"/>
  <c r="AF124" i="10"/>
  <c r="E11" i="10"/>
  <c r="G69" i="13"/>
  <c r="M82" i="6"/>
  <c r="M58" i="6"/>
  <c r="AK21" i="6"/>
  <c r="AK89" i="6"/>
  <c r="AJ101" i="7"/>
  <c r="J62" i="13"/>
  <c r="X14" i="11"/>
  <c r="Z62" i="11"/>
  <c r="Z76" i="11" s="1"/>
  <c r="Z14" i="11"/>
  <c r="Y70" i="10"/>
  <c r="G43" i="10"/>
  <c r="R82" i="6"/>
  <c r="T56" i="7"/>
  <c r="AK19" i="10"/>
  <c r="I135" i="11"/>
  <c r="AM94" i="7"/>
  <c r="Y45" i="6"/>
  <c r="Z56" i="10"/>
  <c r="AJ135" i="11"/>
  <c r="I43" i="10"/>
  <c r="U103" i="10"/>
  <c r="Z112" i="7"/>
  <c r="G27" i="11"/>
  <c r="F60" i="13" s="1"/>
  <c r="L89" i="6"/>
  <c r="AB99" i="6"/>
  <c r="J14" i="11"/>
  <c r="J29" i="7"/>
  <c r="I61" i="13" s="1"/>
  <c r="S29" i="7"/>
  <c r="R61" i="13" s="1"/>
  <c r="S121" i="7"/>
  <c r="U56" i="7"/>
  <c r="U62" i="13"/>
  <c r="AC103" i="10"/>
  <c r="AC43" i="10"/>
  <c r="AJ81" i="10"/>
  <c r="AK135" i="11"/>
  <c r="AI21" i="11"/>
  <c r="H21" i="11"/>
  <c r="G59" i="13" s="1"/>
  <c r="L135" i="11"/>
  <c r="K21" i="6"/>
  <c r="Y21" i="11"/>
  <c r="AB94" i="10"/>
  <c r="AE21" i="6"/>
  <c r="H62" i="13"/>
  <c r="P21" i="11"/>
  <c r="O59" i="13" s="1"/>
  <c r="O88" i="10"/>
  <c r="O11" i="10"/>
  <c r="U31" i="6"/>
  <c r="U89" i="6"/>
  <c r="AF112" i="7"/>
  <c r="AF56" i="7"/>
  <c r="W11" i="7"/>
  <c r="E58" i="6"/>
  <c r="J94" i="10"/>
  <c r="L40" i="7"/>
  <c r="K63" i="13" s="1"/>
  <c r="M11" i="7"/>
  <c r="U62" i="11"/>
  <c r="U76" i="11" s="1"/>
  <c r="AM71" i="6"/>
  <c r="AI11" i="6"/>
  <c r="P45" i="6"/>
  <c r="S89" i="6"/>
  <c r="T56" i="10"/>
  <c r="X94" i="7"/>
  <c r="E43" i="10"/>
  <c r="H45" i="6"/>
  <c r="M31" i="6"/>
  <c r="M89" i="6"/>
  <c r="M50" i="6"/>
  <c r="O82" i="6"/>
  <c r="AK45" i="6"/>
  <c r="AJ94" i="7"/>
  <c r="K56" i="10"/>
  <c r="N14" i="11"/>
  <c r="K40" i="7"/>
  <c r="X62" i="11"/>
  <c r="X135" i="11"/>
  <c r="Z135" i="11"/>
  <c r="Z128" i="11"/>
  <c r="AC63" i="7"/>
  <c r="AB66" i="13" s="1"/>
  <c r="AM14" i="11"/>
  <c r="S43" i="10"/>
  <c r="AK11" i="10"/>
  <c r="AM129" i="7"/>
  <c r="AL14" i="11"/>
  <c r="D14" i="11"/>
  <c r="P19" i="10"/>
  <c r="U88" i="10"/>
  <c r="AC71" i="6"/>
  <c r="G120" i="11"/>
  <c r="K135" i="11"/>
  <c r="S27" i="11"/>
  <c r="R60" i="13" s="1"/>
  <c r="J101" i="7"/>
  <c r="I77" i="13" s="1"/>
  <c r="S112" i="7"/>
  <c r="S101" i="7"/>
  <c r="R71" i="13" s="1"/>
  <c r="U29" i="7"/>
  <c r="T61" i="13" s="1"/>
  <c r="U121" i="7"/>
  <c r="V56" i="7"/>
  <c r="L103" i="10"/>
  <c r="AK103" i="10"/>
  <c r="AF21" i="11"/>
  <c r="AM56" i="7"/>
  <c r="D62" i="11"/>
  <c r="D76" i="11" s="1"/>
  <c r="L31" i="6"/>
  <c r="J56" i="7"/>
  <c r="L112" i="10"/>
  <c r="X27" i="11"/>
  <c r="AI56" i="7"/>
  <c r="F11" i="7"/>
  <c r="G103" i="10"/>
  <c r="AB40" i="7"/>
  <c r="AD58" i="6"/>
  <c r="AF135" i="11"/>
  <c r="AE29" i="10"/>
  <c r="E135" i="11"/>
  <c r="V135" i="11"/>
  <c r="AB103" i="10"/>
  <c r="AI31" i="6"/>
  <c r="AG128" i="11"/>
  <c r="T94" i="10"/>
  <c r="S103" i="10"/>
  <c r="S19" i="10"/>
  <c r="AD31" i="6"/>
  <c r="AM40" i="7"/>
  <c r="AM11" i="7"/>
  <c r="M112" i="7"/>
  <c r="Y31" i="6"/>
  <c r="P63" i="7"/>
  <c r="O66" i="13" s="1"/>
  <c r="K62" i="11"/>
  <c r="K76" i="11" s="1"/>
  <c r="J62" i="11"/>
  <c r="J76" i="11" s="1"/>
  <c r="V112" i="7"/>
  <c r="V63" i="7"/>
  <c r="U66" i="13" s="1"/>
  <c r="O63" i="7"/>
  <c r="N66" i="13" s="1"/>
  <c r="AB56" i="10"/>
  <c r="P128" i="11"/>
  <c r="J81" i="10"/>
  <c r="AA21" i="11"/>
  <c r="Z59" i="13" s="1"/>
  <c r="Y112" i="10"/>
  <c r="AM29" i="7"/>
  <c r="D45" i="6"/>
  <c r="M112" i="10"/>
  <c r="I112" i="10"/>
  <c r="AK27" i="11"/>
  <c r="AG21" i="11"/>
  <c r="E56" i="7"/>
  <c r="E94" i="10"/>
  <c r="H112" i="7"/>
  <c r="T101" i="7"/>
  <c r="S71" i="13" s="1"/>
  <c r="AM121" i="7"/>
  <c r="J50" i="6"/>
  <c r="D89" i="6"/>
  <c r="U43" i="10"/>
  <c r="AE21" i="11"/>
  <c r="AD59" i="13" s="1"/>
  <c r="I69" i="13"/>
  <c r="F69" i="13"/>
  <c r="P69" i="13"/>
  <c r="AJ29" i="10"/>
  <c r="Y56" i="10"/>
  <c r="AB112" i="7"/>
  <c r="AD50" i="6"/>
  <c r="R6" i="15" s="1"/>
  <c r="AG31" i="6"/>
  <c r="AM63" i="7"/>
  <c r="W31" i="13"/>
  <c r="W46" i="13" s="1"/>
  <c r="W33" i="2"/>
  <c r="K94" i="10"/>
  <c r="AC62" i="11"/>
  <c r="AC76" i="11" s="1"/>
  <c r="AA32" i="13"/>
  <c r="AA34" i="2"/>
  <c r="AJ19" i="10"/>
  <c r="K71" i="6"/>
  <c r="O79" i="7"/>
  <c r="N68" i="13"/>
  <c r="AE82" i="6"/>
  <c r="F71" i="6"/>
  <c r="F23" i="15"/>
  <c r="R29" i="10"/>
  <c r="V21" i="6"/>
  <c r="U31" i="13"/>
  <c r="U46" i="13" s="1"/>
  <c r="U33" i="2"/>
  <c r="U32" i="13"/>
  <c r="U34" i="2"/>
  <c r="N56" i="10"/>
  <c r="L63" i="7"/>
  <c r="K66" i="13" s="1"/>
  <c r="K69" i="13"/>
  <c r="S33" i="2"/>
  <c r="S31" i="13"/>
  <c r="S46" i="13" s="1"/>
  <c r="T11" i="6"/>
  <c r="AI33" i="13"/>
  <c r="AI35" i="2"/>
  <c r="E94" i="7"/>
  <c r="D70" i="13" s="1"/>
  <c r="R32" i="13"/>
  <c r="R34" i="2"/>
  <c r="E19" i="10"/>
  <c r="G35" i="2"/>
  <c r="G33" i="13"/>
  <c r="H71" i="6"/>
  <c r="M45" i="6"/>
  <c r="Q11" i="10"/>
  <c r="V11" i="10"/>
  <c r="F40" i="7"/>
  <c r="M14" i="11"/>
  <c r="M35" i="2"/>
  <c r="M33" i="13"/>
  <c r="M62" i="13"/>
  <c r="S62" i="13"/>
  <c r="D23" i="15"/>
  <c r="P29" i="10"/>
  <c r="Z34" i="2"/>
  <c r="Z32" i="13"/>
  <c r="Y58" i="6"/>
  <c r="AD81" i="10"/>
  <c r="I11" i="10"/>
  <c r="J45" i="6"/>
  <c r="V31" i="13"/>
  <c r="V46" i="13" s="1"/>
  <c r="V33" i="2"/>
  <c r="W58" i="6"/>
  <c r="Z43" i="10"/>
  <c r="AD29" i="10"/>
  <c r="AD11" i="10"/>
  <c r="O14" i="11"/>
  <c r="R63" i="7"/>
  <c r="Q66" i="13" s="1"/>
  <c r="U112" i="10"/>
  <c r="AA11" i="7"/>
  <c r="AB34" i="2"/>
  <c r="AB32" i="13"/>
  <c r="L21" i="6"/>
  <c r="S62" i="11"/>
  <c r="S76" i="11" s="1"/>
  <c r="Q121" i="7"/>
  <c r="K22" i="15"/>
  <c r="W70" i="10"/>
  <c r="W103" i="10"/>
  <c r="AC135" i="11"/>
  <c r="AB21" i="6"/>
  <c r="AA33" i="13"/>
  <c r="AA50" i="13" s="1"/>
  <c r="AA35" i="2"/>
  <c r="AE103" i="10"/>
  <c r="D81" i="10"/>
  <c r="D88" i="10"/>
  <c r="R120" i="11"/>
  <c r="S11" i="7"/>
  <c r="U79" i="7"/>
  <c r="T68" i="13"/>
  <c r="AC112" i="10"/>
  <c r="AJ56" i="10"/>
  <c r="AK120" i="11"/>
  <c r="AI128" i="11"/>
  <c r="H135" i="11"/>
  <c r="J34" i="2"/>
  <c r="J32" i="13"/>
  <c r="W33" i="13"/>
  <c r="W50" i="13" s="1"/>
  <c r="W35" i="2"/>
  <c r="AB29" i="10"/>
  <c r="AA6" i="13" s="1"/>
  <c r="P14" i="11"/>
  <c r="R124" i="10"/>
  <c r="U82" i="6"/>
  <c r="V45" i="6"/>
  <c r="AF94" i="7"/>
  <c r="AF129" i="7"/>
  <c r="AH56" i="7"/>
  <c r="N124" i="10"/>
  <c r="N103" i="10"/>
  <c r="W121" i="7"/>
  <c r="D34" i="2"/>
  <c r="D32" i="13"/>
  <c r="J11" i="10"/>
  <c r="Z33" i="2"/>
  <c r="Z31" i="13"/>
  <c r="Z46" i="13" s="1"/>
  <c r="AA58" i="6"/>
  <c r="AM89" i="6"/>
  <c r="AI89" i="6"/>
  <c r="AJ45" i="6"/>
  <c r="D56" i="7"/>
  <c r="H32" i="13"/>
  <c r="H34" i="2"/>
  <c r="I50" i="6"/>
  <c r="Q14" i="11"/>
  <c r="M15" i="14"/>
  <c r="P58" i="6"/>
  <c r="AL56" i="7"/>
  <c r="AL40" i="7"/>
  <c r="AL129" i="7"/>
  <c r="AF19" i="10"/>
  <c r="H56" i="7"/>
  <c r="H58" i="6"/>
  <c r="L31" i="13"/>
  <c r="L46" i="13" s="1"/>
  <c r="L33" i="2"/>
  <c r="Q81" i="10"/>
  <c r="X112" i="10"/>
  <c r="AK11" i="6"/>
  <c r="AJ29" i="7"/>
  <c r="F14" i="11"/>
  <c r="K88" i="10"/>
  <c r="K81" i="10"/>
  <c r="N62" i="11"/>
  <c r="N76" i="11" s="1"/>
  <c r="K94" i="7"/>
  <c r="J70" i="13" s="1"/>
  <c r="J69" i="13"/>
  <c r="T135" i="11"/>
  <c r="X21" i="11"/>
  <c r="AI101" i="7"/>
  <c r="F112" i="7"/>
  <c r="H81" i="10"/>
  <c r="H124" i="10"/>
  <c r="N89" i="6"/>
  <c r="M31" i="13"/>
  <c r="M46" i="13" s="1"/>
  <c r="M33" i="2"/>
  <c r="Q33" i="2"/>
  <c r="Q31" i="13"/>
  <c r="Q46" i="13" s="1"/>
  <c r="T94" i="7"/>
  <c r="S70" i="13" s="1"/>
  <c r="T129" i="7"/>
  <c r="AD71" i="6"/>
  <c r="AC33" i="2"/>
  <c r="AC31" i="13"/>
  <c r="AC46" i="13" s="1"/>
  <c r="AK29" i="10"/>
  <c r="AF14" i="11"/>
  <c r="Q124" i="10"/>
  <c r="C32" i="13"/>
  <c r="C34" i="2"/>
  <c r="I34" i="2"/>
  <c r="I32" i="13"/>
  <c r="M29" i="10"/>
  <c r="G129" i="7"/>
  <c r="D50" i="6"/>
  <c r="I31" i="13"/>
  <c r="I46" i="13" s="1"/>
  <c r="I33" i="2"/>
  <c r="M124" i="10"/>
  <c r="M81" i="10"/>
  <c r="Q124" i="6"/>
  <c r="E27" i="15" s="1"/>
  <c r="Q82" i="6"/>
  <c r="V33" i="13"/>
  <c r="V50" i="13" s="1"/>
  <c r="V35" i="2"/>
  <c r="Z19" i="10"/>
  <c r="AD19" i="10"/>
  <c r="AJ128" i="11"/>
  <c r="D128" i="11"/>
  <c r="O21" i="11"/>
  <c r="N59" i="13" s="1"/>
  <c r="P43" i="10"/>
  <c r="P112" i="7"/>
  <c r="P129" i="7"/>
  <c r="R29" i="7"/>
  <c r="Q61" i="13" s="1"/>
  <c r="U11" i="10"/>
  <c r="AA29" i="7"/>
  <c r="Z61" i="13" s="1"/>
  <c r="AC82" i="6"/>
  <c r="AB33" i="2"/>
  <c r="AB31" i="13"/>
  <c r="AB46" i="13" s="1"/>
  <c r="G135" i="11"/>
  <c r="K34" i="2"/>
  <c r="K32" i="13"/>
  <c r="L45" i="6"/>
  <c r="L82" i="6"/>
  <c r="K85" i="13" s="1"/>
  <c r="S128" i="11"/>
  <c r="Q40" i="7"/>
  <c r="Q112" i="7"/>
  <c r="Q56" i="7"/>
  <c r="W124" i="10"/>
  <c r="AB89" i="6"/>
  <c r="AB71" i="6"/>
  <c r="D29" i="10"/>
  <c r="D94" i="10"/>
  <c r="J27" i="11"/>
  <c r="I60" i="13" s="1"/>
  <c r="J112" i="7"/>
  <c r="R21" i="11"/>
  <c r="Q59" i="13" s="1"/>
  <c r="R69" i="13"/>
  <c r="U68" i="13"/>
  <c r="V79" i="7"/>
  <c r="AC81" i="10"/>
  <c r="K99" i="6"/>
  <c r="O29" i="7"/>
  <c r="N61" i="13" s="1"/>
  <c r="O129" i="7"/>
  <c r="V14" i="11"/>
  <c r="Y27" i="11"/>
  <c r="AH135" i="11"/>
  <c r="AE71" i="6"/>
  <c r="AD33" i="2"/>
  <c r="AD31" i="13"/>
  <c r="AD46" i="13" s="1"/>
  <c r="F89" i="6"/>
  <c r="E32" i="13"/>
  <c r="E34" i="2"/>
  <c r="I63" i="7"/>
  <c r="H66" i="13" s="1"/>
  <c r="R43" i="10"/>
  <c r="R81" i="10"/>
  <c r="U45" i="6"/>
  <c r="V50" i="6"/>
  <c r="J6" i="15" s="1"/>
  <c r="V58" i="6"/>
  <c r="Z31" i="6"/>
  <c r="AF11" i="7"/>
  <c r="AH29" i="7"/>
  <c r="N19" i="10"/>
  <c r="W56" i="7"/>
  <c r="E99" i="6"/>
  <c r="E21" i="6"/>
  <c r="K62" i="13"/>
  <c r="M40" i="7"/>
  <c r="U27" i="11"/>
  <c r="T60" i="13" s="1"/>
  <c r="T45" i="6"/>
  <c r="AA31" i="6"/>
  <c r="AH31" i="13"/>
  <c r="AH46" i="13" s="1"/>
  <c r="AH33" i="2"/>
  <c r="AI58" i="6"/>
  <c r="AI32" i="13"/>
  <c r="AI34" i="2"/>
  <c r="W21" i="11"/>
  <c r="E11" i="7"/>
  <c r="I58" i="6"/>
  <c r="I71" i="6"/>
  <c r="P82" i="6"/>
  <c r="O35" i="2"/>
  <c r="O33" i="13"/>
  <c r="O32" i="13"/>
  <c r="O34" i="2"/>
  <c r="R33" i="2"/>
  <c r="R31" i="13"/>
  <c r="R46" i="13" s="1"/>
  <c r="AL121" i="7"/>
  <c r="AL29" i="7"/>
  <c r="AF11" i="10"/>
  <c r="E70" i="10"/>
  <c r="H121" i="7"/>
  <c r="H11" i="6"/>
  <c r="M71" i="6"/>
  <c r="O50" i="6"/>
  <c r="J23" i="15"/>
  <c r="V29" i="10"/>
  <c r="X88" i="10"/>
  <c r="X81" i="10"/>
  <c r="AK50" i="6"/>
  <c r="F21" i="11"/>
  <c r="E59" i="13" s="1"/>
  <c r="F27" i="11"/>
  <c r="E60" i="13" s="1"/>
  <c r="K112" i="10"/>
  <c r="N27" i="11"/>
  <c r="M60" i="13" s="1"/>
  <c r="K63" i="7"/>
  <c r="J66" i="13" s="1"/>
  <c r="K101" i="7"/>
  <c r="T128" i="11"/>
  <c r="X128" i="11"/>
  <c r="Y103" i="10"/>
  <c r="AC40" i="7"/>
  <c r="AB63" i="13" s="1"/>
  <c r="F79" i="7"/>
  <c r="E68" i="13"/>
  <c r="F63" i="7"/>
  <c r="E66" i="13" s="1"/>
  <c r="N101" i="7"/>
  <c r="T40" i="7"/>
  <c r="AD21" i="6"/>
  <c r="AK88" i="10"/>
  <c r="I128" i="11"/>
  <c r="T35" i="2"/>
  <c r="T33" i="13"/>
  <c r="X29" i="7"/>
  <c r="M56" i="10"/>
  <c r="W82" i="6"/>
  <c r="P101" i="7"/>
  <c r="W11" i="6"/>
  <c r="Y21" i="6"/>
  <c r="AD112" i="10"/>
  <c r="D21" i="11"/>
  <c r="I103" i="10"/>
  <c r="P81" i="10"/>
  <c r="P79" i="7"/>
  <c r="O68" i="13"/>
  <c r="R11" i="7"/>
  <c r="U19" i="10"/>
  <c r="G21" i="11"/>
  <c r="F59" i="13" s="1"/>
  <c r="W43" i="10"/>
  <c r="J63" i="7"/>
  <c r="I66" i="13" s="1"/>
  <c r="S129" i="7"/>
  <c r="L128" i="11"/>
  <c r="K50" i="6"/>
  <c r="O112" i="7"/>
  <c r="AB81" i="10"/>
  <c r="AH14" i="11"/>
  <c r="AE50" i="6"/>
  <c r="S6" i="15" s="1"/>
  <c r="AE31" i="6"/>
  <c r="AD6" i="13" s="1"/>
  <c r="G89" i="6"/>
  <c r="P27" i="11"/>
  <c r="O60" i="13" s="1"/>
  <c r="V82" i="6"/>
  <c r="AF29" i="7"/>
  <c r="AH129" i="7"/>
  <c r="W29" i="7"/>
  <c r="E31" i="6"/>
  <c r="F29" i="10"/>
  <c r="F11" i="10"/>
  <c r="J103" i="10"/>
  <c r="M121" i="7"/>
  <c r="T89" i="6"/>
  <c r="AA128" i="11"/>
  <c r="AA82" i="6"/>
  <c r="AL33" i="13"/>
  <c r="AL35" i="2"/>
  <c r="AM11" i="6"/>
  <c r="AH32" i="13"/>
  <c r="AH34" i="2"/>
  <c r="AI71" i="6"/>
  <c r="L70" i="10"/>
  <c r="W27" i="11"/>
  <c r="E101" i="7"/>
  <c r="H33" i="13"/>
  <c r="H35" i="2"/>
  <c r="Q62" i="11"/>
  <c r="Q76" i="11" s="1"/>
  <c r="O33" i="2"/>
  <c r="O31" i="13"/>
  <c r="O46" i="13" s="1"/>
  <c r="S11" i="6"/>
  <c r="R35" i="2"/>
  <c r="R33" i="13"/>
  <c r="S21" i="6"/>
  <c r="AD112" i="7"/>
  <c r="AC72" i="13" s="1"/>
  <c r="AD29" i="7"/>
  <c r="AC61" i="13" s="1"/>
  <c r="X101" i="7"/>
  <c r="X112" i="7"/>
  <c r="AF56" i="10"/>
  <c r="H129" i="7"/>
  <c r="H63" i="7"/>
  <c r="G66" i="13" s="1"/>
  <c r="L35" i="2"/>
  <c r="L33" i="13"/>
  <c r="M21" i="6"/>
  <c r="O45" i="6"/>
  <c r="N35" i="2"/>
  <c r="N33" i="13"/>
  <c r="Q19" i="10"/>
  <c r="V124" i="10"/>
  <c r="X56" i="10"/>
  <c r="X43" i="10"/>
  <c r="AK82" i="6"/>
  <c r="AJ129" i="7"/>
  <c r="K11" i="7"/>
  <c r="K79" i="7"/>
  <c r="J68" i="13"/>
  <c r="Y11" i="10"/>
  <c r="AC11" i="7"/>
  <c r="AI112" i="7"/>
  <c r="M128" i="11"/>
  <c r="N45" i="6"/>
  <c r="N63" i="7"/>
  <c r="M66" i="13" s="1"/>
  <c r="R89" i="6"/>
  <c r="R58" i="6"/>
  <c r="S69" i="13"/>
  <c r="M129" i="7"/>
  <c r="Y19" i="10"/>
  <c r="D82" i="6"/>
  <c r="C85" i="13" s="1"/>
  <c r="C31" i="13"/>
  <c r="C46" i="13" s="1"/>
  <c r="C33" i="2"/>
  <c r="P35" i="2"/>
  <c r="P33" i="13"/>
  <c r="O135" i="11"/>
  <c r="P88" i="10"/>
  <c r="P56" i="7"/>
  <c r="U70" i="10"/>
  <c r="Z11" i="7"/>
  <c r="Z29" i="7"/>
  <c r="Y61" i="13" s="1"/>
  <c r="K27" i="11"/>
  <c r="J60" i="13" s="1"/>
  <c r="K31" i="13"/>
  <c r="K46" i="13" s="1"/>
  <c r="K33" i="2"/>
  <c r="W11" i="10"/>
  <c r="AB50" i="6"/>
  <c r="J120" i="11"/>
  <c r="R62" i="13"/>
  <c r="AJ11" i="10"/>
  <c r="H14" i="11"/>
  <c r="K45" i="6"/>
  <c r="K31" i="6"/>
  <c r="N62" i="13"/>
  <c r="AB11" i="10"/>
  <c r="AE89" i="6"/>
  <c r="S11" i="15" s="1"/>
  <c r="G45" i="6"/>
  <c r="F58" i="6"/>
  <c r="I29" i="7"/>
  <c r="H61" i="13" s="1"/>
  <c r="O70" i="10"/>
  <c r="R19" i="10"/>
  <c r="R103" i="10"/>
  <c r="T32" i="13"/>
  <c r="T34" i="2"/>
  <c r="U33" i="13"/>
  <c r="U35" i="2"/>
  <c r="Z58" i="6"/>
  <c r="N112" i="10"/>
  <c r="W129" i="7"/>
  <c r="M57" i="14"/>
  <c r="E45" i="6"/>
  <c r="M63" i="7"/>
  <c r="L66" i="13" s="1"/>
  <c r="M29" i="7"/>
  <c r="L61" i="13" s="1"/>
  <c r="S34" i="2"/>
  <c r="S32" i="13"/>
  <c r="AA21" i="6"/>
  <c r="AM58" i="6"/>
  <c r="AJ89" i="6"/>
  <c r="L94" i="10"/>
  <c r="AG27" i="11"/>
  <c r="D112" i="7"/>
  <c r="D79" i="7"/>
  <c r="C68" i="13"/>
  <c r="Q27" i="11"/>
  <c r="P60" i="13" s="1"/>
  <c r="P71" i="6"/>
  <c r="M13" i="14"/>
  <c r="S82" i="6"/>
  <c r="AD129" i="7"/>
  <c r="AC74" i="13" s="1"/>
  <c r="X56" i="7"/>
  <c r="E88" i="10"/>
  <c r="H31" i="6"/>
  <c r="O124" i="6"/>
  <c r="Q94" i="10"/>
  <c r="V103" i="10"/>
  <c r="X11" i="10"/>
  <c r="AJ33" i="13"/>
  <c r="AJ35" i="2"/>
  <c r="AK99" i="6"/>
  <c r="F128" i="11"/>
  <c r="N21" i="11"/>
  <c r="M59" i="13" s="1"/>
  <c r="K129" i="7"/>
  <c r="T21" i="11"/>
  <c r="S59" i="13" s="1"/>
  <c r="AC129" i="7"/>
  <c r="AI29" i="7"/>
  <c r="G23" i="15"/>
  <c r="S29" i="10"/>
  <c r="G81" i="10"/>
  <c r="H11" i="10"/>
  <c r="N94" i="7"/>
  <c r="M70" i="13" s="1"/>
  <c r="N112" i="7"/>
  <c r="R45" i="6"/>
  <c r="R21" i="6"/>
  <c r="R50" i="6"/>
  <c r="F6" i="15" s="1"/>
  <c r="AB94" i="7"/>
  <c r="AA70" i="13" s="1"/>
  <c r="AC34" i="2"/>
  <c r="AC32" i="13"/>
  <c r="AK43" i="10"/>
  <c r="AJ84" i="13" s="1"/>
  <c r="I14" i="11"/>
  <c r="AG99" i="6"/>
  <c r="AG11" i="6"/>
  <c r="U124" i="10"/>
  <c r="S35" i="2"/>
  <c r="S33" i="13"/>
  <c r="T70" i="10"/>
  <c r="AD56" i="7"/>
  <c r="AC65" i="13" s="1"/>
  <c r="S88" i="10"/>
  <c r="M11" i="10"/>
  <c r="I70" i="10"/>
  <c r="G121" i="7"/>
  <c r="G56" i="7"/>
  <c r="G40" i="7"/>
  <c r="Z88" i="10"/>
  <c r="AD124" i="10"/>
  <c r="AL62" i="11"/>
  <c r="AL76" i="11" s="1"/>
  <c r="G94" i="7"/>
  <c r="F70" i="13" s="1"/>
  <c r="Q71" i="6"/>
  <c r="Q99" i="6"/>
  <c r="Q45" i="6"/>
  <c r="X34" i="2"/>
  <c r="X32" i="13"/>
  <c r="X42" i="2" s="1"/>
  <c r="X44" i="2" s="1"/>
  <c r="D60" i="1" s="1"/>
  <c r="X33" i="2"/>
  <c r="X31" i="13"/>
  <c r="X46" i="13" s="1"/>
  <c r="AD103" i="10"/>
  <c r="D135" i="11"/>
  <c r="I88" i="10"/>
  <c r="O128" i="11"/>
  <c r="P70" i="10"/>
  <c r="P11" i="7"/>
  <c r="R121" i="7"/>
  <c r="R40" i="7"/>
  <c r="U56" i="10"/>
  <c r="U81" i="10"/>
  <c r="U94" i="10"/>
  <c r="Z40" i="7"/>
  <c r="AC89" i="6"/>
  <c r="Q11" i="15" s="1"/>
  <c r="G14" i="11"/>
  <c r="K128" i="11"/>
  <c r="L71" i="6"/>
  <c r="L124" i="6"/>
  <c r="Q63" i="7"/>
  <c r="P66" i="13" s="1"/>
  <c r="W88" i="10"/>
  <c r="W19" i="10"/>
  <c r="AC128" i="11"/>
  <c r="AE128" i="11"/>
  <c r="AE27" i="11"/>
  <c r="AD60" i="13" s="1"/>
  <c r="AB82" i="6"/>
  <c r="D103" i="10"/>
  <c r="D70" i="10"/>
  <c r="J135" i="11"/>
  <c r="I68" i="13"/>
  <c r="J79" i="7"/>
  <c r="R128" i="11"/>
  <c r="S63" i="7"/>
  <c r="R66" i="13" s="1"/>
  <c r="S94" i="7"/>
  <c r="R70" i="13" s="1"/>
  <c r="AC29" i="10"/>
  <c r="AJ103" i="10"/>
  <c r="AI135" i="11"/>
  <c r="K58" i="6"/>
  <c r="J31" i="13"/>
  <c r="J46" i="13" s="1"/>
  <c r="J33" i="2"/>
  <c r="O121" i="7"/>
  <c r="AH21" i="11"/>
  <c r="G82" i="6"/>
  <c r="G31" i="6"/>
  <c r="F35" i="2"/>
  <c r="F33" i="13"/>
  <c r="F21" i="6"/>
  <c r="E33" i="2"/>
  <c r="E31" i="13"/>
  <c r="E46" i="13" s="1"/>
  <c r="I79" i="7"/>
  <c r="H68" i="13"/>
  <c r="I11" i="7"/>
  <c r="U71" i="6"/>
  <c r="U124" i="6"/>
  <c r="I27" i="15" s="1"/>
  <c r="Y34" i="2"/>
  <c r="Y32" i="13"/>
  <c r="Z45" i="6"/>
  <c r="Z71" i="6"/>
  <c r="Y31" i="13"/>
  <c r="Y46" i="13" s="1"/>
  <c r="Y33" i="2"/>
  <c r="W40" i="7"/>
  <c r="D31" i="13"/>
  <c r="D46" i="13" s="1"/>
  <c r="D33" i="2"/>
  <c r="E89" i="6"/>
  <c r="F56" i="10"/>
  <c r="F70" i="10"/>
  <c r="F124" i="10"/>
  <c r="T82" i="6"/>
  <c r="AA27" i="11"/>
  <c r="Z60" i="13" s="1"/>
  <c r="AA89" i="6"/>
  <c r="AA11" i="6"/>
  <c r="AL34" i="2"/>
  <c r="AL32" i="13"/>
  <c r="AI45" i="6"/>
  <c r="AI124" i="6"/>
  <c r="W135" i="11"/>
  <c r="E129" i="7"/>
  <c r="E79" i="7"/>
  <c r="D68" i="13"/>
  <c r="E40" i="7"/>
  <c r="D94" i="7"/>
  <c r="C70" i="13" s="1"/>
  <c r="P89" i="6"/>
  <c r="P21" i="6"/>
  <c r="H22" i="15"/>
  <c r="AL63" i="7"/>
  <c r="H79" i="7"/>
  <c r="G68" i="13"/>
  <c r="G31" i="13"/>
  <c r="G46" i="13" s="1"/>
  <c r="G33" i="2"/>
  <c r="O21" i="6"/>
  <c r="E22" i="15"/>
  <c r="E23" i="15"/>
  <c r="Q29" i="10"/>
  <c r="V81" i="10"/>
  <c r="AJ33" i="2"/>
  <c r="AJ31" i="13"/>
  <c r="AK58" i="6"/>
  <c r="AJ40" i="7"/>
  <c r="K29" i="7"/>
  <c r="J61" i="13" s="1"/>
  <c r="K112" i="7"/>
  <c r="T27" i="11"/>
  <c r="S60" i="13" s="1"/>
  <c r="Y43" i="10"/>
  <c r="Y94" i="10"/>
  <c r="AC29" i="7"/>
  <c r="AB61" i="13" s="1"/>
  <c r="AM21" i="11"/>
  <c r="AI121" i="7"/>
  <c r="F129" i="7"/>
  <c r="F56" i="7"/>
  <c r="G22" i="15"/>
  <c r="M62" i="11"/>
  <c r="M76" i="11" s="1"/>
  <c r="N11" i="7"/>
  <c r="N129" i="7"/>
  <c r="R71" i="6"/>
  <c r="R124" i="6"/>
  <c r="F27" i="15" s="1"/>
  <c r="AB128" i="11"/>
  <c r="AB129" i="7"/>
  <c r="AA74" i="13" s="1"/>
  <c r="AB63" i="7"/>
  <c r="AA66" i="13" s="1"/>
  <c r="AK94" i="10"/>
  <c r="I27" i="11"/>
  <c r="H60" i="13" s="1"/>
  <c r="AG21" i="6"/>
  <c r="Q21" i="6"/>
  <c r="D99" i="6"/>
  <c r="J31" i="6"/>
  <c r="Q58" i="6"/>
  <c r="P34" i="2"/>
  <c r="P32" i="13"/>
  <c r="W99" i="6"/>
  <c r="Y89" i="6"/>
  <c r="Z70" i="10"/>
  <c r="D21" i="6"/>
  <c r="D124" i="6"/>
  <c r="J21" i="6"/>
  <c r="J58" i="6"/>
  <c r="F68" i="13"/>
  <c r="G79" i="7"/>
  <c r="D11" i="6"/>
  <c r="J71" i="6"/>
  <c r="J11" i="6"/>
  <c r="M88" i="10"/>
  <c r="Q50" i="6"/>
  <c r="E6" i="15" s="1"/>
  <c r="W71" i="6"/>
  <c r="X35" i="2"/>
  <c r="X33" i="13"/>
  <c r="X50" i="13" s="1"/>
  <c r="Z81" i="10"/>
  <c r="Z112" i="10"/>
  <c r="AD43" i="10"/>
  <c r="AJ14" i="11"/>
  <c r="AL21" i="11"/>
  <c r="R94" i="7"/>
  <c r="Q70" i="13" s="1"/>
  <c r="Z56" i="7"/>
  <c r="AA121" i="7"/>
  <c r="K14" i="11"/>
  <c r="L58" i="6"/>
  <c r="K33" i="13"/>
  <c r="K35" i="2"/>
  <c r="S135" i="11"/>
  <c r="W94" i="10"/>
  <c r="AC21" i="11"/>
  <c r="AB59" i="13" s="1"/>
  <c r="AE14" i="11"/>
  <c r="AA31" i="13"/>
  <c r="AA46" i="13" s="1"/>
  <c r="AA33" i="2"/>
  <c r="D19" i="10"/>
  <c r="J121" i="7"/>
  <c r="S56" i="7"/>
  <c r="U129" i="7"/>
  <c r="V121" i="7"/>
  <c r="V129" i="7"/>
  <c r="AC70" i="10"/>
  <c r="AJ70" i="10"/>
  <c r="AI62" i="11"/>
  <c r="AI76" i="11" s="1"/>
  <c r="E14" i="11"/>
  <c r="L21" i="11"/>
  <c r="K59" i="13" s="1"/>
  <c r="K124" i="6"/>
  <c r="O40" i="7"/>
  <c r="V128" i="11"/>
  <c r="AB19" i="10"/>
  <c r="AA5" i="13" s="1"/>
  <c r="AH27" i="11"/>
  <c r="AE45" i="6"/>
  <c r="G99" i="6"/>
  <c r="G21" i="6"/>
  <c r="F11" i="6"/>
  <c r="F124" i="6"/>
  <c r="I112" i="7"/>
  <c r="I129" i="7"/>
  <c r="O29" i="10"/>
  <c r="O56" i="10"/>
  <c r="Z89" i="6"/>
  <c r="AF40" i="7"/>
  <c r="AH101" i="7"/>
  <c r="N43" i="10"/>
  <c r="N94" i="10"/>
  <c r="W94" i="7"/>
  <c r="V69" i="13"/>
  <c r="M67" i="14"/>
  <c r="F81" i="10"/>
  <c r="F88" i="10"/>
  <c r="J56" i="10"/>
  <c r="L56" i="7"/>
  <c r="AI21" i="6"/>
  <c r="AI31" i="13"/>
  <c r="AI33" i="2"/>
  <c r="W14" i="11"/>
  <c r="AG62" i="11"/>
  <c r="AG76" i="11" s="1"/>
  <c r="D63" i="7"/>
  <c r="C66" i="13" s="1"/>
  <c r="I45" i="6"/>
  <c r="I99" i="6"/>
  <c r="I21" i="6"/>
  <c r="P50" i="6"/>
  <c r="S31" i="6"/>
  <c r="T43" i="10"/>
  <c r="T124" i="10"/>
  <c r="AL112" i="7"/>
  <c r="AL94" i="7"/>
  <c r="AF103" i="10"/>
  <c r="E29" i="10"/>
  <c r="G62" i="13"/>
  <c r="H124" i="6"/>
  <c r="H99" i="6"/>
  <c r="M99" i="6"/>
  <c r="L32" i="13"/>
  <c r="L34" i="2"/>
  <c r="O31" i="6"/>
  <c r="Q88" i="10"/>
  <c r="V94" i="10"/>
  <c r="X70" i="10"/>
  <c r="X19" i="10"/>
  <c r="AJ34" i="2"/>
  <c r="AJ32" i="13"/>
  <c r="N120" i="11"/>
  <c r="T62" i="11"/>
  <c r="T76" i="11" s="1"/>
  <c r="T14" i="11"/>
  <c r="Z21" i="11"/>
  <c r="Y59" i="13" s="1"/>
  <c r="Y124" i="10"/>
  <c r="AC101" i="7"/>
  <c r="AM135" i="11"/>
  <c r="F101" i="7"/>
  <c r="F94" i="7"/>
  <c r="E70" i="13" s="1"/>
  <c r="S94" i="10"/>
  <c r="S112" i="10"/>
  <c r="S11" i="10"/>
  <c r="G11" i="10"/>
  <c r="N58" i="6"/>
  <c r="N121" i="7"/>
  <c r="R31" i="6"/>
  <c r="AB121" i="7"/>
  <c r="AD99" i="6"/>
  <c r="AD45" i="6"/>
  <c r="AG58" i="6"/>
  <c r="AG45" i="6"/>
  <c r="AG1" i="3" s="1"/>
  <c r="I23" i="15"/>
  <c r="U29" i="10"/>
  <c r="F32" i="13"/>
  <c r="F34" i="2"/>
  <c r="U58" i="6"/>
  <c r="D58" i="6"/>
  <c r="M94" i="10"/>
  <c r="W45" i="6"/>
  <c r="AL135" i="11"/>
  <c r="P124" i="10"/>
  <c r="P29" i="7"/>
  <c r="O61" i="13" s="1"/>
  <c r="Q69" i="13"/>
  <c r="R79" i="7"/>
  <c r="Q68" i="13"/>
  <c r="AC21" i="6"/>
  <c r="S21" i="11"/>
  <c r="R59" i="13" s="1"/>
  <c r="Q29" i="7"/>
  <c r="P61" i="13" s="1"/>
  <c r="AE135" i="11"/>
  <c r="R135" i="11"/>
  <c r="V29" i="7"/>
  <c r="U61" i="13" s="1"/>
  <c r="V101" i="7"/>
  <c r="AK14" i="11"/>
  <c r="AK62" i="11"/>
  <c r="AK76" i="11" s="1"/>
  <c r="AI14" i="11"/>
  <c r="N69" i="13"/>
  <c r="AE58" i="6"/>
  <c r="I40" i="7"/>
  <c r="I101" i="7"/>
  <c r="V71" i="6"/>
  <c r="W79" i="7"/>
  <c r="V68" i="13"/>
  <c r="M66" i="14"/>
  <c r="V64" i="13"/>
  <c r="M62" i="14"/>
  <c r="O62" i="14" s="1"/>
  <c r="Q62" i="14" s="1"/>
  <c r="S62" i="14" s="1"/>
  <c r="W63" i="7"/>
  <c r="D35" i="2"/>
  <c r="D33" i="13"/>
  <c r="J29" i="10"/>
  <c r="T71" i="6"/>
  <c r="AL33" i="2"/>
  <c r="AL31" i="13"/>
  <c r="L11" i="10"/>
  <c r="D40" i="7"/>
  <c r="C63" i="13" s="1"/>
  <c r="I82" i="6"/>
  <c r="Q21" i="11"/>
  <c r="P59" i="13" s="1"/>
  <c r="AD94" i="7"/>
  <c r="AC70" i="13" s="1"/>
  <c r="AD11" i="7"/>
  <c r="AF94" i="10"/>
  <c r="N33" i="2"/>
  <c r="N31" i="13"/>
  <c r="N46" i="13" s="1"/>
  <c r="N32" i="13"/>
  <c r="N34" i="2"/>
  <c r="AK71" i="6"/>
  <c r="AJ63" i="7"/>
  <c r="AC121" i="7"/>
  <c r="AB73" i="13" s="1"/>
  <c r="AI63" i="7"/>
  <c r="G19" i="10"/>
  <c r="N50" i="6"/>
  <c r="N40" i="7"/>
  <c r="M63" i="13" s="1"/>
  <c r="I62" i="11"/>
  <c r="I76" i="11" s="1"/>
  <c r="AF128" i="11"/>
  <c r="AF27" i="11"/>
  <c r="AF35" i="2"/>
  <c r="AF33" i="13"/>
  <c r="AF34" i="2"/>
  <c r="AF32" i="13"/>
  <c r="E35" i="2"/>
  <c r="E33" i="13"/>
  <c r="I33" i="13"/>
  <c r="I35" i="2"/>
  <c r="G63" i="7"/>
  <c r="F66" i="13" s="1"/>
  <c r="M19" i="10"/>
  <c r="Q11" i="6"/>
  <c r="W124" i="6"/>
  <c r="Y124" i="6"/>
  <c r="Z94" i="10"/>
  <c r="AL27" i="11"/>
  <c r="O120" i="11"/>
  <c r="O27" i="11"/>
  <c r="N60" i="13" s="1"/>
  <c r="N14" i="14"/>
  <c r="P94" i="7"/>
  <c r="O70" i="13" s="1"/>
  <c r="AA56" i="7"/>
  <c r="Q94" i="7"/>
  <c r="P70" i="13" s="1"/>
  <c r="Q79" i="7"/>
  <c r="P68" i="13"/>
  <c r="AE81" i="10"/>
  <c r="D11" i="10"/>
  <c r="J129" i="7"/>
  <c r="J94" i="7"/>
  <c r="I70" i="13" s="1"/>
  <c r="J11" i="7"/>
  <c r="R14" i="11"/>
  <c r="AC19" i="10"/>
  <c r="J33" i="13"/>
  <c r="J35" i="2"/>
  <c r="K82" i="6"/>
  <c r="J85" i="13" s="1"/>
  <c r="Y14" i="11"/>
  <c r="W32" i="13"/>
  <c r="W34" i="2"/>
  <c r="AD34" i="2"/>
  <c r="AD32" i="13"/>
  <c r="R56" i="10"/>
  <c r="U11" i="6"/>
  <c r="V99" i="6"/>
  <c r="V11" i="6"/>
  <c r="M58" i="14"/>
  <c r="L68" i="13"/>
  <c r="M79" i="7"/>
  <c r="T21" i="6"/>
  <c r="AA14" i="11"/>
  <c r="AA45" i="6"/>
  <c r="AA71" i="6"/>
  <c r="AM21" i="6"/>
  <c r="AH33" i="13"/>
  <c r="AH35" i="2"/>
  <c r="AJ11" i="6"/>
  <c r="H31" i="13"/>
  <c r="H46" i="13" s="1"/>
  <c r="H33" i="2"/>
  <c r="Q135" i="11"/>
  <c r="M17" i="14"/>
  <c r="S71" i="6"/>
  <c r="H23" i="15"/>
  <c r="T29" i="10"/>
  <c r="AD14" i="11"/>
  <c r="AF88" i="10"/>
  <c r="H40" i="7"/>
  <c r="O58" i="6"/>
  <c r="AJ121" i="7"/>
  <c r="K56" i="7"/>
  <c r="AC112" i="7"/>
  <c r="H70" i="10"/>
  <c r="N79" i="7"/>
  <c r="M68" i="13"/>
  <c r="R99" i="6"/>
  <c r="Q35" i="2"/>
  <c r="Q33" i="13"/>
  <c r="AD124" i="6"/>
  <c r="AD89" i="6"/>
  <c r="R11" i="15" s="1"/>
  <c r="V32" i="13"/>
  <c r="V34" i="2"/>
  <c r="Y82" i="6"/>
  <c r="AJ27" i="11"/>
  <c r="I29" i="10"/>
  <c r="P94" i="10"/>
  <c r="P121" i="7"/>
  <c r="R56" i="7"/>
  <c r="Z129" i="7"/>
  <c r="Y74" i="13" s="1"/>
  <c r="AC45" i="6"/>
  <c r="K23" i="15"/>
  <c r="W29" i="10"/>
  <c r="AB45" i="6"/>
  <c r="AE19" i="10"/>
  <c r="D124" i="10"/>
  <c r="J128" i="11"/>
  <c r="J40" i="7"/>
  <c r="I63" i="13" s="1"/>
  <c r="S79" i="7"/>
  <c r="R68" i="13"/>
  <c r="U112" i="7"/>
  <c r="V94" i="7"/>
  <c r="U70" i="13" s="1"/>
  <c r="V11" i="7"/>
  <c r="E62" i="11"/>
  <c r="E76" i="11" s="1"/>
  <c r="O94" i="7"/>
  <c r="N70" i="13" s="1"/>
  <c r="Y135" i="11"/>
  <c r="Y62" i="11"/>
  <c r="AH62" i="11"/>
  <c r="AH76" i="11" s="1"/>
  <c r="AD35" i="2"/>
  <c r="AD33" i="13"/>
  <c r="G71" i="6"/>
  <c r="G58" i="6"/>
  <c r="F45" i="6"/>
  <c r="P135" i="11"/>
  <c r="O19" i="10"/>
  <c r="T31" i="13"/>
  <c r="T46" i="13" s="1"/>
  <c r="T33" i="2"/>
  <c r="V89" i="6"/>
  <c r="Z82" i="6"/>
  <c r="Z50" i="6"/>
  <c r="N6" i="15" s="1"/>
  <c r="AH94" i="7"/>
  <c r="N70" i="10"/>
  <c r="F103" i="10"/>
  <c r="J70" i="10"/>
  <c r="L129" i="7"/>
  <c r="T58" i="6"/>
  <c r="T99" i="6"/>
  <c r="AM82" i="6"/>
  <c r="AI82" i="6"/>
  <c r="AH85" i="13" s="1"/>
  <c r="L29" i="10"/>
  <c r="AG14" i="11"/>
  <c r="E112" i="7"/>
  <c r="D129" i="7"/>
  <c r="I124" i="6"/>
  <c r="S45" i="6"/>
  <c r="T11" i="10"/>
  <c r="T19" i="10"/>
  <c r="AD128" i="11"/>
  <c r="X129" i="7"/>
  <c r="X63" i="7"/>
  <c r="E112" i="10"/>
  <c r="H21" i="6"/>
  <c r="H82" i="6"/>
  <c r="G34" i="2"/>
  <c r="G32" i="13"/>
  <c r="Q103" i="10"/>
  <c r="J22" i="15"/>
  <c r="V19" i="10"/>
  <c r="X103" i="10"/>
  <c r="K19" i="10"/>
  <c r="K124" i="10"/>
  <c r="N128" i="11"/>
  <c r="AI94" i="7"/>
  <c r="E62" i="13"/>
  <c r="S81" i="10"/>
  <c r="S124" i="10"/>
  <c r="G112" i="10"/>
  <c r="M21" i="11"/>
  <c r="L59" i="13" s="1"/>
  <c r="N82" i="6"/>
  <c r="M85" i="13" s="1"/>
  <c r="M32" i="13"/>
  <c r="M34" i="2"/>
  <c r="N124" i="6"/>
  <c r="S68" i="13"/>
  <c r="T79" i="7"/>
  <c r="AB11" i="7"/>
  <c r="AA58" i="13" s="1"/>
  <c r="AC35" i="2"/>
  <c r="AC33" i="13"/>
  <c r="AG82" i="6"/>
  <c r="AF85" i="13" s="1"/>
  <c r="C35" i="2"/>
  <c r="C33" i="13"/>
  <c r="J89" i="6"/>
  <c r="M70" i="10"/>
  <c r="Q89" i="6"/>
  <c r="G112" i="7"/>
  <c r="D71" i="6"/>
  <c r="J82" i="6"/>
  <c r="P33" i="2"/>
  <c r="P31" i="13"/>
  <c r="P46" i="13" s="1"/>
  <c r="W89" i="6"/>
  <c r="W21" i="6"/>
  <c r="Y71" i="6"/>
  <c r="Z29" i="10"/>
  <c r="R129" i="7"/>
  <c r="AA94" i="7"/>
  <c r="Z70" i="13" s="1"/>
  <c r="AB35" i="2"/>
  <c r="AB33" i="13"/>
  <c r="AB50" i="13" s="1"/>
  <c r="S14" i="11"/>
  <c r="W81" i="10"/>
  <c r="AC14" i="11"/>
  <c r="AB11" i="6"/>
  <c r="AB58" i="6"/>
  <c r="D112" i="10"/>
  <c r="J21" i="11"/>
  <c r="I59" i="13" s="1"/>
  <c r="R62" i="11"/>
  <c r="R76" i="11" s="1"/>
  <c r="U40" i="7"/>
  <c r="T63" i="13" s="1"/>
  <c r="AC11" i="10"/>
  <c r="AI27" i="11"/>
  <c r="E128" i="11"/>
  <c r="L27" i="11"/>
  <c r="K60" i="13" s="1"/>
  <c r="K11" i="6"/>
  <c r="AB70" i="10"/>
  <c r="F33" i="2"/>
  <c r="F31" i="13"/>
  <c r="F46" i="13" s="1"/>
  <c r="G11" i="6"/>
  <c r="F82" i="6"/>
  <c r="E85" i="13" s="1"/>
  <c r="O81" i="10"/>
  <c r="R11" i="10"/>
  <c r="U21" i="6"/>
  <c r="V124" i="6"/>
  <c r="Y33" i="13"/>
  <c r="Y50" i="13" s="1"/>
  <c r="Y35" i="2"/>
  <c r="AF121" i="7"/>
  <c r="N81" i="10"/>
  <c r="V62" i="13"/>
  <c r="M60" i="14"/>
  <c r="W112" i="7"/>
  <c r="F43" i="10"/>
  <c r="J88" i="10"/>
  <c r="J124" i="10"/>
  <c r="L79" i="7"/>
  <c r="K68" i="13"/>
  <c r="M56" i="7"/>
  <c r="M94" i="7"/>
  <c r="L70" i="13" s="1"/>
  <c r="T50" i="6"/>
  <c r="H6" i="15" s="1"/>
  <c r="Z35" i="2"/>
  <c r="Z33" i="13"/>
  <c r="Z50" i="13" s="1"/>
  <c r="AM45" i="6"/>
  <c r="AI99" i="6"/>
  <c r="AJ58" i="6"/>
  <c r="AJ82" i="6"/>
  <c r="AJ71" i="6"/>
  <c r="E121" i="7"/>
  <c r="D121" i="7"/>
  <c r="I89" i="6"/>
  <c r="Q128" i="11"/>
  <c r="AF70" i="10"/>
  <c r="H11" i="7"/>
  <c r="H29" i="7"/>
  <c r="G61" i="13" s="1"/>
  <c r="H94" i="7"/>
  <c r="G70" i="13" s="1"/>
  <c r="H89" i="6"/>
  <c r="M11" i="6"/>
  <c r="O71" i="6"/>
  <c r="V112" i="10"/>
  <c r="X29" i="10"/>
  <c r="AJ11" i="7"/>
  <c r="AM62" i="11"/>
  <c r="AM76" i="11" s="1"/>
  <c r="AI129" i="7"/>
  <c r="F29" i="7"/>
  <c r="E61" i="13" s="1"/>
  <c r="S70" i="10"/>
  <c r="N31" i="6"/>
  <c r="N29" i="7"/>
  <c r="M61" i="13" s="1"/>
  <c r="Q34" i="2"/>
  <c r="Q32" i="13"/>
  <c r="R11" i="6"/>
  <c r="T112" i="7"/>
  <c r="T29" i="7"/>
  <c r="S61" i="13" s="1"/>
  <c r="AK124" i="10"/>
  <c r="AF31" i="13"/>
  <c r="AF46" i="13" s="1"/>
  <c r="AF33" i="2"/>
  <c r="U128" i="11"/>
  <c r="M69" i="13"/>
  <c r="T63" i="7"/>
  <c r="S66" i="13" s="1"/>
  <c r="AB21" i="11"/>
  <c r="AA59" i="13" s="1"/>
  <c r="AD82" i="6"/>
  <c r="AK70" i="10"/>
  <c r="AG71" i="6"/>
  <c r="V19" i="14"/>
  <c r="V20" i="14"/>
  <c r="G70" i="1"/>
  <c r="E13" i="1"/>
  <c r="E15" i="1" s="1"/>
  <c r="E17" i="1" s="1"/>
  <c r="E65" i="1"/>
  <c r="H65" i="1" s="1"/>
  <c r="H72" i="1"/>
  <c r="H80" i="1"/>
  <c r="D115" i="1"/>
  <c r="E124" i="1"/>
  <c r="D126" i="1"/>
  <c r="D135" i="1"/>
  <c r="D129" i="1"/>
  <c r="D124" i="1"/>
  <c r="E126" i="1"/>
  <c r="E135" i="1"/>
  <c r="E129" i="1"/>
  <c r="H114" i="1"/>
  <c r="H100" i="1"/>
  <c r="D15" i="1"/>
  <c r="D17" i="1" s="1"/>
  <c r="D19" i="1" s="1"/>
  <c r="D66" i="1"/>
  <c r="AU76" i="6" l="1"/>
  <c r="AF99" i="6"/>
  <c r="AD65" i="13"/>
  <c r="AU55" i="6"/>
  <c r="AD74" i="13"/>
  <c r="AF21" i="6"/>
  <c r="AK1" i="3"/>
  <c r="AU77" i="6"/>
  <c r="AD63" i="13"/>
  <c r="AB74" i="13"/>
  <c r="AJ1" i="3"/>
  <c r="Y94" i="7"/>
  <c r="AU54" i="6"/>
  <c r="AU53" i="6"/>
  <c r="S12" i="15"/>
  <c r="S13" i="15" s="1"/>
  <c r="Z65" i="13"/>
  <c r="R85" i="13"/>
  <c r="T85" i="13"/>
  <c r="AD58" i="13"/>
  <c r="AL1" i="3"/>
  <c r="AU112" i="6"/>
  <c r="AD73" i="13"/>
  <c r="AU99" i="6"/>
  <c r="X85" i="13"/>
  <c r="AU58" i="6"/>
  <c r="P2" i="15"/>
  <c r="P6" i="15"/>
  <c r="AU50" i="6"/>
  <c r="S27" i="15"/>
  <c r="AD8" i="13"/>
  <c r="P11" i="15"/>
  <c r="AU89" i="6"/>
  <c r="S3" i="15"/>
  <c r="AD5" i="13"/>
  <c r="AU31" i="6"/>
  <c r="S5" i="15"/>
  <c r="AE1" i="3"/>
  <c r="AD13" i="13"/>
  <c r="S2" i="15"/>
  <c r="AD4" i="13"/>
  <c r="AU21" i="6"/>
  <c r="P27" i="15"/>
  <c r="AU124" i="6"/>
  <c r="AD71" i="13"/>
  <c r="AD77" i="13"/>
  <c r="K65" i="18"/>
  <c r="AI94" i="10"/>
  <c r="E81" i="10"/>
  <c r="O6" i="15"/>
  <c r="J63" i="13"/>
  <c r="E8" i="20"/>
  <c r="R63" i="13"/>
  <c r="E17" i="20"/>
  <c r="F17" i="20" s="1"/>
  <c r="G17" i="20" s="1"/>
  <c r="O17" i="20" s="1"/>
  <c r="N17" i="20" s="1"/>
  <c r="N8" i="14"/>
  <c r="E14" i="20"/>
  <c r="AC1" i="3"/>
  <c r="N17" i="14"/>
  <c r="O17" i="14" s="1"/>
  <c r="N63" i="13"/>
  <c r="Y112" i="7"/>
  <c r="AK119" i="7"/>
  <c r="AK7" i="7"/>
  <c r="AK8" i="7"/>
  <c r="Y129" i="7"/>
  <c r="Y63" i="7"/>
  <c r="X66" i="13" s="1"/>
  <c r="AF71" i="6"/>
  <c r="AU71" i="6" s="1"/>
  <c r="AA85" i="13"/>
  <c r="AL85" i="13"/>
  <c r="AD85" i="13"/>
  <c r="AK85" i="13"/>
  <c r="Y85" i="13"/>
  <c r="I85" i="13"/>
  <c r="J84" i="13"/>
  <c r="AG85" i="13"/>
  <c r="AF11" i="6"/>
  <c r="AU11" i="6" s="1"/>
  <c r="AE31" i="13"/>
  <c r="AE46" i="13" s="1"/>
  <c r="AC84" i="13"/>
  <c r="D84" i="13"/>
  <c r="L85" i="13"/>
  <c r="Y22" i="15"/>
  <c r="F84" i="13"/>
  <c r="F85" i="13"/>
  <c r="W85" i="13"/>
  <c r="M16" i="14"/>
  <c r="D16" i="20"/>
  <c r="Z85" i="13"/>
  <c r="P85" i="13"/>
  <c r="V85" i="13"/>
  <c r="AE34" i="2"/>
  <c r="AE32" i="13"/>
  <c r="M84" i="13"/>
  <c r="AG84" i="13"/>
  <c r="AF84" i="13"/>
  <c r="AI85" i="13"/>
  <c r="Q85" i="13"/>
  <c r="AD84" i="13"/>
  <c r="I84" i="13"/>
  <c r="R12" i="15"/>
  <c r="R13" i="15" s="1"/>
  <c r="AC85" i="13"/>
  <c r="E84" i="13"/>
  <c r="S85" i="13"/>
  <c r="C84" i="13"/>
  <c r="O85" i="13"/>
  <c r="D85" i="13"/>
  <c r="AB84" i="13"/>
  <c r="N84" i="13"/>
  <c r="K84" i="13"/>
  <c r="AI84" i="13"/>
  <c r="H85" i="13"/>
  <c r="N85" i="13"/>
  <c r="H84" i="13"/>
  <c r="L84" i="13"/>
  <c r="G84" i="13"/>
  <c r="G85" i="13"/>
  <c r="AB85" i="13"/>
  <c r="AJ85" i="13"/>
  <c r="U85" i="13"/>
  <c r="AK84" i="13"/>
  <c r="G63" i="13"/>
  <c r="Q63" i="13"/>
  <c r="X1" i="3"/>
  <c r="W84" i="13"/>
  <c r="V84" i="13"/>
  <c r="W1" i="3"/>
  <c r="O84" i="13"/>
  <c r="P1" i="3"/>
  <c r="Y84" i="13"/>
  <c r="Z1" i="3"/>
  <c r="AB1" i="3"/>
  <c r="AA84" i="13"/>
  <c r="S84" i="13"/>
  <c r="T1" i="3"/>
  <c r="AG19" i="10"/>
  <c r="Q1" i="3"/>
  <c r="P84" i="13"/>
  <c r="R1" i="3"/>
  <c r="Q84" i="13"/>
  <c r="R84" i="13"/>
  <c r="S1" i="3"/>
  <c r="Y1" i="3"/>
  <c r="X84" i="13"/>
  <c r="U1" i="3"/>
  <c r="T84" i="13"/>
  <c r="V1" i="3"/>
  <c r="U84" i="13"/>
  <c r="F74" i="1"/>
  <c r="G74" i="1"/>
  <c r="Y23" i="15"/>
  <c r="K65" i="20"/>
  <c r="M102" i="1"/>
  <c r="O102" i="1" s="1"/>
  <c r="M91" i="1"/>
  <c r="O91" i="1" s="1"/>
  <c r="G68" i="1"/>
  <c r="AC58" i="13"/>
  <c r="M108" i="1"/>
  <c r="O108" i="1" s="1"/>
  <c r="F63" i="13"/>
  <c r="R5" i="15"/>
  <c r="AD1" i="3"/>
  <c r="AC13" i="13"/>
  <c r="AC6" i="13"/>
  <c r="R3" i="15"/>
  <c r="AC5" i="13"/>
  <c r="Y72" i="13"/>
  <c r="R2" i="15"/>
  <c r="AC4" i="13"/>
  <c r="R27" i="15"/>
  <c r="AC8" i="13"/>
  <c r="AC77" i="13"/>
  <c r="AC71" i="13"/>
  <c r="AC73" i="13"/>
  <c r="F68" i="1"/>
  <c r="N16" i="18"/>
  <c r="P12" i="15"/>
  <c r="U72" i="13"/>
  <c r="AA72" i="13"/>
  <c r="G72" i="13"/>
  <c r="AT112" i="6"/>
  <c r="AS112" i="6"/>
  <c r="AF45" i="6"/>
  <c r="AK33" i="2"/>
  <c r="AK31" i="13"/>
  <c r="AF82" i="6"/>
  <c r="AE85" i="13" s="1"/>
  <c r="G78" i="1"/>
  <c r="G79" i="1"/>
  <c r="N19" i="20"/>
  <c r="G10" i="1"/>
  <c r="G13" i="1" s="1"/>
  <c r="G15" i="1" s="1"/>
  <c r="G17" i="1" s="1"/>
  <c r="G19" i="1" s="1"/>
  <c r="G67" i="1" s="1"/>
  <c r="N70" i="14"/>
  <c r="AC120" i="11"/>
  <c r="E70" i="20"/>
  <c r="E69" i="18"/>
  <c r="K72" i="13"/>
  <c r="R72" i="13"/>
  <c r="AB72" i="13"/>
  <c r="L72" i="13"/>
  <c r="Z72" i="13"/>
  <c r="Y56" i="7"/>
  <c r="Q12" i="15"/>
  <c r="Q13" i="15" s="1"/>
  <c r="AB65" i="13"/>
  <c r="AH81" i="10"/>
  <c r="X72" i="13"/>
  <c r="Y121" i="7"/>
  <c r="F162" i="1"/>
  <c r="AQ1" i="18"/>
  <c r="T65" i="14"/>
  <c r="Y6" i="15"/>
  <c r="AB6" i="15" s="1"/>
  <c r="G56" i="1"/>
  <c r="W19" i="14"/>
  <c r="N20" i="20"/>
  <c r="Q5" i="15"/>
  <c r="AB13" i="13"/>
  <c r="Q2" i="15"/>
  <c r="AB4" i="13"/>
  <c r="Q3" i="15"/>
  <c r="AB5" i="13"/>
  <c r="Q27" i="15"/>
  <c r="Y27" i="15" s="1"/>
  <c r="AB8" i="13"/>
  <c r="AB6" i="13"/>
  <c r="AB58" i="13"/>
  <c r="W20" i="14"/>
  <c r="AB71" i="13"/>
  <c r="AB77" i="13"/>
  <c r="N168" i="1"/>
  <c r="N19" i="18"/>
  <c r="G61" i="1"/>
  <c r="AA103" i="10"/>
  <c r="AB46" i="11"/>
  <c r="Y81" i="10"/>
  <c r="Z63" i="13"/>
  <c r="AA112" i="10"/>
  <c r="P5" i="15"/>
  <c r="F80" i="1"/>
  <c r="K64" i="18"/>
  <c r="G80" i="1"/>
  <c r="N14" i="18"/>
  <c r="N15" i="18"/>
  <c r="F70" i="1"/>
  <c r="N17" i="18"/>
  <c r="N13" i="18"/>
  <c r="F10" i="1"/>
  <c r="G106" i="1"/>
  <c r="AQ1" i="20"/>
  <c r="F94" i="1"/>
  <c r="N20" i="18"/>
  <c r="AK107" i="7"/>
  <c r="AK75" i="7"/>
  <c r="AK77" i="7" s="1"/>
  <c r="AK79" i="7" s="1"/>
  <c r="AK52" i="7"/>
  <c r="AK108" i="7"/>
  <c r="AK61" i="7"/>
  <c r="AK118" i="7"/>
  <c r="AK25" i="7"/>
  <c r="AK38" i="7"/>
  <c r="AK37" i="7"/>
  <c r="AK127" i="7"/>
  <c r="AK26" i="7"/>
  <c r="AK32" i="7"/>
  <c r="AK34" i="7" s="1"/>
  <c r="AK14" i="7"/>
  <c r="AK16" i="7" s="1"/>
  <c r="AK51" i="7"/>
  <c r="AK126" i="7"/>
  <c r="AK109" i="7"/>
  <c r="AK124" i="7"/>
  <c r="AK82" i="7"/>
  <c r="AK85" i="7" s="1"/>
  <c r="AK117" i="7"/>
  <c r="AK54" i="7"/>
  <c r="AK59" i="7"/>
  <c r="AK53" i="7"/>
  <c r="AK91" i="7"/>
  <c r="AK60" i="7"/>
  <c r="AK99" i="7"/>
  <c r="AK89" i="7"/>
  <c r="AK92" i="7"/>
  <c r="AK43" i="7"/>
  <c r="AK45" i="7" s="1"/>
  <c r="AK90" i="7"/>
  <c r="AK98" i="7"/>
  <c r="AK125" i="7"/>
  <c r="AK88" i="7"/>
  <c r="AK106" i="7"/>
  <c r="AK105" i="7"/>
  <c r="AK9" i="7"/>
  <c r="AK19" i="7"/>
  <c r="AK21" i="7" s="1"/>
  <c r="AK6" i="7"/>
  <c r="AK27" i="7"/>
  <c r="AK24" i="7"/>
  <c r="F106" i="1"/>
  <c r="N9" i="18"/>
  <c r="N51" i="1"/>
  <c r="C82" i="18"/>
  <c r="C89" i="18" s="1"/>
  <c r="G69" i="18" s="1"/>
  <c r="I69" i="18" s="1"/>
  <c r="L83" i="14"/>
  <c r="L90" i="14" s="1"/>
  <c r="P70" i="14" s="1"/>
  <c r="C83" i="20"/>
  <c r="C90" i="20" s="1"/>
  <c r="G70" i="20" s="1"/>
  <c r="I70" i="20" s="1"/>
  <c r="N10" i="18"/>
  <c r="BA1" i="14"/>
  <c r="F99" i="1"/>
  <c r="G162" i="1"/>
  <c r="G177" i="1" s="1"/>
  <c r="G168" i="1"/>
  <c r="AM53" i="10"/>
  <c r="AM73" i="10"/>
  <c r="AM92" i="10"/>
  <c r="AM51" i="10"/>
  <c r="AM52" i="10"/>
  <c r="AM27" i="10"/>
  <c r="AM26" i="10"/>
  <c r="AM6" i="10"/>
  <c r="AM9" i="10"/>
  <c r="AM60" i="10"/>
  <c r="AM106" i="10"/>
  <c r="AM107" i="10" s="1"/>
  <c r="AM111" i="10"/>
  <c r="AM62" i="10"/>
  <c r="AM84" i="10"/>
  <c r="AM46" i="10"/>
  <c r="AM48" i="10" s="1"/>
  <c r="AM68" i="10"/>
  <c r="AM91" i="10"/>
  <c r="AM16" i="10"/>
  <c r="AM59" i="10"/>
  <c r="AM35" i="10"/>
  <c r="AM15" i="10"/>
  <c r="AM101" i="10"/>
  <c r="AM110" i="10"/>
  <c r="AM34" i="10"/>
  <c r="AM63" i="10"/>
  <c r="AM123" i="10"/>
  <c r="AM97" i="10"/>
  <c r="AM98" i="10" s="1"/>
  <c r="AM65" i="10"/>
  <c r="AM8" i="10"/>
  <c r="AM66" i="10"/>
  <c r="AM76" i="10"/>
  <c r="AM61" i="10"/>
  <c r="AM85" i="10"/>
  <c r="AM75" i="10"/>
  <c r="AM122" i="10"/>
  <c r="AM64" i="10"/>
  <c r="AM74" i="10"/>
  <c r="AM102" i="10"/>
  <c r="AM14" i="10"/>
  <c r="AM7" i="10"/>
  <c r="BI11" i="1"/>
  <c r="BI18" i="1" s="1"/>
  <c r="AA18" i="1"/>
  <c r="N6" i="18"/>
  <c r="G112" i="1"/>
  <c r="G99" i="1"/>
  <c r="BD14" i="1"/>
  <c r="BH14" i="1" s="1"/>
  <c r="BJ14" i="1" s="1"/>
  <c r="Z14" i="1"/>
  <c r="AB14" i="1" s="1"/>
  <c r="F78" i="1"/>
  <c r="N12" i="18"/>
  <c r="G94" i="1"/>
  <c r="N8" i="18"/>
  <c r="N11" i="18"/>
  <c r="N7" i="18"/>
  <c r="O21" i="18"/>
  <c r="O51" i="1"/>
  <c r="O162" i="1"/>
  <c r="O177" i="1" s="1"/>
  <c r="N18" i="18"/>
  <c r="D29" i="16"/>
  <c r="F112" i="1"/>
  <c r="F168" i="1"/>
  <c r="F79" i="1"/>
  <c r="P21" i="18"/>
  <c r="AI124" i="10"/>
  <c r="N162" i="1"/>
  <c r="O21" i="16"/>
  <c r="O168" i="1"/>
  <c r="AI81" i="10"/>
  <c r="AA94" i="10"/>
  <c r="AT94" i="10" s="1"/>
  <c r="Y40" i="7"/>
  <c r="X63" i="13" s="1"/>
  <c r="AI103" i="10"/>
  <c r="L63" i="13"/>
  <c r="AI11" i="10"/>
  <c r="X68" i="13"/>
  <c r="Y63" i="13"/>
  <c r="AI29" i="10"/>
  <c r="P63" i="13"/>
  <c r="N12" i="15"/>
  <c r="D63" i="13"/>
  <c r="E63" i="13"/>
  <c r="AI112" i="10"/>
  <c r="Y58" i="13"/>
  <c r="S63" i="13"/>
  <c r="AI19" i="10"/>
  <c r="O11" i="15"/>
  <c r="AA43" i="10"/>
  <c r="N7" i="14" s="1"/>
  <c r="AA81" i="10"/>
  <c r="O12" i="15" s="1"/>
  <c r="AA29" i="10"/>
  <c r="AT29" i="10" s="1"/>
  <c r="AA124" i="10"/>
  <c r="Z8" i="13" s="1"/>
  <c r="AA19" i="10"/>
  <c r="O3" i="15" s="1"/>
  <c r="AI56" i="10"/>
  <c r="AI88" i="10"/>
  <c r="H63" i="13"/>
  <c r="AG21" i="10"/>
  <c r="AG22" i="10" s="1"/>
  <c r="AA11" i="10"/>
  <c r="O2" i="15" s="1"/>
  <c r="N61" i="14"/>
  <c r="E60" i="18"/>
  <c r="E61" i="20"/>
  <c r="U63" i="13"/>
  <c r="AI43" i="10"/>
  <c r="AH84" i="13" s="1"/>
  <c r="AA70" i="10"/>
  <c r="AT70" i="10" s="1"/>
  <c r="AA63" i="13"/>
  <c r="AI70" i="10"/>
  <c r="AA56" i="10"/>
  <c r="E11" i="20" s="1"/>
  <c r="O22" i="15"/>
  <c r="X22" i="15" s="1"/>
  <c r="AA73" i="13"/>
  <c r="AA65" i="13"/>
  <c r="P3" i="15"/>
  <c r="P4" i="15" s="1"/>
  <c r="AA77" i="13"/>
  <c r="AA71" i="13"/>
  <c r="AA8" i="13"/>
  <c r="AA13" i="13"/>
  <c r="AA4" i="13"/>
  <c r="AS29" i="10"/>
  <c r="X23" i="15"/>
  <c r="X77" i="13"/>
  <c r="AS124" i="10"/>
  <c r="N11" i="15"/>
  <c r="Z73" i="13"/>
  <c r="Z58" i="13"/>
  <c r="Z74" i="13"/>
  <c r="AS11" i="6"/>
  <c r="AS31" i="6"/>
  <c r="AS124" i="6"/>
  <c r="AS21" i="6"/>
  <c r="AL23" i="6"/>
  <c r="AT31" i="6"/>
  <c r="AT21" i="6"/>
  <c r="AT11" i="6"/>
  <c r="AT124" i="6"/>
  <c r="AK32" i="2"/>
  <c r="AK36" i="2" s="1"/>
  <c r="AK45" i="2" s="1"/>
  <c r="AK46" i="2" s="1"/>
  <c r="W8" i="13"/>
  <c r="Z71" i="13"/>
  <c r="Z77" i="13"/>
  <c r="O27" i="15"/>
  <c r="AE30" i="13"/>
  <c r="AE34" i="13" s="1"/>
  <c r="AE43" i="13" s="1"/>
  <c r="AE44" i="13" s="1"/>
  <c r="L41" i="1"/>
  <c r="AF23" i="6"/>
  <c r="D41" i="1"/>
  <c r="D51" i="1" s="1"/>
  <c r="M41" i="1"/>
  <c r="O41" i="1" s="1"/>
  <c r="E41" i="1"/>
  <c r="AE32" i="2"/>
  <c r="AE36" i="2" s="1"/>
  <c r="AE45" i="2" s="1"/>
  <c r="AE46" i="2" s="1"/>
  <c r="F59" i="18"/>
  <c r="H59" i="18" s="1"/>
  <c r="J59" i="18" s="1"/>
  <c r="K59" i="18" s="1"/>
  <c r="Y65" i="13"/>
  <c r="Y73" i="13"/>
  <c r="F60" i="20"/>
  <c r="H60" i="20" s="1"/>
  <c r="J60" i="20" s="1"/>
  <c r="K60" i="20" s="1"/>
  <c r="F66" i="18"/>
  <c r="H66" i="18" s="1"/>
  <c r="J66" i="18" s="1"/>
  <c r="K66" i="18" s="1"/>
  <c r="AG115" i="10"/>
  <c r="Y6" i="13"/>
  <c r="D69" i="20"/>
  <c r="F69" i="20" s="1"/>
  <c r="H69" i="20" s="1"/>
  <c r="J69" i="20" s="1"/>
  <c r="K69" i="20" s="1"/>
  <c r="D71" i="18"/>
  <c r="D72" i="20"/>
  <c r="D61" i="20"/>
  <c r="N3" i="15"/>
  <c r="Y5" i="13"/>
  <c r="N2" i="15"/>
  <c r="Y4" i="13"/>
  <c r="F67" i="20"/>
  <c r="H67" i="20" s="1"/>
  <c r="J67" i="20" s="1"/>
  <c r="K67" i="20" s="1"/>
  <c r="N27" i="15"/>
  <c r="Y8" i="13"/>
  <c r="N5" i="15"/>
  <c r="Y13" i="13"/>
  <c r="D59" i="20"/>
  <c r="F59" i="20" s="1"/>
  <c r="H59" i="20" s="1"/>
  <c r="J59" i="20" s="1"/>
  <c r="K59" i="20" s="1"/>
  <c r="Y71" i="13"/>
  <c r="Y77" i="13"/>
  <c r="AG131" i="7"/>
  <c r="AK30" i="13"/>
  <c r="AK34" i="13" s="1"/>
  <c r="AK15" i="13" s="1"/>
  <c r="AG47" i="7"/>
  <c r="AF115" i="6"/>
  <c r="M12" i="15"/>
  <c r="AH21" i="10"/>
  <c r="AH22" i="10" s="1"/>
  <c r="L3" i="15"/>
  <c r="L11" i="15"/>
  <c r="X61" i="13"/>
  <c r="AG32" i="2"/>
  <c r="AG36" i="2" s="1"/>
  <c r="AG45" i="2" s="1"/>
  <c r="AG46" i="2" s="1"/>
  <c r="L2" i="15"/>
  <c r="D62" i="18"/>
  <c r="D55" i="18"/>
  <c r="L12" i="15"/>
  <c r="E13" i="20"/>
  <c r="F13" i="20" s="1"/>
  <c r="H13" i="20" s="1"/>
  <c r="AG70" i="7"/>
  <c r="D64" i="20"/>
  <c r="F64" i="20" s="1"/>
  <c r="H64" i="20" s="1"/>
  <c r="J64" i="20" s="1"/>
  <c r="K64" i="20" s="1"/>
  <c r="AG114" i="7"/>
  <c r="AL115" i="10"/>
  <c r="AL21" i="10"/>
  <c r="A43" i="10"/>
  <c r="AE47" i="7"/>
  <c r="X6" i="13"/>
  <c r="M11" i="15"/>
  <c r="J13" i="13"/>
  <c r="J11" i="15"/>
  <c r="M3" i="15"/>
  <c r="D9" i="20"/>
  <c r="D6" i="20"/>
  <c r="D12" i="20"/>
  <c r="E71" i="18"/>
  <c r="E55" i="18"/>
  <c r="D22" i="20"/>
  <c r="E15" i="20"/>
  <c r="F15" i="20" s="1"/>
  <c r="H15" i="20" s="1"/>
  <c r="D56" i="20"/>
  <c r="H60" i="1"/>
  <c r="F60" i="1"/>
  <c r="F61" i="1" s="1"/>
  <c r="D61" i="1"/>
  <c r="D8" i="20"/>
  <c r="E9" i="20"/>
  <c r="E5" i="20"/>
  <c r="M5" i="15"/>
  <c r="R9" i="14"/>
  <c r="Q9" i="14" s="1"/>
  <c r="I9" i="20"/>
  <c r="D10" i="20"/>
  <c r="D7" i="20"/>
  <c r="H62" i="20"/>
  <c r="J62" i="20" s="1"/>
  <c r="K62" i="20" s="1"/>
  <c r="Y70" i="7"/>
  <c r="D63" i="20"/>
  <c r="E12" i="20"/>
  <c r="D11" i="20"/>
  <c r="O6" i="13"/>
  <c r="E6" i="20"/>
  <c r="X70" i="13"/>
  <c r="D68" i="20"/>
  <c r="F68" i="20" s="1"/>
  <c r="Y131" i="7"/>
  <c r="D71" i="20"/>
  <c r="Y114" i="7"/>
  <c r="D70" i="20"/>
  <c r="X23" i="6"/>
  <c r="D27" i="15"/>
  <c r="D18" i="20"/>
  <c r="E16" i="20"/>
  <c r="X115" i="6"/>
  <c r="H66" i="20"/>
  <c r="J66" i="20" s="1"/>
  <c r="K66" i="20" s="1"/>
  <c r="E18" i="20"/>
  <c r="D5" i="20"/>
  <c r="D14" i="20"/>
  <c r="E22" i="20"/>
  <c r="E57" i="20"/>
  <c r="F57" i="20" s="1"/>
  <c r="X59" i="13"/>
  <c r="E56" i="20"/>
  <c r="X58" i="13"/>
  <c r="E58" i="20"/>
  <c r="F58" i="20" s="1"/>
  <c r="X60" i="13"/>
  <c r="E71" i="20"/>
  <c r="X73" i="13"/>
  <c r="E72" i="20"/>
  <c r="X74" i="13"/>
  <c r="Y76" i="11"/>
  <c r="E63" i="20"/>
  <c r="X65" i="13"/>
  <c r="X8" i="13"/>
  <c r="M27" i="15"/>
  <c r="X5" i="13"/>
  <c r="X13" i="13"/>
  <c r="X4" i="13"/>
  <c r="M2" i="15"/>
  <c r="AH23" i="6"/>
  <c r="AH24" i="6" s="1"/>
  <c r="N58" i="14"/>
  <c r="O58" i="14" s="1"/>
  <c r="Q58" i="14" s="1"/>
  <c r="AE70" i="7"/>
  <c r="AL115" i="6"/>
  <c r="AA131" i="7"/>
  <c r="AH115" i="6"/>
  <c r="X76" i="11"/>
  <c r="E62" i="18"/>
  <c r="E70" i="18"/>
  <c r="N71" i="14"/>
  <c r="M56" i="14"/>
  <c r="M65" i="18"/>
  <c r="AT50" i="6"/>
  <c r="W59" i="13"/>
  <c r="M88" i="1" s="1"/>
  <c r="O88" i="1" s="1"/>
  <c r="E56" i="18"/>
  <c r="F56" i="18" s="1"/>
  <c r="H56" i="18" s="1"/>
  <c r="J56" i="18" s="1"/>
  <c r="K56" i="18" s="1"/>
  <c r="L93" i="1"/>
  <c r="P93" i="1" s="1"/>
  <c r="W60" i="13"/>
  <c r="M89" i="1" s="1"/>
  <c r="O89" i="1" s="1"/>
  <c r="E57" i="18"/>
  <c r="F57" i="18" s="1"/>
  <c r="W70" i="13"/>
  <c r="M103" i="1" s="1"/>
  <c r="O103" i="1" s="1"/>
  <c r="D67" i="18"/>
  <c r="F67" i="18" s="1"/>
  <c r="W63" i="13"/>
  <c r="D60" i="18"/>
  <c r="W72" i="13"/>
  <c r="D69" i="18"/>
  <c r="D68" i="18"/>
  <c r="F68" i="18" s="1"/>
  <c r="H68" i="18" s="1"/>
  <c r="J68" i="18" s="1"/>
  <c r="K68" i="18" s="1"/>
  <c r="M69" i="14"/>
  <c r="O69" i="14" s="1"/>
  <c r="Q69" i="14" s="1"/>
  <c r="S69" i="14" s="1"/>
  <c r="T69" i="14" s="1"/>
  <c r="W66" i="13"/>
  <c r="M97" i="1" s="1"/>
  <c r="O97" i="1" s="1"/>
  <c r="D63" i="18"/>
  <c r="F63" i="18" s="1"/>
  <c r="H63" i="18" s="1"/>
  <c r="AT89" i="6"/>
  <c r="AT45" i="6"/>
  <c r="AT58" i="6"/>
  <c r="W61" i="13"/>
  <c r="M90" i="1" s="1"/>
  <c r="O90" i="1" s="1"/>
  <c r="D58" i="18"/>
  <c r="F58" i="18" s="1"/>
  <c r="D70" i="18"/>
  <c r="M71" i="14"/>
  <c r="AT71" i="6"/>
  <c r="H61" i="18"/>
  <c r="J61" i="18" s="1"/>
  <c r="K61" i="18" s="1"/>
  <c r="AT82" i="6"/>
  <c r="AT99" i="6"/>
  <c r="O60" i="14"/>
  <c r="Q60" i="14" s="1"/>
  <c r="AS81" i="10"/>
  <c r="AT88" i="10"/>
  <c r="AT56" i="10"/>
  <c r="AS43" i="10"/>
  <c r="AS88" i="10"/>
  <c r="AS103" i="10"/>
  <c r="E22" i="18"/>
  <c r="AT112" i="10"/>
  <c r="AS70" i="10"/>
  <c r="AS94" i="10"/>
  <c r="AT103" i="10"/>
  <c r="AS112" i="10"/>
  <c r="W13" i="13"/>
  <c r="L5" i="15"/>
  <c r="AS56" i="10"/>
  <c r="T32" i="2"/>
  <c r="T36" i="2" s="1"/>
  <c r="T45" i="2" s="1"/>
  <c r="T46" i="2" s="1"/>
  <c r="AS71" i="6"/>
  <c r="AS50" i="6"/>
  <c r="AG30" i="13"/>
  <c r="AG48" i="13" s="1"/>
  <c r="AS58" i="6"/>
  <c r="AS82" i="6"/>
  <c r="AS45" i="6"/>
  <c r="AS89" i="6"/>
  <c r="AS99" i="6"/>
  <c r="M6" i="14"/>
  <c r="D22" i="18"/>
  <c r="I5" i="18" a="1"/>
  <c r="I5" i="18" s="1"/>
  <c r="O5" i="18"/>
  <c r="M5" i="14"/>
  <c r="M12" i="14"/>
  <c r="AE48" i="13"/>
  <c r="S32" i="2"/>
  <c r="S36" i="2" s="1"/>
  <c r="S45" i="2" s="1"/>
  <c r="S46" i="2" s="1"/>
  <c r="M23" i="1"/>
  <c r="O23" i="1" s="1"/>
  <c r="L23" i="1"/>
  <c r="O67" i="14"/>
  <c r="Q67" i="14" s="1"/>
  <c r="S67" i="14" s="1"/>
  <c r="T67" i="14" s="1"/>
  <c r="O66" i="14"/>
  <c r="Q66" i="14" s="1"/>
  <c r="L102" i="1"/>
  <c r="N102" i="1" s="1"/>
  <c r="L91" i="1"/>
  <c r="N91" i="1" s="1"/>
  <c r="W65" i="13"/>
  <c r="N4" i="13"/>
  <c r="L108" i="1"/>
  <c r="N108" i="1" s="1"/>
  <c r="W5" i="13"/>
  <c r="W74" i="13"/>
  <c r="W4" i="13"/>
  <c r="N72" i="14"/>
  <c r="W73" i="13"/>
  <c r="W71" i="13"/>
  <c r="W77" i="13"/>
  <c r="W58" i="13"/>
  <c r="N57" i="14"/>
  <c r="O57" i="14" s="1"/>
  <c r="Q57" i="14" s="1"/>
  <c r="W6" i="13"/>
  <c r="AJ70" i="7"/>
  <c r="S6" i="13"/>
  <c r="G5" i="13"/>
  <c r="Z70" i="7"/>
  <c r="R8" i="13"/>
  <c r="U6" i="13"/>
  <c r="K13" i="13"/>
  <c r="J3" i="15"/>
  <c r="AD137" i="11"/>
  <c r="AD139" i="11" s="1"/>
  <c r="Z131" i="7"/>
  <c r="C13" i="13"/>
  <c r="M6" i="13"/>
  <c r="AE131" i="7"/>
  <c r="K58" i="13"/>
  <c r="E5" i="13"/>
  <c r="AD70" i="7"/>
  <c r="K8" i="13"/>
  <c r="J5" i="15"/>
  <c r="N58" i="13"/>
  <c r="C58" i="13"/>
  <c r="V77" i="13"/>
  <c r="F8" i="13"/>
  <c r="AC23" i="6"/>
  <c r="AC24" i="6" s="1"/>
  <c r="T65" i="13"/>
  <c r="L71" i="13"/>
  <c r="AH131" i="7"/>
  <c r="AK137" i="11"/>
  <c r="AK139" i="11" s="1"/>
  <c r="AE21" i="10"/>
  <c r="AE22" i="10" s="1"/>
  <c r="K77" i="13"/>
  <c r="G6" i="13"/>
  <c r="G77" i="13"/>
  <c r="L23" i="6"/>
  <c r="L24" i="6" s="1"/>
  <c r="AI70" i="7"/>
  <c r="AC70" i="7"/>
  <c r="N63" i="14"/>
  <c r="M74" i="13"/>
  <c r="O23" i="6"/>
  <c r="O24" i="6" s="1"/>
  <c r="X47" i="7"/>
  <c r="N13" i="13"/>
  <c r="AA70" i="7"/>
  <c r="I13" i="13"/>
  <c r="E23" i="6"/>
  <c r="E24" i="6" s="1"/>
  <c r="Z23" i="6"/>
  <c r="Z24" i="6" s="1"/>
  <c r="AH115" i="10"/>
  <c r="H74" i="13"/>
  <c r="AD23" i="6"/>
  <c r="AD24" i="6" s="1"/>
  <c r="C71" i="13"/>
  <c r="AE114" i="7"/>
  <c r="Y53" i="11"/>
  <c r="F6" i="13"/>
  <c r="V60" i="13"/>
  <c r="U70" i="7"/>
  <c r="F77" i="13"/>
  <c r="R53" i="11"/>
  <c r="R78" i="11" s="1"/>
  <c r="I74" i="13"/>
  <c r="AK21" i="10"/>
  <c r="AK22" i="10" s="1"/>
  <c r="H6" i="13"/>
  <c r="I23" i="6"/>
  <c r="I24" i="6" s="1"/>
  <c r="L137" i="11"/>
  <c r="L139" i="11" s="1"/>
  <c r="Q77" i="13"/>
  <c r="G11" i="15"/>
  <c r="I8" i="13"/>
  <c r="K21" i="10"/>
  <c r="K22" i="10" s="1"/>
  <c r="X131" i="7"/>
  <c r="AH47" i="7"/>
  <c r="D8" i="13"/>
  <c r="AB131" i="7"/>
  <c r="J6" i="13"/>
  <c r="AH137" i="11"/>
  <c r="AH139" i="11" s="1"/>
  <c r="R77" i="13"/>
  <c r="AJ114" i="7"/>
  <c r="P58" i="13"/>
  <c r="T77" i="13"/>
  <c r="AL137" i="11"/>
  <c r="AL139" i="11" s="1"/>
  <c r="P74" i="13"/>
  <c r="U53" i="11"/>
  <c r="U78" i="11" s="1"/>
  <c r="I12" i="15"/>
  <c r="F11" i="15"/>
  <c r="X53" i="11"/>
  <c r="Y137" i="11"/>
  <c r="Y139" i="11" s="1"/>
  <c r="H11" i="15"/>
  <c r="E21" i="10"/>
  <c r="E22" i="10" s="1"/>
  <c r="K74" i="13"/>
  <c r="L8" i="13"/>
  <c r="N21" i="10"/>
  <c r="N22" i="10" s="1"/>
  <c r="T58" i="13"/>
  <c r="H8" i="13"/>
  <c r="V6" i="13"/>
  <c r="AD53" i="11"/>
  <c r="AD78" i="11" s="1"/>
  <c r="N77" i="13"/>
  <c r="J73" i="13"/>
  <c r="AD131" i="7"/>
  <c r="M137" i="11"/>
  <c r="M139" i="11" s="1"/>
  <c r="AB47" i="7"/>
  <c r="AB70" i="7"/>
  <c r="F58" i="13"/>
  <c r="N8" i="13"/>
  <c r="S21" i="10"/>
  <c r="S22" i="10" s="1"/>
  <c r="H53" i="11"/>
  <c r="H78" i="11" s="1"/>
  <c r="L74" i="13"/>
  <c r="E6" i="13"/>
  <c r="AL47" i="7"/>
  <c r="C6" i="13"/>
  <c r="AH70" i="7"/>
  <c r="H137" i="11"/>
  <c r="H139" i="11" s="1"/>
  <c r="M65" i="13"/>
  <c r="K73" i="13"/>
  <c r="AI47" i="7"/>
  <c r="N137" i="11"/>
  <c r="N139" i="11" s="1"/>
  <c r="E53" i="11"/>
  <c r="E78" i="11" s="1"/>
  <c r="AB137" i="11"/>
  <c r="AB139" i="11" s="1"/>
  <c r="D3" i="15"/>
  <c r="AJ137" i="11"/>
  <c r="AJ139" i="11" s="1"/>
  <c r="AE23" i="6"/>
  <c r="AE24" i="6" s="1"/>
  <c r="H13" i="13"/>
  <c r="F137" i="11"/>
  <c r="F139" i="11" s="1"/>
  <c r="AH114" i="7"/>
  <c r="L114" i="7"/>
  <c r="G137" i="11"/>
  <c r="G139" i="11" s="1"/>
  <c r="T131" i="7"/>
  <c r="S73" i="13"/>
  <c r="G13" i="13"/>
  <c r="D4" i="13"/>
  <c r="AA137" i="11"/>
  <c r="AA139" i="11" s="1"/>
  <c r="J74" i="13"/>
  <c r="N11" i="14"/>
  <c r="N65" i="13"/>
  <c r="AF70" i="7"/>
  <c r="AB32" i="2"/>
  <c r="AB36" i="2" s="1"/>
  <c r="AB45" i="2" s="1"/>
  <c r="AB46" i="2" s="1"/>
  <c r="V70" i="7"/>
  <c r="L5" i="13"/>
  <c r="N5" i="13"/>
  <c r="AM47" i="7"/>
  <c r="G12" i="15"/>
  <c r="E58" i="13"/>
  <c r="AC53" i="11"/>
  <c r="AC78" i="11" s="1"/>
  <c r="T115" i="10"/>
  <c r="T148" i="10" s="1"/>
  <c r="AI23" i="6"/>
  <c r="AI24" i="6" s="1"/>
  <c r="AF114" i="7"/>
  <c r="I137" i="11"/>
  <c r="I139" i="11" s="1"/>
  <c r="AM131" i="7"/>
  <c r="I65" i="13"/>
  <c r="O137" i="11"/>
  <c r="O139" i="11" s="1"/>
  <c r="L58" i="13"/>
  <c r="I71" i="13"/>
  <c r="T6" i="13"/>
  <c r="AM70" i="7"/>
  <c r="K11" i="15"/>
  <c r="J137" i="11"/>
  <c r="J139" i="11" s="1"/>
  <c r="F5" i="13"/>
  <c r="AF21" i="10"/>
  <c r="AF22" i="10" s="1"/>
  <c r="N74" i="13"/>
  <c r="K53" i="11"/>
  <c r="K78" i="11" s="1"/>
  <c r="O32" i="2"/>
  <c r="L6" i="13"/>
  <c r="M4" i="13"/>
  <c r="H3" i="15"/>
  <c r="X114" i="7"/>
  <c r="Z21" i="10"/>
  <c r="Z22" i="10" s="1"/>
  <c r="N5" i="14"/>
  <c r="P23" i="6"/>
  <c r="P24" i="6" s="1"/>
  <c r="L13" i="13"/>
  <c r="Y23" i="6"/>
  <c r="Y24" i="6" s="1"/>
  <c r="P21" i="10"/>
  <c r="P22" i="10" s="1"/>
  <c r="E73" i="13"/>
  <c r="O30" i="13"/>
  <c r="R73" i="13"/>
  <c r="C74" i="13"/>
  <c r="Z137" i="11"/>
  <c r="Z139" i="11" s="1"/>
  <c r="R114" i="7"/>
  <c r="H5" i="13"/>
  <c r="X32" i="2"/>
  <c r="X36" i="2" s="1"/>
  <c r="X45" i="2" s="1"/>
  <c r="X46" i="2" s="1"/>
  <c r="D2" i="15"/>
  <c r="L47" i="7"/>
  <c r="S77" i="13"/>
  <c r="AJ115" i="10"/>
  <c r="AE53" i="11"/>
  <c r="AE78" i="11" s="1"/>
  <c r="AC137" i="11"/>
  <c r="AC139" i="11" s="1"/>
  <c r="K115" i="10"/>
  <c r="E70" i="7"/>
  <c r="M115" i="10"/>
  <c r="X30" i="13"/>
  <c r="H65" i="13"/>
  <c r="O47" i="7"/>
  <c r="AC115" i="10"/>
  <c r="U65" i="13"/>
  <c r="I11" i="15"/>
  <c r="AC21" i="10"/>
  <c r="AC22" i="10" s="1"/>
  <c r="Q74" i="13"/>
  <c r="P137" i="11"/>
  <c r="P139" i="11" s="1"/>
  <c r="AF131" i="7"/>
  <c r="I70" i="7"/>
  <c r="AE115" i="10"/>
  <c r="S8" i="13"/>
  <c r="U74" i="13"/>
  <c r="AM53" i="11"/>
  <c r="AM78" i="11" s="1"/>
  <c r="Z114" i="7"/>
  <c r="N23" i="6"/>
  <c r="N24" i="6" s="1"/>
  <c r="K6" i="13"/>
  <c r="H115" i="10"/>
  <c r="K131" i="7"/>
  <c r="P77" i="13"/>
  <c r="I5" i="13"/>
  <c r="P6" i="13"/>
  <c r="D74" i="13"/>
  <c r="R137" i="11"/>
  <c r="R139" i="11" s="1"/>
  <c r="AG133" i="7"/>
  <c r="AA53" i="11"/>
  <c r="AA78" i="11" s="1"/>
  <c r="J8" i="13"/>
  <c r="AK53" i="11"/>
  <c r="AK78" i="11" s="1"/>
  <c r="AA114" i="7"/>
  <c r="D53" i="11"/>
  <c r="D78" i="11" s="1"/>
  <c r="O115" i="10"/>
  <c r="V137" i="11"/>
  <c r="V139" i="11" s="1"/>
  <c r="T74" i="13"/>
  <c r="K32" i="2"/>
  <c r="K36" i="2" s="1"/>
  <c r="K45" i="2" s="1"/>
  <c r="K46" i="2" s="1"/>
  <c r="O4" i="13"/>
  <c r="L115" i="10"/>
  <c r="D6" i="13"/>
  <c r="M5" i="13"/>
  <c r="Y32" i="2"/>
  <c r="Y36" i="2" s="1"/>
  <c r="Y45" i="2" s="1"/>
  <c r="Y46" i="2" s="1"/>
  <c r="U137" i="11"/>
  <c r="U139" i="11" s="1"/>
  <c r="U8" i="13"/>
  <c r="K137" i="11"/>
  <c r="K139" i="11" s="1"/>
  <c r="AB114" i="7"/>
  <c r="F12" i="15"/>
  <c r="V53" i="11"/>
  <c r="V78" i="11" s="1"/>
  <c r="R21" i="10"/>
  <c r="R22" i="10" s="1"/>
  <c r="K30" i="13"/>
  <c r="AB30" i="13"/>
  <c r="T53" i="11"/>
  <c r="T78" i="11" s="1"/>
  <c r="E115" i="10"/>
  <c r="AM114" i="7"/>
  <c r="AL131" i="7"/>
  <c r="S115" i="10"/>
  <c r="S148" i="10" s="1"/>
  <c r="N15" i="14"/>
  <c r="O15" i="14" s="1"/>
  <c r="Q15" i="14" s="1"/>
  <c r="S53" i="11"/>
  <c r="S78" i="11" s="1"/>
  <c r="AC115" i="6"/>
  <c r="AJ131" i="7"/>
  <c r="I115" i="10"/>
  <c r="N53" i="11"/>
  <c r="N78" i="11" s="1"/>
  <c r="AK115" i="6"/>
  <c r="AC32" i="2"/>
  <c r="AC36" i="2" s="1"/>
  <c r="AC45" i="2" s="1"/>
  <c r="AC46" i="2" s="1"/>
  <c r="AG137" i="11"/>
  <c r="AG139" i="11" s="1"/>
  <c r="Y115" i="10"/>
  <c r="Y148" i="10" s="1"/>
  <c r="H30" i="13"/>
  <c r="AF137" i="11"/>
  <c r="AF139" i="11" s="1"/>
  <c r="AG115" i="6"/>
  <c r="N16" i="14"/>
  <c r="P16" i="14" s="1"/>
  <c r="X16" i="14" s="1"/>
  <c r="AJ21" i="10"/>
  <c r="AJ22" i="10" s="1"/>
  <c r="Y21" i="10"/>
  <c r="Y22" i="10" s="1"/>
  <c r="P115" i="6"/>
  <c r="AJ47" i="7"/>
  <c r="H115" i="6"/>
  <c r="W137" i="11"/>
  <c r="W139" i="11" s="1"/>
  <c r="D32" i="2"/>
  <c r="D36" i="2" s="1"/>
  <c r="D45" i="2" s="1"/>
  <c r="D46" i="2" s="1"/>
  <c r="AC30" i="13"/>
  <c r="X137" i="11"/>
  <c r="X139" i="11" s="1"/>
  <c r="D115" i="6"/>
  <c r="S131" i="7"/>
  <c r="T47" i="7"/>
  <c r="M114" i="7"/>
  <c r="C59" i="13"/>
  <c r="O70" i="7"/>
  <c r="N30" i="13"/>
  <c r="R6" i="13"/>
  <c r="H12" i="15"/>
  <c r="AM115" i="6"/>
  <c r="N13" i="14"/>
  <c r="O13" i="14" s="1"/>
  <c r="Q13" i="14" s="1"/>
  <c r="Y13" i="14" s="1"/>
  <c r="W13" i="14" s="1"/>
  <c r="N32" i="2"/>
  <c r="N36" i="2" s="1"/>
  <c r="N45" i="2" s="1"/>
  <c r="N46" i="2" s="1"/>
  <c r="I131" i="7"/>
  <c r="G115" i="10"/>
  <c r="D115" i="10"/>
  <c r="AB115" i="10"/>
  <c r="AB148" i="10" s="1"/>
  <c r="AD32" i="2"/>
  <c r="AD36" i="2" s="1"/>
  <c r="AD45" i="2" s="1"/>
  <c r="AD46" i="2" s="1"/>
  <c r="N22" i="14"/>
  <c r="Q72" i="13"/>
  <c r="AM137" i="11"/>
  <c r="AM139" i="11" s="1"/>
  <c r="AL53" i="11"/>
  <c r="AL78" i="11" s="1"/>
  <c r="D137" i="11"/>
  <c r="D139" i="11" s="1"/>
  <c r="X21" i="10"/>
  <c r="X22" i="10" s="1"/>
  <c r="AH30" i="13"/>
  <c r="AG53" i="11"/>
  <c r="AG78" i="11" s="1"/>
  <c r="P8" i="13"/>
  <c r="Y115" i="6"/>
  <c r="J115" i="10"/>
  <c r="E131" i="7"/>
  <c r="K5" i="13"/>
  <c r="M18" i="14"/>
  <c r="AD47" i="7"/>
  <c r="V115" i="10"/>
  <c r="V148" i="10" s="1"/>
  <c r="G74" i="13"/>
  <c r="W47" i="7"/>
  <c r="T5" i="13"/>
  <c r="M14" i="14"/>
  <c r="O14" i="14" s="1"/>
  <c r="N18" i="14"/>
  <c r="Z53" i="11"/>
  <c r="Z78" i="11" s="1"/>
  <c r="AI131" i="7"/>
  <c r="U115" i="10"/>
  <c r="U148" i="10" s="1"/>
  <c r="Q115" i="10"/>
  <c r="Q148" i="10" s="1"/>
  <c r="N115" i="6"/>
  <c r="AF115" i="10"/>
  <c r="M30" i="13"/>
  <c r="M34" i="13" s="1"/>
  <c r="L70" i="7"/>
  <c r="K65" i="13"/>
  <c r="K4" i="13"/>
  <c r="L21" i="10"/>
  <c r="D21" i="10"/>
  <c r="D22" i="10" s="1"/>
  <c r="Z115" i="6"/>
  <c r="AK115" i="10"/>
  <c r="AD114" i="7"/>
  <c r="V114" i="7"/>
  <c r="D12" i="15"/>
  <c r="N9" i="14"/>
  <c r="F47" i="7"/>
  <c r="L53" i="11"/>
  <c r="L78" i="11" s="1"/>
  <c r="AL70" i="7"/>
  <c r="R58" i="13"/>
  <c r="S47" i="7"/>
  <c r="U131" i="7"/>
  <c r="P30" i="13"/>
  <c r="Q23" i="6"/>
  <c r="P32" i="2"/>
  <c r="P36" i="2" s="1"/>
  <c r="P45" i="2" s="1"/>
  <c r="P46" i="2" s="1"/>
  <c r="P4" i="13"/>
  <c r="O58" i="13"/>
  <c r="P47" i="7"/>
  <c r="Q5" i="13"/>
  <c r="F3" i="15"/>
  <c r="V74" i="13"/>
  <c r="M72" i="14"/>
  <c r="X115" i="10"/>
  <c r="M23" i="6"/>
  <c r="L32" i="2"/>
  <c r="L36" i="2" s="1"/>
  <c r="L45" i="2" s="1"/>
  <c r="L46" i="2" s="1"/>
  <c r="L30" i="13"/>
  <c r="J65" i="13"/>
  <c r="K70" i="7"/>
  <c r="S5" i="13"/>
  <c r="F115" i="6"/>
  <c r="AB115" i="6"/>
  <c r="T30" i="13"/>
  <c r="U23" i="6"/>
  <c r="T4" i="13"/>
  <c r="I2" i="15"/>
  <c r="D30" i="13"/>
  <c r="U71" i="13"/>
  <c r="U77" i="13"/>
  <c r="E11" i="15"/>
  <c r="AL114" i="7"/>
  <c r="N56" i="14"/>
  <c r="W53" i="11"/>
  <c r="W78" i="11" s="1"/>
  <c r="V70" i="13"/>
  <c r="M68" i="14"/>
  <c r="O68" i="14" s="1"/>
  <c r="F23" i="6"/>
  <c r="E30" i="13"/>
  <c r="E32" i="2"/>
  <c r="E36" i="2" s="1"/>
  <c r="E45" i="2" s="1"/>
  <c r="E46" i="2" s="1"/>
  <c r="I32" i="2"/>
  <c r="I36" i="2" s="1"/>
  <c r="I45" i="2" s="1"/>
  <c r="I46" i="2" s="1"/>
  <c r="J23" i="6"/>
  <c r="I30" i="13"/>
  <c r="J53" i="11"/>
  <c r="J78" i="11" s="1"/>
  <c r="N47" i="7"/>
  <c r="M58" i="13"/>
  <c r="M22" i="14"/>
  <c r="G4" i="13"/>
  <c r="H21" i="10"/>
  <c r="F74" i="13"/>
  <c r="N70" i="7"/>
  <c r="E12" i="15"/>
  <c r="D47" i="7"/>
  <c r="M32" i="2"/>
  <c r="M36" i="2" s="1"/>
  <c r="M45" i="2" s="1"/>
  <c r="M46" i="2" s="1"/>
  <c r="V5" i="13"/>
  <c r="K3" i="15"/>
  <c r="J32" i="2"/>
  <c r="J36" i="2" s="1"/>
  <c r="J45" i="2" s="1"/>
  <c r="J46" i="2" s="1"/>
  <c r="K23" i="6"/>
  <c r="J30" i="13"/>
  <c r="H2" i="15"/>
  <c r="T21" i="10"/>
  <c r="V47" i="7"/>
  <c r="U58" i="13"/>
  <c r="AI32" i="2"/>
  <c r="AI36" i="2" s="1"/>
  <c r="AI45" i="2" s="1"/>
  <c r="AI46" i="2" s="1"/>
  <c r="AI30" i="13"/>
  <c r="AJ23" i="6"/>
  <c r="L131" i="7"/>
  <c r="V66" i="13"/>
  <c r="M64" i="14"/>
  <c r="O64" i="14" s="1"/>
  <c r="K114" i="7"/>
  <c r="J72" i="13"/>
  <c r="E8" i="13"/>
  <c r="AE137" i="11"/>
  <c r="AE139" i="11" s="1"/>
  <c r="M44" i="1"/>
  <c r="O44" i="1" s="1"/>
  <c r="O115" i="6"/>
  <c r="D77" i="13"/>
  <c r="D71" i="13"/>
  <c r="H23" i="6"/>
  <c r="G30" i="13"/>
  <c r="G32" i="2"/>
  <c r="G36" i="2" s="1"/>
  <c r="G45" i="2" s="1"/>
  <c r="G46" i="2" s="1"/>
  <c r="AA7" i="1"/>
  <c r="BI7" i="1" s="1"/>
  <c r="AF47" i="7"/>
  <c r="V8" i="13"/>
  <c r="AF53" i="11"/>
  <c r="AF78" i="11" s="1"/>
  <c r="J70" i="7"/>
  <c r="P73" i="13"/>
  <c r="Q131" i="7"/>
  <c r="AF24" i="6"/>
  <c r="T70" i="7"/>
  <c r="U47" i="7"/>
  <c r="T62" i="14"/>
  <c r="W115" i="6"/>
  <c r="V13" i="13"/>
  <c r="K5" i="15"/>
  <c r="M73" i="13"/>
  <c r="N131" i="7"/>
  <c r="M13" i="13"/>
  <c r="N115" i="10"/>
  <c r="D23" i="6"/>
  <c r="C30" i="13"/>
  <c r="C48" i="13" s="1"/>
  <c r="C51" i="13" s="1"/>
  <c r="C32" i="2"/>
  <c r="C36" i="2" s="1"/>
  <c r="C45" i="2" s="1"/>
  <c r="C46" i="2" s="1"/>
  <c r="C4" i="13"/>
  <c r="D114" i="7"/>
  <c r="C72" i="13"/>
  <c r="K115" i="6"/>
  <c r="L73" i="13"/>
  <c r="M131" i="7"/>
  <c r="R74" i="13"/>
  <c r="G73" i="13"/>
  <c r="H131" i="7"/>
  <c r="M9" i="14"/>
  <c r="K27" i="15"/>
  <c r="M11" i="14"/>
  <c r="AD21" i="10"/>
  <c r="S65" i="13"/>
  <c r="M47" i="7"/>
  <c r="S114" i="7"/>
  <c r="G114" i="7"/>
  <c r="F72" i="13"/>
  <c r="AL24" i="6"/>
  <c r="G58" i="13"/>
  <c r="H47" i="7"/>
  <c r="E13" i="13"/>
  <c r="F115" i="10"/>
  <c r="D73" i="13"/>
  <c r="E137" i="11"/>
  <c r="E139" i="11" s="1"/>
  <c r="S58" i="13"/>
  <c r="S115" i="6"/>
  <c r="R13" i="13"/>
  <c r="G5" i="15"/>
  <c r="U114" i="7"/>
  <c r="T72" i="13"/>
  <c r="O8" i="13"/>
  <c r="AE115" i="6"/>
  <c r="AJ53" i="11"/>
  <c r="AJ78" i="11" s="1"/>
  <c r="H114" i="7"/>
  <c r="AB53" i="11"/>
  <c r="AB78" i="11" s="1"/>
  <c r="D13" i="13"/>
  <c r="E115" i="6"/>
  <c r="Z47" i="7"/>
  <c r="J58" i="13"/>
  <c r="K47" i="7"/>
  <c r="R5" i="13"/>
  <c r="G3" i="15"/>
  <c r="AH53" i="11"/>
  <c r="AH78" i="11" s="1"/>
  <c r="T115" i="6"/>
  <c r="S13" i="13"/>
  <c r="H5" i="15"/>
  <c r="P65" i="13"/>
  <c r="Q70" i="7"/>
  <c r="V115" i="6"/>
  <c r="U13" i="13"/>
  <c r="D5" i="13"/>
  <c r="S72" i="13"/>
  <c r="T114" i="7"/>
  <c r="AA32" i="2"/>
  <c r="AA36" i="2" s="1"/>
  <c r="AA30" i="13"/>
  <c r="AB23" i="6"/>
  <c r="V72" i="13"/>
  <c r="W114" i="7"/>
  <c r="M70" i="14"/>
  <c r="O70" i="14" s="1"/>
  <c r="Q70" i="14" s="1"/>
  <c r="W30" i="13"/>
  <c r="W32" i="2"/>
  <c r="W36" i="2" s="1"/>
  <c r="F4" i="13"/>
  <c r="G21" i="10"/>
  <c r="AD115" i="10"/>
  <c r="E65" i="13"/>
  <c r="F70" i="7"/>
  <c r="Q73" i="13"/>
  <c r="R131" i="7"/>
  <c r="F65" i="13"/>
  <c r="G70" i="7"/>
  <c r="V59" i="13"/>
  <c r="E4" i="13"/>
  <c r="F21" i="10"/>
  <c r="V30" i="13"/>
  <c r="W23" i="6"/>
  <c r="V32" i="2"/>
  <c r="V36" i="2" s="1"/>
  <c r="V45" i="2" s="1"/>
  <c r="V46" i="2" s="1"/>
  <c r="K2" i="15"/>
  <c r="V4" i="13"/>
  <c r="P72" i="13"/>
  <c r="Q114" i="7"/>
  <c r="Q53" i="11"/>
  <c r="Q78" i="11" s="1"/>
  <c r="AI137" i="11"/>
  <c r="AI139" i="11" s="1"/>
  <c r="Z115" i="10"/>
  <c r="Z148" i="10" s="1"/>
  <c r="H32" i="2"/>
  <c r="H36" i="2" s="1"/>
  <c r="H45" i="2" s="1"/>
  <c r="H46" i="2" s="1"/>
  <c r="J5" i="13"/>
  <c r="I58" i="13"/>
  <c r="J47" i="7"/>
  <c r="M8" i="14"/>
  <c r="P5" i="13"/>
  <c r="E3" i="15"/>
  <c r="F131" i="7"/>
  <c r="E74" i="13"/>
  <c r="AI115" i="6"/>
  <c r="F73" i="13"/>
  <c r="G131" i="7"/>
  <c r="T8" i="13"/>
  <c r="X70" i="7"/>
  <c r="N72" i="13"/>
  <c r="O114" i="7"/>
  <c r="W115" i="10"/>
  <c r="W148" i="10" s="1"/>
  <c r="G47" i="7"/>
  <c r="E47" i="7"/>
  <c r="D58" i="13"/>
  <c r="U115" i="6"/>
  <c r="T13" i="13"/>
  <c r="I5" i="15"/>
  <c r="I72" i="13"/>
  <c r="J114" i="7"/>
  <c r="U21" i="10"/>
  <c r="G8" i="13"/>
  <c r="G65" i="13"/>
  <c r="H70" i="7"/>
  <c r="I4" i="13"/>
  <c r="J21" i="10"/>
  <c r="U5" i="13"/>
  <c r="S137" i="11"/>
  <c r="S139" i="11" s="1"/>
  <c r="Q8" i="13"/>
  <c r="AA47" i="7"/>
  <c r="J4" i="13"/>
  <c r="P70" i="7"/>
  <c r="O65" i="13"/>
  <c r="R30" i="13"/>
  <c r="S23" i="6"/>
  <c r="R32" i="2"/>
  <c r="R36" i="2" s="1"/>
  <c r="R45" i="2" s="1"/>
  <c r="R46" i="2" s="1"/>
  <c r="R4" i="13"/>
  <c r="G2" i="15"/>
  <c r="G4" i="15" s="1"/>
  <c r="Q137" i="11"/>
  <c r="Q139" i="11" s="1"/>
  <c r="F30" i="13"/>
  <c r="G23" i="6"/>
  <c r="F32" i="2"/>
  <c r="F36" i="2" s="1"/>
  <c r="F45" i="2" s="1"/>
  <c r="F46" i="2" s="1"/>
  <c r="E27" i="1"/>
  <c r="Y30" i="13"/>
  <c r="I6" i="13"/>
  <c r="N6" i="13"/>
  <c r="C8" i="13"/>
  <c r="V63" i="13"/>
  <c r="M61" i="14"/>
  <c r="O61" i="14" s="1"/>
  <c r="H58" i="13"/>
  <c r="I47" i="7"/>
  <c r="N73" i="13"/>
  <c r="O131" i="7"/>
  <c r="Q115" i="6"/>
  <c r="P13" i="13"/>
  <c r="E5" i="15"/>
  <c r="L4" i="13"/>
  <c r="M21" i="10"/>
  <c r="AF30" i="13"/>
  <c r="AG23" i="6"/>
  <c r="AF32" i="2"/>
  <c r="AF36" i="2" s="1"/>
  <c r="AF45" i="2" s="1"/>
  <c r="AF46" i="2" s="1"/>
  <c r="R115" i="6"/>
  <c r="Q13" i="13"/>
  <c r="F5" i="15"/>
  <c r="G115" i="6"/>
  <c r="D11" i="15"/>
  <c r="N12" i="14"/>
  <c r="L44" i="1"/>
  <c r="V61" i="13"/>
  <c r="M59" i="14"/>
  <c r="O59" i="14" s="1"/>
  <c r="I3" i="15"/>
  <c r="O71" i="13"/>
  <c r="O77" i="13"/>
  <c r="R115" i="10"/>
  <c r="R148" i="10" s="1"/>
  <c r="O74" i="13"/>
  <c r="S74" i="13"/>
  <c r="E72" i="13"/>
  <c r="F114" i="7"/>
  <c r="F53" i="11"/>
  <c r="F78" i="11" s="1"/>
  <c r="M53" i="11"/>
  <c r="M78" i="11" s="1"/>
  <c r="Q6" i="13"/>
  <c r="AA115" i="6"/>
  <c r="U73" i="13"/>
  <c r="V131" i="7"/>
  <c r="S70" i="7"/>
  <c r="R65" i="13"/>
  <c r="C5" i="13"/>
  <c r="D65" i="13"/>
  <c r="Z30" i="13"/>
  <c r="Z34" i="13" s="1"/>
  <c r="Z32" i="2"/>
  <c r="Z36" i="2" s="1"/>
  <c r="Z45" i="2" s="1"/>
  <c r="Z46" i="2" s="1"/>
  <c r="AA23" i="6"/>
  <c r="D6" i="15"/>
  <c r="X6" i="15" s="1"/>
  <c r="AA6" i="15" s="1"/>
  <c r="AC6" i="15" s="1"/>
  <c r="M72" i="13"/>
  <c r="N114" i="7"/>
  <c r="AL30" i="13"/>
  <c r="AL32" i="2"/>
  <c r="AL36" i="2" s="1"/>
  <c r="AL45" i="2" s="1"/>
  <c r="AL46" i="2" s="1"/>
  <c r="AM23" i="6"/>
  <c r="Q58" i="13"/>
  <c r="R47" i="7"/>
  <c r="L115" i="6"/>
  <c r="O72" i="13"/>
  <c r="P114" i="7"/>
  <c r="D70" i="7"/>
  <c r="C65" i="13"/>
  <c r="W131" i="7"/>
  <c r="V73" i="13"/>
  <c r="P53" i="11"/>
  <c r="P78" i="11" s="1"/>
  <c r="J115" i="6"/>
  <c r="N6" i="14"/>
  <c r="J2" i="15"/>
  <c r="V21" i="10"/>
  <c r="AH32" i="2"/>
  <c r="AH36" i="2" s="1"/>
  <c r="AH45" i="2" s="1"/>
  <c r="AH46" i="2" s="1"/>
  <c r="V58" i="13"/>
  <c r="Q32" i="2"/>
  <c r="Q36" i="2" s="1"/>
  <c r="Q45" i="2" s="1"/>
  <c r="Q46" i="2" s="1"/>
  <c r="R23" i="6"/>
  <c r="Q30" i="13"/>
  <c r="Q4" i="13"/>
  <c r="F2" i="15"/>
  <c r="AD30" i="13"/>
  <c r="AI53" i="11"/>
  <c r="AI78" i="11" s="1"/>
  <c r="H73" i="13"/>
  <c r="AD115" i="6"/>
  <c r="Q65" i="13"/>
  <c r="R70" i="7"/>
  <c r="Q47" i="7"/>
  <c r="E71" i="13"/>
  <c r="E77" i="13"/>
  <c r="I115" i="6"/>
  <c r="G53" i="11"/>
  <c r="G78" i="11" s="1"/>
  <c r="N10" i="14"/>
  <c r="AI114" i="7"/>
  <c r="J27" i="15"/>
  <c r="K12" i="15"/>
  <c r="T137" i="11"/>
  <c r="T139" i="11" s="1"/>
  <c r="D5" i="15"/>
  <c r="P115" i="10"/>
  <c r="P148" i="10" s="1"/>
  <c r="AK23" i="6"/>
  <c r="AJ30" i="13"/>
  <c r="AJ32" i="2"/>
  <c r="AJ36" i="2" s="1"/>
  <c r="AJ45" i="2" s="1"/>
  <c r="AJ46" i="2" s="1"/>
  <c r="AJ115" i="6"/>
  <c r="H4" i="13"/>
  <c r="I21" i="10"/>
  <c r="E2" i="15"/>
  <c r="Q21" i="10"/>
  <c r="M7" i="14"/>
  <c r="O21" i="10"/>
  <c r="E114" i="7"/>
  <c r="D72" i="13"/>
  <c r="D131" i="7"/>
  <c r="C73" i="13"/>
  <c r="L65" i="13"/>
  <c r="M70" i="7"/>
  <c r="O73" i="13"/>
  <c r="P131" i="7"/>
  <c r="AC114" i="7"/>
  <c r="U32" i="2"/>
  <c r="U36" i="2" s="1"/>
  <c r="U45" i="2" s="1"/>
  <c r="U46" i="2" s="1"/>
  <c r="V23" i="6"/>
  <c r="U30" i="13"/>
  <c r="U4" i="13"/>
  <c r="M27" i="1"/>
  <c r="AC131" i="7"/>
  <c r="H71" i="13"/>
  <c r="H77" i="13"/>
  <c r="H72" i="13"/>
  <c r="I114" i="7"/>
  <c r="I73" i="13"/>
  <c r="J131" i="7"/>
  <c r="O5" i="13"/>
  <c r="I53" i="11"/>
  <c r="I78" i="11" s="1"/>
  <c r="M10" i="14"/>
  <c r="AB21" i="10"/>
  <c r="W21" i="10"/>
  <c r="AC47" i="7"/>
  <c r="L27" i="1"/>
  <c r="AA6" i="1" s="1"/>
  <c r="BI6" i="1" s="1"/>
  <c r="J12" i="15"/>
  <c r="M71" i="13"/>
  <c r="M77" i="13"/>
  <c r="J77" i="13"/>
  <c r="J71" i="13"/>
  <c r="V65" i="13"/>
  <c r="W70" i="7"/>
  <c r="M63" i="14"/>
  <c r="M8" i="13"/>
  <c r="O53" i="11"/>
  <c r="O78" i="11" s="1"/>
  <c r="F13" i="13"/>
  <c r="M115" i="6"/>
  <c r="O13" i="13"/>
  <c r="T23" i="6"/>
  <c r="S30" i="13"/>
  <c r="S4" i="13"/>
  <c r="T73" i="13"/>
  <c r="D138" i="1"/>
  <c r="D139" i="1"/>
  <c r="E19" i="1"/>
  <c r="E138" i="1"/>
  <c r="E66" i="1"/>
  <c r="H66" i="1" s="1"/>
  <c r="G65" i="1"/>
  <c r="H13" i="1"/>
  <c r="H15" i="1"/>
  <c r="AE84" i="13" l="1"/>
  <c r="AF1" i="3"/>
  <c r="AI1" i="3"/>
  <c r="AU82" i="6"/>
  <c r="AU45" i="6"/>
  <c r="S17" i="15"/>
  <c r="S15" i="15" s="1"/>
  <c r="AD7" i="13"/>
  <c r="P13" i="15"/>
  <c r="Y13" i="15" s="1"/>
  <c r="AU115" i="6"/>
  <c r="AU23" i="6"/>
  <c r="S4" i="15"/>
  <c r="J4" i="15"/>
  <c r="F4" i="15"/>
  <c r="E10" i="20"/>
  <c r="G10" i="20" s="1"/>
  <c r="O10" i="20" s="1"/>
  <c r="N10" i="20" s="1"/>
  <c r="F14" i="20"/>
  <c r="H14" i="20" s="1"/>
  <c r="AT81" i="10"/>
  <c r="E7" i="20"/>
  <c r="G7" i="20" s="1"/>
  <c r="AT43" i="10"/>
  <c r="G16" i="20"/>
  <c r="O16" i="20" s="1"/>
  <c r="Y47" i="7"/>
  <c r="Y72" i="7" s="1"/>
  <c r="AL118" i="6"/>
  <c r="H4" i="15"/>
  <c r="L73" i="1"/>
  <c r="M73" i="1"/>
  <c r="O73" i="1" s="1"/>
  <c r="O5" i="15"/>
  <c r="X5" i="15" s="1"/>
  <c r="AA5" i="15" s="1"/>
  <c r="AA1" i="3"/>
  <c r="Z84" i="13"/>
  <c r="D4" i="15"/>
  <c r="E4" i="15"/>
  <c r="K4" i="15"/>
  <c r="H68" i="1"/>
  <c r="M92" i="1"/>
  <c r="O92" i="1" s="1"/>
  <c r="L87" i="1"/>
  <c r="M111" i="1"/>
  <c r="O111" i="1" s="1"/>
  <c r="M87" i="1"/>
  <c r="O87" i="1" s="1"/>
  <c r="M96" i="1"/>
  <c r="M99" i="1" s="1"/>
  <c r="R4" i="15"/>
  <c r="L4" i="15"/>
  <c r="R17" i="15"/>
  <c r="R15" i="15" s="1"/>
  <c r="AC7" i="13"/>
  <c r="N4" i="15"/>
  <c r="AK11" i="7"/>
  <c r="AA148" i="6"/>
  <c r="O17" i="15"/>
  <c r="M110" i="1"/>
  <c r="O110" i="1" s="1"/>
  <c r="AK121" i="7"/>
  <c r="M104" i="1"/>
  <c r="O104" i="1" s="1"/>
  <c r="M105" i="1"/>
  <c r="O105" i="1" s="1"/>
  <c r="I4" i="15"/>
  <c r="M4" i="15"/>
  <c r="Y2" i="15"/>
  <c r="AB2" i="15" s="1"/>
  <c r="Q4" i="15"/>
  <c r="O4" i="15"/>
  <c r="F69" i="18"/>
  <c r="H69" i="18" s="1"/>
  <c r="J69" i="18" s="1"/>
  <c r="F70" i="20"/>
  <c r="H70" i="20" s="1"/>
  <c r="J70" i="20" s="1"/>
  <c r="K70" i="20" s="1"/>
  <c r="G66" i="1"/>
  <c r="Y3" i="15"/>
  <c r="AB3" i="15" s="1"/>
  <c r="AA45" i="2"/>
  <c r="AA46" i="2" s="1"/>
  <c r="AM94" i="10"/>
  <c r="AK29" i="7"/>
  <c r="AK112" i="7"/>
  <c r="Y5" i="15"/>
  <c r="AB5" i="15" s="1"/>
  <c r="L51" i="1"/>
  <c r="P51" i="1" s="1"/>
  <c r="H61" i="1"/>
  <c r="Q17" i="15"/>
  <c r="Q15" i="15" s="1"/>
  <c r="AB7" i="13"/>
  <c r="Z6" i="13"/>
  <c r="L11" i="1" s="1"/>
  <c r="AM19" i="10"/>
  <c r="AI21" i="10"/>
  <c r="AI22" i="10" s="1"/>
  <c r="AM112" i="10"/>
  <c r="AM88" i="10"/>
  <c r="AM124" i="10"/>
  <c r="AM11" i="10"/>
  <c r="F61" i="20"/>
  <c r="H61" i="20" s="1"/>
  <c r="J61" i="20" s="1"/>
  <c r="K61" i="20" s="1"/>
  <c r="F60" i="18"/>
  <c r="H60" i="18" s="1"/>
  <c r="J60" i="18" s="1"/>
  <c r="K60" i="18" s="1"/>
  <c r="Z5" i="13"/>
  <c r="L9" i="1" s="1"/>
  <c r="G114" i="1"/>
  <c r="G100" i="1"/>
  <c r="F65" i="1"/>
  <c r="F13" i="1"/>
  <c r="F100" i="1"/>
  <c r="R70" i="14"/>
  <c r="X34" i="1"/>
  <c r="AK94" i="7"/>
  <c r="N21" i="18"/>
  <c r="AM56" i="10"/>
  <c r="AK101" i="7"/>
  <c r="AK129" i="7"/>
  <c r="AM81" i="10"/>
  <c r="F114" i="1"/>
  <c r="AM43" i="10"/>
  <c r="AK56" i="7"/>
  <c r="C12" i="16"/>
  <c r="E29" i="16"/>
  <c r="AM103" i="10"/>
  <c r="Z13" i="13"/>
  <c r="AM70" i="10"/>
  <c r="AM29" i="10"/>
  <c r="AK63" i="7"/>
  <c r="AK40" i="7"/>
  <c r="N13" i="15"/>
  <c r="AE72" i="7"/>
  <c r="AA21" i="10"/>
  <c r="AA22" i="10" s="1"/>
  <c r="Z4" i="13"/>
  <c r="L8" i="1" s="1"/>
  <c r="AT124" i="10"/>
  <c r="O13" i="15"/>
  <c r="AF118" i="6"/>
  <c r="AG118" i="10"/>
  <c r="AG119" i="10" s="1"/>
  <c r="AI115" i="10"/>
  <c r="AA115" i="10"/>
  <c r="AA148" i="10" s="1"/>
  <c r="P17" i="15"/>
  <c r="AA7" i="13"/>
  <c r="AG72" i="7"/>
  <c r="AG135" i="7" s="1"/>
  <c r="D56" i="1"/>
  <c r="H56" i="1" s="1"/>
  <c r="F51" i="1"/>
  <c r="F56" i="1" s="1"/>
  <c r="H51" i="1"/>
  <c r="L17" i="15"/>
  <c r="X148" i="10"/>
  <c r="R1" i="6"/>
  <c r="R148" i="6"/>
  <c r="S1" i="6"/>
  <c r="S148" i="6"/>
  <c r="V1" i="6"/>
  <c r="V148" i="6"/>
  <c r="W1" i="6"/>
  <c r="W148" i="6"/>
  <c r="P1" i="6"/>
  <c r="P148" i="6"/>
  <c r="X1" i="6"/>
  <c r="X148" i="6"/>
  <c r="Q1" i="6"/>
  <c r="Q148" i="6"/>
  <c r="Z1" i="6"/>
  <c r="Z148" i="6"/>
  <c r="Y1" i="6"/>
  <c r="Y148" i="6"/>
  <c r="U1" i="6"/>
  <c r="U148" i="6"/>
  <c r="T1" i="6"/>
  <c r="T148" i="6"/>
  <c r="X2" i="15"/>
  <c r="AA2" i="15" s="1"/>
  <c r="X3" i="15"/>
  <c r="AA3" i="15" s="1"/>
  <c r="X27" i="15"/>
  <c r="AL118" i="10"/>
  <c r="AL127" i="10" s="1"/>
  <c r="AL135" i="10" s="1"/>
  <c r="AS23" i="6"/>
  <c r="AT23" i="6"/>
  <c r="AT24" i="6" s="1"/>
  <c r="BI8" i="1"/>
  <c r="BI12" i="1" s="1"/>
  <c r="M59" i="18"/>
  <c r="AL22" i="10"/>
  <c r="AH118" i="10"/>
  <c r="AH119" i="10" s="1"/>
  <c r="M74" i="14"/>
  <c r="O72" i="14"/>
  <c r="Q72" i="14" s="1"/>
  <c r="AK48" i="13"/>
  <c r="G41" i="1"/>
  <c r="G47" i="1" s="1"/>
  <c r="E47" i="1"/>
  <c r="E48" i="1" s="1"/>
  <c r="F41" i="1"/>
  <c r="F47" i="1" s="1"/>
  <c r="H41" i="1"/>
  <c r="D47" i="1"/>
  <c r="D48" i="1" s="1"/>
  <c r="N41" i="1"/>
  <c r="P41" i="1"/>
  <c r="M66" i="18"/>
  <c r="F72" i="20"/>
  <c r="H72" i="20" s="1"/>
  <c r="J72" i="20" s="1"/>
  <c r="K72" i="20" s="1"/>
  <c r="L13" i="15"/>
  <c r="AK43" i="13"/>
  <c r="AK44" i="13" s="1"/>
  <c r="F71" i="18"/>
  <c r="H71" i="18" s="1"/>
  <c r="J71" i="18" s="1"/>
  <c r="K71" i="18" s="1"/>
  <c r="N17" i="15"/>
  <c r="Y7" i="13"/>
  <c r="M13" i="15"/>
  <c r="F62" i="18"/>
  <c r="H62" i="18" s="1"/>
  <c r="J62" i="18" s="1"/>
  <c r="K62" i="18" s="1"/>
  <c r="J13" i="15"/>
  <c r="G12" i="20"/>
  <c r="O12" i="20" s="1"/>
  <c r="N12" i="20" s="1"/>
  <c r="AK53" i="13"/>
  <c r="Y78" i="11"/>
  <c r="Y141" i="11" s="1"/>
  <c r="F55" i="18"/>
  <c r="AA133" i="7"/>
  <c r="AD72" i="7"/>
  <c r="AE53" i="13"/>
  <c r="Y133" i="7"/>
  <c r="F6" i="20"/>
  <c r="H6" i="20" s="1"/>
  <c r="P6" i="20" s="1"/>
  <c r="N6" i="20" s="1"/>
  <c r="F18" i="20"/>
  <c r="H18" i="20" s="1"/>
  <c r="P18" i="20" s="1"/>
  <c r="N18" i="20" s="1"/>
  <c r="G55" i="18"/>
  <c r="M17" i="20"/>
  <c r="F63" i="20"/>
  <c r="H63" i="20" s="1"/>
  <c r="J63" i="20" s="1"/>
  <c r="K63" i="20" s="1"/>
  <c r="F9" i="20"/>
  <c r="F71" i="20"/>
  <c r="H71" i="20" s="1"/>
  <c r="J71" i="20" s="1"/>
  <c r="K71" i="20" s="1"/>
  <c r="F5" i="20"/>
  <c r="Z9" i="14"/>
  <c r="M66" i="20"/>
  <c r="M62" i="20"/>
  <c r="X78" i="11"/>
  <c r="X141" i="11" s="1"/>
  <c r="M13" i="20"/>
  <c r="P13" i="20"/>
  <c r="N13" i="20" s="1"/>
  <c r="D74" i="20"/>
  <c r="F10" i="20"/>
  <c r="P14" i="20"/>
  <c r="N14" i="20" s="1"/>
  <c r="X118" i="6"/>
  <c r="X24" i="6"/>
  <c r="H9" i="20"/>
  <c r="P9" i="20" s="1"/>
  <c r="Q9" i="20"/>
  <c r="G11" i="20"/>
  <c r="O11" i="20" s="1"/>
  <c r="N11" i="20" s="1"/>
  <c r="F11" i="20"/>
  <c r="F16" i="20"/>
  <c r="F12" i="20"/>
  <c r="M64" i="20"/>
  <c r="M15" i="20"/>
  <c r="P15" i="20"/>
  <c r="N15" i="20" s="1"/>
  <c r="F22" i="20"/>
  <c r="G8" i="20"/>
  <c r="O8" i="20" s="1"/>
  <c r="N8" i="20" s="1"/>
  <c r="F8" i="20"/>
  <c r="H68" i="20"/>
  <c r="J68" i="20" s="1"/>
  <c r="K68" i="20" s="1"/>
  <c r="N74" i="14"/>
  <c r="M60" i="20"/>
  <c r="M59" i="20"/>
  <c r="M67" i="20"/>
  <c r="H58" i="20"/>
  <c r="J58" i="20" s="1"/>
  <c r="K58" i="20" s="1"/>
  <c r="F56" i="20"/>
  <c r="E74" i="20"/>
  <c r="G56" i="20"/>
  <c r="H57" i="20"/>
  <c r="J57" i="20" s="1"/>
  <c r="K57" i="20" s="1"/>
  <c r="P7" i="14"/>
  <c r="X7" i="13"/>
  <c r="M17" i="15"/>
  <c r="O36" i="2"/>
  <c r="O45" i="2" s="1"/>
  <c r="O46" i="2" s="1"/>
  <c r="X16" i="2"/>
  <c r="Y16" i="2" s="1"/>
  <c r="Y9" i="14"/>
  <c r="AE15" i="13"/>
  <c r="AH118" i="6"/>
  <c r="AH119" i="6" s="1"/>
  <c r="L89" i="1"/>
  <c r="N89" i="1" s="1"/>
  <c r="L103" i="1"/>
  <c r="P103" i="1" s="1"/>
  <c r="L97" i="1"/>
  <c r="P97" i="1" s="1"/>
  <c r="AX44" i="6"/>
  <c r="M61" i="18"/>
  <c r="AJ72" i="7"/>
  <c r="AA72" i="7"/>
  <c r="O56" i="14"/>
  <c r="P10" i="14"/>
  <c r="X10" i="14" s="1"/>
  <c r="W10" i="14" s="1"/>
  <c r="E73" i="18"/>
  <c r="AX45" i="6"/>
  <c r="AG34" i="13"/>
  <c r="AG15" i="13" s="1"/>
  <c r="AX43" i="6"/>
  <c r="H57" i="18"/>
  <c r="J57" i="18" s="1"/>
  <c r="K57" i="18" s="1"/>
  <c r="AH133" i="7"/>
  <c r="AX41" i="10"/>
  <c r="L92" i="1"/>
  <c r="AX42" i="10"/>
  <c r="O71" i="14"/>
  <c r="Q71" i="14" s="1"/>
  <c r="M56" i="18"/>
  <c r="L88" i="1"/>
  <c r="N88" i="1" s="1"/>
  <c r="N93" i="1"/>
  <c r="AE118" i="10"/>
  <c r="AE119" i="10" s="1"/>
  <c r="AY43" i="6"/>
  <c r="AW42" i="10"/>
  <c r="F70" i="18"/>
  <c r="H70" i="18" s="1"/>
  <c r="J70" i="18" s="1"/>
  <c r="K70" i="18" s="1"/>
  <c r="L90" i="1"/>
  <c r="N90" i="1" s="1"/>
  <c r="P8" i="14"/>
  <c r="X8" i="14" s="1"/>
  <c r="W8" i="14" s="1"/>
  <c r="O8" i="14"/>
  <c r="P11" i="14"/>
  <c r="X11" i="14" s="1"/>
  <c r="W11" i="14" s="1"/>
  <c r="AT115" i="6"/>
  <c r="H58" i="18"/>
  <c r="J58" i="18" s="1"/>
  <c r="K58" i="18" s="1"/>
  <c r="M1" i="14"/>
  <c r="D73" i="18"/>
  <c r="H67" i="18"/>
  <c r="J67" i="18" s="1"/>
  <c r="K67" i="18" s="1"/>
  <c r="M63" i="18"/>
  <c r="J63" i="18"/>
  <c r="K63" i="18" s="1"/>
  <c r="N118" i="10"/>
  <c r="N127" i="10" s="1"/>
  <c r="AX43" i="10"/>
  <c r="AS115" i="10"/>
  <c r="AW43" i="10"/>
  <c r="AW41" i="10"/>
  <c r="F22" i="18"/>
  <c r="W7" i="13"/>
  <c r="AY44" i="6"/>
  <c r="AY45" i="6"/>
  <c r="AS115" i="6"/>
  <c r="H5" i="18"/>
  <c r="Q5" i="18"/>
  <c r="AA34" i="13"/>
  <c r="AA15" i="13" s="1"/>
  <c r="AA48" i="13"/>
  <c r="AA51" i="13" s="1"/>
  <c r="J34" i="13"/>
  <c r="J15" i="13" s="1"/>
  <c r="J48" i="13"/>
  <c r="J51" i="13" s="1"/>
  <c r="AJ34" i="13"/>
  <c r="AJ53" i="13" s="1"/>
  <c r="AJ48" i="13"/>
  <c r="R34" i="13"/>
  <c r="R15" i="13" s="1"/>
  <c r="R48" i="13"/>
  <c r="R51" i="13" s="1"/>
  <c r="E34" i="13"/>
  <c r="E15" i="13" s="1"/>
  <c r="E48" i="13"/>
  <c r="E51" i="13" s="1"/>
  <c r="L34" i="13"/>
  <c r="L15" i="13" s="1"/>
  <c r="L48" i="13"/>
  <c r="L51" i="13" s="1"/>
  <c r="AB34" i="13"/>
  <c r="AB48" i="13"/>
  <c r="AB51" i="13" s="1"/>
  <c r="Y34" i="13"/>
  <c r="Y35" i="13" s="1"/>
  <c r="Y48" i="13"/>
  <c r="Y51" i="13" s="1"/>
  <c r="V34" i="13"/>
  <c r="V35" i="13" s="1"/>
  <c r="V48" i="13"/>
  <c r="V51" i="13" s="1"/>
  <c r="D34" i="13"/>
  <c r="D15" i="13" s="1"/>
  <c r="D48" i="13"/>
  <c r="D51" i="13" s="1"/>
  <c r="P34" i="13"/>
  <c r="P43" i="13" s="1"/>
  <c r="P44" i="13" s="1"/>
  <c r="P48" i="13"/>
  <c r="P51" i="13" s="1"/>
  <c r="N34" i="13"/>
  <c r="N43" i="13" s="1"/>
  <c r="N44" i="13" s="1"/>
  <c r="N48" i="13"/>
  <c r="N51" i="13" s="1"/>
  <c r="K34" i="13"/>
  <c r="K43" i="13" s="1"/>
  <c r="K44" i="13" s="1"/>
  <c r="K48" i="13"/>
  <c r="K51" i="13" s="1"/>
  <c r="X34" i="13"/>
  <c r="X35" i="13" s="1"/>
  <c r="X48" i="13"/>
  <c r="X51" i="13" s="1"/>
  <c r="P23" i="1"/>
  <c r="N23" i="1"/>
  <c r="X6" i="1" s="1"/>
  <c r="BF6" i="1" s="1"/>
  <c r="G34" i="13"/>
  <c r="G43" i="13" s="1"/>
  <c r="G44" i="13" s="1"/>
  <c r="G48" i="13"/>
  <c r="G51" i="13" s="1"/>
  <c r="Z48" i="13"/>
  <c r="Z51" i="13" s="1"/>
  <c r="U34" i="13"/>
  <c r="U43" i="13" s="1"/>
  <c r="U44" i="13" s="1"/>
  <c r="U48" i="13"/>
  <c r="U51" i="13" s="1"/>
  <c r="AI34" i="13"/>
  <c r="AI53" i="13" s="1"/>
  <c r="AI48" i="13"/>
  <c r="W34" i="13"/>
  <c r="W15" i="13" s="1"/>
  <c r="W48" i="13"/>
  <c r="W51" i="13" s="1"/>
  <c r="T34" i="13"/>
  <c r="T15" i="13" s="1"/>
  <c r="T48" i="13"/>
  <c r="T51" i="13" s="1"/>
  <c r="F34" i="13"/>
  <c r="F15" i="13" s="1"/>
  <c r="F48" i="13"/>
  <c r="F51" i="13" s="1"/>
  <c r="W45" i="2"/>
  <c r="W46" i="2" s="1"/>
  <c r="O34" i="13"/>
  <c r="O15" i="13" s="1"/>
  <c r="O48" i="13"/>
  <c r="S34" i="13"/>
  <c r="S43" i="13" s="1"/>
  <c r="S44" i="13" s="1"/>
  <c r="S48" i="13"/>
  <c r="S51" i="13" s="1"/>
  <c r="AD34" i="13"/>
  <c r="AD15" i="13" s="1"/>
  <c r="AD48" i="13"/>
  <c r="AL34" i="13"/>
  <c r="AL43" i="13" s="1"/>
  <c r="AL44" i="13" s="1"/>
  <c r="AL48" i="13"/>
  <c r="I34" i="13"/>
  <c r="I15" i="13" s="1"/>
  <c r="I48" i="13"/>
  <c r="I51" i="13" s="1"/>
  <c r="AH34" i="13"/>
  <c r="AH43" i="13" s="1"/>
  <c r="AH44" i="13" s="1"/>
  <c r="AH48" i="13"/>
  <c r="H34" i="13"/>
  <c r="H15" i="13" s="1"/>
  <c r="H48" i="13"/>
  <c r="H51" i="13" s="1"/>
  <c r="AC34" i="13"/>
  <c r="AC43" i="13" s="1"/>
  <c r="AC44" i="13" s="1"/>
  <c r="AC48" i="13"/>
  <c r="Q34" i="13"/>
  <c r="Q35" i="13" s="1"/>
  <c r="Q48" i="13"/>
  <c r="Q51" i="13" s="1"/>
  <c r="AF34" i="13"/>
  <c r="AF53" i="13" s="1"/>
  <c r="AF48" i="13"/>
  <c r="M43" i="13"/>
  <c r="M44" i="13" s="1"/>
  <c r="M48" i="13"/>
  <c r="M51" i="13" s="1"/>
  <c r="L105" i="1"/>
  <c r="L104" i="1"/>
  <c r="N104" i="1" s="1"/>
  <c r="O63" i="14"/>
  <c r="Q63" i="14" s="1"/>
  <c r="V57" i="14"/>
  <c r="S57" i="14"/>
  <c r="S66" i="14"/>
  <c r="T66" i="14" s="1"/>
  <c r="V66" i="14"/>
  <c r="V33" i="1"/>
  <c r="W33" i="1" s="1"/>
  <c r="P56" i="14"/>
  <c r="R56" i="14" s="1"/>
  <c r="S60" i="14"/>
  <c r="T60" i="14" s="1"/>
  <c r="S58" i="14"/>
  <c r="T58" i="14" s="1"/>
  <c r="AA8" i="1"/>
  <c r="AA12" i="1" s="1"/>
  <c r="L96" i="1"/>
  <c r="P102" i="1"/>
  <c r="V67" i="14"/>
  <c r="G141" i="11"/>
  <c r="L110" i="1"/>
  <c r="N110" i="1" s="1"/>
  <c r="P108" i="1"/>
  <c r="L111" i="1"/>
  <c r="N111" i="1" s="1"/>
  <c r="AC118" i="6"/>
  <c r="P91" i="1"/>
  <c r="AI118" i="6"/>
  <c r="AI127" i="6" s="1"/>
  <c r="Z72" i="7"/>
  <c r="K118" i="10"/>
  <c r="K119" i="10" s="1"/>
  <c r="AE141" i="11"/>
  <c r="Z133" i="7"/>
  <c r="U72" i="7"/>
  <c r="T133" i="7"/>
  <c r="AH141" i="11"/>
  <c r="AE133" i="7"/>
  <c r="X72" i="7"/>
  <c r="E118" i="6"/>
  <c r="E127" i="6" s="1"/>
  <c r="Z118" i="6"/>
  <c r="I13" i="15"/>
  <c r="I133" i="7"/>
  <c r="L118" i="6"/>
  <c r="L127" i="6" s="1"/>
  <c r="X133" i="7"/>
  <c r="AI72" i="7"/>
  <c r="AD118" i="6"/>
  <c r="AC72" i="7"/>
  <c r="H7" i="13"/>
  <c r="R118" i="10"/>
  <c r="R119" i="10" s="1"/>
  <c r="I72" i="7"/>
  <c r="O118" i="6"/>
  <c r="O127" i="6" s="1"/>
  <c r="AB133" i="7"/>
  <c r="Z118" i="10"/>
  <c r="Z119" i="10" s="1"/>
  <c r="AJ141" i="11"/>
  <c r="O16" i="14"/>
  <c r="S133" i="7"/>
  <c r="W72" i="7"/>
  <c r="AL72" i="7"/>
  <c r="H13" i="15"/>
  <c r="AG127" i="10"/>
  <c r="AG135" i="10" s="1"/>
  <c r="G13" i="15"/>
  <c r="AM133" i="7"/>
  <c r="AJ133" i="7"/>
  <c r="F13" i="15"/>
  <c r="AD141" i="11"/>
  <c r="D13" i="15"/>
  <c r="AK118" i="10"/>
  <c r="AK127" i="10" s="1"/>
  <c r="AK135" i="10" s="1"/>
  <c r="AK136" i="10" s="1"/>
  <c r="T141" i="11"/>
  <c r="M11" i="1"/>
  <c r="O11" i="1" s="1"/>
  <c r="U133" i="7"/>
  <c r="T7" i="13"/>
  <c r="S118" i="10"/>
  <c r="S127" i="10" s="1"/>
  <c r="G7" i="13"/>
  <c r="F141" i="11"/>
  <c r="AF133" i="7"/>
  <c r="AH72" i="7"/>
  <c r="AI141" i="11"/>
  <c r="AI133" i="7"/>
  <c r="W133" i="7"/>
  <c r="F133" i="7"/>
  <c r="H141" i="11"/>
  <c r="AB72" i="7"/>
  <c r="M7" i="13"/>
  <c r="V141" i="11"/>
  <c r="L72" i="7"/>
  <c r="AF72" i="7"/>
  <c r="J7" i="13"/>
  <c r="K133" i="7"/>
  <c r="E133" i="7"/>
  <c r="AB141" i="11"/>
  <c r="L133" i="7"/>
  <c r="I141" i="11"/>
  <c r="Y118" i="6"/>
  <c r="P118" i="6"/>
  <c r="P127" i="6" s="1"/>
  <c r="K13" i="15"/>
  <c r="AE118" i="6"/>
  <c r="AF118" i="10"/>
  <c r="AF119" i="10" s="1"/>
  <c r="O22" i="14"/>
  <c r="AD133" i="7"/>
  <c r="O5" i="14"/>
  <c r="E118" i="10"/>
  <c r="E119" i="10" s="1"/>
  <c r="I7" i="13"/>
  <c r="N141" i="11"/>
  <c r="L7" i="13"/>
  <c r="P141" i="11"/>
  <c r="R133" i="7"/>
  <c r="K72" i="7"/>
  <c r="V72" i="7"/>
  <c r="U2" i="13" s="1"/>
  <c r="Q72" i="7"/>
  <c r="AM72" i="7"/>
  <c r="AC118" i="10"/>
  <c r="AC127" i="10" s="1"/>
  <c r="AJ118" i="10"/>
  <c r="AJ127" i="10" s="1"/>
  <c r="AJ135" i="10" s="1"/>
  <c r="C7" i="13"/>
  <c r="U141" i="11"/>
  <c r="N118" i="6"/>
  <c r="N119" i="6" s="1"/>
  <c r="V133" i="7"/>
  <c r="N133" i="7"/>
  <c r="AK141" i="11"/>
  <c r="K141" i="11"/>
  <c r="D141" i="11"/>
  <c r="P118" i="10"/>
  <c r="P119" i="10" s="1"/>
  <c r="S141" i="11"/>
  <c r="AM141" i="11"/>
  <c r="P133" i="7"/>
  <c r="R72" i="7"/>
  <c r="AC141" i="11"/>
  <c r="H72" i="7"/>
  <c r="E72" i="7"/>
  <c r="O72" i="7"/>
  <c r="O6" i="14"/>
  <c r="Q6" i="14" s="1"/>
  <c r="G72" i="7"/>
  <c r="AL141" i="11"/>
  <c r="F7" i="13"/>
  <c r="R141" i="11"/>
  <c r="U7" i="13"/>
  <c r="Z141" i="11"/>
  <c r="M133" i="7"/>
  <c r="D72" i="7"/>
  <c r="W141" i="11"/>
  <c r="R7" i="13"/>
  <c r="Q133" i="7"/>
  <c r="Y118" i="10"/>
  <c r="Y127" i="10" s="1"/>
  <c r="O18" i="14"/>
  <c r="Q18" i="14" s="1"/>
  <c r="H133" i="7"/>
  <c r="AL133" i="7"/>
  <c r="X118" i="10"/>
  <c r="AA141" i="11"/>
  <c r="Y15" i="14"/>
  <c r="W15" i="14" s="1"/>
  <c r="V15" i="14"/>
  <c r="AG141" i="11"/>
  <c r="Q141" i="11"/>
  <c r="D133" i="7"/>
  <c r="V13" i="14"/>
  <c r="D17" i="15"/>
  <c r="V60" i="14"/>
  <c r="D9" i="15"/>
  <c r="I17" i="15"/>
  <c r="N72" i="7"/>
  <c r="T72" i="7"/>
  <c r="G133" i="7"/>
  <c r="O133" i="7"/>
  <c r="D7" i="13"/>
  <c r="J133" i="7"/>
  <c r="M69" i="1"/>
  <c r="O69" i="1" s="1"/>
  <c r="T118" i="6"/>
  <c r="T24" i="6"/>
  <c r="O27" i="1"/>
  <c r="I118" i="10"/>
  <c r="I22" i="10"/>
  <c r="N44" i="1"/>
  <c r="P44" i="1"/>
  <c r="M22" i="10"/>
  <c r="M118" i="10"/>
  <c r="M14" i="1"/>
  <c r="U22" i="10"/>
  <c r="U118" i="10"/>
  <c r="M72" i="7"/>
  <c r="D24" i="6"/>
  <c r="D118" i="6"/>
  <c r="E7" i="13"/>
  <c r="K7" i="13"/>
  <c r="D118" i="10"/>
  <c r="L69" i="1"/>
  <c r="N69" i="1" s="1"/>
  <c r="Q14" i="14"/>
  <c r="V22" i="10"/>
  <c r="V118" i="10"/>
  <c r="AA24" i="6"/>
  <c r="AA118" i="6"/>
  <c r="W24" i="6"/>
  <c r="W118" i="6"/>
  <c r="H24" i="6"/>
  <c r="H118" i="6"/>
  <c r="T118" i="10"/>
  <c r="T22" i="10"/>
  <c r="H22" i="10"/>
  <c r="H118" i="10"/>
  <c r="Q118" i="6"/>
  <c r="Q24" i="6"/>
  <c r="O141" i="11"/>
  <c r="P27" i="1"/>
  <c r="N27" i="1"/>
  <c r="AM118" i="6"/>
  <c r="AM24" i="6"/>
  <c r="P7" i="13"/>
  <c r="E17" i="15"/>
  <c r="AL119" i="6"/>
  <c r="AL127" i="6"/>
  <c r="O11" i="14"/>
  <c r="K118" i="6"/>
  <c r="K24" i="6"/>
  <c r="L118" i="10"/>
  <c r="L22" i="10"/>
  <c r="O7" i="13"/>
  <c r="V24" i="6"/>
  <c r="V118" i="6"/>
  <c r="Q68" i="14"/>
  <c r="G22" i="10"/>
  <c r="G118" i="10"/>
  <c r="AF141" i="11"/>
  <c r="S72" i="7"/>
  <c r="J17" i="15"/>
  <c r="Q64" i="14"/>
  <c r="G27" i="1"/>
  <c r="G28" i="1" s="1"/>
  <c r="E28" i="1"/>
  <c r="E29" i="1" s="1"/>
  <c r="W22" i="10"/>
  <c r="W118" i="10"/>
  <c r="AC133" i="7"/>
  <c r="AK118" i="6"/>
  <c r="AK24" i="6"/>
  <c r="J22" i="10"/>
  <c r="J118" i="10"/>
  <c r="M9" i="1"/>
  <c r="S24" i="6"/>
  <c r="S118" i="6"/>
  <c r="L14" i="1"/>
  <c r="J141" i="11"/>
  <c r="U24" i="6"/>
  <c r="U118" i="6"/>
  <c r="P12" i="14"/>
  <c r="X12" i="14" s="1"/>
  <c r="W12" i="14" s="1"/>
  <c r="O12" i="14"/>
  <c r="F24" i="6"/>
  <c r="F118" i="6"/>
  <c r="F22" i="10"/>
  <c r="F118" i="10"/>
  <c r="P17" i="14"/>
  <c r="X17" i="14" s="1"/>
  <c r="W17" i="14" s="1"/>
  <c r="O10" i="14"/>
  <c r="O22" i="10"/>
  <c r="O118" i="10"/>
  <c r="Q7" i="13"/>
  <c r="F17" i="15"/>
  <c r="J72" i="7"/>
  <c r="L43" i="1"/>
  <c r="L54" i="1" s="1"/>
  <c r="AJ118" i="6"/>
  <c r="AJ24" i="6"/>
  <c r="E13" i="15"/>
  <c r="L141" i="11"/>
  <c r="N7" i="13"/>
  <c r="AB22" i="10"/>
  <c r="AB118" i="10"/>
  <c r="R118" i="6"/>
  <c r="R24" i="6"/>
  <c r="O7" i="14"/>
  <c r="G24" i="6"/>
  <c r="G118" i="6"/>
  <c r="M8" i="1"/>
  <c r="J24" i="6"/>
  <c r="J118" i="6"/>
  <c r="P72" i="7"/>
  <c r="I118" i="6"/>
  <c r="G17" i="15"/>
  <c r="AD118" i="10"/>
  <c r="AD22" i="10"/>
  <c r="Q22" i="10"/>
  <c r="Q118" i="10"/>
  <c r="Q59" i="14"/>
  <c r="AG24" i="6"/>
  <c r="AG118" i="6"/>
  <c r="Q61" i="14"/>
  <c r="AB24" i="6"/>
  <c r="AB118" i="6"/>
  <c r="S7" i="13"/>
  <c r="H17" i="15"/>
  <c r="V7" i="13"/>
  <c r="K17" i="15"/>
  <c r="D28" i="1"/>
  <c r="F27" i="1"/>
  <c r="F28" i="1" s="1"/>
  <c r="H27" i="1"/>
  <c r="F72" i="7"/>
  <c r="M24" i="6"/>
  <c r="M118" i="6"/>
  <c r="M141" i="11"/>
  <c r="V58" i="14"/>
  <c r="M43" i="1"/>
  <c r="V62" i="14"/>
  <c r="AF127" i="6"/>
  <c r="AF119" i="6"/>
  <c r="E141" i="11"/>
  <c r="O9" i="14"/>
  <c r="P9" i="14" s="1"/>
  <c r="AL119" i="10"/>
  <c r="E148" i="1"/>
  <c r="E139" i="1"/>
  <c r="E67" i="1"/>
  <c r="H19" i="1"/>
  <c r="D148" i="1"/>
  <c r="H17" i="1"/>
  <c r="P8" i="1" l="1"/>
  <c r="AL84" i="13"/>
  <c r="AM1" i="3"/>
  <c r="Q14" i="1"/>
  <c r="E6" i="21"/>
  <c r="Q9" i="1"/>
  <c r="Q8" i="1"/>
  <c r="Q11" i="1"/>
  <c r="D1" i="20"/>
  <c r="H16" i="20"/>
  <c r="AE127" i="6"/>
  <c r="S19" i="15"/>
  <c r="AU118" i="6"/>
  <c r="AU24" i="6"/>
  <c r="L82" i="1"/>
  <c r="M82" i="1" s="1"/>
  <c r="R74" i="14"/>
  <c r="T17" i="15"/>
  <c r="Y17" i="15" s="1"/>
  <c r="M14" i="20"/>
  <c r="M74" i="1"/>
  <c r="F7" i="20"/>
  <c r="H7" i="20" s="1"/>
  <c r="M7" i="20" s="1"/>
  <c r="AE135" i="7"/>
  <c r="M69" i="18"/>
  <c r="AK47" i="7"/>
  <c r="P73" i="1"/>
  <c r="N73" i="1"/>
  <c r="AK131" i="7"/>
  <c r="P92" i="1"/>
  <c r="AI118" i="10"/>
  <c r="AI127" i="10" s="1"/>
  <c r="R35" i="1"/>
  <c r="L74" i="1"/>
  <c r="O94" i="1"/>
  <c r="AC2" i="15"/>
  <c r="AK114" i="7"/>
  <c r="AD127" i="6"/>
  <c r="AD135" i="6" s="1"/>
  <c r="R19" i="15"/>
  <c r="M70" i="20"/>
  <c r="X13" i="15"/>
  <c r="AC3" i="15"/>
  <c r="AC5" i="15"/>
  <c r="AM21" i="10"/>
  <c r="AM22" i="10" s="1"/>
  <c r="AB53" i="13"/>
  <c r="L56" i="1"/>
  <c r="N15" i="15"/>
  <c r="M61" i="20"/>
  <c r="AA53" i="13"/>
  <c r="AK70" i="7"/>
  <c r="L47" i="1"/>
  <c r="L48" i="1" s="1"/>
  <c r="AT115" i="10"/>
  <c r="AC119" i="6"/>
  <c r="Q19" i="15"/>
  <c r="P15" i="15"/>
  <c r="Y15" i="15" s="1"/>
  <c r="F15" i="1"/>
  <c r="F17" i="1" s="1"/>
  <c r="F19" i="1" s="1"/>
  <c r="F67" i="1" s="1"/>
  <c r="F66" i="1"/>
  <c r="AM115" i="10"/>
  <c r="X35" i="1"/>
  <c r="X43" i="1" s="1"/>
  <c r="Y34" i="1"/>
  <c r="Y35" i="1" s="1"/>
  <c r="Y43" i="1" s="1"/>
  <c r="O15" i="15"/>
  <c r="AL128" i="10"/>
  <c r="Z7" i="13"/>
  <c r="L12" i="1" s="1"/>
  <c r="AA118" i="10"/>
  <c r="AA127" i="10" s="1"/>
  <c r="AA128" i="10" s="1"/>
  <c r="AT118" i="6"/>
  <c r="AT119" i="6" s="1"/>
  <c r="P19" i="15"/>
  <c r="AH127" i="10"/>
  <c r="AH135" i="10" s="1"/>
  <c r="AH142" i="10" s="1"/>
  <c r="AH143" i="10" s="1"/>
  <c r="P87" i="1"/>
  <c r="O74" i="14"/>
  <c r="E5" i="21"/>
  <c r="E7" i="21" s="1"/>
  <c r="L61" i="1"/>
  <c r="E11" i="21"/>
  <c r="BK14" i="1"/>
  <c r="L15" i="15"/>
  <c r="N11" i="1"/>
  <c r="AC10" i="1" s="1"/>
  <c r="E8" i="21"/>
  <c r="D156" i="1"/>
  <c r="E21" i="21" s="1"/>
  <c r="AS24" i="6"/>
  <c r="AS118" i="6"/>
  <c r="BI9" i="1"/>
  <c r="R35" i="13"/>
  <c r="AA135" i="7"/>
  <c r="U35" i="13"/>
  <c r="O35" i="13"/>
  <c r="W35" i="13"/>
  <c r="T35" i="13"/>
  <c r="S35" i="13"/>
  <c r="P35" i="13"/>
  <c r="X43" i="13"/>
  <c r="X44" i="13" s="1"/>
  <c r="X53" i="13"/>
  <c r="H47" i="1"/>
  <c r="J15" i="15"/>
  <c r="M15" i="15"/>
  <c r="M71" i="18"/>
  <c r="M62" i="18"/>
  <c r="Z119" i="6"/>
  <c r="N19" i="15"/>
  <c r="Y135" i="7"/>
  <c r="H55" i="18"/>
  <c r="M55" i="18" s="1"/>
  <c r="M12" i="20"/>
  <c r="AD135" i="7"/>
  <c r="AJ135" i="7"/>
  <c r="G73" i="18"/>
  <c r="M18" i="20"/>
  <c r="I55" i="18"/>
  <c r="I73" i="18" s="1"/>
  <c r="AH127" i="6"/>
  <c r="AH135" i="6" s="1"/>
  <c r="M6" i="20"/>
  <c r="AI15" i="13"/>
  <c r="N119" i="10"/>
  <c r="N8" i="1"/>
  <c r="M68" i="20"/>
  <c r="M8" i="20"/>
  <c r="R43" i="13"/>
  <c r="R44" i="13" s="1"/>
  <c r="O7" i="20"/>
  <c r="X127" i="6"/>
  <c r="X119" i="6"/>
  <c r="M10" i="20"/>
  <c r="M16" i="20"/>
  <c r="P16" i="20"/>
  <c r="N16" i="20" s="1"/>
  <c r="M11" i="20"/>
  <c r="G9" i="20"/>
  <c r="G21" i="20" s="1"/>
  <c r="M63" i="20"/>
  <c r="BI15" i="1"/>
  <c r="BI16" i="1" s="1"/>
  <c r="BI17" i="1" s="1"/>
  <c r="BI13" i="1"/>
  <c r="M58" i="20"/>
  <c r="M57" i="20"/>
  <c r="M71" i="20"/>
  <c r="F74" i="20"/>
  <c r="H56" i="20"/>
  <c r="M56" i="20" s="1"/>
  <c r="M72" i="20"/>
  <c r="I56" i="20"/>
  <c r="G74" i="20"/>
  <c r="O106" i="1"/>
  <c r="AA15" i="1"/>
  <c r="AA13" i="1"/>
  <c r="P1" i="14"/>
  <c r="Y127" i="6"/>
  <c r="Y135" i="6" s="1"/>
  <c r="M19" i="15"/>
  <c r="AA9" i="1"/>
  <c r="AH5" i="1" s="1"/>
  <c r="N103" i="1"/>
  <c r="P15" i="13"/>
  <c r="V53" i="13"/>
  <c r="V43" i="13"/>
  <c r="V44" i="13" s="1"/>
  <c r="T53" i="13"/>
  <c r="V15" i="13"/>
  <c r="AG43" i="13"/>
  <c r="AG44" i="13" s="1"/>
  <c r="AJ43" i="13"/>
  <c r="AJ44" i="13" s="1"/>
  <c r="AX45" i="10"/>
  <c r="R127" i="10"/>
  <c r="R135" i="10" s="1"/>
  <c r="P89" i="1"/>
  <c r="N97" i="1"/>
  <c r="L99" i="1"/>
  <c r="P99" i="1" s="1"/>
  <c r="P88" i="1"/>
  <c r="N92" i="1"/>
  <c r="Q7" i="14"/>
  <c r="I43" i="13"/>
  <c r="I44" i="13" s="1"/>
  <c r="AJ15" i="13"/>
  <c r="D43" i="13"/>
  <c r="D44" i="13" s="1"/>
  <c r="T43" i="13"/>
  <c r="T44" i="13" s="1"/>
  <c r="AG53" i="13"/>
  <c r="AH53" i="13"/>
  <c r="AX47" i="6"/>
  <c r="F73" i="18"/>
  <c r="G15" i="13"/>
  <c r="N53" i="13"/>
  <c r="AH135" i="7"/>
  <c r="U15" i="13"/>
  <c r="N15" i="13"/>
  <c r="O43" i="13"/>
  <c r="O44" i="13" s="1"/>
  <c r="AE127" i="10"/>
  <c r="AE135" i="10" s="1"/>
  <c r="AL53" i="13"/>
  <c r="Y53" i="13"/>
  <c r="AF15" i="13"/>
  <c r="AF43" i="13"/>
  <c r="AF44" i="13" s="1"/>
  <c r="D53" i="13"/>
  <c r="Z135" i="7"/>
  <c r="L53" i="13"/>
  <c r="AL15" i="13"/>
  <c r="M60" i="18"/>
  <c r="M58" i="18"/>
  <c r="M57" i="18"/>
  <c r="V8" i="14"/>
  <c r="AI43" i="13"/>
  <c r="AI44" i="13" s="1"/>
  <c r="P90" i="1"/>
  <c r="J43" i="13"/>
  <c r="J44" i="13" s="1"/>
  <c r="AY47" i="6"/>
  <c r="AH15" i="13"/>
  <c r="AC15" i="13"/>
  <c r="F43" i="13"/>
  <c r="F44" i="13" s="1"/>
  <c r="AA43" i="13"/>
  <c r="AA44" i="13" s="1"/>
  <c r="S15" i="13"/>
  <c r="K127" i="10"/>
  <c r="K135" i="10" s="1"/>
  <c r="T135" i="7"/>
  <c r="Q53" i="13"/>
  <c r="L43" i="13"/>
  <c r="L44" i="13" s="1"/>
  <c r="AC127" i="6"/>
  <c r="AC135" i="6" s="1"/>
  <c r="M67" i="18"/>
  <c r="K69" i="18"/>
  <c r="AW45" i="10"/>
  <c r="M53" i="13"/>
  <c r="M70" i="18"/>
  <c r="X127" i="10"/>
  <c r="X128" i="10" s="1"/>
  <c r="L19" i="15"/>
  <c r="AD43" i="13"/>
  <c r="AD44" i="13" s="1"/>
  <c r="J53" i="13"/>
  <c r="W53" i="13"/>
  <c r="Y15" i="13"/>
  <c r="X15" i="13"/>
  <c r="Y43" i="13"/>
  <c r="Y44" i="13" s="1"/>
  <c r="Q15" i="13"/>
  <c r="K15" i="13"/>
  <c r="W43" i="13"/>
  <c r="W44" i="13" s="1"/>
  <c r="F53" i="13"/>
  <c r="G53" i="13"/>
  <c r="R53" i="13"/>
  <c r="Q43" i="13"/>
  <c r="Q44" i="13" s="1"/>
  <c r="AD53" i="13"/>
  <c r="Z53" i="13"/>
  <c r="I53" i="13"/>
  <c r="E119" i="6"/>
  <c r="Z43" i="13"/>
  <c r="Z44" i="13" s="1"/>
  <c r="K53" i="13"/>
  <c r="S53" i="13"/>
  <c r="H53" i="13"/>
  <c r="E53" i="13"/>
  <c r="P5" i="18"/>
  <c r="N5" i="18" s="1"/>
  <c r="M5" i="18"/>
  <c r="D29" i="1"/>
  <c r="I26" i="1"/>
  <c r="I23" i="1"/>
  <c r="I25" i="1"/>
  <c r="I24" i="1"/>
  <c r="P105" i="1"/>
  <c r="N105" i="1"/>
  <c r="M106" i="1"/>
  <c r="M120" i="1" s="1"/>
  <c r="P104" i="1"/>
  <c r="P53" i="13"/>
  <c r="E43" i="13"/>
  <c r="E44" i="13" s="1"/>
  <c r="H43" i="13"/>
  <c r="H44" i="13" s="1"/>
  <c r="AC53" i="13"/>
  <c r="AB15" i="13"/>
  <c r="M25" i="1"/>
  <c r="AB43" i="13"/>
  <c r="AB44" i="13" s="1"/>
  <c r="Z15" i="13"/>
  <c r="L25" i="1"/>
  <c r="O51" i="13"/>
  <c r="O53" i="13" s="1"/>
  <c r="M15" i="13"/>
  <c r="U53" i="13"/>
  <c r="Z33" i="1"/>
  <c r="L119" i="1"/>
  <c r="L106" i="1"/>
  <c r="L120" i="1" s="1"/>
  <c r="S64" i="14"/>
  <c r="T64" i="14" s="1"/>
  <c r="V68" i="14"/>
  <c r="S68" i="14"/>
  <c r="T68" i="14" s="1"/>
  <c r="S72" i="14"/>
  <c r="T72" i="14" s="1"/>
  <c r="V38" i="1"/>
  <c r="S61" i="14"/>
  <c r="T61" i="14" s="1"/>
  <c r="V72" i="14"/>
  <c r="V63" i="14"/>
  <c r="S63" i="14"/>
  <c r="T63" i="14" s="1"/>
  <c r="S59" i="14"/>
  <c r="T59" i="14" s="1"/>
  <c r="V71" i="14"/>
  <c r="S71" i="14"/>
  <c r="T71" i="14" s="1"/>
  <c r="I15" i="15"/>
  <c r="N96" i="1"/>
  <c r="Q16" i="14"/>
  <c r="L112" i="1"/>
  <c r="M94" i="1"/>
  <c r="M100" i="1" s="1"/>
  <c r="M129" i="1" s="1"/>
  <c r="L119" i="6"/>
  <c r="H15" i="15"/>
  <c r="N87" i="1"/>
  <c r="T88" i="1" s="1"/>
  <c r="L94" i="1"/>
  <c r="L118" i="1" s="1"/>
  <c r="M119" i="1"/>
  <c r="O96" i="1"/>
  <c r="O99" i="1" s="1"/>
  <c r="P96" i="1"/>
  <c r="AI119" i="6"/>
  <c r="S135" i="7"/>
  <c r="K135" i="7"/>
  <c r="P111" i="1"/>
  <c r="M112" i="1"/>
  <c r="P110" i="1"/>
  <c r="O112" i="1"/>
  <c r="U135" i="7"/>
  <c r="AG128" i="10"/>
  <c r="X135" i="7"/>
  <c r="I135" i="7"/>
  <c r="Z127" i="6"/>
  <c r="Z135" i="6" s="1"/>
  <c r="AD119" i="6"/>
  <c r="P135" i="7"/>
  <c r="AC135" i="7"/>
  <c r="AM135" i="7"/>
  <c r="P74" i="14"/>
  <c r="S119" i="10"/>
  <c r="AI135" i="7"/>
  <c r="G15" i="15"/>
  <c r="X29" i="1"/>
  <c r="Y29" i="1" s="1"/>
  <c r="Y31" i="1" s="1"/>
  <c r="Q56" i="14"/>
  <c r="AK119" i="10"/>
  <c r="AK128" i="10"/>
  <c r="AK142" i="10"/>
  <c r="AK143" i="10" s="1"/>
  <c r="P119" i="6"/>
  <c r="O119" i="6"/>
  <c r="AL135" i="7"/>
  <c r="Z127" i="10"/>
  <c r="Z128" i="10" s="1"/>
  <c r="AB135" i="7"/>
  <c r="W135" i="7"/>
  <c r="N127" i="6"/>
  <c r="N135" i="6" s="1"/>
  <c r="E127" i="10"/>
  <c r="E135" i="10" s="1"/>
  <c r="F15" i="15"/>
  <c r="D15" i="15"/>
  <c r="G19" i="15"/>
  <c r="D19" i="15"/>
  <c r="AE119" i="6"/>
  <c r="G135" i="7"/>
  <c r="Q135" i="7"/>
  <c r="N135" i="7"/>
  <c r="AF135" i="7"/>
  <c r="M135" i="7"/>
  <c r="AF127" i="10"/>
  <c r="AF135" i="10" s="1"/>
  <c r="V6" i="14"/>
  <c r="P127" i="10"/>
  <c r="P135" i="10" s="1"/>
  <c r="V135" i="7"/>
  <c r="Y119" i="10"/>
  <c r="F135" i="7"/>
  <c r="D135" i="7"/>
  <c r="R135" i="7"/>
  <c r="L135" i="7"/>
  <c r="O135" i="7"/>
  <c r="K15" i="15"/>
  <c r="AJ128" i="10"/>
  <c r="Y119" i="6"/>
  <c r="X119" i="10"/>
  <c r="AC119" i="10"/>
  <c r="E135" i="7"/>
  <c r="AJ119" i="10"/>
  <c r="V18" i="14"/>
  <c r="M12" i="1"/>
  <c r="H135" i="7"/>
  <c r="L10" i="1"/>
  <c r="P11" i="1"/>
  <c r="V14" i="14"/>
  <c r="V59" i="14"/>
  <c r="V17" i="14"/>
  <c r="L72" i="1"/>
  <c r="N72" i="1" s="1"/>
  <c r="J135" i="7"/>
  <c r="L130" i="1"/>
  <c r="L131" i="1" s="1"/>
  <c r="AD127" i="10"/>
  <c r="AD119" i="10"/>
  <c r="R127" i="6"/>
  <c r="R119" i="6"/>
  <c r="F19" i="15"/>
  <c r="F119" i="6"/>
  <c r="F127" i="6"/>
  <c r="AG119" i="6"/>
  <c r="AG127" i="6"/>
  <c r="AB127" i="10"/>
  <c r="AB119" i="10"/>
  <c r="AJ119" i="6"/>
  <c r="AJ127" i="6"/>
  <c r="V10" i="14"/>
  <c r="O9" i="1"/>
  <c r="M133" i="1"/>
  <c r="M134" i="1" s="1"/>
  <c r="M78" i="1"/>
  <c r="AK127" i="6"/>
  <c r="AK119" i="6"/>
  <c r="G119" i="10"/>
  <c r="G127" i="10"/>
  <c r="V30" i="1"/>
  <c r="L70" i="1"/>
  <c r="P69" i="1"/>
  <c r="T119" i="6"/>
  <c r="T127" i="6"/>
  <c r="V12" i="14"/>
  <c r="V64" i="14"/>
  <c r="E15" i="15"/>
  <c r="T57" i="14"/>
  <c r="D119" i="10"/>
  <c r="D127" i="10"/>
  <c r="L135" i="6"/>
  <c r="L128" i="6"/>
  <c r="D127" i="6"/>
  <c r="D119" i="6"/>
  <c r="M10" i="1"/>
  <c r="M130" i="1"/>
  <c r="M131" i="1" s="1"/>
  <c r="O8" i="1"/>
  <c r="O74" i="1" s="1"/>
  <c r="M61" i="1"/>
  <c r="M72" i="1"/>
  <c r="O72" i="1" s="1"/>
  <c r="O21" i="14"/>
  <c r="U119" i="6"/>
  <c r="U127" i="6"/>
  <c r="AC135" i="10"/>
  <c r="AC128" i="10"/>
  <c r="H127" i="10"/>
  <c r="H119" i="10"/>
  <c r="X7" i="14"/>
  <c r="P128" i="6"/>
  <c r="P135" i="6"/>
  <c r="N112" i="1"/>
  <c r="H28" i="1"/>
  <c r="AE128" i="6"/>
  <c r="AE135" i="6"/>
  <c r="K127" i="6"/>
  <c r="K119" i="6"/>
  <c r="AM127" i="6"/>
  <c r="AM119" i="6"/>
  <c r="AA127" i="6"/>
  <c r="AA119" i="6"/>
  <c r="Y18" i="14"/>
  <c r="AG136" i="10"/>
  <c r="AG142" i="10"/>
  <c r="AG143" i="10" s="1"/>
  <c r="AD128" i="6"/>
  <c r="I127" i="6"/>
  <c r="I119" i="6"/>
  <c r="P43" i="1"/>
  <c r="N43" i="1"/>
  <c r="S44" i="1" s="1"/>
  <c r="N135" i="10"/>
  <c r="N128" i="10"/>
  <c r="S128" i="10"/>
  <c r="S135" i="10"/>
  <c r="AB119" i="6"/>
  <c r="AB127" i="6"/>
  <c r="V28" i="1"/>
  <c r="AA33" i="1"/>
  <c r="L149" i="1"/>
  <c r="N149" i="1" s="1"/>
  <c r="N14" i="1"/>
  <c r="AC14" i="1" s="1"/>
  <c r="AD14" i="1" s="1"/>
  <c r="P14" i="1"/>
  <c r="Y128" i="10"/>
  <c r="Y135" i="10"/>
  <c r="V11" i="14"/>
  <c r="H19" i="15"/>
  <c r="T119" i="10"/>
  <c r="T127" i="10"/>
  <c r="J19" i="15"/>
  <c r="V119" i="10"/>
  <c r="V127" i="10"/>
  <c r="O135" i="6"/>
  <c r="O128" i="6"/>
  <c r="M127" i="6"/>
  <c r="M119" i="6"/>
  <c r="AF128" i="6"/>
  <c r="AF135" i="6"/>
  <c r="F119" i="10"/>
  <c r="F127" i="10"/>
  <c r="H127" i="6"/>
  <c r="H119" i="6"/>
  <c r="I127" i="10"/>
  <c r="I119" i="10"/>
  <c r="AI135" i="6"/>
  <c r="AI128" i="6"/>
  <c r="M70" i="1"/>
  <c r="AJ142" i="10"/>
  <c r="AJ143" i="10" s="1"/>
  <c r="AJ136" i="10"/>
  <c r="W119" i="10"/>
  <c r="W127" i="10"/>
  <c r="V127" i="6"/>
  <c r="V119" i="6"/>
  <c r="E19" i="15"/>
  <c r="Q127" i="10"/>
  <c r="Q119" i="10"/>
  <c r="AL128" i="6"/>
  <c r="AL135" i="6"/>
  <c r="I19" i="15"/>
  <c r="U119" i="10"/>
  <c r="U127" i="10"/>
  <c r="X9" i="14"/>
  <c r="W9" i="14" s="1"/>
  <c r="J119" i="10"/>
  <c r="J127" i="10"/>
  <c r="V37" i="1"/>
  <c r="O43" i="1"/>
  <c r="M54" i="1"/>
  <c r="M56" i="1" s="1"/>
  <c r="M47" i="1"/>
  <c r="M48" i="1" s="1"/>
  <c r="G119" i="6"/>
  <c r="G127" i="6"/>
  <c r="AH128" i="6"/>
  <c r="Y14" i="14"/>
  <c r="W14" i="14" s="1"/>
  <c r="V61" i="14"/>
  <c r="J119" i="6"/>
  <c r="J127" i="6"/>
  <c r="O127" i="10"/>
  <c r="O119" i="10"/>
  <c r="E135" i="6"/>
  <c r="E128" i="6"/>
  <c r="S119" i="6"/>
  <c r="S127" i="6"/>
  <c r="L119" i="10"/>
  <c r="L127" i="10"/>
  <c r="W127" i="6"/>
  <c r="W119" i="6"/>
  <c r="K19" i="15"/>
  <c r="O14" i="1"/>
  <c r="M149" i="1"/>
  <c r="O149" i="1" s="1"/>
  <c r="L78" i="1"/>
  <c r="N9" i="1"/>
  <c r="AC7" i="1" s="1"/>
  <c r="P9" i="1"/>
  <c r="L133" i="1"/>
  <c r="L134" i="1" s="1"/>
  <c r="Y6" i="14"/>
  <c r="W6" i="14" s="1"/>
  <c r="Q119" i="6"/>
  <c r="Q127" i="6"/>
  <c r="M127" i="10"/>
  <c r="M119" i="10"/>
  <c r="G148" i="1"/>
  <c r="G156" i="1" s="1"/>
  <c r="G173" i="1" s="1"/>
  <c r="G175" i="1" s="1"/>
  <c r="E156" i="1"/>
  <c r="F148" i="1"/>
  <c r="F156" i="1" s="1"/>
  <c r="F173" i="1" s="1"/>
  <c r="AL136" i="10"/>
  <c r="AL142" i="10"/>
  <c r="AL143" i="10" s="1"/>
  <c r="D67" i="1"/>
  <c r="H67" i="1" s="1"/>
  <c r="AK72" i="7" l="1"/>
  <c r="Q10" i="1"/>
  <c r="Q12" i="1"/>
  <c r="AU127" i="6"/>
  <c r="AU119" i="6"/>
  <c r="F21" i="20"/>
  <c r="AI119" i="10"/>
  <c r="AI135" i="10"/>
  <c r="AI128" i="10"/>
  <c r="N74" i="1"/>
  <c r="AK133" i="7"/>
  <c r="AK135" i="7" s="1"/>
  <c r="O100" i="1"/>
  <c r="AM118" i="10"/>
  <c r="M80" i="1"/>
  <c r="M68" i="1"/>
  <c r="T8" i="1"/>
  <c r="BQ8" i="1" s="1"/>
  <c r="S8" i="1"/>
  <c r="L3" i="1"/>
  <c r="L68" i="1"/>
  <c r="T9" i="1"/>
  <c r="BQ9" i="1" s="1"/>
  <c r="S7" i="1"/>
  <c r="T7" i="1"/>
  <c r="S9" i="1"/>
  <c r="Y19" i="15"/>
  <c r="O19" i="15"/>
  <c r="X19" i="15" s="1"/>
  <c r="L20" i="1"/>
  <c r="R12" i="1"/>
  <c r="S12" i="1" s="1"/>
  <c r="AA135" i="10"/>
  <c r="AA136" i="10" s="1"/>
  <c r="AA119" i="10"/>
  <c r="AC6" i="1"/>
  <c r="X17" i="15"/>
  <c r="AH136" i="10"/>
  <c r="AT127" i="6"/>
  <c r="AT128" i="6" s="1"/>
  <c r="AH128" i="10"/>
  <c r="D173" i="1"/>
  <c r="D177" i="1" s="1"/>
  <c r="X15" i="15"/>
  <c r="R128" i="10"/>
  <c r="AA3" i="1"/>
  <c r="Y23" i="14" s="1"/>
  <c r="M3" i="1"/>
  <c r="E9" i="21"/>
  <c r="E10" i="21" s="1"/>
  <c r="E13" i="21" s="1"/>
  <c r="AS119" i="6"/>
  <c r="AS127" i="6"/>
  <c r="V61" i="1"/>
  <c r="V62" i="1" s="1"/>
  <c r="W62" i="1" s="1"/>
  <c r="U20" i="1"/>
  <c r="J55" i="18"/>
  <c r="K55" i="18" s="1"/>
  <c r="L13" i="1"/>
  <c r="H73" i="18"/>
  <c r="Y128" i="6"/>
  <c r="AE128" i="10"/>
  <c r="X135" i="10"/>
  <c r="X142" i="10" s="1"/>
  <c r="X135" i="6"/>
  <c r="X128" i="6"/>
  <c r="H21" i="20"/>
  <c r="P7" i="20"/>
  <c r="P21" i="20" s="1"/>
  <c r="G1" i="20"/>
  <c r="O9" i="20"/>
  <c r="N9" i="20" s="1"/>
  <c r="M9" i="20"/>
  <c r="I74" i="20"/>
  <c r="J56" i="20"/>
  <c r="J74" i="20" s="1"/>
  <c r="H74" i="20"/>
  <c r="O114" i="1"/>
  <c r="N61" i="1"/>
  <c r="AH15" i="1"/>
  <c r="N106" i="1"/>
  <c r="N114" i="1" s="1"/>
  <c r="N99" i="1"/>
  <c r="N94" i="1"/>
  <c r="AC128" i="6"/>
  <c r="L65" i="1"/>
  <c r="K128" i="10"/>
  <c r="P106" i="1"/>
  <c r="Z128" i="6"/>
  <c r="M132" i="1"/>
  <c r="M114" i="1"/>
  <c r="M115" i="1" s="1"/>
  <c r="V7" i="14"/>
  <c r="N25" i="1"/>
  <c r="V6" i="1" s="1"/>
  <c r="BD6" i="1" s="1"/>
  <c r="P25" i="1"/>
  <c r="L28" i="1"/>
  <c r="L29" i="1" s="1"/>
  <c r="O25" i="1"/>
  <c r="M28" i="1"/>
  <c r="L132" i="1"/>
  <c r="L114" i="1"/>
  <c r="V29" i="1"/>
  <c r="V31" i="1" s="1"/>
  <c r="S56" i="14"/>
  <c r="Z38" i="1"/>
  <c r="W38" i="1"/>
  <c r="AA38" i="1" s="1"/>
  <c r="O70" i="1"/>
  <c r="W18" i="14"/>
  <c r="AY13" i="1"/>
  <c r="M118" i="1"/>
  <c r="L125" i="1"/>
  <c r="Y16" i="14"/>
  <c r="W16" i="14" s="1"/>
  <c r="V16" i="14"/>
  <c r="P112" i="1"/>
  <c r="P94" i="1"/>
  <c r="L100" i="1"/>
  <c r="L124" i="1" s="1"/>
  <c r="M125" i="1"/>
  <c r="X31" i="1"/>
  <c r="X48" i="1" s="1"/>
  <c r="N128" i="6"/>
  <c r="Z135" i="10"/>
  <c r="Z136" i="10" s="1"/>
  <c r="E128" i="10"/>
  <c r="AF128" i="10"/>
  <c r="P128" i="10"/>
  <c r="P10" i="1"/>
  <c r="N78" i="1"/>
  <c r="M79" i="1"/>
  <c r="O12" i="1"/>
  <c r="O68" i="1" s="1"/>
  <c r="N70" i="1"/>
  <c r="P72" i="1"/>
  <c r="O78" i="1"/>
  <c r="M124" i="1"/>
  <c r="P21" i="14"/>
  <c r="M135" i="1"/>
  <c r="V9" i="14"/>
  <c r="F128" i="10"/>
  <c r="F135" i="10"/>
  <c r="D135" i="6"/>
  <c r="D128" i="6"/>
  <c r="AJ135" i="6"/>
  <c r="AJ128" i="6"/>
  <c r="N142" i="6"/>
  <c r="N136" i="6"/>
  <c r="AE142" i="10"/>
  <c r="AE143" i="10" s="1"/>
  <c r="AE136" i="10"/>
  <c r="AD142" i="6"/>
  <c r="AD136" i="6"/>
  <c r="O54" i="1"/>
  <c r="O56" i="1" s="1"/>
  <c r="O47" i="1"/>
  <c r="M128" i="10"/>
  <c r="M135" i="10"/>
  <c r="Z30" i="1"/>
  <c r="W30" i="1"/>
  <c r="AA30" i="1" s="1"/>
  <c r="R135" i="6"/>
  <c r="R128" i="6"/>
  <c r="T135" i="10"/>
  <c r="T128" i="10"/>
  <c r="K128" i="6"/>
  <c r="K135" i="6"/>
  <c r="Y7" i="14"/>
  <c r="Q21" i="14"/>
  <c r="Z136" i="6"/>
  <c r="Z142" i="6"/>
  <c r="Q128" i="10"/>
  <c r="Q135" i="10"/>
  <c r="AI142" i="6"/>
  <c r="AI143" i="6" s="1"/>
  <c r="AI136" i="6"/>
  <c r="N12" i="1"/>
  <c r="P12" i="1"/>
  <c r="L79" i="1"/>
  <c r="N142" i="10"/>
  <c r="N143" i="10" s="1"/>
  <c r="N136" i="10"/>
  <c r="H128" i="10"/>
  <c r="H135" i="10"/>
  <c r="L142" i="6"/>
  <c r="L136" i="6"/>
  <c r="Y136" i="10"/>
  <c r="Y142" i="10"/>
  <c r="Y143" i="10" s="1"/>
  <c r="M126" i="1"/>
  <c r="AC136" i="6"/>
  <c r="AC142" i="6"/>
  <c r="AB135" i="10"/>
  <c r="AB128" i="10"/>
  <c r="O135" i="10"/>
  <c r="O128" i="10"/>
  <c r="AH142" i="6"/>
  <c r="AH143" i="6" s="1"/>
  <c r="AH136" i="6"/>
  <c r="Z37" i="1"/>
  <c r="W37" i="1"/>
  <c r="AA37" i="1" s="1"/>
  <c r="V39" i="1"/>
  <c r="W39" i="1" s="1"/>
  <c r="I135" i="10"/>
  <c r="I128" i="10"/>
  <c r="M128" i="6"/>
  <c r="M135" i="6"/>
  <c r="Z28" i="1"/>
  <c r="W28" i="1"/>
  <c r="O10" i="1"/>
  <c r="O61" i="1"/>
  <c r="G128" i="10"/>
  <c r="G135" i="10"/>
  <c r="AG135" i="6"/>
  <c r="AG128" i="6"/>
  <c r="AH8" i="1"/>
  <c r="AH9" i="1" s="1"/>
  <c r="X21" i="14"/>
  <c r="I128" i="6"/>
  <c r="I135" i="6"/>
  <c r="AD135" i="10"/>
  <c r="AD128" i="10"/>
  <c r="P70" i="1"/>
  <c r="E136" i="6"/>
  <c r="E142" i="6"/>
  <c r="W135" i="6"/>
  <c r="W128" i="6"/>
  <c r="J135" i="6"/>
  <c r="J128" i="6"/>
  <c r="AF142" i="10"/>
  <c r="AF143" i="10" s="1"/>
  <c r="AF136" i="10"/>
  <c r="V135" i="6"/>
  <c r="V128" i="6"/>
  <c r="P47" i="1"/>
  <c r="N10" i="1"/>
  <c r="L135" i="10"/>
  <c r="L128" i="10"/>
  <c r="W135" i="10"/>
  <c r="W128" i="10"/>
  <c r="H135" i="6"/>
  <c r="H128" i="6"/>
  <c r="O142" i="6"/>
  <c r="O136" i="6"/>
  <c r="AB135" i="6"/>
  <c r="AB128" i="6"/>
  <c r="P54" i="1"/>
  <c r="P56" i="1"/>
  <c r="AA128" i="6"/>
  <c r="AA135" i="6"/>
  <c r="AC142" i="10"/>
  <c r="AC143" i="10" s="1"/>
  <c r="AC136" i="10"/>
  <c r="R142" i="10"/>
  <c r="R143" i="10" s="1"/>
  <c r="R136" i="10"/>
  <c r="E142" i="10"/>
  <c r="E143" i="10" s="1"/>
  <c r="E136" i="10"/>
  <c r="AF142" i="6"/>
  <c r="AF143" i="6" s="1"/>
  <c r="AF136" i="6"/>
  <c r="Q135" i="6"/>
  <c r="Q128" i="6"/>
  <c r="N47" i="1"/>
  <c r="N54" i="1"/>
  <c r="N56" i="1" s="1"/>
  <c r="P136" i="6"/>
  <c r="P142" i="6"/>
  <c r="U128" i="6"/>
  <c r="U135" i="6"/>
  <c r="AK135" i="6"/>
  <c r="AK128" i="6"/>
  <c r="P142" i="10"/>
  <c r="P136" i="10"/>
  <c r="Y136" i="6"/>
  <c r="Y142" i="6"/>
  <c r="S135" i="6"/>
  <c r="S128" i="6"/>
  <c r="AL142" i="6"/>
  <c r="AL143" i="6" s="1"/>
  <c r="AL136" i="6"/>
  <c r="K136" i="10"/>
  <c r="K142" i="10"/>
  <c r="K143" i="10" s="1"/>
  <c r="AE142" i="6"/>
  <c r="AE136" i="6"/>
  <c r="J128" i="10"/>
  <c r="J135" i="10"/>
  <c r="V135" i="10"/>
  <c r="V128" i="10"/>
  <c r="L80" i="1"/>
  <c r="G128" i="6"/>
  <c r="G135" i="6"/>
  <c r="U128" i="10"/>
  <c r="U135" i="10"/>
  <c r="S142" i="10"/>
  <c r="S143" i="10" s="1"/>
  <c r="S136" i="10"/>
  <c r="AM135" i="6"/>
  <c r="AM128" i="6"/>
  <c r="M13" i="1"/>
  <c r="M65" i="1"/>
  <c r="D128" i="10"/>
  <c r="D135" i="10"/>
  <c r="T135" i="6"/>
  <c r="T128" i="6"/>
  <c r="P78" i="1"/>
  <c r="F135" i="6"/>
  <c r="F128" i="6"/>
  <c r="E173" i="1"/>
  <c r="E175" i="1" s="1"/>
  <c r="E176" i="1" s="1"/>
  <c r="E177" i="1"/>
  <c r="G176" i="1"/>
  <c r="G178" i="1"/>
  <c r="F175" i="1"/>
  <c r="F176" i="1" s="1"/>
  <c r="F177" i="1"/>
  <c r="Q13" i="1" l="1"/>
  <c r="M21" i="20"/>
  <c r="AU135" i="6"/>
  <c r="AU128" i="6"/>
  <c r="AE143" i="6"/>
  <c r="S32" i="15"/>
  <c r="S35" i="15" s="1"/>
  <c r="AD11" i="13"/>
  <c r="AI142" i="10"/>
  <c r="AI143" i="10" s="1"/>
  <c r="AI136" i="10"/>
  <c r="P80" i="1"/>
  <c r="AM119" i="10"/>
  <c r="AM127" i="10"/>
  <c r="AD143" i="6"/>
  <c r="AC11" i="1"/>
  <c r="N68" i="1"/>
  <c r="P68" i="1" s="1"/>
  <c r="D175" i="1"/>
  <c r="D176" i="1" s="1"/>
  <c r="AC143" i="6"/>
  <c r="Q32" i="15"/>
  <c r="Q35" i="15" s="1"/>
  <c r="AB11" i="13"/>
  <c r="AA142" i="10"/>
  <c r="AA143" i="10" s="1"/>
  <c r="AT135" i="6"/>
  <c r="AT142" i="6" s="1"/>
  <c r="AT143" i="6" s="1"/>
  <c r="U21" i="1"/>
  <c r="L66" i="1"/>
  <c r="AS128" i="6"/>
  <c r="AS135" i="6"/>
  <c r="W61" i="1"/>
  <c r="J73" i="18"/>
  <c r="Z143" i="6"/>
  <c r="X136" i="10"/>
  <c r="M32" i="15"/>
  <c r="O21" i="20"/>
  <c r="N7" i="20"/>
  <c r="N21" i="20" s="1"/>
  <c r="X136" i="6"/>
  <c r="X142" i="6"/>
  <c r="X143" i="6" s="1"/>
  <c r="BH6" i="1"/>
  <c r="K56" i="20"/>
  <c r="P61" i="1"/>
  <c r="N79" i="1"/>
  <c r="P65" i="1"/>
  <c r="R65" i="1" s="1"/>
  <c r="N100" i="1"/>
  <c r="Y143" i="6"/>
  <c r="X11" i="13"/>
  <c r="Z142" i="10"/>
  <c r="Z143" i="10" s="1"/>
  <c r="AH6" i="1"/>
  <c r="X143" i="10"/>
  <c r="P114" i="1"/>
  <c r="O28" i="1"/>
  <c r="M29" i="1"/>
  <c r="P28" i="1"/>
  <c r="N28" i="1"/>
  <c r="Z6" i="1"/>
  <c r="W29" i="1"/>
  <c r="W31" i="1" s="1"/>
  <c r="Z29" i="1"/>
  <c r="Z31" i="1" s="1"/>
  <c r="AA39" i="1"/>
  <c r="Z39" i="1"/>
  <c r="O80" i="1"/>
  <c r="W7" i="14"/>
  <c r="W21" i="14" s="1"/>
  <c r="AY10" i="1"/>
  <c r="L126" i="1"/>
  <c r="P13" i="1"/>
  <c r="L135" i="1"/>
  <c r="L129" i="1"/>
  <c r="P100" i="1"/>
  <c r="L115" i="1"/>
  <c r="P79" i="1"/>
  <c r="O79" i="1"/>
  <c r="V21" i="14"/>
  <c r="N80" i="1"/>
  <c r="S136" i="6"/>
  <c r="S142" i="6"/>
  <c r="G136" i="10"/>
  <c r="G142" i="10"/>
  <c r="N307" i="8"/>
  <c r="L143" i="6"/>
  <c r="H136" i="10"/>
  <c r="H142" i="10"/>
  <c r="H143" i="10" s="1"/>
  <c r="T136" i="10"/>
  <c r="T142" i="10"/>
  <c r="T143" i="10" s="1"/>
  <c r="E143" i="6"/>
  <c r="G307" i="8"/>
  <c r="D11" i="13"/>
  <c r="J142" i="10"/>
  <c r="J143" i="10" s="1"/>
  <c r="J136" i="10"/>
  <c r="P141" i="7"/>
  <c r="P143" i="6"/>
  <c r="D32" i="15"/>
  <c r="O11" i="13"/>
  <c r="P140" i="7"/>
  <c r="AB142" i="6"/>
  <c r="AB136" i="6"/>
  <c r="D142" i="10"/>
  <c r="D136" i="10"/>
  <c r="AD136" i="10"/>
  <c r="AD142" i="10"/>
  <c r="AD143" i="10" s="1"/>
  <c r="V136" i="10"/>
  <c r="V142" i="10"/>
  <c r="V143" i="10" s="1"/>
  <c r="N13" i="1"/>
  <c r="N65" i="1"/>
  <c r="S54" i="1"/>
  <c r="S52" i="1"/>
  <c r="S51" i="1"/>
  <c r="S53" i="1"/>
  <c r="Q307" i="8"/>
  <c r="O143" i="6"/>
  <c r="V136" i="6"/>
  <c r="V142" i="6"/>
  <c r="I136" i="6"/>
  <c r="I142" i="6"/>
  <c r="R142" i="6"/>
  <c r="R136" i="6"/>
  <c r="AB142" i="10"/>
  <c r="AB136" i="10"/>
  <c r="O13" i="1"/>
  <c r="O65" i="1"/>
  <c r="P307" i="8"/>
  <c r="N143" i="6"/>
  <c r="M11" i="13"/>
  <c r="H142" i="6"/>
  <c r="H136" i="6"/>
  <c r="U136" i="6"/>
  <c r="U142" i="6"/>
  <c r="G136" i="6"/>
  <c r="G142" i="6"/>
  <c r="L15" i="1"/>
  <c r="Q142" i="6"/>
  <c r="Q136" i="6"/>
  <c r="AA28" i="1"/>
  <c r="O142" i="10"/>
  <c r="O143" i="10" s="1"/>
  <c r="O136" i="10"/>
  <c r="AJ142" i="6"/>
  <c r="AJ143" i="6" s="1"/>
  <c r="AJ136" i="6"/>
  <c r="I136" i="10"/>
  <c r="I142" i="10"/>
  <c r="U142" i="10"/>
  <c r="U136" i="10"/>
  <c r="P147" i="11"/>
  <c r="P143" i="10"/>
  <c r="P146" i="11"/>
  <c r="AM136" i="6"/>
  <c r="AM142" i="6"/>
  <c r="AM143" i="6" s="1"/>
  <c r="W136" i="10"/>
  <c r="W142" i="10"/>
  <c r="W143" i="10" s="1"/>
  <c r="J142" i="6"/>
  <c r="J136" i="6"/>
  <c r="M136" i="10"/>
  <c r="M142" i="10"/>
  <c r="M143" i="10" s="1"/>
  <c r="AG142" i="6"/>
  <c r="AG143" i="6" s="1"/>
  <c r="AG136" i="6"/>
  <c r="AA142" i="6"/>
  <c r="O32" i="15" s="1"/>
  <c r="AA136" i="6"/>
  <c r="M142" i="6"/>
  <c r="M136" i="6"/>
  <c r="AG8" i="1"/>
  <c r="Y21" i="14"/>
  <c r="D136" i="6"/>
  <c r="D142" i="6"/>
  <c r="T136" i="6"/>
  <c r="T142" i="6"/>
  <c r="M66" i="1"/>
  <c r="M15" i="1"/>
  <c r="F142" i="6"/>
  <c r="F136" i="6"/>
  <c r="AK142" i="6"/>
  <c r="AK143" i="6" s="1"/>
  <c r="AK136" i="6"/>
  <c r="L136" i="10"/>
  <c r="L142" i="10"/>
  <c r="L143" i="10" s="1"/>
  <c r="W142" i="6"/>
  <c r="W136" i="6"/>
  <c r="F136" i="10"/>
  <c r="F142" i="10"/>
  <c r="Q136" i="10"/>
  <c r="Q142" i="10"/>
  <c r="Q143" i="10" s="1"/>
  <c r="K142" i="6"/>
  <c r="K136" i="6"/>
  <c r="T54" i="1"/>
  <c r="E178" i="1"/>
  <c r="F178" i="1"/>
  <c r="AC11" i="13" l="1"/>
  <c r="Q15" i="1"/>
  <c r="R32" i="15"/>
  <c r="R35" i="15" s="1"/>
  <c r="AU142" i="6"/>
  <c r="AU143" i="6" s="1"/>
  <c r="AU136" i="6"/>
  <c r="AM135" i="10"/>
  <c r="AM128" i="10"/>
  <c r="D178" i="1"/>
  <c r="AT136" i="6"/>
  <c r="AB143" i="6"/>
  <c r="P32" i="15"/>
  <c r="AB143" i="10"/>
  <c r="AA11" i="13"/>
  <c r="D37" i="15"/>
  <c r="AS136" i="6"/>
  <c r="AS142" i="6"/>
  <c r="AS143" i="6" s="1"/>
  <c r="AA143" i="6"/>
  <c r="O35" i="15"/>
  <c r="Z11" i="13"/>
  <c r="L32" i="15"/>
  <c r="Y11" i="13"/>
  <c r="N32" i="15"/>
  <c r="BJ6" i="1"/>
  <c r="J2" i="20"/>
  <c r="L2" i="20"/>
  <c r="K2" i="20"/>
  <c r="I2" i="20"/>
  <c r="G76" i="18"/>
  <c r="G77" i="20"/>
  <c r="X146" i="11"/>
  <c r="W146" i="11"/>
  <c r="X147" i="11"/>
  <c r="W147" i="11"/>
  <c r="AG16" i="1"/>
  <c r="R2" i="14"/>
  <c r="AE6" i="1"/>
  <c r="AY5" i="1"/>
  <c r="J2" i="18"/>
  <c r="L2" i="18"/>
  <c r="K2" i="18"/>
  <c r="I2" i="18"/>
  <c r="AA29" i="1"/>
  <c r="AA31" i="1" s="1"/>
  <c r="AG23" i="1"/>
  <c r="AB6" i="1"/>
  <c r="U2" i="14"/>
  <c r="AG11" i="1"/>
  <c r="S2" i="14"/>
  <c r="AG24" i="1"/>
  <c r="T2" i="14"/>
  <c r="S27" i="1"/>
  <c r="S23" i="1"/>
  <c r="S26" i="1"/>
  <c r="S25" i="1"/>
  <c r="S24" i="1"/>
  <c r="T25" i="1"/>
  <c r="T26" i="1"/>
  <c r="T27" i="1"/>
  <c r="T23" i="1"/>
  <c r="T24" i="1"/>
  <c r="W11" i="13"/>
  <c r="K11" i="13"/>
  <c r="R141" i="7"/>
  <c r="P66" i="1"/>
  <c r="S141" i="7"/>
  <c r="N11" i="13"/>
  <c r="T146" i="11"/>
  <c r="V141" i="7"/>
  <c r="T141" i="7"/>
  <c r="Q146" i="11"/>
  <c r="U140" i="7"/>
  <c r="T140" i="7"/>
  <c r="O307" i="8"/>
  <c r="M143" i="6"/>
  <c r="L11" i="13"/>
  <c r="M17" i="1"/>
  <c r="M19" i="1" s="1"/>
  <c r="M138" i="1"/>
  <c r="V146" i="11"/>
  <c r="T143" i="6"/>
  <c r="S11" i="13"/>
  <c r="H32" i="15"/>
  <c r="AH30" i="1"/>
  <c r="AA16" i="1"/>
  <c r="P77" i="14"/>
  <c r="AH29" i="1"/>
  <c r="R146" i="11"/>
  <c r="T11" i="13"/>
  <c r="U143" i="10"/>
  <c r="Q143" i="6"/>
  <c r="P11" i="13"/>
  <c r="E32" i="15"/>
  <c r="R143" i="6"/>
  <c r="F32" i="15"/>
  <c r="Q11" i="13"/>
  <c r="R140" i="7"/>
  <c r="Q141" i="7"/>
  <c r="H307" i="8"/>
  <c r="F143" i="6"/>
  <c r="D143" i="10"/>
  <c r="J146" i="11"/>
  <c r="E146" i="11"/>
  <c r="I146" i="11"/>
  <c r="F146" i="11"/>
  <c r="D146" i="11"/>
  <c r="H146" i="11"/>
  <c r="G146" i="11"/>
  <c r="S146" i="11"/>
  <c r="H11" i="13"/>
  <c r="I143" i="10"/>
  <c r="L138" i="1"/>
  <c r="L17" i="1"/>
  <c r="P15" i="1"/>
  <c r="J307" i="8"/>
  <c r="H143" i="6"/>
  <c r="G11" i="13"/>
  <c r="I143" i="6"/>
  <c r="K307" i="8"/>
  <c r="N15" i="1"/>
  <c r="N17" i="1" s="1"/>
  <c r="N19" i="1" s="1"/>
  <c r="N67" i="1" s="1"/>
  <c r="N66" i="1"/>
  <c r="K32" i="15"/>
  <c r="W143" i="6"/>
  <c r="V11" i="13"/>
  <c r="V147" i="11"/>
  <c r="V143" i="6"/>
  <c r="J32" i="15"/>
  <c r="U11" i="13"/>
  <c r="Q140" i="7"/>
  <c r="F307" i="8"/>
  <c r="D143" i="6"/>
  <c r="C11" i="13"/>
  <c r="H140" i="7"/>
  <c r="F140" i="7"/>
  <c r="J140" i="7"/>
  <c r="D140" i="7"/>
  <c r="I140" i="7"/>
  <c r="E140" i="7"/>
  <c r="G140" i="7"/>
  <c r="J143" i="6"/>
  <c r="L307" i="8"/>
  <c r="I11" i="13"/>
  <c r="M307" i="8"/>
  <c r="K143" i="6"/>
  <c r="J11" i="13"/>
  <c r="U147" i="11"/>
  <c r="G143" i="6"/>
  <c r="I307" i="8"/>
  <c r="S140" i="7"/>
  <c r="F11" i="13"/>
  <c r="G143" i="10"/>
  <c r="T51" i="1"/>
  <c r="T53" i="1"/>
  <c r="T52" i="1"/>
  <c r="AG9" i="1"/>
  <c r="AI8" i="1"/>
  <c r="T147" i="11"/>
  <c r="S147" i="11"/>
  <c r="V140" i="7"/>
  <c r="S143" i="6"/>
  <c r="G32" i="15"/>
  <c r="R11" i="13"/>
  <c r="E11" i="13"/>
  <c r="F143" i="10"/>
  <c r="R147" i="11"/>
  <c r="U146" i="11"/>
  <c r="Q147" i="11"/>
  <c r="U143" i="6"/>
  <c r="I32" i="15"/>
  <c r="O15" i="1"/>
  <c r="O17" i="1" s="1"/>
  <c r="O19" i="1" s="1"/>
  <c r="O67" i="1" s="1"/>
  <c r="O66" i="1"/>
  <c r="U141" i="7"/>
  <c r="C29" i="13"/>
  <c r="V56" i="14"/>
  <c r="Q17" i="1" l="1"/>
  <c r="AM142" i="10"/>
  <c r="AM143" i="10" s="1"/>
  <c r="AM136" i="10"/>
  <c r="P35" i="15"/>
  <c r="Y32" i="15"/>
  <c r="X32" i="15"/>
  <c r="R15" i="14"/>
  <c r="Z15" i="14" s="1"/>
  <c r="R6" i="14"/>
  <c r="Z6" i="14" s="1"/>
  <c r="V10" i="1" s="1"/>
  <c r="BD10" i="1" s="1"/>
  <c r="AI16" i="1"/>
  <c r="AD6" i="1"/>
  <c r="AH7" i="1"/>
  <c r="AA17" i="1"/>
  <c r="I19" i="20"/>
  <c r="Q19" i="20" s="1"/>
  <c r="AF16" i="20"/>
  <c r="I17" i="20"/>
  <c r="Q17" i="20" s="1"/>
  <c r="I11" i="20"/>
  <c r="Q11" i="20" s="1"/>
  <c r="I8" i="20"/>
  <c r="Q8" i="20" s="1"/>
  <c r="I16" i="20"/>
  <c r="Q16" i="20" s="1"/>
  <c r="I7" i="20"/>
  <c r="I18" i="20"/>
  <c r="Q18" i="20" s="1"/>
  <c r="I12" i="20"/>
  <c r="Q12" i="20" s="1"/>
  <c r="I15" i="20"/>
  <c r="Q15" i="20" s="1"/>
  <c r="I13" i="20"/>
  <c r="Q13" i="20" s="1"/>
  <c r="I14" i="20"/>
  <c r="Q14" i="20" s="1"/>
  <c r="I6" i="20"/>
  <c r="Q6" i="20" s="1"/>
  <c r="I10" i="20"/>
  <c r="Q10" i="20" s="1"/>
  <c r="I20" i="20"/>
  <c r="Q20" i="20" s="1"/>
  <c r="K19" i="20"/>
  <c r="S19" i="20" s="1"/>
  <c r="AF18" i="20"/>
  <c r="AE8" i="20" s="1"/>
  <c r="AR8" i="20" s="1"/>
  <c r="K5" i="20" s="1"/>
  <c r="S5" i="20" s="1"/>
  <c r="K17" i="20"/>
  <c r="S17" i="20" s="1"/>
  <c r="K11" i="20"/>
  <c r="S11" i="20" s="1"/>
  <c r="K16" i="20"/>
  <c r="S16" i="20" s="1"/>
  <c r="K18" i="20"/>
  <c r="S18" i="20" s="1"/>
  <c r="K8" i="20"/>
  <c r="S8" i="20" s="1"/>
  <c r="K12" i="20"/>
  <c r="S12" i="20" s="1"/>
  <c r="K13" i="20"/>
  <c r="S13" i="20" s="1"/>
  <c r="K15" i="20"/>
  <c r="S15" i="20" s="1"/>
  <c r="K10" i="20"/>
  <c r="S10" i="20" s="1"/>
  <c r="K14" i="20"/>
  <c r="S14" i="20" s="1"/>
  <c r="K20" i="20"/>
  <c r="S20" i="20" s="1"/>
  <c r="K7" i="20"/>
  <c r="K6" i="20"/>
  <c r="S6" i="20" s="1"/>
  <c r="AF19" i="20"/>
  <c r="AE5" i="20" s="1"/>
  <c r="L17" i="20"/>
  <c r="T17" i="20" s="1"/>
  <c r="L19" i="20"/>
  <c r="T19" i="20" s="1"/>
  <c r="L11" i="20"/>
  <c r="T11" i="20" s="1"/>
  <c r="L18" i="20"/>
  <c r="T18" i="20" s="1"/>
  <c r="L7" i="20"/>
  <c r="L12" i="20"/>
  <c r="T12" i="20" s="1"/>
  <c r="L6" i="20"/>
  <c r="T6" i="20" s="1"/>
  <c r="L16" i="20"/>
  <c r="T16" i="20" s="1"/>
  <c r="L15" i="20"/>
  <c r="T15" i="20" s="1"/>
  <c r="L14" i="20"/>
  <c r="T14" i="20" s="1"/>
  <c r="L20" i="20"/>
  <c r="T20" i="20" s="1"/>
  <c r="L13" i="20"/>
  <c r="T13" i="20" s="1"/>
  <c r="L8" i="20"/>
  <c r="T8" i="20" s="1"/>
  <c r="L10" i="20"/>
  <c r="T10" i="20" s="1"/>
  <c r="J19" i="20"/>
  <c r="R19" i="20" s="1"/>
  <c r="AF17" i="20"/>
  <c r="AE7" i="20" s="1"/>
  <c r="AR7" i="20" s="1"/>
  <c r="J5" i="20" s="1"/>
  <c r="R5" i="20" s="1"/>
  <c r="J17" i="20"/>
  <c r="R17" i="20" s="1"/>
  <c r="J11" i="20"/>
  <c r="R11" i="20" s="1"/>
  <c r="J16" i="20"/>
  <c r="R16" i="20" s="1"/>
  <c r="J18" i="20"/>
  <c r="R18" i="20" s="1"/>
  <c r="J13" i="20"/>
  <c r="R13" i="20" s="1"/>
  <c r="J12" i="20"/>
  <c r="R12" i="20" s="1"/>
  <c r="J14" i="20"/>
  <c r="R14" i="20" s="1"/>
  <c r="J15" i="20"/>
  <c r="R15" i="20" s="1"/>
  <c r="J10" i="20"/>
  <c r="R10" i="20" s="1"/>
  <c r="J20" i="20"/>
  <c r="R20" i="20" s="1"/>
  <c r="J7" i="20"/>
  <c r="J6" i="20"/>
  <c r="R6" i="20" s="1"/>
  <c r="J8" i="20"/>
  <c r="R8" i="20" s="1"/>
  <c r="AI9" i="1"/>
  <c r="R11" i="14"/>
  <c r="Z11" i="14" s="1"/>
  <c r="R13" i="14"/>
  <c r="Z13" i="14" s="1"/>
  <c r="R19" i="14"/>
  <c r="Z19" i="14" s="1"/>
  <c r="R17" i="14"/>
  <c r="Z17" i="14" s="1"/>
  <c r="AP16" i="14"/>
  <c r="AO6" i="14" s="1"/>
  <c r="R14" i="14"/>
  <c r="Z14" i="14" s="1"/>
  <c r="R18" i="14"/>
  <c r="Z18" i="14" s="1"/>
  <c r="R10" i="14"/>
  <c r="Z10" i="14" s="1"/>
  <c r="K19" i="18"/>
  <c r="S19" i="18" s="1"/>
  <c r="K16" i="18"/>
  <c r="S16" i="18" s="1"/>
  <c r="K11" i="18"/>
  <c r="S11" i="18" s="1"/>
  <c r="K8" i="18"/>
  <c r="S8" i="18" s="1"/>
  <c r="K12" i="18"/>
  <c r="S12" i="18" s="1"/>
  <c r="K15" i="18"/>
  <c r="S15" i="18" s="1"/>
  <c r="K10" i="18"/>
  <c r="S10" i="18" s="1"/>
  <c r="K20" i="18"/>
  <c r="S20" i="18" s="1"/>
  <c r="AF19" i="18"/>
  <c r="K18" i="18"/>
  <c r="S18" i="18" s="1"/>
  <c r="K7" i="18"/>
  <c r="K6" i="18"/>
  <c r="S6" i="18" s="1"/>
  <c r="K17" i="18"/>
  <c r="S17" i="18" s="1"/>
  <c r="K14" i="18"/>
  <c r="S14" i="18" s="1"/>
  <c r="K13" i="18"/>
  <c r="S13" i="18" s="1"/>
  <c r="L10" i="18"/>
  <c r="T10" i="18" s="1"/>
  <c r="AF20" i="18"/>
  <c r="L19" i="18"/>
  <c r="T19" i="18" s="1"/>
  <c r="L15" i="18"/>
  <c r="T15" i="18" s="1"/>
  <c r="L11" i="18"/>
  <c r="T11" i="18" s="1"/>
  <c r="L20" i="18"/>
  <c r="T20" i="18" s="1"/>
  <c r="L16" i="18"/>
  <c r="T16" i="18" s="1"/>
  <c r="L8" i="18"/>
  <c r="T8" i="18" s="1"/>
  <c r="L12" i="18"/>
  <c r="T12" i="18" s="1"/>
  <c r="L18" i="18"/>
  <c r="T18" i="18" s="1"/>
  <c r="L7" i="18"/>
  <c r="L6" i="18"/>
  <c r="T6" i="18" s="1"/>
  <c r="L17" i="18"/>
  <c r="T17" i="18" s="1"/>
  <c r="L13" i="18"/>
  <c r="T13" i="18" s="1"/>
  <c r="L14" i="18"/>
  <c r="T14" i="18" s="1"/>
  <c r="J19" i="18"/>
  <c r="R19" i="18" s="1"/>
  <c r="AF18" i="18"/>
  <c r="J12" i="18"/>
  <c r="R12" i="18" s="1"/>
  <c r="J10" i="18"/>
  <c r="R10" i="18" s="1"/>
  <c r="J15" i="18"/>
  <c r="R15" i="18" s="1"/>
  <c r="J11" i="18"/>
  <c r="R11" i="18" s="1"/>
  <c r="J8" i="18"/>
  <c r="R8" i="18" s="1"/>
  <c r="J16" i="18"/>
  <c r="R16" i="18" s="1"/>
  <c r="J20" i="18"/>
  <c r="R20" i="18" s="1"/>
  <c r="J18" i="18"/>
  <c r="R18" i="18" s="1"/>
  <c r="J7" i="18"/>
  <c r="J17" i="18"/>
  <c r="R17" i="18" s="1"/>
  <c r="J14" i="18"/>
  <c r="R14" i="18" s="1"/>
  <c r="J6" i="18"/>
  <c r="R6" i="18" s="1"/>
  <c r="J13" i="18"/>
  <c r="R13" i="18" s="1"/>
  <c r="I10" i="18"/>
  <c r="Q10" i="18" s="1"/>
  <c r="I12" i="18"/>
  <c r="Q12" i="18" s="1"/>
  <c r="I15" i="18"/>
  <c r="Q15" i="18" s="1"/>
  <c r="AF17" i="18"/>
  <c r="I8" i="18"/>
  <c r="Q8" i="18" s="1"/>
  <c r="I11" i="18"/>
  <c r="Q11" i="18" s="1"/>
  <c r="I19" i="18"/>
  <c r="Q19" i="18" s="1"/>
  <c r="I16" i="18"/>
  <c r="Q16" i="18" s="1"/>
  <c r="I20" i="18"/>
  <c r="Q20" i="18" s="1"/>
  <c r="I7" i="18"/>
  <c r="I18" i="18"/>
  <c r="Q18" i="18" s="1"/>
  <c r="I6" i="18"/>
  <c r="Q6" i="18" s="1"/>
  <c r="I13" i="18"/>
  <c r="Q13" i="18" s="1"/>
  <c r="I14" i="18"/>
  <c r="Q14" i="18" s="1"/>
  <c r="I17" i="18"/>
  <c r="Q17" i="18" s="1"/>
  <c r="R8" i="14"/>
  <c r="Z8" i="14" s="1"/>
  <c r="R7" i="14"/>
  <c r="Z7" i="14" s="1"/>
  <c r="R20" i="14"/>
  <c r="Z20" i="14" s="1"/>
  <c r="R16" i="14"/>
  <c r="Z16" i="14" s="1"/>
  <c r="R12" i="14"/>
  <c r="Z12" i="14" s="1"/>
  <c r="AI23" i="1"/>
  <c r="T15" i="14"/>
  <c r="AB15" i="14" s="1"/>
  <c r="T12" i="14"/>
  <c r="AB12" i="14" s="1"/>
  <c r="T17" i="14"/>
  <c r="AB17" i="14" s="1"/>
  <c r="T13" i="14"/>
  <c r="AB13" i="14" s="1"/>
  <c r="T10" i="14"/>
  <c r="AB10" i="14" s="1"/>
  <c r="AP18" i="14"/>
  <c r="T11" i="14"/>
  <c r="AB11" i="14" s="1"/>
  <c r="T8" i="14"/>
  <c r="AB8" i="14" s="1"/>
  <c r="T20" i="14"/>
  <c r="AB20" i="14" s="1"/>
  <c r="T19" i="14"/>
  <c r="AB19" i="14" s="1"/>
  <c r="T18" i="14"/>
  <c r="AB18" i="14" s="1"/>
  <c r="T6" i="14"/>
  <c r="AB6" i="14" s="1"/>
  <c r="X10" i="1" s="1"/>
  <c r="BF10" i="1" s="1"/>
  <c r="T14" i="14"/>
  <c r="AB14" i="14" s="1"/>
  <c r="T16" i="14"/>
  <c r="AB16" i="14" s="1"/>
  <c r="T7" i="14"/>
  <c r="AG25" i="1"/>
  <c r="AI24" i="1"/>
  <c r="AI25" i="1" s="1"/>
  <c r="AP17" i="14"/>
  <c r="AO7" i="14" s="1"/>
  <c r="S20" i="14"/>
  <c r="AA20" i="14" s="1"/>
  <c r="S11" i="14"/>
  <c r="AA11" i="14" s="1"/>
  <c r="S10" i="14"/>
  <c r="AA10" i="14" s="1"/>
  <c r="S12" i="14"/>
  <c r="AA12" i="14" s="1"/>
  <c r="S8" i="14"/>
  <c r="AA8" i="14" s="1"/>
  <c r="S13" i="14"/>
  <c r="AA13" i="14" s="1"/>
  <c r="S17" i="14"/>
  <c r="AA17" i="14" s="1"/>
  <c r="S19" i="14"/>
  <c r="AA19" i="14" s="1"/>
  <c r="S15" i="14"/>
  <c r="AA15" i="14" s="1"/>
  <c r="S6" i="14"/>
  <c r="AA6" i="14" s="1"/>
  <c r="W10" i="1" s="1"/>
  <c r="BE10" i="1" s="1"/>
  <c r="S14" i="14"/>
  <c r="AA14" i="14" s="1"/>
  <c r="S18" i="14"/>
  <c r="AA18" i="14" s="1"/>
  <c r="S16" i="14"/>
  <c r="AA16" i="14" s="1"/>
  <c r="S7" i="14"/>
  <c r="U19" i="14"/>
  <c r="AC19" i="14" s="1"/>
  <c r="U12" i="14"/>
  <c r="AC12" i="14" s="1"/>
  <c r="U17" i="14"/>
  <c r="AC17" i="14" s="1"/>
  <c r="U20" i="14"/>
  <c r="AC20" i="14" s="1"/>
  <c r="U8" i="14"/>
  <c r="AC8" i="14" s="1"/>
  <c r="U15" i="14"/>
  <c r="AC15" i="14" s="1"/>
  <c r="U13" i="14"/>
  <c r="AC13" i="14" s="1"/>
  <c r="U10" i="14"/>
  <c r="AC10" i="14" s="1"/>
  <c r="U11" i="14"/>
  <c r="AC11" i="14" s="1"/>
  <c r="AP19" i="14"/>
  <c r="AO5" i="14" s="1"/>
  <c r="U6" i="14"/>
  <c r="AC6" i="14" s="1"/>
  <c r="Y10" i="1" s="1"/>
  <c r="BG10" i="1" s="1"/>
  <c r="U14" i="14"/>
  <c r="AC14" i="14" s="1"/>
  <c r="U18" i="14"/>
  <c r="AC18" i="14" s="1"/>
  <c r="U16" i="14"/>
  <c r="AC16" i="14" s="1"/>
  <c r="U7" i="14"/>
  <c r="AO5" i="1"/>
  <c r="AP5" i="1" s="1"/>
  <c r="AI11" i="1"/>
  <c r="M139" i="1"/>
  <c r="M67" i="1"/>
  <c r="M148" i="1"/>
  <c r="L19" i="1"/>
  <c r="Q19" i="1" s="1"/>
  <c r="P17" i="1"/>
  <c r="C34" i="13"/>
  <c r="AO8" i="14" l="1"/>
  <c r="BB8" i="14" s="1"/>
  <c r="T5" i="14" s="1"/>
  <c r="AB5" i="14" s="1"/>
  <c r="X7" i="1" s="1"/>
  <c r="BB6" i="14"/>
  <c r="R5" i="14" s="1" a="1"/>
  <c r="R5" i="14" s="1"/>
  <c r="Z5" i="14" s="1"/>
  <c r="V7" i="1" s="1"/>
  <c r="BD7" i="1" s="1"/>
  <c r="BB7" i="14"/>
  <c r="S5" i="14" s="1"/>
  <c r="AA5" i="14" s="1"/>
  <c r="W7" i="1" s="1"/>
  <c r="BH10" i="1"/>
  <c r="BJ10" i="1" s="1"/>
  <c r="T7" i="20"/>
  <c r="T21" i="20" s="1"/>
  <c r="L21" i="20"/>
  <c r="J21" i="20"/>
  <c r="R7" i="20"/>
  <c r="R21" i="20" s="1"/>
  <c r="AR5" i="20"/>
  <c r="I21" i="20"/>
  <c r="Q7" i="20"/>
  <c r="Q21" i="20" s="1"/>
  <c r="K21" i="20"/>
  <c r="S7" i="20"/>
  <c r="S21" i="20" s="1"/>
  <c r="AE6" i="20"/>
  <c r="AR6" i="20" s="1"/>
  <c r="I5" i="20" s="1" a="1"/>
  <c r="I5" i="20" s="1"/>
  <c r="AF20" i="20"/>
  <c r="BB5" i="14"/>
  <c r="Z21" i="14"/>
  <c r="Q7" i="18"/>
  <c r="Q21" i="18" s="1"/>
  <c r="I21" i="18"/>
  <c r="R7" i="18"/>
  <c r="R21" i="18" s="1"/>
  <c r="J21" i="18"/>
  <c r="AF21" i="18"/>
  <c r="S7" i="18"/>
  <c r="S21" i="18" s="1"/>
  <c r="K21" i="18"/>
  <c r="R21" i="14"/>
  <c r="T7" i="18"/>
  <c r="T21" i="18" s="1"/>
  <c r="L21" i="18"/>
  <c r="AP20" i="14"/>
  <c r="S21" i="14"/>
  <c r="AA7" i="14"/>
  <c r="Z10" i="1"/>
  <c r="AE10" i="1" s="1"/>
  <c r="AB7" i="14"/>
  <c r="T21" i="14"/>
  <c r="C43" i="13"/>
  <c r="C44" i="13" s="1"/>
  <c r="C53" i="13"/>
  <c r="AC7" i="14"/>
  <c r="U21" i="14"/>
  <c r="C15" i="13"/>
  <c r="L148" i="1"/>
  <c r="L139" i="1"/>
  <c r="P19" i="1"/>
  <c r="L67" i="1"/>
  <c r="P67" i="1" s="1"/>
  <c r="M156" i="1"/>
  <c r="O148" i="1"/>
  <c r="O156" i="1" s="1"/>
  <c r="O173" i="1" s="1"/>
  <c r="O175" i="1" s="1"/>
  <c r="O178" i="1" s="1"/>
  <c r="T56" i="14"/>
  <c r="BF7" i="1" l="1"/>
  <c r="BF8" i="1" s="1"/>
  <c r="X8" i="1"/>
  <c r="X12" i="1" s="1"/>
  <c r="AO10" i="14"/>
  <c r="AO2" i="14" s="1"/>
  <c r="BE7" i="1"/>
  <c r="BE8" i="1" s="1"/>
  <c r="W8" i="1"/>
  <c r="W9" i="1" s="1"/>
  <c r="BD8" i="1"/>
  <c r="Q5" i="20"/>
  <c r="AE10" i="20"/>
  <c r="AE2" i="20" s="1"/>
  <c r="L5" i="20"/>
  <c r="T5" i="20" s="1"/>
  <c r="AR10" i="20"/>
  <c r="AR11" i="20" s="1"/>
  <c r="U5" i="14"/>
  <c r="BB10" i="14"/>
  <c r="BB11" i="14" s="1"/>
  <c r="V8" i="1"/>
  <c r="AC21" i="14"/>
  <c r="AB10" i="1"/>
  <c r="AD10" i="1" s="1"/>
  <c r="AY9" i="1"/>
  <c r="AA21" i="14"/>
  <c r="AB21" i="14"/>
  <c r="M173" i="1"/>
  <c r="M175" i="1" s="1"/>
  <c r="M177" i="1"/>
  <c r="N148" i="1"/>
  <c r="N156" i="1" s="1"/>
  <c r="N173" i="1" s="1"/>
  <c r="L156" i="1"/>
  <c r="L173" i="1" s="1"/>
  <c r="X9" i="1" l="1"/>
  <c r="BF9" i="1"/>
  <c r="BF12" i="1"/>
  <c r="W12" i="1"/>
  <c r="W15" i="1" s="1"/>
  <c r="W16" i="1" s="1"/>
  <c r="W17" i="1" s="1"/>
  <c r="BE9" i="1"/>
  <c r="BE12" i="1"/>
  <c r="BD9" i="1"/>
  <c r="X13" i="1"/>
  <c r="X15" i="1"/>
  <c r="X16" i="1" s="1"/>
  <c r="X17" i="1" s="1"/>
  <c r="H5" i="20"/>
  <c r="P5" i="20" s="1"/>
  <c r="N5" i="20" s="1"/>
  <c r="V9" i="1"/>
  <c r="AC5" i="14"/>
  <c r="Y7" i="1" s="1"/>
  <c r="BG7" i="1" s="1"/>
  <c r="Q5" i="14"/>
  <c r="L175" i="1"/>
  <c r="L176" i="1" s="1"/>
  <c r="L177" i="1"/>
  <c r="N177" i="1"/>
  <c r="N175" i="1"/>
  <c r="M176" i="1"/>
  <c r="M178" i="1"/>
  <c r="BF13" i="1" l="1"/>
  <c r="BF15" i="1"/>
  <c r="BF16" i="1" s="1"/>
  <c r="BF17" i="1" s="1"/>
  <c r="W13" i="1"/>
  <c r="BE13" i="1"/>
  <c r="BE15" i="1"/>
  <c r="BE16" i="1" s="1"/>
  <c r="BE17" i="1" s="1"/>
  <c r="M5" i="20"/>
  <c r="BG8" i="1"/>
  <c r="BH7" i="1"/>
  <c r="Y5" i="14"/>
  <c r="W5" i="14" s="1"/>
  <c r="V5" i="14"/>
  <c r="V3" i="14" s="1"/>
  <c r="V4" i="14" s="1"/>
  <c r="Y24" i="14" s="1"/>
  <c r="Y8" i="1"/>
  <c r="Y12" i="1" s="1"/>
  <c r="Z7" i="1"/>
  <c r="N178" i="1"/>
  <c r="L178" i="1"/>
  <c r="S70" i="14"/>
  <c r="S74" i="14" s="1"/>
  <c r="V34" i="1"/>
  <c r="V35" i="1" s="1"/>
  <c r="V43" i="1" s="1"/>
  <c r="V48" i="1" s="1"/>
  <c r="Q74" i="14"/>
  <c r="V70" i="14"/>
  <c r="BJ7" i="1" l="1"/>
  <c r="BJ8" i="1" s="1"/>
  <c r="BH8" i="1"/>
  <c r="BG9" i="1"/>
  <c r="BG12" i="1"/>
  <c r="Y13" i="1"/>
  <c r="Y15" i="1"/>
  <c r="Y16" i="1" s="1"/>
  <c r="Y17" i="1" s="1"/>
  <c r="AG27" i="1"/>
  <c r="AG28" i="1" s="1"/>
  <c r="AB7" i="1"/>
  <c r="AD7" i="1" s="1"/>
  <c r="AE7" i="1"/>
  <c r="AY6" i="1"/>
  <c r="AY7" i="1" s="1"/>
  <c r="Z8" i="1"/>
  <c r="Y9" i="1"/>
  <c r="Z34" i="1"/>
  <c r="Z35" i="1" s="1"/>
  <c r="Z43" i="1" s="1"/>
  <c r="Z48" i="1" s="1"/>
  <c r="W34" i="1"/>
  <c r="T70" i="14"/>
  <c r="BG15" i="1" l="1"/>
  <c r="BG16" i="1" s="1"/>
  <c r="BG17" i="1" s="1"/>
  <c r="BG13" i="1"/>
  <c r="BH9" i="1"/>
  <c r="BJ9" i="1"/>
  <c r="AY8" i="1"/>
  <c r="AY11" i="1"/>
  <c r="AI27" i="1"/>
  <c r="AI28" i="1" s="1"/>
  <c r="AB8" i="1"/>
  <c r="AE8" i="1"/>
  <c r="Z9" i="1"/>
  <c r="AG26" i="1"/>
  <c r="W35" i="1"/>
  <c r="W43" i="1" s="1"/>
  <c r="AG22" i="1"/>
  <c r="AA34" i="1"/>
  <c r="AG6" i="1" l="1"/>
  <c r="AE21" i="1"/>
  <c r="AY12" i="1"/>
  <c r="AY14" i="1"/>
  <c r="AY15" i="1" s="1"/>
  <c r="AB9" i="1"/>
  <c r="AE9" i="1"/>
  <c r="AG5" i="1"/>
  <c r="AG15" i="1"/>
  <c r="AA35" i="1"/>
  <c r="AA43" i="1" s="1"/>
  <c r="AI26" i="1"/>
  <c r="AI22" i="1"/>
  <c r="AI5" i="1" l="1"/>
  <c r="AI15" i="1"/>
  <c r="AO7" i="1"/>
  <c r="AI6" i="1"/>
  <c r="AP7" i="1" l="1"/>
  <c r="AP8" i="1" s="1"/>
  <c r="AO6" i="1"/>
  <c r="AP6" i="1" s="1"/>
  <c r="AO8" i="1"/>
  <c r="E16" i="14"/>
  <c r="E22" i="14" s="1"/>
  <c r="V11" i="1" l="1"/>
  <c r="Z11" i="1" s="1"/>
  <c r="H25" i="14"/>
  <c r="F25" i="14"/>
  <c r="G25" i="14"/>
  <c r="V12" i="1" l="1"/>
  <c r="BD11" i="1"/>
  <c r="AE11" i="1" l="1"/>
  <c r="AB11" i="1"/>
  <c r="AD11" i="1" s="1"/>
  <c r="Z12" i="1"/>
  <c r="Z18" i="1"/>
  <c r="BD12" i="1"/>
  <c r="BH11" i="1"/>
  <c r="V15" i="1"/>
  <c r="V16" i="1" s="1"/>
  <c r="V17" i="1" s="1"/>
  <c r="V13" i="1"/>
  <c r="Z15" i="1" l="1"/>
  <c r="Z13" i="1"/>
  <c r="BJ11" i="1"/>
  <c r="BJ12" i="1" s="1"/>
  <c r="BH18" i="1"/>
  <c r="BH12" i="1"/>
  <c r="BD15" i="1"/>
  <c r="BD16" i="1" s="1"/>
  <c r="BD17" i="1" s="1"/>
  <c r="BD13" i="1"/>
  <c r="AB12" i="1"/>
  <c r="AD21" i="1"/>
  <c r="Z16" i="1" l="1"/>
  <c r="AG30" i="1"/>
  <c r="AE15" i="1"/>
  <c r="AG29" i="1"/>
  <c r="BJ13" i="1"/>
  <c r="BJ15" i="1"/>
  <c r="BJ16" i="1" s="1"/>
  <c r="BJ17" i="1" s="1"/>
  <c r="AB13" i="1"/>
  <c r="AB15" i="1"/>
  <c r="BH13" i="1"/>
  <c r="BH15" i="1"/>
  <c r="BH16" i="1" s="1"/>
  <c r="BH17" i="1" s="1"/>
  <c r="AB16" i="1" l="1"/>
  <c r="AI30" i="1"/>
  <c r="AI29" i="1"/>
  <c r="Z17" i="1"/>
  <c r="AG7" i="1"/>
  <c r="AE16" i="1"/>
  <c r="AG17" i="1" l="1"/>
  <c r="AE17" i="1"/>
  <c r="AB17" i="1"/>
  <c r="AI17" i="1" s="1"/>
  <c r="AI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<sst xmlns="http://schemas.openxmlformats.org/spreadsheetml/2006/main" count="6079" uniqueCount="1722">
  <si>
    <t>YTD</t>
  </si>
  <si>
    <t>Variance 
(%)</t>
  </si>
  <si>
    <t>NGN</t>
  </si>
  <si>
    <t>USD</t>
  </si>
  <si>
    <t>TOTAL REVENUE</t>
  </si>
  <si>
    <t>TOTAL COST OF SALES</t>
  </si>
  <si>
    <t>Cost of Sales</t>
  </si>
  <si>
    <t>Gross Profit</t>
  </si>
  <si>
    <t>TOTAL OTHER REVENUE</t>
  </si>
  <si>
    <t>Other Income</t>
  </si>
  <si>
    <t>TOTAL OPERATING EXPENSES</t>
  </si>
  <si>
    <t>Total Operating Expenses</t>
  </si>
  <si>
    <t>EBITDA</t>
  </si>
  <si>
    <t xml:space="preserve">TOTAL DEPRECIATION &amp; AMORTISATION </t>
  </si>
  <si>
    <t>Depreciation &amp; Amortisation</t>
  </si>
  <si>
    <t>EBIT</t>
  </si>
  <si>
    <t>TOTAL INTEREST EXPENSES</t>
  </si>
  <si>
    <t>Interest Expense</t>
  </si>
  <si>
    <t>Profit before Tax</t>
  </si>
  <si>
    <t>TOTAL TAX EXPENSES</t>
  </si>
  <si>
    <t>Tax Expense</t>
  </si>
  <si>
    <t>Profit After Tax</t>
  </si>
  <si>
    <t>Ratios</t>
  </si>
  <si>
    <t>Gross Profit Margin</t>
  </si>
  <si>
    <t>EBITDA Margin</t>
  </si>
  <si>
    <t>NET Income Margin</t>
  </si>
  <si>
    <t xml:space="preserve">Common Size Analysis </t>
  </si>
  <si>
    <t>as a % of Revenue</t>
  </si>
  <si>
    <t>Operating Expenses</t>
  </si>
  <si>
    <t>Total Cost</t>
  </si>
  <si>
    <t>Balance Sheet
000</t>
  </si>
  <si>
    <t>TOTAL CASH &amp; CASH EQUIVALENT</t>
  </si>
  <si>
    <t>TOTAL ACCOUNT RECEIVABLES</t>
  </si>
  <si>
    <t xml:space="preserve">Account Receivables </t>
  </si>
  <si>
    <t>TOTAL INVENTORIES</t>
  </si>
  <si>
    <t xml:space="preserve">Inventories </t>
  </si>
  <si>
    <t>TOTAL PREPAID EXPENSES</t>
  </si>
  <si>
    <t>Prepaid Expenses</t>
  </si>
  <si>
    <t>TOTAL STAFF ADVANCES</t>
  </si>
  <si>
    <t>Staff Advances</t>
  </si>
  <si>
    <t>TOTAL OTHER RECIEVABLES `</t>
  </si>
  <si>
    <t>Other Receivables</t>
  </si>
  <si>
    <t>TOTAL OTHER DEBTORS (RELATED PARTY)</t>
  </si>
  <si>
    <t>Other Debtors (Related Party)</t>
  </si>
  <si>
    <t xml:space="preserve">Total Current Asset </t>
  </si>
  <si>
    <t xml:space="preserve">TOTAL PROPERTY, PLANT AND EQUIPMENT </t>
  </si>
  <si>
    <t>Property, Plant &amp; Equipment</t>
  </si>
  <si>
    <t>TOTAL INTANGIBLE ASSETS</t>
  </si>
  <si>
    <t>Intangible Asset</t>
  </si>
  <si>
    <t>TOTAL OTHER FIXED ASSET</t>
  </si>
  <si>
    <t>Other Fixed Asset</t>
  </si>
  <si>
    <t>Total Non Current Asset</t>
  </si>
  <si>
    <t>TOTAL ASSET</t>
  </si>
  <si>
    <t>TOTAL NON CURRENT LIABILITIES</t>
  </si>
  <si>
    <t>TOTAL ACCOUNTS PAYABLES</t>
  </si>
  <si>
    <t>TOTAL TAXES PAYABLE</t>
  </si>
  <si>
    <t>Accounts Payables</t>
  </si>
  <si>
    <t>TOTAL OTHER CURRENT LIABILITIES</t>
  </si>
  <si>
    <t>Taxes Payable</t>
  </si>
  <si>
    <t>Other Current Liabilities</t>
  </si>
  <si>
    <t>Total Liabilities</t>
  </si>
  <si>
    <t>TOTAL CAPITAL</t>
  </si>
  <si>
    <t>TOTAL RETAINED EARNINGS</t>
  </si>
  <si>
    <t>Retained Earnings</t>
  </si>
  <si>
    <t>Total Equities</t>
  </si>
  <si>
    <t>TOTAL LIABILITIES &amp; EQUITIES</t>
  </si>
  <si>
    <t>ROE</t>
  </si>
  <si>
    <t>ROA</t>
  </si>
  <si>
    <t>Customer List</t>
  </si>
  <si>
    <t>MTN Nigeria</t>
  </si>
  <si>
    <t>Globacom</t>
  </si>
  <si>
    <t>UNN</t>
  </si>
  <si>
    <t>NIMC</t>
  </si>
  <si>
    <t>MTN CIV</t>
  </si>
  <si>
    <t>Verified Customers</t>
  </si>
  <si>
    <t>Others</t>
  </si>
  <si>
    <t>NFIs</t>
  </si>
  <si>
    <t xml:space="preserve">Human Resources </t>
  </si>
  <si>
    <t>Total Staff count</t>
  </si>
  <si>
    <t>Total Male staff count</t>
  </si>
  <si>
    <t>Total Female Staff count</t>
  </si>
  <si>
    <t>-% of current female to male ratio at SEAMFIX</t>
  </si>
  <si>
    <t>Count of new Joiners</t>
  </si>
  <si>
    <t>Count of exit</t>
  </si>
  <si>
    <t>Attrition rate (Count of exit/total staff)%</t>
  </si>
  <si>
    <t>Marketing</t>
  </si>
  <si>
    <t xml:space="preserve">Sales </t>
  </si>
  <si>
    <t>Partnership</t>
  </si>
  <si>
    <t>Products</t>
  </si>
  <si>
    <t>Projects</t>
  </si>
  <si>
    <t>GL Code</t>
  </si>
  <si>
    <t>Description</t>
  </si>
  <si>
    <t>REVENUE</t>
  </si>
  <si>
    <t>BioRegistra Income</t>
  </si>
  <si>
    <t>Ancillary Income</t>
  </si>
  <si>
    <t>NIMC Income</t>
  </si>
  <si>
    <t>iTranscript Income</t>
  </si>
  <si>
    <t>Seamfix NextGen Income</t>
  </si>
  <si>
    <t>Verified.ng Income</t>
  </si>
  <si>
    <t>Public Sector Income</t>
  </si>
  <si>
    <t>Telco Suite Income</t>
  </si>
  <si>
    <t>Identity Suite Income</t>
  </si>
  <si>
    <t>Biosmart Income</t>
  </si>
  <si>
    <t>COST OF SALES</t>
  </si>
  <si>
    <t>COS - Equipment &amp; materials purchase</t>
  </si>
  <si>
    <t>COS - Fuel &amp; Oil</t>
  </si>
  <si>
    <t>COS - Hosting &amp; Storage</t>
  </si>
  <si>
    <t>COS - Insurance</t>
  </si>
  <si>
    <t>COS - Internet &amp; Communication</t>
  </si>
  <si>
    <t>COS - Tender and Bidding</t>
  </si>
  <si>
    <t>COS - Meals</t>
  </si>
  <si>
    <t>COS - Printing</t>
  </si>
  <si>
    <t>COS - Professional Services</t>
  </si>
  <si>
    <t>COS - Repairs</t>
  </si>
  <si>
    <t>COS - Sundry expenses</t>
  </si>
  <si>
    <t>COS - Travel &amp; Transportation</t>
  </si>
  <si>
    <t>COS - Wages</t>
  </si>
  <si>
    <t>COS - Software Expense/Licenses</t>
  </si>
  <si>
    <t>COS - Subcontracted Services</t>
  </si>
  <si>
    <t>GROSS PROFIT</t>
  </si>
  <si>
    <t>GROSS PROFIT MARGIN</t>
  </si>
  <si>
    <t>OTHER REVENUE</t>
  </si>
  <si>
    <t>Interest income</t>
  </si>
  <si>
    <t>OPERATING EXPENSES</t>
  </si>
  <si>
    <t>PERSONNEL EXPENSES</t>
  </si>
  <si>
    <t>TOTAL PERSONNEL EXPENSES</t>
  </si>
  <si>
    <t>LEARNING &amp; GROWTH EXPENSES</t>
  </si>
  <si>
    <t xml:space="preserve">TOTAL L&amp;R EXPENSES </t>
  </si>
  <si>
    <t>CUSTOMER ACQUISITION &amp; BRANDING EXPENSES</t>
  </si>
  <si>
    <t>TOTAL CUSTOMER ACQUISITION &amp; BRANDING EXPENSES</t>
  </si>
  <si>
    <t>GENERAL &amp; ADMIN EXPENSES</t>
  </si>
  <si>
    <t>TOTAL GENERAL &amp; ADMIN EXPENSES</t>
  </si>
  <si>
    <t>PROFESSIONAL FEES - OTHERS</t>
  </si>
  <si>
    <t>TRAVEL EXPENSES</t>
  </si>
  <si>
    <t>TOTAL TRAVEL EXPENSES</t>
  </si>
  <si>
    <t>INSURANCE EXPENSES</t>
  </si>
  <si>
    <t>TOTAL INSURANCE EXPENSES</t>
  </si>
  <si>
    <t>LICENSES EXPENSES</t>
  </si>
  <si>
    <t>TOTAL LICENSES EXPENSES</t>
  </si>
  <si>
    <t>BANK EXPENSES</t>
  </si>
  <si>
    <t>TOTAL BANK EXPENSES</t>
  </si>
  <si>
    <t>EXCHANGE GAIN/LOSS</t>
  </si>
  <si>
    <t>TOTAL EXCHANGE GAIN/LOSS</t>
  </si>
  <si>
    <t>DIRECTOR'S AND OTHER EXPENSES</t>
  </si>
  <si>
    <t>TOTAL DIRECTOR'S AND OTHER EXPENSES</t>
  </si>
  <si>
    <t>EBITDA MARGIN</t>
  </si>
  <si>
    <t xml:space="preserve">DEPRECIATION &amp; AMORTISATION </t>
  </si>
  <si>
    <t>EBIT MARGIN</t>
  </si>
  <si>
    <t>INTEREST EXPENSES</t>
  </si>
  <si>
    <t>PBT</t>
  </si>
  <si>
    <t>PBT MARGIN</t>
  </si>
  <si>
    <t>TAX EXPENSES</t>
  </si>
  <si>
    <t>PAT</t>
  </si>
  <si>
    <t>PAT MARGIN</t>
  </si>
  <si>
    <t>CASH &amp; CASH EQUIVALENT</t>
  </si>
  <si>
    <t>Petty Cash</t>
  </si>
  <si>
    <t>Cash in Hand (USD $)</t>
  </si>
  <si>
    <t>UBA APG A/C</t>
  </si>
  <si>
    <t>Fidelity Bank</t>
  </si>
  <si>
    <t>Sterling Bank</t>
  </si>
  <si>
    <t>First Bank (Project) - 2024816865</t>
  </si>
  <si>
    <t>Globus Bank</t>
  </si>
  <si>
    <t>GTBank (USD) $ - Main - 0263574985</t>
  </si>
  <si>
    <t>GTBank (USD) $ - Credit Card A/c - 0265997137</t>
  </si>
  <si>
    <t>GTBank Naira - Main - 0263574978</t>
  </si>
  <si>
    <t>GTBank - Naira - Card - 0602599736</t>
  </si>
  <si>
    <t>GTBank (USD) $ - Debit Card A/c- 0928706568</t>
  </si>
  <si>
    <t>Polaris Bank Main A/c - 1770033064</t>
  </si>
  <si>
    <t>Polaris Operations 1 - 4091053966</t>
  </si>
  <si>
    <t>Polaris Operations 2 - 4091054231</t>
  </si>
  <si>
    <t>Standard Chartered DOM ($) USD - 0001290079</t>
  </si>
  <si>
    <t>Standard Chartered Bank - 0001290062</t>
  </si>
  <si>
    <t>Standard Chartered USD (Funding)</t>
  </si>
  <si>
    <t>Suspense A/C</t>
  </si>
  <si>
    <t>UBA - Main - 1016419015</t>
  </si>
  <si>
    <t>UBA (Project Account) - 1019339134</t>
  </si>
  <si>
    <t>UBA Collections A/C - 1019762956</t>
  </si>
  <si>
    <t>UBA Collections A/C 2 - 1020379576</t>
  </si>
  <si>
    <t>UBA DOM ($) - 3002134203</t>
  </si>
  <si>
    <t>Zenith Bank Settlement - 1012517072</t>
  </si>
  <si>
    <t>Zenith Call Account 1 - 1014670089</t>
  </si>
  <si>
    <t>Zenith Bank Dom ($)</t>
  </si>
  <si>
    <t>WEMA bank - 0123818212 - Main account</t>
  </si>
  <si>
    <t>Zenith Co-operative Bank</t>
  </si>
  <si>
    <t>WEMA Bank - 0280372084 - Card Account</t>
  </si>
  <si>
    <t>Access Bank - 1643868295</t>
  </si>
  <si>
    <t>Access Bank (USD) - 1822288571</t>
  </si>
  <si>
    <t>Access Bank - 1929629343</t>
  </si>
  <si>
    <t>MOMO Account</t>
  </si>
  <si>
    <t>Union Bank</t>
  </si>
  <si>
    <t>Absa Bank Mauritius ($) - 057115998</t>
  </si>
  <si>
    <t>Short Term Investments - Naira</t>
  </si>
  <si>
    <t>Suspense Bank (USD)</t>
  </si>
  <si>
    <t>Short-Term Investment - USD</t>
  </si>
  <si>
    <t>ACCOUNT RECEIVABLES</t>
  </si>
  <si>
    <t>Accounts Receivable (A/R)</t>
  </si>
  <si>
    <t>Account Receivable - NIMC Agents</t>
  </si>
  <si>
    <t>Account Receivable - Stamp Duty</t>
  </si>
  <si>
    <t>Account Receivable (Staff Loan Interest)</t>
  </si>
  <si>
    <t>Accounts Receivable - Others</t>
  </si>
  <si>
    <t>Accounts Receivable (A/R) - USD</t>
  </si>
  <si>
    <t>Accounts Receivables - Nimc Agents.</t>
  </si>
  <si>
    <t>INVENTORIES</t>
  </si>
  <si>
    <t>Inventory</t>
  </si>
  <si>
    <t>Inventory Asset</t>
  </si>
  <si>
    <t>Non-Stock Inventory</t>
  </si>
  <si>
    <t>Good in Transit</t>
  </si>
  <si>
    <t>PREPAID EXPENSES</t>
  </si>
  <si>
    <t>VerifyMe Wallet Funding</t>
  </si>
  <si>
    <t>Prepayments:Prepayments Other Prepaid Expenses</t>
  </si>
  <si>
    <t>Prepayments:Prepayments Prepaid Insurance</t>
  </si>
  <si>
    <t>Prepayments:Prepayments Prepaid Rent</t>
  </si>
  <si>
    <t>STAFF ADVANCES</t>
  </si>
  <si>
    <t>Staff Advances:Staff Advances Chimezie Emewulu</t>
  </si>
  <si>
    <t xml:space="preserve">OTHER RECIEVABLES </t>
  </si>
  <si>
    <t>Refundable Deposit A/C</t>
  </si>
  <si>
    <t>Staff Loan</t>
  </si>
  <si>
    <t>Vendor Advances</t>
  </si>
  <si>
    <t>Withholding Tax Receivable</t>
  </si>
  <si>
    <t>Tax Claimable</t>
  </si>
  <si>
    <t>OTHER DEBTORS (RELATED PARTY)</t>
  </si>
  <si>
    <t>Other Debtors - Seamfix UAE</t>
  </si>
  <si>
    <t>Other Debtors - UK</t>
  </si>
  <si>
    <t>Other Debtors - itranscript Ltd</t>
  </si>
  <si>
    <t>Other Debtors - Seamfix UK</t>
  </si>
  <si>
    <t>Other Debtors - Seamfix Uganda</t>
  </si>
  <si>
    <t>Other Debtors - Seamfix US</t>
  </si>
  <si>
    <t>Other Debtors - Seamfix SA</t>
  </si>
  <si>
    <t>Other Debtors - Seamfix Kenya</t>
  </si>
  <si>
    <t>Other Debtors - Seamfix Texas</t>
  </si>
  <si>
    <t>Other Debtors- MBH Tech</t>
  </si>
  <si>
    <t>TOTAL CURRENT ASSET</t>
  </si>
  <si>
    <t xml:space="preserve">PROPERTY, PLANT AND EQUIPMENT </t>
  </si>
  <si>
    <t>Furniture and Fixtures:Furniture and Fixtures Cost</t>
  </si>
  <si>
    <t>Motor Vehicles: Cost</t>
  </si>
  <si>
    <t>Office &amp; Computer Equipment:Office &amp; Computer Equipment Cost</t>
  </si>
  <si>
    <t>Plant &amp; Machinery:Plant &amp; Machinery Cost</t>
  </si>
  <si>
    <t>Land</t>
  </si>
  <si>
    <t>Leasehold Improvements</t>
  </si>
  <si>
    <t>Building</t>
  </si>
  <si>
    <t>NCA001 Furniture and Fixtures</t>
  </si>
  <si>
    <t>Fixed Asset Clearing Account</t>
  </si>
  <si>
    <t>Furniture and Fixtures Accumulated Depreciation</t>
  </si>
  <si>
    <t>Motor Vehicles: Accumulated Depreciation</t>
  </si>
  <si>
    <t>Office &amp; Computer Equipment Accumulated Depreciation</t>
  </si>
  <si>
    <t>Plant &amp; Machinery Accumulated Depreciation</t>
  </si>
  <si>
    <t>Accumulated Depreciation: Buildings</t>
  </si>
  <si>
    <t>INTANGIBLE ASSETS</t>
  </si>
  <si>
    <t>CA006 Directors' Current Account (Abj) (deleted)</t>
  </si>
  <si>
    <t>Intangible Assets</t>
  </si>
  <si>
    <t>Intangible Assets - Capture</t>
  </si>
  <si>
    <t>Intangible Assets - Verify</t>
  </si>
  <si>
    <t>Intangible Assets - Certify</t>
  </si>
  <si>
    <t>Intangible Assets - I am</t>
  </si>
  <si>
    <t>Accumulated Amortization</t>
  </si>
  <si>
    <t>Amortization - Intangible</t>
  </si>
  <si>
    <t>OTHER FIXED ASSET</t>
  </si>
  <si>
    <t>Investment in Subsidiary - Seamfix UK</t>
  </si>
  <si>
    <t>Investment in Subsidiary (UAE)</t>
  </si>
  <si>
    <t>Investment in Subsidiary - Seamfix SA</t>
  </si>
  <si>
    <t>Investment in Subsidiary - Seamfix Kenya</t>
  </si>
  <si>
    <t>Investment in Subsidiary - iTranscript</t>
  </si>
  <si>
    <t>Investment in Seamfix Foundation LTD/GTE</t>
  </si>
  <si>
    <t>Financial Investment - Capital Markets</t>
  </si>
  <si>
    <t>TOTAL NON-CURRENT ASSET</t>
  </si>
  <si>
    <t>NON CURRENT LIABILITIES</t>
  </si>
  <si>
    <t>Deferred Tax</t>
  </si>
  <si>
    <t>TOTAL NON-CURRENT LIABILITIES</t>
  </si>
  <si>
    <t>ACCOUNTS PAYABLES</t>
  </si>
  <si>
    <t>Accounts Payable (A/P)</t>
  </si>
  <si>
    <t>Accounts Payable (A/P) - USD</t>
  </si>
  <si>
    <t>TAXES PAYABLE</t>
  </si>
  <si>
    <t>Provision for Education Tax</t>
  </si>
  <si>
    <t>VAT Payable</t>
  </si>
  <si>
    <t>VAT Payable:Input VAT &amp; VAT Remitted</t>
  </si>
  <si>
    <t>VAT Payable:VAT Deducted at Source</t>
  </si>
  <si>
    <t>Withholding Tax Payable</t>
  </si>
  <si>
    <t>Provision for Company Income Tax</t>
  </si>
  <si>
    <t>OTHER CURRENT LIABILITIES</t>
  </si>
  <si>
    <t>Verified Customer Wallet</t>
  </si>
  <si>
    <t>Deferred Income (NGN)</t>
  </si>
  <si>
    <t>Deferred Income (USD)</t>
  </si>
  <si>
    <t>Accrued Expenses</t>
  </si>
  <si>
    <t>Accrued Payroll</t>
  </si>
  <si>
    <t>Pension Payable</t>
  </si>
  <si>
    <t>PAYE Payable</t>
  </si>
  <si>
    <t>TOTAL CURRENT LIABILITIES</t>
  </si>
  <si>
    <t>CAPITAL</t>
  </si>
  <si>
    <t>Dividend Paid</t>
  </si>
  <si>
    <t>Share Capital</t>
  </si>
  <si>
    <t>Preference Share Capital</t>
  </si>
  <si>
    <t>Share Premium (Naira)</t>
  </si>
  <si>
    <t>Share Premium (USD)</t>
  </si>
  <si>
    <t>RETAINED EARNINGS</t>
  </si>
  <si>
    <t>Prior Year Adjustment</t>
  </si>
  <si>
    <t>Net Income</t>
  </si>
  <si>
    <t>Profit/(loss) for the period</t>
  </si>
  <si>
    <t>TOTAL EQUITIES</t>
  </si>
  <si>
    <t>TOTAL EQUITIES AND LIABILITIES</t>
  </si>
  <si>
    <t>Account</t>
  </si>
  <si>
    <t>Account Class</t>
  </si>
  <si>
    <t>Type</t>
  </si>
  <si>
    <t>CASHASSET</t>
  </si>
  <si>
    <t>Asset</t>
  </si>
  <si>
    <t>Bank</t>
  </si>
  <si>
    <t>Cash in Hand (GBP)</t>
  </si>
  <si>
    <t>Cash in Hand (USD) OLD</t>
  </si>
  <si>
    <t>OTHERFIXAS</t>
  </si>
  <si>
    <t>Cash in Hand (Naira)</t>
  </si>
  <si>
    <t>EcoBank DOM</t>
  </si>
  <si>
    <t>GTBank (USD) -OLD</t>
  </si>
  <si>
    <t>Heritage Bank</t>
  </si>
  <si>
    <t>Bank Overdraft - Current Asset</t>
  </si>
  <si>
    <t>Standard Chartered USD - Old</t>
  </si>
  <si>
    <t>Suspense Account - Non Denominated</t>
  </si>
  <si>
    <t>UBA Call Deposit</t>
  </si>
  <si>
    <t>BNK057 UBA DOM - OLD</t>
  </si>
  <si>
    <t>Zenith bank (New Account)</t>
  </si>
  <si>
    <t>Zenith Bank DOM ($)</t>
  </si>
  <si>
    <t>Zenith Call Account 2</t>
  </si>
  <si>
    <t>BNK002 Access Bank (IMT) (deleted)</t>
  </si>
  <si>
    <t>BNK017 FCMB (deleted)</t>
  </si>
  <si>
    <t>BNK024 GTB Current Account (deleted)</t>
  </si>
  <si>
    <t>BNK047 Zenith Bank Operations (deleted)</t>
  </si>
  <si>
    <t>BNK049 Zenith Bank Salary (deleted)</t>
  </si>
  <si>
    <t>xxx</t>
  </si>
  <si>
    <t>BNK051 Zenith Bank Treasury (deleted)</t>
  </si>
  <si>
    <t>BNK046 Zenith Bank Main (deleted)</t>
  </si>
  <si>
    <t>BNK052 Zenith Bank Visa Baux (deleted)</t>
  </si>
  <si>
    <t>BNK027 GTB Naira Master Card Account (deleted)</t>
  </si>
  <si>
    <t>BNK005 Diamond Bank (deleted)</t>
  </si>
  <si>
    <t>BNK012 Diamond Bank Dom Account (deleted)</t>
  </si>
  <si>
    <t>BNK001 Access Bank (deleted)</t>
  </si>
  <si>
    <t>BNK025 GTB Dom Account (deleted)</t>
  </si>
  <si>
    <t>BNK004 Diamond (Operations Account) (deleted)</t>
  </si>
  <si>
    <t>BNK018 Fidelity Bank (Main) (deleted)</t>
  </si>
  <si>
    <t>Undeposited Funds</t>
  </si>
  <si>
    <t>BNK019 Fidelity Bank (Operations) (deleted)</t>
  </si>
  <si>
    <t>BNK013 Diamond Bank Treasury (deleted)</t>
  </si>
  <si>
    <t>BNK026 GTB Euro Dom Account (deleted)</t>
  </si>
  <si>
    <t>BNK006 Diamond Bank (JQS Account) (deleted)</t>
  </si>
  <si>
    <t>BNK007 Diamond Bank (JQS2 Account) (deleted)</t>
  </si>
  <si>
    <t>BNK008 Diamond Bank (PRIMEPAY Account) (deleted)</t>
  </si>
  <si>
    <t>BNK009 Diamond Bank (Salary Account) (deleted)</t>
  </si>
  <si>
    <t>BNK010 Diamond Bank (SchoolOnline) (deleted)</t>
  </si>
  <si>
    <t>BNK035 Skye Bank Operations(deleted)</t>
  </si>
  <si>
    <t>BNK030 Intercontinental Bank 2 (deleted)</t>
  </si>
  <si>
    <t>BNK011 Diamond Bank (Settlement) (deleted)</t>
  </si>
  <si>
    <t>BNK028 GTB POUNDS DOM ACCOUNT (deleted)</t>
  </si>
  <si>
    <t>BNK059 Zenith (Staff Multipurpose Cooperative Account) (dele</t>
  </si>
  <si>
    <t>CA012H Staff Advances:Staff Advances EBUKA (deleted)</t>
  </si>
  <si>
    <t>BNK020 FIRST BANK (deleted)</t>
  </si>
  <si>
    <t>BNK023 GTB (Yaraju Account) (deleted)</t>
  </si>
  <si>
    <t>BNK022 FIRST BANK OPERATIONS (deleted)</t>
  </si>
  <si>
    <t>BNK045 Zenith Bank - Ugochukwu Uddoh (deleted)</t>
  </si>
  <si>
    <t>BNK053 Cash in Hand (NGN) (deleted)</t>
  </si>
  <si>
    <t>BNK036 SKYE NIBSS (deleted)</t>
  </si>
  <si>
    <t>BNK031 Intercontinental(Man Power Biz) (deleted)</t>
  </si>
  <si>
    <t>BNK037 Skye SchoolOnline 1 (deleted)</t>
  </si>
  <si>
    <t>BNK034 Skye Bank (SchoolOnline 2) (deleted)</t>
  </si>
  <si>
    <t>BNK016 FBN Operations Account 2 (deleted)</t>
  </si>
  <si>
    <t>Cash in Transit</t>
  </si>
  <si>
    <t>Credit Card Account</t>
  </si>
  <si>
    <t>Bank Account - Euros</t>
  </si>
  <si>
    <t>Cash held by EU entity</t>
  </si>
  <si>
    <t>Bank Account - SGD</t>
  </si>
  <si>
    <t>Absa Bank Mauritius ($) - Fixed Deposit</t>
  </si>
  <si>
    <t>Company Checking Account - subsidiary</t>
  </si>
  <si>
    <t>AR</t>
  </si>
  <si>
    <t>Income</t>
  </si>
  <si>
    <t>Accrued Income - Delete</t>
  </si>
  <si>
    <t>OTHERCURAS</t>
  </si>
  <si>
    <t>Accrued Revenue</t>
  </si>
  <si>
    <t>Unbilled Receivables</t>
  </si>
  <si>
    <t>Project unbilled HR</t>
  </si>
  <si>
    <t>WAREHOUSE</t>
  </si>
  <si>
    <t>Uncategorised Asset</t>
  </si>
  <si>
    <t>IA</t>
  </si>
  <si>
    <t>WIP</t>
  </si>
  <si>
    <t>Work in Progress Inventory</t>
  </si>
  <si>
    <t>Employee Advances</t>
  </si>
  <si>
    <t>Cash Advance</t>
  </si>
  <si>
    <t>STAFFADV</t>
  </si>
  <si>
    <t>Shor-term Investment (USD)</t>
  </si>
  <si>
    <t>Staff Advances:Staff Advance Ebuka Oguno</t>
  </si>
  <si>
    <t>Staff Advances:Staff Advances Chibuzor Onwurah</t>
  </si>
  <si>
    <t>Staff Advances:Staff Advances Promise Uzondu</t>
  </si>
  <si>
    <t>Expense</t>
  </si>
  <si>
    <t>CA012G Staff Advances:Staff Advances CHUKANWOSU (deleted)</t>
  </si>
  <si>
    <t>EXOTHER</t>
  </si>
  <si>
    <t>CA012M Staff Advances:Staff Advances Patrick Ojiti (deleted)</t>
  </si>
  <si>
    <t>CA012E Staff Advances:Staff Advances Chike Okafoeze (deleted</t>
  </si>
  <si>
    <t>CA012C Staff Advances:Staff Advances CHARLES (deleted)</t>
  </si>
  <si>
    <t>CA012B Staff Advances:Staff Advances ADA/DIYAN (deleted)</t>
  </si>
  <si>
    <t>CA012K Staff Advances:Staff Advances Livinus Enoja (deleted)</t>
  </si>
  <si>
    <t>CA012U Staff Advances:Staff Advance Azeez Lawal (deleted)</t>
  </si>
  <si>
    <t>CA012V Staff Advances:Staff Advance Chuks (deleted)</t>
  </si>
  <si>
    <t>CA012Q Staff Advances:Staff Advance Frank Atube (deleted)</t>
  </si>
  <si>
    <t>CA012A Staff Advances:Staff Advances Abiola Okon (deleted)</t>
  </si>
  <si>
    <t>CA012R Staff Advances:Staff Advance McDon Ejike (deleted)</t>
  </si>
  <si>
    <t>CA012T Staff Advances:Staff Advance Olamide Ajah (deleted)</t>
  </si>
  <si>
    <t>PREPEXP</t>
  </si>
  <si>
    <t>Prepayments</t>
  </si>
  <si>
    <t>Eapps Wallet</t>
  </si>
  <si>
    <t>Prepayments:Prepayment - AutoTopUp Wallet</t>
  </si>
  <si>
    <t>Prepaid eWallet</t>
  </si>
  <si>
    <t>Prepayments:Prepayments Prepaid Flight Ticket</t>
  </si>
  <si>
    <t>CA011C Prepayments:Prepayments Prepaid Fuel (deleted)</t>
  </si>
  <si>
    <t>Welfare Loan Account</t>
  </si>
  <si>
    <t>Loan Receivable</t>
  </si>
  <si>
    <t>Withholding Tax Receivable:Withholding Tax Recovered</t>
  </si>
  <si>
    <t>CA007 Finger Print Scanners (deleted)</t>
  </si>
  <si>
    <t>Other Debtors - EVSL</t>
  </si>
  <si>
    <t>Other Debtors - Nano Airtime</t>
  </si>
  <si>
    <t>Other debtors - Billable</t>
  </si>
  <si>
    <t>Account Receivable - Others</t>
  </si>
  <si>
    <t>FIXEDASSET</t>
  </si>
  <si>
    <t>NCA003 Office &amp; Computer Equipment</t>
  </si>
  <si>
    <t>DEPRECIAT</t>
  </si>
  <si>
    <t>AMORTIZA</t>
  </si>
  <si>
    <t>EXDEPR</t>
  </si>
  <si>
    <t>Financial Asset - Impairment Expense</t>
  </si>
  <si>
    <t>RELCURAS</t>
  </si>
  <si>
    <t>Due from related entity</t>
  </si>
  <si>
    <t>Due from HQ</t>
  </si>
  <si>
    <t>Due from EU company</t>
  </si>
  <si>
    <t>Stanbic IBTC (NGN)</t>
  </si>
  <si>
    <t>STANBIC IBTC DOM</t>
  </si>
  <si>
    <t>AP</t>
  </si>
  <si>
    <t>Liability</t>
  </si>
  <si>
    <t>OTHCURLIAB</t>
  </si>
  <si>
    <t>Accrued Audit Fee</t>
  </si>
  <si>
    <t>Inventory Purchase Accrual</t>
  </si>
  <si>
    <t>Landed Cost Accrual</t>
  </si>
  <si>
    <t>Corporate Credit Card</t>
  </si>
  <si>
    <t>Customer Unknown Deposit</t>
  </si>
  <si>
    <t>Bank Overdraft</t>
  </si>
  <si>
    <t>Employee Prepayment</t>
  </si>
  <si>
    <t>Accrued Levies</t>
  </si>
  <si>
    <t>AutoTopUp Customer Wallet</t>
  </si>
  <si>
    <t>Customer Wallet</t>
  </si>
  <si>
    <t>TAXESPAY</t>
  </si>
  <si>
    <t>Lateness Deduction Payable</t>
  </si>
  <si>
    <t>Verified Wallet</t>
  </si>
  <si>
    <t>Unrecognized revenue</t>
  </si>
  <si>
    <t>Billings in Excess of Costs</t>
  </si>
  <si>
    <t>VAT Suspense</t>
  </si>
  <si>
    <t>OTHLTLIABS</t>
  </si>
  <si>
    <t>Del.</t>
  </si>
  <si>
    <t>Payroll Liabilities: FICA Tax Payable</t>
  </si>
  <si>
    <t>Payroll Liabilities: AEIC Tax Payable</t>
  </si>
  <si>
    <t>Payroll Liabilities: FUTA Tax Payable</t>
  </si>
  <si>
    <t>Payroll Liabilities: State Withholding Tax</t>
  </si>
  <si>
    <t>Line of Credit</t>
  </si>
  <si>
    <t>LTDEBTS</t>
  </si>
  <si>
    <t>Provision for Expected Credit Loss (ECL)</t>
  </si>
  <si>
    <t>Note Payable</t>
  </si>
  <si>
    <t>RELCURLIAB</t>
  </si>
  <si>
    <t>Due to related entity</t>
  </si>
  <si>
    <t>Due to USD entity</t>
  </si>
  <si>
    <t>Due to EUR entity</t>
  </si>
  <si>
    <t>Translation Gain / Loss</t>
  </si>
  <si>
    <t>RETEARN</t>
  </si>
  <si>
    <t>Fair Valuation A/c - Retained Earnings (OCI)</t>
  </si>
  <si>
    <t>Members Drawings</t>
  </si>
  <si>
    <t>Members Drawings: Emewulu Chimezie's drawings</t>
  </si>
  <si>
    <t>Members Drawings: Onwurah Chibuzor's drawings</t>
  </si>
  <si>
    <t>Members Drawings: Osuagwu Ezeukwu's drawings</t>
  </si>
  <si>
    <t>Members Drawings: Uddoh Ugochukwu's drawings</t>
  </si>
  <si>
    <t>Capital Stock</t>
  </si>
  <si>
    <t>NETINCOME</t>
  </si>
  <si>
    <t>SALES</t>
  </si>
  <si>
    <t>Sales</t>
  </si>
  <si>
    <t>AutoTopUp Income</t>
  </si>
  <si>
    <t>Billable Expense Income</t>
  </si>
  <si>
    <t>NCC Income</t>
  </si>
  <si>
    <t>MDM Income</t>
  </si>
  <si>
    <t>EXGAIN</t>
  </si>
  <si>
    <t>Exchange Gain</t>
  </si>
  <si>
    <t>iClocker Income</t>
  </si>
  <si>
    <t>SRM Income</t>
  </si>
  <si>
    <t>SAAS-P Income</t>
  </si>
  <si>
    <t>Laspotech Transaction Income</t>
  </si>
  <si>
    <t>SeamID Income</t>
  </si>
  <si>
    <t>Loanpair Income</t>
  </si>
  <si>
    <t>NIBSS Aggregator Income</t>
  </si>
  <si>
    <t>OTHINCOME</t>
  </si>
  <si>
    <t>Seamfixcare Income</t>
  </si>
  <si>
    <t>Other</t>
  </si>
  <si>
    <t>Royalties</t>
  </si>
  <si>
    <t>Primepayroll Income</t>
  </si>
  <si>
    <t>Hardware Supplies - Income</t>
  </si>
  <si>
    <t>Sales - Hardware Supplies: Finger Print Scanner</t>
  </si>
  <si>
    <t>Bundl Income</t>
  </si>
  <si>
    <t>Skye Schools Income</t>
  </si>
  <si>
    <t>Skye Schools Income: Lord's Gate School Income</t>
  </si>
  <si>
    <t>Skye Schools Income: Methodist Boys High Sch Income</t>
  </si>
  <si>
    <t>Training income</t>
  </si>
  <si>
    <t>Unapplied Cash Payment Income</t>
  </si>
  <si>
    <t>Uncategorized Income</t>
  </si>
  <si>
    <t>UNICAL iTranscript Request Income</t>
  </si>
  <si>
    <t>UNICAL iVerification Income</t>
  </si>
  <si>
    <t>UNN iTranscript Request Income</t>
  </si>
  <si>
    <t>Yaraju Income</t>
  </si>
  <si>
    <t>Fix-IAM Income</t>
  </si>
  <si>
    <t>ININTEREST</t>
  </si>
  <si>
    <t>INC039 Accrued Income</t>
  </si>
  <si>
    <t>INC040 iClocker Income</t>
  </si>
  <si>
    <t>Incomplete Records (Income)</t>
  </si>
  <si>
    <t>Insurance Proceeds Received</t>
  </si>
  <si>
    <t>Sales Returns and Allowances</t>
  </si>
  <si>
    <t>RELINCOME</t>
  </si>
  <si>
    <t>Inter Branch Sales</t>
  </si>
  <si>
    <t>Finance Charge Income</t>
  </si>
  <si>
    <t>Discount Taken</t>
  </si>
  <si>
    <t>Other Income (incorrectly categorized)</t>
  </si>
  <si>
    <t>Proceeds from Sale of Assets</t>
  </si>
  <si>
    <t>COGS</t>
  </si>
  <si>
    <t>COS - Hardware Purchases</t>
  </si>
  <si>
    <t>Hardware Purchases</t>
  </si>
  <si>
    <t>Inventory Shrinkage</t>
  </si>
  <si>
    <t>Merchant Account Fees</t>
  </si>
  <si>
    <t>COGS - Direct Labor Costs</t>
  </si>
  <si>
    <t>Commission A/C</t>
  </si>
  <si>
    <t>Freight</t>
  </si>
  <si>
    <t>COGS - Other</t>
  </si>
  <si>
    <t>Physical Inventory Adjustments</t>
  </si>
  <si>
    <t>Standard Cost Adjustments</t>
  </si>
  <si>
    <t>Standard Cost Revaluation Account</t>
  </si>
  <si>
    <t>Other Inventory Adjustments</t>
  </si>
  <si>
    <t>Purchase Price Variance</t>
  </si>
  <si>
    <t>Foreign Professional fees</t>
  </si>
  <si>
    <t>Purchase Returns and Allowances</t>
  </si>
  <si>
    <t>COS - Discount Allowed</t>
  </si>
  <si>
    <t>COS - Accommodation</t>
  </si>
  <si>
    <t>PROJECT EXPENSE:Advance Payment Bond (Insurance)</t>
  </si>
  <si>
    <t>PROJECT EXPENSE:Clearing Charges</t>
  </si>
  <si>
    <t>PROJECT EXPENSE: Communication - delete</t>
  </si>
  <si>
    <t>COS - Consultancy</t>
  </si>
  <si>
    <t>COS - Freight and Shipping</t>
  </si>
  <si>
    <t>PROJECT EXPENSE: Installation</t>
  </si>
  <si>
    <t>COS - Other living expenses</t>
  </si>
  <si>
    <t>PROJECT EXPENSE: Registration</t>
  </si>
  <si>
    <t>PROJECT EXPENSE TESTS</t>
  </si>
  <si>
    <t>PROJECT EXPENSE TRAINING</t>
  </si>
  <si>
    <t>PROJECT EXPENSE Uncategorized Project expenses</t>
  </si>
  <si>
    <t>PROJECT EXPENSE:Work Incentive</t>
  </si>
  <si>
    <t>Project Implementation Expenses 1</t>
  </si>
  <si>
    <t>Project Implementation Expenses 2</t>
  </si>
  <si>
    <t>EXSERVICE</t>
  </si>
  <si>
    <t>Equipment rental</t>
  </si>
  <si>
    <t>Purchases</t>
  </si>
  <si>
    <t>EXOFFICE</t>
  </si>
  <si>
    <t>Registration</t>
  </si>
  <si>
    <t>Rental Expense</t>
  </si>
  <si>
    <t>Repairs and Maintenance</t>
  </si>
  <si>
    <t>Repairs and Maintenance: Furniture &amp; Fittings</t>
  </si>
  <si>
    <t>Repairs and Maintenance: Office &amp; Computer Equipment</t>
  </si>
  <si>
    <t>Repairs and Maintenance: Plant &amp; Machinery</t>
  </si>
  <si>
    <t>Fines &amp; Penalties</t>
  </si>
  <si>
    <t>Printing and Reproduction</t>
  </si>
  <si>
    <t>Internet Expense</t>
  </si>
  <si>
    <t>EXLEARN</t>
  </si>
  <si>
    <t>Research &amp; Development</t>
  </si>
  <si>
    <t>Software Tools</t>
  </si>
  <si>
    <t>EXPERS</t>
  </si>
  <si>
    <t>Staff Welfare: Gifts expense</t>
  </si>
  <si>
    <t>Maintenance - Land</t>
  </si>
  <si>
    <t>Staff Welfare: Medicals</t>
  </si>
  <si>
    <t>Staff Welfare: Staff Insurance</t>
  </si>
  <si>
    <t>Retreats</t>
  </si>
  <si>
    <t>Suspense</t>
  </si>
  <si>
    <t>EXTAX</t>
  </si>
  <si>
    <t>Levies</t>
  </si>
  <si>
    <t>EXADVERT</t>
  </si>
  <si>
    <t>Marketing &amp; Branding - Digital</t>
  </si>
  <si>
    <t>Marketing &amp; Branding - Offline</t>
  </si>
  <si>
    <t>Marketing &amp; Branding - Events</t>
  </si>
  <si>
    <t>Marketing &amp; Branding - Printing</t>
  </si>
  <si>
    <t>Marketing &amp; Branding - Professional Service &amp; Others</t>
  </si>
  <si>
    <t>Business Development Expenses</t>
  </si>
  <si>
    <t>Business Development Expenses: Accommodation</t>
  </si>
  <si>
    <t>Business Development Expenses: Communication</t>
  </si>
  <si>
    <t>Business Development Expenses: Gift</t>
  </si>
  <si>
    <t>Business Development Expenses: Graphics Design</t>
  </si>
  <si>
    <t>Business Development Expenses: Internet &amp; Communication</t>
  </si>
  <si>
    <t>Business Development Expenses: Meals</t>
  </si>
  <si>
    <t>Business Development Expenses: Other Living Expenses</t>
  </si>
  <si>
    <t>Business Development Expenses: Periodicals &amp; Others</t>
  </si>
  <si>
    <t>Business Development Expenses: Sales Incentive</t>
  </si>
  <si>
    <t>Business Development Expenses: Transport &amp; Other Travel</t>
  </si>
  <si>
    <t>Business Development Expenses:Sundry Expenses</t>
  </si>
  <si>
    <t>Business Devt (SchoolOnline)</t>
  </si>
  <si>
    <t>EXLICENS</t>
  </si>
  <si>
    <t>Business Licenses and Permits</t>
  </si>
  <si>
    <t>Charitable Donations</t>
  </si>
  <si>
    <t>Clearing charges</t>
  </si>
  <si>
    <t>Consultancy expenses</t>
  </si>
  <si>
    <t>Diesel</t>
  </si>
  <si>
    <t>Business Development Expenses: Business Development PR</t>
  </si>
  <si>
    <t>Advertising Expense</t>
  </si>
  <si>
    <t>EXBANK</t>
  </si>
  <si>
    <t>Bank Service Charges</t>
  </si>
  <si>
    <t>Business License &amp; Fees</t>
  </si>
  <si>
    <t>Motor Vehicle Expense</t>
  </si>
  <si>
    <t>Motor Vehicle Expense: Fuel &amp; Oil</t>
  </si>
  <si>
    <t>Motor Vehicle Expense:Servicing/Repairs</t>
  </si>
  <si>
    <t>Motor Vehicle Expense: Tax/Insurance/Re</t>
  </si>
  <si>
    <t>Vehicles Mileage</t>
  </si>
  <si>
    <t>Vehicles Registration &amp; License</t>
  </si>
  <si>
    <t>Conferences and Seminars</t>
  </si>
  <si>
    <t>Freight &amp; Clearing</t>
  </si>
  <si>
    <t>Dues and subscriptions</t>
  </si>
  <si>
    <t>EXINSURE</t>
  </si>
  <si>
    <t>Insurance Expense</t>
  </si>
  <si>
    <t>Insurance Expense: General Liability Insurance</t>
  </si>
  <si>
    <t>Insurance Expense: Professional Liability</t>
  </si>
  <si>
    <t>Marketing Expense</t>
  </si>
  <si>
    <t>Sales Commission</t>
  </si>
  <si>
    <t>Meals and Entertainment</t>
  </si>
  <si>
    <t>Office Expense</t>
  </si>
  <si>
    <t>Office Expense: Cash Shortage Expense</t>
  </si>
  <si>
    <t>Office Expense: Cleaning &amp; Sanitation</t>
  </si>
  <si>
    <t>Office Expense: Computer accessories &amp; Supplies</t>
  </si>
  <si>
    <t>Office Expense: Other</t>
  </si>
  <si>
    <t>Office Expense: Supplies</t>
  </si>
  <si>
    <t>Office Expense: Software</t>
  </si>
  <si>
    <t>Office Expense: Stationery</t>
  </si>
  <si>
    <t>Postage and Delivery</t>
  </si>
  <si>
    <t>EXPROF</t>
  </si>
  <si>
    <t>Professional Fees - Others</t>
  </si>
  <si>
    <t>Professional Fees:Accounting Fees</t>
  </si>
  <si>
    <t>Professional Fees:Payroll Service Fees</t>
  </si>
  <si>
    <t>Professional Fees:Legal Fees</t>
  </si>
  <si>
    <t>Promotional Expense</t>
  </si>
  <si>
    <t>Rent or Lease Expense</t>
  </si>
  <si>
    <t>Repairs</t>
  </si>
  <si>
    <t>Supplies</t>
  </si>
  <si>
    <t>Telephone</t>
  </si>
  <si>
    <t>Telephone:Telephone Landline</t>
  </si>
  <si>
    <t>Staff Welfare: Staff Allowances</t>
  </si>
  <si>
    <t>Telephone:Telephone Purchases</t>
  </si>
  <si>
    <t>Training</t>
  </si>
  <si>
    <t>EXTRAVEL</t>
  </si>
  <si>
    <t>Transportation</t>
  </si>
  <si>
    <t>Travel</t>
  </si>
  <si>
    <t>Utilities</t>
  </si>
  <si>
    <t>Utilities:Utilities Electricity</t>
  </si>
  <si>
    <t>Utilities:Utilities Water</t>
  </si>
  <si>
    <t>Directors' expenses</t>
  </si>
  <si>
    <t>Directors' expenses: Accommodation</t>
  </si>
  <si>
    <t>Directors' expenses: Drivers' Allowance</t>
  </si>
  <si>
    <t>Directors' expenses: Gift</t>
  </si>
  <si>
    <t>Directors' expenses: Internet</t>
  </si>
  <si>
    <t>Directors' expenses: Medical expenses</t>
  </si>
  <si>
    <t>Directors' expenses: Motor Vehicle Expenses</t>
  </si>
  <si>
    <t>Directors' expenses: Allowances</t>
  </si>
  <si>
    <t>Directors' expenses: Telephone</t>
  </si>
  <si>
    <t>Directors' expenses: Training</t>
  </si>
  <si>
    <t>Directors' expenses: Sundry Expense</t>
  </si>
  <si>
    <t>Depreciation Expense</t>
  </si>
  <si>
    <t>Staff Welfare: Employee Benefits</t>
  </si>
  <si>
    <t>Payroll</t>
  </si>
  <si>
    <t>Payroll: Intercompany Recharges</t>
  </si>
  <si>
    <t>Payroll:Employees Pension Contribution</t>
  </si>
  <si>
    <t>Payroll: Directors' PIT</t>
  </si>
  <si>
    <t>Payroll: Directors' Salaries</t>
  </si>
  <si>
    <t>Payroll: Lateness Deduction</t>
  </si>
  <si>
    <t>Payroll: Staff PAYE &amp; Employee's Pension deductions</t>
  </si>
  <si>
    <t>Payroll: Staff PAYE deductions</t>
  </si>
  <si>
    <t>Payroll: Staff Employee's Pension deductions</t>
  </si>
  <si>
    <t>Payroll: Staff Salaries</t>
  </si>
  <si>
    <t>NSITF Contributions</t>
  </si>
  <si>
    <t>ITF Contributions</t>
  </si>
  <si>
    <t>Disposal Account</t>
  </si>
  <si>
    <t>Hosting Expenses</t>
  </si>
  <si>
    <t>Employer's Pension Contribution</t>
  </si>
  <si>
    <t>Bonuses</t>
  </si>
  <si>
    <t>Wages:Payroll Tax Expenses</t>
  </si>
  <si>
    <t>Wages:Wages - Office Staff</t>
  </si>
  <si>
    <t>Gift expense</t>
  </si>
  <si>
    <t>Incomplete Records</t>
  </si>
  <si>
    <t>Income Tax Expense, State and Local</t>
  </si>
  <si>
    <t>EXTAXOPS</t>
  </si>
  <si>
    <t>Sales/VAT/Use Tax</t>
  </si>
  <si>
    <t>Stamp Duty Tax</t>
  </si>
  <si>
    <t>Taxes: Company Income Tax</t>
  </si>
  <si>
    <t>Taxes:Taxes Education Tax</t>
  </si>
  <si>
    <t>Other Expense</t>
  </si>
  <si>
    <t>Exchange Loss</t>
  </si>
  <si>
    <t>Bad Debt</t>
  </si>
  <si>
    <t>Loanpair Expenses</t>
  </si>
  <si>
    <t>Primepayroll Expenses</t>
  </si>
  <si>
    <t>Primepayroll Expenses: Accommodation Expense</t>
  </si>
  <si>
    <t>Primepayroll Expenses: Advertisement &amp; Promotion</t>
  </si>
  <si>
    <t>Primepayroll Expenses: Communication</t>
  </si>
  <si>
    <t>Primepayroll Expenses: Entertainment &amp; Gift Expense</t>
  </si>
  <si>
    <t>Primepayroll Expenses: Fuel Expense</t>
  </si>
  <si>
    <t>Primepayroll Expenses: Hosting Expense</t>
  </si>
  <si>
    <t>Primepayroll Expenses: Internet Expense</t>
  </si>
  <si>
    <t>Primepayroll Expenses: Meal Expense</t>
  </si>
  <si>
    <t>Primepayroll Expenses: Motor Vehicle Expense</t>
  </si>
  <si>
    <t>Primepayroll Expenses: Printing &amp; Reproduction</t>
  </si>
  <si>
    <t>Primepayroll Expenses: Transportation Expense</t>
  </si>
  <si>
    <t>Reconciliation Discrepancies</t>
  </si>
  <si>
    <t>Yaraju Expenses</t>
  </si>
  <si>
    <t>Internet Expense: Office internet</t>
  </si>
  <si>
    <t>Internet Expense: Staff internet</t>
  </si>
  <si>
    <t>RESEARCH AND DEVELOPMENT: Centenary Project</t>
  </si>
  <si>
    <t>RESEARCH AND DEVELOPMENT: R &amp; D (CUSTOMIZED SOLUTION)</t>
  </si>
  <si>
    <t>RESEARCH AND DEVELOPMENT: R &amp; D (MTRACKER)</t>
  </si>
  <si>
    <t>RESEARCH AND DEVELOPMENT: R &amp; D (TIME &amp; ATTENDANCE)</t>
  </si>
  <si>
    <t>RESEARCH AND DEVELOPMENT: R&amp;D (BIOCAPTURE)</t>
  </si>
  <si>
    <t>RESEARCH AND DEVELOPMENT: R&amp;D SHUFFLE</t>
  </si>
  <si>
    <t>RESEARCH AND DEVELOPMENT: RESEARCH&amp; DEVELOPMENT(PRIMEPAY)</t>
  </si>
  <si>
    <t>RESEARCH AND DEVELOPMENT: Single Window</t>
  </si>
  <si>
    <t>Software Developer Tools</t>
  </si>
  <si>
    <t>Share Capital Expense</t>
  </si>
  <si>
    <t>Deferred Tax Charge</t>
  </si>
  <si>
    <t>Staff Welfare: Fuel Allowance</t>
  </si>
  <si>
    <t>Unapplied Cash Bill Payment Expense</t>
  </si>
  <si>
    <t>Uncategorised Expense</t>
  </si>
  <si>
    <t>Laspotech Transaction Charge</t>
  </si>
  <si>
    <t>Diamond Bank(PRIMEPAY Account)</t>
  </si>
  <si>
    <t>Loss from Sale of Asset</t>
  </si>
  <si>
    <t>EXINTEREST</t>
  </si>
  <si>
    <t>Interest Charges</t>
  </si>
  <si>
    <t>Taxes - Other</t>
  </si>
  <si>
    <t>Inventory Write-Down</t>
  </si>
  <si>
    <t>TRGL</t>
  </si>
  <si>
    <t>Cash Account Revaluation Gain / Loss</t>
  </si>
  <si>
    <t>Gain / Loss of Fixed Asset</t>
  </si>
  <si>
    <t>Unrealized Gain / Loss Currency</t>
  </si>
  <si>
    <t>Project burden</t>
  </si>
  <si>
    <t>Stamp Duty Expense</t>
  </si>
  <si>
    <t>Exchange Gain or Loss</t>
  </si>
  <si>
    <t>Rounding Gain / Loss</t>
  </si>
  <si>
    <t>Professional Fees:Professional Fees Legal Practitioners' fee</t>
  </si>
  <si>
    <t>Professional Fees:Professional Fees Auditors' Fees</t>
  </si>
  <si>
    <t>EXP034C Professional Fees:Business Consulting Services</t>
  </si>
  <si>
    <t>EXP034D Professional Fees:Tax Services</t>
  </si>
  <si>
    <t>Wages</t>
  </si>
  <si>
    <t>Short Term Investments (Liquidation Expense)</t>
  </si>
  <si>
    <t>Amortization Expense</t>
  </si>
  <si>
    <t>Staff Welfare: Utilities</t>
  </si>
  <si>
    <t>Staff Welfare: Transportation Service</t>
  </si>
  <si>
    <t>BS</t>
  </si>
  <si>
    <t>PROFESSIONAL EXPENSES</t>
  </si>
  <si>
    <t>TOTAL PROFESSIONAL EXPENSES</t>
  </si>
  <si>
    <t>CUSTOMER ACQUISITION &amp; BRANDING</t>
  </si>
  <si>
    <t>GBP/NGN</t>
  </si>
  <si>
    <t xml:space="preserve">OTHER RECEIVABLES </t>
  </si>
  <si>
    <t>OTHER PAYABLES (RELATED PARTY)</t>
  </si>
  <si>
    <t>TOTAL OTHER PAYABLES (RELATED PARTY)</t>
  </si>
  <si>
    <t>Anna Bank Account</t>
  </si>
  <si>
    <t>Cash</t>
  </si>
  <si>
    <t>CashPlus Bank</t>
  </si>
  <si>
    <t>Provision for Doubtful Debtors</t>
  </si>
  <si>
    <t>Refundable Deposits</t>
  </si>
  <si>
    <t>Short term investment</t>
  </si>
  <si>
    <t>Prepaid Insurance</t>
  </si>
  <si>
    <t>Vendor Advance</t>
  </si>
  <si>
    <t>Other Debtors - Seamfix FZCO</t>
  </si>
  <si>
    <t>Other Debtors</t>
  </si>
  <si>
    <t>Fixtures and fittings - Cost</t>
  </si>
  <si>
    <t>Office and Computer Equipment - Cost</t>
  </si>
  <si>
    <t>Plant and Machinery - Cost</t>
  </si>
  <si>
    <t>Land &amp; Building  Cost</t>
  </si>
  <si>
    <t>Motor Vehicle Cost</t>
  </si>
  <si>
    <t>Office &amp; Computer Equipment Office &amp; Computer Equipment Cost</t>
  </si>
  <si>
    <t>Plant &amp; Machinery: Plant &amp; Machinery Cost</t>
  </si>
  <si>
    <t>Intangible Assets - Cost</t>
  </si>
  <si>
    <t>Fixtures and fittings - Accumulated Depreciation</t>
  </si>
  <si>
    <t>Motor Vehicles - Accumulated Depreciation</t>
  </si>
  <si>
    <t>Office and Computer Equipment - Accumulated Depreciation</t>
  </si>
  <si>
    <t>Plant/Machinery - Accumulated Depreciation</t>
  </si>
  <si>
    <t>Land &amp; Building - Accumulated Depreciation</t>
  </si>
  <si>
    <t>Fixtures and fittings- Depreciation</t>
  </si>
  <si>
    <t>Accruals</t>
  </si>
  <si>
    <t>Dividends payable</t>
  </si>
  <si>
    <t>Directors Loan Accounts (Director 2)</t>
  </si>
  <si>
    <t>Directors Loan Accounts (Director 1)</t>
  </si>
  <si>
    <t>VAT on Sales(Output VAT)</t>
  </si>
  <si>
    <t>VAT on Purchases (Input VAT) Delete</t>
  </si>
  <si>
    <t>VAT Liability</t>
  </si>
  <si>
    <t>VAT Allocations &amp; Adjustments</t>
  </si>
  <si>
    <t>VAT on Sales - Holding Account</t>
  </si>
  <si>
    <t>VAT on Purchases - Holding Account</t>
  </si>
  <si>
    <t>Corporation Tax Liability</t>
  </si>
  <si>
    <t>Other Creditors</t>
  </si>
  <si>
    <t>Chimezie's  Reimbursables</t>
  </si>
  <si>
    <t>Education Tax</t>
  </si>
  <si>
    <t>Deferred Income</t>
  </si>
  <si>
    <t>VAT on Purchases (Input VAT)</t>
  </si>
  <si>
    <t>Other Creditors - Seamfix FZCO</t>
  </si>
  <si>
    <t>Other Creditors - Seamfix Nigeria</t>
  </si>
  <si>
    <t>Long term Loans &amp; Mortgages</t>
  </si>
  <si>
    <t>PAYE Payable to HMRC</t>
  </si>
  <si>
    <t>NIC Payable to HMRC</t>
  </si>
  <si>
    <t>Shareholders Fund</t>
  </si>
  <si>
    <t>Ordinary Share Capital</t>
  </si>
  <si>
    <t>OTHEQUTY</t>
  </si>
  <si>
    <t>Issued Shares</t>
  </si>
  <si>
    <t>Share Premium</t>
  </si>
  <si>
    <t>Dividends</t>
  </si>
  <si>
    <t>Capital introduced</t>
  </si>
  <si>
    <t>Profit for the year</t>
  </si>
  <si>
    <t>Opening Balances</t>
  </si>
  <si>
    <t>MFA Project Income</t>
  </si>
  <si>
    <t>FixIAM Income</t>
  </si>
  <si>
    <t>Verification services Income</t>
  </si>
  <si>
    <t>Sales Discounts</t>
  </si>
  <si>
    <t>Capture Income</t>
  </si>
  <si>
    <t>Insurance Claims</t>
  </si>
  <si>
    <t>Royalties &amp; Commissions Received</t>
  </si>
  <si>
    <t>NIN Enrolment Income</t>
  </si>
  <si>
    <t>Hardware Supplies</t>
  </si>
  <si>
    <t>Rental Income</t>
  </si>
  <si>
    <t>Sale of Assets</t>
  </si>
  <si>
    <t>Other income</t>
  </si>
  <si>
    <t>COS - Consultancy &amp; Gifts</t>
  </si>
  <si>
    <t>Cost of Sales - Labour</t>
  </si>
  <si>
    <t>COS - NIMC Split</t>
  </si>
  <si>
    <t>COS - Software license</t>
  </si>
  <si>
    <t>Purchase Discounts</t>
  </si>
  <si>
    <t>Other Direct Expenses</t>
  </si>
  <si>
    <t>Printing Expense</t>
  </si>
  <si>
    <t>Internet Charges</t>
  </si>
  <si>
    <t>Research &amp; Development Expense</t>
  </si>
  <si>
    <t>Fuel Scale Charge</t>
  </si>
  <si>
    <t>Miscellaneous Vehicle Expenses</t>
  </si>
  <si>
    <t>Premises Insurance</t>
  </si>
  <si>
    <t>General Rates</t>
  </si>
  <si>
    <t>Water Rates</t>
  </si>
  <si>
    <t>Recruitment Expenses</t>
  </si>
  <si>
    <t>Hotel and Accommodation</t>
  </si>
  <si>
    <t>Overseas Entertainment</t>
  </si>
  <si>
    <t>Overseas Travelling</t>
  </si>
  <si>
    <t>Other Deductions</t>
  </si>
  <si>
    <t>Employers NI</t>
  </si>
  <si>
    <t>Employee Wages and Salaries</t>
  </si>
  <si>
    <t>Other Distribution Expenses</t>
  </si>
  <si>
    <t>Gas &amp; Oil</t>
  </si>
  <si>
    <t>Bank Charges</t>
  </si>
  <si>
    <t>Vehicle Fuel &amp; Oil</t>
  </si>
  <si>
    <t>Motor Vehicle Repair and Servicing</t>
  </si>
  <si>
    <t>Motor Vehicle Licences</t>
  </si>
  <si>
    <t>Motor Vehicle Insurance</t>
  </si>
  <si>
    <t>Pre-operational expenses</t>
  </si>
  <si>
    <t>Phone Call Charges</t>
  </si>
  <si>
    <t>Transportation Expense</t>
  </si>
  <si>
    <t>Car Hire</t>
  </si>
  <si>
    <t>Electricity</t>
  </si>
  <si>
    <t>Office Cleaning Expense</t>
  </si>
  <si>
    <t>Training Expenses</t>
  </si>
  <si>
    <t>Land &amp; Building Depreciation Expense</t>
  </si>
  <si>
    <t>Plant and Machinery Depreciation Expense</t>
  </si>
  <si>
    <t>Office &amp; Computer Equipment Depreciation Expense</t>
  </si>
  <si>
    <t>Software Development</t>
  </si>
  <si>
    <t>Motor Vehicles Depreciation</t>
  </si>
  <si>
    <t>Employer's Pension</t>
  </si>
  <si>
    <t>Intercompany Recharges</t>
  </si>
  <si>
    <t>Commissions</t>
  </si>
  <si>
    <t>Corporation Tax</t>
  </si>
  <si>
    <t>Equipment Hire</t>
  </si>
  <si>
    <t>Consultancy &amp; Professional Fees</t>
  </si>
  <si>
    <t>Staff Welfare</t>
  </si>
  <si>
    <t>Sub-Contractors</t>
  </si>
  <si>
    <t>COS-Discount Allowed</t>
  </si>
  <si>
    <t>COS -  Hosting &amp; Storage</t>
  </si>
  <si>
    <t>COS - Repair</t>
  </si>
  <si>
    <t>Repair and Maintenance: Furniture &amp; Fittings</t>
  </si>
  <si>
    <t>Repair and Maintenance: Office &amp; Computer Equipment</t>
  </si>
  <si>
    <t>Business Development Expenses: Transport &amp; other Travel</t>
  </si>
  <si>
    <t>Business Development Expenses: Sundry Expenses</t>
  </si>
  <si>
    <t>Charitable Donation</t>
  </si>
  <si>
    <t>Motor Vehicle Expense: Servicing/Repairs</t>
  </si>
  <si>
    <t>Dues and Subscriptions</t>
  </si>
  <si>
    <t>MONTH</t>
  </si>
  <si>
    <t>DEFAULT</t>
  </si>
  <si>
    <t>EUR/NGN</t>
  </si>
  <si>
    <t>USD/NGN</t>
  </si>
  <si>
    <t>AED/NGN</t>
  </si>
  <si>
    <t>40015</t>
  </si>
  <si>
    <t>40020</t>
  </si>
  <si>
    <t>40025</t>
  </si>
  <si>
    <t>40030</t>
  </si>
  <si>
    <t>50000</t>
  </si>
  <si>
    <t>51000</t>
  </si>
  <si>
    <t>51400</t>
  </si>
  <si>
    <t>49300</t>
  </si>
  <si>
    <t>49401</t>
  </si>
  <si>
    <t>51235</t>
  </si>
  <si>
    <t>65020</t>
  </si>
  <si>
    <t>63120</t>
  </si>
  <si>
    <t>68501</t>
  </si>
  <si>
    <t>68503</t>
  </si>
  <si>
    <t>51140</t>
  </si>
  <si>
    <t>51225</t>
  </si>
  <si>
    <t>51240</t>
  </si>
  <si>
    <t>51265</t>
  </si>
  <si>
    <t>51325</t>
  </si>
  <si>
    <t>60010</t>
  </si>
  <si>
    <t>60045</t>
  </si>
  <si>
    <t>61600</t>
  </si>
  <si>
    <t>63100</t>
  </si>
  <si>
    <t>51050</t>
  </si>
  <si>
    <t>60200</t>
  </si>
  <si>
    <t>61000</t>
  </si>
  <si>
    <t>62101</t>
  </si>
  <si>
    <t>63125</t>
  </si>
  <si>
    <t>63200</t>
  </si>
  <si>
    <t>51110</t>
  </si>
  <si>
    <t>61700</t>
  </si>
  <si>
    <t>60213</t>
  </si>
  <si>
    <t>51312</t>
  </si>
  <si>
    <t>61100</t>
  </si>
  <si>
    <t>67920</t>
  </si>
  <si>
    <t>51345</t>
  </si>
  <si>
    <t>62400</t>
  </si>
  <si>
    <t>51020</t>
  </si>
  <si>
    <t>64000</t>
  </si>
  <si>
    <t>10130</t>
  </si>
  <si>
    <t>10131</t>
  </si>
  <si>
    <t>10132</t>
  </si>
  <si>
    <t>10133</t>
  </si>
  <si>
    <t>10500</t>
  </si>
  <si>
    <t>11000</t>
  </si>
  <si>
    <t>11005</t>
  </si>
  <si>
    <t>11020</t>
  </si>
  <si>
    <t>12100</t>
  </si>
  <si>
    <t>12400</t>
  </si>
  <si>
    <t>11530</t>
  </si>
  <si>
    <t>17000</t>
  </si>
  <si>
    <t>15010</t>
  </si>
  <si>
    <t>16650</t>
  </si>
  <si>
    <t>20000</t>
  </si>
  <si>
    <t>24550</t>
  </si>
  <si>
    <t>20130</t>
  </si>
  <si>
    <t>30022</t>
  </si>
  <si>
    <t>30040</t>
  </si>
  <si>
    <t>32000</t>
  </si>
  <si>
    <t>33000</t>
  </si>
  <si>
    <t>10104</t>
  </si>
  <si>
    <t>FAB - USD Account</t>
  </si>
  <si>
    <t>FAB Account - AED</t>
  </si>
  <si>
    <t>Mashreq Account - AED</t>
  </si>
  <si>
    <t>Mashreq USD Account</t>
  </si>
  <si>
    <t>10134</t>
  </si>
  <si>
    <t>Mashreq EUR account</t>
  </si>
  <si>
    <t>10400</t>
  </si>
  <si>
    <t>10600</t>
  </si>
  <si>
    <t>11501</t>
  </si>
  <si>
    <t>Allowance for bad debt</t>
  </si>
  <si>
    <t>11510</t>
  </si>
  <si>
    <t>Employee Cash Advances</t>
  </si>
  <si>
    <t>Prepaid expenses</t>
  </si>
  <si>
    <t>13001</t>
  </si>
  <si>
    <t>13004</t>
  </si>
  <si>
    <t>13010</t>
  </si>
  <si>
    <t>13120</t>
  </si>
  <si>
    <t>13130</t>
  </si>
  <si>
    <t>13200</t>
  </si>
  <si>
    <t>13300</t>
  </si>
  <si>
    <t>14011</t>
  </si>
  <si>
    <t>14025</t>
  </si>
  <si>
    <t>STLOANS</t>
  </si>
  <si>
    <t>Short-term debit</t>
  </si>
  <si>
    <t>Property, plant and equipment</t>
  </si>
  <si>
    <t>15100</t>
  </si>
  <si>
    <t>15200</t>
  </si>
  <si>
    <t>15300</t>
  </si>
  <si>
    <t>15400</t>
  </si>
  <si>
    <t>15405</t>
  </si>
  <si>
    <t>15410</t>
  </si>
  <si>
    <t>15500</t>
  </si>
  <si>
    <t>15999</t>
  </si>
  <si>
    <t>Accumulated depreciation on property, plant and equipment</t>
  </si>
  <si>
    <t>16929</t>
  </si>
  <si>
    <t>GOODWILL</t>
  </si>
  <si>
    <t>Goodwill</t>
  </si>
  <si>
    <t>19020</t>
  </si>
  <si>
    <t>LTPROVIS</t>
  </si>
  <si>
    <t>Assets held for sale</t>
  </si>
  <si>
    <t>19030</t>
  </si>
  <si>
    <t>Deferred tax assets</t>
  </si>
  <si>
    <t>20005</t>
  </si>
  <si>
    <t>20020</t>
  </si>
  <si>
    <t>20065</t>
  </si>
  <si>
    <t>Payroll liabilities</t>
  </si>
  <si>
    <t>20070</t>
  </si>
  <si>
    <t>Accrued non-current liabilities</t>
  </si>
  <si>
    <t>20080</t>
  </si>
  <si>
    <t>Long-term debt</t>
  </si>
  <si>
    <t>20109</t>
  </si>
  <si>
    <t>Accrued liabilities</t>
  </si>
  <si>
    <t>21010</t>
  </si>
  <si>
    <t>Dividend disbursed</t>
  </si>
  <si>
    <t>21020</t>
  </si>
  <si>
    <t>Equity in earnings of subsidiaries</t>
  </si>
  <si>
    <t>21030</t>
  </si>
  <si>
    <t>Opening Balance</t>
  </si>
  <si>
    <t>21040</t>
  </si>
  <si>
    <t>Other comprehensive income</t>
  </si>
  <si>
    <t>22200</t>
  </si>
  <si>
    <t>23005</t>
  </si>
  <si>
    <t>23010</t>
  </si>
  <si>
    <t>23030</t>
  </si>
  <si>
    <t>23040</t>
  </si>
  <si>
    <t>23400</t>
  </si>
  <si>
    <t>23405</t>
  </si>
  <si>
    <t>23420</t>
  </si>
  <si>
    <t>24010</t>
  </si>
  <si>
    <t>24100</t>
  </si>
  <si>
    <t>Income tax payable</t>
  </si>
  <si>
    <t>Other Creditors Seamfix UK</t>
  </si>
  <si>
    <t>26100</t>
  </si>
  <si>
    <t>LTINV</t>
  </si>
  <si>
    <t>Long-Term Investments</t>
  </si>
  <si>
    <t>27001</t>
  </si>
  <si>
    <t>30005</t>
  </si>
  <si>
    <t>Share capital</t>
  </si>
  <si>
    <t>40000</t>
  </si>
  <si>
    <t>40005</t>
  </si>
  <si>
    <t>40010</t>
  </si>
  <si>
    <t>40045</t>
  </si>
  <si>
    <t>40050</t>
  </si>
  <si>
    <t>40051</t>
  </si>
  <si>
    <t>40055</t>
  </si>
  <si>
    <t>40056</t>
  </si>
  <si>
    <t>40060</t>
  </si>
  <si>
    <t>40062</t>
  </si>
  <si>
    <t>40065</t>
  </si>
  <si>
    <t>40070</t>
  </si>
  <si>
    <t>40075</t>
  </si>
  <si>
    <t>40080</t>
  </si>
  <si>
    <t>40087</t>
  </si>
  <si>
    <t>40090</t>
  </si>
  <si>
    <t>40095</t>
  </si>
  <si>
    <t>40100</t>
  </si>
  <si>
    <t>40105</t>
  </si>
  <si>
    <t>40110</t>
  </si>
  <si>
    <t>40115</t>
  </si>
  <si>
    <t>40120</t>
  </si>
  <si>
    <t>40125</t>
  </si>
  <si>
    <t>40130</t>
  </si>
  <si>
    <t>40135</t>
  </si>
  <si>
    <t>40140</t>
  </si>
  <si>
    <t>40145</t>
  </si>
  <si>
    <t>40150</t>
  </si>
  <si>
    <t>40155</t>
  </si>
  <si>
    <t>40160</t>
  </si>
  <si>
    <t>40200</t>
  </si>
  <si>
    <t>40205</t>
  </si>
  <si>
    <t>40500</t>
  </si>
  <si>
    <t>Other operating income (expenses)</t>
  </si>
  <si>
    <t>40903</t>
  </si>
  <si>
    <t>41000</t>
  </si>
  <si>
    <t>43000</t>
  </si>
  <si>
    <t>45400</t>
  </si>
  <si>
    <t>49000</t>
  </si>
  <si>
    <t>49305</t>
  </si>
  <si>
    <t>49400</t>
  </si>
  <si>
    <t>49405</t>
  </si>
  <si>
    <t>49410</t>
  </si>
  <si>
    <t>Dividend income</t>
  </si>
  <si>
    <t>50005</t>
  </si>
  <si>
    <t>50010</t>
  </si>
  <si>
    <t>50015</t>
  </si>
  <si>
    <t>51010</t>
  </si>
  <si>
    <t>Staff Health Insurance</t>
  </si>
  <si>
    <t>AMORTDEP</t>
  </si>
  <si>
    <t>Amortisation expense</t>
  </si>
  <si>
    <t>51065</t>
  </si>
  <si>
    <t>Commissions and fees</t>
  </si>
  <si>
    <t>51100</t>
  </si>
  <si>
    <t>Income tax expense</t>
  </si>
  <si>
    <t>Insurance - General</t>
  </si>
  <si>
    <t>51120</t>
  </si>
  <si>
    <t>Interest expense</t>
  </si>
  <si>
    <t>Legal and professional fees</t>
  </si>
  <si>
    <t>51150</t>
  </si>
  <si>
    <t>Marketing Expenses</t>
  </si>
  <si>
    <t>51185</t>
  </si>
  <si>
    <t>Other general and administrative expenses</t>
  </si>
  <si>
    <t>51190</t>
  </si>
  <si>
    <t>Other selling expenses</t>
  </si>
  <si>
    <t>51200</t>
  </si>
  <si>
    <t>Rent or lease payments</t>
  </si>
  <si>
    <t>Payroll Expenses</t>
  </si>
  <si>
    <t>Shipping and delivery expense</t>
  </si>
  <si>
    <t>51250</t>
  </si>
  <si>
    <t>Staff Training</t>
  </si>
  <si>
    <t>Stationery and printing</t>
  </si>
  <si>
    <t>51295</t>
  </si>
  <si>
    <t>Travel expenses - general and admin expenses</t>
  </si>
  <si>
    <t>51300</t>
  </si>
  <si>
    <t>Bank charges</t>
  </si>
  <si>
    <t>Vehicle Maintenance Expenses</t>
  </si>
  <si>
    <t>51335</t>
  </si>
  <si>
    <t>Wage expenses</t>
  </si>
  <si>
    <t>Intercompany Transactions</t>
  </si>
  <si>
    <t>52000</t>
  </si>
  <si>
    <t>52100</t>
  </si>
  <si>
    <t>52110</t>
  </si>
  <si>
    <t>52200</t>
  </si>
  <si>
    <t>52300</t>
  </si>
  <si>
    <t>52400</t>
  </si>
  <si>
    <t>52500</t>
  </si>
  <si>
    <t>52600</t>
  </si>
  <si>
    <t>53000</t>
  </si>
  <si>
    <t>53005</t>
  </si>
  <si>
    <t>53010</t>
  </si>
  <si>
    <t>53015</t>
  </si>
  <si>
    <t>53020</t>
  </si>
  <si>
    <t>PROJECT EXPENSE: Communication</t>
  </si>
  <si>
    <t>53025</t>
  </si>
  <si>
    <t>53030</t>
  </si>
  <si>
    <t>53035</t>
  </si>
  <si>
    <t>53040</t>
  </si>
  <si>
    <t>53045</t>
  </si>
  <si>
    <t>53055</t>
  </si>
  <si>
    <t>53060</t>
  </si>
  <si>
    <t>53065</t>
  </si>
  <si>
    <t>53075</t>
  </si>
  <si>
    <t>53080</t>
  </si>
  <si>
    <t>53090</t>
  </si>
  <si>
    <t>53095</t>
  </si>
  <si>
    <t>53105</t>
  </si>
  <si>
    <t>53110</t>
  </si>
  <si>
    <t>53120</t>
  </si>
  <si>
    <t>53140</t>
  </si>
  <si>
    <t>57100</t>
  </si>
  <si>
    <t>60005</t>
  </si>
  <si>
    <t>60015</t>
  </si>
  <si>
    <t>60020</t>
  </si>
  <si>
    <t>60025</t>
  </si>
  <si>
    <t>60030</t>
  </si>
  <si>
    <t>60035</t>
  </si>
  <si>
    <t>60040</t>
  </si>
  <si>
    <t>60050</t>
  </si>
  <si>
    <t>60060</t>
  </si>
  <si>
    <t>60070</t>
  </si>
  <si>
    <t>60075</t>
  </si>
  <si>
    <t>60080</t>
  </si>
  <si>
    <t>60085</t>
  </si>
  <si>
    <t>60090</t>
  </si>
  <si>
    <t>60095</t>
  </si>
  <si>
    <t>60096</t>
  </si>
  <si>
    <t>60100</t>
  </si>
  <si>
    <t>60110</t>
  </si>
  <si>
    <t>60115</t>
  </si>
  <si>
    <t>60120</t>
  </si>
  <si>
    <t>60125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</si>
  <si>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</si>
  <si>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</si>
  <si>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</si>
  <si>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</si>
  <si>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</si>
  <si>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</si>
  <si>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</si>
  <si>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</si>
  <si>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</si>
  <si>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</si>
  <si>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</si>
  <si>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</si>
  <si>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60214</t>
  </si>
  <si>
    <t>60215</t>
  </si>
  <si>
    <t>60216</t>
  </si>
  <si>
    <t>60217</t>
  </si>
  <si>
    <t>60218</t>
  </si>
  <si>
    <t>61200</t>
  </si>
  <si>
    <t>61300</t>
  </si>
  <si>
    <t>61310</t>
  </si>
  <si>
    <t>61315</t>
  </si>
  <si>
    <t>61320</t>
  </si>
  <si>
    <t>61500</t>
  </si>
  <si>
    <t>62100</t>
  </si>
  <si>
    <t>62200</t>
  </si>
  <si>
    <t>62415</t>
  </si>
  <si>
    <t>62420</t>
  </si>
  <si>
    <t>62425</t>
  </si>
  <si>
    <t>62435</t>
  </si>
  <si>
    <t>62700</t>
  </si>
  <si>
    <t>62950</t>
  </si>
  <si>
    <t>63000</t>
  </si>
  <si>
    <t>63110</t>
  </si>
  <si>
    <t>63300</t>
  </si>
  <si>
    <t>63900</t>
  </si>
  <si>
    <t>63905</t>
  </si>
  <si>
    <t>63907</t>
  </si>
  <si>
    <t>63910</t>
  </si>
  <si>
    <t>65000</t>
  </si>
  <si>
    <t>65010</t>
  </si>
  <si>
    <t>65015</t>
  </si>
  <si>
    <t>65030</t>
  </si>
  <si>
    <t>65035</t>
  </si>
  <si>
    <t>65050</t>
  </si>
  <si>
    <t>65095</t>
  </si>
  <si>
    <t>65100</t>
  </si>
  <si>
    <t>65200</t>
  </si>
  <si>
    <t>65800</t>
  </si>
  <si>
    <t>66305</t>
  </si>
  <si>
    <t>66310</t>
  </si>
  <si>
    <t>67000</t>
  </si>
  <si>
    <t>67010</t>
  </si>
  <si>
    <t>Bad debt</t>
  </si>
  <si>
    <t>67012</t>
  </si>
  <si>
    <t>67028</t>
  </si>
  <si>
    <t>67040</t>
  </si>
  <si>
    <t>67055</t>
  </si>
  <si>
    <t>67065</t>
  </si>
  <si>
    <t>67300</t>
  </si>
  <si>
    <t>Freight and delivery - COS</t>
  </si>
  <si>
    <t>67890</t>
  </si>
  <si>
    <t>67940</t>
  </si>
  <si>
    <t>68500</t>
  </si>
  <si>
    <t>68502</t>
  </si>
  <si>
    <t>69600</t>
  </si>
  <si>
    <t>69901</t>
  </si>
  <si>
    <t>69902</t>
  </si>
  <si>
    <t>NIGERIA INCOME STATEMENT</t>
  </si>
  <si>
    <t>NIGERIA BALANCE SHEET</t>
  </si>
  <si>
    <t>Payroll Expense</t>
  </si>
  <si>
    <t>Payroll % of Revenue</t>
  </si>
  <si>
    <t>Liquidity Ratios: Company's ability to repay both short term obligations</t>
  </si>
  <si>
    <t>Current ratio</t>
  </si>
  <si>
    <t>Acid test ratio</t>
  </si>
  <si>
    <t>Cash Ratio</t>
  </si>
  <si>
    <t>Operating cash flow ratio</t>
  </si>
  <si>
    <t>Leverage Financial Ratios: Measures the company's debt level</t>
  </si>
  <si>
    <t>Total Liabilities to Total Assets Ratio</t>
  </si>
  <si>
    <t>Total Liabilities to Equity Ratio</t>
  </si>
  <si>
    <t>Total Assets to Equity Ratio</t>
  </si>
  <si>
    <t>Efficiency Ratios: Measures how well a company is utilizing its resources and assets</t>
  </si>
  <si>
    <t>Asset turnover ratio</t>
  </si>
  <si>
    <t>Receivables turnover ratio (Times)</t>
  </si>
  <si>
    <t>Average Receivable Days Outstanding (Days)</t>
  </si>
  <si>
    <t>Working capital turnover</t>
  </si>
  <si>
    <t>Payables turnover ratio (Times)</t>
  </si>
  <si>
    <t>Average Payables Days Outstanding (Days)</t>
  </si>
  <si>
    <t>Fixed Assets Efficiency Ratio</t>
  </si>
  <si>
    <t>Average Revenue per Employee</t>
  </si>
  <si>
    <t>Cash &amp; Cash Equivalents</t>
  </si>
  <si>
    <t>Total Current Liabilities</t>
  </si>
  <si>
    <t>Non Current Liabilities</t>
  </si>
  <si>
    <t>Employee Count</t>
  </si>
  <si>
    <t>Total Revenue</t>
  </si>
  <si>
    <t>NG Revenue</t>
  </si>
  <si>
    <t>GROUP INCOME STATEMENT</t>
  </si>
  <si>
    <t>GROUP BALANCE SHEET</t>
  </si>
  <si>
    <t>Other Creditors (Related Party)</t>
  </si>
  <si>
    <t xml:space="preserve">Capital </t>
  </si>
  <si>
    <t>NIGERIA CASHFLOW</t>
  </si>
  <si>
    <t>Cashflow
000</t>
  </si>
  <si>
    <t>Working Capital Adjustment</t>
  </si>
  <si>
    <t>Decrease (Increase) in Accounts Receivable</t>
  </si>
  <si>
    <t>Increase (Decrease) in Accounts Payable</t>
  </si>
  <si>
    <t>Increase (Decrease) in Tax Payable</t>
  </si>
  <si>
    <t>Decrease (Increase) in Inventories</t>
  </si>
  <si>
    <t>Increase (Decrease) in Other Operating Activities</t>
  </si>
  <si>
    <t>Net Cash Flows From Operating Activities</t>
  </si>
  <si>
    <t>Operating Activities</t>
  </si>
  <si>
    <t>Investing Activities</t>
  </si>
  <si>
    <t>Capital Expenditures</t>
  </si>
  <si>
    <t>Investments</t>
  </si>
  <si>
    <t>Other Cash Flows from Investing Activities</t>
  </si>
  <si>
    <t>Net Cash Flows From Investing Activities</t>
  </si>
  <si>
    <t>Financing Activities</t>
  </si>
  <si>
    <t>Dividends Paid</t>
  </si>
  <si>
    <t>Sale (Repurchase) of Stock</t>
  </si>
  <si>
    <t>Other Cash Flows From Financing Activities</t>
  </si>
  <si>
    <t>Effect of Exchange Rate Changes</t>
  </si>
  <si>
    <t>Net Cash Flows From Financing Activities</t>
  </si>
  <si>
    <t>Net Increase (Decrease) in Cash and Cash Equivalents:</t>
  </si>
  <si>
    <t>Cash at the Beginning</t>
  </si>
  <si>
    <t xml:space="preserve">Cash at the End </t>
  </si>
  <si>
    <t>ARR</t>
  </si>
  <si>
    <t>S/n</t>
  </si>
  <si>
    <t>Vertical</t>
  </si>
  <si>
    <t>Telco</t>
  </si>
  <si>
    <t>Public Sector</t>
  </si>
  <si>
    <t>Total ARR</t>
  </si>
  <si>
    <t>Revenue by Customer</t>
  </si>
  <si>
    <t>Orange Liberia</t>
  </si>
  <si>
    <t>Balance Sheet</t>
  </si>
  <si>
    <t>Total</t>
  </si>
  <si>
    <t>Annual Recurring Revenue</t>
  </si>
  <si>
    <t>ARR (%)</t>
  </si>
  <si>
    <t>Customer list &amp; Total Revenue check</t>
  </si>
  <si>
    <t>Public Sector Suite</t>
  </si>
  <si>
    <t>Telco Suite</t>
  </si>
  <si>
    <t>PUBLIC SECTOR</t>
  </si>
  <si>
    <t>TELCO</t>
  </si>
  <si>
    <t>IDENTITY</t>
  </si>
  <si>
    <t>OTHERS</t>
  </si>
  <si>
    <t>FIXIAM</t>
  </si>
  <si>
    <t>GROUP TOTAL</t>
  </si>
  <si>
    <t>Revenue by Country</t>
  </si>
  <si>
    <t>Nigeria</t>
  </si>
  <si>
    <t>Liberia</t>
  </si>
  <si>
    <t>CIV</t>
  </si>
  <si>
    <t>UK</t>
  </si>
  <si>
    <t>GROUP CASHFLOW</t>
  </si>
  <si>
    <t>Revenue by Vertical</t>
  </si>
  <si>
    <t>Telco_ARR</t>
  </si>
  <si>
    <t>Public Sector_ARR</t>
  </si>
  <si>
    <t>Others_ARR</t>
  </si>
  <si>
    <t>Identity Suite</t>
  </si>
  <si>
    <t xml:space="preserve">Others </t>
  </si>
  <si>
    <t>Others Customers</t>
  </si>
  <si>
    <t xml:space="preserve">Revenue </t>
  </si>
  <si>
    <t>Direct Expenses</t>
  </si>
  <si>
    <t>Contribution per product</t>
  </si>
  <si>
    <t>Contribution margin %</t>
  </si>
  <si>
    <t>Profit or Loss</t>
  </si>
  <si>
    <t>Profit Margin</t>
  </si>
  <si>
    <t>Expense to Income Ratio</t>
  </si>
  <si>
    <t>SEGMENTED BALANCE SHEET</t>
  </si>
  <si>
    <t>Financial Position Summary</t>
  </si>
  <si>
    <t>Non Current Assets</t>
  </si>
  <si>
    <t>Current Assets</t>
  </si>
  <si>
    <t>Total Assets</t>
  </si>
  <si>
    <t>Current Liabilities</t>
  </si>
  <si>
    <t>Equity</t>
  </si>
  <si>
    <t>Total Equity</t>
  </si>
  <si>
    <t>Total Equity &amp; Liabilities</t>
  </si>
  <si>
    <t>NG</t>
  </si>
  <si>
    <t>UAE</t>
  </si>
  <si>
    <t>Product</t>
  </si>
  <si>
    <t>CONSULTING</t>
  </si>
  <si>
    <t>GROUP</t>
  </si>
  <si>
    <t>Hardware purchases</t>
  </si>
  <si>
    <t>Accomodation</t>
  </si>
  <si>
    <t>Equipment &amp; Mat Purchase</t>
  </si>
  <si>
    <t>Fuel &amp; Oil</t>
  </si>
  <si>
    <t>Hosting &amp; Storage</t>
  </si>
  <si>
    <t>Insurance</t>
  </si>
  <si>
    <t>Internet &amp; Communication</t>
  </si>
  <si>
    <t>Meals</t>
  </si>
  <si>
    <t>Printing</t>
  </si>
  <si>
    <t>Professional Services</t>
  </si>
  <si>
    <t>Sundry expenses</t>
  </si>
  <si>
    <t>Travel &amp; Transport</t>
  </si>
  <si>
    <t>Software Licenses</t>
  </si>
  <si>
    <t>Subcontracted Services</t>
  </si>
  <si>
    <t>Total Direct cost</t>
  </si>
  <si>
    <t>TOTAL</t>
  </si>
  <si>
    <t>Ancillary income</t>
  </si>
  <si>
    <t>-</t>
  </si>
  <si>
    <t>Seamfix NextGen</t>
  </si>
  <si>
    <t>Public sector</t>
  </si>
  <si>
    <t>Telco suite</t>
  </si>
  <si>
    <t>IAM</t>
  </si>
  <si>
    <t>CONSULTING BUSINESS</t>
  </si>
  <si>
    <t>PRODUCT BUSINESS</t>
  </si>
  <si>
    <t>PRODUCT (NGN)</t>
  </si>
  <si>
    <t>CONSULTING (NGN)</t>
  </si>
  <si>
    <t>PRODUCT (USD)</t>
  </si>
  <si>
    <t>Sum of NET</t>
  </si>
  <si>
    <t>Column Labels</t>
  </si>
  <si>
    <t>Row Labels</t>
  </si>
  <si>
    <t>01-2025</t>
  </si>
  <si>
    <t>02-2025</t>
  </si>
  <si>
    <t>03-2025</t>
  </si>
  <si>
    <t>04-2025</t>
  </si>
  <si>
    <t>05-2025</t>
  </si>
  <si>
    <t>06-2025</t>
  </si>
  <si>
    <t>07-2025</t>
  </si>
  <si>
    <t>Grand Total</t>
  </si>
  <si>
    <t>CC</t>
  </si>
  <si>
    <t>CD</t>
  </si>
  <si>
    <t>HA</t>
  </si>
  <si>
    <t>KM</t>
  </si>
  <si>
    <t>TO</t>
  </si>
  <si>
    <t>Platform</t>
  </si>
  <si>
    <t>IC</t>
  </si>
  <si>
    <t>Growth and Marketing</t>
  </si>
  <si>
    <t>MFA Benin</t>
  </si>
  <si>
    <t>Customer Development</t>
  </si>
  <si>
    <t>FX</t>
  </si>
  <si>
    <t>June</t>
  </si>
  <si>
    <t>July</t>
  </si>
  <si>
    <t>PRODUCT-FIXIAM</t>
  </si>
  <si>
    <t>BALANCE SHEET</t>
  </si>
  <si>
    <t>Other Current liabilities</t>
  </si>
  <si>
    <t>Tax payable</t>
  </si>
  <si>
    <t>Accrued Expenses Naira</t>
  </si>
  <si>
    <t>VAT Remitted</t>
  </si>
  <si>
    <t>Accrued Expenses USD</t>
  </si>
  <si>
    <t>VAT Deducted at Source</t>
  </si>
  <si>
    <t>CIT Provision</t>
  </si>
  <si>
    <t>Verified customer wallet</t>
  </si>
  <si>
    <t>Cash &amp; Cash Equivalent</t>
  </si>
  <si>
    <t xml:space="preserve">Non current Liabilities </t>
  </si>
  <si>
    <t>Runway</t>
  </si>
  <si>
    <t>Monthly Cash Burn</t>
  </si>
  <si>
    <t>Canada</t>
  </si>
  <si>
    <t>Tax</t>
  </si>
  <si>
    <t>METRICS</t>
  </si>
  <si>
    <t>Pipeline Size</t>
  </si>
  <si>
    <t>Revenue Target</t>
  </si>
  <si>
    <t>Booked Revenue</t>
  </si>
  <si>
    <t>Earned Revenue</t>
  </si>
  <si>
    <t>Expected Receivables</t>
  </si>
  <si>
    <t>PO Received</t>
  </si>
  <si>
    <t>BOOKED REVENUE</t>
  </si>
  <si>
    <t>Naira</t>
  </si>
  <si>
    <t>MTN Nigeria AMC</t>
  </si>
  <si>
    <t>NIMC 1000 license balance</t>
  </si>
  <si>
    <t>NIMC Support</t>
  </si>
  <si>
    <t>GLO 16k Licenses</t>
  </si>
  <si>
    <t>NIMC Upgrade and enhancement Bal</t>
  </si>
  <si>
    <t>Glo Biosmart X Balance</t>
  </si>
  <si>
    <t>ADF</t>
  </si>
  <si>
    <t>NIMC 7 k Licenses</t>
  </si>
  <si>
    <t>Customer</t>
  </si>
  <si>
    <t>Closing Balance</t>
  </si>
  <si>
    <t>GLO AGENTS</t>
  </si>
  <si>
    <t>NIN Agents</t>
  </si>
  <si>
    <t>Mafab</t>
  </si>
  <si>
    <t>Rose of Sharon</t>
  </si>
  <si>
    <t>MTN</t>
  </si>
  <si>
    <t>MTN N</t>
  </si>
  <si>
    <t>Nextgen</t>
  </si>
  <si>
    <t>Class</t>
  </si>
  <si>
    <t>Sum of Closing Balance</t>
  </si>
  <si>
    <t>Cusomer</t>
  </si>
  <si>
    <t>Sum of Naira</t>
  </si>
  <si>
    <t>PS</t>
  </si>
  <si>
    <t>T</t>
  </si>
  <si>
    <t>O</t>
  </si>
  <si>
    <t>NG Ride</t>
  </si>
  <si>
    <t>CONSULTING (USD)</t>
  </si>
  <si>
    <t>GROUP (USD)</t>
  </si>
  <si>
    <t>n/a</t>
  </si>
  <si>
    <t>GROUP USD</t>
  </si>
  <si>
    <t>Net Income Margin</t>
  </si>
  <si>
    <t>Asset turnover ratio (Times)</t>
  </si>
  <si>
    <t>Fixiam</t>
  </si>
  <si>
    <t>UK Verification</t>
  </si>
  <si>
    <t>UK NIMC</t>
  </si>
  <si>
    <t>I</t>
  </si>
  <si>
    <t>SEGMENTED INCOME STATEMENT (USD)</t>
  </si>
  <si>
    <t>Current Ratio</t>
  </si>
  <si>
    <t>Bridge</t>
  </si>
  <si>
    <t>Revenue</t>
  </si>
  <si>
    <t>$5.1m incremental revenue to bridge revenue gap which si</t>
  </si>
  <si>
    <t>Cost</t>
  </si>
  <si>
    <t>Target</t>
  </si>
  <si>
    <t>Total budget</t>
  </si>
  <si>
    <t>Capex</t>
  </si>
  <si>
    <t>FY 2025 Exit</t>
  </si>
  <si>
    <t>Budgeted opex and 30% cost of sales provision</t>
  </si>
  <si>
    <t xml:space="preserve">Deferred Income </t>
  </si>
  <si>
    <t>Tender &amp; Bidding</t>
  </si>
  <si>
    <t>Fixiam Linkedim</t>
  </si>
  <si>
    <t>Nimc event</t>
  </si>
  <si>
    <t>Other Revenue</t>
  </si>
  <si>
    <t>Gross Margin</t>
  </si>
  <si>
    <t>Dep, Int &amp; Taxes</t>
  </si>
  <si>
    <t>NI</t>
  </si>
  <si>
    <t>Net Margin</t>
  </si>
  <si>
    <t xml:space="preserve">Item </t>
  </si>
  <si>
    <t>Cash Balance</t>
  </si>
  <si>
    <t>FBNQuest</t>
  </si>
  <si>
    <t>Stanbic</t>
  </si>
  <si>
    <t>Cardinal Stone</t>
  </si>
  <si>
    <t>Stanbic IBTC Asset Mgt</t>
  </si>
  <si>
    <t>First Asset</t>
  </si>
  <si>
    <t>ABSA</t>
  </si>
  <si>
    <t>Intangibles-Fixiam</t>
  </si>
  <si>
    <t>Sep'25 YTD</t>
  </si>
  <si>
    <t>SEAMFIX  LIMITED</t>
  </si>
  <si>
    <t>S/N</t>
  </si>
  <si>
    <t>DETAILS</t>
  </si>
  <si>
    <t>N</t>
  </si>
  <si>
    <t>Property Plant and Equipment</t>
  </si>
  <si>
    <t>15501</t>
  </si>
  <si>
    <t>15505</t>
  </si>
  <si>
    <t>15509</t>
  </si>
  <si>
    <t>15510</t>
  </si>
  <si>
    <t>69904</t>
  </si>
  <si>
    <t>INVESTMENT IN SUBSIDIARIES</t>
  </si>
  <si>
    <t>10105</t>
  </si>
  <si>
    <t>10107</t>
  </si>
  <si>
    <t>10108</t>
  </si>
  <si>
    <t>10109</t>
  </si>
  <si>
    <t>10110</t>
  </si>
  <si>
    <t>10112</t>
  </si>
  <si>
    <t xml:space="preserve">OTHER INVESTMENTS </t>
  </si>
  <si>
    <t>10160</t>
  </si>
  <si>
    <t>13003</t>
  </si>
  <si>
    <t>19007</t>
  </si>
  <si>
    <t>INVENTORY</t>
  </si>
  <si>
    <t>SCHEDULE OF RECEIVABLES</t>
  </si>
  <si>
    <t>SCHEDULE OF STAFF ADVANCES</t>
  </si>
  <si>
    <t>13007</t>
  </si>
  <si>
    <t>13008</t>
  </si>
  <si>
    <t>SCHEDULE OF WHT RECEIVABLE</t>
  </si>
  <si>
    <t>13400</t>
  </si>
  <si>
    <t>SCHEDULE OF OTHER RECEIVABLES</t>
  </si>
  <si>
    <t>13002</t>
  </si>
  <si>
    <t>13301</t>
  </si>
  <si>
    <t>14000</t>
  </si>
  <si>
    <t>14001</t>
  </si>
  <si>
    <t>14010</t>
  </si>
  <si>
    <t>14014</t>
  </si>
  <si>
    <t>14015</t>
  </si>
  <si>
    <t>14016</t>
  </si>
  <si>
    <t>14017</t>
  </si>
  <si>
    <t>14020</t>
  </si>
  <si>
    <t>14021</t>
  </si>
  <si>
    <t>19004</t>
  </si>
  <si>
    <t>SCHEDULE OF PREPAYMENTS</t>
  </si>
  <si>
    <t>13135</t>
  </si>
  <si>
    <t>13116</t>
  </si>
  <si>
    <t>CASH IN HAND</t>
  </si>
  <si>
    <t>CASH IN BANK</t>
  </si>
  <si>
    <t>10200</t>
  </si>
  <si>
    <t>10210</t>
  </si>
  <si>
    <t>10213</t>
  </si>
  <si>
    <t>10215</t>
  </si>
  <si>
    <t>10221</t>
  </si>
  <si>
    <t>10223</t>
  </si>
  <si>
    <t>10224</t>
  </si>
  <si>
    <t>10225</t>
  </si>
  <si>
    <t>10226</t>
  </si>
  <si>
    <t>10227</t>
  </si>
  <si>
    <t>GTBank (USD) $ - Debit Card  A/c- 0928706568</t>
  </si>
  <si>
    <t>10230</t>
  </si>
  <si>
    <t>10235</t>
  </si>
  <si>
    <t>10240</t>
  </si>
  <si>
    <t>10245</t>
  </si>
  <si>
    <t>10248</t>
  </si>
  <si>
    <t>10253</t>
  </si>
  <si>
    <t>10255</t>
  </si>
  <si>
    <t>10256</t>
  </si>
  <si>
    <t>10260</t>
  </si>
  <si>
    <t>10265</t>
  </si>
  <si>
    <t>UBA - Main -  1016419015</t>
  </si>
  <si>
    <t>10270</t>
  </si>
  <si>
    <t>10280</t>
  </si>
  <si>
    <t>10285</t>
  </si>
  <si>
    <t>10293</t>
  </si>
  <si>
    <t>UBA DOM ($) -  3002134203</t>
  </si>
  <si>
    <t>10305</t>
  </si>
  <si>
    <t>10310</t>
  </si>
  <si>
    <t>Zenith Call Account 1 -  1014670089</t>
  </si>
  <si>
    <t>10316</t>
  </si>
  <si>
    <t>10317</t>
  </si>
  <si>
    <t>10320</t>
  </si>
  <si>
    <t>10341</t>
  </si>
  <si>
    <t>10342</t>
  </si>
  <si>
    <t>Access Bank</t>
  </si>
  <si>
    <t>10343</t>
  </si>
  <si>
    <t>10497</t>
  </si>
  <si>
    <t>10801</t>
  </si>
  <si>
    <t>Absa Bank Mauritius ($) -  057115998</t>
  </si>
  <si>
    <t>19006</t>
  </si>
  <si>
    <t>CASH + CASH EQUIVALENTS</t>
  </si>
  <si>
    <t>VAT PAYABLE</t>
  </si>
  <si>
    <t>23410</t>
  </si>
  <si>
    <t>SCHEDULE OF TRADE PAYABLES</t>
  </si>
  <si>
    <t>SCHEDULE OF OTHER PAYABLES</t>
  </si>
  <si>
    <t>20010</t>
  </si>
  <si>
    <t>22100</t>
  </si>
  <si>
    <t>22150</t>
  </si>
  <si>
    <t>23000</t>
  </si>
  <si>
    <t>23001</t>
  </si>
  <si>
    <t>23015</t>
  </si>
  <si>
    <t>SCHEDULE OF WITHHOLDING TAX PAYABLE</t>
  </si>
  <si>
    <t>17a</t>
  </si>
  <si>
    <t>SHARE CAPITAL</t>
  </si>
  <si>
    <t>30042</t>
  </si>
  <si>
    <t>17b</t>
  </si>
  <si>
    <t>SHARE PREMIUM</t>
  </si>
  <si>
    <t>30043</t>
  </si>
  <si>
    <t>30044</t>
  </si>
  <si>
    <t>17c</t>
  </si>
  <si>
    <t>Reserves</t>
  </si>
  <si>
    <t>30035</t>
  </si>
  <si>
    <t>17d</t>
  </si>
  <si>
    <t>TAX PROVISION ACCOUNT</t>
  </si>
  <si>
    <t>Other Levies</t>
  </si>
  <si>
    <t>23425</t>
  </si>
  <si>
    <t>SCHEDULE OF SALES INCOME</t>
  </si>
  <si>
    <t>SCHEDULE OF OTHER INCOME</t>
  </si>
  <si>
    <t>40085</t>
  </si>
  <si>
    <t>Other  Income</t>
  </si>
  <si>
    <t>Gains on disposal of fixed assets</t>
  </si>
  <si>
    <t>DIRECT COST OF SALES</t>
  </si>
  <si>
    <t>20a</t>
  </si>
  <si>
    <t>Project Implementation Expenses</t>
  </si>
  <si>
    <t>53074</t>
  </si>
  <si>
    <t>OTHER DIRECT OVERHEAD COSTS</t>
  </si>
  <si>
    <t>20b</t>
  </si>
  <si>
    <t>Installation &amp; Routine Maintenance</t>
  </si>
  <si>
    <t>20c</t>
  </si>
  <si>
    <t>SALES COMMISSION</t>
  </si>
  <si>
    <t>Total Cost of Sales</t>
  </si>
  <si>
    <t>RENT AND RATES</t>
  </si>
  <si>
    <t>REPAIRS AND MAINTENANCE</t>
  </si>
  <si>
    <t>ADVERTISEMENT EXPENSES</t>
  </si>
  <si>
    <t>BUSINESS DEVELOPMENT</t>
  </si>
  <si>
    <t>RESEARCH AND DEVELOPMENT</t>
  </si>
  <si>
    <t>PRINTING AND STATIONERIES</t>
  </si>
  <si>
    <t>INTERNET AND SUBSCRIPTION</t>
  </si>
  <si>
    <t>TRAINING AND STAFF WELFARE</t>
  </si>
  <si>
    <t>MOTOR RUNNING EXPENSES</t>
  </si>
  <si>
    <t>GIFTS AND DONATIONS</t>
  </si>
  <si>
    <t>DEPRECIATION AND AMORTIZATION</t>
  </si>
  <si>
    <t xml:space="preserve">INSURANCE AND LICENSES </t>
  </si>
  <si>
    <t>SALARY AND WAGES</t>
  </si>
  <si>
    <t>STAFF PENSION CONTRIBUTION</t>
  </si>
  <si>
    <t>INTERCOMPANY RECHARGES</t>
  </si>
  <si>
    <t>65007</t>
  </si>
  <si>
    <t>Payroll:  Intercompany Recharges</t>
  </si>
  <si>
    <t>HOTEL ACCOMODATION AND TRANSPORTATIONS</t>
  </si>
  <si>
    <t xml:space="preserve">LEGAL AND PROFESSIONAL FEES </t>
  </si>
  <si>
    <t>AUDITORS' FEES</t>
  </si>
  <si>
    <t>Professional Fees:Professional Fees - Auditors' fee</t>
  </si>
  <si>
    <t xml:space="preserve">DIRECTORS EMOLUMENT </t>
  </si>
  <si>
    <t>Directors' remuneration - Executives</t>
  </si>
  <si>
    <t>Directors' remuneration - Non-Executives</t>
  </si>
  <si>
    <t>BANK CHARGES</t>
  </si>
  <si>
    <t>66300</t>
  </si>
  <si>
    <t>FUEL AND DIESEL</t>
  </si>
  <si>
    <t>OTHER EXPENSES</t>
  </si>
  <si>
    <t>67052</t>
  </si>
  <si>
    <t>Interest on Overdraft</t>
  </si>
  <si>
    <t>Fines and Levies</t>
  </si>
  <si>
    <t>Industrial training</t>
  </si>
  <si>
    <t>NASENI, NPTF &amp; other levies</t>
  </si>
  <si>
    <t>ACCOUNT GROUPINGS</t>
  </si>
  <si>
    <t>FY25</t>
  </si>
  <si>
    <t>FY24</t>
  </si>
  <si>
    <t>p</t>
  </si>
  <si>
    <t>M</t>
  </si>
  <si>
    <t>G</t>
  </si>
  <si>
    <t>P</t>
  </si>
  <si>
    <t>SEGMENTED INCOME STATEMENT (NGN)</t>
  </si>
  <si>
    <t xml:space="preserve">Take to consulting </t>
  </si>
  <si>
    <t xml:space="preserve">Sales Commission - bonus </t>
  </si>
  <si>
    <t>CD - Loan inclusive</t>
  </si>
  <si>
    <t>CO</t>
  </si>
  <si>
    <t>CE</t>
  </si>
  <si>
    <t>Verify_ARR</t>
  </si>
  <si>
    <t>Verify</t>
  </si>
  <si>
    <t>VERIFY</t>
  </si>
  <si>
    <t>V</t>
  </si>
  <si>
    <t>Consulting Business</t>
  </si>
  <si>
    <t>PBS</t>
  </si>
  <si>
    <t>TEL</t>
  </si>
  <si>
    <t>VER</t>
  </si>
  <si>
    <t>NXT</t>
  </si>
  <si>
    <t>IDN</t>
  </si>
  <si>
    <t>First Level Allocation</t>
  </si>
  <si>
    <t>Actual Usage</t>
  </si>
  <si>
    <t>Second Level Allocation</t>
  </si>
  <si>
    <t>Revenue Contribution</t>
  </si>
  <si>
    <t>BGI</t>
  </si>
  <si>
    <t>FIN</t>
  </si>
  <si>
    <t>HRM</t>
  </si>
  <si>
    <t>LEG</t>
  </si>
  <si>
    <t>MGT</t>
  </si>
  <si>
    <t>OPS</t>
  </si>
  <si>
    <t>PDM</t>
  </si>
  <si>
    <t>SOL</t>
  </si>
  <si>
    <t>Total Common Cost above EBITDA</t>
  </si>
  <si>
    <t>Depreciation &amp;Amort</t>
  </si>
  <si>
    <t>Below EBITDA cost</t>
  </si>
  <si>
    <t>Total Common Cost below EBITDA</t>
  </si>
  <si>
    <t>*Others- Next Gen, Rose of Sharon &amp; Hardware</t>
  </si>
  <si>
    <t>Depreciation &amp; Interest Expense</t>
  </si>
  <si>
    <t>Gross Cash Burn</t>
  </si>
  <si>
    <t>Bind -2025</t>
  </si>
  <si>
    <t>Net Cash Burn</t>
  </si>
  <si>
    <t>ONECI</t>
  </si>
  <si>
    <t>Fixiam_UK</t>
  </si>
  <si>
    <t>FIXIAM_NG</t>
  </si>
  <si>
    <t>Fixiam_NG</t>
  </si>
  <si>
    <t>Link to Analysis</t>
  </si>
  <si>
    <t>Consultancy</t>
  </si>
  <si>
    <t xml:space="preserve">Income Statement </t>
  </si>
  <si>
    <t>Summary Income statement</t>
  </si>
  <si>
    <t>Operating Expenditure</t>
  </si>
  <si>
    <t>Depreciation</t>
  </si>
  <si>
    <t>Finance Charges</t>
  </si>
  <si>
    <t>Net Profit or Loss after Tax</t>
  </si>
  <si>
    <t>Summary Balance sheet and Cash Flow Statement</t>
  </si>
  <si>
    <t>Total assets</t>
  </si>
  <si>
    <t>Cash flow from Operations</t>
  </si>
  <si>
    <t>Nigeria only</t>
  </si>
  <si>
    <t>Group</t>
  </si>
  <si>
    <t>Identity</t>
  </si>
  <si>
    <t>SUM of NET</t>
  </si>
  <si>
    <t>Customer/Vendor</t>
  </si>
  <si>
    <t>GL Name</t>
  </si>
  <si>
    <t>FIX</t>
  </si>
  <si>
    <t>GEN</t>
  </si>
  <si>
    <t>OTH</t>
  </si>
  <si>
    <t>Depreciation, Interest Expense &amp; Tax</t>
  </si>
  <si>
    <t>Benin</t>
  </si>
  <si>
    <t>FY 25</t>
  </si>
  <si>
    <t>Verto FX Wallet (Naira)</t>
  </si>
  <si>
    <t>Value Jet Wallet</t>
  </si>
  <si>
    <t>NotchHR Wallet</t>
  </si>
  <si>
    <t>Intangible Assets - MFA Benin</t>
  </si>
  <si>
    <t>Accumulated Amortization - MFA Benin</t>
  </si>
  <si>
    <t>Accumulated Amortization - Biosmart X</t>
  </si>
  <si>
    <t>FY 26</t>
  </si>
  <si>
    <t>Suspense A/c - Liability</t>
  </si>
  <si>
    <t>Fair Value Loss (FVTPL) on short-term Investments</t>
  </si>
  <si>
    <t>Opex to Revenue Ratio</t>
  </si>
  <si>
    <t>Total Payroll Cost</t>
  </si>
  <si>
    <t>Total Commercial Cost</t>
  </si>
  <si>
    <t>Marketing % of Revenue</t>
  </si>
  <si>
    <t>Multipass GBP account</t>
  </si>
  <si>
    <t>10401</t>
  </si>
  <si>
    <t>Multipass EUR account</t>
  </si>
  <si>
    <t>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</si>
</sst>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1" formatCode="_(* #,##0_);_(* \(#,##0\);_(* &quot;-&quot;_);_(@_)"/>
    <numFmt numFmtId="43" formatCode="_(* #,##0.00_);_(* \(#,##0.00\);_(* &quot;-&quot;??_);_(@_)"/>
    <numFmt numFmtId="164" formatCode="&quot;₦&quot;#,##0.00_);[Red]\(&quot;₦&quot;#,##0.00\)"/>
    <numFmt numFmtId="165" formatCode="&quot;$&quot;#,##0_);[Red]\(&quot;$&quot;#,##0\)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(* #,##0_);_(* \(#,##0\);_(* &quot;-&quot;??_);_(@_)"/>
    <numFmt numFmtId="169" formatCode="[Green]0.0%;[Red]\-0.0%;\-"/>
    <numFmt numFmtId="170" formatCode="0,000;\-0,000;\-"/>
    <numFmt numFmtId="171" formatCode="0.0%"/>
    <numFmt numFmtId="172" formatCode="[Blue]0.0%;[Red]\-0.0%;\-"/>
    <numFmt numFmtId="173" formatCode="0.0000"/>
    <numFmt numFmtId="174" formatCode="_(* #,##0.0_);_(* \(#,##0.0\);_(* &quot;-&quot;??_);_(@_)"/>
    <numFmt numFmtId="175" formatCode="[Red]0.0%;[Green]\-0.0%;\-"/>
    <numFmt numFmtId="176" formatCode="#,##0.00;[Red]\-#,##0.00"/>
    <numFmt numFmtId="177" formatCode="m\/d\/yyyy"/>
    <numFmt numFmtId="178" formatCode="0&quot;x&quot;"/>
    <numFmt numFmtId="179" formatCode="0&quot; days&quot;"/>
    <numFmt numFmtId="180" formatCode="0.0&quot;x&quot;"/>
    <numFmt numFmtId="181" formatCode="[$-409]mmm\-yy;@"/>
    <numFmt numFmtId="182" formatCode="_(&quot;$&quot;* #,##0_);_(&quot;$&quot;* \(#,##0\);_(&quot;$&quot;* &quot;-&quot;??_);_(@_)"/>
    <numFmt numFmtId="183" formatCode="_([$$-409]* #,##0_);_([$$-409]* \(#,##0\);_([$$-409]* &quot;-&quot;??_);_(@_)"/>
    <numFmt numFmtId="184" formatCode="[Green]0.000%;[Red]\-0.000%;\-"/>
  </numFmts>
  <fonts count="7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b/>
      <sz val="9"/>
      <color rgb="FF0070C0"/>
      <name val="Calibri"/>
      <family val="2"/>
    </font>
    <font>
      <b/>
      <sz val="9"/>
      <color rgb="FF002060"/>
      <name val="Calibri"/>
      <family val="2"/>
    </font>
    <font>
      <b/>
      <sz val="11"/>
      <color rgb="FF0070C0"/>
      <name val="Aptos Narrow"/>
      <family val="2"/>
      <scheme val="minor"/>
    </font>
    <font>
      <b/>
      <sz val="9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sz val="8"/>
      <color rgb="FF000000"/>
      <name val="Arial"/>
      <family val="2"/>
    </font>
    <font>
      <i/>
      <sz val="8"/>
      <color theme="1"/>
      <name val="Aptos Narrow"/>
      <family val="2"/>
      <scheme val="minor"/>
    </font>
    <font>
      <b/>
      <sz val="8"/>
      <color rgb="FF000000"/>
      <name val="Arial"/>
      <family val="2"/>
    </font>
    <font>
      <b/>
      <sz val="8"/>
      <color theme="1"/>
      <name val="Aptos Narrow"/>
      <family val="2"/>
      <scheme val="minor"/>
    </font>
    <font>
      <sz val="8"/>
      <name val="Tahoma"/>
      <family val="2"/>
    </font>
    <font>
      <b/>
      <sz val="9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9"/>
      <color theme="1"/>
      <name val="Aptos Display"/>
      <family val="2"/>
      <scheme val="major"/>
    </font>
    <font>
      <b/>
      <sz val="9"/>
      <color theme="0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b/>
      <sz val="10"/>
      <color rgb="FF3C46FF"/>
      <name val="Aptos Narrow"/>
      <family val="2"/>
      <scheme val="minor"/>
    </font>
    <font>
      <b/>
      <sz val="16"/>
      <name val="Arial"/>
      <family val="2"/>
    </font>
    <font>
      <sz val="11"/>
      <color theme="1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 Narrow"/>
      <family val="2"/>
    </font>
    <font>
      <b/>
      <strike/>
      <sz val="11"/>
      <name val="Arial"/>
      <family val="2"/>
    </font>
    <font>
      <sz val="11"/>
      <color theme="1"/>
      <name val="Arial Narrow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 Narrow"/>
      <family val="2"/>
    </font>
    <font>
      <sz val="8"/>
      <color theme="1"/>
      <name val="Arial"/>
      <family val="2"/>
    </font>
    <font>
      <b/>
      <sz val="10"/>
      <color rgb="FFFFFFFF"/>
      <name val="Arial"/>
      <family val="2"/>
    </font>
    <font>
      <b/>
      <sz val="9"/>
      <color theme="1"/>
      <name val="Aptos Narrow"/>
      <family val="2"/>
    </font>
    <font>
      <b/>
      <sz val="10"/>
      <color theme="1"/>
      <name val="Aptos Narrow"/>
      <family val="2"/>
    </font>
    <font>
      <b/>
      <sz val="9"/>
      <color theme="1"/>
      <name val="Arial"/>
      <family val="2"/>
    </font>
    <font>
      <sz val="9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9"/>
      <color rgb="FF000000"/>
      <name val="Calibri"/>
      <family val="2"/>
    </font>
    <font>
      <sz val="12"/>
      <color rgb="FF222222"/>
      <name val="Arial"/>
      <family val="2"/>
    </font>
    <font>
      <b/>
      <sz val="10"/>
      <color rgb="FF0070C0"/>
      <name val="Calibri"/>
      <family val="2"/>
    </font>
    <font>
      <b/>
      <sz val="10"/>
      <color rgb="FF000000"/>
      <name val="Calibri"/>
      <family val="2"/>
    </font>
    <font>
      <i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Aptos Narrow"/>
      <scheme val="minor"/>
    </font>
    <font>
      <sz val="9"/>
      <name val="Tahoma"/>
      <family val="2"/>
    </font>
    <font>
      <b/>
      <sz val="10"/>
      <color rgb="FF000000"/>
      <name val="Arial"/>
      <family val="2"/>
    </font>
    <font>
      <b/>
      <sz val="8"/>
      <color theme="1"/>
      <name val="Arial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b/>
      <i/>
      <sz val="9"/>
      <color theme="1"/>
      <name val="Tahoma"/>
      <family val="2"/>
    </font>
    <font>
      <b/>
      <sz val="8"/>
      <color rgb="FF0070C0"/>
      <name val="Calibri"/>
      <family val="2"/>
    </font>
    <font>
      <sz val="9"/>
      <color theme="1"/>
      <name val="Aptos Narrow"/>
    </font>
    <font>
      <b/>
      <sz val="11"/>
      <color theme="1"/>
      <name val="Montserrat"/>
    </font>
    <font>
      <b/>
      <sz val="9"/>
      <color theme="1"/>
      <name val="Aptos Narrow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FE2F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CF178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6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otted">
        <color rgb="FFD9D9D9"/>
      </right>
      <top/>
      <bottom style="dotted">
        <color rgb="FFD9D9D9"/>
      </bottom>
      <diagonal/>
    </border>
    <border>
      <left/>
      <right style="dotted">
        <color rgb="FFD9D9D9"/>
      </right>
      <top/>
      <bottom style="dotted">
        <color rgb="FFD9D9D9"/>
      </bottom>
      <diagonal/>
    </border>
    <border>
      <left/>
      <right style="dashed">
        <color auto="1"/>
      </right>
      <top/>
      <bottom style="dotted">
        <color rgb="FFD9D9D9"/>
      </bottom>
      <diagonal/>
    </border>
    <border>
      <left/>
      <right/>
      <top/>
      <bottom style="dotted">
        <color rgb="FFD9D9D9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otted">
        <color rgb="FFD9D9D9"/>
      </left>
      <right style="dotted">
        <color rgb="FFD9D9D9"/>
      </right>
      <top/>
      <bottom style="dotted">
        <color rgb="FFD9D9D9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thin">
        <color indexed="64"/>
      </left>
      <right style="dashed">
        <color auto="1"/>
      </right>
      <top style="thin">
        <color indexed="64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dashed">
        <color auto="1"/>
      </bottom>
      <diagonal/>
    </border>
    <border>
      <left style="dashed">
        <color auto="1"/>
      </left>
      <right style="thin">
        <color indexed="64"/>
      </right>
      <top style="thin">
        <color indexed="64"/>
      </top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indexed="64"/>
      </right>
      <top style="dashed">
        <color auto="1"/>
      </top>
      <bottom style="thin">
        <color indexed="64"/>
      </bottom>
      <diagonal/>
    </border>
    <border>
      <left style="dashed">
        <color auto="1"/>
      </left>
      <right/>
      <top style="thin">
        <color indexed="64"/>
      </top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dashed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indexed="64"/>
      </right>
      <top style="dashed">
        <color auto="1"/>
      </top>
      <bottom/>
      <diagonal/>
    </border>
    <border>
      <left/>
      <right/>
      <top style="double">
        <color rgb="FF000000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>
      <alignment horizontal="left" vertical="top" wrapText="1"/>
    </xf>
    <xf numFmtId="176" fontId="23" fillId="11" borderId="41">
      <alignment horizontal="right" vertical="top"/>
    </xf>
    <xf numFmtId="176" fontId="21" fillId="11" borderId="0">
      <alignment horizontal="right" vertical="top"/>
    </xf>
    <xf numFmtId="167" fontId="1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23" fillId="0" borderId="0">
      <alignment horizontal="left" vertical="top" wrapText="1"/>
    </xf>
    <xf numFmtId="4" fontId="21" fillId="0" borderId="0">
      <alignment horizontal="right" vertical="top" wrapText="1"/>
    </xf>
    <xf numFmtId="0" fontId="63" fillId="0" borderId="41"/>
    <xf numFmtId="4" fontId="23" fillId="0" borderId="0">
      <alignment horizontal="right" vertical="top" wrapText="1"/>
    </xf>
    <xf numFmtId="0" fontId="64" fillId="0" borderId="0">
      <alignment horizontal="left" vertical="top" wrapText="1"/>
    </xf>
    <xf numFmtId="4" fontId="64" fillId="0" borderId="0">
      <alignment horizontal="right" vertical="top" wrapText="1"/>
    </xf>
    <xf numFmtId="0" fontId="63" fillId="0" borderId="61"/>
    <xf numFmtId="0" fontId="21" fillId="11" borderId="0">
      <alignment horizontal="left" vertical="top"/>
    </xf>
  </cellStyleXfs>
  <cellXfs count="443">
    <xf numFmtId="0" fontId="0" fillId="0" borderId="0" xfId="0"/>
    <xf numFmtId="0" fontId="4" fillId="0" borderId="0" xfId="0" applyFont="1"/>
    <xf numFmtId="17" fontId="5" fillId="3" borderId="6" xfId="0" applyNumberFormat="1" applyFont="1" applyFill="1" applyBorder="1" applyAlignment="1">
      <alignment horizontal="right" wrapText="1"/>
    </xf>
    <xf numFmtId="170" fontId="4" fillId="0" borderId="0" xfId="0" applyNumberFormat="1" applyFont="1"/>
    <xf numFmtId="0" fontId="6" fillId="0" borderId="0" xfId="0" applyFont="1"/>
    <xf numFmtId="168" fontId="4" fillId="0" borderId="0" xfId="1" applyNumberFormat="1" applyFont="1"/>
    <xf numFmtId="168" fontId="6" fillId="0" borderId="0" xfId="1" applyNumberFormat="1" applyFont="1"/>
    <xf numFmtId="168" fontId="4" fillId="0" borderId="0" xfId="0" applyNumberFormat="1" applyFont="1"/>
    <xf numFmtId="10" fontId="4" fillId="0" borderId="0" xfId="0" applyNumberFormat="1" applyFont="1"/>
    <xf numFmtId="171" fontId="4" fillId="0" borderId="0" xfId="2" applyNumberFormat="1" applyFont="1"/>
    <xf numFmtId="0" fontId="0" fillId="0" borderId="0" xfId="0" applyAlignment="1">
      <alignment horizontal="left"/>
    </xf>
    <xf numFmtId="43" fontId="7" fillId="0" borderId="0" xfId="1" applyFont="1"/>
    <xf numFmtId="0" fontId="8" fillId="3" borderId="6" xfId="0" applyFont="1" applyFill="1" applyBorder="1" applyAlignment="1">
      <alignment horizontal="left"/>
    </xf>
    <xf numFmtId="17" fontId="8" fillId="3" borderId="6" xfId="0" applyNumberFormat="1" applyFont="1" applyFill="1" applyBorder="1" applyAlignment="1">
      <alignment horizontal="left"/>
    </xf>
    <xf numFmtId="17" fontId="8" fillId="3" borderId="6" xfId="0" applyNumberFormat="1" applyFont="1" applyFill="1" applyBorder="1" applyAlignment="1">
      <alignment horizontal="right" wrapText="1"/>
    </xf>
    <xf numFmtId="168" fontId="9" fillId="0" borderId="17" xfId="1" applyNumberFormat="1" applyFont="1" applyBorder="1" applyAlignment="1">
      <alignment horizontal="left" wrapText="1"/>
    </xf>
    <xf numFmtId="168" fontId="9" fillId="0" borderId="18" xfId="1" applyNumberFormat="1" applyFont="1" applyBorder="1" applyAlignment="1">
      <alignment horizontal="left"/>
    </xf>
    <xf numFmtId="168" fontId="9" fillId="0" borderId="18" xfId="1" applyNumberFormat="1" applyFont="1" applyBorder="1" applyAlignment="1">
      <alignment horizontal="right" wrapText="1"/>
    </xf>
    <xf numFmtId="168" fontId="9" fillId="0" borderId="19" xfId="1" applyNumberFormat="1" applyFont="1" applyBorder="1" applyAlignment="1">
      <alignment horizontal="right" wrapText="1"/>
    </xf>
    <xf numFmtId="168" fontId="10" fillId="0" borderId="17" xfId="1" applyNumberFormat="1" applyFont="1" applyBorder="1" applyAlignment="1">
      <alignment horizontal="left" wrapText="1"/>
    </xf>
    <xf numFmtId="168" fontId="10" fillId="0" borderId="18" xfId="1" applyNumberFormat="1" applyFont="1" applyBorder="1" applyAlignment="1">
      <alignment horizontal="left"/>
    </xf>
    <xf numFmtId="0" fontId="9" fillId="0" borderId="17" xfId="1" applyNumberFormat="1" applyFont="1" applyBorder="1" applyAlignment="1">
      <alignment horizontal="left" wrapText="1"/>
    </xf>
    <xf numFmtId="168" fontId="11" fillId="3" borderId="18" xfId="1" applyNumberFormat="1" applyFont="1" applyFill="1" applyBorder="1" applyAlignment="1">
      <alignment horizontal="left"/>
    </xf>
    <xf numFmtId="168" fontId="11" fillId="3" borderId="18" xfId="1" applyNumberFormat="1" applyFont="1" applyFill="1" applyBorder="1" applyAlignment="1">
      <alignment horizontal="right" wrapText="1"/>
    </xf>
    <xf numFmtId="168" fontId="11" fillId="0" borderId="17" xfId="1" applyNumberFormat="1" applyFont="1" applyBorder="1" applyAlignment="1">
      <alignment horizontal="left" wrapText="1"/>
    </xf>
    <xf numFmtId="168" fontId="11" fillId="4" borderId="18" xfId="1" applyNumberFormat="1" applyFont="1" applyFill="1" applyBorder="1" applyAlignment="1">
      <alignment horizontal="left"/>
    </xf>
    <xf numFmtId="168" fontId="11" fillId="4" borderId="18" xfId="1" applyNumberFormat="1" applyFont="1" applyFill="1" applyBorder="1" applyAlignment="1">
      <alignment horizontal="right" wrapText="1"/>
    </xf>
    <xf numFmtId="0" fontId="2" fillId="0" borderId="0" xfId="0" applyFont="1"/>
    <xf numFmtId="168" fontId="12" fillId="0" borderId="17" xfId="1" applyNumberFormat="1" applyFont="1" applyBorder="1" applyAlignment="1">
      <alignment horizontal="left" wrapText="1"/>
    </xf>
    <xf numFmtId="168" fontId="13" fillId="0" borderId="18" xfId="1" applyNumberFormat="1" applyFont="1" applyBorder="1" applyAlignment="1">
      <alignment horizontal="left"/>
    </xf>
    <xf numFmtId="172" fontId="12" fillId="0" borderId="18" xfId="2" applyNumberFormat="1" applyFont="1" applyBorder="1" applyAlignment="1">
      <alignment horizontal="right" wrapText="1"/>
    </xf>
    <xf numFmtId="0" fontId="14" fillId="0" borderId="0" xfId="0" applyFont="1"/>
    <xf numFmtId="168" fontId="9" fillId="0" borderId="20" xfId="1" applyNumberFormat="1" applyFont="1" applyBorder="1" applyAlignment="1">
      <alignment horizontal="right" wrapText="1"/>
    </xf>
    <xf numFmtId="0" fontId="0" fillId="0" borderId="21" xfId="0" applyBorder="1" applyAlignment="1">
      <alignment horizontal="left"/>
    </xf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4" xfId="0" applyBorder="1"/>
    <xf numFmtId="0" fontId="0" fillId="0" borderId="25" xfId="0" applyBorder="1"/>
    <xf numFmtId="4" fontId="0" fillId="0" borderId="0" xfId="0" applyNumberFormat="1"/>
    <xf numFmtId="43" fontId="7" fillId="0" borderId="0" xfId="0" applyNumberFormat="1" applyFont="1"/>
    <xf numFmtId="43" fontId="0" fillId="0" borderId="0" xfId="0" applyNumberFormat="1"/>
    <xf numFmtId="168" fontId="11" fillId="5" borderId="18" xfId="1" applyNumberFormat="1" applyFont="1" applyFill="1" applyBorder="1" applyAlignment="1">
      <alignment horizontal="left"/>
    </xf>
    <xf numFmtId="168" fontId="11" fillId="5" borderId="18" xfId="1" applyNumberFormat="1" applyFont="1" applyFill="1" applyBorder="1" applyAlignment="1">
      <alignment horizontal="right" wrapText="1"/>
    </xf>
    <xf numFmtId="0" fontId="9" fillId="0" borderId="18" xfId="0" applyFont="1" applyBorder="1"/>
    <xf numFmtId="168" fontId="0" fillId="0" borderId="0" xfId="0" applyNumberFormat="1"/>
    <xf numFmtId="0" fontId="9" fillId="0" borderId="0" xfId="0" applyFont="1" applyAlignment="1">
      <alignment wrapText="1"/>
    </xf>
    <xf numFmtId="0" fontId="9" fillId="0" borderId="0" xfId="0" applyFont="1"/>
    <xf numFmtId="0" fontId="9" fillId="0" borderId="20" xfId="0" applyFont="1" applyBorder="1" applyAlignment="1">
      <alignment wrapText="1"/>
    </xf>
    <xf numFmtId="0" fontId="9" fillId="0" borderId="20" xfId="0" applyFont="1" applyBorder="1"/>
    <xf numFmtId="168" fontId="0" fillId="0" borderId="0" xfId="1" applyNumberFormat="1" applyFont="1"/>
    <xf numFmtId="0" fontId="15" fillId="6" borderId="26" xfId="0" applyFont="1" applyFill="1" applyBorder="1" applyAlignment="1">
      <alignment wrapText="1"/>
    </xf>
    <xf numFmtId="0" fontId="15" fillId="6" borderId="18" xfId="0" applyFont="1" applyFill="1" applyBorder="1" applyAlignment="1">
      <alignment wrapText="1"/>
    </xf>
    <xf numFmtId="0" fontId="15" fillId="7" borderId="18" xfId="0" applyFont="1" applyFill="1" applyBorder="1"/>
    <xf numFmtId="17" fontId="15" fillId="7" borderId="18" xfId="0" applyNumberFormat="1" applyFont="1" applyFill="1" applyBorder="1" applyAlignment="1">
      <alignment horizontal="right" wrapText="1"/>
    </xf>
    <xf numFmtId="0" fontId="9" fillId="0" borderId="26" xfId="0" quotePrefix="1" applyFont="1" applyBorder="1" applyAlignment="1">
      <alignment horizontal="right" wrapText="1"/>
    </xf>
    <xf numFmtId="0" fontId="9" fillId="0" borderId="18" xfId="0" quotePrefix="1" applyFont="1" applyBorder="1" applyAlignment="1">
      <alignment horizontal="right" wrapText="1"/>
    </xf>
    <xf numFmtId="0" fontId="9" fillId="0" borderId="18" xfId="0" applyFont="1" applyBorder="1" applyAlignment="1">
      <alignment wrapText="1"/>
    </xf>
    <xf numFmtId="0" fontId="9" fillId="0" borderId="26" xfId="0" applyFont="1" applyBorder="1" applyAlignment="1">
      <alignment horizontal="right" wrapText="1"/>
    </xf>
    <xf numFmtId="168" fontId="10" fillId="0" borderId="27" xfId="1" applyNumberFormat="1" applyFont="1" applyBorder="1" applyAlignment="1">
      <alignment wrapText="1"/>
    </xf>
    <xf numFmtId="0" fontId="9" fillId="0" borderId="0" xfId="0" applyFont="1" applyAlignment="1">
      <alignment horizontal="right" wrapText="1"/>
    </xf>
    <xf numFmtId="4" fontId="9" fillId="0" borderId="0" xfId="0" applyNumberFormat="1" applyFont="1" applyAlignment="1">
      <alignment horizontal="right" wrapText="1"/>
    </xf>
    <xf numFmtId="168" fontId="9" fillId="0" borderId="20" xfId="1" applyNumberFormat="1" applyFont="1" applyBorder="1" applyAlignment="1">
      <alignment wrapText="1"/>
    </xf>
    <xf numFmtId="0" fontId="3" fillId="8" borderId="0" xfId="0" applyFont="1" applyFill="1" applyAlignment="1">
      <alignment horizontal="left"/>
    </xf>
    <xf numFmtId="4" fontId="9" fillId="0" borderId="0" xfId="0" applyNumberFormat="1" applyFont="1" applyAlignment="1">
      <alignment wrapText="1"/>
    </xf>
    <xf numFmtId="43" fontId="9" fillId="0" borderId="0" xfId="0" applyNumberFormat="1" applyFont="1" applyAlignment="1">
      <alignment wrapText="1"/>
    </xf>
    <xf numFmtId="0" fontId="16" fillId="9" borderId="6" xfId="0" applyFont="1" applyFill="1" applyBorder="1"/>
    <xf numFmtId="17" fontId="10" fillId="9" borderId="6" xfId="0" applyNumberFormat="1" applyFont="1" applyFill="1" applyBorder="1" applyAlignment="1">
      <alignment horizontal="right" wrapText="1"/>
    </xf>
    <xf numFmtId="0" fontId="17" fillId="0" borderId="0" xfId="0" applyFont="1"/>
    <xf numFmtId="0" fontId="16" fillId="0" borderId="6" xfId="0" applyFont="1" applyBorder="1"/>
    <xf numFmtId="173" fontId="17" fillId="0" borderId="6" xfId="0" applyNumberFormat="1" applyFont="1" applyBorder="1"/>
    <xf numFmtId="0" fontId="17" fillId="0" borderId="6" xfId="0" applyFont="1" applyBorder="1"/>
    <xf numFmtId="4" fontId="17" fillId="0" borderId="6" xfId="0" applyNumberFormat="1" applyFont="1" applyBorder="1"/>
    <xf numFmtId="0" fontId="9" fillId="0" borderId="18" xfId="1" applyNumberFormat="1" applyFont="1" applyBorder="1" applyAlignment="1">
      <alignment horizontal="left" wrapText="1"/>
    </xf>
    <xf numFmtId="0" fontId="9" fillId="0" borderId="17" xfId="1" quotePrefix="1" applyNumberFormat="1" applyFont="1" applyBorder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15" fillId="6" borderId="18" xfId="0" applyFont="1" applyFill="1" applyBorder="1" applyAlignment="1">
      <alignment horizontal="left" vertical="top" wrapText="1"/>
    </xf>
    <xf numFmtId="0" fontId="9" fillId="0" borderId="18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/>
    <xf numFmtId="168" fontId="6" fillId="0" borderId="0" xfId="0" applyNumberFormat="1" applyFont="1"/>
    <xf numFmtId="168" fontId="6" fillId="0" borderId="6" xfId="1" applyNumberFormat="1" applyFont="1" applyBorder="1" applyAlignment="1">
      <alignment horizontal="right"/>
    </xf>
    <xf numFmtId="0" fontId="18" fillId="0" borderId="0" xfId="0" applyFont="1"/>
    <xf numFmtId="17" fontId="18" fillId="0" borderId="0" xfId="0" applyNumberFormat="1" applyFont="1"/>
    <xf numFmtId="0" fontId="19" fillId="0" borderId="6" xfId="0" applyFont="1" applyBorder="1" applyAlignment="1">
      <alignment horizontal="right"/>
    </xf>
    <xf numFmtId="17" fontId="19" fillId="0" borderId="6" xfId="0" applyNumberFormat="1" applyFont="1" applyBorder="1" applyAlignment="1">
      <alignment horizontal="right"/>
    </xf>
    <xf numFmtId="168" fontId="18" fillId="0" borderId="6" xfId="1" applyNumberFormat="1" applyFont="1" applyBorder="1" applyAlignment="1">
      <alignment horizontal="right"/>
    </xf>
    <xf numFmtId="169" fontId="18" fillId="0" borderId="12" xfId="0" applyNumberFormat="1" applyFont="1" applyBorder="1" applyAlignment="1">
      <alignment horizontal="right"/>
    </xf>
    <xf numFmtId="175" fontId="18" fillId="0" borderId="12" xfId="0" applyNumberFormat="1" applyFont="1" applyBorder="1" applyAlignment="1">
      <alignment horizontal="right"/>
    </xf>
    <xf numFmtId="168" fontId="19" fillId="0" borderId="6" xfId="1" applyNumberFormat="1" applyFont="1" applyBorder="1" applyAlignment="1">
      <alignment horizontal="right"/>
    </xf>
    <xf numFmtId="0" fontId="18" fillId="0" borderId="6" xfId="0" applyFont="1" applyBorder="1"/>
    <xf numFmtId="0" fontId="18" fillId="0" borderId="12" xfId="0" applyFont="1" applyBorder="1"/>
    <xf numFmtId="9" fontId="18" fillId="0" borderId="6" xfId="2" applyFont="1" applyBorder="1"/>
    <xf numFmtId="168" fontId="18" fillId="0" borderId="6" xfId="1" applyNumberFormat="1" applyFont="1" applyBorder="1"/>
    <xf numFmtId="168" fontId="18" fillId="0" borderId="6" xfId="2" applyNumberFormat="1" applyFont="1" applyBorder="1"/>
    <xf numFmtId="9" fontId="18" fillId="0" borderId="14" xfId="2" applyFont="1" applyBorder="1"/>
    <xf numFmtId="0" fontId="18" fillId="0" borderId="15" xfId="0" applyFont="1" applyBorder="1"/>
    <xf numFmtId="0" fontId="19" fillId="0" borderId="0" xfId="0" applyFont="1"/>
    <xf numFmtId="169" fontId="19" fillId="0" borderId="12" xfId="0" applyNumberFormat="1" applyFont="1" applyBorder="1" applyAlignment="1">
      <alignment horizontal="right"/>
    </xf>
    <xf numFmtId="9" fontId="18" fillId="0" borderId="29" xfId="2" applyFont="1" applyBorder="1"/>
    <xf numFmtId="9" fontId="18" fillId="0" borderId="16" xfId="2" applyFont="1" applyBorder="1"/>
    <xf numFmtId="43" fontId="18" fillId="0" borderId="6" xfId="1" applyFont="1" applyBorder="1"/>
    <xf numFmtId="174" fontId="18" fillId="0" borderId="6" xfId="1" applyNumberFormat="1" applyFont="1" applyBorder="1"/>
    <xf numFmtId="0" fontId="18" fillId="0" borderId="0" xfId="0" applyFont="1" applyAlignment="1">
      <alignment horizontal="left"/>
    </xf>
    <xf numFmtId="0" fontId="18" fillId="0" borderId="10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168" fontId="18" fillId="0" borderId="6" xfId="1" applyNumberFormat="1" applyFont="1" applyBorder="1" applyAlignment="1">
      <alignment horizontal="left"/>
    </xf>
    <xf numFmtId="168" fontId="19" fillId="0" borderId="6" xfId="1" applyNumberFormat="1" applyFont="1" applyBorder="1" applyAlignment="1">
      <alignment horizontal="left"/>
    </xf>
    <xf numFmtId="0" fontId="19" fillId="0" borderId="28" xfId="0" applyFont="1" applyBorder="1" applyAlignment="1">
      <alignment horizontal="left"/>
    </xf>
    <xf numFmtId="17" fontId="18" fillId="2" borderId="1" xfId="0" applyNumberFormat="1" applyFont="1" applyFill="1" applyBorder="1" applyAlignment="1">
      <alignment horizontal="left"/>
    </xf>
    <xf numFmtId="0" fontId="19" fillId="0" borderId="0" xfId="0" applyFont="1" applyAlignment="1">
      <alignment horizontal="left"/>
    </xf>
    <xf numFmtId="168" fontId="18" fillId="0" borderId="0" xfId="0" applyNumberFormat="1" applyFont="1"/>
    <xf numFmtId="43" fontId="18" fillId="0" borderId="0" xfId="0" applyNumberFormat="1" applyFont="1"/>
    <xf numFmtId="9" fontId="18" fillId="0" borderId="0" xfId="2" applyFont="1" applyBorder="1"/>
    <xf numFmtId="4" fontId="4" fillId="0" borderId="0" xfId="0" applyNumberFormat="1" applyFont="1"/>
    <xf numFmtId="4" fontId="18" fillId="0" borderId="0" xfId="0" applyNumberFormat="1" applyFont="1"/>
    <xf numFmtId="10" fontId="18" fillId="0" borderId="0" xfId="0" applyNumberFormat="1" applyFont="1"/>
    <xf numFmtId="168" fontId="18" fillId="0" borderId="0" xfId="1" applyNumberFormat="1" applyFont="1"/>
    <xf numFmtId="168" fontId="19" fillId="0" borderId="0" xfId="1" applyNumberFormat="1" applyFont="1"/>
    <xf numFmtId="171" fontId="18" fillId="0" borderId="0" xfId="2" applyNumberFormat="1" applyFont="1"/>
    <xf numFmtId="0" fontId="19" fillId="0" borderId="13" xfId="0" applyFont="1" applyBorder="1" applyAlignment="1">
      <alignment horizontal="left"/>
    </xf>
    <xf numFmtId="168" fontId="19" fillId="0" borderId="14" xfId="1" applyNumberFormat="1" applyFont="1" applyBorder="1" applyAlignment="1">
      <alignment horizontal="right"/>
    </xf>
    <xf numFmtId="169" fontId="18" fillId="0" borderId="15" xfId="0" applyNumberFormat="1" applyFont="1" applyBorder="1" applyAlignment="1">
      <alignment horizontal="right"/>
    </xf>
    <xf numFmtId="0" fontId="20" fillId="0" borderId="31" xfId="0" applyFont="1" applyBorder="1" applyAlignment="1">
      <alignment horizontal="left"/>
    </xf>
    <xf numFmtId="0" fontId="18" fillId="0" borderId="32" xfId="0" applyFont="1" applyBorder="1"/>
    <xf numFmtId="0" fontId="18" fillId="0" borderId="33" xfId="0" applyFont="1" applyBorder="1"/>
    <xf numFmtId="168" fontId="19" fillId="0" borderId="0" xfId="1" applyNumberFormat="1" applyFont="1" applyBorder="1" applyAlignment="1">
      <alignment horizontal="right"/>
    </xf>
    <xf numFmtId="169" fontId="18" fillId="0" borderId="0" xfId="0" applyNumberFormat="1" applyFont="1" applyAlignment="1">
      <alignment horizontal="right"/>
    </xf>
    <xf numFmtId="43" fontId="4" fillId="0" borderId="0" xfId="0" applyNumberFormat="1" applyFont="1"/>
    <xf numFmtId="168" fontId="19" fillId="0" borderId="6" xfId="1" applyNumberFormat="1" applyFont="1" applyBorder="1"/>
    <xf numFmtId="171" fontId="18" fillId="0" borderId="6" xfId="2" applyNumberFormat="1" applyFont="1" applyBorder="1" applyAlignment="1">
      <alignment horizontal="right"/>
    </xf>
    <xf numFmtId="175" fontId="18" fillId="0" borderId="15" xfId="0" applyNumberFormat="1" applyFont="1" applyBorder="1" applyAlignment="1">
      <alignment horizontal="right"/>
    </xf>
    <xf numFmtId="171" fontId="18" fillId="0" borderId="0" xfId="2" applyNumberFormat="1" applyFont="1" applyBorder="1" applyAlignment="1">
      <alignment horizontal="right"/>
    </xf>
    <xf numFmtId="168" fontId="18" fillId="0" borderId="0" xfId="1" applyNumberFormat="1" applyFont="1" applyBorder="1" applyAlignment="1">
      <alignment horizontal="right"/>
    </xf>
    <xf numFmtId="168" fontId="19" fillId="0" borderId="0" xfId="1" applyNumberFormat="1" applyFont="1" applyBorder="1"/>
    <xf numFmtId="169" fontId="19" fillId="0" borderId="0" xfId="0" applyNumberFormat="1" applyFont="1" applyAlignment="1">
      <alignment horizontal="right"/>
    </xf>
    <xf numFmtId="43" fontId="18" fillId="0" borderId="0" xfId="1" applyFont="1"/>
    <xf numFmtId="168" fontId="19" fillId="0" borderId="10" xfId="1" applyNumberFormat="1" applyFont="1" applyBorder="1" applyAlignment="1">
      <alignment horizontal="right"/>
    </xf>
    <xf numFmtId="168" fontId="18" fillId="0" borderId="10" xfId="1" applyNumberFormat="1" applyFont="1" applyBorder="1" applyAlignment="1">
      <alignment horizontal="right"/>
    </xf>
    <xf numFmtId="168" fontId="18" fillId="0" borderId="12" xfId="1" applyNumberFormat="1" applyFont="1" applyBorder="1" applyAlignment="1">
      <alignment horizontal="right"/>
    </xf>
    <xf numFmtId="168" fontId="18" fillId="0" borderId="14" xfId="1" applyNumberFormat="1" applyFont="1" applyBorder="1" applyAlignment="1">
      <alignment horizontal="right"/>
    </xf>
    <xf numFmtId="168" fontId="19" fillId="0" borderId="10" xfId="1" applyNumberFormat="1" applyFont="1" applyBorder="1" applyAlignment="1">
      <alignment horizontal="left"/>
    </xf>
    <xf numFmtId="168" fontId="18" fillId="0" borderId="10" xfId="1" applyNumberFormat="1" applyFont="1" applyBorder="1" applyAlignment="1">
      <alignment horizontal="left"/>
    </xf>
    <xf numFmtId="168" fontId="18" fillId="0" borderId="13" xfId="1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168" fontId="18" fillId="0" borderId="37" xfId="1" applyNumberFormat="1" applyFont="1" applyBorder="1" applyAlignment="1">
      <alignment horizontal="right"/>
    </xf>
    <xf numFmtId="168" fontId="19" fillId="0" borderId="37" xfId="1" applyNumberFormat="1" applyFont="1" applyBorder="1" applyAlignment="1">
      <alignment horizontal="right"/>
    </xf>
    <xf numFmtId="171" fontId="19" fillId="0" borderId="6" xfId="2" applyNumberFormat="1" applyFont="1" applyBorder="1" applyAlignment="1">
      <alignment horizontal="right"/>
    </xf>
    <xf numFmtId="168" fontId="18" fillId="0" borderId="12" xfId="1" applyNumberFormat="1" applyFont="1" applyBorder="1" applyAlignment="1">
      <alignment horizontal="left"/>
    </xf>
    <xf numFmtId="168" fontId="18" fillId="0" borderId="15" xfId="1" applyNumberFormat="1" applyFont="1" applyBorder="1" applyAlignment="1">
      <alignment horizontal="left"/>
    </xf>
    <xf numFmtId="168" fontId="19" fillId="0" borderId="31" xfId="1" applyNumberFormat="1" applyFont="1" applyBorder="1" applyAlignment="1">
      <alignment horizontal="left"/>
    </xf>
    <xf numFmtId="168" fontId="19" fillId="0" borderId="32" xfId="1" applyNumberFormat="1" applyFont="1" applyBorder="1" applyAlignment="1">
      <alignment horizontal="left"/>
    </xf>
    <xf numFmtId="168" fontId="19" fillId="0" borderId="33" xfId="1" applyNumberFormat="1" applyFont="1" applyBorder="1" applyAlignment="1">
      <alignment horizontal="left"/>
    </xf>
    <xf numFmtId="168" fontId="19" fillId="0" borderId="13" xfId="1" applyNumberFormat="1" applyFont="1" applyBorder="1" applyAlignment="1">
      <alignment horizontal="left"/>
    </xf>
    <xf numFmtId="168" fontId="19" fillId="0" borderId="14" xfId="1" applyNumberFormat="1" applyFont="1" applyBorder="1" applyAlignment="1">
      <alignment horizontal="left"/>
    </xf>
    <xf numFmtId="0" fontId="0" fillId="0" borderId="34" xfId="0" applyBorder="1" applyAlignment="1">
      <alignment horizontal="left"/>
    </xf>
    <xf numFmtId="17" fontId="0" fillId="0" borderId="35" xfId="0" applyNumberFormat="1" applyBorder="1"/>
    <xf numFmtId="0" fontId="0" fillId="0" borderId="35" xfId="0" applyBorder="1"/>
    <xf numFmtId="168" fontId="6" fillId="0" borderId="10" xfId="1" applyNumberFormat="1" applyFont="1" applyBorder="1" applyAlignment="1">
      <alignment horizontal="left"/>
    </xf>
    <xf numFmtId="168" fontId="6" fillId="0" borderId="12" xfId="1" applyNumberFormat="1" applyFont="1" applyBorder="1" applyAlignment="1">
      <alignment horizontal="right"/>
    </xf>
    <xf numFmtId="168" fontId="6" fillId="10" borderId="32" xfId="1" applyNumberFormat="1" applyFont="1" applyFill="1" applyBorder="1" applyAlignment="1">
      <alignment horizontal="right"/>
    </xf>
    <xf numFmtId="168" fontId="6" fillId="10" borderId="6" xfId="1" applyNumberFormat="1" applyFont="1" applyFill="1" applyBorder="1" applyAlignment="1">
      <alignment horizontal="right"/>
    </xf>
    <xf numFmtId="168" fontId="6" fillId="9" borderId="6" xfId="1" applyNumberFormat="1" applyFont="1" applyFill="1" applyBorder="1" applyAlignment="1">
      <alignment horizontal="right"/>
    </xf>
    <xf numFmtId="168" fontId="6" fillId="9" borderId="4" xfId="1" applyNumberFormat="1" applyFont="1" applyFill="1" applyBorder="1" applyAlignment="1"/>
    <xf numFmtId="168" fontId="19" fillId="9" borderId="6" xfId="1" applyNumberFormat="1" applyFont="1" applyFill="1" applyBorder="1" applyAlignment="1">
      <alignment horizontal="right"/>
    </xf>
    <xf numFmtId="168" fontId="18" fillId="9" borderId="6" xfId="1" applyNumberFormat="1" applyFont="1" applyFill="1" applyBorder="1" applyAlignment="1">
      <alignment horizontal="right"/>
    </xf>
    <xf numFmtId="171" fontId="19" fillId="9" borderId="6" xfId="2" applyNumberFormat="1" applyFont="1" applyFill="1" applyBorder="1" applyAlignment="1">
      <alignment horizontal="right"/>
    </xf>
    <xf numFmtId="168" fontId="19" fillId="9" borderId="12" xfId="1" applyNumberFormat="1" applyFont="1" applyFill="1" applyBorder="1" applyAlignment="1">
      <alignment horizontal="right"/>
    </xf>
    <xf numFmtId="168" fontId="18" fillId="9" borderId="12" xfId="1" applyNumberFormat="1" applyFont="1" applyFill="1" applyBorder="1" applyAlignment="1">
      <alignment horizontal="right"/>
    </xf>
    <xf numFmtId="171" fontId="19" fillId="9" borderId="12" xfId="2" applyNumberFormat="1" applyFont="1" applyFill="1" applyBorder="1" applyAlignment="1">
      <alignment horizontal="right"/>
    </xf>
    <xf numFmtId="0" fontId="19" fillId="0" borderId="40" xfId="0" applyFont="1" applyBorder="1" applyAlignment="1">
      <alignment horizontal="center"/>
    </xf>
    <xf numFmtId="168" fontId="19" fillId="0" borderId="13" xfId="1" applyNumberFormat="1" applyFont="1" applyBorder="1" applyAlignment="1">
      <alignment horizontal="right"/>
    </xf>
    <xf numFmtId="168" fontId="19" fillId="0" borderId="38" xfId="1" applyNumberFormat="1" applyFont="1" applyBorder="1" applyAlignment="1">
      <alignment horizontal="right"/>
    </xf>
    <xf numFmtId="0" fontId="7" fillId="0" borderId="0" xfId="0" applyFont="1"/>
    <xf numFmtId="0" fontId="24" fillId="0" borderId="0" xfId="0" applyFont="1"/>
    <xf numFmtId="9" fontId="0" fillId="0" borderId="0" xfId="0" applyNumberFormat="1"/>
    <xf numFmtId="9" fontId="0" fillId="0" borderId="0" xfId="2" applyFont="1"/>
    <xf numFmtId="0" fontId="7" fillId="0" borderId="0" xfId="0" pivotButton="1" applyFont="1"/>
    <xf numFmtId="0" fontId="7" fillId="0" borderId="0" xfId="0" applyFont="1" applyAlignment="1">
      <alignment horizontal="left"/>
    </xf>
    <xf numFmtId="176" fontId="7" fillId="0" borderId="0" xfId="0" applyNumberFormat="1" applyFont="1"/>
    <xf numFmtId="176" fontId="21" fillId="11" borderId="0" xfId="5">
      <alignment horizontal="right" vertical="top"/>
    </xf>
    <xf numFmtId="4" fontId="7" fillId="0" borderId="0" xfId="0" applyNumberFormat="1" applyFont="1"/>
    <xf numFmtId="168" fontId="7" fillId="0" borderId="0" xfId="1" applyNumberFormat="1" applyFont="1"/>
    <xf numFmtId="0" fontId="25" fillId="0" borderId="0" xfId="0" applyFont="1"/>
    <xf numFmtId="168" fontId="3" fillId="0" borderId="0" xfId="1" applyNumberFormat="1" applyFont="1"/>
    <xf numFmtId="168" fontId="19" fillId="0" borderId="8" xfId="1" applyNumberFormat="1" applyFont="1" applyBorder="1" applyAlignment="1">
      <alignment horizontal="right"/>
    </xf>
    <xf numFmtId="168" fontId="19" fillId="0" borderId="44" xfId="1" applyNumberFormat="1" applyFont="1" applyBorder="1" applyAlignment="1">
      <alignment horizontal="right"/>
    </xf>
    <xf numFmtId="0" fontId="26" fillId="0" borderId="0" xfId="0" applyFont="1"/>
    <xf numFmtId="168" fontId="27" fillId="0" borderId="0" xfId="1" applyNumberFormat="1" applyFont="1"/>
    <xf numFmtId="0" fontId="27" fillId="0" borderId="0" xfId="0" applyFont="1"/>
    <xf numFmtId="0" fontId="18" fillId="0" borderId="5" xfId="0" applyFont="1" applyBorder="1" applyAlignment="1">
      <alignment horizontal="left"/>
    </xf>
    <xf numFmtId="9" fontId="18" fillId="0" borderId="30" xfId="2" applyFont="1" applyBorder="1"/>
    <xf numFmtId="0" fontId="18" fillId="0" borderId="7" xfId="0" applyFont="1" applyBorder="1"/>
    <xf numFmtId="9" fontId="18" fillId="0" borderId="0" xfId="2" applyFont="1"/>
    <xf numFmtId="171" fontId="18" fillId="0" borderId="0" xfId="2" applyNumberFormat="1" applyFont="1" applyBorder="1"/>
    <xf numFmtId="170" fontId="0" fillId="0" borderId="0" xfId="0" applyNumberFormat="1"/>
    <xf numFmtId="37" fontId="0" fillId="0" borderId="0" xfId="0" applyNumberFormat="1"/>
    <xf numFmtId="3" fontId="0" fillId="0" borderId="0" xfId="0" applyNumberFormat="1"/>
    <xf numFmtId="0" fontId="28" fillId="13" borderId="46" xfId="0" applyFont="1" applyFill="1" applyBorder="1" applyAlignment="1">
      <alignment wrapText="1"/>
    </xf>
    <xf numFmtId="0" fontId="28" fillId="0" borderId="47" xfId="0" applyFont="1" applyBorder="1" applyAlignment="1">
      <alignment horizontal="right" wrapText="1"/>
    </xf>
    <xf numFmtId="0" fontId="29" fillId="0" borderId="48" xfId="0" applyFont="1" applyBorder="1" applyAlignment="1">
      <alignment wrapText="1"/>
    </xf>
    <xf numFmtId="3" fontId="29" fillId="0" borderId="49" xfId="0" applyNumberFormat="1" applyFont="1" applyBorder="1" applyAlignment="1">
      <alignment horizontal="right" wrapText="1"/>
    </xf>
    <xf numFmtId="4" fontId="29" fillId="0" borderId="49" xfId="0" applyNumberFormat="1" applyFont="1" applyBorder="1" applyAlignment="1">
      <alignment horizontal="right" wrapText="1"/>
    </xf>
    <xf numFmtId="0" fontId="29" fillId="0" borderId="0" xfId="0" applyFont="1" applyAlignment="1">
      <alignment wrapText="1"/>
    </xf>
    <xf numFmtId="3" fontId="29" fillId="0" borderId="0" xfId="0" applyNumberFormat="1" applyFont="1" applyAlignment="1">
      <alignment horizontal="right" wrapText="1"/>
    </xf>
    <xf numFmtId="3" fontId="28" fillId="0" borderId="0" xfId="0" applyNumberFormat="1" applyFont="1" applyAlignment="1">
      <alignment horizontal="right" wrapText="1"/>
    </xf>
    <xf numFmtId="0" fontId="29" fillId="0" borderId="50" xfId="0" applyFont="1" applyBorder="1" applyAlignment="1">
      <alignment wrapText="1"/>
    </xf>
    <xf numFmtId="0" fontId="28" fillId="0" borderId="50" xfId="0" applyFont="1" applyBorder="1" applyAlignment="1">
      <alignment wrapText="1"/>
    </xf>
    <xf numFmtId="0" fontId="29" fillId="0" borderId="49" xfId="0" applyFont="1" applyBorder="1" applyAlignment="1">
      <alignment horizontal="right" wrapText="1"/>
    </xf>
    <xf numFmtId="0" fontId="29" fillId="0" borderId="49" xfId="0" applyFont="1" applyBorder="1" applyAlignment="1">
      <alignment wrapText="1"/>
    </xf>
    <xf numFmtId="3" fontId="28" fillId="0" borderId="49" xfId="0" applyNumberFormat="1" applyFont="1" applyBorder="1" applyAlignment="1">
      <alignment horizontal="right" wrapText="1"/>
    </xf>
    <xf numFmtId="4" fontId="3" fillId="0" borderId="0" xfId="0" applyNumberFormat="1" applyFont="1"/>
    <xf numFmtId="0" fontId="0" fillId="0" borderId="0" xfId="0" pivotButton="1"/>
    <xf numFmtId="43" fontId="0" fillId="0" borderId="0" xfId="1" applyFont="1"/>
    <xf numFmtId="9" fontId="18" fillId="0" borderId="51" xfId="2" applyFont="1" applyBorder="1" applyAlignment="1"/>
    <xf numFmtId="0" fontId="19" fillId="0" borderId="32" xfId="0" applyFont="1" applyBorder="1"/>
    <xf numFmtId="168" fontId="6" fillId="14" borderId="32" xfId="1" applyNumberFormat="1" applyFont="1" applyFill="1" applyBorder="1" applyAlignment="1">
      <alignment horizontal="right"/>
    </xf>
    <xf numFmtId="168" fontId="6" fillId="14" borderId="6" xfId="1" applyNumberFormat="1" applyFont="1" applyFill="1" applyBorder="1" applyAlignment="1">
      <alignment horizontal="right"/>
    </xf>
    <xf numFmtId="178" fontId="18" fillId="0" borderId="6" xfId="1" applyNumberFormat="1" applyFont="1" applyBorder="1"/>
    <xf numFmtId="178" fontId="18" fillId="0" borderId="6" xfId="2" applyNumberFormat="1" applyFont="1" applyBorder="1"/>
    <xf numFmtId="178" fontId="19" fillId="9" borderId="12" xfId="1" applyNumberFormat="1" applyFont="1" applyFill="1" applyBorder="1" applyAlignment="1">
      <alignment horizontal="right"/>
    </xf>
    <xf numFmtId="179" fontId="18" fillId="0" borderId="6" xfId="1" applyNumberFormat="1" applyFont="1" applyBorder="1"/>
    <xf numFmtId="179" fontId="19" fillId="9" borderId="12" xfId="2" applyNumberFormat="1" applyFont="1" applyFill="1" applyBorder="1" applyAlignment="1">
      <alignment horizontal="right"/>
    </xf>
    <xf numFmtId="180" fontId="19" fillId="9" borderId="12" xfId="1" applyNumberFormat="1" applyFont="1" applyFill="1" applyBorder="1" applyAlignment="1">
      <alignment horizontal="right"/>
    </xf>
    <xf numFmtId="171" fontId="19" fillId="9" borderId="15" xfId="2" applyNumberFormat="1" applyFont="1" applyFill="1" applyBorder="1" applyAlignment="1">
      <alignment horizontal="right"/>
    </xf>
    <xf numFmtId="180" fontId="18" fillId="0" borderId="6" xfId="1" applyNumberFormat="1" applyFont="1" applyBorder="1"/>
    <xf numFmtId="180" fontId="18" fillId="0" borderId="6" xfId="2" applyNumberFormat="1" applyFont="1" applyBorder="1"/>
    <xf numFmtId="17" fontId="19" fillId="0" borderId="32" xfId="0" applyNumberFormat="1" applyFont="1" applyBorder="1"/>
    <xf numFmtId="168" fontId="9" fillId="0" borderId="0" xfId="1" applyNumberFormat="1" applyFont="1" applyAlignment="1">
      <alignment wrapText="1"/>
    </xf>
    <xf numFmtId="0" fontId="7" fillId="9" borderId="0" xfId="0" applyFont="1" applyFill="1"/>
    <xf numFmtId="176" fontId="7" fillId="9" borderId="0" xfId="0" applyNumberFormat="1" applyFont="1" applyFill="1"/>
    <xf numFmtId="43" fontId="7" fillId="9" borderId="0" xfId="0" applyNumberFormat="1" applyFont="1" applyFill="1"/>
    <xf numFmtId="43" fontId="18" fillId="0" borderId="0" xfId="0" applyNumberFormat="1" applyFont="1" applyAlignment="1">
      <alignment horizontal="left"/>
    </xf>
    <xf numFmtId="181" fontId="24" fillId="12" borderId="45" xfId="0" applyNumberFormat="1" applyFont="1" applyFill="1" applyBorder="1"/>
    <xf numFmtId="0" fontId="18" fillId="0" borderId="8" xfId="0" applyFont="1" applyBorder="1" applyAlignment="1">
      <alignment horizontal="left"/>
    </xf>
    <xf numFmtId="171" fontId="18" fillId="0" borderId="6" xfId="2" applyNumberFormat="1" applyFont="1" applyBorder="1"/>
    <xf numFmtId="174" fontId="19" fillId="9" borderId="12" xfId="1" applyNumberFormat="1" applyFont="1" applyFill="1" applyBorder="1" applyAlignment="1">
      <alignment horizontal="right"/>
    </xf>
    <xf numFmtId="171" fontId="18" fillId="0" borderId="14" xfId="2" applyNumberFormat="1" applyFont="1" applyBorder="1"/>
    <xf numFmtId="43" fontId="3" fillId="0" borderId="0" xfId="0" applyNumberFormat="1" applyFont="1"/>
    <xf numFmtId="0" fontId="29" fillId="15" borderId="46" xfId="0" applyFont="1" applyFill="1" applyBorder="1" applyAlignment="1">
      <alignment wrapText="1"/>
    </xf>
    <xf numFmtId="0" fontId="28" fillId="15" borderId="47" xfId="0" applyFont="1" applyFill="1" applyBorder="1" applyAlignment="1">
      <alignment wrapText="1"/>
    </xf>
    <xf numFmtId="0" fontId="29" fillId="15" borderId="47" xfId="0" applyFont="1" applyFill="1" applyBorder="1" applyAlignment="1">
      <alignment wrapText="1"/>
    </xf>
    <xf numFmtId="165" fontId="29" fillId="0" borderId="49" xfId="0" applyNumberFormat="1" applyFont="1" applyBorder="1" applyAlignment="1">
      <alignment horizontal="right" wrapText="1"/>
    </xf>
    <xf numFmtId="10" fontId="29" fillId="0" borderId="49" xfId="0" applyNumberFormat="1" applyFont="1" applyBorder="1" applyAlignment="1">
      <alignment horizontal="right" wrapText="1"/>
    </xf>
    <xf numFmtId="9" fontId="29" fillId="0" borderId="0" xfId="0" applyNumberFormat="1" applyFont="1" applyAlignment="1">
      <alignment horizontal="right" wrapText="1"/>
    </xf>
    <xf numFmtId="4" fontId="29" fillId="0" borderId="0" xfId="0" applyNumberFormat="1" applyFont="1" applyAlignment="1">
      <alignment horizontal="right" wrapText="1"/>
    </xf>
    <xf numFmtId="168" fontId="0" fillId="0" borderId="24" xfId="0" applyNumberFormat="1" applyBorder="1"/>
    <xf numFmtId="43" fontId="18" fillId="0" borderId="6" xfId="1" applyFont="1" applyBorder="1" applyAlignment="1">
      <alignment horizontal="left"/>
    </xf>
    <xf numFmtId="176" fontId="24" fillId="12" borderId="52" xfId="0" applyNumberFormat="1" applyFont="1" applyFill="1" applyBorder="1"/>
    <xf numFmtId="43" fontId="4" fillId="0" borderId="0" xfId="1" applyFont="1"/>
    <xf numFmtId="0" fontId="19" fillId="0" borderId="53" xfId="0" applyFont="1" applyBorder="1"/>
    <xf numFmtId="0" fontId="18" fillId="0" borderId="53" xfId="0" applyFont="1" applyBorder="1"/>
    <xf numFmtId="168" fontId="18" fillId="0" borderId="53" xfId="0" applyNumberFormat="1" applyFont="1" applyBorder="1"/>
    <xf numFmtId="168" fontId="19" fillId="0" borderId="53" xfId="0" applyNumberFormat="1" applyFont="1" applyBorder="1"/>
    <xf numFmtId="171" fontId="19" fillId="0" borderId="53" xfId="2" applyNumberFormat="1" applyFont="1" applyBorder="1"/>
    <xf numFmtId="0" fontId="19" fillId="9" borderId="53" xfId="0" applyFont="1" applyFill="1" applyBorder="1"/>
    <xf numFmtId="0" fontId="31" fillId="0" borderId="0" xfId="0" applyFont="1"/>
    <xf numFmtId="17" fontId="32" fillId="3" borderId="6" xfId="0" applyNumberFormat="1" applyFont="1" applyFill="1" applyBorder="1" applyAlignment="1">
      <alignment horizontal="right" wrapText="1"/>
    </xf>
    <xf numFmtId="170" fontId="31" fillId="0" borderId="0" xfId="0" applyNumberFormat="1" applyFont="1"/>
    <xf numFmtId="168" fontId="31" fillId="0" borderId="0" xfId="0" applyNumberFormat="1" applyFont="1"/>
    <xf numFmtId="0" fontId="33" fillId="0" borderId="0" xfId="0" applyFont="1"/>
    <xf numFmtId="168" fontId="31" fillId="0" borderId="0" xfId="1" applyNumberFormat="1" applyFont="1"/>
    <xf numFmtId="4" fontId="31" fillId="0" borderId="0" xfId="0" applyNumberFormat="1" applyFont="1"/>
    <xf numFmtId="168" fontId="33" fillId="0" borderId="0" xfId="1" applyNumberFormat="1" applyFont="1"/>
    <xf numFmtId="171" fontId="31" fillId="0" borderId="0" xfId="2" applyNumberFormat="1" applyFont="1"/>
    <xf numFmtId="10" fontId="31" fillId="0" borderId="0" xfId="0" applyNumberFormat="1" applyFont="1"/>
    <xf numFmtId="3" fontId="6" fillId="0" borderId="0" xfId="0" applyNumberFormat="1" applyFont="1"/>
    <xf numFmtId="0" fontId="34" fillId="0" borderId="0" xfId="0" applyFont="1"/>
    <xf numFmtId="171" fontId="34" fillId="0" borderId="0" xfId="2" applyNumberFormat="1" applyFont="1"/>
    <xf numFmtId="166" fontId="0" fillId="0" borderId="0" xfId="0" applyNumberFormat="1"/>
    <xf numFmtId="166" fontId="3" fillId="0" borderId="0" xfId="0" applyNumberFormat="1" applyFont="1"/>
    <xf numFmtId="165" fontId="0" fillId="0" borderId="0" xfId="0" applyNumberFormat="1"/>
    <xf numFmtId="168" fontId="29" fillId="0" borderId="49" xfId="0" applyNumberFormat="1" applyFont="1" applyBorder="1" applyAlignment="1">
      <alignment horizontal="right" wrapText="1"/>
    </xf>
    <xf numFmtId="43" fontId="18" fillId="0" borderId="6" xfId="1" applyFont="1" applyBorder="1" applyAlignment="1">
      <alignment horizontal="right"/>
    </xf>
    <xf numFmtId="182" fontId="18" fillId="0" borderId="6" xfId="6" applyNumberFormat="1" applyFont="1" applyBorder="1" applyAlignment="1">
      <alignment horizontal="right"/>
    </xf>
    <xf numFmtId="43" fontId="36" fillId="0" borderId="0" xfId="1" applyFont="1"/>
    <xf numFmtId="0" fontId="35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/>
    <xf numFmtId="0" fontId="38" fillId="0" borderId="0" xfId="0" applyFont="1"/>
    <xf numFmtId="0" fontId="42" fillId="0" borderId="0" xfId="0" applyFont="1" applyAlignment="1">
      <alignment horizontal="left"/>
    </xf>
    <xf numFmtId="41" fontId="42" fillId="0" borderId="0" xfId="0" applyNumberFormat="1" applyFont="1"/>
    <xf numFmtId="168" fontId="43" fillId="0" borderId="0" xfId="1" applyNumberFormat="1" applyFont="1"/>
    <xf numFmtId="43" fontId="43" fillId="0" borderId="0" xfId="1" applyFont="1"/>
    <xf numFmtId="0" fontId="44" fillId="0" borderId="0" xfId="0" applyFont="1" applyAlignment="1">
      <alignment horizontal="center"/>
    </xf>
    <xf numFmtId="0" fontId="36" fillId="0" borderId="0" xfId="0" applyFont="1"/>
    <xf numFmtId="41" fontId="38" fillId="0" borderId="54" xfId="0" applyNumberFormat="1" applyFont="1" applyBorder="1"/>
    <xf numFmtId="41" fontId="36" fillId="0" borderId="0" xfId="0" applyNumberFormat="1" applyFont="1"/>
    <xf numFmtId="168" fontId="44" fillId="0" borderId="0" xfId="1" applyNumberFormat="1" applyFont="1"/>
    <xf numFmtId="43" fontId="45" fillId="0" borderId="0" xfId="1" applyFont="1"/>
    <xf numFmtId="43" fontId="46" fillId="0" borderId="0" xfId="1" applyFont="1"/>
    <xf numFmtId="43" fontId="36" fillId="0" borderId="0" xfId="1" applyFont="1" applyFill="1"/>
    <xf numFmtId="41" fontId="44" fillId="0" borderId="54" xfId="0" applyNumberFormat="1" applyFont="1" applyBorder="1"/>
    <xf numFmtId="0" fontId="38" fillId="0" borderId="0" xfId="0" applyFont="1" applyAlignment="1">
      <alignment horizontal="left"/>
    </xf>
    <xf numFmtId="0" fontId="42" fillId="0" borderId="0" xfId="0" applyFont="1"/>
    <xf numFmtId="41" fontId="44" fillId="0" borderId="27" xfId="0" applyNumberFormat="1" applyFont="1" applyBorder="1"/>
    <xf numFmtId="41" fontId="44" fillId="0" borderId="0" xfId="0" applyNumberFormat="1" applyFont="1"/>
    <xf numFmtId="41" fontId="44" fillId="0" borderId="55" xfId="0" applyNumberFormat="1" applyFont="1" applyBorder="1"/>
    <xf numFmtId="168" fontId="36" fillId="0" borderId="0" xfId="1" applyNumberFormat="1" applyFont="1"/>
    <xf numFmtId="43" fontId="42" fillId="0" borderId="0" xfId="1" applyFont="1"/>
    <xf numFmtId="3" fontId="36" fillId="0" borderId="0" xfId="0" applyNumberFormat="1" applyFont="1"/>
    <xf numFmtId="41" fontId="38" fillId="0" borderId="0" xfId="0" applyNumberFormat="1" applyFont="1"/>
    <xf numFmtId="0" fontId="44" fillId="0" borderId="0" xfId="0" applyFont="1"/>
    <xf numFmtId="0" fontId="42" fillId="0" borderId="0" xfId="0" applyFont="1" applyAlignment="1">
      <alignment horizontal="center"/>
    </xf>
    <xf numFmtId="0" fontId="35" fillId="0" borderId="0" xfId="0" applyFont="1"/>
    <xf numFmtId="0" fontId="37" fillId="0" borderId="0" xfId="0" applyFont="1"/>
    <xf numFmtId="168" fontId="42" fillId="8" borderId="0" xfId="1" applyNumberFormat="1" applyFont="1" applyFill="1"/>
    <xf numFmtId="168" fontId="9" fillId="8" borderId="18" xfId="1" applyNumberFormat="1" applyFont="1" applyFill="1" applyBorder="1" applyAlignment="1">
      <alignment horizontal="right" wrapText="1"/>
    </xf>
    <xf numFmtId="0" fontId="39" fillId="0" borderId="0" xfId="0" quotePrefix="1" applyFont="1" applyAlignment="1">
      <alignment horizontal="center"/>
    </xf>
    <xf numFmtId="168" fontId="3" fillId="0" borderId="0" xfId="0" applyNumberFormat="1" applyFont="1"/>
    <xf numFmtId="46" fontId="0" fillId="0" borderId="0" xfId="0" applyNumberFormat="1"/>
    <xf numFmtId="17" fontId="35" fillId="0" borderId="0" xfId="0" applyNumberFormat="1" applyFont="1"/>
    <xf numFmtId="43" fontId="31" fillId="0" borderId="0" xfId="0" applyNumberFormat="1" applyFont="1"/>
    <xf numFmtId="17" fontId="19" fillId="0" borderId="0" xfId="0" applyNumberFormat="1" applyFont="1"/>
    <xf numFmtId="0" fontId="28" fillId="0" borderId="0" xfId="0" applyFont="1" applyAlignment="1">
      <alignment vertical="center"/>
    </xf>
    <xf numFmtId="0" fontId="29" fillId="0" borderId="0" xfId="0" applyFont="1"/>
    <xf numFmtId="0" fontId="29" fillId="0" borderId="56" xfId="0" applyFont="1" applyBorder="1"/>
    <xf numFmtId="0" fontId="47" fillId="17" borderId="49" xfId="0" applyFont="1" applyFill="1" applyBorder="1" applyAlignment="1">
      <alignment horizontal="center"/>
    </xf>
    <xf numFmtId="0" fontId="29" fillId="0" borderId="50" xfId="0" applyFont="1" applyBorder="1"/>
    <xf numFmtId="0" fontId="29" fillId="0" borderId="49" xfId="0" applyFont="1" applyBorder="1"/>
    <xf numFmtId="0" fontId="48" fillId="18" borderId="49" xfId="0" applyFont="1" applyFill="1" applyBorder="1" applyAlignment="1">
      <alignment horizontal="right"/>
    </xf>
    <xf numFmtId="0" fontId="49" fillId="0" borderId="48" xfId="0" applyFont="1" applyBorder="1"/>
    <xf numFmtId="0" fontId="50" fillId="0" borderId="49" xfId="0" applyFont="1" applyBorder="1"/>
    <xf numFmtId="3" fontId="51" fillId="0" borderId="49" xfId="0" applyNumberFormat="1" applyFont="1" applyBorder="1" applyAlignment="1">
      <alignment horizontal="right"/>
    </xf>
    <xf numFmtId="0" fontId="51" fillId="0" borderId="48" xfId="0" applyFont="1" applyBorder="1"/>
    <xf numFmtId="0" fontId="51" fillId="0" borderId="49" xfId="0" applyFont="1" applyBorder="1" applyAlignment="1">
      <alignment horizontal="right"/>
    </xf>
    <xf numFmtId="3" fontId="28" fillId="0" borderId="57" xfId="0" applyNumberFormat="1" applyFont="1" applyBorder="1" applyAlignment="1">
      <alignment horizontal="right"/>
    </xf>
    <xf numFmtId="0" fontId="43" fillId="0" borderId="48" xfId="0" applyFont="1" applyBorder="1"/>
    <xf numFmtId="0" fontId="28" fillId="0" borderId="0" xfId="0" applyFont="1"/>
    <xf numFmtId="171" fontId="19" fillId="0" borderId="14" xfId="2" applyNumberFormat="1" applyFont="1" applyBorder="1" applyAlignment="1">
      <alignment horizontal="right"/>
    </xf>
    <xf numFmtId="171" fontId="19" fillId="9" borderId="14" xfId="2" applyNumberFormat="1" applyFont="1" applyFill="1" applyBorder="1" applyAlignment="1">
      <alignment horizontal="right"/>
    </xf>
    <xf numFmtId="0" fontId="9" fillId="19" borderId="17" xfId="1" applyNumberFormat="1" applyFont="1" applyFill="1" applyBorder="1" applyAlignment="1">
      <alignment horizontal="left" wrapText="1"/>
    </xf>
    <xf numFmtId="168" fontId="9" fillId="19" borderId="18" xfId="1" applyNumberFormat="1" applyFont="1" applyFill="1" applyBorder="1" applyAlignment="1">
      <alignment horizontal="left"/>
    </xf>
    <xf numFmtId="9" fontId="19" fillId="0" borderId="0" xfId="2" applyFont="1" applyBorder="1" applyAlignment="1">
      <alignment horizontal="right"/>
    </xf>
    <xf numFmtId="3" fontId="31" fillId="0" borderId="0" xfId="0" applyNumberFormat="1" applyFont="1"/>
    <xf numFmtId="165" fontId="18" fillId="0" borderId="0" xfId="0" applyNumberFormat="1" applyFont="1"/>
    <xf numFmtId="43" fontId="0" fillId="0" borderId="0" xfId="0" applyNumberFormat="1" applyAlignment="1">
      <alignment horizontal="left"/>
    </xf>
    <xf numFmtId="3" fontId="7" fillId="0" borderId="0" xfId="0" applyNumberFormat="1" applyFont="1"/>
    <xf numFmtId="168" fontId="19" fillId="0" borderId="5" xfId="1" applyNumberFormat="1" applyFont="1" applyBorder="1" applyAlignment="1">
      <alignment horizontal="left"/>
    </xf>
    <xf numFmtId="168" fontId="19" fillId="0" borderId="5" xfId="1" applyNumberFormat="1" applyFont="1" applyBorder="1" applyAlignment="1">
      <alignment horizontal="right"/>
    </xf>
    <xf numFmtId="168" fontId="19" fillId="0" borderId="60" xfId="1" applyNumberFormat="1" applyFont="1" applyBorder="1" applyAlignment="1">
      <alignment horizontal="right"/>
    </xf>
    <xf numFmtId="10" fontId="28" fillId="0" borderId="50" xfId="0" applyNumberFormat="1" applyFont="1" applyBorder="1" applyAlignment="1">
      <alignment horizontal="right" wrapText="1"/>
    </xf>
    <xf numFmtId="0" fontId="29" fillId="0" borderId="56" xfId="0" applyFont="1" applyBorder="1" applyAlignment="1">
      <alignment wrapText="1"/>
    </xf>
    <xf numFmtId="0" fontId="47" fillId="17" borderId="49" xfId="0" applyFont="1" applyFill="1" applyBorder="1" applyAlignment="1">
      <alignment horizontal="center" wrapText="1"/>
    </xf>
    <xf numFmtId="0" fontId="48" fillId="18" borderId="49" xfId="0" applyFont="1" applyFill="1" applyBorder="1" applyAlignment="1">
      <alignment horizontal="right" wrapText="1"/>
    </xf>
    <xf numFmtId="0" fontId="49" fillId="0" borderId="48" xfId="0" applyFont="1" applyBorder="1" applyAlignment="1">
      <alignment wrapText="1"/>
    </xf>
    <xf numFmtId="3" fontId="51" fillId="0" borderId="49" xfId="0" applyNumberFormat="1" applyFont="1" applyBorder="1" applyAlignment="1">
      <alignment horizontal="right" wrapText="1"/>
    </xf>
    <xf numFmtId="0" fontId="51" fillId="0" borderId="48" xfId="0" applyFont="1" applyBorder="1" applyAlignment="1">
      <alignment wrapText="1"/>
    </xf>
    <xf numFmtId="3" fontId="28" fillId="0" borderId="57" xfId="0" applyNumberFormat="1" applyFont="1" applyBorder="1" applyAlignment="1">
      <alignment horizontal="right" wrapText="1"/>
    </xf>
    <xf numFmtId="0" fontId="43" fillId="0" borderId="48" xfId="0" applyFont="1" applyBorder="1" applyAlignment="1">
      <alignment wrapText="1"/>
    </xf>
    <xf numFmtId="0" fontId="28" fillId="0" borderId="0" xfId="0" applyFont="1" applyAlignment="1">
      <alignment wrapText="1"/>
    </xf>
    <xf numFmtId="0" fontId="53" fillId="0" borderId="0" xfId="0" applyFont="1"/>
    <xf numFmtId="0" fontId="54" fillId="0" borderId="0" xfId="0" applyFont="1"/>
    <xf numFmtId="0" fontId="55" fillId="0" borderId="0" xfId="7" applyFont="1" applyAlignment="1">
      <alignment wrapText="1"/>
    </xf>
    <xf numFmtId="0" fontId="49" fillId="0" borderId="46" xfId="0" applyFont="1" applyBorder="1" applyAlignment="1">
      <alignment wrapText="1"/>
    </xf>
    <xf numFmtId="175" fontId="19" fillId="0" borderId="12" xfId="0" applyNumberFormat="1" applyFont="1" applyBorder="1" applyAlignment="1">
      <alignment horizontal="right"/>
    </xf>
    <xf numFmtId="0" fontId="56" fillId="0" borderId="18" xfId="0" applyFont="1" applyBorder="1"/>
    <xf numFmtId="0" fontId="58" fillId="0" borderId="0" xfId="0" applyFont="1"/>
    <xf numFmtId="0" fontId="59" fillId="0" borderId="0" xfId="0" applyFont="1"/>
    <xf numFmtId="0" fontId="56" fillId="0" borderId="0" xfId="0" applyFont="1"/>
    <xf numFmtId="0" fontId="60" fillId="0" borderId="0" xfId="0" applyFont="1"/>
    <xf numFmtId="168" fontId="58" fillId="0" borderId="0" xfId="1" applyNumberFormat="1" applyFont="1"/>
    <xf numFmtId="168" fontId="59" fillId="0" borderId="0" xfId="1" applyNumberFormat="1" applyFont="1"/>
    <xf numFmtId="168" fontId="57" fillId="0" borderId="0" xfId="1" applyNumberFormat="1" applyFont="1"/>
    <xf numFmtId="168" fontId="60" fillId="0" borderId="0" xfId="1" applyNumberFormat="1" applyFont="1"/>
    <xf numFmtId="0" fontId="61" fillId="0" borderId="0" xfId="0" applyFont="1"/>
    <xf numFmtId="168" fontId="61" fillId="0" borderId="0" xfId="1" applyNumberFormat="1" applyFont="1"/>
    <xf numFmtId="168" fontId="62" fillId="0" borderId="0" xfId="1" applyNumberFormat="1" applyFont="1"/>
    <xf numFmtId="4" fontId="21" fillId="0" borderId="0" xfId="9" applyAlignment="1">
      <alignment horizontal="right" vertical="top"/>
    </xf>
    <xf numFmtId="168" fontId="21" fillId="0" borderId="0" xfId="1" applyNumberFormat="1" applyFont="1" applyAlignment="1">
      <alignment horizontal="right" vertical="top"/>
    </xf>
    <xf numFmtId="4" fontId="65" fillId="0" borderId="0" xfId="0" applyNumberFormat="1" applyFont="1"/>
    <xf numFmtId="4" fontId="46" fillId="0" borderId="0" xfId="0" applyNumberFormat="1" applyFont="1"/>
    <xf numFmtId="164" fontId="0" fillId="0" borderId="0" xfId="0" applyNumberFormat="1"/>
    <xf numFmtId="3" fontId="29" fillId="0" borderId="0" xfId="0" applyNumberFormat="1" applyFont="1"/>
    <xf numFmtId="4" fontId="52" fillId="0" borderId="0" xfId="7" applyNumberFormat="1"/>
    <xf numFmtId="4" fontId="66" fillId="0" borderId="0" xfId="0" applyNumberFormat="1" applyFont="1"/>
    <xf numFmtId="0" fontId="67" fillId="0" borderId="53" xfId="0" applyFont="1" applyBorder="1" applyAlignment="1">
      <alignment horizontal="left"/>
    </xf>
    <xf numFmtId="0" fontId="67" fillId="0" borderId="53" xfId="0" applyFont="1" applyBorder="1"/>
    <xf numFmtId="4" fontId="67" fillId="0" borderId="53" xfId="0" applyNumberFormat="1" applyFont="1" applyBorder="1"/>
    <xf numFmtId="0" fontId="66" fillId="0" borderId="53" xfId="0" applyFont="1" applyBorder="1" applyAlignment="1">
      <alignment horizontal="left"/>
    </xf>
    <xf numFmtId="4" fontId="66" fillId="0" borderId="53" xfId="0" applyNumberFormat="1" applyFont="1" applyBorder="1"/>
    <xf numFmtId="0" fontId="68" fillId="0" borderId="53" xfId="0" applyFont="1" applyBorder="1" applyAlignment="1">
      <alignment horizontal="left"/>
    </xf>
    <xf numFmtId="0" fontId="68" fillId="0" borderId="53" xfId="0" applyFont="1" applyBorder="1"/>
    <xf numFmtId="0" fontId="66" fillId="0" borderId="53" xfId="0" applyFont="1" applyBorder="1"/>
    <xf numFmtId="3" fontId="69" fillId="0" borderId="0" xfId="0" applyNumberFormat="1" applyFont="1"/>
    <xf numFmtId="3" fontId="70" fillId="0" borderId="0" xfId="0" applyNumberFormat="1" applyFont="1"/>
    <xf numFmtId="4" fontId="29" fillId="0" borderId="0" xfId="0" applyNumberFormat="1" applyFont="1"/>
    <xf numFmtId="43" fontId="11" fillId="3" borderId="18" xfId="1" applyFont="1" applyFill="1" applyBorder="1" applyAlignment="1">
      <alignment horizontal="right" wrapText="1"/>
    </xf>
    <xf numFmtId="43" fontId="9" fillId="0" borderId="18" xfId="1" applyFont="1" applyBorder="1" applyAlignment="1">
      <alignment horizontal="right" wrapText="1"/>
    </xf>
    <xf numFmtId="0" fontId="19" fillId="9" borderId="0" xfId="0" applyFont="1" applyFill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75" fontId="18" fillId="0" borderId="0" xfId="0" applyNumberFormat="1" applyFont="1" applyAlignment="1">
      <alignment horizontal="right"/>
    </xf>
    <xf numFmtId="175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center"/>
    </xf>
    <xf numFmtId="0" fontId="9" fillId="19" borderId="18" xfId="0" applyFont="1" applyFill="1" applyBorder="1"/>
    <xf numFmtId="0" fontId="62" fillId="0" borderId="0" xfId="0" applyFont="1"/>
    <xf numFmtId="183" fontId="0" fillId="0" borderId="0" xfId="0" applyNumberFormat="1"/>
    <xf numFmtId="3" fontId="71" fillId="0" borderId="0" xfId="0" applyNumberFormat="1" applyFont="1"/>
    <xf numFmtId="3" fontId="18" fillId="0" borderId="0" xfId="0" applyNumberFormat="1" applyFont="1"/>
    <xf numFmtId="0" fontId="9" fillId="19" borderId="26" xfId="0" applyFont="1" applyFill="1" applyBorder="1" applyAlignment="1">
      <alignment horizontal="right" wrapText="1"/>
    </xf>
    <xf numFmtId="0" fontId="9" fillId="19" borderId="18" xfId="0" quotePrefix="1" applyFont="1" applyFill="1" applyBorder="1" applyAlignment="1">
      <alignment horizontal="right" wrapText="1"/>
    </xf>
    <xf numFmtId="0" fontId="9" fillId="19" borderId="18" xfId="0" applyFont="1" applyFill="1" applyBorder="1" applyAlignment="1">
      <alignment wrapText="1"/>
    </xf>
    <xf numFmtId="0" fontId="21" fillId="11" borderId="0" xfId="15">
      <alignment horizontal="left" vertical="top"/>
    </xf>
    <xf numFmtId="0" fontId="21" fillId="20" borderId="0" xfId="15" applyFill="1">
      <alignment horizontal="left" vertical="top"/>
    </xf>
    <xf numFmtId="168" fontId="72" fillId="0" borderId="6" xfId="1" applyNumberFormat="1" applyFont="1" applyBorder="1" applyAlignment="1">
      <alignment horizontal="right"/>
    </xf>
    <xf numFmtId="0" fontId="73" fillId="0" borderId="0" xfId="0" applyFont="1"/>
    <xf numFmtId="4" fontId="74" fillId="0" borderId="6" xfId="0" applyNumberFormat="1" applyFont="1" applyBorder="1"/>
    <xf numFmtId="4" fontId="74" fillId="0" borderId="62" xfId="0" applyNumberFormat="1" applyFont="1" applyBorder="1"/>
    <xf numFmtId="0" fontId="74" fillId="0" borderId="62" xfId="0" applyFont="1" applyBorder="1"/>
    <xf numFmtId="184" fontId="18" fillId="0" borderId="12" xfId="0" applyNumberFormat="1" applyFont="1" applyBorder="1" applyAlignment="1">
      <alignment horizontal="right"/>
    </xf>
    <xf numFmtId="0" fontId="19" fillId="0" borderId="7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5" xfId="0" applyFont="1" applyBorder="1" applyAlignment="1">
      <alignment horizontal="left" wrapText="1"/>
    </xf>
    <xf numFmtId="0" fontId="19" fillId="0" borderId="8" xfId="0" applyFont="1" applyBorder="1" applyAlignment="1">
      <alignment horizontal="left"/>
    </xf>
    <xf numFmtId="0" fontId="19" fillId="9" borderId="34" xfId="0" applyFont="1" applyFill="1" applyBorder="1" applyAlignment="1">
      <alignment horizontal="center"/>
    </xf>
    <xf numFmtId="0" fontId="19" fillId="9" borderId="35" xfId="0" applyFont="1" applyFill="1" applyBorder="1" applyAlignment="1">
      <alignment horizontal="center"/>
    </xf>
    <xf numFmtId="0" fontId="19" fillId="9" borderId="36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0" fontId="19" fillId="9" borderId="4" xfId="0" applyFont="1" applyFill="1" applyBorder="1" applyAlignment="1">
      <alignment horizontal="center"/>
    </xf>
    <xf numFmtId="0" fontId="19" fillId="0" borderId="42" xfId="0" applyFont="1" applyBorder="1" applyAlignment="1">
      <alignment horizontal="center"/>
    </xf>
    <xf numFmtId="0" fontId="19" fillId="0" borderId="43" xfId="0" applyFont="1" applyBorder="1" applyAlignment="1">
      <alignment horizontal="center"/>
    </xf>
    <xf numFmtId="168" fontId="6" fillId="9" borderId="39" xfId="1" applyNumberFormat="1" applyFont="1" applyFill="1" applyBorder="1" applyAlignment="1">
      <alignment horizontal="center"/>
    </xf>
    <xf numFmtId="168" fontId="6" fillId="9" borderId="3" xfId="1" applyNumberFormat="1" applyFont="1" applyFill="1" applyBorder="1" applyAlignment="1">
      <alignment horizontal="center"/>
    </xf>
    <xf numFmtId="168" fontId="6" fillId="9" borderId="4" xfId="1" applyNumberFormat="1" applyFont="1" applyFill="1" applyBorder="1" applyAlignment="1">
      <alignment horizontal="center"/>
    </xf>
    <xf numFmtId="0" fontId="47" fillId="16" borderId="58" xfId="0" applyFont="1" applyFill="1" applyBorder="1" applyAlignment="1">
      <alignment horizontal="center" wrapText="1"/>
    </xf>
    <xf numFmtId="0" fontId="47" fillId="16" borderId="59" xfId="0" applyFont="1" applyFill="1" applyBorder="1" applyAlignment="1">
      <alignment horizontal="center" wrapText="1"/>
    </xf>
    <xf numFmtId="0" fontId="47" fillId="16" borderId="47" xfId="0" applyFont="1" applyFill="1" applyBorder="1" applyAlignment="1">
      <alignment horizontal="center" wrapText="1"/>
    </xf>
    <xf numFmtId="0" fontId="47" fillId="16" borderId="58" xfId="0" applyFont="1" applyFill="1" applyBorder="1" applyAlignment="1">
      <alignment horizontal="center"/>
    </xf>
    <xf numFmtId="0" fontId="47" fillId="16" borderId="59" xfId="0" applyFont="1" applyFill="1" applyBorder="1" applyAlignment="1">
      <alignment horizontal="center"/>
    </xf>
    <xf numFmtId="0" fontId="47" fillId="16" borderId="47" xfId="0" applyFont="1" applyFill="1" applyBorder="1" applyAlignment="1">
      <alignment horizontal="center"/>
    </xf>
    <xf numFmtId="0" fontId="30" fillId="0" borderId="0" xfId="0" applyFont="1" applyAlignment="1">
      <alignment wrapText="1"/>
    </xf>
  </cellXfs>
  <cellStyles count="16">
    <cellStyle name="Comma" xfId="1" builtinId="3"/>
    <cellStyle name="Currency" xfId="6" builtinId="4"/>
    <cellStyle name="Hyperlink" xfId="7" builtinId="8"/>
    <cellStyle name="Normal" xfId="0" builtinId="0"/>
    <cellStyle name="Percent" xfId="2" builtinId="5"/>
    <cellStyle name="Style 13" xfId="9" xr:uid="{51F632D2-0414-6C40-BF00-724D8F6FF585}"/>
    <cellStyle name="Style 14" xfId="10" xr:uid="{85A0AECD-E337-C143-863E-596DC1338F72}"/>
    <cellStyle name="Style 16" xfId="11" xr:uid="{375ED27F-DA6B-5846-818A-6698B99D8404}"/>
    <cellStyle name="Style 18" xfId="13" xr:uid="{B1004E7E-3B1C-EA4A-8A53-4EBDEBE817BB}"/>
    <cellStyle name="Style 19" xfId="14" xr:uid="{67961F1C-A137-5041-85FB-EBB76AD7C079}"/>
    <cellStyle name="Style 29" xfId="15" xr:uid="{DFE23EEA-0C48-EB4E-B3B2-A211573F628E}"/>
    <cellStyle name="Style 36" xfId="5" xr:uid="{BE4E1DDB-6810-4CC9-A5C6-602A4B9987A9}"/>
    <cellStyle name="Style 40" xfId="4" xr:uid="{F32F26A9-AD64-42A6-869B-C02342A50A49}"/>
    <cellStyle name="Style 6" xfId="12" xr:uid="{CE24BD7C-2622-474C-99FE-9E9B7836FD16}"/>
    <cellStyle name="Style 7" xfId="3" xr:uid="{1C9F7AD5-92EC-4431-B5B5-93A301F619F9}"/>
    <cellStyle name="Style 9" xfId="8" xr:uid="{57CA2FCF-8572-B149-BB19-C05230B01181}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8" formatCode="_(* #,##0_);_(* \(#,##0\);_(* &quot;-&quot;??_);_(@_)"/>
    </dxf>
    <dxf>
      <numFmt numFmtId="168" formatCode="_(* #,##0_);_(* \(#,##0\);_(* &quot;-&quot;??_);_(@_)"/>
    </dxf>
    <dxf>
      <numFmt numFmtId="168" formatCode="_(* #,##0_);_(* \(#,##0\);_(* &quot;-&quot;??_);_(@_)"/>
    </dxf>
    <dxf>
      <numFmt numFmtId="168" formatCode="_(* #,##0_);_(* \(#,##0\);_(* &quot;-&quot;??_);_(@_)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</dxfs>
  <tableStyles count="0" defaultTableStyle="TableStyleMedium2" defaultPivotStyle="PivotStyleLight16"/>
  <colors>
    <mruColors>
      <color rgb="FF3C46FF"/>
      <color rgb="FFE67942"/>
      <color rgb="FFFF45FE"/>
      <color rgb="FFFF45FF"/>
      <color rgb="FF7CF178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33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Path to 15% EBITDA margin by FY25 exit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051971098517954"/>
          <c:y val="0.13896127760515853"/>
          <c:w val="0.70948028901482041"/>
          <c:h val="0.462906699297272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Summary!$AN$5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Summary!$AO$4:$AQ$4</c:f>
            </c:multiLvlStrRef>
          </c:cat>
          <c:val>
            <c:numRef>
              <c:f>Summary!$AO$5:$AQ$5</c:f>
            </c:numRef>
          </c:val>
          <c:extLst>
            <c:ext xmlns:c16="http://schemas.microsoft.com/office/drawing/2014/chart" uri="{C3380CC4-5D6E-409C-BE32-E72D297353CC}">
              <c16:uniqueId val="{00000000-AC01-40F2-B473-B80FEFDE494A}"/>
            </c:ext>
          </c:extLst>
        </c:ser>
        <c:ser>
          <c:idx val="1"/>
          <c:order val="1"/>
          <c:tx>
            <c:strRef>
              <c:f>Summary!$AN$6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Summary!$AO$4:$AQ$4</c:f>
            </c:multiLvlStrRef>
          </c:cat>
          <c:val>
            <c:numRef>
              <c:f>Summary!$AO$6:$AQ$6</c:f>
            </c:numRef>
          </c:val>
          <c:extLst>
            <c:ext xmlns:c16="http://schemas.microsoft.com/office/drawing/2014/chart" uri="{C3380CC4-5D6E-409C-BE32-E72D297353CC}">
              <c16:uniqueId val="{00000001-AC01-40F2-B473-B80FEFDE494A}"/>
            </c:ext>
          </c:extLst>
        </c:ser>
        <c:ser>
          <c:idx val="2"/>
          <c:order val="2"/>
          <c:tx>
            <c:strRef>
              <c:f>Summary!$AN$7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Summary!$AO$4:$AQ$4</c:f>
            </c:multiLvlStrRef>
          </c:cat>
          <c:val>
            <c:numRef>
              <c:f>Summary!$AO$7:$AQ$7</c:f>
            </c:numRef>
          </c:val>
          <c:extLst>
            <c:ext xmlns:c16="http://schemas.microsoft.com/office/drawing/2014/chart" uri="{C3380CC4-5D6E-409C-BE32-E72D297353CC}">
              <c16:uniqueId val="{00000002-AC01-40F2-B473-B80FEFDE4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163936"/>
        <c:axId val="1331159616"/>
      </c:barChart>
      <c:lineChart>
        <c:grouping val="standard"/>
        <c:varyColors val="0"/>
        <c:ser>
          <c:idx val="3"/>
          <c:order val="3"/>
          <c:tx>
            <c:strRef>
              <c:f>Summary!$AN$8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Summary!$AO$4:$AQ$4</c:f>
            </c:multiLvlStrRef>
          </c:cat>
          <c:val>
            <c:numRef>
              <c:f>Summary!$AO$8:$AQ$8</c:f>
            </c:numRef>
          </c:val>
          <c:smooth val="1"/>
          <c:extLst>
            <c:ext xmlns:c16="http://schemas.microsoft.com/office/drawing/2014/chart" uri="{C3380CC4-5D6E-409C-BE32-E72D297353CC}">
              <c16:uniqueId val="{00000003-AC01-40F2-B473-B80FEFDE4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155296"/>
        <c:axId val="1331175456"/>
      </c:lineChart>
      <c:catAx>
        <c:axId val="133116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331159616"/>
        <c:crosses val="autoZero"/>
        <c:auto val="1"/>
        <c:lblAlgn val="ctr"/>
        <c:lblOffset val="100"/>
        <c:noMultiLvlLbl val="0"/>
      </c:catAx>
      <c:valAx>
        <c:axId val="1331159616"/>
        <c:scaling>
          <c:orientation val="minMax"/>
        </c:scaling>
        <c:delete val="0"/>
        <c:axPos val="l"/>
        <c:numFmt formatCode="&quot;$&quot;#,##0,,&quot;m&quot;_);[Red]\(&quot;$&quot;#,##0,,&quot;m&quot;\)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331163936"/>
        <c:crosses val="autoZero"/>
        <c:crossBetween val="between"/>
      </c:valAx>
      <c:valAx>
        <c:axId val="133117545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331155296"/>
        <c:crosses val="max"/>
        <c:crossBetween val="between"/>
      </c:valAx>
      <c:catAx>
        <c:axId val="1331155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1175456"/>
        <c:crosses val="autoZero"/>
        <c:auto val="1"/>
        <c:lblAlgn val="ctr"/>
        <c:lblOffset val="100"/>
        <c:noMultiLvlLbl val="0"/>
      </c:catAx>
      <c:dTable>
        <c:showHorzBorder val="0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 b="1"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47624</xdr:colOff>
      <xdr:row>14</xdr:row>
      <xdr:rowOff>114300</xdr:rowOff>
    </xdr:from>
    <xdr:to>
      <xdr:col>44</xdr:col>
      <xdr:colOff>76200</xdr:colOff>
      <xdr:row>33</xdr:row>
      <xdr:rowOff>92076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B8AB81-D97B-17A7-CC66-071F3C522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0bf98a802026643/Seamfix%20TB%20Pack.xlsx" TargetMode="External"/><Relationship Id="rId1" Type="http://schemas.openxmlformats.org/officeDocument/2006/relationships/externalLinkPath" Target="Seamfix%20TB%20Pac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0bf98a802026643/UK%20Seamfix%20TB%20Pack.xlsx" TargetMode="External"/><Relationship Id="rId1" Type="http://schemas.openxmlformats.org/officeDocument/2006/relationships/externalLinkPath" Target="UK%20Seamfix%20TB%20Pack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0bf98a802026643/UAE%20Seamfix%20TB%20Pack.xlsx" TargetMode="External"/><Relationship Id="rId1" Type="http://schemas.openxmlformats.org/officeDocument/2006/relationships/externalLinkPath" Target="UAE%20Seamfix%20TB%20Pa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7"/>
      <sheetName val="Summary"/>
      <sheetName val="D_list"/>
      <sheetName val="PL"/>
      <sheetName val="BS"/>
      <sheetName val="Trial Balance"/>
      <sheetName val="FX Rate"/>
      <sheetName val="Apr-26"/>
      <sheetName val="Mar-26"/>
      <sheetName val="Feb-26"/>
      <sheetName val="Jan-26"/>
      <sheetName val="Dec-25"/>
      <sheetName val="Nov-25"/>
      <sheetName val="Oct-25"/>
      <sheetName val="Sep-25"/>
      <sheetName val="Aug-25"/>
      <sheetName val="Jul-25"/>
      <sheetName val="Jun-25"/>
      <sheetName val="May-25"/>
      <sheetName val="Apr-25"/>
      <sheetName val="Mar-25"/>
      <sheetName val="Feb-25"/>
      <sheetName val="Jan-25"/>
      <sheetName val="Dec-24"/>
      <sheetName val="Nov-24"/>
      <sheetName val="Oct-24"/>
      <sheetName val="Sep-24"/>
      <sheetName val="Aug-24"/>
      <sheetName val="Jul-24"/>
      <sheetName val="Jun-24"/>
      <sheetName val="May-24"/>
      <sheetName val="Apr-24"/>
      <sheetName val="Mar-24"/>
      <sheetName val="Feb-24"/>
      <sheetName val="Jan-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A3" t="str">
            <v>Account</v>
          </cell>
          <cell r="E3" t="str">
            <v>Description</v>
          </cell>
        </row>
        <row r="4">
          <cell r="A4">
            <v>10100</v>
          </cell>
          <cell r="E4" t="str">
            <v>Petty Cash</v>
          </cell>
        </row>
        <row r="5">
          <cell r="A5">
            <v>10101</v>
          </cell>
          <cell r="E5" t="str">
            <v>Bank</v>
          </cell>
        </row>
        <row r="6">
          <cell r="A6">
            <v>10102</v>
          </cell>
          <cell r="E6" t="str">
            <v>Cash in Hand (GBP)</v>
          </cell>
        </row>
        <row r="7">
          <cell r="A7">
            <v>10103</v>
          </cell>
          <cell r="E7" t="str">
            <v>Cash in Hand (USD) OLD</v>
          </cell>
        </row>
        <row r="8">
          <cell r="A8">
            <v>10104</v>
          </cell>
          <cell r="E8" t="str">
            <v>Cash in Hand (USD $)</v>
          </cell>
        </row>
        <row r="9">
          <cell r="A9">
            <v>10752</v>
          </cell>
          <cell r="E9" t="str">
            <v>Cash in Hand (GBP)</v>
          </cell>
        </row>
        <row r="10">
          <cell r="A10">
            <v>10803</v>
          </cell>
          <cell r="E10" t="str">
            <v>Verto FX Wallet (Naira)</v>
          </cell>
        </row>
        <row r="11">
          <cell r="A11">
            <v>13023</v>
          </cell>
          <cell r="E11" t="str">
            <v>Value Jet Wallet</v>
          </cell>
        </row>
        <row r="12">
          <cell r="A12">
            <v>13024</v>
          </cell>
          <cell r="E12" t="str">
            <v>NotchHR Wallet</v>
          </cell>
        </row>
        <row r="13">
          <cell r="A13">
            <v>15511</v>
          </cell>
          <cell r="E13" t="str">
            <v>Intangible Assets - MFA Benin</v>
          </cell>
        </row>
        <row r="14">
          <cell r="A14">
            <v>69905</v>
          </cell>
          <cell r="E14" t="str">
            <v>Accumulated Amortization - MFA Benin</v>
          </cell>
        </row>
        <row r="15">
          <cell r="A15">
            <v>89906</v>
          </cell>
          <cell r="E15" t="str">
            <v>Accumulated Amortization - Biosmart X</v>
          </cell>
        </row>
        <row r="16">
          <cell r="A16">
            <v>10105</v>
          </cell>
          <cell r="E16" t="str">
            <v>Investment in Subsidiary - Seamfix UK</v>
          </cell>
        </row>
        <row r="17">
          <cell r="A17">
            <v>10106</v>
          </cell>
          <cell r="E17" t="str">
            <v>Cash in Hand (Naira)</v>
          </cell>
        </row>
        <row r="18">
          <cell r="A18">
            <v>10107</v>
          </cell>
          <cell r="E18" t="str">
            <v>Investment in Subsidiary (UAE)</v>
          </cell>
        </row>
        <row r="19">
          <cell r="A19">
            <v>10108</v>
          </cell>
          <cell r="E19" t="str">
            <v>Investment in Subsidiary - Seamfix SA</v>
          </cell>
        </row>
        <row r="20">
          <cell r="A20">
            <v>10109</v>
          </cell>
          <cell r="E20" t="str">
            <v>Investment in Subsidiary - Seamfix Kenya</v>
          </cell>
        </row>
        <row r="21">
          <cell r="A21">
            <v>10110</v>
          </cell>
          <cell r="E21" t="str">
            <v>Investment in Subsidiary - iTranscript</v>
          </cell>
        </row>
        <row r="22">
          <cell r="A22">
            <v>10112</v>
          </cell>
          <cell r="E22" t="str">
            <v>Investment in Seamfix Foundation LTD/GTE</v>
          </cell>
        </row>
        <row r="23">
          <cell r="A23">
            <v>10160</v>
          </cell>
          <cell r="E23" t="str">
            <v>Financial Investment - Capital Markets</v>
          </cell>
        </row>
        <row r="24">
          <cell r="A24">
            <v>10200</v>
          </cell>
          <cell r="E24" t="str">
            <v>UBA APG A/C</v>
          </cell>
        </row>
        <row r="25">
          <cell r="A25">
            <v>10205</v>
          </cell>
          <cell r="E25" t="str">
            <v>EcoBank DOM</v>
          </cell>
        </row>
        <row r="26">
          <cell r="A26">
            <v>10210</v>
          </cell>
          <cell r="E26" t="str">
            <v>Fidelity Bank</v>
          </cell>
        </row>
        <row r="27">
          <cell r="A27">
            <v>10213</v>
          </cell>
          <cell r="E27" t="str">
            <v>Sterling Bank</v>
          </cell>
        </row>
        <row r="28">
          <cell r="A28">
            <v>10215</v>
          </cell>
          <cell r="E28" t="str">
            <v>First Bank (Project) - 2024816865</v>
          </cell>
        </row>
        <row r="29">
          <cell r="A29">
            <v>10220</v>
          </cell>
          <cell r="E29" t="str">
            <v>GTBank (USD) -OLD</v>
          </cell>
        </row>
        <row r="30">
          <cell r="A30">
            <v>10221</v>
          </cell>
          <cell r="E30" t="str">
            <v>Globus Bank</v>
          </cell>
        </row>
        <row r="31">
          <cell r="A31">
            <v>10223</v>
          </cell>
          <cell r="E31" t="str">
            <v>GTBank (USD) $ - Main - 0263574985</v>
          </cell>
        </row>
        <row r="32">
          <cell r="A32">
            <v>10224</v>
          </cell>
          <cell r="E32" t="str">
            <v>GTBank (USD) $ - Credit Card A/c - 0265997137</v>
          </cell>
        </row>
        <row r="33">
          <cell r="A33">
            <v>10225</v>
          </cell>
          <cell r="E33" t="str">
            <v>GTBank Naira - Main - 0263574978</v>
          </cell>
        </row>
        <row r="34">
          <cell r="A34">
            <v>10226</v>
          </cell>
          <cell r="E34" t="str">
            <v>GTBank - Naira - Card - 0602599736</v>
          </cell>
        </row>
        <row r="35">
          <cell r="A35">
            <v>10227</v>
          </cell>
          <cell r="E35" t="str">
            <v>GTBank (USD) $ - Debit Card A/c- 0928706568</v>
          </cell>
        </row>
        <row r="36">
          <cell r="A36">
            <v>10230</v>
          </cell>
          <cell r="E36" t="str">
            <v>Heritage Bank</v>
          </cell>
        </row>
        <row r="37">
          <cell r="A37">
            <v>10235</v>
          </cell>
          <cell r="E37" t="str">
            <v>Polaris Bank Main A/c - 1770033064</v>
          </cell>
        </row>
        <row r="38">
          <cell r="A38">
            <v>10240</v>
          </cell>
          <cell r="E38" t="str">
            <v>Polaris Operations 1 - 4091053966</v>
          </cell>
        </row>
        <row r="39">
          <cell r="A39">
            <v>10245</v>
          </cell>
          <cell r="E39" t="str">
            <v>Polaris Operations 2 - 4091054231</v>
          </cell>
        </row>
        <row r="40">
          <cell r="A40">
            <v>10248</v>
          </cell>
          <cell r="E40" t="str">
            <v>Bank Overdraft - Current Asset</v>
          </cell>
        </row>
        <row r="41">
          <cell r="A41">
            <v>10250</v>
          </cell>
          <cell r="E41" t="str">
            <v>Standard Chartered USD - Old</v>
          </cell>
        </row>
        <row r="42">
          <cell r="A42">
            <v>10253</v>
          </cell>
          <cell r="E42" t="str">
            <v>Standard Chartered DOM ($) USD - 0001290079</v>
          </cell>
        </row>
        <row r="43">
          <cell r="A43">
            <v>10255</v>
          </cell>
          <cell r="E43" t="str">
            <v>Standard Chartered Bank - 0001290062</v>
          </cell>
        </row>
        <row r="44">
          <cell r="A44">
            <v>10256</v>
          </cell>
          <cell r="E44" t="str">
            <v>Standard Chartered USD (Funding)</v>
          </cell>
        </row>
        <row r="45">
          <cell r="A45">
            <v>10260</v>
          </cell>
          <cell r="E45" t="str">
            <v>Suspense A/C</v>
          </cell>
        </row>
        <row r="46">
          <cell r="A46">
            <v>10261</v>
          </cell>
          <cell r="E46" t="str">
            <v>Suspense Account - Non Denominated</v>
          </cell>
        </row>
        <row r="47">
          <cell r="A47">
            <v>10265</v>
          </cell>
          <cell r="E47" t="str">
            <v>UBA - Main - 1016419015</v>
          </cell>
        </row>
        <row r="48">
          <cell r="A48">
            <v>10270</v>
          </cell>
          <cell r="E48" t="str">
            <v>UBA (Project Account) - 1019339134</v>
          </cell>
        </row>
        <row r="49">
          <cell r="A49">
            <v>10275</v>
          </cell>
          <cell r="E49" t="str">
            <v>UBA Call Deposit</v>
          </cell>
        </row>
        <row r="50">
          <cell r="A50">
            <v>10280</v>
          </cell>
          <cell r="E50" t="str">
            <v>UBA Collections A/C - 1019762956</v>
          </cell>
        </row>
        <row r="51">
          <cell r="A51">
            <v>10285</v>
          </cell>
          <cell r="E51" t="str">
            <v>UBA Collections A/C 2 - 1020379576</v>
          </cell>
        </row>
        <row r="52">
          <cell r="A52">
            <v>10290</v>
          </cell>
          <cell r="E52" t="str">
            <v>BNK057 UBA DOM - OLD</v>
          </cell>
        </row>
        <row r="53">
          <cell r="A53">
            <v>10293</v>
          </cell>
          <cell r="E53" t="str">
            <v>UBA DOM ($) - 3002134203</v>
          </cell>
        </row>
        <row r="54">
          <cell r="A54">
            <v>10295</v>
          </cell>
          <cell r="E54" t="str">
            <v>Zenith bank (New Account)</v>
          </cell>
        </row>
        <row r="55">
          <cell r="A55">
            <v>10300</v>
          </cell>
          <cell r="E55" t="str">
            <v>Zenith Bank DOM ($)</v>
          </cell>
        </row>
        <row r="56">
          <cell r="A56">
            <v>10305</v>
          </cell>
          <cell r="E56" t="str">
            <v>Zenith Bank Settlement - 1012517072</v>
          </cell>
        </row>
        <row r="57">
          <cell r="A57">
            <v>10310</v>
          </cell>
          <cell r="E57" t="str">
            <v>Zenith Call Account 1 - 1014670089</v>
          </cell>
        </row>
        <row r="58">
          <cell r="A58">
            <v>10315</v>
          </cell>
          <cell r="E58" t="str">
            <v>Zenith Call Account 2</v>
          </cell>
        </row>
        <row r="59">
          <cell r="A59">
            <v>10316</v>
          </cell>
          <cell r="E59" t="str">
            <v>Zenith Bank Dom ($)</v>
          </cell>
        </row>
        <row r="60">
          <cell r="A60">
            <v>10317</v>
          </cell>
          <cell r="E60" t="str">
            <v>WEMA bank - 0123818212 - Main account</v>
          </cell>
        </row>
        <row r="61">
          <cell r="A61">
            <v>10320</v>
          </cell>
          <cell r="E61" t="str">
            <v>Zenith Co-operative Bank</v>
          </cell>
        </row>
        <row r="62">
          <cell r="A62">
            <v>10325</v>
          </cell>
          <cell r="E62" t="str">
            <v>BNK002 Access Bank (IMT) (deleted)</v>
          </cell>
        </row>
        <row r="63">
          <cell r="A63">
            <v>10330</v>
          </cell>
          <cell r="E63" t="str">
            <v>BNK017 FCMB (deleted)</v>
          </cell>
        </row>
        <row r="64">
          <cell r="A64">
            <v>10335</v>
          </cell>
          <cell r="E64" t="str">
            <v>BNK024 GTB Current Account (deleted)</v>
          </cell>
        </row>
        <row r="65">
          <cell r="A65">
            <v>10340</v>
          </cell>
          <cell r="E65" t="str">
            <v>BNK047 Zenith Bank Operations (deleted)</v>
          </cell>
        </row>
        <row r="66">
          <cell r="A66">
            <v>10341</v>
          </cell>
          <cell r="E66" t="str">
            <v>WEMA Bank - 0280372084 - Card Account</v>
          </cell>
        </row>
        <row r="67">
          <cell r="A67">
            <v>10342</v>
          </cell>
          <cell r="E67" t="str">
            <v>Access Bank - 1643868295</v>
          </cell>
        </row>
        <row r="68">
          <cell r="A68">
            <v>10343</v>
          </cell>
          <cell r="E68" t="str">
            <v>Access Bank (USD) - 1822288571</v>
          </cell>
        </row>
        <row r="69">
          <cell r="A69">
            <v>10344</v>
          </cell>
          <cell r="E69" t="str">
            <v>Access Bank - 1929629343</v>
          </cell>
        </row>
        <row r="70">
          <cell r="A70">
            <v>10345</v>
          </cell>
          <cell r="E70" t="str">
            <v>BNK049 Zenith Bank Salary (deleted)</v>
          </cell>
        </row>
        <row r="71">
          <cell r="A71">
            <v>10347</v>
          </cell>
          <cell r="E71" t="str">
            <v>xxx</v>
          </cell>
        </row>
        <row r="72">
          <cell r="A72">
            <v>10348</v>
          </cell>
          <cell r="E72" t="str">
            <v>MOMO Account</v>
          </cell>
        </row>
        <row r="73">
          <cell r="A73">
            <v>10350</v>
          </cell>
          <cell r="E73" t="str">
            <v>BNK051 Zenith Bank Treasury (deleted)</v>
          </cell>
        </row>
        <row r="74">
          <cell r="A74">
            <v>10355</v>
          </cell>
          <cell r="E74" t="str">
            <v>BNK046 Zenith Bank Main (deleted)</v>
          </cell>
        </row>
        <row r="75">
          <cell r="A75">
            <v>10360</v>
          </cell>
          <cell r="E75" t="str">
            <v>BNK052 Zenith Bank Visa Baux (deleted)</v>
          </cell>
        </row>
        <row r="76">
          <cell r="A76">
            <v>10365</v>
          </cell>
          <cell r="E76" t="str">
            <v>BNK027 GTB Naira Master Card Account (deleted)</v>
          </cell>
        </row>
        <row r="77">
          <cell r="A77">
            <v>10370</v>
          </cell>
          <cell r="E77" t="str">
            <v>BNK005 Diamond Bank (deleted)</v>
          </cell>
        </row>
        <row r="78">
          <cell r="A78">
            <v>10375</v>
          </cell>
          <cell r="E78" t="str">
            <v>BNK012 Diamond Bank Dom Account (deleted)</v>
          </cell>
        </row>
        <row r="79">
          <cell r="A79">
            <v>10380</v>
          </cell>
          <cell r="E79" t="str">
            <v>BNK001 Access Bank (deleted)</v>
          </cell>
        </row>
        <row r="80">
          <cell r="A80">
            <v>10385</v>
          </cell>
          <cell r="E80" t="str">
            <v>BNK025 GTB Dom Account (deleted)</v>
          </cell>
        </row>
        <row r="81">
          <cell r="A81">
            <v>10390</v>
          </cell>
          <cell r="E81" t="str">
            <v>BNK004 Diamond (Operations Account) (deleted)</v>
          </cell>
        </row>
        <row r="82">
          <cell r="A82">
            <v>10395</v>
          </cell>
          <cell r="E82" t="str">
            <v>BNK018 Fidelity Bank (Main) (deleted)</v>
          </cell>
        </row>
        <row r="83">
          <cell r="A83">
            <v>10400</v>
          </cell>
          <cell r="E83" t="str">
            <v>Undeposited Funds</v>
          </cell>
        </row>
        <row r="84">
          <cell r="A84">
            <v>10405</v>
          </cell>
          <cell r="E84" t="str">
            <v>BNK019 Fidelity Bank (Operations) (deleted)</v>
          </cell>
        </row>
        <row r="85">
          <cell r="A85">
            <v>10410</v>
          </cell>
          <cell r="E85" t="str">
            <v>BNK013 Diamond Bank Treasury (deleted)</v>
          </cell>
        </row>
        <row r="86">
          <cell r="A86">
            <v>10415</v>
          </cell>
          <cell r="E86" t="str">
            <v>BNK026 GTB Euro Dom Account (deleted)</v>
          </cell>
        </row>
        <row r="87">
          <cell r="A87">
            <v>10420</v>
          </cell>
          <cell r="E87" t="str">
            <v>BNK006 Diamond Bank (JQS Account) (deleted)</v>
          </cell>
        </row>
        <row r="88">
          <cell r="A88">
            <v>10425</v>
          </cell>
          <cell r="E88" t="str">
            <v>BNK007 Diamond Bank (JQS2 Account) (deleted)</v>
          </cell>
        </row>
        <row r="89">
          <cell r="A89">
            <v>10430</v>
          </cell>
          <cell r="E89" t="str">
            <v>BNK008 Diamond Bank (PRIMEPAY Account) (deleted)</v>
          </cell>
        </row>
        <row r="90">
          <cell r="A90">
            <v>10435</v>
          </cell>
          <cell r="E90" t="str">
            <v>BNK009 Diamond Bank (Salary Account) (deleted)</v>
          </cell>
        </row>
        <row r="91">
          <cell r="A91">
            <v>10440</v>
          </cell>
          <cell r="E91" t="str">
            <v>BNK010 Diamond Bank (SchoolOnline) (deleted)</v>
          </cell>
        </row>
        <row r="92">
          <cell r="A92">
            <v>10450</v>
          </cell>
          <cell r="E92" t="str">
            <v>BNK035 Skye Bank Operations(deleted)</v>
          </cell>
        </row>
        <row r="93">
          <cell r="A93">
            <v>10455</v>
          </cell>
          <cell r="E93" t="str">
            <v>BNK030 Intercontinental Bank 2 (deleted)</v>
          </cell>
        </row>
        <row r="94">
          <cell r="A94">
            <v>10460</v>
          </cell>
          <cell r="E94" t="str">
            <v>BNK011 Diamond Bank (Settlement) (deleted)</v>
          </cell>
        </row>
        <row r="95">
          <cell r="A95">
            <v>10465</v>
          </cell>
          <cell r="E95" t="str">
            <v>BNK028 GTB POUNDS DOM ACCOUNT (deleted)</v>
          </cell>
        </row>
        <row r="96">
          <cell r="A96">
            <v>10467</v>
          </cell>
          <cell r="E96" t="str">
            <v>BNK059 Zenith (Staff Multipurpose Cooperative Account) (dele</v>
          </cell>
        </row>
        <row r="97">
          <cell r="A97">
            <v>10470</v>
          </cell>
          <cell r="E97" t="str">
            <v>CA012H Staff Advances:Staff Advances EBUKA (deleted)</v>
          </cell>
        </row>
        <row r="98">
          <cell r="A98">
            <v>10475</v>
          </cell>
          <cell r="E98" t="str">
            <v>BNK020 FIRST BANK (deleted)</v>
          </cell>
        </row>
        <row r="99">
          <cell r="A99">
            <v>10476</v>
          </cell>
          <cell r="E99" t="str">
            <v>BNK023 GTB (Yaraju Account) (deleted)</v>
          </cell>
        </row>
        <row r="100">
          <cell r="A100">
            <v>10477</v>
          </cell>
          <cell r="E100" t="str">
            <v>BNK022 FIRST BANK OPERATIONS (deleted)</v>
          </cell>
        </row>
        <row r="101">
          <cell r="A101">
            <v>10478</v>
          </cell>
          <cell r="E101" t="str">
            <v>BNK045 Zenith Bank - Ugochukwu Uddoh (deleted)</v>
          </cell>
        </row>
        <row r="102">
          <cell r="A102">
            <v>10479</v>
          </cell>
          <cell r="E102" t="str">
            <v>BNK053 Cash in Hand (NGN) (deleted)</v>
          </cell>
        </row>
        <row r="103">
          <cell r="A103">
            <v>10480</v>
          </cell>
          <cell r="E103" t="str">
            <v>BNK036 SKYE NIBSS (deleted)</v>
          </cell>
        </row>
        <row r="104">
          <cell r="A104">
            <v>10481</v>
          </cell>
          <cell r="E104" t="str">
            <v>BNK031 Intercontinental(Man Power Biz) (deleted)</v>
          </cell>
        </row>
        <row r="105">
          <cell r="A105">
            <v>10485</v>
          </cell>
          <cell r="E105" t="str">
            <v>BNK045 Zenith Bank - Ugochukwu Uddoh (deleted)</v>
          </cell>
        </row>
        <row r="106">
          <cell r="A106">
            <v>10490</v>
          </cell>
          <cell r="E106" t="str">
            <v>BNK037 Skye SchoolOnline 1 (deleted)</v>
          </cell>
        </row>
        <row r="107">
          <cell r="A107">
            <v>10495</v>
          </cell>
          <cell r="E107" t="str">
            <v>BNK034 Skye Bank (SchoolOnline 2) (deleted)</v>
          </cell>
        </row>
        <row r="108">
          <cell r="A108">
            <v>10496</v>
          </cell>
          <cell r="E108" t="str">
            <v>BNK016 FBN Operations Account 2 (deleted)</v>
          </cell>
        </row>
        <row r="109">
          <cell r="A109">
            <v>10497</v>
          </cell>
          <cell r="E109" t="str">
            <v>Union Bank</v>
          </cell>
        </row>
        <row r="110">
          <cell r="A110">
            <v>10500</v>
          </cell>
          <cell r="E110" t="str">
            <v>Cash in Transit</v>
          </cell>
        </row>
        <row r="111">
          <cell r="A111">
            <v>10600</v>
          </cell>
          <cell r="E111" t="str">
            <v>Credit Card Account</v>
          </cell>
        </row>
        <row r="112">
          <cell r="A112">
            <v>10700</v>
          </cell>
          <cell r="E112" t="str">
            <v>Bank Account - Euros</v>
          </cell>
        </row>
        <row r="113">
          <cell r="A113">
            <v>10750</v>
          </cell>
          <cell r="E113" t="str">
            <v>Cash held by EU entity</v>
          </cell>
        </row>
        <row r="114">
          <cell r="A114">
            <v>10800</v>
          </cell>
          <cell r="E114" t="str">
            <v>Bank Account - SGD</v>
          </cell>
        </row>
        <row r="115">
          <cell r="A115">
            <v>10801</v>
          </cell>
          <cell r="E115" t="str">
            <v>Absa Bank Mauritius ($) - 057115998</v>
          </cell>
        </row>
        <row r="116">
          <cell r="A116">
            <v>10802</v>
          </cell>
          <cell r="E116" t="str">
            <v>Absa Bank Mauritius ($) - Fixed Deposit</v>
          </cell>
        </row>
        <row r="117">
          <cell r="A117">
            <v>10900</v>
          </cell>
          <cell r="E117" t="str">
            <v>Company Checking Account - subsidiary</v>
          </cell>
        </row>
        <row r="118">
          <cell r="A118">
            <v>11000</v>
          </cell>
          <cell r="E118" t="str">
            <v>Accounts Receivable (A/R)</v>
          </cell>
        </row>
        <row r="119">
          <cell r="A119">
            <v>11001</v>
          </cell>
          <cell r="E119" t="str">
            <v>Account Receivable - NIMC Agents</v>
          </cell>
        </row>
        <row r="120">
          <cell r="A120">
            <v>11002</v>
          </cell>
          <cell r="E120" t="str">
            <v>Account Receivable - Stamp Duty</v>
          </cell>
        </row>
        <row r="121">
          <cell r="A121">
            <v>11003</v>
          </cell>
          <cell r="E121" t="str">
            <v>Account Receivable (Staff Loan Interest)</v>
          </cell>
        </row>
        <row r="122">
          <cell r="A122">
            <v>11004</v>
          </cell>
          <cell r="E122" t="str">
            <v>Accounts Receivable - Others</v>
          </cell>
        </row>
        <row r="123">
          <cell r="A123">
            <v>11005</v>
          </cell>
          <cell r="E123" t="str">
            <v>Accounts Receivable (A/R) - USD</v>
          </cell>
        </row>
        <row r="124">
          <cell r="A124">
            <v>11010</v>
          </cell>
          <cell r="E124" t="str">
            <v>Accrued Income - Delete</v>
          </cell>
        </row>
        <row r="125">
          <cell r="A125">
            <v>11020</v>
          </cell>
          <cell r="E125" t="str">
            <v>Accrued Revenue</v>
          </cell>
        </row>
        <row r="126">
          <cell r="A126">
            <v>11500</v>
          </cell>
          <cell r="E126" t="str">
            <v>Unbilled Receivables</v>
          </cell>
        </row>
        <row r="127">
          <cell r="A127">
            <v>11600</v>
          </cell>
          <cell r="E127" t="str">
            <v>Project unbilled HR</v>
          </cell>
        </row>
        <row r="128">
          <cell r="A128">
            <v>11700</v>
          </cell>
          <cell r="E128" t="str">
            <v>Accounts Receivables - Nimc Agents.</v>
          </cell>
        </row>
        <row r="129">
          <cell r="A129">
            <v>12100</v>
          </cell>
          <cell r="E129" t="str">
            <v>Inventory</v>
          </cell>
        </row>
        <row r="130">
          <cell r="A130">
            <v>12101</v>
          </cell>
          <cell r="E130" t="str">
            <v>Inventory Asset</v>
          </cell>
        </row>
        <row r="131">
          <cell r="A131">
            <v>12102</v>
          </cell>
          <cell r="E131" t="str">
            <v>Uncategorised Asset</v>
          </cell>
        </row>
        <row r="132">
          <cell r="A132">
            <v>12105</v>
          </cell>
          <cell r="E132" t="str">
            <v>CA006 Directors' Current Account (Abj) (deleted)</v>
          </cell>
        </row>
        <row r="133">
          <cell r="A133">
            <v>12200</v>
          </cell>
          <cell r="E133" t="str">
            <v>Non-Stock Inventory</v>
          </cell>
        </row>
        <row r="134">
          <cell r="A134">
            <v>12300</v>
          </cell>
          <cell r="E134" t="str">
            <v>Good in Transit</v>
          </cell>
        </row>
        <row r="135">
          <cell r="A135">
            <v>12400</v>
          </cell>
          <cell r="E135" t="str">
            <v>Work in Progress Inventory</v>
          </cell>
        </row>
        <row r="136">
          <cell r="A136">
            <v>13000</v>
          </cell>
          <cell r="E136" t="str">
            <v>Employee Advances</v>
          </cell>
        </row>
        <row r="137">
          <cell r="A137">
            <v>13001</v>
          </cell>
          <cell r="E137" t="str">
            <v>Cash Advance</v>
          </cell>
        </row>
        <row r="138">
          <cell r="A138">
            <v>13002</v>
          </cell>
          <cell r="E138" t="str">
            <v>Refundable Deposit A/C</v>
          </cell>
        </row>
        <row r="139">
          <cell r="A139">
            <v>13003</v>
          </cell>
          <cell r="E139" t="str">
            <v>Short Term Investments - Naira</v>
          </cell>
        </row>
        <row r="140">
          <cell r="A140">
            <v>13004</v>
          </cell>
          <cell r="E140" t="str">
            <v>Staff Advances</v>
          </cell>
        </row>
        <row r="141">
          <cell r="A141">
            <v>13005</v>
          </cell>
          <cell r="E141" t="str">
            <v>Shor-term Investment (USD)</v>
          </cell>
        </row>
        <row r="142">
          <cell r="A142">
            <v>13006</v>
          </cell>
          <cell r="E142" t="str">
            <v>Staff Advances:Staff Advance Ebuka Oguno</v>
          </cell>
        </row>
        <row r="143">
          <cell r="A143">
            <v>13007</v>
          </cell>
          <cell r="E143" t="str">
            <v>Staff Advances:Staff Advances Chibuzor Onwurah</v>
          </cell>
        </row>
        <row r="144">
          <cell r="A144">
            <v>13008</v>
          </cell>
          <cell r="E144" t="str">
            <v>Staff Advances:Staff Advances Chimezie Emewulu</v>
          </cell>
        </row>
        <row r="145">
          <cell r="A145">
            <v>13009</v>
          </cell>
          <cell r="E145" t="str">
            <v>Staff Advances:Staff Advances Promise Uzondu</v>
          </cell>
        </row>
        <row r="146">
          <cell r="A146">
            <v>13010</v>
          </cell>
          <cell r="E146" t="str">
            <v>Staff Loan</v>
          </cell>
        </row>
        <row r="147">
          <cell r="A147">
            <v>13011</v>
          </cell>
          <cell r="E147" t="str">
            <v>CA012G Staff Advances:Staff Advances CHUKANWOSU (deleted)</v>
          </cell>
        </row>
        <row r="148">
          <cell r="A148">
            <v>13012</v>
          </cell>
          <cell r="E148" t="str">
            <v>CA012M Staff Advances:Staff Advances Patrick Ojiti (deleted)</v>
          </cell>
        </row>
        <row r="149">
          <cell r="A149">
            <v>13013</v>
          </cell>
          <cell r="E149" t="str">
            <v>CA012E Staff Advances:Staff Advances Chike Okafoeze (deleted</v>
          </cell>
        </row>
        <row r="150">
          <cell r="A150">
            <v>13014</v>
          </cell>
          <cell r="E150" t="str">
            <v>CA012C Staff Advances:Staff Advances CHARLES (deleted)</v>
          </cell>
        </row>
        <row r="151">
          <cell r="A151">
            <v>13015</v>
          </cell>
          <cell r="E151" t="str">
            <v>CA012B Staff Advances:Staff Advances ADA/DIYAN (deleted)</v>
          </cell>
        </row>
        <row r="152">
          <cell r="A152">
            <v>13016</v>
          </cell>
          <cell r="E152" t="str">
            <v>CA012K Staff Advances:Staff Advances Livinus Enoja (deleted)</v>
          </cell>
        </row>
        <row r="153">
          <cell r="A153">
            <v>13017</v>
          </cell>
          <cell r="E153" t="str">
            <v>CA012U Staff Advances:Staff Advance Azeez Lawal (deleted)</v>
          </cell>
        </row>
        <row r="154">
          <cell r="A154">
            <v>13018</v>
          </cell>
          <cell r="E154" t="str">
            <v>CA012V Staff Advances:Staff Advance Chuks (deleted)</v>
          </cell>
        </row>
        <row r="155">
          <cell r="A155">
            <v>13019</v>
          </cell>
          <cell r="E155" t="str">
            <v>CA012Q Staff Advances:Staff Advance Frank Atube (deleted)</v>
          </cell>
        </row>
        <row r="156">
          <cell r="A156">
            <v>13020</v>
          </cell>
          <cell r="E156" t="str">
            <v>CA012A Staff Advances:Staff Advances Abiola Okon (deleted)</v>
          </cell>
        </row>
        <row r="157">
          <cell r="A157">
            <v>13021</v>
          </cell>
          <cell r="E157" t="str">
            <v>CA012R Staff Advances:Staff Advance McDon Ejike (deleted)</v>
          </cell>
        </row>
        <row r="158">
          <cell r="A158">
            <v>13022</v>
          </cell>
          <cell r="E158" t="str">
            <v>CA012T Staff Advances:Staff Advance Olamide Ajah (deleted)</v>
          </cell>
        </row>
        <row r="159">
          <cell r="A159">
            <v>13100</v>
          </cell>
          <cell r="E159" t="str">
            <v>Prepayments</v>
          </cell>
        </row>
        <row r="160">
          <cell r="A160">
            <v>13105</v>
          </cell>
          <cell r="E160" t="str">
            <v>Eapps Wallet</v>
          </cell>
        </row>
        <row r="161">
          <cell r="A161">
            <v>13110</v>
          </cell>
          <cell r="E161" t="str">
            <v>Prepayments:Prepayment - AutoTopUp Wallet</v>
          </cell>
        </row>
        <row r="162">
          <cell r="A162">
            <v>13115</v>
          </cell>
          <cell r="E162" t="str">
            <v>Prepaid eWallet</v>
          </cell>
        </row>
        <row r="163">
          <cell r="A163">
            <v>13116</v>
          </cell>
          <cell r="E163" t="str">
            <v>VerifyMe Wallet Funding</v>
          </cell>
        </row>
        <row r="164">
          <cell r="A164">
            <v>13120</v>
          </cell>
          <cell r="E164" t="str">
            <v>Prepayments:Prepayments Other Prepaid Expenses</v>
          </cell>
        </row>
        <row r="165">
          <cell r="A165">
            <v>13125</v>
          </cell>
          <cell r="E165" t="str">
            <v>Prepayments:Prepayments Prepaid Flight Ticket</v>
          </cell>
        </row>
        <row r="166">
          <cell r="A166">
            <v>13127</v>
          </cell>
          <cell r="E166" t="str">
            <v>CA011C Prepayments:Prepayments Prepaid Fuel (deleted)</v>
          </cell>
        </row>
        <row r="167">
          <cell r="A167">
            <v>13130</v>
          </cell>
          <cell r="E167" t="str">
            <v>Prepayments:Prepayments Prepaid Insurance</v>
          </cell>
        </row>
        <row r="168">
          <cell r="A168">
            <v>13135</v>
          </cell>
          <cell r="E168" t="str">
            <v>Prepayments:Prepayments Prepaid Rent</v>
          </cell>
        </row>
        <row r="169">
          <cell r="A169">
            <v>13200</v>
          </cell>
          <cell r="E169" t="str">
            <v>Vendor Advances</v>
          </cell>
        </row>
        <row r="170">
          <cell r="A170">
            <v>13300</v>
          </cell>
          <cell r="E170" t="str">
            <v>Welfare Loan Account</v>
          </cell>
        </row>
        <row r="171">
          <cell r="A171">
            <v>13301</v>
          </cell>
          <cell r="E171" t="str">
            <v>Loan Receivable</v>
          </cell>
        </row>
        <row r="172">
          <cell r="A172">
            <v>13400</v>
          </cell>
          <cell r="E172" t="str">
            <v>Withholding Tax Receivable</v>
          </cell>
        </row>
        <row r="173">
          <cell r="A173">
            <v>13401</v>
          </cell>
          <cell r="E173" t="str">
            <v>Withholding Tax Receivable:Withholding Tax Recovered</v>
          </cell>
        </row>
        <row r="174">
          <cell r="A174">
            <v>13402</v>
          </cell>
          <cell r="E174" t="str">
            <v>CA007 Finger Print Scanners (deleted)</v>
          </cell>
        </row>
        <row r="175">
          <cell r="A175">
            <v>14000</v>
          </cell>
          <cell r="E175" t="str">
            <v>Other Debtors - Seamfix UAE</v>
          </cell>
        </row>
        <row r="176">
          <cell r="A176">
            <v>14001</v>
          </cell>
          <cell r="E176" t="str">
            <v>Other Debtors - UK</v>
          </cell>
        </row>
        <row r="177">
          <cell r="A177">
            <v>14010</v>
          </cell>
          <cell r="E177" t="str">
            <v>Other Debtors - itranscript Ltd</v>
          </cell>
        </row>
        <row r="178">
          <cell r="A178">
            <v>14011</v>
          </cell>
          <cell r="E178" t="str">
            <v>Other Debtors - EVSL</v>
          </cell>
        </row>
        <row r="179">
          <cell r="A179">
            <v>14012</v>
          </cell>
          <cell r="E179" t="str">
            <v>Other Debtors - Nano Airtime</v>
          </cell>
        </row>
        <row r="180">
          <cell r="A180">
            <v>14013</v>
          </cell>
          <cell r="E180" t="str">
            <v>Other Debtors - Seamfix UK</v>
          </cell>
        </row>
        <row r="181">
          <cell r="A181">
            <v>14014</v>
          </cell>
          <cell r="E181" t="str">
            <v>Other Debtors - Seamfix Uganda</v>
          </cell>
        </row>
        <row r="182">
          <cell r="A182">
            <v>14015</v>
          </cell>
          <cell r="E182" t="str">
            <v>Other debtors - Billable</v>
          </cell>
        </row>
        <row r="183">
          <cell r="A183">
            <v>14016</v>
          </cell>
          <cell r="E183" t="str">
            <v>Other Debtors - Seamfix US</v>
          </cell>
        </row>
        <row r="184">
          <cell r="A184">
            <v>14017</v>
          </cell>
          <cell r="E184" t="str">
            <v>Other Debtors - Seamfix SA</v>
          </cell>
        </row>
        <row r="185">
          <cell r="A185">
            <v>14018</v>
          </cell>
          <cell r="E185" t="str">
            <v>Account Receivable - Others</v>
          </cell>
        </row>
        <row r="186">
          <cell r="A186">
            <v>14020</v>
          </cell>
          <cell r="E186" t="str">
            <v>Other Debtors - Seamfix Kenya</v>
          </cell>
        </row>
        <row r="187">
          <cell r="A187">
            <v>14021</v>
          </cell>
          <cell r="E187" t="str">
            <v>Other Debtors - Seamfix Texas</v>
          </cell>
        </row>
        <row r="188">
          <cell r="A188">
            <v>15000</v>
          </cell>
          <cell r="E188" t="str">
            <v>Furniture and Fixtures:Furniture and Fixtures Cost</v>
          </cell>
        </row>
        <row r="189">
          <cell r="A189">
            <v>15100</v>
          </cell>
          <cell r="E189" t="str">
            <v>Motor Vehicles: Cost</v>
          </cell>
        </row>
        <row r="190">
          <cell r="A190">
            <v>15200</v>
          </cell>
          <cell r="E190" t="str">
            <v>Office &amp; Computer Equipment:Office &amp; Computer Equipment Cost</v>
          </cell>
        </row>
        <row r="191">
          <cell r="A191">
            <v>15205</v>
          </cell>
          <cell r="E191" t="str">
            <v>NCA003 Office &amp; Computer Equipment</v>
          </cell>
        </row>
        <row r="192">
          <cell r="A192">
            <v>15300</v>
          </cell>
          <cell r="E192" t="str">
            <v>Plant &amp; Machinery:Plant &amp; Machinery Cost</v>
          </cell>
        </row>
        <row r="193">
          <cell r="A193">
            <v>15400</v>
          </cell>
          <cell r="E193" t="str">
            <v>Land</v>
          </cell>
        </row>
        <row r="194">
          <cell r="A194">
            <v>15405</v>
          </cell>
          <cell r="E194" t="str">
            <v>Leasehold Improvements</v>
          </cell>
        </row>
        <row r="195">
          <cell r="A195">
            <v>15410</v>
          </cell>
          <cell r="E195" t="str">
            <v>Building</v>
          </cell>
        </row>
        <row r="196">
          <cell r="A196">
            <v>15500</v>
          </cell>
          <cell r="E196" t="str">
            <v>Intangible Assets</v>
          </cell>
        </row>
        <row r="197">
          <cell r="A197">
            <v>15501</v>
          </cell>
          <cell r="E197" t="str">
            <v>Intangible Assets - Capture</v>
          </cell>
        </row>
        <row r="198">
          <cell r="A198">
            <v>15505</v>
          </cell>
          <cell r="E198" t="str">
            <v>Intangible Assets - Verify</v>
          </cell>
        </row>
        <row r="199">
          <cell r="A199">
            <v>15509</v>
          </cell>
          <cell r="E199" t="str">
            <v>Intangible Assets - Certify</v>
          </cell>
        </row>
        <row r="200">
          <cell r="A200">
            <v>15510</v>
          </cell>
          <cell r="E200" t="str">
            <v>Intangible Assets - I am</v>
          </cell>
        </row>
        <row r="201">
          <cell r="A201">
            <v>15600</v>
          </cell>
          <cell r="E201" t="str">
            <v>NCA001 Furniture and Fixtures</v>
          </cell>
        </row>
        <row r="202">
          <cell r="A202">
            <v>15999</v>
          </cell>
          <cell r="E202" t="str">
            <v>Fixed Asset Clearing Account</v>
          </cell>
        </row>
        <row r="203">
          <cell r="A203">
            <v>16000</v>
          </cell>
          <cell r="E203" t="str">
            <v>Furniture and Fixtures Accumulated Depreciation</v>
          </cell>
        </row>
        <row r="204">
          <cell r="A204">
            <v>16100</v>
          </cell>
          <cell r="E204" t="str">
            <v>Motor Vehicles: Accumulated Depreciation</v>
          </cell>
        </row>
        <row r="205">
          <cell r="A205">
            <v>16200</v>
          </cell>
          <cell r="E205" t="str">
            <v>Office &amp; Computer Equipment Accumulated Depreciation</v>
          </cell>
        </row>
        <row r="206">
          <cell r="A206">
            <v>16300</v>
          </cell>
          <cell r="E206" t="str">
            <v>Plant &amp; Machinery Accumulated Depreciation</v>
          </cell>
        </row>
        <row r="207">
          <cell r="A207">
            <v>16400</v>
          </cell>
          <cell r="E207" t="str">
            <v>Accumulated Depreciation: Buildings</v>
          </cell>
        </row>
        <row r="208">
          <cell r="A208">
            <v>16500</v>
          </cell>
          <cell r="E208" t="str">
            <v>Accumulated Amortization</v>
          </cell>
        </row>
        <row r="209">
          <cell r="A209">
            <v>16600</v>
          </cell>
          <cell r="E209" t="str">
            <v>Financial Asset - Impairment Expense</v>
          </cell>
        </row>
        <row r="210">
          <cell r="A210">
            <v>17000</v>
          </cell>
          <cell r="E210" t="str">
            <v>Tax Claimable</v>
          </cell>
        </row>
        <row r="211">
          <cell r="A211">
            <v>19000</v>
          </cell>
          <cell r="E211" t="str">
            <v>Due from related entity</v>
          </cell>
        </row>
        <row r="212">
          <cell r="A212">
            <v>19001</v>
          </cell>
          <cell r="E212" t="str">
            <v>Due from HQ</v>
          </cell>
        </row>
        <row r="213">
          <cell r="A213">
            <v>19002</v>
          </cell>
          <cell r="E213" t="str">
            <v>Due from EU company</v>
          </cell>
        </row>
        <row r="214">
          <cell r="A214">
            <v>19003</v>
          </cell>
          <cell r="E214" t="str">
            <v>Stanbic IBTC (NGN)</v>
          </cell>
        </row>
        <row r="215">
          <cell r="A215">
            <v>19004</v>
          </cell>
          <cell r="E215" t="str">
            <v>Other Debtors- MBH Tech</v>
          </cell>
        </row>
        <row r="216">
          <cell r="A216">
            <v>19005</v>
          </cell>
          <cell r="E216" t="str">
            <v>STANBIC IBTC DOM</v>
          </cell>
        </row>
        <row r="217">
          <cell r="A217">
            <v>19006</v>
          </cell>
          <cell r="E217" t="str">
            <v>Suspense Bank (USD)</v>
          </cell>
        </row>
        <row r="218">
          <cell r="A218">
            <v>19007</v>
          </cell>
          <cell r="E218" t="str">
            <v>Short-Term Investment - USD</v>
          </cell>
        </row>
        <row r="219">
          <cell r="A219">
            <v>20000</v>
          </cell>
          <cell r="E219" t="str">
            <v>Accounts Payable (A/P)</v>
          </cell>
        </row>
        <row r="220">
          <cell r="A220">
            <v>20005</v>
          </cell>
          <cell r="E220" t="str">
            <v>Accounts Payable (A/P) - USD</v>
          </cell>
        </row>
        <row r="221">
          <cell r="A221">
            <v>20010</v>
          </cell>
          <cell r="E221" t="str">
            <v>Accrued Audit Fee</v>
          </cell>
        </row>
        <row r="222">
          <cell r="A222">
            <v>20100</v>
          </cell>
          <cell r="E222" t="str">
            <v>Inventory Purchase Accrual</v>
          </cell>
        </row>
        <row r="223">
          <cell r="A223">
            <v>20200</v>
          </cell>
          <cell r="E223" t="str">
            <v>Landed Cost Accrual</v>
          </cell>
        </row>
        <row r="224">
          <cell r="A224">
            <v>20500</v>
          </cell>
          <cell r="E224" t="str">
            <v>Corporate Credit Card</v>
          </cell>
        </row>
        <row r="225">
          <cell r="A225">
            <v>22000</v>
          </cell>
          <cell r="E225" t="str">
            <v>Customer Unknown Deposit</v>
          </cell>
        </row>
        <row r="226">
          <cell r="A226">
            <v>22100</v>
          </cell>
          <cell r="E226" t="str">
            <v>Verified Customer Wallet</v>
          </cell>
        </row>
        <row r="227">
          <cell r="A227">
            <v>22150</v>
          </cell>
          <cell r="E227" t="str">
            <v>Bank Overdraft</v>
          </cell>
        </row>
        <row r="228">
          <cell r="A228">
            <v>22200</v>
          </cell>
          <cell r="E228" t="str">
            <v>Employee Prepayment</v>
          </cell>
        </row>
        <row r="229">
          <cell r="A229">
            <v>23000</v>
          </cell>
          <cell r="E229" t="str">
            <v>Deferred Income (NGN)</v>
          </cell>
        </row>
        <row r="230">
          <cell r="A230">
            <v>23001</v>
          </cell>
          <cell r="E230" t="str">
            <v>Deferred Income (USD)</v>
          </cell>
        </row>
        <row r="231">
          <cell r="A231">
            <v>23005</v>
          </cell>
          <cell r="E231" t="str">
            <v>Accrued Levies</v>
          </cell>
        </row>
        <row r="232">
          <cell r="A232">
            <v>23010</v>
          </cell>
          <cell r="E232" t="str">
            <v>Accrued Expenses</v>
          </cell>
        </row>
        <row r="233">
          <cell r="A233">
            <v>23015</v>
          </cell>
          <cell r="E233" t="str">
            <v>Accrued Payroll</v>
          </cell>
        </row>
        <row r="234">
          <cell r="A234">
            <v>23020</v>
          </cell>
          <cell r="E234" t="str">
            <v>AutoTopUp Customer Wallet</v>
          </cell>
        </row>
        <row r="235">
          <cell r="A235">
            <v>23025</v>
          </cell>
          <cell r="E235" t="str">
            <v>Customer Wallet</v>
          </cell>
        </row>
        <row r="236">
          <cell r="A236">
            <v>23030</v>
          </cell>
          <cell r="E236" t="str">
            <v>Provision for Education Tax</v>
          </cell>
        </row>
        <row r="237">
          <cell r="A237">
            <v>23035</v>
          </cell>
          <cell r="E237" t="str">
            <v>Lateness Deduction Payable</v>
          </cell>
        </row>
        <row r="238">
          <cell r="A238">
            <v>23040</v>
          </cell>
          <cell r="E238" t="str">
            <v>Pension Payable</v>
          </cell>
        </row>
        <row r="239">
          <cell r="A239">
            <v>23045</v>
          </cell>
          <cell r="E239" t="str">
            <v>Verified Wallet</v>
          </cell>
        </row>
        <row r="240">
          <cell r="A240">
            <v>23100</v>
          </cell>
          <cell r="E240" t="str">
            <v>Unrecognized revenue</v>
          </cell>
        </row>
        <row r="241">
          <cell r="A241">
            <v>23416</v>
          </cell>
          <cell r="E241" t="str">
            <v>Suspense A/c - Liability</v>
          </cell>
        </row>
        <row r="242">
          <cell r="A242">
            <v>23150</v>
          </cell>
          <cell r="E242" t="str">
            <v>Billings in Excess of Costs</v>
          </cell>
        </row>
        <row r="243">
          <cell r="A243">
            <v>23400</v>
          </cell>
          <cell r="E243" t="str">
            <v>VAT Payable</v>
          </cell>
        </row>
        <row r="244">
          <cell r="A244">
            <v>23405</v>
          </cell>
          <cell r="E244" t="str">
            <v>VAT Payable:Input VAT &amp; VAT Remitted</v>
          </cell>
        </row>
        <row r="245">
          <cell r="A245">
            <v>23410</v>
          </cell>
          <cell r="E245" t="str">
            <v>VAT Payable:VAT Deducted at Source</v>
          </cell>
        </row>
        <row r="246">
          <cell r="A246">
            <v>23415</v>
          </cell>
          <cell r="E246" t="str">
            <v>VAT Suspense</v>
          </cell>
        </row>
        <row r="247">
          <cell r="A247">
            <v>23420</v>
          </cell>
          <cell r="E247" t="str">
            <v>Withholding Tax Payable</v>
          </cell>
        </row>
        <row r="248">
          <cell r="A248">
            <v>23425</v>
          </cell>
          <cell r="E248" t="str">
            <v>Deferred Tax</v>
          </cell>
        </row>
        <row r="249">
          <cell r="A249">
            <v>23889</v>
          </cell>
          <cell r="E249" t="str">
            <v>Del.</v>
          </cell>
        </row>
        <row r="250">
          <cell r="A250">
            <v>24010</v>
          </cell>
          <cell r="E250" t="str">
            <v>PAYE Payable</v>
          </cell>
        </row>
        <row r="251">
          <cell r="A251">
            <v>24020</v>
          </cell>
          <cell r="E251" t="str">
            <v>Payroll Liabilities: FICA Tax Payable</v>
          </cell>
        </row>
        <row r="252">
          <cell r="A252">
            <v>24030</v>
          </cell>
          <cell r="E252" t="str">
            <v>Payroll Liabilities: AEIC Tax Payable</v>
          </cell>
        </row>
        <row r="253">
          <cell r="A253">
            <v>24040</v>
          </cell>
          <cell r="E253" t="str">
            <v>Payroll Liabilities: FUTA Tax Payable</v>
          </cell>
        </row>
        <row r="254">
          <cell r="A254">
            <v>24050</v>
          </cell>
          <cell r="E254" t="str">
            <v>Payroll Liabilities: State Withholding Tax</v>
          </cell>
        </row>
        <row r="255">
          <cell r="A255">
            <v>24100</v>
          </cell>
          <cell r="E255" t="str">
            <v>Provision for Company Income Tax</v>
          </cell>
        </row>
        <row r="256">
          <cell r="A256">
            <v>24500</v>
          </cell>
          <cell r="E256" t="str">
            <v>Line of Credit</v>
          </cell>
        </row>
        <row r="257">
          <cell r="A257">
            <v>25000</v>
          </cell>
          <cell r="E257" t="str">
            <v>Provision for Expected Credit Loss (ECL)</v>
          </cell>
        </row>
        <row r="258">
          <cell r="A258">
            <v>25100</v>
          </cell>
          <cell r="E258" t="str">
            <v>Note Payable</v>
          </cell>
        </row>
        <row r="259">
          <cell r="A259">
            <v>26000</v>
          </cell>
          <cell r="E259" t="str">
            <v>Due to related entity</v>
          </cell>
        </row>
        <row r="260">
          <cell r="A260">
            <v>26001</v>
          </cell>
          <cell r="E260" t="str">
            <v>Due to USD entity</v>
          </cell>
        </row>
        <row r="261">
          <cell r="A261">
            <v>26002</v>
          </cell>
          <cell r="E261" t="str">
            <v>Due to EUR entity</v>
          </cell>
        </row>
        <row r="262">
          <cell r="A262">
            <v>27001</v>
          </cell>
          <cell r="E262" t="str">
            <v>Translation Gain / Loss</v>
          </cell>
        </row>
        <row r="263">
          <cell r="A263">
            <v>30000</v>
          </cell>
          <cell r="E263" t="str">
            <v>Fair Valuation A/c - Retained Earnings (OCI)</v>
          </cell>
        </row>
        <row r="264">
          <cell r="A264">
            <v>30005</v>
          </cell>
          <cell r="E264" t="str">
            <v>Dividend Paid</v>
          </cell>
        </row>
        <row r="265">
          <cell r="A265">
            <v>30010</v>
          </cell>
          <cell r="E265" t="str">
            <v>Members Drawings</v>
          </cell>
        </row>
        <row r="266">
          <cell r="A266">
            <v>30015</v>
          </cell>
          <cell r="E266" t="str">
            <v>Members Drawings: Emewulu Chimezie's drawings</v>
          </cell>
        </row>
        <row r="267">
          <cell r="A267">
            <v>30020</v>
          </cell>
          <cell r="E267" t="str">
            <v>Members Drawings: Onwurah Chibuzor's drawings</v>
          </cell>
        </row>
        <row r="268">
          <cell r="A268">
            <v>30025</v>
          </cell>
          <cell r="E268" t="str">
            <v>Members Drawings: Osuagwu Ezeukwu's drawings</v>
          </cell>
        </row>
        <row r="269">
          <cell r="A269">
            <v>30030</v>
          </cell>
          <cell r="E269" t="str">
            <v>Members Drawings: Uddoh Ugochukwu's drawings</v>
          </cell>
        </row>
        <row r="270">
          <cell r="A270">
            <v>30035</v>
          </cell>
          <cell r="E270" t="str">
            <v>Prior Year Adjustment</v>
          </cell>
        </row>
        <row r="271">
          <cell r="A271">
            <v>30040</v>
          </cell>
          <cell r="E271" t="str">
            <v>Share Capital</v>
          </cell>
        </row>
        <row r="272">
          <cell r="A272">
            <v>30042</v>
          </cell>
          <cell r="E272" t="str">
            <v>Preference Share Capital</v>
          </cell>
        </row>
        <row r="273">
          <cell r="A273">
            <v>30043</v>
          </cell>
          <cell r="E273" t="str">
            <v>Share Premium (Naira)</v>
          </cell>
        </row>
        <row r="274">
          <cell r="A274">
            <v>30044</v>
          </cell>
          <cell r="E274" t="str">
            <v>Share Premium (USD)</v>
          </cell>
        </row>
        <row r="275">
          <cell r="A275">
            <v>30100</v>
          </cell>
          <cell r="E275" t="str">
            <v>Capital Stock</v>
          </cell>
        </row>
        <row r="276">
          <cell r="A276">
            <v>32000</v>
          </cell>
          <cell r="E276" t="str">
            <v>Retained Earnings</v>
          </cell>
        </row>
        <row r="277">
          <cell r="A277">
            <v>33000</v>
          </cell>
          <cell r="E277" t="str">
            <v>Net Income</v>
          </cell>
        </row>
        <row r="278">
          <cell r="A278">
            <v>40000</v>
          </cell>
          <cell r="E278" t="str">
            <v>Sales</v>
          </cell>
        </row>
        <row r="279">
          <cell r="A279">
            <v>40005</v>
          </cell>
          <cell r="E279" t="str">
            <v>AutoTopUp Income</v>
          </cell>
        </row>
        <row r="280">
          <cell r="A280">
            <v>40010</v>
          </cell>
          <cell r="E280" t="str">
            <v>Billable Expense Income</v>
          </cell>
        </row>
        <row r="281">
          <cell r="A281">
            <v>40015</v>
          </cell>
          <cell r="E281" t="str">
            <v>BioRegistra Income</v>
          </cell>
        </row>
        <row r="282">
          <cell r="A282">
            <v>40020</v>
          </cell>
          <cell r="E282" t="str">
            <v>Ancillary Income</v>
          </cell>
        </row>
        <row r="283">
          <cell r="A283">
            <v>40025</v>
          </cell>
          <cell r="E283" t="str">
            <v>NIMC Income</v>
          </cell>
        </row>
        <row r="284">
          <cell r="A284">
            <v>40030</v>
          </cell>
          <cell r="E284" t="str">
            <v>NCC Income</v>
          </cell>
        </row>
        <row r="285">
          <cell r="A285">
            <v>40035</v>
          </cell>
          <cell r="E285" t="str">
            <v>MDM Income</v>
          </cell>
        </row>
        <row r="286">
          <cell r="A286">
            <v>40040</v>
          </cell>
          <cell r="E286" t="str">
            <v>Exchange Gain</v>
          </cell>
        </row>
        <row r="287">
          <cell r="A287">
            <v>40045</v>
          </cell>
          <cell r="E287" t="str">
            <v>iClocker Income</v>
          </cell>
        </row>
        <row r="288">
          <cell r="A288">
            <v>40050</v>
          </cell>
          <cell r="E288" t="str">
            <v>SRM Income</v>
          </cell>
        </row>
        <row r="289">
          <cell r="A289">
            <v>40051</v>
          </cell>
          <cell r="E289" t="str">
            <v>SAAS-P Income</v>
          </cell>
        </row>
        <row r="290">
          <cell r="A290">
            <v>40055</v>
          </cell>
          <cell r="E290" t="str">
            <v>iTranscript Income</v>
          </cell>
        </row>
        <row r="291">
          <cell r="A291">
            <v>40056</v>
          </cell>
          <cell r="E291" t="str">
            <v>Seamfix NextGen Income</v>
          </cell>
        </row>
        <row r="292">
          <cell r="A292">
            <v>40060</v>
          </cell>
          <cell r="E292" t="str">
            <v>Laspotech Transaction Income</v>
          </cell>
        </row>
        <row r="293">
          <cell r="A293">
            <v>40062</v>
          </cell>
          <cell r="E293" t="str">
            <v>SeamID Income</v>
          </cell>
        </row>
        <row r="294">
          <cell r="A294">
            <v>40065</v>
          </cell>
          <cell r="E294" t="str">
            <v>Loanpair Income</v>
          </cell>
        </row>
        <row r="295">
          <cell r="A295">
            <v>40070</v>
          </cell>
          <cell r="E295" t="str">
            <v>NIBSS Aggregator Income</v>
          </cell>
        </row>
        <row r="296">
          <cell r="A296">
            <v>40075</v>
          </cell>
          <cell r="E296" t="str">
            <v>Seamfixcare Income</v>
          </cell>
        </row>
        <row r="297">
          <cell r="A297">
            <v>40080</v>
          </cell>
          <cell r="E297" t="str">
            <v>Other</v>
          </cell>
        </row>
        <row r="298">
          <cell r="A298">
            <v>40085</v>
          </cell>
          <cell r="E298" t="str">
            <v>Other Income</v>
          </cell>
        </row>
        <row r="299">
          <cell r="A299">
            <v>40087</v>
          </cell>
          <cell r="E299" t="str">
            <v>Royalties</v>
          </cell>
        </row>
        <row r="300">
          <cell r="A300">
            <v>40090</v>
          </cell>
          <cell r="E300" t="str">
            <v>Primepayroll Income</v>
          </cell>
        </row>
        <row r="301">
          <cell r="A301">
            <v>40095</v>
          </cell>
          <cell r="E301" t="str">
            <v>Hardware Supplies - Income</v>
          </cell>
        </row>
        <row r="302">
          <cell r="A302">
            <v>40100</v>
          </cell>
          <cell r="E302" t="str">
            <v>Sales - Hardware Supplies: Finger Print Scanner</v>
          </cell>
        </row>
        <row r="303">
          <cell r="A303">
            <v>40105</v>
          </cell>
          <cell r="E303" t="str">
            <v>Bundl Income</v>
          </cell>
        </row>
        <row r="304">
          <cell r="A304">
            <v>40110</v>
          </cell>
          <cell r="E304" t="str">
            <v>Skye Schools Income</v>
          </cell>
        </row>
        <row r="305">
          <cell r="A305">
            <v>40115</v>
          </cell>
          <cell r="E305" t="str">
            <v>Skye Schools Income: Lord's Gate School Income</v>
          </cell>
        </row>
        <row r="306">
          <cell r="A306">
            <v>40120</v>
          </cell>
          <cell r="E306" t="str">
            <v>Skye Schools Income: Methodist Boys High Sch Income</v>
          </cell>
        </row>
        <row r="307">
          <cell r="A307">
            <v>40125</v>
          </cell>
          <cell r="E307" t="str">
            <v>Training income</v>
          </cell>
        </row>
        <row r="308">
          <cell r="A308">
            <v>40130</v>
          </cell>
          <cell r="E308" t="str">
            <v>Unapplied Cash Payment Income</v>
          </cell>
        </row>
        <row r="309">
          <cell r="A309">
            <v>40135</v>
          </cell>
          <cell r="E309" t="str">
            <v>Uncategorized Income</v>
          </cell>
        </row>
        <row r="310">
          <cell r="A310">
            <v>40140</v>
          </cell>
          <cell r="E310" t="str">
            <v>UNICAL iTranscript Request Income</v>
          </cell>
        </row>
        <row r="311">
          <cell r="A311">
            <v>40145</v>
          </cell>
          <cell r="E311" t="str">
            <v>UNICAL iVerification Income</v>
          </cell>
        </row>
        <row r="312">
          <cell r="A312">
            <v>40150</v>
          </cell>
          <cell r="E312" t="str">
            <v>UNN iTranscript Request Income</v>
          </cell>
        </row>
        <row r="313">
          <cell r="A313">
            <v>40155</v>
          </cell>
          <cell r="E313" t="str">
            <v>Verified.ng Income</v>
          </cell>
        </row>
        <row r="314">
          <cell r="A314">
            <v>40160</v>
          </cell>
          <cell r="E314" t="str">
            <v>Yaraju Income</v>
          </cell>
        </row>
        <row r="315">
          <cell r="A315">
            <v>40161</v>
          </cell>
          <cell r="E315" t="str">
            <v>Public Sector Income</v>
          </cell>
        </row>
        <row r="316">
          <cell r="A316">
            <v>40162</v>
          </cell>
          <cell r="E316" t="str">
            <v>Telco Suite Income</v>
          </cell>
        </row>
        <row r="317">
          <cell r="A317">
            <v>40163</v>
          </cell>
          <cell r="E317" t="str">
            <v>Identity Suite Income</v>
          </cell>
        </row>
        <row r="318">
          <cell r="A318">
            <v>40166</v>
          </cell>
          <cell r="E318" t="str">
            <v>Fix-IAM Income</v>
          </cell>
        </row>
        <row r="319">
          <cell r="A319">
            <v>40200</v>
          </cell>
          <cell r="E319" t="str">
            <v>INC039 Accrued Income</v>
          </cell>
        </row>
        <row r="320">
          <cell r="A320">
            <v>40205</v>
          </cell>
          <cell r="E320" t="str">
            <v>INC040 iClocker Income</v>
          </cell>
        </row>
        <row r="321">
          <cell r="A321">
            <v>40903</v>
          </cell>
          <cell r="E321" t="str">
            <v>Incomplete Records (Income)</v>
          </cell>
        </row>
        <row r="322">
          <cell r="A322">
            <v>40904</v>
          </cell>
          <cell r="E322" t="str">
            <v>Insurance Proceeds Received</v>
          </cell>
        </row>
        <row r="323">
          <cell r="A323">
            <v>41000</v>
          </cell>
          <cell r="E323" t="str">
            <v>Sales Returns and Allowances</v>
          </cell>
        </row>
        <row r="324">
          <cell r="A324">
            <v>43000</v>
          </cell>
          <cell r="E324" t="str">
            <v>Inter Branch Sales</v>
          </cell>
        </row>
        <row r="325">
          <cell r="A325">
            <v>45400</v>
          </cell>
          <cell r="E325" t="str">
            <v>Finance Charge Income</v>
          </cell>
        </row>
        <row r="326">
          <cell r="A326">
            <v>49000</v>
          </cell>
          <cell r="E326" t="str">
            <v>Discount Taken</v>
          </cell>
        </row>
        <row r="327">
          <cell r="A327">
            <v>49200</v>
          </cell>
          <cell r="E327" t="str">
            <v>Other Income (incorrectly categorized)</v>
          </cell>
        </row>
        <row r="328">
          <cell r="A328">
            <v>49300</v>
          </cell>
          <cell r="E328" t="str">
            <v>Interest income</v>
          </cell>
        </row>
        <row r="329">
          <cell r="A329">
            <v>49305</v>
          </cell>
          <cell r="E329" t="str">
            <v>Proceeds from Sale of Assets</v>
          </cell>
        </row>
        <row r="330">
          <cell r="A330">
            <v>40086</v>
          </cell>
          <cell r="E330" t="str">
            <v>Fair Value Loss (FVTPL) on short-term Investments</v>
          </cell>
        </row>
        <row r="331">
          <cell r="A331">
            <v>49400</v>
          </cell>
          <cell r="E331" t="str">
            <v>Other Income</v>
          </cell>
        </row>
        <row r="332">
          <cell r="A332">
            <v>49405</v>
          </cell>
          <cell r="E332" t="str">
            <v>Biosmart Income</v>
          </cell>
        </row>
        <row r="333">
          <cell r="A333">
            <v>50000</v>
          </cell>
          <cell r="E333" t="str">
            <v>COS - Hardware Purchases</v>
          </cell>
        </row>
        <row r="334">
          <cell r="A334">
            <v>50005</v>
          </cell>
          <cell r="E334" t="str">
            <v>Hardware Purchases</v>
          </cell>
        </row>
        <row r="335">
          <cell r="A335">
            <v>50010</v>
          </cell>
          <cell r="E335" t="str">
            <v>Inventory Shrinkage</v>
          </cell>
        </row>
        <row r="336">
          <cell r="A336">
            <v>50015</v>
          </cell>
          <cell r="E336" t="str">
            <v>Merchant Account Fees</v>
          </cell>
        </row>
        <row r="337">
          <cell r="A337">
            <v>51000</v>
          </cell>
          <cell r="E337" t="str">
            <v>COGS - Direct Labor Costs</v>
          </cell>
        </row>
        <row r="338">
          <cell r="A338">
            <v>51200</v>
          </cell>
          <cell r="E338" t="str">
            <v>Commission A/C</v>
          </cell>
        </row>
        <row r="339">
          <cell r="A339">
            <v>51300</v>
          </cell>
          <cell r="E339" t="str">
            <v>Freight</v>
          </cell>
        </row>
        <row r="340">
          <cell r="A340">
            <v>51400</v>
          </cell>
          <cell r="E340" t="str">
            <v>COGS - Other</v>
          </cell>
        </row>
        <row r="341">
          <cell r="A341">
            <v>52000</v>
          </cell>
          <cell r="E341" t="str">
            <v>Physical Inventory Adjustments</v>
          </cell>
        </row>
        <row r="342">
          <cell r="A342">
            <v>52100</v>
          </cell>
          <cell r="E342" t="str">
            <v>Standard Cost Adjustments</v>
          </cell>
        </row>
        <row r="343">
          <cell r="A343">
            <v>52110</v>
          </cell>
          <cell r="E343" t="str">
            <v>Standard Cost Revaluation Account</v>
          </cell>
        </row>
        <row r="344">
          <cell r="A344">
            <v>52200</v>
          </cell>
          <cell r="E344" t="str">
            <v>Other Inventory Adjustments</v>
          </cell>
        </row>
        <row r="345">
          <cell r="A345">
            <v>52300</v>
          </cell>
          <cell r="E345" t="str">
            <v>Purchase Price Variance</v>
          </cell>
        </row>
        <row r="346">
          <cell r="A346">
            <v>52400</v>
          </cell>
          <cell r="E346" t="str">
            <v>Foreign Professional fees</v>
          </cell>
        </row>
        <row r="347">
          <cell r="A347">
            <v>52500</v>
          </cell>
          <cell r="E347" t="str">
            <v>Purchase Returns and Allowances</v>
          </cell>
        </row>
        <row r="348">
          <cell r="A348">
            <v>52600</v>
          </cell>
          <cell r="E348" t="str">
            <v>COS - Discount Allowed</v>
          </cell>
        </row>
        <row r="349">
          <cell r="A349">
            <v>53000</v>
          </cell>
          <cell r="E349" t="str">
            <v>Cost of Sales</v>
          </cell>
        </row>
        <row r="350">
          <cell r="A350">
            <v>53005</v>
          </cell>
          <cell r="E350" t="str">
            <v>COS - Accommodation</v>
          </cell>
        </row>
        <row r="351">
          <cell r="A351">
            <v>53010</v>
          </cell>
          <cell r="E351" t="str">
            <v>PROJECT EXPENSE:Advance Payment Bond (Insurance)</v>
          </cell>
        </row>
        <row r="352">
          <cell r="A352">
            <v>53015</v>
          </cell>
          <cell r="E352" t="str">
            <v>PROJECT EXPENSE:Clearing Charges</v>
          </cell>
        </row>
        <row r="353">
          <cell r="A353">
            <v>53020</v>
          </cell>
          <cell r="E353" t="str">
            <v>PROJECT EXPENSE: Communication - delete</v>
          </cell>
        </row>
        <row r="354">
          <cell r="A354">
            <v>53025</v>
          </cell>
          <cell r="E354" t="str">
            <v>COS - Consultancy</v>
          </cell>
        </row>
        <row r="355">
          <cell r="A355">
            <v>53030</v>
          </cell>
          <cell r="E355" t="str">
            <v>COS - Equipment &amp; materials purchase</v>
          </cell>
        </row>
        <row r="356">
          <cell r="A356">
            <v>53035</v>
          </cell>
          <cell r="E356" t="str">
            <v>COS - Freight and Shipping</v>
          </cell>
        </row>
        <row r="357">
          <cell r="A357">
            <v>53040</v>
          </cell>
          <cell r="E357" t="str">
            <v>COS - Fuel &amp; Oil</v>
          </cell>
        </row>
        <row r="358">
          <cell r="A358">
            <v>53045</v>
          </cell>
          <cell r="E358" t="str">
            <v>COS - Hosting &amp; Storage</v>
          </cell>
        </row>
        <row r="359">
          <cell r="A359">
            <v>53050</v>
          </cell>
          <cell r="E359" t="str">
            <v>PROJECT EXPENSE: Installation</v>
          </cell>
        </row>
        <row r="360">
          <cell r="A360">
            <v>53055</v>
          </cell>
          <cell r="E360" t="str">
            <v>COS - Insurance</v>
          </cell>
        </row>
        <row r="361">
          <cell r="A361">
            <v>53060</v>
          </cell>
          <cell r="E361" t="str">
            <v>COS - Internet &amp; Communication</v>
          </cell>
        </row>
        <row r="362">
          <cell r="A362">
            <v>53065</v>
          </cell>
          <cell r="E362" t="str">
            <v>COS - Meals</v>
          </cell>
        </row>
        <row r="363">
          <cell r="A363">
            <v>53070</v>
          </cell>
          <cell r="E363" t="str">
            <v>COS - Other living expenses</v>
          </cell>
        </row>
        <row r="364">
          <cell r="A364">
            <v>53074</v>
          </cell>
          <cell r="E364" t="str">
            <v>COS - Tender and Bidding</v>
          </cell>
        </row>
        <row r="365">
          <cell r="A365">
            <v>53075</v>
          </cell>
          <cell r="E365" t="str">
            <v>COS - Printing</v>
          </cell>
        </row>
        <row r="366">
          <cell r="A366">
            <v>53080</v>
          </cell>
          <cell r="E366" t="str">
            <v>COS - Professional Services</v>
          </cell>
        </row>
        <row r="367">
          <cell r="A367">
            <v>53085</v>
          </cell>
          <cell r="E367" t="str">
            <v>PROJECT EXPENSE: Registration</v>
          </cell>
        </row>
        <row r="368">
          <cell r="A368">
            <v>53090</v>
          </cell>
          <cell r="E368" t="str">
            <v>COS - Repairs</v>
          </cell>
        </row>
        <row r="369">
          <cell r="A369">
            <v>53095</v>
          </cell>
          <cell r="E369" t="str">
            <v>COS - Sundry expenses</v>
          </cell>
        </row>
        <row r="370">
          <cell r="A370">
            <v>53100</v>
          </cell>
          <cell r="E370" t="str">
            <v>PROJECT EXPENSE TESTS</v>
          </cell>
        </row>
        <row r="371">
          <cell r="A371">
            <v>53105</v>
          </cell>
          <cell r="E371" t="str">
            <v>PROJECT EXPENSE TRAINING</v>
          </cell>
        </row>
        <row r="372">
          <cell r="A372">
            <v>53110</v>
          </cell>
          <cell r="E372" t="str">
            <v>COS - Travel &amp; Transportation</v>
          </cell>
        </row>
        <row r="373">
          <cell r="A373">
            <v>53115</v>
          </cell>
          <cell r="E373" t="str">
            <v>PROJECT EXPENSE Uncategorized Project expenses</v>
          </cell>
        </row>
        <row r="374">
          <cell r="A374">
            <v>53120</v>
          </cell>
          <cell r="E374" t="str">
            <v>COS - Wages</v>
          </cell>
        </row>
        <row r="375">
          <cell r="A375">
            <v>53125</v>
          </cell>
          <cell r="E375" t="str">
            <v>PROJECT EXPENSE:Work Incentive</v>
          </cell>
        </row>
        <row r="376">
          <cell r="A376">
            <v>53130</v>
          </cell>
          <cell r="E376" t="str">
            <v>Project Implementation Expenses 1</v>
          </cell>
        </row>
        <row r="377">
          <cell r="A377">
            <v>53135</v>
          </cell>
          <cell r="E377" t="str">
            <v>Project Implementation Expenses 2</v>
          </cell>
        </row>
        <row r="378">
          <cell r="A378">
            <v>53140</v>
          </cell>
          <cell r="E378" t="str">
            <v>COS - Software Expense/Licenses</v>
          </cell>
        </row>
        <row r="379">
          <cell r="A379">
            <v>57100</v>
          </cell>
          <cell r="E379" t="str">
            <v>Equipment rental</v>
          </cell>
        </row>
        <row r="380">
          <cell r="A380">
            <v>60000</v>
          </cell>
          <cell r="E380" t="str">
            <v>Purchases</v>
          </cell>
        </row>
        <row r="381">
          <cell r="A381">
            <v>60005</v>
          </cell>
          <cell r="E381" t="str">
            <v>Registration</v>
          </cell>
        </row>
        <row r="382">
          <cell r="A382">
            <v>60010</v>
          </cell>
          <cell r="E382" t="str">
            <v>Rental Expense</v>
          </cell>
        </row>
        <row r="383">
          <cell r="A383">
            <v>60015</v>
          </cell>
          <cell r="E383" t="str">
            <v>Repairs and Maintenance</v>
          </cell>
        </row>
        <row r="384">
          <cell r="A384">
            <v>60020</v>
          </cell>
          <cell r="E384" t="str">
            <v>Repairs and Maintenance: Furniture &amp; Fittings</v>
          </cell>
        </row>
        <row r="385">
          <cell r="A385">
            <v>60025</v>
          </cell>
          <cell r="E385" t="str">
            <v>Repairs and Maintenance: Office &amp; Computer Equipment</v>
          </cell>
        </row>
        <row r="386">
          <cell r="A386">
            <v>60030</v>
          </cell>
          <cell r="E386" t="str">
            <v>Repairs and Maintenance: Plant &amp; Machinery</v>
          </cell>
        </row>
        <row r="387">
          <cell r="A387">
            <v>60035</v>
          </cell>
          <cell r="E387" t="str">
            <v>Fines &amp; Penalties</v>
          </cell>
        </row>
        <row r="388">
          <cell r="A388">
            <v>60040</v>
          </cell>
          <cell r="E388" t="str">
            <v>Printing and Reproduction</v>
          </cell>
        </row>
        <row r="389">
          <cell r="A389">
            <v>60045</v>
          </cell>
          <cell r="E389" t="str">
            <v>Internet Expense</v>
          </cell>
        </row>
        <row r="390">
          <cell r="A390">
            <v>60050</v>
          </cell>
          <cell r="E390" t="str">
            <v>Research &amp; Development</v>
          </cell>
        </row>
        <row r="391">
          <cell r="A391">
            <v>60060</v>
          </cell>
          <cell r="E391" t="str">
            <v>Software Tools</v>
          </cell>
        </row>
        <row r="392">
          <cell r="A392">
            <v>60070</v>
          </cell>
          <cell r="E392" t="str">
            <v>Staff Welfare: Gifts expense</v>
          </cell>
        </row>
        <row r="393">
          <cell r="A393">
            <v>60075</v>
          </cell>
          <cell r="E393" t="str">
            <v>Maintenance - Land</v>
          </cell>
        </row>
        <row r="394">
          <cell r="A394">
            <v>60080</v>
          </cell>
          <cell r="E394" t="str">
            <v>Staff Welfare: Medicals</v>
          </cell>
        </row>
        <row r="395">
          <cell r="A395">
            <v>60085</v>
          </cell>
          <cell r="E395" t="str">
            <v>Staff Welfare: Staff Insurance</v>
          </cell>
        </row>
        <row r="396">
          <cell r="A396">
            <v>60090</v>
          </cell>
          <cell r="E396" t="str">
            <v>Retreats</v>
          </cell>
        </row>
        <row r="397">
          <cell r="A397">
            <v>60095</v>
          </cell>
          <cell r="E397" t="str">
            <v>Suspense</v>
          </cell>
        </row>
        <row r="398">
          <cell r="A398">
            <v>60096</v>
          </cell>
          <cell r="E398" t="str">
            <v>Levies</v>
          </cell>
        </row>
        <row r="399">
          <cell r="A399">
            <v>60100</v>
          </cell>
          <cell r="E399" t="str">
            <v>Marketing &amp; Branding - Digital</v>
          </cell>
        </row>
        <row r="400">
          <cell r="A400">
            <v>60110</v>
          </cell>
          <cell r="E400" t="str">
            <v>Marketing &amp; Branding - Offline</v>
          </cell>
        </row>
        <row r="401">
          <cell r="A401">
            <v>60115</v>
          </cell>
          <cell r="E401" t="str">
            <v>Marketing &amp; Branding - Events</v>
          </cell>
        </row>
        <row r="402">
          <cell r="A402">
            <v>60120</v>
          </cell>
          <cell r="E402" t="str">
            <v>Marketing &amp; Branding - Printing</v>
          </cell>
        </row>
        <row r="403">
          <cell r="A403">
            <v>60125</v>
          </cell>
          <cell r="E403" t="str">
            <v>Marketing &amp; Branding - Professional Service &amp; Others</v>
          </cell>
        </row>
        <row r="404">
          <cell r="A404">
            <v>60200</v>
          </cell>
          <cell r="E404" t="str">
            <v>Business Development Expenses</v>
          </cell>
        </row>
        <row r="405">
          <cell r="A405">
            <v>60201</v>
          </cell>
          <cell r="E405" t="str">
            <v>Business Development Expenses: Accommodation</v>
          </cell>
        </row>
        <row r="406">
          <cell r="A406">
            <v>60202</v>
          </cell>
          <cell r="E406" t="str">
            <v>Business Development Expenses: Communication</v>
          </cell>
        </row>
        <row r="407">
          <cell r="A407">
            <v>60203</v>
          </cell>
          <cell r="E407" t="str">
            <v>Business Development Expenses: Gift</v>
          </cell>
        </row>
        <row r="408">
          <cell r="A408">
            <v>60204</v>
          </cell>
          <cell r="E408" t="str">
            <v>Business Development Expenses: Graphics Design</v>
          </cell>
        </row>
        <row r="409">
          <cell r="A409">
            <v>60205</v>
          </cell>
          <cell r="E409" t="str">
            <v>Business Development Expenses: Internet &amp; Communication</v>
          </cell>
        </row>
        <row r="410">
          <cell r="A410">
            <v>60206</v>
          </cell>
          <cell r="E410" t="str">
            <v>Business Development Expenses: Meals</v>
          </cell>
        </row>
        <row r="411">
          <cell r="A411">
            <v>60207</v>
          </cell>
          <cell r="E411" t="str">
            <v>Business Development Expenses: Other Living Expenses</v>
          </cell>
        </row>
        <row r="412">
          <cell r="A412">
            <v>60208</v>
          </cell>
          <cell r="E412" t="str">
            <v>Business Development Expenses: Periodicals &amp; Others</v>
          </cell>
        </row>
        <row r="413">
          <cell r="A413">
            <v>60209</v>
          </cell>
          <cell r="E413" t="str">
            <v>Business Development Expenses: Sales Incentive</v>
          </cell>
        </row>
        <row r="414">
          <cell r="A414">
            <v>60210</v>
          </cell>
          <cell r="E414" t="str">
            <v>Business Development Expenses: Transport &amp; Other Travel</v>
          </cell>
        </row>
        <row r="415">
          <cell r="A415">
            <v>60211</v>
          </cell>
          <cell r="E415" t="str">
            <v>Business Development Expenses:Sundry Expenses</v>
          </cell>
        </row>
        <row r="416">
          <cell r="A416">
            <v>60212</v>
          </cell>
          <cell r="E416" t="str">
            <v>Business Devt (SchoolOnline)</v>
          </cell>
        </row>
        <row r="417">
          <cell r="A417">
            <v>60213</v>
          </cell>
          <cell r="E417" t="str">
            <v>Business Licenses and Permits</v>
          </cell>
        </row>
        <row r="418">
          <cell r="A418">
            <v>60214</v>
          </cell>
          <cell r="E418" t="str">
            <v>Charitable Donations</v>
          </cell>
        </row>
        <row r="419">
          <cell r="A419">
            <v>60215</v>
          </cell>
          <cell r="E419" t="str">
            <v>Clearing charges</v>
          </cell>
        </row>
        <row r="420">
          <cell r="A420">
            <v>60216</v>
          </cell>
          <cell r="E420" t="str">
            <v>Consultancy expenses</v>
          </cell>
        </row>
        <row r="421">
          <cell r="A421">
            <v>60217</v>
          </cell>
          <cell r="E421" t="str">
            <v>Diesel</v>
          </cell>
        </row>
        <row r="422">
          <cell r="A422">
            <v>60218</v>
          </cell>
          <cell r="E422" t="str">
            <v>Business Development Expenses: Business Development PR</v>
          </cell>
        </row>
        <row r="423">
          <cell r="A423">
            <v>61000</v>
          </cell>
          <cell r="E423" t="str">
            <v>Advertising Expense</v>
          </cell>
        </row>
        <row r="424">
          <cell r="A424">
            <v>61100</v>
          </cell>
          <cell r="E424" t="str">
            <v>Bank Service Charges</v>
          </cell>
        </row>
        <row r="425">
          <cell r="A425">
            <v>61200</v>
          </cell>
          <cell r="E425" t="str">
            <v>Business License &amp; Fees</v>
          </cell>
        </row>
        <row r="426">
          <cell r="A426">
            <v>61300</v>
          </cell>
          <cell r="E426" t="str">
            <v>Motor Vehicle Expense</v>
          </cell>
        </row>
        <row r="427">
          <cell r="A427">
            <v>61310</v>
          </cell>
          <cell r="E427" t="str">
            <v>Motor Vehicle Expense: Fuel &amp; Oil</v>
          </cell>
        </row>
        <row r="428">
          <cell r="A428">
            <v>61315</v>
          </cell>
          <cell r="E428" t="str">
            <v>Motor Vehicle Expense:Servicing/Repairs</v>
          </cell>
        </row>
        <row r="429">
          <cell r="A429">
            <v>61320</v>
          </cell>
          <cell r="E429" t="str">
            <v>Motor Vehicle Expense: Tax/Insurance/Re</v>
          </cell>
        </row>
        <row r="430">
          <cell r="A430">
            <v>61330</v>
          </cell>
          <cell r="E430" t="str">
            <v>Vehicles Mileage</v>
          </cell>
        </row>
        <row r="431">
          <cell r="A431">
            <v>61340</v>
          </cell>
          <cell r="E431" t="str">
            <v>Vehicles Registration &amp; License</v>
          </cell>
        </row>
        <row r="432">
          <cell r="A432">
            <v>61400</v>
          </cell>
          <cell r="E432" t="str">
            <v>Conferences and Seminars</v>
          </cell>
        </row>
        <row r="433">
          <cell r="A433">
            <v>61500</v>
          </cell>
          <cell r="E433" t="str">
            <v>Freight &amp; Clearing</v>
          </cell>
        </row>
        <row r="434">
          <cell r="A434">
            <v>61600</v>
          </cell>
          <cell r="E434" t="str">
            <v>Dues and subscriptions</v>
          </cell>
        </row>
        <row r="435">
          <cell r="A435">
            <v>61700</v>
          </cell>
          <cell r="E435" t="str">
            <v>Insurance Expense</v>
          </cell>
        </row>
        <row r="436">
          <cell r="A436">
            <v>61705</v>
          </cell>
          <cell r="E436" t="str">
            <v>Insurance Expense: General Liability Insurance</v>
          </cell>
        </row>
        <row r="437">
          <cell r="A437">
            <v>61710</v>
          </cell>
          <cell r="E437" t="str">
            <v>Insurance Expense: Professional Liability</v>
          </cell>
        </row>
        <row r="438">
          <cell r="A438">
            <v>62100</v>
          </cell>
          <cell r="E438" t="str">
            <v>Marketing Expense</v>
          </cell>
        </row>
        <row r="439">
          <cell r="A439">
            <v>62101</v>
          </cell>
          <cell r="E439" t="str">
            <v>Sales Commission</v>
          </cell>
        </row>
        <row r="440">
          <cell r="A440">
            <v>62200</v>
          </cell>
          <cell r="E440" t="str">
            <v>Meals and Entertainment</v>
          </cell>
        </row>
        <row r="441">
          <cell r="A441">
            <v>62400</v>
          </cell>
          <cell r="E441" t="str">
            <v>Office Expense</v>
          </cell>
        </row>
        <row r="442">
          <cell r="A442">
            <v>62405</v>
          </cell>
          <cell r="E442" t="str">
            <v>Office Expense: Cash Shortage Expense</v>
          </cell>
        </row>
        <row r="443">
          <cell r="A443">
            <v>62410</v>
          </cell>
          <cell r="E443" t="str">
            <v>Office Expense: Cleaning &amp; Sanitation</v>
          </cell>
        </row>
        <row r="444">
          <cell r="A444">
            <v>62415</v>
          </cell>
          <cell r="E444" t="str">
            <v>Office Expense: Computer accessories &amp; Supplies</v>
          </cell>
        </row>
        <row r="445">
          <cell r="A445">
            <v>62420</v>
          </cell>
          <cell r="E445" t="str">
            <v>Office Expense: Other</v>
          </cell>
        </row>
        <row r="446">
          <cell r="A446">
            <v>62425</v>
          </cell>
          <cell r="E446" t="str">
            <v>Office Expense: Supplies</v>
          </cell>
        </row>
        <row r="447">
          <cell r="A447">
            <v>62430</v>
          </cell>
          <cell r="E447" t="str">
            <v>Office Expense: Software</v>
          </cell>
        </row>
        <row r="448">
          <cell r="A448">
            <v>62435</v>
          </cell>
          <cell r="E448" t="str">
            <v>Office Expense: Stationery</v>
          </cell>
        </row>
        <row r="449">
          <cell r="A449">
            <v>62500</v>
          </cell>
          <cell r="E449" t="str">
            <v>Postage and Delivery</v>
          </cell>
        </row>
        <row r="450">
          <cell r="A450">
            <v>62700</v>
          </cell>
          <cell r="E450" t="str">
            <v>Professional Fees - Others</v>
          </cell>
        </row>
        <row r="451">
          <cell r="A451">
            <v>62710</v>
          </cell>
          <cell r="E451" t="str">
            <v>Professional Fees:Accounting Fees</v>
          </cell>
        </row>
        <row r="452">
          <cell r="A452">
            <v>62720</v>
          </cell>
          <cell r="E452" t="str">
            <v>Professional Fees:Payroll Service Fees</v>
          </cell>
        </row>
        <row r="453">
          <cell r="A453">
            <v>62730</v>
          </cell>
          <cell r="E453" t="str">
            <v>Professional Fees:Legal Fees</v>
          </cell>
        </row>
        <row r="454">
          <cell r="A454">
            <v>62800</v>
          </cell>
          <cell r="E454" t="str">
            <v>Promotional Expense</v>
          </cell>
        </row>
        <row r="455">
          <cell r="A455">
            <v>62900</v>
          </cell>
          <cell r="E455" t="str">
            <v>Rent or Lease Expense</v>
          </cell>
        </row>
        <row r="456">
          <cell r="A456">
            <v>62950</v>
          </cell>
          <cell r="E456" t="str">
            <v>Repairs</v>
          </cell>
        </row>
        <row r="457">
          <cell r="A457">
            <v>63000</v>
          </cell>
          <cell r="E457" t="str">
            <v>Supplies</v>
          </cell>
        </row>
        <row r="458">
          <cell r="A458">
            <v>63100</v>
          </cell>
          <cell r="E458" t="str">
            <v>Telephone</v>
          </cell>
        </row>
        <row r="459">
          <cell r="A459">
            <v>63105</v>
          </cell>
          <cell r="E459" t="str">
            <v>Telephone:Telephone Landline</v>
          </cell>
        </row>
        <row r="460">
          <cell r="A460">
            <v>63110</v>
          </cell>
          <cell r="E460" t="str">
            <v>Staff Welfare: Staff Allowances</v>
          </cell>
        </row>
        <row r="461">
          <cell r="A461">
            <v>63115</v>
          </cell>
          <cell r="E461" t="str">
            <v>Telephone:Telephone Purchases</v>
          </cell>
        </row>
        <row r="462">
          <cell r="A462">
            <v>63120</v>
          </cell>
          <cell r="E462" t="str">
            <v>Training</v>
          </cell>
        </row>
        <row r="463">
          <cell r="A463">
            <v>63125</v>
          </cell>
          <cell r="E463" t="str">
            <v>Transportation</v>
          </cell>
        </row>
        <row r="464">
          <cell r="A464">
            <v>63200</v>
          </cell>
          <cell r="E464" t="str">
            <v>Travel</v>
          </cell>
        </row>
        <row r="465">
          <cell r="A465">
            <v>63300</v>
          </cell>
          <cell r="E465" t="str">
            <v>Utilities</v>
          </cell>
        </row>
        <row r="466">
          <cell r="A466">
            <v>63305</v>
          </cell>
          <cell r="E466" t="str">
            <v>Utilities:Utilities Electricity</v>
          </cell>
        </row>
        <row r="467">
          <cell r="A467">
            <v>63310</v>
          </cell>
          <cell r="E467" t="str">
            <v>Utilities:Utilities Water</v>
          </cell>
        </row>
        <row r="468">
          <cell r="A468">
            <v>63900</v>
          </cell>
          <cell r="E468" t="str">
            <v>Directors' expenses</v>
          </cell>
        </row>
        <row r="469">
          <cell r="A469">
            <v>63901</v>
          </cell>
          <cell r="E469" t="str">
            <v>Directors' expenses: Accommodation</v>
          </cell>
        </row>
        <row r="470">
          <cell r="A470">
            <v>63902</v>
          </cell>
          <cell r="E470" t="str">
            <v>Directors' expenses: Drivers' Allowance</v>
          </cell>
        </row>
        <row r="471">
          <cell r="A471">
            <v>63903</v>
          </cell>
          <cell r="E471" t="str">
            <v>Directors' expenses: Gift</v>
          </cell>
        </row>
        <row r="472">
          <cell r="A472">
            <v>63904</v>
          </cell>
          <cell r="E472" t="str">
            <v>Directors' expenses: Internet</v>
          </cell>
        </row>
        <row r="473">
          <cell r="A473">
            <v>63905</v>
          </cell>
          <cell r="E473" t="str">
            <v>Directors' expenses: Medical expenses</v>
          </cell>
        </row>
        <row r="474">
          <cell r="A474">
            <v>63906</v>
          </cell>
          <cell r="E474" t="str">
            <v>Directors' expenses: Motor Vehicle Expenses</v>
          </cell>
        </row>
        <row r="475">
          <cell r="A475">
            <v>63907</v>
          </cell>
          <cell r="E475" t="str">
            <v>Directors' expenses: Allowances</v>
          </cell>
        </row>
        <row r="476">
          <cell r="A476">
            <v>63908</v>
          </cell>
          <cell r="E476" t="str">
            <v>Directors' expenses: Telephone</v>
          </cell>
        </row>
        <row r="477">
          <cell r="A477">
            <v>63909</v>
          </cell>
          <cell r="E477" t="str">
            <v>Directors' expenses: Training</v>
          </cell>
        </row>
        <row r="478">
          <cell r="A478">
            <v>63910</v>
          </cell>
          <cell r="E478" t="str">
            <v>Directors' expenses: Sundry Expense</v>
          </cell>
        </row>
        <row r="479">
          <cell r="A479">
            <v>64000</v>
          </cell>
          <cell r="E479" t="str">
            <v>Depreciation Expense</v>
          </cell>
        </row>
        <row r="480">
          <cell r="A480">
            <v>65000</v>
          </cell>
          <cell r="E480" t="str">
            <v>Staff Welfare: Employee Benefits</v>
          </cell>
        </row>
        <row r="481">
          <cell r="A481">
            <v>65005</v>
          </cell>
          <cell r="E481" t="str">
            <v>Payroll</v>
          </cell>
        </row>
        <row r="482">
          <cell r="A482">
            <v>65007</v>
          </cell>
          <cell r="E482" t="str">
            <v>Payroll: Intercompany Recharges</v>
          </cell>
        </row>
        <row r="483">
          <cell r="A483">
            <v>65010</v>
          </cell>
          <cell r="E483" t="str">
            <v>Payroll:Employees Pension Contribution</v>
          </cell>
        </row>
        <row r="484">
          <cell r="A484">
            <v>65015</v>
          </cell>
          <cell r="E484" t="str">
            <v>Payroll: Directors' PIT</v>
          </cell>
        </row>
        <row r="485">
          <cell r="A485">
            <v>65020</v>
          </cell>
          <cell r="E485" t="str">
            <v>Payroll: Directors' Salaries</v>
          </cell>
        </row>
        <row r="486">
          <cell r="A486">
            <v>65025</v>
          </cell>
          <cell r="E486" t="str">
            <v>Payroll: Lateness Deduction</v>
          </cell>
        </row>
        <row r="487">
          <cell r="A487">
            <v>65030</v>
          </cell>
          <cell r="E487" t="str">
            <v>Payroll: Staff PAYE &amp; Employee's Pension deductions</v>
          </cell>
        </row>
        <row r="488">
          <cell r="A488">
            <v>65031</v>
          </cell>
          <cell r="E488" t="str">
            <v>Payroll: Staff PAYE deductions</v>
          </cell>
        </row>
        <row r="489">
          <cell r="A489">
            <v>65032</v>
          </cell>
          <cell r="E489" t="str">
            <v>Payroll: Staff Employee's Pension deductions</v>
          </cell>
        </row>
        <row r="490">
          <cell r="A490">
            <v>65035</v>
          </cell>
          <cell r="E490" t="str">
            <v>Payroll: Staff Salaries</v>
          </cell>
        </row>
        <row r="491">
          <cell r="A491">
            <v>65036</v>
          </cell>
          <cell r="E491" t="str">
            <v>NSITF Contributions</v>
          </cell>
        </row>
        <row r="492">
          <cell r="A492">
            <v>65037</v>
          </cell>
          <cell r="E492" t="str">
            <v>ITF Contributions</v>
          </cell>
        </row>
        <row r="493">
          <cell r="A493">
            <v>65050</v>
          </cell>
          <cell r="E493" t="str">
            <v>Disposal Account</v>
          </cell>
        </row>
        <row r="494">
          <cell r="A494">
            <v>65095</v>
          </cell>
          <cell r="E494" t="str">
            <v>Hosting Expenses</v>
          </cell>
        </row>
        <row r="495">
          <cell r="A495">
            <v>65100</v>
          </cell>
          <cell r="E495" t="str">
            <v>Employer's Pension Contribution</v>
          </cell>
        </row>
        <row r="496">
          <cell r="A496">
            <v>65200</v>
          </cell>
          <cell r="E496" t="str">
            <v>Bonuses</v>
          </cell>
        </row>
        <row r="497">
          <cell r="A497">
            <v>65300</v>
          </cell>
          <cell r="E497" t="str">
            <v>Wages:Payroll Tax Expenses</v>
          </cell>
        </row>
        <row r="498">
          <cell r="A498">
            <v>65400</v>
          </cell>
          <cell r="E498" t="str">
            <v>Wages:Wages - Office Staff</v>
          </cell>
        </row>
        <row r="499">
          <cell r="A499">
            <v>65800</v>
          </cell>
          <cell r="E499" t="str">
            <v>Gift expense</v>
          </cell>
        </row>
        <row r="500">
          <cell r="A500">
            <v>66000</v>
          </cell>
          <cell r="E500" t="str">
            <v>Incomplete Records</v>
          </cell>
        </row>
        <row r="501">
          <cell r="A501">
            <v>66100</v>
          </cell>
          <cell r="E501" t="str">
            <v>Income Tax Expense, State and Local</v>
          </cell>
        </row>
        <row r="502">
          <cell r="A502">
            <v>66200</v>
          </cell>
          <cell r="E502" t="str">
            <v>Sales/VAT/Use Tax</v>
          </cell>
        </row>
        <row r="503">
          <cell r="A503">
            <v>66300</v>
          </cell>
          <cell r="E503" t="str">
            <v>Stamp Duty Tax</v>
          </cell>
        </row>
        <row r="504">
          <cell r="A504">
            <v>66305</v>
          </cell>
          <cell r="E504" t="str">
            <v>Taxes: Company Income Tax</v>
          </cell>
        </row>
        <row r="505">
          <cell r="A505">
            <v>66310</v>
          </cell>
          <cell r="E505" t="str">
            <v>Taxes:Taxes Education Tax</v>
          </cell>
        </row>
        <row r="506">
          <cell r="A506">
            <v>67000</v>
          </cell>
          <cell r="E506" t="str">
            <v>Other Expense</v>
          </cell>
        </row>
        <row r="507">
          <cell r="A507">
            <v>67005</v>
          </cell>
          <cell r="E507" t="str">
            <v>Exchange Loss</v>
          </cell>
        </row>
        <row r="508">
          <cell r="A508">
            <v>67010</v>
          </cell>
          <cell r="E508" t="str">
            <v>Bad Debt</v>
          </cell>
        </row>
        <row r="509">
          <cell r="A509">
            <v>67012</v>
          </cell>
          <cell r="E509" t="str">
            <v>Loanpair Expenses</v>
          </cell>
        </row>
        <row r="510">
          <cell r="A510">
            <v>67013</v>
          </cell>
          <cell r="E510" t="str">
            <v>Primepayroll Expenses</v>
          </cell>
        </row>
        <row r="511">
          <cell r="A511">
            <v>67014</v>
          </cell>
          <cell r="E511" t="str">
            <v>Primepayroll Expenses: Accommodation Expense</v>
          </cell>
        </row>
        <row r="512">
          <cell r="A512">
            <v>67015</v>
          </cell>
          <cell r="E512" t="str">
            <v>Primepayroll Expenses: Advertisement &amp; Promotion</v>
          </cell>
        </row>
        <row r="513">
          <cell r="A513">
            <v>67016</v>
          </cell>
          <cell r="E513" t="str">
            <v>Primepayroll Expenses: Communication</v>
          </cell>
        </row>
        <row r="514">
          <cell r="A514">
            <v>67017</v>
          </cell>
          <cell r="E514" t="str">
            <v>Primepayroll Expenses: Entertainment &amp; Gift Expense</v>
          </cell>
        </row>
        <row r="515">
          <cell r="A515">
            <v>67018</v>
          </cell>
          <cell r="E515" t="str">
            <v>Primepayroll Expenses: Fuel Expense</v>
          </cell>
        </row>
        <row r="516">
          <cell r="A516">
            <v>67019</v>
          </cell>
          <cell r="E516" t="str">
            <v>Primepayroll Expenses: Hosting Expense</v>
          </cell>
        </row>
        <row r="517">
          <cell r="A517">
            <v>67020</v>
          </cell>
          <cell r="E517" t="str">
            <v>Primepayroll Expenses: Internet Expense</v>
          </cell>
        </row>
        <row r="518">
          <cell r="A518">
            <v>67021</v>
          </cell>
          <cell r="E518" t="str">
            <v>Primepayroll Expenses: Meal Expense</v>
          </cell>
        </row>
        <row r="519">
          <cell r="A519">
            <v>67022</v>
          </cell>
          <cell r="E519" t="str">
            <v>Primepayroll Expenses: Motor Vehicle Expense</v>
          </cell>
        </row>
        <row r="520">
          <cell r="A520">
            <v>67023</v>
          </cell>
          <cell r="E520" t="str">
            <v>Primepayroll Expenses: Printing &amp; Reproduction</v>
          </cell>
        </row>
        <row r="521">
          <cell r="A521">
            <v>67024</v>
          </cell>
          <cell r="E521" t="str">
            <v>Primepayroll Expenses: Transportation Expense</v>
          </cell>
        </row>
        <row r="522">
          <cell r="A522">
            <v>67025</v>
          </cell>
          <cell r="E522" t="str">
            <v>Reconciliation Discrepancies</v>
          </cell>
        </row>
        <row r="523">
          <cell r="A523">
            <v>67026</v>
          </cell>
          <cell r="E523" t="str">
            <v>Yaraju Expenses</v>
          </cell>
        </row>
        <row r="524">
          <cell r="A524">
            <v>67027</v>
          </cell>
          <cell r="E524" t="str">
            <v>Internet Expense: Office internet</v>
          </cell>
        </row>
        <row r="525">
          <cell r="A525">
            <v>67028</v>
          </cell>
          <cell r="E525" t="str">
            <v>Internet Expense: Staff internet</v>
          </cell>
        </row>
        <row r="526">
          <cell r="A526">
            <v>67029</v>
          </cell>
          <cell r="E526" t="str">
            <v>RESEARCH AND DEVELOPMENT: Centenary Project</v>
          </cell>
        </row>
        <row r="527">
          <cell r="A527">
            <v>67030</v>
          </cell>
          <cell r="E527" t="str">
            <v>RESEARCH AND DEVELOPMENT: R &amp; D (CUSTOMIZED SOLUTION)</v>
          </cell>
        </row>
        <row r="528">
          <cell r="A528">
            <v>67031</v>
          </cell>
          <cell r="E528" t="str">
            <v>RESEARCH AND DEVELOPMENT: R &amp; D (MTRACKER)</v>
          </cell>
        </row>
        <row r="529">
          <cell r="A529">
            <v>67032</v>
          </cell>
          <cell r="E529" t="str">
            <v>RESEARCH AND DEVELOPMENT: R &amp; D (TIME &amp; ATTENDANCE)</v>
          </cell>
        </row>
        <row r="530">
          <cell r="A530">
            <v>67033</v>
          </cell>
          <cell r="E530" t="str">
            <v>RESEARCH AND DEVELOPMENT: R&amp;D (BIOCAPTURE)</v>
          </cell>
        </row>
        <row r="531">
          <cell r="A531">
            <v>67034</v>
          </cell>
          <cell r="E531" t="str">
            <v>RESEARCH AND DEVELOPMENT: R&amp;D SHUFFLE</v>
          </cell>
        </row>
        <row r="532">
          <cell r="A532">
            <v>67035</v>
          </cell>
          <cell r="E532" t="str">
            <v>RESEARCH AND DEVELOPMENT: RESEARCH&amp; DEVELOPMENT(PRIMEPAY)</v>
          </cell>
        </row>
        <row r="533">
          <cell r="A533">
            <v>67036</v>
          </cell>
          <cell r="E533" t="str">
            <v>Research &amp; Development</v>
          </cell>
        </row>
        <row r="534">
          <cell r="A534">
            <v>67037</v>
          </cell>
          <cell r="E534" t="str">
            <v>RESEARCH AND DEVELOPMENT: Single Window</v>
          </cell>
        </row>
        <row r="535">
          <cell r="A535">
            <v>67038</v>
          </cell>
          <cell r="E535" t="str">
            <v>Software Developer Tools</v>
          </cell>
        </row>
        <row r="536">
          <cell r="A536">
            <v>67039</v>
          </cell>
          <cell r="E536" t="str">
            <v>Share Capital Expense</v>
          </cell>
        </row>
        <row r="537">
          <cell r="A537">
            <v>67040</v>
          </cell>
          <cell r="E537" t="str">
            <v>Deferred Tax Charge</v>
          </cell>
        </row>
        <row r="538">
          <cell r="A538">
            <v>67041</v>
          </cell>
          <cell r="E538" t="str">
            <v>Staff Welfare: Fuel Allowance</v>
          </cell>
        </row>
        <row r="539">
          <cell r="A539">
            <v>67042</v>
          </cell>
          <cell r="E539" t="str">
            <v>Unapplied Cash Bill Payment Expense</v>
          </cell>
        </row>
        <row r="540">
          <cell r="A540">
            <v>67043</v>
          </cell>
          <cell r="E540" t="str">
            <v>Uncategorised Expense</v>
          </cell>
        </row>
        <row r="541">
          <cell r="A541">
            <v>67044</v>
          </cell>
          <cell r="E541" t="str">
            <v>Laspotech Transaction Charge</v>
          </cell>
        </row>
        <row r="542">
          <cell r="A542">
            <v>67045</v>
          </cell>
          <cell r="E542" t="str">
            <v>Diamond Bank(PRIMEPAY Account)</v>
          </cell>
        </row>
        <row r="543">
          <cell r="A543">
            <v>67050</v>
          </cell>
          <cell r="E543" t="str">
            <v>Loss from Sale of Asset</v>
          </cell>
        </row>
        <row r="544">
          <cell r="A544">
            <v>67052</v>
          </cell>
          <cell r="E544" t="str">
            <v>Interest Charges</v>
          </cell>
        </row>
        <row r="545">
          <cell r="A545">
            <v>67055</v>
          </cell>
          <cell r="E545" t="str">
            <v>Taxes - Other</v>
          </cell>
        </row>
        <row r="546">
          <cell r="A546">
            <v>67065</v>
          </cell>
          <cell r="E546" t="str">
            <v>Inventory Write-Down</v>
          </cell>
        </row>
        <row r="547">
          <cell r="A547">
            <v>67100</v>
          </cell>
          <cell r="E547" t="str">
            <v>Dividend Paid</v>
          </cell>
        </row>
        <row r="548">
          <cell r="A548">
            <v>67280</v>
          </cell>
          <cell r="E548" t="str">
            <v>Cash Account Revaluation Gain / Loss</v>
          </cell>
        </row>
        <row r="549">
          <cell r="A549">
            <v>67770</v>
          </cell>
          <cell r="E549" t="str">
            <v>Gain / Loss of Fixed Asset</v>
          </cell>
        </row>
        <row r="550">
          <cell r="A550">
            <v>67890</v>
          </cell>
          <cell r="E550" t="str">
            <v>Unrealized Gain / Loss Currency</v>
          </cell>
        </row>
        <row r="551">
          <cell r="A551">
            <v>67900</v>
          </cell>
          <cell r="E551" t="str">
            <v>Project burden</v>
          </cell>
        </row>
        <row r="552">
          <cell r="A552">
            <v>67901</v>
          </cell>
          <cell r="E552" t="str">
            <v>Stamp Duty Expense</v>
          </cell>
        </row>
        <row r="553">
          <cell r="A553">
            <v>67920</v>
          </cell>
          <cell r="E553" t="str">
            <v>Exchange Gain or Loss</v>
          </cell>
        </row>
        <row r="554">
          <cell r="A554">
            <v>67940</v>
          </cell>
          <cell r="E554" t="str">
            <v>Rounding Gain / Loss</v>
          </cell>
        </row>
        <row r="555">
          <cell r="A555">
            <v>68500</v>
          </cell>
          <cell r="E555" t="str">
            <v>Professional Fees:Professional Fees Legal Practitioners' fee</v>
          </cell>
        </row>
        <row r="556">
          <cell r="A556">
            <v>68501</v>
          </cell>
          <cell r="E556" t="str">
            <v>Professional Fees:Professional Fees Auditors' Fees</v>
          </cell>
        </row>
        <row r="557">
          <cell r="A557">
            <v>68502</v>
          </cell>
          <cell r="E557" t="str">
            <v>EXP034C Professional Fees:Business Consulting Services</v>
          </cell>
        </row>
        <row r="558">
          <cell r="A558">
            <v>68503</v>
          </cell>
          <cell r="E558" t="str">
            <v>EXP034D Professional Fees:Tax Services</v>
          </cell>
        </row>
        <row r="559">
          <cell r="A559">
            <v>69500</v>
          </cell>
          <cell r="E559" t="str">
            <v>Wages</v>
          </cell>
        </row>
        <row r="560">
          <cell r="A560">
            <v>69600</v>
          </cell>
          <cell r="E560" t="str">
            <v>COS - Subcontracted Services</v>
          </cell>
        </row>
        <row r="561">
          <cell r="A561">
            <v>69900</v>
          </cell>
          <cell r="E561" t="str">
            <v>Short Term Investments (Liquidation Expense)</v>
          </cell>
        </row>
        <row r="562">
          <cell r="A562">
            <v>69901</v>
          </cell>
          <cell r="E562" t="str">
            <v>Amortization Expense</v>
          </cell>
        </row>
        <row r="563">
          <cell r="A563">
            <v>69902</v>
          </cell>
          <cell r="E563" t="str">
            <v>Staff Welfare: Utilities</v>
          </cell>
        </row>
        <row r="564">
          <cell r="A564">
            <v>69903</v>
          </cell>
          <cell r="E564" t="str">
            <v>Staff Welfare: Transportation Service</v>
          </cell>
        </row>
        <row r="565">
          <cell r="A565">
            <v>69904</v>
          </cell>
          <cell r="E565" t="str">
            <v>Amortization - Intangible</v>
          </cell>
        </row>
        <row r="569">
          <cell r="E569" t="str">
            <v>BS</v>
          </cell>
        </row>
      </sheetData>
      <sheetData sheetId="6" refreshError="1"/>
      <sheetData sheetId="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178118.21</v>
          </cell>
        </row>
        <row r="7">
          <cell r="A7" t="str">
            <v>10104</v>
          </cell>
          <cell r="H7">
            <v>12115283.699999999</v>
          </cell>
        </row>
        <row r="8">
          <cell r="A8" t="str">
            <v>10105</v>
          </cell>
          <cell r="H8">
            <v>1672476283.5899999</v>
          </cell>
        </row>
        <row r="9">
          <cell r="A9" t="str">
            <v>10107</v>
          </cell>
          <cell r="H9">
            <v>1040395527.16</v>
          </cell>
        </row>
        <row r="10">
          <cell r="A10" t="str">
            <v>10108</v>
          </cell>
          <cell r="H10">
            <v>2444283.84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635090.81000000006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204355915.49000001</v>
          </cell>
        </row>
        <row r="20">
          <cell r="A20" t="str">
            <v>10225</v>
          </cell>
          <cell r="H20">
            <v>21759716.670000002</v>
          </cell>
        </row>
        <row r="21">
          <cell r="A21" t="str">
            <v>10226</v>
          </cell>
          <cell r="H21">
            <v>7083089.7000000002</v>
          </cell>
        </row>
        <row r="22">
          <cell r="A22" t="str">
            <v>10227</v>
          </cell>
          <cell r="H22">
            <v>9707401.9900000002</v>
          </cell>
        </row>
        <row r="23">
          <cell r="A23" t="str">
            <v>10235</v>
          </cell>
          <cell r="H23">
            <v>1112576.67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9522318.8300000001</v>
          </cell>
        </row>
        <row r="27">
          <cell r="A27" t="str">
            <v>10255</v>
          </cell>
          <cell r="H27">
            <v>1147049.46</v>
          </cell>
        </row>
        <row r="28">
          <cell r="A28" t="str">
            <v>10256</v>
          </cell>
          <cell r="H28">
            <v>1056822.77</v>
          </cell>
        </row>
        <row r="29">
          <cell r="A29" t="str">
            <v>10265</v>
          </cell>
          <cell r="H29">
            <v>3490743.39</v>
          </cell>
        </row>
        <row r="30">
          <cell r="A30" t="str">
            <v>10270</v>
          </cell>
          <cell r="H30">
            <v>318245.96000000002</v>
          </cell>
        </row>
        <row r="31">
          <cell r="A31" t="str">
            <v>10280</v>
          </cell>
          <cell r="H31">
            <v>564653.84</v>
          </cell>
        </row>
        <row r="32">
          <cell r="A32" t="str">
            <v>10285</v>
          </cell>
          <cell r="H32">
            <v>752778.1</v>
          </cell>
        </row>
        <row r="33">
          <cell r="A33" t="str">
            <v>10293</v>
          </cell>
          <cell r="H33">
            <v>18431189.75</v>
          </cell>
        </row>
        <row r="34">
          <cell r="A34" t="str">
            <v>10305</v>
          </cell>
          <cell r="H34">
            <v>5687.28</v>
          </cell>
        </row>
        <row r="35">
          <cell r="A35" t="str">
            <v>10310</v>
          </cell>
          <cell r="H35">
            <v>4706833</v>
          </cell>
        </row>
        <row r="36">
          <cell r="A36" t="str">
            <v>10316</v>
          </cell>
          <cell r="H36">
            <v>21016292.190000001</v>
          </cell>
        </row>
        <row r="37">
          <cell r="A37" t="str">
            <v>10317</v>
          </cell>
          <cell r="H37">
            <v>101797.4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867762.1</v>
          </cell>
        </row>
        <row r="40">
          <cell r="A40" t="str">
            <v>10342</v>
          </cell>
          <cell r="H40">
            <v>14264527.42</v>
          </cell>
        </row>
        <row r="41">
          <cell r="A41" t="str">
            <v>10343</v>
          </cell>
          <cell r="H41">
            <v>159677404.83000001</v>
          </cell>
        </row>
        <row r="42">
          <cell r="A42" t="str">
            <v>10344</v>
          </cell>
          <cell r="H42">
            <v>1262581.8600000001</v>
          </cell>
        </row>
        <row r="43">
          <cell r="A43" t="str">
            <v>10348</v>
          </cell>
          <cell r="H43">
            <v>0.01</v>
          </cell>
        </row>
        <row r="44">
          <cell r="A44" t="str">
            <v>10497</v>
          </cell>
          <cell r="H44">
            <v>157844.60999999999</v>
          </cell>
        </row>
        <row r="45">
          <cell r="A45" t="str">
            <v>10752</v>
          </cell>
          <cell r="H45">
            <v>4684127.5</v>
          </cell>
        </row>
        <row r="46">
          <cell r="A46" t="str">
            <v>10801</v>
          </cell>
          <cell r="H46">
            <v>40588935.75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573307915.97000003</v>
          </cell>
        </row>
        <row r="49">
          <cell r="A49" t="str">
            <v>12100</v>
          </cell>
          <cell r="H49">
            <v>45773937.899999999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17785993.859999999</v>
          </cell>
        </row>
        <row r="52">
          <cell r="A52" t="str">
            <v>13004</v>
          </cell>
          <cell r="H52">
            <v>7688792.6900000004</v>
          </cell>
        </row>
        <row r="53">
          <cell r="A53" t="str">
            <v>13010</v>
          </cell>
          <cell r="H53">
            <v>24922126.760000002</v>
          </cell>
        </row>
        <row r="54">
          <cell r="A54" t="str">
            <v>13023</v>
          </cell>
          <cell r="H54">
            <v>367380</v>
          </cell>
        </row>
        <row r="55">
          <cell r="A55" t="str">
            <v>13024</v>
          </cell>
          <cell r="H55">
            <v>2979938.74</v>
          </cell>
        </row>
        <row r="56">
          <cell r="A56" t="str">
            <v>13116</v>
          </cell>
          <cell r="H56">
            <v>14300</v>
          </cell>
        </row>
        <row r="57">
          <cell r="A57" t="str">
            <v>13120</v>
          </cell>
          <cell r="H57">
            <v>211073690.13999999</v>
          </cell>
        </row>
        <row r="58">
          <cell r="A58" t="str">
            <v>13130</v>
          </cell>
          <cell r="H58">
            <v>7867554.2599999998</v>
          </cell>
        </row>
        <row r="59">
          <cell r="A59" t="str">
            <v>13135</v>
          </cell>
          <cell r="H59">
            <v>0.13</v>
          </cell>
        </row>
        <row r="60">
          <cell r="A60" t="str">
            <v>13200</v>
          </cell>
          <cell r="H60">
            <v>1290699.08</v>
          </cell>
        </row>
        <row r="61">
          <cell r="A61" t="str">
            <v>13400</v>
          </cell>
          <cell r="H61">
            <v>541284486.66999996</v>
          </cell>
        </row>
        <row r="62">
          <cell r="A62" t="str">
            <v>14000</v>
          </cell>
          <cell r="H62">
            <v>-609462487.11000001</v>
          </cell>
        </row>
        <row r="63">
          <cell r="A63" t="str">
            <v>14001</v>
          </cell>
          <cell r="H63">
            <v>-514419965.77999997</v>
          </cell>
        </row>
        <row r="64">
          <cell r="A64" t="str">
            <v>14010</v>
          </cell>
          <cell r="H64">
            <v>5270581.9800000004</v>
          </cell>
        </row>
        <row r="65">
          <cell r="A65" t="str">
            <v>14016</v>
          </cell>
          <cell r="H65">
            <v>26984689.02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36071942.920000002</v>
          </cell>
        </row>
        <row r="68">
          <cell r="A68" t="str">
            <v>15100</v>
          </cell>
          <cell r="H68">
            <v>5141700</v>
          </cell>
        </row>
        <row r="69">
          <cell r="A69" t="str">
            <v>15200</v>
          </cell>
          <cell r="H69">
            <v>378277006.66000003</v>
          </cell>
        </row>
        <row r="70">
          <cell r="A70" t="str">
            <v>15300</v>
          </cell>
          <cell r="H70">
            <v>28200780.25</v>
          </cell>
        </row>
        <row r="71">
          <cell r="A71" t="str">
            <v>15400</v>
          </cell>
          <cell r="H71">
            <v>188782657.31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643385951.24000001</v>
          </cell>
        </row>
        <row r="74">
          <cell r="A74" t="str">
            <v>15509</v>
          </cell>
          <cell r="H74">
            <v>11400000</v>
          </cell>
        </row>
        <row r="75">
          <cell r="A75" t="str">
            <v>15510</v>
          </cell>
          <cell r="H75">
            <v>1671302043.48</v>
          </cell>
        </row>
        <row r="76">
          <cell r="A76" t="str">
            <v>15511</v>
          </cell>
          <cell r="H76">
            <v>107697884.17</v>
          </cell>
        </row>
        <row r="77">
          <cell r="A77" t="str">
            <v>16000</v>
          </cell>
          <cell r="H77">
            <v>-28648032.350000001</v>
          </cell>
        </row>
        <row r="78">
          <cell r="A78" t="str">
            <v>16100</v>
          </cell>
          <cell r="H78">
            <v>-3738523.81</v>
          </cell>
        </row>
        <row r="79">
          <cell r="A79" t="str">
            <v>16200</v>
          </cell>
          <cell r="H79">
            <v>-252291838.94999999</v>
          </cell>
        </row>
        <row r="80">
          <cell r="A80" t="str">
            <v>16300</v>
          </cell>
          <cell r="H80">
            <v>-17279408.34</v>
          </cell>
        </row>
        <row r="81">
          <cell r="A81" t="str">
            <v>19006</v>
          </cell>
          <cell r="H81">
            <v>137455</v>
          </cell>
        </row>
        <row r="82">
          <cell r="A82" t="str">
            <v>19007</v>
          </cell>
          <cell r="H82">
            <v>1899833787.6600001</v>
          </cell>
        </row>
        <row r="83">
          <cell r="A83" t="str">
            <v>69904</v>
          </cell>
          <cell r="H83">
            <v>-41270908.079999998</v>
          </cell>
        </row>
        <row r="84">
          <cell r="A84" t="str">
            <v>69905</v>
          </cell>
          <cell r="H84">
            <v>-7179858.96</v>
          </cell>
        </row>
        <row r="85">
          <cell r="A85" t="str">
            <v>89906</v>
          </cell>
          <cell r="H85">
            <v>-21446198.359999999</v>
          </cell>
        </row>
        <row r="86">
          <cell r="A86" t="str">
            <v>20000</v>
          </cell>
          <cell r="H86">
            <v>-246729530.19</v>
          </cell>
        </row>
        <row r="87">
          <cell r="A87" t="str">
            <v>20005</v>
          </cell>
          <cell r="H87">
            <v>-102000038.65000001</v>
          </cell>
        </row>
        <row r="88">
          <cell r="A88" t="str">
            <v>20010</v>
          </cell>
          <cell r="H88">
            <v>-9675000</v>
          </cell>
        </row>
        <row r="89">
          <cell r="A89" t="str">
            <v>22100</v>
          </cell>
          <cell r="H89">
            <v>-8876353.4199999999</v>
          </cell>
        </row>
        <row r="90">
          <cell r="A90" t="str">
            <v>23000</v>
          </cell>
          <cell r="H90">
            <v>-687058338.92999995</v>
          </cell>
        </row>
        <row r="91">
          <cell r="A91" t="str">
            <v>23001</v>
          </cell>
          <cell r="H91">
            <v>-73569221.030000001</v>
          </cell>
        </row>
        <row r="92">
          <cell r="A92" t="str">
            <v>23010</v>
          </cell>
          <cell r="H92">
            <v>-211959155.53</v>
          </cell>
        </row>
        <row r="93">
          <cell r="A93" t="str">
            <v>23015</v>
          </cell>
          <cell r="H93">
            <v>0.25</v>
          </cell>
        </row>
        <row r="94">
          <cell r="A94" t="str">
            <v>23040</v>
          </cell>
          <cell r="H94">
            <v>-12184831.960000001</v>
          </cell>
        </row>
        <row r="95">
          <cell r="A95" t="str">
            <v>23400</v>
          </cell>
          <cell r="H95">
            <v>-39095932.030000001</v>
          </cell>
        </row>
        <row r="96">
          <cell r="A96" t="str">
            <v>23416</v>
          </cell>
          <cell r="H96">
            <v>-63550</v>
          </cell>
        </row>
        <row r="97">
          <cell r="A97" t="str">
            <v>23420</v>
          </cell>
          <cell r="H97">
            <v>-22431779.449999999</v>
          </cell>
        </row>
        <row r="98">
          <cell r="A98" t="str">
            <v>23425</v>
          </cell>
          <cell r="H98">
            <v>-21499460.77</v>
          </cell>
        </row>
        <row r="99">
          <cell r="A99" t="str">
            <v>24010</v>
          </cell>
          <cell r="H99">
            <v>-25683258.129999999</v>
          </cell>
        </row>
        <row r="100">
          <cell r="A100" t="str">
            <v>24100</v>
          </cell>
          <cell r="H100">
            <v>-17752977.66</v>
          </cell>
        </row>
        <row r="101">
          <cell r="A101" t="str">
            <v>30005</v>
          </cell>
          <cell r="H101">
            <v>96238158.140000001</v>
          </cell>
        </row>
        <row r="102">
          <cell r="A102" t="str">
            <v>30035</v>
          </cell>
          <cell r="H102">
            <v>98964248.609999999</v>
          </cell>
        </row>
        <row r="103">
          <cell r="A103" t="str">
            <v>30040</v>
          </cell>
          <cell r="H103">
            <v>-107359858</v>
          </cell>
        </row>
        <row r="104">
          <cell r="A104" t="str">
            <v>30042</v>
          </cell>
          <cell r="H104">
            <v>-7359858</v>
          </cell>
        </row>
        <row r="105">
          <cell r="A105" t="str">
            <v>30043</v>
          </cell>
          <cell r="H105">
            <v>-114297251.5</v>
          </cell>
        </row>
        <row r="106">
          <cell r="A106" t="str">
            <v>30044</v>
          </cell>
          <cell r="H106">
            <v>-6573262400</v>
          </cell>
        </row>
        <row r="107">
          <cell r="A107" t="str">
            <v>32000</v>
          </cell>
          <cell r="H107">
            <v>628329247.54999995</v>
          </cell>
        </row>
        <row r="108">
          <cell r="A108" t="str">
            <v>40025</v>
          </cell>
          <cell r="H108">
            <v>0</v>
          </cell>
        </row>
        <row r="109">
          <cell r="A109" t="str">
            <v>40085</v>
          </cell>
          <cell r="H109">
            <v>-97500.01</v>
          </cell>
        </row>
        <row r="110">
          <cell r="A110" t="str">
            <v>40086</v>
          </cell>
          <cell r="H110">
            <v>0</v>
          </cell>
        </row>
        <row r="111">
          <cell r="A111" t="str">
            <v>40095</v>
          </cell>
          <cell r="H111">
            <v>-539534.88</v>
          </cell>
        </row>
        <row r="112">
          <cell r="A112" t="str">
            <v>40161</v>
          </cell>
          <cell r="H112">
            <v>-142500282.04000002</v>
          </cell>
        </row>
        <row r="113">
          <cell r="A113" t="str">
            <v>40162</v>
          </cell>
          <cell r="H113">
            <v>-203556268.21000001</v>
          </cell>
        </row>
        <row r="114">
          <cell r="A114" t="str">
            <v>40163</v>
          </cell>
          <cell r="H114">
            <v>2224747.4499999993</v>
          </cell>
        </row>
        <row r="115">
          <cell r="A115" t="str">
            <v>40166</v>
          </cell>
          <cell r="H115">
            <v>-58138.83</v>
          </cell>
        </row>
        <row r="116">
          <cell r="A116" t="str">
            <v>49300</v>
          </cell>
          <cell r="H116">
            <v>-63101019.709999993</v>
          </cell>
        </row>
        <row r="117">
          <cell r="A117" t="str">
            <v>50000</v>
          </cell>
          <cell r="H117">
            <v>551493.24</v>
          </cell>
        </row>
        <row r="118">
          <cell r="A118" t="str">
            <v>53025</v>
          </cell>
          <cell r="H118">
            <v>12814345.060000002</v>
          </cell>
        </row>
        <row r="119">
          <cell r="A119" t="str">
            <v>53040</v>
          </cell>
          <cell r="H119">
            <v>91800</v>
          </cell>
        </row>
        <row r="120">
          <cell r="A120" t="str">
            <v>53045</v>
          </cell>
          <cell r="H120">
            <v>3412760.25</v>
          </cell>
        </row>
        <row r="121">
          <cell r="A121" t="str">
            <v>53055</v>
          </cell>
          <cell r="H121">
            <v>225440.42</v>
          </cell>
        </row>
        <row r="122">
          <cell r="A122" t="str">
            <v>53060</v>
          </cell>
          <cell r="H122">
            <v>19700</v>
          </cell>
        </row>
        <row r="123">
          <cell r="A123" t="str">
            <v>53074</v>
          </cell>
          <cell r="H123">
            <v>0</v>
          </cell>
        </row>
        <row r="124">
          <cell r="A124" t="str">
            <v>53075</v>
          </cell>
          <cell r="H124">
            <v>0</v>
          </cell>
        </row>
        <row r="125">
          <cell r="A125" t="str">
            <v>53080</v>
          </cell>
          <cell r="H125">
            <v>85681.75</v>
          </cell>
        </row>
        <row r="126">
          <cell r="A126" t="str">
            <v>53090</v>
          </cell>
          <cell r="H126">
            <v>16500</v>
          </cell>
        </row>
        <row r="127">
          <cell r="A127" t="str">
            <v>53095</v>
          </cell>
          <cell r="H127">
            <v>7498.2</v>
          </cell>
        </row>
        <row r="128">
          <cell r="A128" t="str">
            <v>53120</v>
          </cell>
          <cell r="H128">
            <v>33584779.829999998</v>
          </cell>
        </row>
        <row r="129">
          <cell r="A129" t="str">
            <v>53140</v>
          </cell>
          <cell r="H129">
            <v>16436675.33</v>
          </cell>
        </row>
        <row r="130">
          <cell r="A130" t="str">
            <v>60010</v>
          </cell>
          <cell r="H130">
            <v>1611111.1</v>
          </cell>
        </row>
        <row r="131">
          <cell r="A131" t="str">
            <v>60015</v>
          </cell>
          <cell r="H131">
            <v>100000</v>
          </cell>
        </row>
        <row r="132">
          <cell r="A132" t="str">
            <v>60020</v>
          </cell>
          <cell r="H132">
            <v>427500</v>
          </cell>
        </row>
        <row r="133">
          <cell r="A133" t="str">
            <v>60025</v>
          </cell>
          <cell r="H133">
            <v>1785951.53</v>
          </cell>
        </row>
        <row r="134">
          <cell r="A134" t="str">
            <v>60030</v>
          </cell>
          <cell r="H134">
            <v>210000</v>
          </cell>
        </row>
        <row r="135">
          <cell r="A135" t="str">
            <v>60045</v>
          </cell>
          <cell r="H135">
            <v>855000</v>
          </cell>
        </row>
        <row r="136">
          <cell r="A136" t="str">
            <v>60050</v>
          </cell>
          <cell r="H136">
            <v>1470988.42</v>
          </cell>
        </row>
        <row r="137">
          <cell r="A137" t="str">
            <v>60060</v>
          </cell>
          <cell r="H137">
            <v>22076853.43</v>
          </cell>
        </row>
        <row r="138">
          <cell r="A138" t="str">
            <v>60070</v>
          </cell>
          <cell r="H138">
            <v>506300</v>
          </cell>
        </row>
        <row r="139">
          <cell r="A139" t="str">
            <v>60080</v>
          </cell>
          <cell r="H139">
            <v>4237034.34</v>
          </cell>
        </row>
        <row r="140">
          <cell r="A140" t="str">
            <v>60085</v>
          </cell>
          <cell r="H140">
            <v>1638686.22</v>
          </cell>
        </row>
        <row r="141">
          <cell r="A141" t="str">
            <v>60090</v>
          </cell>
          <cell r="H141">
            <v>825741.91</v>
          </cell>
        </row>
        <row r="142">
          <cell r="A142" t="str">
            <v>60100</v>
          </cell>
          <cell r="H142">
            <v>0</v>
          </cell>
        </row>
        <row r="143">
          <cell r="A143" t="str">
            <v>60110</v>
          </cell>
          <cell r="H143">
            <v>0</v>
          </cell>
        </row>
        <row r="144">
          <cell r="A144" t="str">
            <v>60115</v>
          </cell>
          <cell r="H144">
            <v>0</v>
          </cell>
        </row>
        <row r="145">
          <cell r="A145" t="str">
            <v>60200</v>
          </cell>
          <cell r="H145">
            <v>81282</v>
          </cell>
        </row>
        <row r="146">
          <cell r="A146" t="str">
            <v>60201</v>
          </cell>
          <cell r="H146">
            <v>1191804.9300000002</v>
          </cell>
        </row>
        <row r="147">
          <cell r="A147" t="str">
            <v>60202</v>
          </cell>
          <cell r="H147">
            <v>0</v>
          </cell>
        </row>
        <row r="148">
          <cell r="A148" t="str">
            <v>60203</v>
          </cell>
          <cell r="H148">
            <v>0</v>
          </cell>
        </row>
        <row r="149">
          <cell r="A149" t="str">
            <v>60205</v>
          </cell>
          <cell r="H149">
            <v>83850</v>
          </cell>
        </row>
        <row r="150">
          <cell r="A150" t="str">
            <v>60206</v>
          </cell>
          <cell r="H150">
            <v>200000</v>
          </cell>
        </row>
        <row r="151">
          <cell r="A151" t="str">
            <v>60210</v>
          </cell>
          <cell r="H151">
            <v>8062766.6500000004</v>
          </cell>
        </row>
        <row r="152">
          <cell r="A152" t="str">
            <v>60211</v>
          </cell>
          <cell r="H152">
            <v>90500</v>
          </cell>
        </row>
        <row r="153">
          <cell r="A153" t="str">
            <v>60213</v>
          </cell>
          <cell r="H153">
            <v>0</v>
          </cell>
        </row>
        <row r="154">
          <cell r="A154" t="str">
            <v>60217</v>
          </cell>
          <cell r="H154">
            <v>0</v>
          </cell>
        </row>
        <row r="155">
          <cell r="A155" t="str">
            <v>61100</v>
          </cell>
          <cell r="H155">
            <v>1488233.13</v>
          </cell>
        </row>
        <row r="156">
          <cell r="A156" t="str">
            <v>61310</v>
          </cell>
          <cell r="H156">
            <v>250360</v>
          </cell>
        </row>
        <row r="157">
          <cell r="A157" t="str">
            <v>61315</v>
          </cell>
          <cell r="H157">
            <v>318500</v>
          </cell>
        </row>
        <row r="158">
          <cell r="A158" t="str">
            <v>61320</v>
          </cell>
          <cell r="H158">
            <v>29901.71</v>
          </cell>
        </row>
        <row r="159">
          <cell r="A159" t="str">
            <v>61500</v>
          </cell>
          <cell r="H159">
            <v>948186</v>
          </cell>
        </row>
        <row r="160">
          <cell r="A160" t="str">
            <v>61600</v>
          </cell>
          <cell r="H160">
            <v>1903530.45</v>
          </cell>
        </row>
        <row r="161">
          <cell r="A161" t="str">
            <v>61700</v>
          </cell>
          <cell r="H161">
            <v>870155.39</v>
          </cell>
        </row>
        <row r="162">
          <cell r="A162" t="str">
            <v>62200</v>
          </cell>
          <cell r="H162">
            <v>94040</v>
          </cell>
        </row>
        <row r="163">
          <cell r="A163" t="str">
            <v>62410</v>
          </cell>
          <cell r="H163">
            <v>41000</v>
          </cell>
        </row>
        <row r="164">
          <cell r="A164" t="str">
            <v>62415</v>
          </cell>
          <cell r="H164">
            <v>850500</v>
          </cell>
        </row>
        <row r="165">
          <cell r="A165" t="str">
            <v>62420</v>
          </cell>
          <cell r="H165">
            <v>500000</v>
          </cell>
        </row>
        <row r="166">
          <cell r="A166" t="str">
            <v>62425</v>
          </cell>
          <cell r="H166">
            <v>126700</v>
          </cell>
        </row>
        <row r="167">
          <cell r="A167" t="str">
            <v>62435</v>
          </cell>
          <cell r="H167">
            <v>0</v>
          </cell>
        </row>
        <row r="168">
          <cell r="A168" t="str">
            <v>62700</v>
          </cell>
          <cell r="H168">
            <v>17356012.48</v>
          </cell>
        </row>
        <row r="169">
          <cell r="A169" t="str">
            <v>63110</v>
          </cell>
          <cell r="H169">
            <v>107700</v>
          </cell>
        </row>
        <row r="170">
          <cell r="A170" t="str">
            <v>63120</v>
          </cell>
          <cell r="H170">
            <v>82081.100000000006</v>
          </cell>
        </row>
        <row r="171">
          <cell r="A171" t="str">
            <v>63125</v>
          </cell>
          <cell r="H171">
            <v>159600</v>
          </cell>
        </row>
        <row r="172">
          <cell r="A172" t="str">
            <v>63300</v>
          </cell>
          <cell r="H172">
            <v>1149833.3500000001</v>
          </cell>
        </row>
        <row r="173">
          <cell r="A173" t="str">
            <v>63907</v>
          </cell>
          <cell r="H173">
            <v>23809649.649999999</v>
          </cell>
        </row>
        <row r="174">
          <cell r="A174" t="str">
            <v>64000</v>
          </cell>
          <cell r="H174">
            <v>3945532.69</v>
          </cell>
        </row>
        <row r="175">
          <cell r="A175" t="str">
            <v>65000</v>
          </cell>
          <cell r="H175">
            <v>1124999.98</v>
          </cell>
        </row>
        <row r="176">
          <cell r="A176" t="str">
            <v>65007</v>
          </cell>
          <cell r="H176">
            <v>-3129458.2300000004</v>
          </cell>
        </row>
        <row r="177">
          <cell r="A177" t="str">
            <v>65015</v>
          </cell>
          <cell r="H177">
            <v>0</v>
          </cell>
        </row>
        <row r="178">
          <cell r="A178" t="str">
            <v>65031</v>
          </cell>
          <cell r="H178">
            <v>22793669.02</v>
          </cell>
        </row>
        <row r="179">
          <cell r="A179" t="str">
            <v>65032</v>
          </cell>
          <cell r="H179">
            <v>5326225.57</v>
          </cell>
        </row>
        <row r="180">
          <cell r="A180" t="str">
            <v>65035</v>
          </cell>
          <cell r="H180">
            <v>73683635.010000005</v>
          </cell>
        </row>
        <row r="181">
          <cell r="A181" t="str">
            <v>65036</v>
          </cell>
          <cell r="H181">
            <v>1303587.19</v>
          </cell>
        </row>
        <row r="182">
          <cell r="A182" t="str">
            <v>65095</v>
          </cell>
          <cell r="H182">
            <v>3490573.99</v>
          </cell>
        </row>
        <row r="183">
          <cell r="A183" t="str">
            <v>65100</v>
          </cell>
          <cell r="H183">
            <v>6657781.9400000004</v>
          </cell>
        </row>
        <row r="184">
          <cell r="A184" t="str">
            <v>65800</v>
          </cell>
          <cell r="H184">
            <v>8726000</v>
          </cell>
        </row>
        <row r="185">
          <cell r="A185" t="str">
            <v>67010</v>
          </cell>
          <cell r="H185">
            <v>0</v>
          </cell>
        </row>
        <row r="186">
          <cell r="A186" t="str">
            <v>67920</v>
          </cell>
          <cell r="H186">
            <v>18530632.390000001</v>
          </cell>
        </row>
        <row r="187">
          <cell r="A187" t="str">
            <v>67940</v>
          </cell>
          <cell r="H187">
            <v>2877727.04</v>
          </cell>
        </row>
        <row r="188">
          <cell r="A188" t="str">
            <v>68500</v>
          </cell>
          <cell r="H188">
            <v>1666666.67</v>
          </cell>
        </row>
        <row r="189">
          <cell r="A189" t="str">
            <v>68503</v>
          </cell>
          <cell r="H189">
            <v>0</v>
          </cell>
        </row>
        <row r="190">
          <cell r="A190" t="str">
            <v>69600</v>
          </cell>
          <cell r="H190">
            <v>3896849.25</v>
          </cell>
        </row>
        <row r="191">
          <cell r="A191" t="str">
            <v>69901</v>
          </cell>
          <cell r="H191">
            <v>8357590.9900000002</v>
          </cell>
        </row>
        <row r="192">
          <cell r="A192" t="str">
            <v>69903</v>
          </cell>
          <cell r="H192">
            <v>490183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159113.21</v>
          </cell>
        </row>
        <row r="7">
          <cell r="A7" t="str">
            <v>10104</v>
          </cell>
          <cell r="H7">
            <v>56657208.240000002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967076718.94000006</v>
          </cell>
        </row>
        <row r="10">
          <cell r="A10" t="str">
            <v>10108</v>
          </cell>
          <cell r="H10">
            <v>2444283.84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65564820.740000002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185972992.58000001</v>
          </cell>
        </row>
        <row r="20">
          <cell r="A20" t="str">
            <v>10225</v>
          </cell>
          <cell r="H20">
            <v>96947360.290000007</v>
          </cell>
        </row>
        <row r="21">
          <cell r="A21" t="str">
            <v>10226</v>
          </cell>
          <cell r="H21">
            <v>2923415.1</v>
          </cell>
        </row>
        <row r="22">
          <cell r="A22" t="str">
            <v>10227</v>
          </cell>
          <cell r="H22">
            <v>16621134.720000001</v>
          </cell>
        </row>
        <row r="23">
          <cell r="A23" t="str">
            <v>10235</v>
          </cell>
          <cell r="H23">
            <v>2213905.92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92431200.609999999</v>
          </cell>
        </row>
        <row r="27">
          <cell r="A27" t="str">
            <v>10255</v>
          </cell>
          <cell r="H27">
            <v>1753797.44</v>
          </cell>
        </row>
        <row r="28">
          <cell r="A28" t="str">
            <v>10256</v>
          </cell>
          <cell r="H28">
            <v>1063135.03</v>
          </cell>
        </row>
        <row r="29">
          <cell r="A29" t="str">
            <v>10265</v>
          </cell>
          <cell r="H29">
            <v>3452331.14</v>
          </cell>
        </row>
        <row r="30">
          <cell r="A30" t="str">
            <v>10270</v>
          </cell>
          <cell r="H30">
            <v>345228.71</v>
          </cell>
        </row>
        <row r="31">
          <cell r="A31" t="str">
            <v>10280</v>
          </cell>
          <cell r="H31">
            <v>564653.84</v>
          </cell>
        </row>
        <row r="32">
          <cell r="A32" t="str">
            <v>10285</v>
          </cell>
          <cell r="H32">
            <v>752778.1</v>
          </cell>
        </row>
        <row r="33">
          <cell r="A33" t="str">
            <v>10293</v>
          </cell>
          <cell r="H33">
            <v>18539880.149999999</v>
          </cell>
        </row>
        <row r="34">
          <cell r="A34" t="str">
            <v>10305</v>
          </cell>
          <cell r="H34">
            <v>5687.28</v>
          </cell>
        </row>
        <row r="35">
          <cell r="A35" t="str">
            <v>10310</v>
          </cell>
          <cell r="H35">
            <v>5093339</v>
          </cell>
        </row>
        <row r="36">
          <cell r="A36" t="str">
            <v>10316</v>
          </cell>
          <cell r="H36">
            <v>15600007.939999999</v>
          </cell>
        </row>
        <row r="37">
          <cell r="A37" t="str">
            <v>10317</v>
          </cell>
          <cell r="H37">
            <v>101797.4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628531.85</v>
          </cell>
        </row>
        <row r="40">
          <cell r="A40" t="str">
            <v>10342</v>
          </cell>
          <cell r="H40">
            <v>58014712.079999998</v>
          </cell>
        </row>
        <row r="41">
          <cell r="A41" t="str">
            <v>10343</v>
          </cell>
          <cell r="H41">
            <v>65781972.340000004</v>
          </cell>
        </row>
        <row r="42">
          <cell r="A42" t="str">
            <v>10344</v>
          </cell>
          <cell r="H42">
            <v>881581.86</v>
          </cell>
        </row>
        <row r="43">
          <cell r="A43" t="str">
            <v>10348</v>
          </cell>
          <cell r="H43">
            <v>0.01</v>
          </cell>
        </row>
        <row r="44">
          <cell r="A44" t="str">
            <v>10497</v>
          </cell>
          <cell r="H44">
            <v>157844.60999999999</v>
          </cell>
        </row>
        <row r="45">
          <cell r="A45" t="str">
            <v>10752</v>
          </cell>
          <cell r="H45">
            <v>4615952.5</v>
          </cell>
        </row>
        <row r="46">
          <cell r="A46" t="str">
            <v>10801</v>
          </cell>
          <cell r="H46">
            <v>41038781.939999998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701404828.05999994</v>
          </cell>
        </row>
        <row r="49">
          <cell r="A49" t="str">
            <v>12100</v>
          </cell>
          <cell r="H49">
            <v>46325431.140000001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116622885.93000001</v>
          </cell>
        </row>
        <row r="52">
          <cell r="A52" t="str">
            <v>13004</v>
          </cell>
          <cell r="H52">
            <v>1737292.6</v>
          </cell>
        </row>
        <row r="53">
          <cell r="A53" t="str">
            <v>13010</v>
          </cell>
          <cell r="H53">
            <v>19835273.5</v>
          </cell>
        </row>
        <row r="54">
          <cell r="A54" t="str">
            <v>13023</v>
          </cell>
          <cell r="H54">
            <v>367380</v>
          </cell>
        </row>
        <row r="55">
          <cell r="A55" t="str">
            <v>13024</v>
          </cell>
          <cell r="H55">
            <v>5874028.5099999998</v>
          </cell>
        </row>
        <row r="56">
          <cell r="A56" t="str">
            <v>13116</v>
          </cell>
          <cell r="H56">
            <v>18500</v>
          </cell>
        </row>
        <row r="57">
          <cell r="A57" t="str">
            <v>13120</v>
          </cell>
          <cell r="H57">
            <v>239092460.11000001</v>
          </cell>
        </row>
        <row r="58">
          <cell r="A58" t="str">
            <v>13130</v>
          </cell>
          <cell r="H58">
            <v>14241882.050000001</v>
          </cell>
        </row>
        <row r="59">
          <cell r="A59" t="str">
            <v>13135</v>
          </cell>
          <cell r="H59">
            <v>0.13</v>
          </cell>
        </row>
        <row r="60">
          <cell r="A60" t="str">
            <v>13200</v>
          </cell>
          <cell r="H60">
            <v>1011249.08</v>
          </cell>
        </row>
        <row r="61">
          <cell r="A61" t="str">
            <v>13400</v>
          </cell>
          <cell r="H61">
            <v>541268486.66999996</v>
          </cell>
        </row>
        <row r="62">
          <cell r="A62" t="str">
            <v>14000</v>
          </cell>
          <cell r="H62">
            <v>-613759357.80999994</v>
          </cell>
        </row>
        <row r="63">
          <cell r="A63" t="str">
            <v>14001</v>
          </cell>
          <cell r="H63">
            <v>-531517567.81999999</v>
          </cell>
        </row>
        <row r="64">
          <cell r="A64" t="str">
            <v>14010</v>
          </cell>
          <cell r="H64">
            <v>8214468.3300000001</v>
          </cell>
        </row>
        <row r="65">
          <cell r="A65" t="str">
            <v>14016</v>
          </cell>
          <cell r="H65">
            <v>25625579.02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36071942.920000002</v>
          </cell>
        </row>
        <row r="68">
          <cell r="A68" t="str">
            <v>15100</v>
          </cell>
          <cell r="H68">
            <v>5141700</v>
          </cell>
        </row>
        <row r="69">
          <cell r="A69" t="str">
            <v>15200</v>
          </cell>
          <cell r="H69">
            <v>367417006.66000003</v>
          </cell>
        </row>
        <row r="70">
          <cell r="A70" t="str">
            <v>15300</v>
          </cell>
          <cell r="H70">
            <v>26275780.25</v>
          </cell>
        </row>
        <row r="71">
          <cell r="A71" t="str">
            <v>15400</v>
          </cell>
          <cell r="H71">
            <v>186936657.31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643385951.24000001</v>
          </cell>
        </row>
        <row r="74">
          <cell r="A74" t="str">
            <v>15509</v>
          </cell>
          <cell r="H74">
            <v>11400000</v>
          </cell>
        </row>
        <row r="75">
          <cell r="A75" t="str">
            <v>15510</v>
          </cell>
          <cell r="H75">
            <v>1670262314.0899999</v>
          </cell>
        </row>
        <row r="76">
          <cell r="A76" t="str">
            <v>15511</v>
          </cell>
          <cell r="H76">
            <v>107697884.17</v>
          </cell>
        </row>
        <row r="77">
          <cell r="A77" t="str">
            <v>16000</v>
          </cell>
          <cell r="H77">
            <v>-28494034.600000001</v>
          </cell>
        </row>
        <row r="78">
          <cell r="A78" t="str">
            <v>16100</v>
          </cell>
          <cell r="H78">
            <v>-3707342.56</v>
          </cell>
        </row>
        <row r="79">
          <cell r="A79" t="str">
            <v>16200</v>
          </cell>
          <cell r="H79">
            <v>-248861047.75999999</v>
          </cell>
        </row>
        <row r="80">
          <cell r="A80" t="str">
            <v>16300</v>
          </cell>
          <cell r="H80">
            <v>-16949845.84</v>
          </cell>
        </row>
        <row r="81">
          <cell r="A81" t="str">
            <v>17000</v>
          </cell>
          <cell r="H81">
            <v>0</v>
          </cell>
        </row>
        <row r="82">
          <cell r="A82" t="str">
            <v>19007</v>
          </cell>
          <cell r="H82">
            <v>1853886160.78</v>
          </cell>
        </row>
        <row r="83">
          <cell r="A83" t="str">
            <v>69904</v>
          </cell>
          <cell r="H83">
            <v>-40069831.420000002</v>
          </cell>
        </row>
        <row r="84">
          <cell r="A84" t="str">
            <v>69905</v>
          </cell>
          <cell r="H84">
            <v>-5384894.2199999997</v>
          </cell>
        </row>
        <row r="85">
          <cell r="A85" t="str">
            <v>89906</v>
          </cell>
          <cell r="H85">
            <v>-16084648.77</v>
          </cell>
        </row>
        <row r="86">
          <cell r="A86" t="str">
            <v>20000</v>
          </cell>
          <cell r="H86">
            <v>-395664675.01999998</v>
          </cell>
        </row>
        <row r="87">
          <cell r="A87" t="str">
            <v>20005</v>
          </cell>
          <cell r="H87">
            <v>-90008052.430000007</v>
          </cell>
        </row>
        <row r="88">
          <cell r="A88" t="str">
            <v>20010</v>
          </cell>
          <cell r="H88">
            <v>-9675000</v>
          </cell>
        </row>
        <row r="89">
          <cell r="A89" t="str">
            <v>22100</v>
          </cell>
          <cell r="H89">
            <v>-8876353.4199999999</v>
          </cell>
        </row>
        <row r="90">
          <cell r="A90" t="str">
            <v>23000</v>
          </cell>
          <cell r="H90">
            <v>-892462024.82000005</v>
          </cell>
        </row>
        <row r="91">
          <cell r="A91" t="str">
            <v>23001</v>
          </cell>
          <cell r="H91">
            <v>-16976161.66</v>
          </cell>
        </row>
        <row r="92">
          <cell r="A92" t="str">
            <v>23010</v>
          </cell>
          <cell r="H92">
            <v>-253046912.61000001</v>
          </cell>
        </row>
        <row r="93">
          <cell r="A93" t="str">
            <v>23015</v>
          </cell>
          <cell r="H93">
            <v>-518042.67</v>
          </cell>
        </row>
        <row r="94">
          <cell r="A94" t="str">
            <v>23040</v>
          </cell>
          <cell r="H94">
            <v>-12572609.68</v>
          </cell>
        </row>
        <row r="95">
          <cell r="A95" t="str">
            <v>23400</v>
          </cell>
          <cell r="H95">
            <v>-68827400.769999996</v>
          </cell>
        </row>
        <row r="96">
          <cell r="A96" t="str">
            <v>23416</v>
          </cell>
          <cell r="H96">
            <v>-63550</v>
          </cell>
        </row>
        <row r="97">
          <cell r="A97" t="str">
            <v>23420</v>
          </cell>
          <cell r="H97">
            <v>-14017248.880000001</v>
          </cell>
        </row>
        <row r="98">
          <cell r="A98" t="str">
            <v>23425</v>
          </cell>
          <cell r="H98">
            <v>-21499460.77</v>
          </cell>
        </row>
        <row r="99">
          <cell r="A99" t="str">
            <v>24010</v>
          </cell>
          <cell r="H99">
            <v>-25607417.210000001</v>
          </cell>
        </row>
        <row r="100">
          <cell r="A100" t="str">
            <v>24100</v>
          </cell>
          <cell r="H100">
            <v>-17752977.66</v>
          </cell>
        </row>
        <row r="101">
          <cell r="A101" t="str">
            <v>30005</v>
          </cell>
          <cell r="H101">
            <v>96238158.140000001</v>
          </cell>
        </row>
        <row r="102">
          <cell r="A102" t="str">
            <v>30035</v>
          </cell>
          <cell r="H102">
            <v>98964248.609999999</v>
          </cell>
        </row>
        <row r="103">
          <cell r="A103" t="str">
            <v>30040</v>
          </cell>
          <cell r="H103">
            <v>-107359858</v>
          </cell>
        </row>
        <row r="104">
          <cell r="A104" t="str">
            <v>30042</v>
          </cell>
          <cell r="H104">
            <v>-7359858</v>
          </cell>
        </row>
        <row r="105">
          <cell r="A105" t="str">
            <v>30043</v>
          </cell>
          <cell r="H105">
            <v>-114297251.5</v>
          </cell>
        </row>
        <row r="106">
          <cell r="A106" t="str">
            <v>30044</v>
          </cell>
          <cell r="H106">
            <v>-6573262400</v>
          </cell>
        </row>
        <row r="107">
          <cell r="A107" t="str">
            <v>32000</v>
          </cell>
          <cell r="H107">
            <v>628329247.54999995</v>
          </cell>
        </row>
        <row r="108">
          <cell r="A108" t="str">
            <v>40025</v>
          </cell>
          <cell r="H108">
            <v>0</v>
          </cell>
        </row>
        <row r="109">
          <cell r="A109" t="str">
            <v>40085</v>
          </cell>
          <cell r="H109">
            <v>-58776.08</v>
          </cell>
        </row>
        <row r="110">
          <cell r="A110" t="str">
            <v>40086</v>
          </cell>
          <cell r="H110">
            <v>22240712.84</v>
          </cell>
        </row>
        <row r="111">
          <cell r="A111" t="str">
            <v>40095</v>
          </cell>
          <cell r="H111">
            <v>0</v>
          </cell>
        </row>
        <row r="112">
          <cell r="A112" t="str">
            <v>40161</v>
          </cell>
          <cell r="H112">
            <v>-370592133.63</v>
          </cell>
        </row>
        <row r="113">
          <cell r="A113" t="str">
            <v>40162</v>
          </cell>
          <cell r="H113">
            <v>-151509898.69</v>
          </cell>
        </row>
        <row r="114">
          <cell r="A114" t="str">
            <v>40163</v>
          </cell>
          <cell r="H114">
            <v>-26958203.530000001</v>
          </cell>
        </row>
        <row r="115">
          <cell r="A115" t="str">
            <v>40166</v>
          </cell>
          <cell r="H115">
            <v>-57292.65</v>
          </cell>
        </row>
        <row r="116">
          <cell r="A116" t="str">
            <v>49300</v>
          </cell>
          <cell r="H116">
            <v>-3703903.61</v>
          </cell>
        </row>
        <row r="117">
          <cell r="A117" t="str">
            <v>49405</v>
          </cell>
          <cell r="H117">
            <v>0</v>
          </cell>
        </row>
        <row r="118">
          <cell r="A118" t="str">
            <v>50000</v>
          </cell>
          <cell r="H118">
            <v>0</v>
          </cell>
        </row>
        <row r="119">
          <cell r="A119" t="str">
            <v>53025</v>
          </cell>
          <cell r="H119">
            <v>78127784.150000006</v>
          </cell>
        </row>
        <row r="120">
          <cell r="A120" t="str">
            <v>53040</v>
          </cell>
          <cell r="H120">
            <v>106500</v>
          </cell>
        </row>
        <row r="121">
          <cell r="A121" t="str">
            <v>53045</v>
          </cell>
          <cell r="H121">
            <v>3212340.38</v>
          </cell>
        </row>
        <row r="122">
          <cell r="A122" t="str">
            <v>53055</v>
          </cell>
          <cell r="H122">
            <v>225440.42</v>
          </cell>
        </row>
        <row r="123">
          <cell r="A123" t="str">
            <v>53060</v>
          </cell>
          <cell r="H123">
            <v>14000</v>
          </cell>
        </row>
        <row r="124">
          <cell r="A124" t="str">
            <v>53074</v>
          </cell>
          <cell r="H124">
            <v>0</v>
          </cell>
        </row>
        <row r="125">
          <cell r="A125" t="str">
            <v>53075</v>
          </cell>
          <cell r="H125">
            <v>7500</v>
          </cell>
        </row>
        <row r="126">
          <cell r="A126" t="str">
            <v>53080</v>
          </cell>
          <cell r="H126">
            <v>1457302.79</v>
          </cell>
        </row>
        <row r="127">
          <cell r="A127" t="str">
            <v>53095</v>
          </cell>
          <cell r="H127">
            <v>-257.5</v>
          </cell>
        </row>
        <row r="128">
          <cell r="A128" t="str">
            <v>53120</v>
          </cell>
          <cell r="H128">
            <v>34301474.82</v>
          </cell>
        </row>
        <row r="129">
          <cell r="A129" t="str">
            <v>53140</v>
          </cell>
          <cell r="H129">
            <v>16436675.33</v>
          </cell>
        </row>
        <row r="130">
          <cell r="A130" t="str">
            <v>60010</v>
          </cell>
          <cell r="H130">
            <v>1611111.1</v>
          </cell>
        </row>
        <row r="131">
          <cell r="A131" t="str">
            <v>60020</v>
          </cell>
          <cell r="H131">
            <v>1247500</v>
          </cell>
        </row>
        <row r="132">
          <cell r="A132" t="str">
            <v>60025</v>
          </cell>
          <cell r="H132">
            <v>625000</v>
          </cell>
        </row>
        <row r="133">
          <cell r="A133" t="str">
            <v>60030</v>
          </cell>
          <cell r="H133">
            <v>172000</v>
          </cell>
        </row>
        <row r="134">
          <cell r="A134" t="str">
            <v>60045</v>
          </cell>
          <cell r="H134">
            <v>855000</v>
          </cell>
        </row>
        <row r="135">
          <cell r="A135" t="str">
            <v>60050</v>
          </cell>
          <cell r="H135">
            <v>1706090.77</v>
          </cell>
        </row>
        <row r="136">
          <cell r="A136" t="str">
            <v>60060</v>
          </cell>
          <cell r="H136">
            <v>21585001</v>
          </cell>
        </row>
        <row r="137">
          <cell r="A137" t="str">
            <v>60070</v>
          </cell>
          <cell r="H137">
            <v>210000</v>
          </cell>
        </row>
        <row r="138">
          <cell r="A138" t="str">
            <v>60080</v>
          </cell>
          <cell r="H138">
            <v>4041547.67</v>
          </cell>
        </row>
        <row r="139">
          <cell r="A139" t="str">
            <v>60085</v>
          </cell>
          <cell r="H139">
            <v>2458123.41</v>
          </cell>
        </row>
        <row r="140">
          <cell r="A140" t="str">
            <v>60095</v>
          </cell>
          <cell r="H140">
            <v>34290</v>
          </cell>
        </row>
        <row r="141">
          <cell r="A141" t="str">
            <v>60100</v>
          </cell>
          <cell r="H141">
            <v>0</v>
          </cell>
        </row>
        <row r="142">
          <cell r="A142" t="str">
            <v>60110</v>
          </cell>
          <cell r="H142">
            <v>200000</v>
          </cell>
        </row>
        <row r="143">
          <cell r="A143" t="str">
            <v>60115</v>
          </cell>
          <cell r="H143">
            <v>19809264.170000002</v>
          </cell>
        </row>
        <row r="144">
          <cell r="A144" t="str">
            <v>60200</v>
          </cell>
          <cell r="H144">
            <v>0</v>
          </cell>
        </row>
        <row r="145">
          <cell r="A145" t="str">
            <v>60201</v>
          </cell>
          <cell r="H145">
            <v>2606569.7799999998</v>
          </cell>
        </row>
        <row r="146">
          <cell r="A146" t="str">
            <v>60202</v>
          </cell>
          <cell r="H146">
            <v>0</v>
          </cell>
        </row>
        <row r="147">
          <cell r="A147" t="str">
            <v>60203</v>
          </cell>
          <cell r="H147">
            <v>0</v>
          </cell>
        </row>
        <row r="148">
          <cell r="A148" t="str">
            <v>60205</v>
          </cell>
          <cell r="H148">
            <v>414200.23</v>
          </cell>
        </row>
        <row r="149">
          <cell r="A149" t="str">
            <v>60206</v>
          </cell>
          <cell r="H149">
            <v>4408364.5999999996</v>
          </cell>
        </row>
        <row r="150">
          <cell r="A150" t="str">
            <v>60210</v>
          </cell>
          <cell r="H150">
            <v>19589850.420000002</v>
          </cell>
        </row>
        <row r="151">
          <cell r="A151" t="str">
            <v>60211</v>
          </cell>
          <cell r="H151">
            <v>880164.51</v>
          </cell>
        </row>
        <row r="152">
          <cell r="A152" t="str">
            <v>60213</v>
          </cell>
          <cell r="H152">
            <v>0</v>
          </cell>
        </row>
        <row r="153">
          <cell r="A153" t="str">
            <v>60217</v>
          </cell>
          <cell r="H153">
            <v>2170000</v>
          </cell>
        </row>
        <row r="154">
          <cell r="A154" t="str">
            <v>61100</v>
          </cell>
          <cell r="H154">
            <v>23770044.329999998</v>
          </cell>
        </row>
        <row r="155">
          <cell r="A155" t="str">
            <v>61310</v>
          </cell>
          <cell r="H155">
            <v>254192</v>
          </cell>
        </row>
        <row r="156">
          <cell r="A156" t="str">
            <v>61315</v>
          </cell>
          <cell r="H156">
            <v>77000</v>
          </cell>
        </row>
        <row r="157">
          <cell r="A157" t="str">
            <v>61320</v>
          </cell>
          <cell r="H157">
            <v>29901.71</v>
          </cell>
        </row>
        <row r="158">
          <cell r="A158" t="str">
            <v>61500</v>
          </cell>
          <cell r="H158">
            <v>6670700</v>
          </cell>
        </row>
        <row r="159">
          <cell r="A159" t="str">
            <v>61600</v>
          </cell>
          <cell r="H159">
            <v>1738530.45</v>
          </cell>
        </row>
        <row r="160">
          <cell r="A160" t="str">
            <v>61700</v>
          </cell>
          <cell r="H160">
            <v>-211616.61</v>
          </cell>
        </row>
        <row r="161">
          <cell r="A161" t="str">
            <v>62200</v>
          </cell>
          <cell r="H161">
            <v>0</v>
          </cell>
        </row>
        <row r="162">
          <cell r="A162" t="str">
            <v>62415</v>
          </cell>
          <cell r="H162">
            <v>424500</v>
          </cell>
        </row>
        <row r="163">
          <cell r="A163" t="str">
            <v>62420</v>
          </cell>
          <cell r="H163">
            <v>215893</v>
          </cell>
        </row>
        <row r="164">
          <cell r="A164" t="str">
            <v>62425</v>
          </cell>
          <cell r="H164">
            <v>86570</v>
          </cell>
        </row>
        <row r="165">
          <cell r="A165" t="str">
            <v>62435</v>
          </cell>
          <cell r="H165">
            <v>132500</v>
          </cell>
        </row>
        <row r="166">
          <cell r="A166" t="str">
            <v>62700</v>
          </cell>
          <cell r="H166">
            <v>15500779.170000002</v>
          </cell>
        </row>
        <row r="167">
          <cell r="A167" t="str">
            <v>63110</v>
          </cell>
          <cell r="H167">
            <v>119525</v>
          </cell>
        </row>
        <row r="168">
          <cell r="A168" t="str">
            <v>63120</v>
          </cell>
          <cell r="H168">
            <v>0</v>
          </cell>
        </row>
        <row r="169">
          <cell r="A169" t="str">
            <v>63125</v>
          </cell>
          <cell r="H169">
            <v>185900</v>
          </cell>
        </row>
        <row r="170">
          <cell r="A170" t="str">
            <v>63300</v>
          </cell>
          <cell r="H170">
            <v>883166.65</v>
          </cell>
        </row>
        <row r="171">
          <cell r="A171" t="str">
            <v>63907</v>
          </cell>
          <cell r="H171">
            <v>24406827.989999998</v>
          </cell>
        </row>
        <row r="172">
          <cell r="A172" t="str">
            <v>64000</v>
          </cell>
          <cell r="H172">
            <v>3724428.52</v>
          </cell>
        </row>
        <row r="173">
          <cell r="A173" t="str">
            <v>65000</v>
          </cell>
          <cell r="H173">
            <v>1124999.98</v>
          </cell>
        </row>
        <row r="174">
          <cell r="A174" t="str">
            <v>65007</v>
          </cell>
          <cell r="H174">
            <v>-2955914.9000000004</v>
          </cell>
        </row>
        <row r="175">
          <cell r="A175" t="str">
            <v>65015</v>
          </cell>
          <cell r="H175">
            <v>2600000</v>
          </cell>
        </row>
        <row r="176">
          <cell r="A176" t="str">
            <v>65031</v>
          </cell>
          <cell r="H176">
            <v>22064090.129999999</v>
          </cell>
        </row>
        <row r="177">
          <cell r="A177" t="str">
            <v>65032</v>
          </cell>
          <cell r="H177">
            <v>5180295.25</v>
          </cell>
        </row>
        <row r="178">
          <cell r="A178" t="str">
            <v>65035</v>
          </cell>
          <cell r="H178">
            <v>72114788.569999993</v>
          </cell>
        </row>
        <row r="179">
          <cell r="A179" t="str">
            <v>65036</v>
          </cell>
          <cell r="H179">
            <v>1333560.3199999998</v>
          </cell>
        </row>
        <row r="180">
          <cell r="A180" t="str">
            <v>65095</v>
          </cell>
          <cell r="H180">
            <v>3164917.69</v>
          </cell>
        </row>
        <row r="181">
          <cell r="A181" t="str">
            <v>65100</v>
          </cell>
          <cell r="H181">
            <v>6475369.0099999998</v>
          </cell>
        </row>
        <row r="182">
          <cell r="A182" t="str">
            <v>65800</v>
          </cell>
          <cell r="H182">
            <v>809123.72</v>
          </cell>
        </row>
        <row r="183">
          <cell r="A183" t="str">
            <v>67010</v>
          </cell>
          <cell r="H183">
            <v>11700000</v>
          </cell>
        </row>
        <row r="184">
          <cell r="A184" t="str">
            <v>67920</v>
          </cell>
          <cell r="H184">
            <v>-44091513.25</v>
          </cell>
        </row>
        <row r="185">
          <cell r="A185" t="str">
            <v>67940</v>
          </cell>
          <cell r="H185">
            <v>9.9999999999999985E-3</v>
          </cell>
        </row>
        <row r="186">
          <cell r="A186" t="str">
            <v>68500</v>
          </cell>
          <cell r="H186">
            <v>1666666.67</v>
          </cell>
        </row>
        <row r="187">
          <cell r="A187" t="str">
            <v>68503</v>
          </cell>
          <cell r="H187">
            <v>1473684.21</v>
          </cell>
        </row>
        <row r="188">
          <cell r="A188" t="str">
            <v>69600</v>
          </cell>
          <cell r="H188">
            <v>7840249.2000000002</v>
          </cell>
        </row>
        <row r="189">
          <cell r="A189" t="str">
            <v>69901</v>
          </cell>
          <cell r="H189">
            <v>8357590.9900000002</v>
          </cell>
        </row>
        <row r="190">
          <cell r="A190" t="str">
            <v>69903</v>
          </cell>
          <cell r="H190">
            <v>375900.5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95613.21</v>
          </cell>
        </row>
        <row r="7">
          <cell r="A7" t="str">
            <v>10104</v>
          </cell>
          <cell r="H7">
            <v>27406432.550000001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967076718.94000006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1057208.3899999999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189004855.61000001</v>
          </cell>
        </row>
        <row r="20">
          <cell r="A20" t="str">
            <v>10225</v>
          </cell>
          <cell r="H20">
            <v>17733270.440000001</v>
          </cell>
        </row>
        <row r="21">
          <cell r="A21" t="str">
            <v>10226</v>
          </cell>
          <cell r="H21">
            <v>1644368.78</v>
          </cell>
        </row>
        <row r="22">
          <cell r="A22" t="str">
            <v>10227</v>
          </cell>
          <cell r="H22">
            <v>13179854.52</v>
          </cell>
        </row>
        <row r="23">
          <cell r="A23" t="str">
            <v>10235</v>
          </cell>
          <cell r="H23">
            <v>1239105.92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178902338.38</v>
          </cell>
        </row>
        <row r="27">
          <cell r="A27" t="str">
            <v>10255</v>
          </cell>
          <cell r="H27">
            <v>2415181.73</v>
          </cell>
        </row>
        <row r="28">
          <cell r="A28" t="str">
            <v>10256</v>
          </cell>
          <cell r="H28">
            <v>1043398.65</v>
          </cell>
        </row>
        <row r="29">
          <cell r="A29" t="str">
            <v>10260</v>
          </cell>
          <cell r="H29">
            <v>0</v>
          </cell>
        </row>
        <row r="30">
          <cell r="A30" t="str">
            <v>10265</v>
          </cell>
          <cell r="H30">
            <v>3404394.98</v>
          </cell>
        </row>
        <row r="31">
          <cell r="A31" t="str">
            <v>10270</v>
          </cell>
          <cell r="H31">
            <v>370445.21</v>
          </cell>
        </row>
        <row r="32">
          <cell r="A32" t="str">
            <v>10280</v>
          </cell>
          <cell r="H32">
            <v>564653.84</v>
          </cell>
        </row>
        <row r="33">
          <cell r="A33" t="str">
            <v>10285</v>
          </cell>
          <cell r="H33">
            <v>745578.1</v>
          </cell>
        </row>
        <row r="34">
          <cell r="A34" t="str">
            <v>10293</v>
          </cell>
          <cell r="H34">
            <v>18194302.07</v>
          </cell>
        </row>
        <row r="35">
          <cell r="A35" t="str">
            <v>10305</v>
          </cell>
          <cell r="H35">
            <v>5687.28</v>
          </cell>
        </row>
        <row r="36">
          <cell r="A36" t="str">
            <v>10310</v>
          </cell>
          <cell r="H36">
            <v>5123343.75</v>
          </cell>
        </row>
        <row r="37">
          <cell r="A37" t="str">
            <v>10316</v>
          </cell>
          <cell r="H37">
            <v>8709749.3399999999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16537.849999999999</v>
          </cell>
        </row>
        <row r="41">
          <cell r="A41" t="str">
            <v>10342</v>
          </cell>
          <cell r="H41">
            <v>168342812.86000001</v>
          </cell>
        </row>
        <row r="42">
          <cell r="A42" t="str">
            <v>10343</v>
          </cell>
          <cell r="H42">
            <v>76070594.280000001</v>
          </cell>
        </row>
        <row r="43">
          <cell r="A43" t="str">
            <v>10344</v>
          </cell>
          <cell r="H43">
            <v>421685.06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162213.41</v>
          </cell>
        </row>
        <row r="46">
          <cell r="A46" t="str">
            <v>10752</v>
          </cell>
          <cell r="H46">
            <v>4618023</v>
          </cell>
        </row>
        <row r="47">
          <cell r="A47" t="str">
            <v>10801</v>
          </cell>
          <cell r="H47">
            <v>719229051.83000004</v>
          </cell>
        </row>
        <row r="48">
          <cell r="A48" t="str">
            <v>10803</v>
          </cell>
          <cell r="H48">
            <v>2044.37</v>
          </cell>
        </row>
        <row r="49">
          <cell r="A49" t="str">
            <v>11000</v>
          </cell>
          <cell r="H49">
            <v>738813643.82000005</v>
          </cell>
        </row>
        <row r="50">
          <cell r="A50" t="str">
            <v>12100</v>
          </cell>
          <cell r="H50">
            <v>46325431.140000001</v>
          </cell>
        </row>
        <row r="51">
          <cell r="A51" t="str">
            <v>13002</v>
          </cell>
          <cell r="H51">
            <v>1440000</v>
          </cell>
        </row>
        <row r="52">
          <cell r="A52" t="str">
            <v>13003</v>
          </cell>
          <cell r="H52">
            <v>13112691.93</v>
          </cell>
        </row>
        <row r="53">
          <cell r="A53" t="str">
            <v>13004</v>
          </cell>
          <cell r="H53">
            <v>4418410.5</v>
          </cell>
        </row>
        <row r="54">
          <cell r="A54" t="str">
            <v>13010</v>
          </cell>
          <cell r="H54">
            <v>20908420.219999999</v>
          </cell>
        </row>
        <row r="55">
          <cell r="A55" t="str">
            <v>13023</v>
          </cell>
          <cell r="H55">
            <v>367380</v>
          </cell>
        </row>
        <row r="56">
          <cell r="A56" t="str">
            <v>13024</v>
          </cell>
          <cell r="H56">
            <v>5297817.95</v>
          </cell>
        </row>
        <row r="57">
          <cell r="A57" t="str">
            <v>13116</v>
          </cell>
          <cell r="H57">
            <v>32500</v>
          </cell>
        </row>
        <row r="58">
          <cell r="A58" t="str">
            <v>13120</v>
          </cell>
          <cell r="H58">
            <v>255411621.47999999</v>
          </cell>
        </row>
        <row r="59">
          <cell r="A59" t="str">
            <v>13130</v>
          </cell>
          <cell r="H59">
            <v>8470948.4600000009</v>
          </cell>
        </row>
        <row r="60">
          <cell r="A60" t="str">
            <v>13135</v>
          </cell>
          <cell r="H60">
            <v>0.13</v>
          </cell>
        </row>
        <row r="61">
          <cell r="A61" t="str">
            <v>13200</v>
          </cell>
          <cell r="H61">
            <v>888624.08</v>
          </cell>
        </row>
        <row r="62">
          <cell r="A62" t="str">
            <v>13400</v>
          </cell>
          <cell r="H62">
            <v>535628490.38999999</v>
          </cell>
        </row>
        <row r="63">
          <cell r="A63" t="str">
            <v>14000</v>
          </cell>
          <cell r="H63">
            <v>-618013830.13999999</v>
          </cell>
        </row>
        <row r="64">
          <cell r="A64" t="str">
            <v>14001</v>
          </cell>
          <cell r="H64">
            <v>-549422384.96000004</v>
          </cell>
        </row>
        <row r="65">
          <cell r="A65" t="str">
            <v>14010</v>
          </cell>
          <cell r="H65">
            <v>5801094.4100000001</v>
          </cell>
        </row>
        <row r="66">
          <cell r="A66" t="str">
            <v>14016</v>
          </cell>
          <cell r="H66">
            <v>24786952.16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36071942.920000002</v>
          </cell>
        </row>
        <row r="69">
          <cell r="A69" t="str">
            <v>15100</v>
          </cell>
          <cell r="H69">
            <v>5141700</v>
          </cell>
        </row>
        <row r="70">
          <cell r="A70" t="str">
            <v>15200</v>
          </cell>
          <cell r="H70">
            <v>350267006.66000003</v>
          </cell>
        </row>
        <row r="71">
          <cell r="A71" t="str">
            <v>15300</v>
          </cell>
          <cell r="H71">
            <v>26275780.25</v>
          </cell>
        </row>
        <row r="72">
          <cell r="A72" t="str">
            <v>15400</v>
          </cell>
          <cell r="H72">
            <v>186936657.31</v>
          </cell>
        </row>
        <row r="73">
          <cell r="A73" t="str">
            <v>15500</v>
          </cell>
          <cell r="H73">
            <v>61627057.890000001</v>
          </cell>
        </row>
        <row r="74">
          <cell r="A74" t="str">
            <v>15501</v>
          </cell>
          <cell r="H74">
            <v>643385951.24000001</v>
          </cell>
        </row>
        <row r="75">
          <cell r="A75" t="str">
            <v>15509</v>
          </cell>
          <cell r="H75">
            <v>11400000</v>
          </cell>
        </row>
        <row r="76">
          <cell r="A76" t="str">
            <v>15510</v>
          </cell>
          <cell r="H76">
            <v>1587533938.73</v>
          </cell>
        </row>
        <row r="77">
          <cell r="A77" t="str">
            <v>15511</v>
          </cell>
          <cell r="H77">
            <v>107697884.17</v>
          </cell>
        </row>
        <row r="78">
          <cell r="A78" t="str">
            <v>16000</v>
          </cell>
          <cell r="H78">
            <v>-28340036.850000001</v>
          </cell>
        </row>
        <row r="79">
          <cell r="A79" t="str">
            <v>16100</v>
          </cell>
          <cell r="H79">
            <v>-3676161.31</v>
          </cell>
        </row>
        <row r="80">
          <cell r="A80" t="str">
            <v>16200</v>
          </cell>
          <cell r="H80">
            <v>-245611256.56999999</v>
          </cell>
        </row>
        <row r="81">
          <cell r="A81" t="str">
            <v>16300</v>
          </cell>
          <cell r="H81">
            <v>-16660387.51</v>
          </cell>
        </row>
        <row r="82">
          <cell r="A82" t="str">
            <v>19007</v>
          </cell>
          <cell r="H82">
            <v>1045035989.16</v>
          </cell>
        </row>
        <row r="83">
          <cell r="A83" t="str">
            <v>69904</v>
          </cell>
          <cell r="H83">
            <v>-38868754.759999998</v>
          </cell>
        </row>
        <row r="84">
          <cell r="A84" t="str">
            <v>69905</v>
          </cell>
          <cell r="H84">
            <v>-3589929.48</v>
          </cell>
        </row>
        <row r="85">
          <cell r="A85" t="str">
            <v>89906</v>
          </cell>
          <cell r="H85">
            <v>-10723099.18</v>
          </cell>
        </row>
        <row r="86">
          <cell r="A86" t="str">
            <v>20000</v>
          </cell>
          <cell r="H86">
            <v>-327753736.88999999</v>
          </cell>
        </row>
        <row r="87">
          <cell r="A87" t="str">
            <v>20005</v>
          </cell>
          <cell r="H87">
            <v>-80168716.980000004</v>
          </cell>
        </row>
        <row r="88">
          <cell r="A88" t="str">
            <v>20010</v>
          </cell>
          <cell r="H88">
            <v>-9675000</v>
          </cell>
        </row>
        <row r="89">
          <cell r="A89" t="str">
            <v>22100</v>
          </cell>
          <cell r="H89">
            <v>-8876353.4199999999</v>
          </cell>
        </row>
        <row r="90">
          <cell r="A90" t="str">
            <v>23000</v>
          </cell>
          <cell r="H90">
            <v>-845259739.67999995</v>
          </cell>
        </row>
        <row r="91">
          <cell r="A91" t="str">
            <v>23001</v>
          </cell>
          <cell r="H91">
            <v>17873572.030000001</v>
          </cell>
        </row>
        <row r="92">
          <cell r="A92" t="str">
            <v>23010</v>
          </cell>
          <cell r="H92">
            <v>-245825486.12</v>
          </cell>
        </row>
        <row r="93">
          <cell r="A93" t="str">
            <v>23015</v>
          </cell>
          <cell r="H93">
            <v>-4895555.88</v>
          </cell>
        </row>
        <row r="94">
          <cell r="A94" t="str">
            <v>23040</v>
          </cell>
          <cell r="H94">
            <v>-24134155.350000001</v>
          </cell>
        </row>
        <row r="95">
          <cell r="A95" t="str">
            <v>23400</v>
          </cell>
          <cell r="H95">
            <v>-78371661.859999999</v>
          </cell>
        </row>
        <row r="96">
          <cell r="A96" t="str">
            <v>23420</v>
          </cell>
          <cell r="H96">
            <v>-11597206.380000001</v>
          </cell>
        </row>
        <row r="97">
          <cell r="A97" t="str">
            <v>23425</v>
          </cell>
          <cell r="H97">
            <v>-21499460.77</v>
          </cell>
        </row>
        <row r="98">
          <cell r="A98" t="str">
            <v>24010</v>
          </cell>
          <cell r="H98">
            <v>-25141844.809999999</v>
          </cell>
        </row>
        <row r="99">
          <cell r="A99" t="str">
            <v>24100</v>
          </cell>
          <cell r="H99">
            <v>-17752977.66</v>
          </cell>
        </row>
        <row r="100">
          <cell r="A100" t="str">
            <v>30005</v>
          </cell>
          <cell r="H100">
            <v>96238158.140000001</v>
          </cell>
        </row>
        <row r="101">
          <cell r="A101" t="str">
            <v>30035</v>
          </cell>
          <cell r="H101">
            <v>98964248.609999999</v>
          </cell>
        </row>
        <row r="102">
          <cell r="A102" t="str">
            <v>30040</v>
          </cell>
          <cell r="H102">
            <v>-107359858</v>
          </cell>
        </row>
        <row r="103">
          <cell r="A103" t="str">
            <v>30042</v>
          </cell>
          <cell r="H103">
            <v>-7359858</v>
          </cell>
        </row>
        <row r="104">
          <cell r="A104" t="str">
            <v>30043</v>
          </cell>
          <cell r="H104">
            <v>-114297251.5</v>
          </cell>
        </row>
        <row r="105">
          <cell r="A105" t="str">
            <v>30044</v>
          </cell>
          <cell r="H105">
            <v>-6573262400</v>
          </cell>
        </row>
        <row r="106">
          <cell r="A106" t="str">
            <v>32000</v>
          </cell>
          <cell r="H106">
            <v>628329247.54999995</v>
          </cell>
        </row>
        <row r="107">
          <cell r="A107" t="str">
            <v>40025</v>
          </cell>
          <cell r="H107">
            <v>0</v>
          </cell>
        </row>
        <row r="108">
          <cell r="A108" t="str">
            <v>40085</v>
          </cell>
          <cell r="H108">
            <v>-63750.67</v>
          </cell>
        </row>
        <row r="109">
          <cell r="A109" t="str">
            <v>40095</v>
          </cell>
          <cell r="H109">
            <v>-8093023.2599999998</v>
          </cell>
        </row>
        <row r="110">
          <cell r="A110" t="str">
            <v>40161</v>
          </cell>
          <cell r="H110">
            <v>-587609832.84000003</v>
          </cell>
        </row>
        <row r="111">
          <cell r="A111" t="str">
            <v>40162</v>
          </cell>
          <cell r="H111">
            <v>-144469368.19</v>
          </cell>
        </row>
        <row r="112">
          <cell r="A112" t="str">
            <v>40163</v>
          </cell>
          <cell r="H112">
            <v>-16963638.57</v>
          </cell>
        </row>
        <row r="113">
          <cell r="A113" t="str">
            <v>40166</v>
          </cell>
          <cell r="H113">
            <v>-57318.349999999991</v>
          </cell>
        </row>
        <row r="114">
          <cell r="A114" t="str">
            <v>49300</v>
          </cell>
          <cell r="H114">
            <v>-22252736.030000001</v>
          </cell>
        </row>
        <row r="115">
          <cell r="A115" t="str">
            <v>50000</v>
          </cell>
          <cell r="H115">
            <v>8272398.5999999996</v>
          </cell>
        </row>
        <row r="116">
          <cell r="A116" t="str">
            <v>53025</v>
          </cell>
          <cell r="H116">
            <v>65349879.950000003</v>
          </cell>
        </row>
        <row r="117">
          <cell r="A117" t="str">
            <v>53040</v>
          </cell>
          <cell r="H117">
            <v>85000</v>
          </cell>
        </row>
        <row r="118">
          <cell r="A118" t="str">
            <v>53045</v>
          </cell>
          <cell r="H118">
            <v>2958968.88</v>
          </cell>
        </row>
        <row r="119">
          <cell r="A119" t="str">
            <v>53055</v>
          </cell>
          <cell r="H119">
            <v>225440.42</v>
          </cell>
        </row>
        <row r="120">
          <cell r="A120" t="str">
            <v>53060</v>
          </cell>
          <cell r="H120">
            <v>13000</v>
          </cell>
        </row>
        <row r="121">
          <cell r="A121" t="str">
            <v>53074</v>
          </cell>
          <cell r="H121">
            <v>10161.25</v>
          </cell>
        </row>
        <row r="122">
          <cell r="A122" t="str">
            <v>53075</v>
          </cell>
          <cell r="H122">
            <v>30000</v>
          </cell>
        </row>
        <row r="123">
          <cell r="A123" t="str">
            <v>53080</v>
          </cell>
          <cell r="H123">
            <v>37893.75</v>
          </cell>
        </row>
        <row r="124">
          <cell r="A124" t="str">
            <v>53095</v>
          </cell>
          <cell r="H124">
            <v>23400</v>
          </cell>
        </row>
        <row r="125">
          <cell r="A125" t="str">
            <v>53120</v>
          </cell>
          <cell r="H125">
            <v>34728853.140000001</v>
          </cell>
        </row>
        <row r="126">
          <cell r="A126" t="str">
            <v>53140</v>
          </cell>
          <cell r="H126">
            <v>21723342</v>
          </cell>
        </row>
        <row r="127">
          <cell r="A127" t="str">
            <v>60010</v>
          </cell>
          <cell r="H127">
            <v>1611111.1</v>
          </cell>
        </row>
        <row r="128">
          <cell r="A128" t="str">
            <v>60020</v>
          </cell>
          <cell r="H128">
            <v>11700500</v>
          </cell>
        </row>
        <row r="129">
          <cell r="A129" t="str">
            <v>60025</v>
          </cell>
          <cell r="H129">
            <v>1371000</v>
          </cell>
        </row>
        <row r="130">
          <cell r="A130" t="str">
            <v>60045</v>
          </cell>
          <cell r="H130">
            <v>855000</v>
          </cell>
        </row>
        <row r="131">
          <cell r="A131" t="str">
            <v>60050</v>
          </cell>
          <cell r="H131">
            <v>2213454.5</v>
          </cell>
        </row>
        <row r="132">
          <cell r="A132" t="str">
            <v>60060</v>
          </cell>
          <cell r="H132">
            <v>17348227.850000001</v>
          </cell>
        </row>
        <row r="133">
          <cell r="A133" t="str">
            <v>60070</v>
          </cell>
          <cell r="H133">
            <v>136505.62</v>
          </cell>
        </row>
        <row r="134">
          <cell r="A134" t="str">
            <v>60080</v>
          </cell>
          <cell r="H134">
            <v>4453171.05</v>
          </cell>
        </row>
        <row r="135">
          <cell r="A135" t="str">
            <v>60085</v>
          </cell>
          <cell r="H135">
            <v>1638686.22</v>
          </cell>
        </row>
        <row r="136">
          <cell r="A136" t="str">
            <v>60095</v>
          </cell>
          <cell r="H136">
            <v>-34290</v>
          </cell>
        </row>
        <row r="137">
          <cell r="A137" t="str">
            <v>60100</v>
          </cell>
          <cell r="H137">
            <v>0</v>
          </cell>
        </row>
        <row r="138">
          <cell r="A138" t="str">
            <v>60115</v>
          </cell>
          <cell r="H138">
            <v>19560383.16</v>
          </cell>
        </row>
        <row r="139">
          <cell r="A139" t="str">
            <v>60200</v>
          </cell>
          <cell r="H139">
            <v>375000</v>
          </cell>
        </row>
        <row r="140">
          <cell r="A140" t="str">
            <v>60201</v>
          </cell>
          <cell r="H140">
            <v>3526013.63</v>
          </cell>
        </row>
        <row r="141">
          <cell r="A141" t="str">
            <v>60202</v>
          </cell>
          <cell r="H141">
            <v>0</v>
          </cell>
        </row>
        <row r="142">
          <cell r="A142" t="str">
            <v>60203</v>
          </cell>
          <cell r="H142">
            <v>0</v>
          </cell>
        </row>
        <row r="143">
          <cell r="A143" t="str">
            <v>60205</v>
          </cell>
          <cell r="H143">
            <v>238854.75</v>
          </cell>
        </row>
        <row r="144">
          <cell r="A144" t="str">
            <v>60206</v>
          </cell>
          <cell r="H144">
            <v>2464477.5</v>
          </cell>
        </row>
        <row r="145">
          <cell r="A145" t="str">
            <v>60210</v>
          </cell>
          <cell r="H145">
            <v>10809863.960000001</v>
          </cell>
        </row>
        <row r="146">
          <cell r="A146" t="str">
            <v>60211</v>
          </cell>
          <cell r="H146">
            <v>211996.79999999999</v>
          </cell>
        </row>
        <row r="147">
          <cell r="A147" t="str">
            <v>60213</v>
          </cell>
          <cell r="H147">
            <v>150000</v>
          </cell>
        </row>
        <row r="148">
          <cell r="A148" t="str">
            <v>61100</v>
          </cell>
          <cell r="H148">
            <v>434465.09</v>
          </cell>
        </row>
        <row r="149">
          <cell r="A149" t="str">
            <v>61310</v>
          </cell>
          <cell r="H149">
            <v>241424</v>
          </cell>
        </row>
        <row r="150">
          <cell r="A150" t="str">
            <v>61315</v>
          </cell>
          <cell r="H150">
            <v>5000</v>
          </cell>
        </row>
        <row r="151">
          <cell r="A151" t="str">
            <v>61320</v>
          </cell>
          <cell r="H151">
            <v>39901.71</v>
          </cell>
        </row>
        <row r="152">
          <cell r="A152" t="str">
            <v>61500</v>
          </cell>
          <cell r="H152">
            <v>3839250</v>
          </cell>
        </row>
        <row r="153">
          <cell r="A153" t="str">
            <v>61600</v>
          </cell>
          <cell r="H153">
            <v>1703530.45</v>
          </cell>
        </row>
        <row r="154">
          <cell r="A154" t="str">
            <v>61700</v>
          </cell>
          <cell r="H154">
            <v>676175.06</v>
          </cell>
        </row>
        <row r="155">
          <cell r="A155" t="str">
            <v>62200</v>
          </cell>
          <cell r="H155">
            <v>0</v>
          </cell>
        </row>
        <row r="156">
          <cell r="A156" t="str">
            <v>62415</v>
          </cell>
          <cell r="H156">
            <v>40000</v>
          </cell>
        </row>
        <row r="157">
          <cell r="A157" t="str">
            <v>62420</v>
          </cell>
          <cell r="H157">
            <v>14500</v>
          </cell>
        </row>
        <row r="158">
          <cell r="A158" t="str">
            <v>62425</v>
          </cell>
          <cell r="H158">
            <v>0</v>
          </cell>
        </row>
        <row r="159">
          <cell r="A159" t="str">
            <v>62435</v>
          </cell>
          <cell r="H159">
            <v>0</v>
          </cell>
        </row>
        <row r="160">
          <cell r="A160" t="str">
            <v>62700</v>
          </cell>
          <cell r="H160">
            <v>7490135.2300000004</v>
          </cell>
        </row>
        <row r="161">
          <cell r="A161" t="str">
            <v>63110</v>
          </cell>
          <cell r="H161">
            <v>122900</v>
          </cell>
        </row>
        <row r="162">
          <cell r="A162" t="str">
            <v>63120</v>
          </cell>
          <cell r="H162">
            <v>0</v>
          </cell>
        </row>
        <row r="163">
          <cell r="A163" t="str">
            <v>63125</v>
          </cell>
          <cell r="H163">
            <v>181380</v>
          </cell>
        </row>
        <row r="164">
          <cell r="A164" t="str">
            <v>63200</v>
          </cell>
          <cell r="H164">
            <v>0</v>
          </cell>
        </row>
        <row r="165">
          <cell r="A165" t="str">
            <v>63300</v>
          </cell>
          <cell r="H165">
            <v>895654.14999999991</v>
          </cell>
        </row>
        <row r="166">
          <cell r="A166" t="str">
            <v>63907</v>
          </cell>
          <cell r="H166">
            <v>24122436.350000001</v>
          </cell>
        </row>
        <row r="167">
          <cell r="A167" t="str">
            <v>64000</v>
          </cell>
          <cell r="H167">
            <v>3941772.06</v>
          </cell>
        </row>
        <row r="168">
          <cell r="A168" t="str">
            <v>65000</v>
          </cell>
          <cell r="H168">
            <v>1124999.98</v>
          </cell>
        </row>
        <row r="169">
          <cell r="A169" t="str">
            <v>65007</v>
          </cell>
          <cell r="H169">
            <v>-2814400.8800000008</v>
          </cell>
        </row>
        <row r="170">
          <cell r="A170" t="str">
            <v>65031</v>
          </cell>
          <cell r="H170">
            <v>22348070.48</v>
          </cell>
        </row>
        <row r="171">
          <cell r="A171" t="str">
            <v>65032</v>
          </cell>
          <cell r="H171">
            <v>5222915.91</v>
          </cell>
        </row>
        <row r="172">
          <cell r="A172" t="str">
            <v>65035</v>
          </cell>
          <cell r="H172">
            <v>71316126.299999997</v>
          </cell>
        </row>
        <row r="173">
          <cell r="A173" t="str">
            <v>65036</v>
          </cell>
          <cell r="H173">
            <v>1303600.6200000001</v>
          </cell>
        </row>
        <row r="174">
          <cell r="A174" t="str">
            <v>65095</v>
          </cell>
          <cell r="H174">
            <v>2959533.18</v>
          </cell>
        </row>
        <row r="175">
          <cell r="A175" t="str">
            <v>65100</v>
          </cell>
          <cell r="H175">
            <v>6528644.8399999999</v>
          </cell>
        </row>
        <row r="176">
          <cell r="A176" t="str">
            <v>65800</v>
          </cell>
          <cell r="H176">
            <v>0</v>
          </cell>
        </row>
        <row r="177">
          <cell r="A177" t="str">
            <v>67000</v>
          </cell>
          <cell r="H177">
            <v>0</v>
          </cell>
        </row>
        <row r="178">
          <cell r="A178" t="str">
            <v>67920</v>
          </cell>
          <cell r="H178">
            <v>47154879.780000001</v>
          </cell>
        </row>
        <row r="179">
          <cell r="A179" t="str">
            <v>67940</v>
          </cell>
          <cell r="H179">
            <v>-1.9999999999999997E-2</v>
          </cell>
        </row>
        <row r="180">
          <cell r="A180" t="str">
            <v>68500</v>
          </cell>
          <cell r="H180">
            <v>1666666.67</v>
          </cell>
        </row>
        <row r="181">
          <cell r="A181" t="str">
            <v>69600</v>
          </cell>
          <cell r="H181">
            <v>6925230.2699999996</v>
          </cell>
        </row>
        <row r="182">
          <cell r="A182" t="str">
            <v>69901</v>
          </cell>
          <cell r="H182">
            <v>8357590.9900000002</v>
          </cell>
        </row>
        <row r="183">
          <cell r="A183" t="str">
            <v>69903</v>
          </cell>
          <cell r="H183">
            <v>388473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</sheetData>
      <sheetData sheetId="1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36574.46</v>
          </cell>
        </row>
        <row r="7">
          <cell r="A7" t="str">
            <v>10104</v>
          </cell>
          <cell r="H7">
            <v>12074464.710000001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967076718.94000006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1057208.3899999999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100100462.55</v>
          </cell>
        </row>
        <row r="20">
          <cell r="A20" t="str">
            <v>10225</v>
          </cell>
          <cell r="H20">
            <v>37535911.219999999</v>
          </cell>
        </row>
        <row r="21">
          <cell r="A21" t="str">
            <v>10226</v>
          </cell>
          <cell r="H21">
            <v>4180635.76</v>
          </cell>
        </row>
        <row r="22">
          <cell r="A22" t="str">
            <v>10227</v>
          </cell>
          <cell r="H22">
            <v>12556610.67</v>
          </cell>
        </row>
        <row r="23">
          <cell r="A23" t="str">
            <v>10235</v>
          </cell>
          <cell r="H23">
            <v>1239105.92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70837683.010000005</v>
          </cell>
        </row>
        <row r="27">
          <cell r="A27" t="str">
            <v>10255</v>
          </cell>
          <cell r="H27">
            <v>2505446.29</v>
          </cell>
        </row>
        <row r="28">
          <cell r="A28" t="str">
            <v>10256</v>
          </cell>
          <cell r="H28">
            <v>1066940.83</v>
          </cell>
        </row>
        <row r="29">
          <cell r="A29" t="str">
            <v>10265</v>
          </cell>
          <cell r="H29">
            <v>3377453.16</v>
          </cell>
        </row>
        <row r="30">
          <cell r="A30" t="str">
            <v>10270</v>
          </cell>
          <cell r="H30">
            <v>1170660.21</v>
          </cell>
        </row>
        <row r="31">
          <cell r="A31" t="str">
            <v>10280</v>
          </cell>
          <cell r="H31">
            <v>564653.84</v>
          </cell>
        </row>
        <row r="32">
          <cell r="A32" t="str">
            <v>10285</v>
          </cell>
          <cell r="H32">
            <v>745578.1</v>
          </cell>
        </row>
        <row r="33">
          <cell r="A33" t="str">
            <v>10293</v>
          </cell>
          <cell r="H33">
            <v>18603515.370000001</v>
          </cell>
        </row>
        <row r="34">
          <cell r="A34" t="str">
            <v>10305</v>
          </cell>
          <cell r="H34">
            <v>5687.28</v>
          </cell>
        </row>
        <row r="35">
          <cell r="A35" t="str">
            <v>10310</v>
          </cell>
          <cell r="H35">
            <v>155209.62</v>
          </cell>
        </row>
        <row r="36">
          <cell r="A36" t="str">
            <v>10316</v>
          </cell>
          <cell r="H36">
            <v>7054104.6100000003</v>
          </cell>
        </row>
        <row r="37">
          <cell r="A37" t="str">
            <v>10317</v>
          </cell>
          <cell r="H37">
            <v>101797.4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93161.85</v>
          </cell>
        </row>
        <row r="40">
          <cell r="A40" t="str">
            <v>10342</v>
          </cell>
          <cell r="H40">
            <v>3578388.69</v>
          </cell>
        </row>
        <row r="41">
          <cell r="A41" t="str">
            <v>10343</v>
          </cell>
          <cell r="H41">
            <v>15598221.199999999</v>
          </cell>
        </row>
        <row r="42">
          <cell r="A42" t="str">
            <v>10344</v>
          </cell>
          <cell r="H42">
            <v>262736.65999999997</v>
          </cell>
        </row>
        <row r="43">
          <cell r="A43" t="str">
            <v>10348</v>
          </cell>
          <cell r="H43">
            <v>0.01</v>
          </cell>
        </row>
        <row r="44">
          <cell r="A44" t="str">
            <v>10497</v>
          </cell>
          <cell r="H44">
            <v>162226.29999999999</v>
          </cell>
        </row>
        <row r="45">
          <cell r="A45" t="str">
            <v>10752</v>
          </cell>
          <cell r="H45">
            <v>4813306.5</v>
          </cell>
        </row>
        <row r="46">
          <cell r="A46" t="str">
            <v>10801</v>
          </cell>
          <cell r="H46">
            <v>183372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470028366.91000003</v>
          </cell>
        </row>
        <row r="49">
          <cell r="A49" t="str">
            <v>11020</v>
          </cell>
          <cell r="H49">
            <v>0</v>
          </cell>
        </row>
        <row r="50">
          <cell r="A50" t="str">
            <v>12100</v>
          </cell>
          <cell r="H50">
            <v>54597829.740000002</v>
          </cell>
        </row>
        <row r="51">
          <cell r="A51" t="str">
            <v>13002</v>
          </cell>
          <cell r="H51">
            <v>1440000</v>
          </cell>
        </row>
        <row r="52">
          <cell r="A52" t="str">
            <v>13003</v>
          </cell>
          <cell r="H52">
            <v>128672575.05</v>
          </cell>
        </row>
        <row r="53">
          <cell r="A53" t="str">
            <v>13004</v>
          </cell>
          <cell r="H53">
            <v>732616.21</v>
          </cell>
        </row>
        <row r="54">
          <cell r="A54" t="str">
            <v>13010</v>
          </cell>
          <cell r="H54">
            <v>25131566.940000001</v>
          </cell>
        </row>
        <row r="55">
          <cell r="A55" t="str">
            <v>13023</v>
          </cell>
          <cell r="H55">
            <v>1000002</v>
          </cell>
        </row>
        <row r="56">
          <cell r="A56" t="str">
            <v>13116</v>
          </cell>
          <cell r="H56">
            <v>41100</v>
          </cell>
        </row>
        <row r="57">
          <cell r="A57" t="str">
            <v>13120</v>
          </cell>
          <cell r="H57">
            <v>289937689.69</v>
          </cell>
        </row>
        <row r="58">
          <cell r="A58" t="str">
            <v>13130</v>
          </cell>
          <cell r="H58">
            <v>11041151.869999999</v>
          </cell>
        </row>
        <row r="59">
          <cell r="A59" t="str">
            <v>13135</v>
          </cell>
          <cell r="H59">
            <v>2327777.88</v>
          </cell>
        </row>
        <row r="60">
          <cell r="A60" t="str">
            <v>13200</v>
          </cell>
          <cell r="H60">
            <v>1051374.0800000001</v>
          </cell>
        </row>
        <row r="61">
          <cell r="A61" t="str">
            <v>13400</v>
          </cell>
          <cell r="H61">
            <v>533116438.38999999</v>
          </cell>
        </row>
        <row r="62">
          <cell r="A62" t="str">
            <v>14000</v>
          </cell>
          <cell r="H62">
            <v>-622215929.97000003</v>
          </cell>
        </row>
        <row r="63">
          <cell r="A63" t="str">
            <v>14001</v>
          </cell>
          <cell r="H63">
            <v>-565467348.90999997</v>
          </cell>
        </row>
        <row r="64">
          <cell r="A64" t="str">
            <v>14010</v>
          </cell>
          <cell r="H64">
            <v>3717159.41</v>
          </cell>
        </row>
        <row r="65">
          <cell r="A65" t="str">
            <v>14016</v>
          </cell>
          <cell r="H65">
            <v>24786952.16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36071942.920000002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345909006.66000003</v>
          </cell>
        </row>
        <row r="70">
          <cell r="A70" t="str">
            <v>15300</v>
          </cell>
          <cell r="H70">
            <v>25560780.25</v>
          </cell>
        </row>
        <row r="71">
          <cell r="A71" t="str">
            <v>15400</v>
          </cell>
          <cell r="H71">
            <v>186936657.31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643385951.24000001</v>
          </cell>
        </row>
        <row r="74">
          <cell r="A74" t="str">
            <v>15509</v>
          </cell>
          <cell r="H74">
            <v>11400000</v>
          </cell>
        </row>
        <row r="75">
          <cell r="A75" t="str">
            <v>15510</v>
          </cell>
          <cell r="H75">
            <v>1582904816.3800001</v>
          </cell>
        </row>
        <row r="76">
          <cell r="A76" t="str">
            <v>15511</v>
          </cell>
          <cell r="H76">
            <v>107697884.17</v>
          </cell>
        </row>
        <row r="77">
          <cell r="A77" t="str">
            <v>16000</v>
          </cell>
          <cell r="H77">
            <v>-28229212.440000001</v>
          </cell>
        </row>
        <row r="78">
          <cell r="A78" t="str">
            <v>16100</v>
          </cell>
          <cell r="H78">
            <v>-3644980.06</v>
          </cell>
        </row>
        <row r="79">
          <cell r="A79" t="str">
            <v>16200</v>
          </cell>
          <cell r="H79">
            <v>-242100948.5</v>
          </cell>
        </row>
        <row r="80">
          <cell r="A80" t="str">
            <v>16300</v>
          </cell>
          <cell r="H80">
            <v>-16370929.18</v>
          </cell>
        </row>
        <row r="81">
          <cell r="A81" t="str">
            <v>19007</v>
          </cell>
          <cell r="H81">
            <v>1921410970.8900001</v>
          </cell>
        </row>
        <row r="82">
          <cell r="A82" t="str">
            <v>69904</v>
          </cell>
          <cell r="H82">
            <v>-37667678.100000001</v>
          </cell>
        </row>
        <row r="83">
          <cell r="A83" t="str">
            <v>69905</v>
          </cell>
          <cell r="H83">
            <v>-1794964.74</v>
          </cell>
        </row>
        <row r="84">
          <cell r="A84" t="str">
            <v>89906</v>
          </cell>
          <cell r="H84">
            <v>-5361549.59</v>
          </cell>
        </row>
        <row r="85">
          <cell r="A85" t="str">
            <v>20000</v>
          </cell>
          <cell r="H85">
            <v>-328877586.88999999</v>
          </cell>
        </row>
        <row r="86">
          <cell r="A86" t="str">
            <v>20005</v>
          </cell>
          <cell r="H86">
            <v>-81225092.019999996</v>
          </cell>
        </row>
        <row r="87">
          <cell r="A87" t="str">
            <v>20010</v>
          </cell>
          <cell r="H87">
            <v>-9675000</v>
          </cell>
        </row>
        <row r="88">
          <cell r="A88" t="str">
            <v>22100</v>
          </cell>
          <cell r="H88">
            <v>-8876353.4199999999</v>
          </cell>
        </row>
        <row r="89">
          <cell r="A89" t="str">
            <v>23000</v>
          </cell>
          <cell r="H89">
            <v>-845198400.58000004</v>
          </cell>
        </row>
        <row r="90">
          <cell r="A90" t="str">
            <v>23001</v>
          </cell>
          <cell r="H90">
            <v>1030820.56</v>
          </cell>
        </row>
        <row r="91">
          <cell r="A91" t="str">
            <v>23010</v>
          </cell>
          <cell r="H91">
            <v>-226229912.94</v>
          </cell>
        </row>
        <row r="92">
          <cell r="A92" t="str">
            <v>23015</v>
          </cell>
          <cell r="H92">
            <v>-1120945.1599999999</v>
          </cell>
        </row>
        <row r="93">
          <cell r="A93" t="str">
            <v>23040</v>
          </cell>
          <cell r="H93">
            <v>-12298560.84</v>
          </cell>
        </row>
        <row r="94">
          <cell r="A94" t="str">
            <v>23400</v>
          </cell>
          <cell r="H94">
            <v>-49738940.270000003</v>
          </cell>
        </row>
        <row r="95">
          <cell r="A95" t="str">
            <v>23420</v>
          </cell>
          <cell r="H95">
            <v>-10423262.890000001</v>
          </cell>
        </row>
        <row r="96">
          <cell r="A96" t="str">
            <v>23425</v>
          </cell>
          <cell r="H96">
            <v>-21499460.77</v>
          </cell>
        </row>
        <row r="97">
          <cell r="A97" t="str">
            <v>24010</v>
          </cell>
          <cell r="H97">
            <v>-25388819.920000002</v>
          </cell>
        </row>
        <row r="98">
          <cell r="A98" t="str">
            <v>24100</v>
          </cell>
          <cell r="H98">
            <v>-17752977.66</v>
          </cell>
        </row>
        <row r="99">
          <cell r="A99" t="str">
            <v>30005</v>
          </cell>
          <cell r="H99">
            <v>96238158.140000001</v>
          </cell>
        </row>
        <row r="100">
          <cell r="A100" t="str">
            <v>30035</v>
          </cell>
          <cell r="H100">
            <v>98964248.609999999</v>
          </cell>
        </row>
        <row r="101">
          <cell r="A101" t="str">
            <v>30040</v>
          </cell>
          <cell r="H101">
            <v>-107359858</v>
          </cell>
        </row>
        <row r="102">
          <cell r="A102" t="str">
            <v>30042</v>
          </cell>
          <cell r="H102">
            <v>-7359858</v>
          </cell>
        </row>
        <row r="103">
          <cell r="A103" t="str">
            <v>30043</v>
          </cell>
          <cell r="H103">
            <v>-114297251.5</v>
          </cell>
        </row>
        <row r="104">
          <cell r="A104" t="str">
            <v>30044</v>
          </cell>
          <cell r="H104">
            <v>-6573262400</v>
          </cell>
        </row>
        <row r="105">
          <cell r="A105" t="str">
            <v>32000</v>
          </cell>
          <cell r="H105">
            <v>628329247.54999995</v>
          </cell>
        </row>
        <row r="106">
          <cell r="A106" t="str">
            <v>40085</v>
          </cell>
          <cell r="H106">
            <v>-182607.23</v>
          </cell>
        </row>
        <row r="107">
          <cell r="A107" t="str">
            <v>40095</v>
          </cell>
          <cell r="H107">
            <v>-837209.29999999888</v>
          </cell>
        </row>
        <row r="108">
          <cell r="A108" t="str">
            <v>40161</v>
          </cell>
          <cell r="H108">
            <v>-509148230.61000001</v>
          </cell>
        </row>
        <row r="109">
          <cell r="A109" t="str">
            <v>40162</v>
          </cell>
          <cell r="H109">
            <v>-175815249.25999999</v>
          </cell>
        </row>
        <row r="110">
          <cell r="A110" t="str">
            <v>40163</v>
          </cell>
          <cell r="H110">
            <v>-27079335.390000001</v>
          </cell>
        </row>
        <row r="111">
          <cell r="A111" t="str">
            <v>40166</v>
          </cell>
          <cell r="H111">
            <v>-59742.19</v>
          </cell>
        </row>
        <row r="112">
          <cell r="A112" t="str">
            <v>49300</v>
          </cell>
          <cell r="H112">
            <v>-5216928.2</v>
          </cell>
        </row>
        <row r="113">
          <cell r="A113" t="str">
            <v>49405</v>
          </cell>
          <cell r="H113">
            <v>0</v>
          </cell>
        </row>
        <row r="114">
          <cell r="A114" t="str">
            <v>50000</v>
          </cell>
          <cell r="H114">
            <v>827239.8599999994</v>
          </cell>
        </row>
        <row r="115">
          <cell r="A115" t="str">
            <v>53025</v>
          </cell>
          <cell r="H115">
            <v>75819310.510000005</v>
          </cell>
        </row>
        <row r="116">
          <cell r="A116" t="str">
            <v>53040</v>
          </cell>
          <cell r="H116">
            <v>80000</v>
          </cell>
        </row>
        <row r="117">
          <cell r="A117" t="str">
            <v>53045</v>
          </cell>
          <cell r="H117">
            <v>3326478.03</v>
          </cell>
        </row>
        <row r="118">
          <cell r="A118" t="str">
            <v>53055</v>
          </cell>
          <cell r="H118">
            <v>225440.42</v>
          </cell>
        </row>
        <row r="119">
          <cell r="A119" t="str">
            <v>53060</v>
          </cell>
          <cell r="H119">
            <v>11000</v>
          </cell>
        </row>
        <row r="120">
          <cell r="A120" t="str">
            <v>53075</v>
          </cell>
          <cell r="H120">
            <v>37000</v>
          </cell>
        </row>
        <row r="121">
          <cell r="A121" t="str">
            <v>53080</v>
          </cell>
          <cell r="H121">
            <v>7359960</v>
          </cell>
        </row>
        <row r="122">
          <cell r="A122" t="str">
            <v>53095</v>
          </cell>
          <cell r="H122">
            <v>2000</v>
          </cell>
        </row>
        <row r="123">
          <cell r="A123" t="str">
            <v>53120</v>
          </cell>
          <cell r="H123">
            <v>34919332.200000003</v>
          </cell>
        </row>
        <row r="124">
          <cell r="A124" t="str">
            <v>53140</v>
          </cell>
          <cell r="H124">
            <v>21723342</v>
          </cell>
        </row>
        <row r="125">
          <cell r="A125" t="str">
            <v>60010</v>
          </cell>
          <cell r="H125">
            <v>1611111.11</v>
          </cell>
        </row>
        <row r="126">
          <cell r="A126" t="str">
            <v>60020</v>
          </cell>
          <cell r="H126">
            <v>5022500</v>
          </cell>
        </row>
        <row r="127">
          <cell r="A127" t="str">
            <v>60025</v>
          </cell>
          <cell r="H127">
            <v>410000</v>
          </cell>
        </row>
        <row r="128">
          <cell r="A128" t="str">
            <v>60045</v>
          </cell>
          <cell r="H128">
            <v>855000</v>
          </cell>
        </row>
        <row r="129">
          <cell r="A129" t="str">
            <v>60050</v>
          </cell>
          <cell r="H129">
            <v>1900829.65</v>
          </cell>
        </row>
        <row r="130">
          <cell r="A130" t="str">
            <v>60060</v>
          </cell>
          <cell r="H130">
            <v>15941638.52</v>
          </cell>
        </row>
        <row r="131">
          <cell r="A131" t="str">
            <v>60070</v>
          </cell>
          <cell r="H131">
            <v>377150</v>
          </cell>
        </row>
        <row r="132">
          <cell r="A132" t="str">
            <v>60080</v>
          </cell>
          <cell r="H132">
            <v>4115740.33</v>
          </cell>
        </row>
        <row r="133">
          <cell r="A133" t="str">
            <v>60085</v>
          </cell>
          <cell r="H133">
            <v>1638686.22</v>
          </cell>
        </row>
        <row r="134">
          <cell r="A134" t="str">
            <v>60100</v>
          </cell>
          <cell r="H134">
            <v>3100000</v>
          </cell>
        </row>
        <row r="135">
          <cell r="A135" t="str">
            <v>60115</v>
          </cell>
          <cell r="H135">
            <v>1500000</v>
          </cell>
        </row>
        <row r="136">
          <cell r="A136" t="str">
            <v>60200</v>
          </cell>
          <cell r="H136">
            <v>2727660</v>
          </cell>
        </row>
        <row r="137">
          <cell r="A137" t="str">
            <v>60201</v>
          </cell>
          <cell r="H137">
            <v>1109887.6299999999</v>
          </cell>
        </row>
        <row r="138">
          <cell r="A138" t="str">
            <v>60202</v>
          </cell>
          <cell r="H138">
            <v>57346.32</v>
          </cell>
        </row>
        <row r="139">
          <cell r="A139" t="str">
            <v>60203</v>
          </cell>
          <cell r="H139">
            <v>595000</v>
          </cell>
        </row>
        <row r="140">
          <cell r="A140" t="str">
            <v>60205</v>
          </cell>
          <cell r="H140">
            <v>64350</v>
          </cell>
        </row>
        <row r="141">
          <cell r="A141" t="str">
            <v>60206</v>
          </cell>
          <cell r="H141">
            <v>1380836.8</v>
          </cell>
        </row>
        <row r="142">
          <cell r="A142" t="str">
            <v>60210</v>
          </cell>
          <cell r="H142">
            <v>3695790.41</v>
          </cell>
        </row>
        <row r="143">
          <cell r="A143" t="str">
            <v>60211</v>
          </cell>
          <cell r="H143">
            <v>125852.93</v>
          </cell>
        </row>
        <row r="144">
          <cell r="A144" t="str">
            <v>61100</v>
          </cell>
          <cell r="H144">
            <v>760258.66999999993</v>
          </cell>
        </row>
        <row r="145">
          <cell r="A145" t="str">
            <v>61310</v>
          </cell>
          <cell r="H145">
            <v>176000</v>
          </cell>
        </row>
        <row r="146">
          <cell r="A146" t="str">
            <v>61315</v>
          </cell>
          <cell r="H146">
            <v>142500</v>
          </cell>
        </row>
        <row r="147">
          <cell r="A147" t="str">
            <v>61320</v>
          </cell>
          <cell r="H147">
            <v>112751.71</v>
          </cell>
        </row>
        <row r="148">
          <cell r="A148" t="str">
            <v>61500</v>
          </cell>
          <cell r="H148">
            <v>3209138.12</v>
          </cell>
        </row>
        <row r="149">
          <cell r="A149" t="str">
            <v>61600</v>
          </cell>
          <cell r="H149">
            <v>1703530.45</v>
          </cell>
        </row>
        <row r="150">
          <cell r="A150" t="str">
            <v>61700</v>
          </cell>
          <cell r="H150">
            <v>-1479724.94</v>
          </cell>
        </row>
        <row r="151">
          <cell r="A151" t="str">
            <v>62200</v>
          </cell>
          <cell r="H151">
            <v>14200</v>
          </cell>
        </row>
        <row r="152">
          <cell r="A152" t="str">
            <v>62415</v>
          </cell>
          <cell r="H152">
            <v>38000</v>
          </cell>
        </row>
        <row r="153">
          <cell r="A153" t="str">
            <v>62425</v>
          </cell>
          <cell r="H153">
            <v>95400</v>
          </cell>
        </row>
        <row r="154">
          <cell r="A154" t="str">
            <v>62435</v>
          </cell>
          <cell r="H154">
            <v>1116300</v>
          </cell>
        </row>
        <row r="155">
          <cell r="A155" t="str">
            <v>62700</v>
          </cell>
          <cell r="H155">
            <v>10331799.079999998</v>
          </cell>
        </row>
        <row r="156">
          <cell r="A156" t="str">
            <v>63110</v>
          </cell>
          <cell r="H156">
            <v>156525</v>
          </cell>
        </row>
        <row r="157">
          <cell r="A157" t="str">
            <v>63120</v>
          </cell>
          <cell r="H157">
            <v>571576</v>
          </cell>
        </row>
        <row r="158">
          <cell r="A158" t="str">
            <v>63125</v>
          </cell>
          <cell r="H158">
            <v>256965.75</v>
          </cell>
        </row>
        <row r="159">
          <cell r="A159" t="str">
            <v>63300</v>
          </cell>
          <cell r="H159">
            <v>895654.17</v>
          </cell>
        </row>
        <row r="160">
          <cell r="A160" t="str">
            <v>63907</v>
          </cell>
          <cell r="H160">
            <v>24717484.59</v>
          </cell>
        </row>
        <row r="161">
          <cell r="A161" t="str">
            <v>64000</v>
          </cell>
          <cell r="H161">
            <v>3818424.16</v>
          </cell>
        </row>
        <row r="162">
          <cell r="A162" t="str">
            <v>65000</v>
          </cell>
          <cell r="H162">
            <v>1124999.98</v>
          </cell>
        </row>
        <row r="163">
          <cell r="A163" t="str">
            <v>65007</v>
          </cell>
          <cell r="H163">
            <v>-1571364</v>
          </cell>
        </row>
        <row r="164">
          <cell r="A164" t="str">
            <v>65031</v>
          </cell>
          <cell r="H164">
            <v>22675030.100000001</v>
          </cell>
        </row>
        <row r="165">
          <cell r="A165" t="str">
            <v>65032</v>
          </cell>
          <cell r="H165">
            <v>5112340.37</v>
          </cell>
        </row>
        <row r="166">
          <cell r="A166" t="str">
            <v>65035</v>
          </cell>
          <cell r="H166">
            <v>77297946.950000003</v>
          </cell>
        </row>
        <row r="167">
          <cell r="A167" t="str">
            <v>65036</v>
          </cell>
          <cell r="H167">
            <v>1303600.6200000001</v>
          </cell>
        </row>
        <row r="168">
          <cell r="A168" t="str">
            <v>65095</v>
          </cell>
          <cell r="H168">
            <v>2903777.7600000002</v>
          </cell>
        </row>
        <row r="169">
          <cell r="A169" t="str">
            <v>65100</v>
          </cell>
          <cell r="H169">
            <v>6390425.3899999997</v>
          </cell>
        </row>
        <row r="170">
          <cell r="A170" t="str">
            <v>65800</v>
          </cell>
          <cell r="H170">
            <v>0</v>
          </cell>
        </row>
        <row r="171">
          <cell r="A171" t="str">
            <v>67920</v>
          </cell>
          <cell r="H171">
            <v>89354483.729999989</v>
          </cell>
        </row>
        <row r="172">
          <cell r="A172" t="str">
            <v>67940</v>
          </cell>
          <cell r="H172">
            <v>1.9999999999999997E-2</v>
          </cell>
        </row>
        <row r="173">
          <cell r="A173" t="str">
            <v>68500</v>
          </cell>
          <cell r="H173">
            <v>1666666.67</v>
          </cell>
        </row>
        <row r="174">
          <cell r="A174" t="str">
            <v>69600</v>
          </cell>
          <cell r="H174">
            <v>7671260.8799999999</v>
          </cell>
        </row>
        <row r="175">
          <cell r="A175" t="str">
            <v>69901</v>
          </cell>
          <cell r="H175">
            <v>8357590.9900000002</v>
          </cell>
        </row>
        <row r="176">
          <cell r="A176" t="str">
            <v>69903</v>
          </cell>
          <cell r="H176">
            <v>1600689.51</v>
          </cell>
        </row>
      </sheetData>
      <sheetData sheetId="1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206252.41</v>
          </cell>
        </row>
        <row r="7">
          <cell r="A7" t="str">
            <v>10104</v>
          </cell>
          <cell r="H7">
            <v>2871776.46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903224418.94000006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1053208.3899999999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12242944.07</v>
          </cell>
        </row>
        <row r="20">
          <cell r="A20" t="str">
            <v>10225</v>
          </cell>
          <cell r="H20">
            <v>28002801.620000001</v>
          </cell>
        </row>
        <row r="21">
          <cell r="A21" t="str">
            <v>10226</v>
          </cell>
          <cell r="H21">
            <v>3306488.21</v>
          </cell>
        </row>
        <row r="22">
          <cell r="A22" t="str">
            <v>10227</v>
          </cell>
          <cell r="H22">
            <v>14928308.75</v>
          </cell>
        </row>
        <row r="23">
          <cell r="A23" t="str">
            <v>10235</v>
          </cell>
          <cell r="H23">
            <v>15605051.470000001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8369829.46</v>
          </cell>
        </row>
        <row r="27">
          <cell r="A27" t="str">
            <v>10255</v>
          </cell>
          <cell r="H27">
            <v>1043630.58</v>
          </cell>
        </row>
        <row r="28">
          <cell r="A28" t="str">
            <v>10256</v>
          </cell>
          <cell r="H28">
            <v>1114571.0900000001</v>
          </cell>
        </row>
        <row r="29">
          <cell r="A29" t="str">
            <v>10265</v>
          </cell>
          <cell r="H29">
            <v>3102987.21</v>
          </cell>
        </row>
        <row r="30">
          <cell r="A30" t="str">
            <v>10270</v>
          </cell>
          <cell r="H30">
            <v>1170696.21</v>
          </cell>
        </row>
        <row r="31">
          <cell r="A31" t="str">
            <v>10280</v>
          </cell>
          <cell r="H31">
            <v>564653.84</v>
          </cell>
        </row>
        <row r="32">
          <cell r="A32" t="str">
            <v>10285</v>
          </cell>
          <cell r="H32">
            <v>745578.1</v>
          </cell>
        </row>
        <row r="33">
          <cell r="A33" t="str">
            <v>10293</v>
          </cell>
          <cell r="H33">
            <v>19432503.84</v>
          </cell>
        </row>
        <row r="34">
          <cell r="A34" t="str">
            <v>10305</v>
          </cell>
          <cell r="H34">
            <v>5687.28</v>
          </cell>
        </row>
        <row r="35">
          <cell r="A35" t="str">
            <v>10310</v>
          </cell>
          <cell r="H35">
            <v>9184379.3699999992</v>
          </cell>
        </row>
        <row r="36">
          <cell r="A36" t="str">
            <v>10316</v>
          </cell>
          <cell r="H36">
            <v>1487916.53</v>
          </cell>
        </row>
        <row r="37">
          <cell r="A37" t="str">
            <v>10317</v>
          </cell>
          <cell r="H37">
            <v>101797.4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1373385.85</v>
          </cell>
        </row>
        <row r="40">
          <cell r="A40" t="str">
            <v>10342</v>
          </cell>
          <cell r="H40">
            <v>14797375.01</v>
          </cell>
        </row>
        <row r="41">
          <cell r="A41" t="str">
            <v>10343</v>
          </cell>
          <cell r="H41">
            <v>783193.31</v>
          </cell>
        </row>
        <row r="42">
          <cell r="A42" t="str">
            <v>10344</v>
          </cell>
          <cell r="H42">
            <v>8016039.8700000001</v>
          </cell>
        </row>
        <row r="43">
          <cell r="A43" t="str">
            <v>10348</v>
          </cell>
          <cell r="H43">
            <v>0.01</v>
          </cell>
        </row>
        <row r="44">
          <cell r="A44" t="str">
            <v>10497</v>
          </cell>
          <cell r="H44">
            <v>5462330</v>
          </cell>
        </row>
        <row r="45">
          <cell r="A45" t="str">
            <v>10752</v>
          </cell>
          <cell r="H45">
            <v>4938268.75</v>
          </cell>
        </row>
        <row r="46">
          <cell r="A46" t="str">
            <v>10801</v>
          </cell>
          <cell r="H46">
            <v>766046936.07000005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215046153.13999999</v>
          </cell>
        </row>
        <row r="49">
          <cell r="A49" t="str">
            <v>11004</v>
          </cell>
          <cell r="H49">
            <v>0</v>
          </cell>
        </row>
        <row r="50">
          <cell r="A50" t="str">
            <v>11020</v>
          </cell>
          <cell r="H50">
            <v>0</v>
          </cell>
        </row>
        <row r="51">
          <cell r="A51" t="str">
            <v>12100</v>
          </cell>
          <cell r="H51">
            <v>55425069.600000001</v>
          </cell>
        </row>
        <row r="52">
          <cell r="A52" t="str">
            <v>13002</v>
          </cell>
          <cell r="H52">
            <v>1440000</v>
          </cell>
        </row>
        <row r="53">
          <cell r="A53" t="str">
            <v>13003</v>
          </cell>
          <cell r="H53">
            <v>127042724.55</v>
          </cell>
        </row>
        <row r="54">
          <cell r="A54" t="str">
            <v>13004</v>
          </cell>
          <cell r="H54">
            <v>402004.23</v>
          </cell>
        </row>
        <row r="55">
          <cell r="A55" t="str">
            <v>13010</v>
          </cell>
          <cell r="H55">
            <v>27171428.09</v>
          </cell>
        </row>
        <row r="56">
          <cell r="A56" t="str">
            <v>13023</v>
          </cell>
          <cell r="H56">
            <v>420002</v>
          </cell>
        </row>
        <row r="57">
          <cell r="A57" t="str">
            <v>13116</v>
          </cell>
          <cell r="H57">
            <v>48700</v>
          </cell>
        </row>
        <row r="58">
          <cell r="A58" t="str">
            <v>13120</v>
          </cell>
          <cell r="H58">
            <v>322963371.66000003</v>
          </cell>
        </row>
        <row r="59">
          <cell r="A59" t="str">
            <v>13130</v>
          </cell>
          <cell r="H59">
            <v>13268184.74</v>
          </cell>
        </row>
        <row r="60">
          <cell r="A60" t="str">
            <v>13135</v>
          </cell>
          <cell r="H60">
            <v>4655555.66</v>
          </cell>
        </row>
        <row r="61">
          <cell r="A61" t="str">
            <v>13200</v>
          </cell>
          <cell r="H61">
            <v>2435621.84</v>
          </cell>
        </row>
        <row r="62">
          <cell r="A62" t="str">
            <v>13400</v>
          </cell>
          <cell r="H62">
            <v>533116438.38999999</v>
          </cell>
        </row>
        <row r="63">
          <cell r="A63" t="str">
            <v>14000</v>
          </cell>
          <cell r="H63">
            <v>-626072596.49000001</v>
          </cell>
        </row>
        <row r="64">
          <cell r="A64" t="str">
            <v>14001</v>
          </cell>
          <cell r="H64">
            <v>-584798566.20000005</v>
          </cell>
        </row>
        <row r="65">
          <cell r="A65" t="str">
            <v>14010</v>
          </cell>
          <cell r="H65">
            <v>-164634.51</v>
          </cell>
        </row>
        <row r="66">
          <cell r="A66" t="str">
            <v>14016</v>
          </cell>
          <cell r="H66">
            <v>24786952.16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38515442.920000002</v>
          </cell>
        </row>
        <row r="69">
          <cell r="A69" t="str">
            <v>15100</v>
          </cell>
          <cell r="H69">
            <v>3645000</v>
          </cell>
        </row>
        <row r="70">
          <cell r="A70" t="str">
            <v>15200</v>
          </cell>
          <cell r="H70">
            <v>343338606.66000003</v>
          </cell>
        </row>
        <row r="71">
          <cell r="A71" t="str">
            <v>15300</v>
          </cell>
          <cell r="H71">
            <v>25560780.25</v>
          </cell>
        </row>
        <row r="72">
          <cell r="A72" t="str">
            <v>15400</v>
          </cell>
          <cell r="H72">
            <v>179350495.81</v>
          </cell>
        </row>
        <row r="73">
          <cell r="A73" t="str">
            <v>15405</v>
          </cell>
          <cell r="H73">
            <v>17904365.100000001</v>
          </cell>
        </row>
        <row r="74">
          <cell r="A74" t="str">
            <v>15410</v>
          </cell>
          <cell r="H74">
            <v>4514161.5</v>
          </cell>
        </row>
        <row r="75">
          <cell r="A75" t="str">
            <v>15500</v>
          </cell>
          <cell r="H75">
            <v>61627057.890000001</v>
          </cell>
        </row>
        <row r="76">
          <cell r="A76" t="str">
            <v>15501</v>
          </cell>
          <cell r="H76">
            <v>643385951.24000001</v>
          </cell>
        </row>
        <row r="77">
          <cell r="A77" t="str">
            <v>15505</v>
          </cell>
          <cell r="H77">
            <v>0</v>
          </cell>
        </row>
        <row r="78">
          <cell r="A78" t="str">
            <v>15509</v>
          </cell>
          <cell r="H78">
            <v>11400000</v>
          </cell>
        </row>
        <row r="79">
          <cell r="A79" t="str">
            <v>15510</v>
          </cell>
          <cell r="H79">
            <v>1579061423.45</v>
          </cell>
        </row>
        <row r="80">
          <cell r="A80" t="str">
            <v>15511</v>
          </cell>
          <cell r="H80">
            <v>107697884.17</v>
          </cell>
        </row>
        <row r="81">
          <cell r="A81" t="str">
            <v>16000</v>
          </cell>
          <cell r="H81">
            <v>-28475128.870000001</v>
          </cell>
        </row>
        <row r="82">
          <cell r="A82" t="str">
            <v>16100</v>
          </cell>
          <cell r="H82">
            <v>-3644980.06</v>
          </cell>
        </row>
        <row r="83">
          <cell r="A83" t="str">
            <v>16200</v>
          </cell>
          <cell r="H83">
            <v>-238311503.74000001</v>
          </cell>
        </row>
        <row r="84">
          <cell r="A84" t="str">
            <v>16300</v>
          </cell>
          <cell r="H84">
            <v>-16096366.68</v>
          </cell>
        </row>
        <row r="85">
          <cell r="A85" t="str">
            <v>16500</v>
          </cell>
          <cell r="H85">
            <v>-17904365.100000001</v>
          </cell>
        </row>
        <row r="86">
          <cell r="A86" t="str">
            <v>17000</v>
          </cell>
          <cell r="H86">
            <v>0</v>
          </cell>
        </row>
        <row r="87">
          <cell r="A87" t="str">
            <v>19006</v>
          </cell>
          <cell r="H87">
            <v>0</v>
          </cell>
        </row>
        <row r="88">
          <cell r="A88" t="str">
            <v>19007</v>
          </cell>
          <cell r="H88">
            <v>1324564914.54</v>
          </cell>
        </row>
        <row r="89">
          <cell r="A89" t="str">
            <v>69904</v>
          </cell>
          <cell r="H89">
            <v>-36466601.439999998</v>
          </cell>
        </row>
        <row r="90">
          <cell r="A90" t="str">
            <v>20000</v>
          </cell>
          <cell r="H90">
            <v>-248309641.41999999</v>
          </cell>
        </row>
        <row r="91">
          <cell r="A91" t="str">
            <v>20005</v>
          </cell>
          <cell r="H91">
            <v>-78288587.409999996</v>
          </cell>
        </row>
        <row r="92">
          <cell r="A92" t="str">
            <v>22100</v>
          </cell>
          <cell r="H92">
            <v>-8876353.4199999999</v>
          </cell>
        </row>
        <row r="93">
          <cell r="A93" t="str">
            <v>23000</v>
          </cell>
          <cell r="H93">
            <v>-974479561.48000002</v>
          </cell>
        </row>
        <row r="94">
          <cell r="A94" t="str">
            <v>23001</v>
          </cell>
          <cell r="H94">
            <v>35999005.18</v>
          </cell>
        </row>
        <row r="95">
          <cell r="A95" t="str">
            <v>23010</v>
          </cell>
          <cell r="H95">
            <v>-215496932.31999999</v>
          </cell>
        </row>
        <row r="96">
          <cell r="A96" t="str">
            <v>23015</v>
          </cell>
          <cell r="H96">
            <v>-4286209.79</v>
          </cell>
        </row>
        <row r="97">
          <cell r="A97" t="str">
            <v>23040</v>
          </cell>
          <cell r="H97">
            <v>-8057496.0800000001</v>
          </cell>
        </row>
        <row r="98">
          <cell r="A98" t="str">
            <v>23400</v>
          </cell>
          <cell r="H98">
            <v>-21165517.609999999</v>
          </cell>
        </row>
        <row r="99">
          <cell r="A99" t="str">
            <v>23405</v>
          </cell>
          <cell r="H99">
            <v>0</v>
          </cell>
        </row>
        <row r="100">
          <cell r="A100" t="str">
            <v>23410</v>
          </cell>
          <cell r="H100">
            <v>0</v>
          </cell>
        </row>
        <row r="101">
          <cell r="A101" t="str">
            <v>23420</v>
          </cell>
          <cell r="H101">
            <v>-9322145.2899999991</v>
          </cell>
        </row>
        <row r="102">
          <cell r="A102" t="str">
            <v>23425</v>
          </cell>
          <cell r="H102">
            <v>-32949171.219999999</v>
          </cell>
        </row>
        <row r="103">
          <cell r="A103" t="str">
            <v>24010</v>
          </cell>
          <cell r="H103">
            <v>-21976111.07</v>
          </cell>
        </row>
        <row r="104">
          <cell r="A104" t="str">
            <v>24100</v>
          </cell>
          <cell r="H104">
            <v>0.35</v>
          </cell>
        </row>
        <row r="105">
          <cell r="A105" t="str">
            <v>30005</v>
          </cell>
          <cell r="H105">
            <v>96238158.140000001</v>
          </cell>
        </row>
        <row r="106">
          <cell r="A106" t="str">
            <v>30035</v>
          </cell>
          <cell r="H106">
            <v>101787277.34999999</v>
          </cell>
        </row>
        <row r="107">
          <cell r="A107" t="str">
            <v>30040</v>
          </cell>
          <cell r="H107">
            <v>-107359858</v>
          </cell>
        </row>
        <row r="108">
          <cell r="A108" t="str">
            <v>30042</v>
          </cell>
          <cell r="H108">
            <v>-7359858</v>
          </cell>
        </row>
        <row r="109">
          <cell r="A109" t="str">
            <v>30043</v>
          </cell>
          <cell r="H109">
            <v>-114297251.5</v>
          </cell>
        </row>
        <row r="110">
          <cell r="A110" t="str">
            <v>30044</v>
          </cell>
          <cell r="H110">
            <v>-6573262400</v>
          </cell>
        </row>
        <row r="111">
          <cell r="A111" t="str">
            <v>32000</v>
          </cell>
          <cell r="H111">
            <v>-1121517753.3699999</v>
          </cell>
        </row>
        <row r="112">
          <cell r="A112" t="str">
            <v>40020</v>
          </cell>
          <cell r="H112">
            <v>0</v>
          </cell>
        </row>
        <row r="113">
          <cell r="A113" t="str">
            <v>40056</v>
          </cell>
          <cell r="H113">
            <v>0</v>
          </cell>
        </row>
        <row r="114">
          <cell r="A114" t="str">
            <v>40085</v>
          </cell>
          <cell r="H114">
            <v>-412327.02</v>
          </cell>
        </row>
        <row r="115">
          <cell r="A115" t="str">
            <v>40087</v>
          </cell>
          <cell r="H115">
            <v>-30979.89</v>
          </cell>
        </row>
        <row r="116">
          <cell r="A116" t="str">
            <v>40095</v>
          </cell>
          <cell r="H116">
            <v>-289069.77</v>
          </cell>
        </row>
        <row r="117">
          <cell r="A117" t="str">
            <v>40161</v>
          </cell>
          <cell r="H117">
            <v>-95359504.679999992</v>
          </cell>
        </row>
        <row r="118">
          <cell r="A118" t="str">
            <v>40162</v>
          </cell>
          <cell r="H118">
            <v>-164041756.19</v>
          </cell>
        </row>
        <row r="119">
          <cell r="A119" t="str">
            <v>40163</v>
          </cell>
          <cell r="H119">
            <v>-52385123.599999994</v>
          </cell>
        </row>
        <row r="120">
          <cell r="A120" t="str">
            <v>40166</v>
          </cell>
          <cell r="H120">
            <v>-61293.21</v>
          </cell>
        </row>
        <row r="121">
          <cell r="A121" t="str">
            <v>49300</v>
          </cell>
          <cell r="H121">
            <v>-134622064.13</v>
          </cell>
        </row>
        <row r="122">
          <cell r="A122" t="str">
            <v>50000</v>
          </cell>
          <cell r="H122">
            <v>51369781.609999999</v>
          </cell>
        </row>
        <row r="123">
          <cell r="A123" t="str">
            <v>53005</v>
          </cell>
          <cell r="H123">
            <v>0</v>
          </cell>
        </row>
        <row r="124">
          <cell r="A124" t="str">
            <v>53025</v>
          </cell>
          <cell r="H124">
            <v>4801737.84</v>
          </cell>
        </row>
        <row r="125">
          <cell r="A125" t="str">
            <v>53030</v>
          </cell>
          <cell r="H125">
            <v>0</v>
          </cell>
        </row>
        <row r="126">
          <cell r="A126" t="str">
            <v>53040</v>
          </cell>
          <cell r="H126">
            <v>60000</v>
          </cell>
        </row>
        <row r="127">
          <cell r="A127" t="str">
            <v>53045</v>
          </cell>
          <cell r="H127">
            <v>3696467.97</v>
          </cell>
        </row>
        <row r="128">
          <cell r="A128" t="str">
            <v>53055</v>
          </cell>
          <cell r="H128">
            <v>225440.42</v>
          </cell>
        </row>
        <row r="129">
          <cell r="A129" t="str">
            <v>53060</v>
          </cell>
          <cell r="H129">
            <v>12500</v>
          </cell>
        </row>
        <row r="130">
          <cell r="A130" t="str">
            <v>53065</v>
          </cell>
          <cell r="H130">
            <v>0</v>
          </cell>
        </row>
        <row r="131">
          <cell r="A131" t="str">
            <v>53074</v>
          </cell>
          <cell r="H131">
            <v>0</v>
          </cell>
        </row>
        <row r="132">
          <cell r="A132" t="str">
            <v>53075</v>
          </cell>
          <cell r="H132">
            <v>30000</v>
          </cell>
        </row>
        <row r="133">
          <cell r="A133" t="str">
            <v>53080</v>
          </cell>
          <cell r="H133">
            <v>449491.80000000005</v>
          </cell>
        </row>
        <row r="134">
          <cell r="A134" t="str">
            <v>53090</v>
          </cell>
          <cell r="H134">
            <v>0</v>
          </cell>
        </row>
        <row r="135">
          <cell r="A135" t="str">
            <v>53095</v>
          </cell>
          <cell r="H135">
            <v>-1022.5</v>
          </cell>
        </row>
        <row r="136">
          <cell r="A136" t="str">
            <v>53110</v>
          </cell>
          <cell r="H136">
            <v>0</v>
          </cell>
        </row>
        <row r="137">
          <cell r="A137" t="str">
            <v>53120</v>
          </cell>
          <cell r="H137">
            <v>56313928.57</v>
          </cell>
        </row>
        <row r="138">
          <cell r="A138" t="str">
            <v>53140</v>
          </cell>
          <cell r="H138">
            <v>21723342</v>
          </cell>
        </row>
        <row r="139">
          <cell r="A139" t="str">
            <v>60010</v>
          </cell>
          <cell r="H139">
            <v>1611111.11</v>
          </cell>
        </row>
        <row r="140">
          <cell r="A140" t="str">
            <v>60020</v>
          </cell>
          <cell r="H140">
            <v>163500</v>
          </cell>
        </row>
        <row r="141">
          <cell r="A141" t="str">
            <v>60025</v>
          </cell>
          <cell r="H141">
            <v>183000</v>
          </cell>
        </row>
        <row r="142">
          <cell r="A142" t="str">
            <v>60030</v>
          </cell>
          <cell r="H142">
            <v>167500</v>
          </cell>
        </row>
        <row r="143">
          <cell r="A143" t="str">
            <v>60035</v>
          </cell>
          <cell r="H143">
            <v>0</v>
          </cell>
        </row>
        <row r="144">
          <cell r="A144" t="str">
            <v>60040</v>
          </cell>
          <cell r="H144">
            <v>0</v>
          </cell>
        </row>
        <row r="145">
          <cell r="A145" t="str">
            <v>60045</v>
          </cell>
          <cell r="H145">
            <v>735300</v>
          </cell>
        </row>
        <row r="146">
          <cell r="A146" t="str">
            <v>60050</v>
          </cell>
          <cell r="H146">
            <v>3604347.6500000004</v>
          </cell>
        </row>
        <row r="147">
          <cell r="A147" t="str">
            <v>60060</v>
          </cell>
          <cell r="H147">
            <v>13368915.719999999</v>
          </cell>
        </row>
        <row r="148">
          <cell r="A148" t="str">
            <v>60070</v>
          </cell>
          <cell r="H148">
            <v>2458000</v>
          </cell>
        </row>
        <row r="149">
          <cell r="A149" t="str">
            <v>60075</v>
          </cell>
          <cell r="H149">
            <v>0</v>
          </cell>
        </row>
        <row r="150">
          <cell r="A150" t="str">
            <v>60080</v>
          </cell>
          <cell r="H150">
            <v>4236512.51</v>
          </cell>
        </row>
        <row r="151">
          <cell r="A151" t="str">
            <v>60085</v>
          </cell>
          <cell r="H151">
            <v>1638686.22</v>
          </cell>
        </row>
        <row r="152">
          <cell r="A152" t="str">
            <v>60090</v>
          </cell>
          <cell r="H152">
            <v>38888165.900000006</v>
          </cell>
        </row>
        <row r="153">
          <cell r="A153" t="str">
            <v>60100</v>
          </cell>
          <cell r="H153">
            <v>2890133</v>
          </cell>
        </row>
        <row r="154">
          <cell r="A154" t="str">
            <v>60110</v>
          </cell>
          <cell r="H154">
            <v>4669250</v>
          </cell>
        </row>
        <row r="155">
          <cell r="A155" t="str">
            <v>60115</v>
          </cell>
          <cell r="H155">
            <v>8000</v>
          </cell>
        </row>
        <row r="156">
          <cell r="A156" t="str">
            <v>60125</v>
          </cell>
          <cell r="H156">
            <v>9679826.6699999999</v>
          </cell>
        </row>
        <row r="157">
          <cell r="A157" t="str">
            <v>60200</v>
          </cell>
          <cell r="H157">
            <v>0</v>
          </cell>
        </row>
        <row r="158">
          <cell r="A158" t="str">
            <v>60201</v>
          </cell>
          <cell r="H158">
            <v>130000</v>
          </cell>
        </row>
        <row r="159">
          <cell r="A159" t="str">
            <v>60202</v>
          </cell>
          <cell r="H159">
            <v>0</v>
          </cell>
        </row>
        <row r="160">
          <cell r="A160" t="str">
            <v>60205</v>
          </cell>
          <cell r="H160">
            <v>64350</v>
          </cell>
        </row>
        <row r="161">
          <cell r="A161" t="str">
            <v>60206</v>
          </cell>
          <cell r="H161">
            <v>0</v>
          </cell>
        </row>
        <row r="162">
          <cell r="A162" t="str">
            <v>60210</v>
          </cell>
          <cell r="H162">
            <v>687827.39</v>
          </cell>
        </row>
        <row r="163">
          <cell r="A163" t="str">
            <v>60211</v>
          </cell>
          <cell r="H163">
            <v>151890</v>
          </cell>
        </row>
        <row r="164">
          <cell r="A164" t="str">
            <v>60213</v>
          </cell>
          <cell r="H164">
            <v>21300</v>
          </cell>
        </row>
        <row r="165">
          <cell r="A165" t="str">
            <v>60217</v>
          </cell>
          <cell r="H165">
            <v>0</v>
          </cell>
        </row>
        <row r="166">
          <cell r="A166" t="str">
            <v>61100</v>
          </cell>
          <cell r="H166">
            <v>1978010.55</v>
          </cell>
        </row>
        <row r="167">
          <cell r="A167" t="str">
            <v>61310</v>
          </cell>
          <cell r="H167">
            <v>167120</v>
          </cell>
        </row>
        <row r="168">
          <cell r="A168" t="str">
            <v>61315</v>
          </cell>
          <cell r="H168">
            <v>425200</v>
          </cell>
        </row>
        <row r="169">
          <cell r="A169" t="str">
            <v>61320</v>
          </cell>
          <cell r="H169">
            <v>26450</v>
          </cell>
        </row>
        <row r="170">
          <cell r="A170" t="str">
            <v>61500</v>
          </cell>
          <cell r="H170">
            <v>-1058.9000000000015</v>
          </cell>
        </row>
        <row r="171">
          <cell r="A171" t="str">
            <v>61600</v>
          </cell>
          <cell r="H171">
            <v>1806030.45</v>
          </cell>
        </row>
        <row r="172">
          <cell r="A172" t="str">
            <v>61700</v>
          </cell>
          <cell r="H172">
            <v>682008.4</v>
          </cell>
        </row>
        <row r="173">
          <cell r="A173" t="str">
            <v>62100</v>
          </cell>
          <cell r="H173">
            <v>0</v>
          </cell>
        </row>
        <row r="174">
          <cell r="A174" t="str">
            <v>62101</v>
          </cell>
          <cell r="H174">
            <v>121392723.47</v>
          </cell>
        </row>
        <row r="175">
          <cell r="A175" t="str">
            <v>62200</v>
          </cell>
          <cell r="H175">
            <v>666000</v>
          </cell>
        </row>
        <row r="176">
          <cell r="A176" t="str">
            <v>62415</v>
          </cell>
          <cell r="H176">
            <v>171000</v>
          </cell>
        </row>
        <row r="177">
          <cell r="A177" t="str">
            <v>62420</v>
          </cell>
          <cell r="H177">
            <v>117000</v>
          </cell>
        </row>
        <row r="178">
          <cell r="A178" t="str">
            <v>62425</v>
          </cell>
          <cell r="H178">
            <v>475935</v>
          </cell>
        </row>
        <row r="179">
          <cell r="A179" t="str">
            <v>62435</v>
          </cell>
          <cell r="H179">
            <v>103959</v>
          </cell>
        </row>
        <row r="180">
          <cell r="A180" t="str">
            <v>62700</v>
          </cell>
          <cell r="H180">
            <v>4876700</v>
          </cell>
        </row>
        <row r="181">
          <cell r="A181" t="str">
            <v>63110</v>
          </cell>
          <cell r="H181">
            <v>960499.96</v>
          </cell>
        </row>
        <row r="182">
          <cell r="A182" t="str">
            <v>63120</v>
          </cell>
          <cell r="H182">
            <v>3804836</v>
          </cell>
        </row>
        <row r="183">
          <cell r="A183" t="str">
            <v>63125</v>
          </cell>
          <cell r="H183">
            <v>110489.25</v>
          </cell>
        </row>
        <row r="184">
          <cell r="A184" t="str">
            <v>63200</v>
          </cell>
          <cell r="H184">
            <v>0</v>
          </cell>
        </row>
        <row r="185">
          <cell r="A185" t="str">
            <v>63300</v>
          </cell>
          <cell r="H185">
            <v>999985.19</v>
          </cell>
        </row>
        <row r="186">
          <cell r="A186" t="str">
            <v>63907</v>
          </cell>
          <cell r="H186">
            <v>38437401.560000002</v>
          </cell>
        </row>
        <row r="187">
          <cell r="A187" t="str">
            <v>64000</v>
          </cell>
          <cell r="H187">
            <v>4192185.2</v>
          </cell>
        </row>
        <row r="188">
          <cell r="A188" t="str">
            <v>65000</v>
          </cell>
          <cell r="H188">
            <v>2152070.27</v>
          </cell>
        </row>
        <row r="189">
          <cell r="A189" t="str">
            <v>65007</v>
          </cell>
          <cell r="H189">
            <v>608951472.36000013</v>
          </cell>
        </row>
        <row r="190">
          <cell r="A190" t="str">
            <v>65015</v>
          </cell>
          <cell r="H190">
            <v>0</v>
          </cell>
        </row>
        <row r="191">
          <cell r="A191" t="str">
            <v>65031</v>
          </cell>
          <cell r="H191">
            <v>20658503.449999999</v>
          </cell>
        </row>
        <row r="192">
          <cell r="A192" t="str">
            <v>65032</v>
          </cell>
          <cell r="H192">
            <v>3438071.05</v>
          </cell>
        </row>
        <row r="193">
          <cell r="A193" t="str">
            <v>65035</v>
          </cell>
          <cell r="H193">
            <v>122655939</v>
          </cell>
        </row>
        <row r="194">
          <cell r="A194" t="str">
            <v>65036</v>
          </cell>
          <cell r="H194">
            <v>1146213.42</v>
          </cell>
        </row>
        <row r="195">
          <cell r="A195" t="str">
            <v>65037</v>
          </cell>
          <cell r="H195">
            <v>0</v>
          </cell>
        </row>
        <row r="196">
          <cell r="A196" t="str">
            <v>65095</v>
          </cell>
          <cell r="H196">
            <v>3046548.4800000004</v>
          </cell>
        </row>
        <row r="197">
          <cell r="A197" t="str">
            <v>65100</v>
          </cell>
          <cell r="H197">
            <v>4457880.9400000004</v>
          </cell>
        </row>
        <row r="198">
          <cell r="A198" t="str">
            <v>65800</v>
          </cell>
          <cell r="H198">
            <v>5235685</v>
          </cell>
        </row>
        <row r="199">
          <cell r="A199" t="str">
            <v>66300</v>
          </cell>
          <cell r="H199">
            <v>0</v>
          </cell>
        </row>
        <row r="200">
          <cell r="A200" t="str">
            <v>67010</v>
          </cell>
          <cell r="H200">
            <v>0</v>
          </cell>
        </row>
        <row r="201">
          <cell r="A201" t="str">
            <v>67052</v>
          </cell>
          <cell r="H201">
            <v>0</v>
          </cell>
        </row>
        <row r="202">
          <cell r="A202" t="str">
            <v>67055</v>
          </cell>
          <cell r="H202">
            <v>0</v>
          </cell>
        </row>
        <row r="203">
          <cell r="A203" t="str">
            <v>67920</v>
          </cell>
          <cell r="H203">
            <v>-4372886.3699999992</v>
          </cell>
        </row>
        <row r="204">
          <cell r="A204" t="str">
            <v>67940</v>
          </cell>
          <cell r="H204">
            <v>0</v>
          </cell>
        </row>
        <row r="205">
          <cell r="A205" t="str">
            <v>68500</v>
          </cell>
          <cell r="H205">
            <v>1791666.67</v>
          </cell>
        </row>
        <row r="206">
          <cell r="A206" t="str">
            <v>68503</v>
          </cell>
          <cell r="H206">
            <v>1556250</v>
          </cell>
        </row>
        <row r="207">
          <cell r="A207" t="str">
            <v>69600</v>
          </cell>
          <cell r="H207">
            <v>8041264.0199999996</v>
          </cell>
        </row>
        <row r="208">
          <cell r="A208" t="str">
            <v>69901</v>
          </cell>
          <cell r="H208">
            <v>2415886.9</v>
          </cell>
        </row>
        <row r="209">
          <cell r="A209" t="str">
            <v>69903</v>
          </cell>
          <cell r="H209">
            <v>1901620.18</v>
          </cell>
        </row>
        <row r="210">
          <cell r="H210" t="e">
            <v>#N/A</v>
          </cell>
        </row>
      </sheetData>
      <sheetData sheetId="1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40452.410000000003</v>
          </cell>
        </row>
        <row r="7">
          <cell r="A7" t="str">
            <v>10104</v>
          </cell>
          <cell r="H7">
            <v>9271083.5</v>
          </cell>
        </row>
        <row r="8">
          <cell r="A8" t="str">
            <v>10105</v>
          </cell>
          <cell r="H8">
            <v>1627186907.1099999</v>
          </cell>
        </row>
        <row r="9">
          <cell r="A9" t="str">
            <v>10107</v>
          </cell>
          <cell r="H9">
            <v>903224418.94000006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70289839.319999993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21827366.609999999</v>
          </cell>
        </row>
        <row r="20">
          <cell r="A20" t="str">
            <v>10225</v>
          </cell>
          <cell r="H20">
            <v>3752380.37</v>
          </cell>
        </row>
        <row r="21">
          <cell r="A21" t="str">
            <v>10226</v>
          </cell>
          <cell r="H21">
            <v>8895460</v>
          </cell>
        </row>
        <row r="22">
          <cell r="A22" t="str">
            <v>10227</v>
          </cell>
          <cell r="H22">
            <v>15049585.32</v>
          </cell>
        </row>
        <row r="23">
          <cell r="A23" t="str">
            <v>10235</v>
          </cell>
          <cell r="H23">
            <v>30621230.219999999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38685658.240000002</v>
          </cell>
        </row>
        <row r="27">
          <cell r="A27" t="str">
            <v>10255</v>
          </cell>
          <cell r="H27">
            <v>1289718.29</v>
          </cell>
        </row>
        <row r="28">
          <cell r="A28" t="str">
            <v>10256</v>
          </cell>
          <cell r="H28">
            <v>1112718.1599999999</v>
          </cell>
        </row>
        <row r="29">
          <cell r="A29" t="str">
            <v>10260</v>
          </cell>
          <cell r="H29">
            <v>0</v>
          </cell>
        </row>
        <row r="30">
          <cell r="A30" t="str">
            <v>10265</v>
          </cell>
          <cell r="H30">
            <v>3076507.99</v>
          </cell>
        </row>
        <row r="31">
          <cell r="A31" t="str">
            <v>10270</v>
          </cell>
          <cell r="H31">
            <v>1238262.96</v>
          </cell>
        </row>
        <row r="32">
          <cell r="A32" t="str">
            <v>10280</v>
          </cell>
          <cell r="H32">
            <v>563903.84</v>
          </cell>
        </row>
        <row r="33">
          <cell r="A33" t="str">
            <v>10285</v>
          </cell>
          <cell r="H33">
            <v>32631583.890000001</v>
          </cell>
        </row>
        <row r="34">
          <cell r="A34" t="str">
            <v>10293</v>
          </cell>
          <cell r="H34">
            <v>19398533.77</v>
          </cell>
        </row>
        <row r="35">
          <cell r="A35" t="str">
            <v>10305</v>
          </cell>
          <cell r="H35">
            <v>5695.28</v>
          </cell>
        </row>
        <row r="36">
          <cell r="A36" t="str">
            <v>10310</v>
          </cell>
          <cell r="H36">
            <v>9197764.1199999992</v>
          </cell>
        </row>
        <row r="37">
          <cell r="A37" t="str">
            <v>10316</v>
          </cell>
          <cell r="H37">
            <v>12133425.6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701981.85</v>
          </cell>
        </row>
        <row r="41">
          <cell r="A41" t="str">
            <v>10342</v>
          </cell>
          <cell r="H41">
            <v>39332181.689999998</v>
          </cell>
        </row>
        <row r="42">
          <cell r="A42" t="str">
            <v>10343</v>
          </cell>
          <cell r="H42">
            <v>22595219.57</v>
          </cell>
        </row>
        <row r="43">
          <cell r="A43" t="str">
            <v>10344</v>
          </cell>
          <cell r="H43">
            <v>5186481.67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5460548.8099999996</v>
          </cell>
        </row>
        <row r="46">
          <cell r="A46" t="str">
            <v>10500</v>
          </cell>
          <cell r="H46">
            <v>0</v>
          </cell>
        </row>
        <row r="47">
          <cell r="A47" t="str">
            <v>10752</v>
          </cell>
          <cell r="H47">
            <v>4727752.9000000004</v>
          </cell>
        </row>
        <row r="48">
          <cell r="A48" t="str">
            <v>10801</v>
          </cell>
          <cell r="H48">
            <v>434160.53</v>
          </cell>
        </row>
        <row r="49">
          <cell r="A49" t="str">
            <v>10803</v>
          </cell>
          <cell r="H49">
            <v>2044.37</v>
          </cell>
        </row>
        <row r="50">
          <cell r="A50" t="str">
            <v>11000</v>
          </cell>
          <cell r="H50">
            <v>172662378.19999999</v>
          </cell>
        </row>
        <row r="51">
          <cell r="A51" t="str">
            <v>12100</v>
          </cell>
          <cell r="H51">
            <v>55700816.210000001</v>
          </cell>
        </row>
        <row r="52">
          <cell r="A52" t="str">
            <v>13002</v>
          </cell>
          <cell r="H52">
            <v>1440000</v>
          </cell>
        </row>
        <row r="53">
          <cell r="A53" t="str">
            <v>13003</v>
          </cell>
          <cell r="H53">
            <v>373940066.38999999</v>
          </cell>
        </row>
        <row r="54">
          <cell r="A54" t="str">
            <v>13004</v>
          </cell>
          <cell r="H54">
            <v>18152149.399999999</v>
          </cell>
        </row>
        <row r="55">
          <cell r="A55" t="str">
            <v>13010</v>
          </cell>
          <cell r="H55">
            <v>28210000.030000001</v>
          </cell>
        </row>
        <row r="56">
          <cell r="A56" t="str">
            <v>13023</v>
          </cell>
          <cell r="H56">
            <v>420002</v>
          </cell>
        </row>
        <row r="57">
          <cell r="A57" t="str">
            <v>13116</v>
          </cell>
          <cell r="H57">
            <v>51900</v>
          </cell>
        </row>
        <row r="58">
          <cell r="A58" t="str">
            <v>13120</v>
          </cell>
          <cell r="H58">
            <v>240236002.88</v>
          </cell>
        </row>
        <row r="59">
          <cell r="A59" t="str">
            <v>13130</v>
          </cell>
          <cell r="H59">
            <v>14915739.15</v>
          </cell>
        </row>
        <row r="60">
          <cell r="A60" t="str">
            <v>13135</v>
          </cell>
          <cell r="H60">
            <v>6983333.4400000004</v>
          </cell>
        </row>
        <row r="61">
          <cell r="A61" t="str">
            <v>13200</v>
          </cell>
          <cell r="H61">
            <v>3559099.04</v>
          </cell>
        </row>
        <row r="62">
          <cell r="A62" t="str">
            <v>13400</v>
          </cell>
          <cell r="H62">
            <v>533004810.48000002</v>
          </cell>
        </row>
        <row r="63">
          <cell r="A63" t="str">
            <v>14000</v>
          </cell>
          <cell r="H63">
            <v>-306045878.44</v>
          </cell>
        </row>
        <row r="64">
          <cell r="A64" t="str">
            <v>14001</v>
          </cell>
          <cell r="H64">
            <v>-328515069.05000001</v>
          </cell>
        </row>
        <row r="65">
          <cell r="A65" t="str">
            <v>14010</v>
          </cell>
          <cell r="H65">
            <v>159650</v>
          </cell>
        </row>
        <row r="66">
          <cell r="A66" t="str">
            <v>14016</v>
          </cell>
          <cell r="H66">
            <v>24786952.16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38385442.920000002</v>
          </cell>
        </row>
        <row r="69">
          <cell r="A69" t="str">
            <v>15100</v>
          </cell>
          <cell r="H69">
            <v>3645000</v>
          </cell>
        </row>
        <row r="70">
          <cell r="A70" t="str">
            <v>15200</v>
          </cell>
          <cell r="H70">
            <v>340489606.66000003</v>
          </cell>
        </row>
        <row r="71">
          <cell r="A71" t="str">
            <v>15300</v>
          </cell>
          <cell r="H71">
            <v>25560780.25</v>
          </cell>
        </row>
        <row r="72">
          <cell r="A72" t="str">
            <v>15400</v>
          </cell>
          <cell r="H72">
            <v>179350495.81</v>
          </cell>
        </row>
        <row r="73">
          <cell r="A73" t="str">
            <v>15405</v>
          </cell>
          <cell r="H73">
            <v>17904365.100000001</v>
          </cell>
        </row>
        <row r="74">
          <cell r="A74" t="str">
            <v>15410</v>
          </cell>
          <cell r="H74">
            <v>4514161.5</v>
          </cell>
        </row>
        <row r="75">
          <cell r="A75" t="str">
            <v>15500</v>
          </cell>
          <cell r="H75">
            <v>61627057.890000001</v>
          </cell>
        </row>
        <row r="76">
          <cell r="A76" t="str">
            <v>15501</v>
          </cell>
          <cell r="H76">
            <v>643385951.24000001</v>
          </cell>
        </row>
        <row r="77">
          <cell r="A77" t="str">
            <v>15505</v>
          </cell>
          <cell r="H77">
            <v>8503671.5099999998</v>
          </cell>
        </row>
        <row r="78">
          <cell r="A78" t="str">
            <v>15509</v>
          </cell>
          <cell r="H78">
            <v>11400000</v>
          </cell>
        </row>
        <row r="79">
          <cell r="A79" t="str">
            <v>15510</v>
          </cell>
          <cell r="H79">
            <v>1399438542.73</v>
          </cell>
        </row>
        <row r="80">
          <cell r="A80" t="str">
            <v>15511</v>
          </cell>
          <cell r="H80">
            <v>107697884.17</v>
          </cell>
        </row>
        <row r="81">
          <cell r="A81" t="str">
            <v>16000</v>
          </cell>
          <cell r="H81">
            <v>-28277957.780000001</v>
          </cell>
        </row>
        <row r="82">
          <cell r="A82" t="str">
            <v>16100</v>
          </cell>
          <cell r="H82">
            <v>-3644980.06</v>
          </cell>
        </row>
        <row r="83">
          <cell r="A83" t="str">
            <v>16200</v>
          </cell>
          <cell r="H83">
            <v>-234591052.13</v>
          </cell>
        </row>
        <row r="84">
          <cell r="A84" t="str">
            <v>16300</v>
          </cell>
          <cell r="H84">
            <v>-15821804.18</v>
          </cell>
        </row>
        <row r="85">
          <cell r="A85" t="str">
            <v>16500</v>
          </cell>
          <cell r="H85">
            <v>-17904365.100000001</v>
          </cell>
        </row>
        <row r="86">
          <cell r="A86" t="str">
            <v>17000</v>
          </cell>
          <cell r="H86">
            <v>395576476.22000003</v>
          </cell>
        </row>
        <row r="87">
          <cell r="A87" t="str">
            <v>19007</v>
          </cell>
          <cell r="H87">
            <v>2133598880.9400001</v>
          </cell>
        </row>
        <row r="88">
          <cell r="A88" t="str">
            <v>69904</v>
          </cell>
          <cell r="H88">
            <v>-42554386.049999997</v>
          </cell>
        </row>
        <row r="89">
          <cell r="A89" t="str">
            <v>20000</v>
          </cell>
          <cell r="H89">
            <v>-269867827.79000002</v>
          </cell>
        </row>
        <row r="90">
          <cell r="A90" t="str">
            <v>20005</v>
          </cell>
          <cell r="H90">
            <v>-81524551.150000006</v>
          </cell>
        </row>
        <row r="91">
          <cell r="A91" t="str">
            <v>22100</v>
          </cell>
          <cell r="H91">
            <v>-8876353.4199999999</v>
          </cell>
        </row>
        <row r="92">
          <cell r="A92" t="str">
            <v>23000</v>
          </cell>
          <cell r="H92">
            <v>-1142340278.1400001</v>
          </cell>
        </row>
        <row r="93">
          <cell r="A93" t="str">
            <v>23001</v>
          </cell>
          <cell r="H93">
            <v>17878240.68</v>
          </cell>
        </row>
        <row r="94">
          <cell r="A94" t="str">
            <v>23010</v>
          </cell>
          <cell r="H94">
            <v>-46250689.159999996</v>
          </cell>
        </row>
        <row r="95">
          <cell r="A95" t="str">
            <v>23015</v>
          </cell>
          <cell r="H95">
            <v>-141375.29999999999</v>
          </cell>
        </row>
        <row r="96">
          <cell r="A96" t="str">
            <v>23040</v>
          </cell>
          <cell r="H96">
            <v>-8039479.04</v>
          </cell>
        </row>
        <row r="97">
          <cell r="A97" t="str">
            <v>23400</v>
          </cell>
          <cell r="H97">
            <v>-1370820450.97</v>
          </cell>
        </row>
        <row r="98">
          <cell r="A98" t="str">
            <v>23405</v>
          </cell>
          <cell r="H98">
            <v>904471947.03999996</v>
          </cell>
        </row>
        <row r="99">
          <cell r="A99" t="str">
            <v>23410</v>
          </cell>
          <cell r="H99">
            <v>51599186.399999999</v>
          </cell>
        </row>
        <row r="100">
          <cell r="A100" t="str">
            <v>23420</v>
          </cell>
          <cell r="H100">
            <v>-18356285</v>
          </cell>
        </row>
        <row r="101">
          <cell r="A101" t="str">
            <v>23425</v>
          </cell>
          <cell r="H101">
            <v>-32949171.219999999</v>
          </cell>
        </row>
        <row r="102">
          <cell r="A102" t="str">
            <v>24010</v>
          </cell>
          <cell r="H102">
            <v>-23450689.16</v>
          </cell>
        </row>
        <row r="103">
          <cell r="A103" t="str">
            <v>24100</v>
          </cell>
          <cell r="H103">
            <v>0.35</v>
          </cell>
        </row>
        <row r="104">
          <cell r="A104" t="str">
            <v>30005</v>
          </cell>
          <cell r="H104">
            <v>96238158.140000001</v>
          </cell>
        </row>
        <row r="105">
          <cell r="A105" t="str">
            <v>30035</v>
          </cell>
          <cell r="H105">
            <v>101787277.34999999</v>
          </cell>
        </row>
        <row r="106">
          <cell r="A106" t="str">
            <v>30040</v>
          </cell>
          <cell r="H106">
            <v>-107359858</v>
          </cell>
        </row>
        <row r="107">
          <cell r="A107" t="str">
            <v>30042</v>
          </cell>
          <cell r="H107">
            <v>-7359858</v>
          </cell>
        </row>
        <row r="108">
          <cell r="A108" t="str">
            <v>30043</v>
          </cell>
          <cell r="H108">
            <v>-114297251.5</v>
          </cell>
        </row>
        <row r="109">
          <cell r="A109" t="str">
            <v>30044</v>
          </cell>
          <cell r="H109">
            <v>-6360000200</v>
          </cell>
        </row>
        <row r="110">
          <cell r="A110" t="str">
            <v>32000</v>
          </cell>
          <cell r="H110">
            <v>-1121517753.3699999</v>
          </cell>
        </row>
        <row r="111">
          <cell r="A111" t="str">
            <v>40020</v>
          </cell>
          <cell r="H111">
            <v>0</v>
          </cell>
        </row>
        <row r="112">
          <cell r="A112" t="str">
            <v>40056</v>
          </cell>
          <cell r="H112">
            <v>0</v>
          </cell>
        </row>
        <row r="113">
          <cell r="A113" t="str">
            <v>40085</v>
          </cell>
          <cell r="H113">
            <v>-275219.26</v>
          </cell>
        </row>
        <row r="114">
          <cell r="A114" t="str">
            <v>40095</v>
          </cell>
          <cell r="H114">
            <v>-279069.77</v>
          </cell>
        </row>
        <row r="115">
          <cell r="A115" t="str">
            <v>40161</v>
          </cell>
          <cell r="H115">
            <v>-109696885.64000002</v>
          </cell>
        </row>
        <row r="116">
          <cell r="A116" t="str">
            <v>40162</v>
          </cell>
          <cell r="H116">
            <v>-194540540.38</v>
          </cell>
        </row>
        <row r="117">
          <cell r="A117" t="str">
            <v>40163</v>
          </cell>
          <cell r="H117">
            <v>-18090639.48</v>
          </cell>
        </row>
        <row r="118">
          <cell r="A118" t="str">
            <v>40166</v>
          </cell>
          <cell r="H118">
            <v>-59986.95</v>
          </cell>
        </row>
        <row r="119">
          <cell r="A119" t="str">
            <v>49300</v>
          </cell>
          <cell r="H119">
            <v>-15914740.76</v>
          </cell>
        </row>
        <row r="120">
          <cell r="A120" t="str">
            <v>50000</v>
          </cell>
          <cell r="H120">
            <v>275746.61</v>
          </cell>
        </row>
        <row r="121">
          <cell r="A121" t="str">
            <v>53005</v>
          </cell>
          <cell r="H121">
            <v>0</v>
          </cell>
        </row>
        <row r="122">
          <cell r="A122" t="str">
            <v>53025</v>
          </cell>
          <cell r="H122">
            <v>8079710.5700000003</v>
          </cell>
        </row>
        <row r="123">
          <cell r="A123" t="str">
            <v>53030</v>
          </cell>
          <cell r="H123">
            <v>0</v>
          </cell>
        </row>
        <row r="124">
          <cell r="A124" t="str">
            <v>53040</v>
          </cell>
          <cell r="H124">
            <v>80000</v>
          </cell>
        </row>
        <row r="125">
          <cell r="A125" t="str">
            <v>53045</v>
          </cell>
          <cell r="H125">
            <v>3561855.38</v>
          </cell>
        </row>
        <row r="126">
          <cell r="A126" t="str">
            <v>53055</v>
          </cell>
          <cell r="H126">
            <v>225440.42</v>
          </cell>
        </row>
        <row r="127">
          <cell r="A127" t="str">
            <v>53060</v>
          </cell>
          <cell r="H127">
            <v>15000</v>
          </cell>
        </row>
        <row r="128">
          <cell r="A128" t="str">
            <v>53065</v>
          </cell>
          <cell r="H128">
            <v>0</v>
          </cell>
        </row>
        <row r="129">
          <cell r="A129" t="str">
            <v>53074</v>
          </cell>
          <cell r="H129">
            <v>0</v>
          </cell>
        </row>
        <row r="130">
          <cell r="A130" t="str">
            <v>53075</v>
          </cell>
          <cell r="H130">
            <v>33000</v>
          </cell>
        </row>
        <row r="131">
          <cell r="A131" t="str">
            <v>53080</v>
          </cell>
          <cell r="H131">
            <v>-10911611.59</v>
          </cell>
        </row>
        <row r="132">
          <cell r="A132" t="str">
            <v>53090</v>
          </cell>
          <cell r="H132">
            <v>0</v>
          </cell>
        </row>
        <row r="133">
          <cell r="A133" t="str">
            <v>53095</v>
          </cell>
          <cell r="H133">
            <v>16990</v>
          </cell>
        </row>
        <row r="134">
          <cell r="A134" t="str">
            <v>53110</v>
          </cell>
          <cell r="H134">
            <v>0</v>
          </cell>
        </row>
        <row r="135">
          <cell r="A135" t="str">
            <v>53120</v>
          </cell>
          <cell r="H135">
            <v>36491740</v>
          </cell>
        </row>
        <row r="136">
          <cell r="A136" t="str">
            <v>53140</v>
          </cell>
          <cell r="H136">
            <v>21723342</v>
          </cell>
        </row>
        <row r="137">
          <cell r="A137" t="str">
            <v>60010</v>
          </cell>
          <cell r="H137">
            <v>1611111.11</v>
          </cell>
        </row>
        <row r="138">
          <cell r="A138" t="str">
            <v>60020</v>
          </cell>
          <cell r="H138">
            <v>215412.5</v>
          </cell>
        </row>
        <row r="139">
          <cell r="A139" t="str">
            <v>60025</v>
          </cell>
          <cell r="H139">
            <v>97000</v>
          </cell>
        </row>
        <row r="140">
          <cell r="A140" t="str">
            <v>60030</v>
          </cell>
          <cell r="H140">
            <v>364125</v>
          </cell>
        </row>
        <row r="141">
          <cell r="A141" t="str">
            <v>60035</v>
          </cell>
          <cell r="H141">
            <v>0</v>
          </cell>
        </row>
        <row r="142">
          <cell r="A142" t="str">
            <v>60040</v>
          </cell>
          <cell r="H142">
            <v>15000</v>
          </cell>
        </row>
        <row r="143">
          <cell r="A143" t="str">
            <v>60045</v>
          </cell>
          <cell r="H143">
            <v>2057550</v>
          </cell>
        </row>
        <row r="144">
          <cell r="A144" t="str">
            <v>60050</v>
          </cell>
          <cell r="H144">
            <v>3436813.52</v>
          </cell>
        </row>
        <row r="145">
          <cell r="A145" t="str">
            <v>60060</v>
          </cell>
          <cell r="H145">
            <v>20814662.890000001</v>
          </cell>
        </row>
        <row r="146">
          <cell r="A146" t="str">
            <v>60070</v>
          </cell>
          <cell r="H146">
            <v>5711150</v>
          </cell>
        </row>
        <row r="147">
          <cell r="A147" t="str">
            <v>60075</v>
          </cell>
          <cell r="H147">
            <v>0</v>
          </cell>
        </row>
        <row r="148">
          <cell r="A148" t="str">
            <v>60080</v>
          </cell>
          <cell r="H148">
            <v>4382340.29</v>
          </cell>
        </row>
        <row r="149">
          <cell r="A149" t="str">
            <v>60085</v>
          </cell>
          <cell r="H149">
            <v>1638686.22</v>
          </cell>
        </row>
        <row r="150">
          <cell r="A150" t="str">
            <v>60090</v>
          </cell>
          <cell r="H150">
            <v>23696145.18</v>
          </cell>
        </row>
        <row r="151">
          <cell r="A151" t="str">
            <v>60100</v>
          </cell>
          <cell r="H151">
            <v>23159528</v>
          </cell>
        </row>
        <row r="152">
          <cell r="A152" t="str">
            <v>60110</v>
          </cell>
          <cell r="H152">
            <v>0</v>
          </cell>
        </row>
        <row r="153">
          <cell r="A153" t="str">
            <v>60115</v>
          </cell>
          <cell r="H153">
            <v>28100552.799999997</v>
          </cell>
        </row>
        <row r="154">
          <cell r="A154" t="str">
            <v>60125</v>
          </cell>
          <cell r="H154">
            <v>13515773.33</v>
          </cell>
        </row>
        <row r="155">
          <cell r="A155" t="str">
            <v>60200</v>
          </cell>
          <cell r="H155">
            <v>3559788.02</v>
          </cell>
        </row>
        <row r="156">
          <cell r="A156" t="str">
            <v>60201</v>
          </cell>
          <cell r="H156">
            <v>2831386.58</v>
          </cell>
        </row>
        <row r="157">
          <cell r="A157" t="str">
            <v>60202</v>
          </cell>
          <cell r="H157">
            <v>0</v>
          </cell>
        </row>
        <row r="158">
          <cell r="A158" t="str">
            <v>60205</v>
          </cell>
          <cell r="H158">
            <v>106350.75</v>
          </cell>
        </row>
        <row r="159">
          <cell r="A159" t="str">
            <v>60206</v>
          </cell>
          <cell r="H159">
            <v>2027824.5</v>
          </cell>
        </row>
        <row r="160">
          <cell r="A160" t="str">
            <v>60210</v>
          </cell>
          <cell r="H160">
            <v>11913615.84</v>
          </cell>
        </row>
        <row r="161">
          <cell r="A161" t="str">
            <v>60211</v>
          </cell>
          <cell r="H161">
            <v>6000</v>
          </cell>
        </row>
        <row r="162">
          <cell r="A162" t="str">
            <v>60213</v>
          </cell>
          <cell r="H162">
            <v>0</v>
          </cell>
        </row>
        <row r="163">
          <cell r="A163" t="str">
            <v>60217</v>
          </cell>
          <cell r="H163">
            <v>1565500</v>
          </cell>
        </row>
        <row r="164">
          <cell r="A164" t="str">
            <v>61100</v>
          </cell>
          <cell r="H164">
            <v>2453233.17</v>
          </cell>
        </row>
        <row r="165">
          <cell r="A165" t="str">
            <v>61310</v>
          </cell>
          <cell r="H165">
            <v>167312</v>
          </cell>
        </row>
        <row r="166">
          <cell r="A166" t="str">
            <v>61315</v>
          </cell>
          <cell r="H166">
            <v>430000</v>
          </cell>
        </row>
        <row r="167">
          <cell r="A167" t="str">
            <v>61320</v>
          </cell>
          <cell r="H167">
            <v>15650</v>
          </cell>
        </row>
        <row r="168">
          <cell r="A168" t="str">
            <v>61500</v>
          </cell>
          <cell r="H168">
            <v>2071852.92</v>
          </cell>
        </row>
        <row r="169">
          <cell r="A169" t="str">
            <v>61600</v>
          </cell>
          <cell r="H169">
            <v>1703530.45</v>
          </cell>
        </row>
        <row r="170">
          <cell r="A170" t="str">
            <v>61700</v>
          </cell>
          <cell r="H170">
            <v>711155.85</v>
          </cell>
        </row>
        <row r="171">
          <cell r="A171" t="str">
            <v>62100</v>
          </cell>
          <cell r="H171">
            <v>0</v>
          </cell>
        </row>
        <row r="172">
          <cell r="A172" t="str">
            <v>62101</v>
          </cell>
          <cell r="H172">
            <v>0</v>
          </cell>
        </row>
        <row r="173">
          <cell r="A173" t="str">
            <v>62200</v>
          </cell>
          <cell r="H173">
            <v>4200</v>
          </cell>
        </row>
        <row r="174">
          <cell r="A174" t="str">
            <v>62415</v>
          </cell>
          <cell r="H174">
            <v>2853600</v>
          </cell>
        </row>
        <row r="175">
          <cell r="A175" t="str">
            <v>62420</v>
          </cell>
          <cell r="H175">
            <v>50000</v>
          </cell>
        </row>
        <row r="176">
          <cell r="A176" t="str">
            <v>62425</v>
          </cell>
          <cell r="H176">
            <v>53150</v>
          </cell>
        </row>
        <row r="177">
          <cell r="A177" t="str">
            <v>62435</v>
          </cell>
          <cell r="H177">
            <v>0</v>
          </cell>
        </row>
        <row r="178">
          <cell r="A178" t="str">
            <v>62700</v>
          </cell>
          <cell r="H178">
            <v>1883066.66</v>
          </cell>
        </row>
        <row r="179">
          <cell r="A179" t="str">
            <v>63110</v>
          </cell>
          <cell r="H179">
            <v>896450</v>
          </cell>
        </row>
        <row r="180">
          <cell r="A180" t="str">
            <v>63120</v>
          </cell>
          <cell r="H180">
            <v>608184</v>
          </cell>
        </row>
        <row r="181">
          <cell r="A181" t="str">
            <v>63125</v>
          </cell>
          <cell r="H181">
            <v>203282.25</v>
          </cell>
        </row>
        <row r="182">
          <cell r="A182" t="str">
            <v>63200</v>
          </cell>
          <cell r="H182">
            <v>0</v>
          </cell>
        </row>
        <row r="183">
          <cell r="A183" t="str">
            <v>63300</v>
          </cell>
          <cell r="H183">
            <v>716666.67</v>
          </cell>
        </row>
        <row r="184">
          <cell r="A184" t="str">
            <v>63907</v>
          </cell>
          <cell r="H184">
            <v>25581814.32</v>
          </cell>
        </row>
        <row r="185">
          <cell r="A185" t="str">
            <v>64000</v>
          </cell>
          <cell r="H185">
            <v>4149201.87</v>
          </cell>
        </row>
        <row r="186">
          <cell r="A186" t="str">
            <v>65000</v>
          </cell>
          <cell r="H186">
            <v>89583.33</v>
          </cell>
        </row>
        <row r="187">
          <cell r="A187" t="str">
            <v>65007</v>
          </cell>
          <cell r="H187">
            <v>-203093.03999999911</v>
          </cell>
        </row>
        <row r="188">
          <cell r="A188" t="str">
            <v>65015</v>
          </cell>
          <cell r="H188">
            <v>0</v>
          </cell>
        </row>
        <row r="189">
          <cell r="A189" t="str">
            <v>65031</v>
          </cell>
          <cell r="H189">
            <v>13608032.029999999</v>
          </cell>
        </row>
        <row r="190">
          <cell r="A190" t="str">
            <v>65032</v>
          </cell>
          <cell r="H190">
            <v>3155862.88</v>
          </cell>
        </row>
        <row r="191">
          <cell r="A191" t="str">
            <v>65035</v>
          </cell>
          <cell r="H191">
            <v>80602058</v>
          </cell>
        </row>
        <row r="192">
          <cell r="A192" t="str">
            <v>65036</v>
          </cell>
          <cell r="H192">
            <v>1146213.42</v>
          </cell>
        </row>
        <row r="193">
          <cell r="A193" t="str">
            <v>65037</v>
          </cell>
          <cell r="H193">
            <v>0</v>
          </cell>
        </row>
        <row r="194">
          <cell r="A194" t="str">
            <v>65095</v>
          </cell>
          <cell r="H194">
            <v>3482423.85</v>
          </cell>
        </row>
        <row r="195">
          <cell r="A195" t="str">
            <v>65100</v>
          </cell>
          <cell r="H195">
            <v>3944828.7199999997</v>
          </cell>
        </row>
        <row r="196">
          <cell r="A196" t="str">
            <v>65800</v>
          </cell>
          <cell r="H196">
            <v>0</v>
          </cell>
        </row>
        <row r="197">
          <cell r="A197" t="str">
            <v>66300</v>
          </cell>
          <cell r="H197">
            <v>0</v>
          </cell>
        </row>
        <row r="198">
          <cell r="A198" t="str">
            <v>67010</v>
          </cell>
          <cell r="H198">
            <v>0</v>
          </cell>
        </row>
        <row r="199">
          <cell r="A199" t="str">
            <v>67052</v>
          </cell>
          <cell r="H199">
            <v>0</v>
          </cell>
        </row>
        <row r="200">
          <cell r="A200" t="str">
            <v>67920</v>
          </cell>
          <cell r="H200">
            <v>4433832.6300000008</v>
          </cell>
        </row>
        <row r="201">
          <cell r="A201" t="str">
            <v>67940</v>
          </cell>
          <cell r="H201">
            <v>-9.9999999999999985E-3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0</v>
          </cell>
        </row>
        <row r="204">
          <cell r="A204" t="str">
            <v>69600</v>
          </cell>
          <cell r="H204">
            <v>3282363</v>
          </cell>
        </row>
        <row r="205">
          <cell r="A205" t="str">
            <v>69901</v>
          </cell>
          <cell r="H205">
            <v>2415886.9</v>
          </cell>
        </row>
        <row r="206">
          <cell r="A206" t="str">
            <v>69903</v>
          </cell>
          <cell r="H206">
            <v>2489574.23</v>
          </cell>
        </row>
      </sheetData>
      <sheetData sheetId="1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138752.41</v>
          </cell>
        </row>
        <row r="7">
          <cell r="A7" t="str">
            <v>10104</v>
          </cell>
          <cell r="H7">
            <v>6140039.6399999997</v>
          </cell>
        </row>
        <row r="8">
          <cell r="A8" t="str">
            <v>10105</v>
          </cell>
          <cell r="H8">
            <v>1500499973.51</v>
          </cell>
        </row>
        <row r="9">
          <cell r="A9" t="str">
            <v>10107</v>
          </cell>
          <cell r="H9">
            <v>863450446.94000006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68719139.319999993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74508380.879999995</v>
          </cell>
        </row>
        <row r="20">
          <cell r="A20" t="str">
            <v>10225</v>
          </cell>
          <cell r="H20">
            <v>217664278.13</v>
          </cell>
        </row>
        <row r="21">
          <cell r="A21" t="str">
            <v>10226</v>
          </cell>
          <cell r="H21">
            <v>6192075.3399999999</v>
          </cell>
        </row>
        <row r="22">
          <cell r="A22" t="str">
            <v>10227</v>
          </cell>
          <cell r="H22">
            <v>10838955.550000001</v>
          </cell>
        </row>
        <row r="23">
          <cell r="A23" t="str">
            <v>10235</v>
          </cell>
          <cell r="H23">
            <v>30621230.219999999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716236.49</v>
          </cell>
        </row>
        <row r="27">
          <cell r="A27" t="str">
            <v>10255</v>
          </cell>
          <cell r="H27">
            <v>2633768.06</v>
          </cell>
        </row>
        <row r="28">
          <cell r="A28" t="str">
            <v>10256</v>
          </cell>
          <cell r="H28">
            <v>1114440.3899999999</v>
          </cell>
        </row>
        <row r="29">
          <cell r="A29" t="str">
            <v>10260</v>
          </cell>
          <cell r="H29">
            <v>0</v>
          </cell>
        </row>
        <row r="30">
          <cell r="A30" t="str">
            <v>10265</v>
          </cell>
          <cell r="H30">
            <v>3061043.29</v>
          </cell>
        </row>
        <row r="31">
          <cell r="A31" t="str">
            <v>10270</v>
          </cell>
          <cell r="H31">
            <v>697187.96</v>
          </cell>
        </row>
        <row r="32">
          <cell r="A32" t="str">
            <v>10280</v>
          </cell>
          <cell r="H32">
            <v>563903.84</v>
          </cell>
        </row>
        <row r="33">
          <cell r="A33" t="str">
            <v>10285</v>
          </cell>
          <cell r="H33">
            <v>19433033.890000001</v>
          </cell>
        </row>
        <row r="34">
          <cell r="A34" t="str">
            <v>10293</v>
          </cell>
          <cell r="H34">
            <v>19426934.670000002</v>
          </cell>
        </row>
        <row r="35">
          <cell r="A35" t="str">
            <v>10305</v>
          </cell>
          <cell r="H35">
            <v>4695.28</v>
          </cell>
        </row>
        <row r="36">
          <cell r="A36" t="str">
            <v>10310</v>
          </cell>
          <cell r="H36">
            <v>1718680.12</v>
          </cell>
        </row>
        <row r="37">
          <cell r="A37" t="str">
            <v>10316</v>
          </cell>
          <cell r="H37">
            <v>11204354.77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1011823.85</v>
          </cell>
        </row>
        <row r="41">
          <cell r="A41" t="str">
            <v>10342</v>
          </cell>
          <cell r="H41">
            <v>17263899.359999999</v>
          </cell>
        </row>
        <row r="42">
          <cell r="A42" t="str">
            <v>10343</v>
          </cell>
          <cell r="H42">
            <v>22485242.609999999</v>
          </cell>
        </row>
        <row r="43">
          <cell r="A43" t="str">
            <v>10344</v>
          </cell>
          <cell r="H43">
            <v>1748498.56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5458755.71</v>
          </cell>
        </row>
        <row r="46">
          <cell r="A46" t="str">
            <v>10801</v>
          </cell>
          <cell r="H46">
            <v>211364.63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175308641.75999999</v>
          </cell>
        </row>
        <row r="49">
          <cell r="A49" t="str">
            <v>12100</v>
          </cell>
          <cell r="H49">
            <v>55976562.82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368729112.16000003</v>
          </cell>
        </row>
        <row r="52">
          <cell r="A52" t="str">
            <v>13004</v>
          </cell>
          <cell r="H52">
            <v>2499043.81</v>
          </cell>
        </row>
        <row r="53">
          <cell r="A53" t="str">
            <v>13010</v>
          </cell>
          <cell r="H53">
            <v>30064125.859999999</v>
          </cell>
        </row>
        <row r="54">
          <cell r="A54" t="str">
            <v>13116</v>
          </cell>
          <cell r="H54">
            <v>55100</v>
          </cell>
        </row>
        <row r="55">
          <cell r="A55" t="str">
            <v>13120</v>
          </cell>
          <cell r="H55">
            <v>252563544.81999999</v>
          </cell>
        </row>
        <row r="56">
          <cell r="A56" t="str">
            <v>13130</v>
          </cell>
          <cell r="H56">
            <v>21392567.75</v>
          </cell>
        </row>
        <row r="57">
          <cell r="A57" t="str">
            <v>13135</v>
          </cell>
          <cell r="H57">
            <v>9311111.2200000007</v>
          </cell>
        </row>
        <row r="58">
          <cell r="A58" t="str">
            <v>13200</v>
          </cell>
          <cell r="H58">
            <v>2218050.4700000002</v>
          </cell>
        </row>
        <row r="59">
          <cell r="A59" t="str">
            <v>13400</v>
          </cell>
          <cell r="H59">
            <v>529096062.88</v>
          </cell>
        </row>
        <row r="60">
          <cell r="A60" t="str">
            <v>14000</v>
          </cell>
          <cell r="H60">
            <v>-310074394.69</v>
          </cell>
        </row>
        <row r="61">
          <cell r="A61" t="str">
            <v>14001</v>
          </cell>
          <cell r="H61">
            <v>-328516060.98000002</v>
          </cell>
        </row>
        <row r="62">
          <cell r="A62" t="str">
            <v>14010</v>
          </cell>
          <cell r="H62">
            <v>380050</v>
          </cell>
        </row>
        <row r="63">
          <cell r="A63" t="str">
            <v>14016</v>
          </cell>
          <cell r="H63">
            <v>24641562.16</v>
          </cell>
        </row>
        <row r="64">
          <cell r="A64" t="str">
            <v>14021</v>
          </cell>
          <cell r="H64">
            <v>1721338.5</v>
          </cell>
        </row>
        <row r="65">
          <cell r="A65" t="str">
            <v>15000</v>
          </cell>
          <cell r="H65">
            <v>38385442.920000002</v>
          </cell>
        </row>
        <row r="66">
          <cell r="A66" t="str">
            <v>15100</v>
          </cell>
          <cell r="H66">
            <v>3645000</v>
          </cell>
        </row>
        <row r="67">
          <cell r="A67" t="str">
            <v>15200</v>
          </cell>
          <cell r="H67">
            <v>326910706.66000003</v>
          </cell>
        </row>
        <row r="68">
          <cell r="A68" t="str">
            <v>15300</v>
          </cell>
          <cell r="H68">
            <v>25560780.25</v>
          </cell>
        </row>
        <row r="69">
          <cell r="A69" t="str">
            <v>15400</v>
          </cell>
          <cell r="H69">
            <v>179350495.81</v>
          </cell>
        </row>
        <row r="70">
          <cell r="A70" t="str">
            <v>15405</v>
          </cell>
          <cell r="H70">
            <v>17904365.100000001</v>
          </cell>
        </row>
        <row r="71">
          <cell r="A71" t="str">
            <v>15410</v>
          </cell>
          <cell r="H71">
            <v>4514161.5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643385951.24000001</v>
          </cell>
        </row>
        <row r="74">
          <cell r="A74" t="str">
            <v>15505</v>
          </cell>
          <cell r="H74">
            <v>8503671.5099999998</v>
          </cell>
        </row>
        <row r="75">
          <cell r="A75" t="str">
            <v>15509</v>
          </cell>
          <cell r="H75">
            <v>10400000</v>
          </cell>
        </row>
        <row r="76">
          <cell r="A76" t="str">
            <v>15510</v>
          </cell>
          <cell r="H76">
            <v>1381601549.5599999</v>
          </cell>
        </row>
        <row r="77">
          <cell r="A77" t="str">
            <v>15511</v>
          </cell>
          <cell r="H77">
            <v>98267389.469999999</v>
          </cell>
        </row>
        <row r="78">
          <cell r="A78" t="str">
            <v>16000</v>
          </cell>
          <cell r="H78">
            <v>-28083286.690000001</v>
          </cell>
        </row>
        <row r="79">
          <cell r="A79" t="str">
            <v>16100</v>
          </cell>
          <cell r="H79">
            <v>-3644980.06</v>
          </cell>
        </row>
        <row r="80">
          <cell r="A80" t="str">
            <v>16200</v>
          </cell>
          <cell r="H80">
            <v>-230911083.84999999</v>
          </cell>
        </row>
        <row r="81">
          <cell r="A81" t="str">
            <v>16300</v>
          </cell>
          <cell r="H81">
            <v>-15547241.68</v>
          </cell>
        </row>
        <row r="82">
          <cell r="A82" t="str">
            <v>16500</v>
          </cell>
          <cell r="H82">
            <v>-17904365.100000001</v>
          </cell>
        </row>
        <row r="83">
          <cell r="A83" t="str">
            <v>17000</v>
          </cell>
          <cell r="H83">
            <v>389713354.81999999</v>
          </cell>
        </row>
        <row r="84">
          <cell r="A84" t="str">
            <v>19006</v>
          </cell>
          <cell r="H84">
            <v>0</v>
          </cell>
        </row>
        <row r="85">
          <cell r="A85" t="str">
            <v>19007</v>
          </cell>
          <cell r="H85">
            <v>2424086685.0999999</v>
          </cell>
        </row>
        <row r="86">
          <cell r="A86" t="str">
            <v>69904</v>
          </cell>
          <cell r="H86">
            <v>-40138499.149999999</v>
          </cell>
        </row>
        <row r="87">
          <cell r="A87" t="str">
            <v>20000</v>
          </cell>
          <cell r="H87">
            <v>-287170482.99000001</v>
          </cell>
        </row>
        <row r="88">
          <cell r="A88" t="str">
            <v>20005</v>
          </cell>
          <cell r="H88">
            <v>-95827344</v>
          </cell>
        </row>
        <row r="89">
          <cell r="A89" t="str">
            <v>22100</v>
          </cell>
          <cell r="H89">
            <v>-8876353.4199999999</v>
          </cell>
        </row>
        <row r="90">
          <cell r="A90" t="str">
            <v>23000</v>
          </cell>
          <cell r="H90">
            <v>-1271621439.04</v>
          </cell>
        </row>
        <row r="91">
          <cell r="A91" t="str">
            <v>23001</v>
          </cell>
          <cell r="H91">
            <v>-212398.79</v>
          </cell>
        </row>
        <row r="92">
          <cell r="A92" t="str">
            <v>23010</v>
          </cell>
          <cell r="H92">
            <v>-56676797.030000001</v>
          </cell>
        </row>
        <row r="93">
          <cell r="A93" t="str">
            <v>23015</v>
          </cell>
          <cell r="H93">
            <v>0.25</v>
          </cell>
        </row>
        <row r="94">
          <cell r="A94" t="str">
            <v>23040</v>
          </cell>
          <cell r="H94">
            <v>-8777176.3599999994</v>
          </cell>
        </row>
        <row r="95">
          <cell r="A95" t="str">
            <v>23400</v>
          </cell>
          <cell r="H95">
            <v>-1392325178.8800001</v>
          </cell>
        </row>
        <row r="96">
          <cell r="A96" t="str">
            <v>23405</v>
          </cell>
          <cell r="H96">
            <v>904471947.03999996</v>
          </cell>
        </row>
        <row r="97">
          <cell r="A97" t="str">
            <v>23410</v>
          </cell>
          <cell r="H97">
            <v>51599186.399999999</v>
          </cell>
        </row>
        <row r="98">
          <cell r="A98" t="str">
            <v>23420</v>
          </cell>
          <cell r="H98">
            <v>-13394759.960000001</v>
          </cell>
        </row>
        <row r="99">
          <cell r="A99" t="str">
            <v>23425</v>
          </cell>
          <cell r="H99">
            <v>-32949171.219999999</v>
          </cell>
        </row>
        <row r="100">
          <cell r="A100" t="str">
            <v>24010</v>
          </cell>
          <cell r="H100">
            <v>-24918602.050000001</v>
          </cell>
        </row>
        <row r="101">
          <cell r="A101" t="str">
            <v>24100</v>
          </cell>
          <cell r="H101">
            <v>0.35</v>
          </cell>
        </row>
        <row r="102">
          <cell r="A102" t="str">
            <v>30005</v>
          </cell>
          <cell r="H102">
            <v>96238158.140000001</v>
          </cell>
        </row>
        <row r="103">
          <cell r="A103" t="str">
            <v>30035</v>
          </cell>
          <cell r="H103">
            <v>101787277.34999999</v>
          </cell>
        </row>
        <row r="104">
          <cell r="A104" t="str">
            <v>30040</v>
          </cell>
          <cell r="H104">
            <v>-107359858</v>
          </cell>
        </row>
        <row r="105">
          <cell r="A105" t="str">
            <v>30042</v>
          </cell>
          <cell r="H105">
            <v>-7359858</v>
          </cell>
        </row>
        <row r="106">
          <cell r="A106" t="str">
            <v>30043</v>
          </cell>
          <cell r="H106">
            <v>-114297251.5</v>
          </cell>
        </row>
        <row r="107">
          <cell r="A107" t="str">
            <v>30044</v>
          </cell>
          <cell r="H107">
            <v>-6360000200</v>
          </cell>
        </row>
        <row r="108">
          <cell r="A108" t="str">
            <v>32000</v>
          </cell>
          <cell r="H108">
            <v>-1121517753.3699999</v>
          </cell>
        </row>
        <row r="109">
          <cell r="A109" t="str">
            <v>40020</v>
          </cell>
          <cell r="H109">
            <v>0</v>
          </cell>
        </row>
        <row r="110">
          <cell r="A110" t="str">
            <v>40056</v>
          </cell>
          <cell r="H110">
            <v>0</v>
          </cell>
        </row>
        <row r="111">
          <cell r="A111" t="str">
            <v>40085</v>
          </cell>
          <cell r="H111">
            <v>-288654.21000000002</v>
          </cell>
        </row>
        <row r="112">
          <cell r="A112" t="str">
            <v>40095</v>
          </cell>
          <cell r="H112">
            <v>0</v>
          </cell>
        </row>
        <row r="113">
          <cell r="A113" t="str">
            <v>40161</v>
          </cell>
          <cell r="H113">
            <v>-508492066.73000002</v>
          </cell>
        </row>
        <row r="114">
          <cell r="A114" t="str">
            <v>40162</v>
          </cell>
          <cell r="H114">
            <v>-228666440.90000001</v>
          </cell>
        </row>
        <row r="115">
          <cell r="A115" t="str">
            <v>40163</v>
          </cell>
          <cell r="H115">
            <v>-17665110.609999999</v>
          </cell>
        </row>
        <row r="116">
          <cell r="A116" t="str">
            <v>40166</v>
          </cell>
          <cell r="H116">
            <v>-179549.99</v>
          </cell>
        </row>
        <row r="117">
          <cell r="A117" t="str">
            <v>49300</v>
          </cell>
          <cell r="H117">
            <v>-16242790.119999999</v>
          </cell>
        </row>
        <row r="118">
          <cell r="A118" t="str">
            <v>50000</v>
          </cell>
          <cell r="H118">
            <v>0</v>
          </cell>
        </row>
        <row r="119">
          <cell r="A119" t="str">
            <v>51300</v>
          </cell>
          <cell r="H119">
            <v>0</v>
          </cell>
        </row>
        <row r="120">
          <cell r="A120" t="str">
            <v>53005</v>
          </cell>
          <cell r="H120">
            <v>0</v>
          </cell>
        </row>
        <row r="121">
          <cell r="A121" t="str">
            <v>53025</v>
          </cell>
          <cell r="H121">
            <v>8872504.3900000006</v>
          </cell>
        </row>
        <row r="122">
          <cell r="A122" t="str">
            <v>53030</v>
          </cell>
          <cell r="H122">
            <v>0</v>
          </cell>
        </row>
        <row r="123">
          <cell r="A123" t="str">
            <v>53040</v>
          </cell>
          <cell r="H123">
            <v>105000</v>
          </cell>
        </row>
        <row r="124">
          <cell r="A124" t="str">
            <v>53045</v>
          </cell>
          <cell r="H124">
            <v>3708746.87</v>
          </cell>
        </row>
        <row r="125">
          <cell r="A125" t="str">
            <v>53055</v>
          </cell>
          <cell r="H125">
            <v>225440.42</v>
          </cell>
        </row>
        <row r="126">
          <cell r="A126" t="str">
            <v>53060</v>
          </cell>
          <cell r="H126">
            <v>11000</v>
          </cell>
        </row>
        <row r="127">
          <cell r="A127" t="str">
            <v>53065</v>
          </cell>
          <cell r="H127">
            <v>0</v>
          </cell>
        </row>
        <row r="128">
          <cell r="A128" t="str">
            <v>53074</v>
          </cell>
          <cell r="H128">
            <v>0</v>
          </cell>
        </row>
        <row r="129">
          <cell r="A129" t="str">
            <v>53075</v>
          </cell>
          <cell r="H129">
            <v>1478100</v>
          </cell>
        </row>
        <row r="130">
          <cell r="A130" t="str">
            <v>53080</v>
          </cell>
          <cell r="H130">
            <v>1104326.78</v>
          </cell>
        </row>
        <row r="131">
          <cell r="A131" t="str">
            <v>53090</v>
          </cell>
          <cell r="H131">
            <v>0</v>
          </cell>
        </row>
        <row r="132">
          <cell r="A132" t="str">
            <v>53095</v>
          </cell>
          <cell r="H132">
            <v>2000</v>
          </cell>
        </row>
        <row r="133">
          <cell r="A133" t="str">
            <v>53110</v>
          </cell>
          <cell r="H133">
            <v>0</v>
          </cell>
        </row>
        <row r="134">
          <cell r="A134" t="str">
            <v>53120</v>
          </cell>
          <cell r="H134">
            <v>36472986.729999997</v>
          </cell>
        </row>
        <row r="135">
          <cell r="A135" t="str">
            <v>53140</v>
          </cell>
          <cell r="H135">
            <v>21394731.190000001</v>
          </cell>
        </row>
        <row r="136">
          <cell r="A136" t="str">
            <v>60010</v>
          </cell>
          <cell r="H136">
            <v>1611111.11</v>
          </cell>
        </row>
        <row r="137">
          <cell r="A137" t="str">
            <v>60020</v>
          </cell>
          <cell r="H137">
            <v>125000</v>
          </cell>
        </row>
        <row r="138">
          <cell r="A138" t="str">
            <v>60025</v>
          </cell>
          <cell r="H138">
            <v>611700</v>
          </cell>
        </row>
        <row r="139">
          <cell r="A139" t="str">
            <v>60030</v>
          </cell>
          <cell r="H139">
            <v>0</v>
          </cell>
        </row>
        <row r="140">
          <cell r="A140" t="str">
            <v>60035</v>
          </cell>
          <cell r="H140">
            <v>0</v>
          </cell>
        </row>
        <row r="141">
          <cell r="A141" t="str">
            <v>60040</v>
          </cell>
          <cell r="H141">
            <v>12900</v>
          </cell>
        </row>
        <row r="142">
          <cell r="A142" t="str">
            <v>60045</v>
          </cell>
          <cell r="H142">
            <v>735300</v>
          </cell>
        </row>
        <row r="143">
          <cell r="A143" t="str">
            <v>60050</v>
          </cell>
          <cell r="H143">
            <v>949039.08</v>
          </cell>
        </row>
        <row r="144">
          <cell r="A144" t="str">
            <v>60060</v>
          </cell>
          <cell r="H144">
            <v>22397250.859999999</v>
          </cell>
        </row>
        <row r="145">
          <cell r="A145" t="str">
            <v>60070</v>
          </cell>
          <cell r="H145">
            <v>225100</v>
          </cell>
        </row>
        <row r="146">
          <cell r="A146" t="str">
            <v>60075</v>
          </cell>
          <cell r="H146">
            <v>0</v>
          </cell>
        </row>
        <row r="147">
          <cell r="A147" t="str">
            <v>60080</v>
          </cell>
          <cell r="H147">
            <v>8865285.1300000008</v>
          </cell>
        </row>
        <row r="148">
          <cell r="A148" t="str">
            <v>60085</v>
          </cell>
          <cell r="H148">
            <v>1638686.22</v>
          </cell>
        </row>
        <row r="149">
          <cell r="A149" t="str">
            <v>60090</v>
          </cell>
          <cell r="H149">
            <v>20032240.859999999</v>
          </cell>
        </row>
        <row r="150">
          <cell r="A150" t="str">
            <v>60100</v>
          </cell>
          <cell r="H150">
            <v>2729434.73</v>
          </cell>
        </row>
        <row r="151">
          <cell r="A151" t="str">
            <v>60110</v>
          </cell>
          <cell r="H151">
            <v>0</v>
          </cell>
        </row>
        <row r="152">
          <cell r="A152" t="str">
            <v>60115</v>
          </cell>
          <cell r="H152">
            <v>19327231.59</v>
          </cell>
        </row>
        <row r="153">
          <cell r="A153" t="str">
            <v>60125</v>
          </cell>
          <cell r="H153">
            <v>5843880</v>
          </cell>
        </row>
        <row r="154">
          <cell r="A154" t="str">
            <v>60200</v>
          </cell>
          <cell r="H154">
            <v>8036630.5099999998</v>
          </cell>
        </row>
        <row r="155">
          <cell r="A155" t="str">
            <v>60201</v>
          </cell>
          <cell r="H155">
            <v>1284390.75</v>
          </cell>
        </row>
        <row r="156">
          <cell r="A156" t="str">
            <v>60202</v>
          </cell>
          <cell r="H156">
            <v>0</v>
          </cell>
        </row>
        <row r="157">
          <cell r="A157" t="str">
            <v>60205</v>
          </cell>
          <cell r="H157">
            <v>278371.56</v>
          </cell>
        </row>
        <row r="158">
          <cell r="A158" t="str">
            <v>60206</v>
          </cell>
          <cell r="H158">
            <v>1081933.06</v>
          </cell>
        </row>
        <row r="159">
          <cell r="A159" t="str">
            <v>60210</v>
          </cell>
          <cell r="H159">
            <v>8235789.9199999999</v>
          </cell>
        </row>
        <row r="160">
          <cell r="A160" t="str">
            <v>60211</v>
          </cell>
          <cell r="H160">
            <v>0</v>
          </cell>
        </row>
        <row r="161">
          <cell r="A161" t="str">
            <v>60213</v>
          </cell>
          <cell r="H161">
            <v>0</v>
          </cell>
        </row>
        <row r="162">
          <cell r="A162" t="str">
            <v>60217</v>
          </cell>
          <cell r="H162">
            <v>0</v>
          </cell>
        </row>
        <row r="163">
          <cell r="A163" t="str">
            <v>61100</v>
          </cell>
          <cell r="H163">
            <v>2809869.77</v>
          </cell>
        </row>
        <row r="164">
          <cell r="A164" t="str">
            <v>61310</v>
          </cell>
          <cell r="H164">
            <v>237784</v>
          </cell>
        </row>
        <row r="165">
          <cell r="A165" t="str">
            <v>61315</v>
          </cell>
          <cell r="H165">
            <v>260175</v>
          </cell>
        </row>
        <row r="166">
          <cell r="A166" t="str">
            <v>61320</v>
          </cell>
          <cell r="H166">
            <v>40150</v>
          </cell>
        </row>
        <row r="167">
          <cell r="A167" t="str">
            <v>61500</v>
          </cell>
          <cell r="H167">
            <v>2222719.2799999998</v>
          </cell>
        </row>
        <row r="168">
          <cell r="A168" t="str">
            <v>61600</v>
          </cell>
          <cell r="H168">
            <v>1703530.45</v>
          </cell>
        </row>
        <row r="169">
          <cell r="A169" t="str">
            <v>61700</v>
          </cell>
          <cell r="H169">
            <v>504489.18000000005</v>
          </cell>
        </row>
        <row r="170">
          <cell r="A170" t="str">
            <v>62100</v>
          </cell>
          <cell r="H170">
            <v>200</v>
          </cell>
        </row>
        <row r="171">
          <cell r="A171" t="str">
            <v>62101</v>
          </cell>
          <cell r="H171">
            <v>0</v>
          </cell>
        </row>
        <row r="172">
          <cell r="A172" t="str">
            <v>62200</v>
          </cell>
          <cell r="H172">
            <v>163797.17000000001</v>
          </cell>
        </row>
        <row r="173">
          <cell r="A173" t="str">
            <v>62415</v>
          </cell>
          <cell r="H173">
            <v>292000</v>
          </cell>
        </row>
        <row r="174">
          <cell r="A174" t="str">
            <v>62420</v>
          </cell>
          <cell r="H174">
            <v>24999.999999999971</v>
          </cell>
        </row>
        <row r="175">
          <cell r="A175" t="str">
            <v>62425</v>
          </cell>
          <cell r="H175">
            <v>529200</v>
          </cell>
        </row>
        <row r="176">
          <cell r="A176" t="str">
            <v>62435</v>
          </cell>
          <cell r="H176">
            <v>339600</v>
          </cell>
        </row>
        <row r="177">
          <cell r="A177" t="str">
            <v>62700</v>
          </cell>
          <cell r="H177">
            <v>5527200</v>
          </cell>
        </row>
        <row r="178">
          <cell r="A178" t="str">
            <v>63110</v>
          </cell>
          <cell r="H178">
            <v>3494254.55</v>
          </cell>
        </row>
        <row r="179">
          <cell r="A179" t="str">
            <v>63120</v>
          </cell>
          <cell r="H179">
            <v>3921977.5</v>
          </cell>
        </row>
        <row r="180">
          <cell r="A180" t="str">
            <v>63125</v>
          </cell>
          <cell r="H180">
            <v>69361.5</v>
          </cell>
        </row>
        <row r="181">
          <cell r="A181" t="str">
            <v>63200</v>
          </cell>
          <cell r="H181">
            <v>500</v>
          </cell>
        </row>
        <row r="182">
          <cell r="A182" t="str">
            <v>63300</v>
          </cell>
          <cell r="H182">
            <v>1199381.2</v>
          </cell>
        </row>
        <row r="183">
          <cell r="A183" t="str">
            <v>63907</v>
          </cell>
          <cell r="H183">
            <v>21851936.370000001</v>
          </cell>
        </row>
        <row r="184">
          <cell r="A184" t="str">
            <v>64000</v>
          </cell>
          <cell r="H184">
            <v>3934053.53</v>
          </cell>
        </row>
        <row r="185">
          <cell r="A185" t="str">
            <v>65000</v>
          </cell>
          <cell r="H185">
            <v>89583.33</v>
          </cell>
        </row>
        <row r="186">
          <cell r="A186" t="str">
            <v>65007</v>
          </cell>
          <cell r="H186">
            <v>-2082.359999999404</v>
          </cell>
        </row>
        <row r="187">
          <cell r="A187" t="str">
            <v>65015</v>
          </cell>
          <cell r="H187">
            <v>0</v>
          </cell>
        </row>
        <row r="188">
          <cell r="A188" t="str">
            <v>65031</v>
          </cell>
          <cell r="H188">
            <v>13763907.050000001</v>
          </cell>
        </row>
        <row r="189">
          <cell r="A189" t="str">
            <v>65032</v>
          </cell>
          <cell r="H189">
            <v>3356401.45</v>
          </cell>
        </row>
        <row r="190">
          <cell r="A190" t="str">
            <v>65035</v>
          </cell>
          <cell r="H190">
            <v>83708633.420000002</v>
          </cell>
        </row>
        <row r="191">
          <cell r="A191" t="str">
            <v>65036</v>
          </cell>
          <cell r="H191">
            <v>1146213.42</v>
          </cell>
        </row>
        <row r="192">
          <cell r="A192" t="str">
            <v>65037</v>
          </cell>
          <cell r="H192">
            <v>0</v>
          </cell>
        </row>
        <row r="193">
          <cell r="A193" t="str">
            <v>65050</v>
          </cell>
          <cell r="H193">
            <v>0</v>
          </cell>
        </row>
        <row r="194">
          <cell r="A194" t="str">
            <v>65095</v>
          </cell>
          <cell r="H194">
            <v>4343605.45</v>
          </cell>
        </row>
        <row r="195">
          <cell r="A195" t="str">
            <v>65100</v>
          </cell>
          <cell r="H195">
            <v>4195501.9400000004</v>
          </cell>
        </row>
        <row r="196">
          <cell r="A196" t="str">
            <v>65800</v>
          </cell>
          <cell r="H196">
            <v>600000</v>
          </cell>
        </row>
        <row r="197">
          <cell r="A197" t="str">
            <v>66300</v>
          </cell>
          <cell r="H197">
            <v>0</v>
          </cell>
        </row>
        <row r="198">
          <cell r="A198" t="str">
            <v>67010</v>
          </cell>
          <cell r="H198">
            <v>0</v>
          </cell>
        </row>
        <row r="199">
          <cell r="A199" t="str">
            <v>67052</v>
          </cell>
          <cell r="H199">
            <v>134088144</v>
          </cell>
        </row>
        <row r="200">
          <cell r="A200" t="str">
            <v>67920</v>
          </cell>
          <cell r="H200">
            <v>60146857.420000002</v>
          </cell>
        </row>
        <row r="201">
          <cell r="A201" t="str">
            <v>67940</v>
          </cell>
          <cell r="H201">
            <v>-2.0000000000000004E-2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450000</v>
          </cell>
        </row>
        <row r="204">
          <cell r="A204" t="str">
            <v>69600</v>
          </cell>
          <cell r="H204">
            <v>2556900.36</v>
          </cell>
        </row>
        <row r="205">
          <cell r="A205" t="str">
            <v>69901</v>
          </cell>
          <cell r="H205">
            <v>2415886.9</v>
          </cell>
        </row>
        <row r="206">
          <cell r="A206" t="str">
            <v>69903</v>
          </cell>
          <cell r="H206">
            <v>3027752.01</v>
          </cell>
        </row>
      </sheetData>
      <sheetData sheetId="1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147752.41</v>
          </cell>
        </row>
        <row r="7">
          <cell r="A7" t="str">
            <v>10104</v>
          </cell>
          <cell r="H7">
            <v>5951281.1399999997</v>
          </cell>
        </row>
        <row r="8">
          <cell r="A8" t="str">
            <v>10105</v>
          </cell>
          <cell r="H8">
            <v>1500499973.51</v>
          </cell>
        </row>
        <row r="9">
          <cell r="A9" t="str">
            <v>10107</v>
          </cell>
          <cell r="H9">
            <v>863450446.94000006</v>
          </cell>
        </row>
        <row r="10">
          <cell r="A10" t="str">
            <v>10108</v>
          </cell>
          <cell r="H10">
            <v>1332914.6000000001</v>
          </cell>
        </row>
        <row r="11">
          <cell r="A11" t="str">
            <v>10109</v>
          </cell>
          <cell r="H11">
            <v>2361359.54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316629210.56999999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21074034.02</v>
          </cell>
        </row>
        <row r="20">
          <cell r="A20" t="str">
            <v>10225</v>
          </cell>
          <cell r="H20">
            <v>160999982.41</v>
          </cell>
        </row>
        <row r="21">
          <cell r="A21" t="str">
            <v>10226</v>
          </cell>
          <cell r="H21">
            <v>3070173.05</v>
          </cell>
        </row>
        <row r="22">
          <cell r="A22" t="str">
            <v>10227</v>
          </cell>
          <cell r="H22">
            <v>17124466.510000002</v>
          </cell>
        </row>
        <row r="23">
          <cell r="A23" t="str">
            <v>10235</v>
          </cell>
          <cell r="H23">
            <v>28941730.219999999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36979400.390000001</v>
          </cell>
        </row>
        <row r="27">
          <cell r="A27" t="str">
            <v>10255</v>
          </cell>
          <cell r="H27">
            <v>1761043.98</v>
          </cell>
        </row>
        <row r="28">
          <cell r="A28" t="str">
            <v>10256</v>
          </cell>
          <cell r="H28">
            <v>1140773.5</v>
          </cell>
        </row>
        <row r="29">
          <cell r="A29" t="str">
            <v>10260</v>
          </cell>
          <cell r="H29">
            <v>200000</v>
          </cell>
        </row>
        <row r="30">
          <cell r="A30" t="str">
            <v>10265</v>
          </cell>
          <cell r="H30">
            <v>3046053.75</v>
          </cell>
        </row>
        <row r="31">
          <cell r="A31" t="str">
            <v>10270</v>
          </cell>
          <cell r="H31">
            <v>697187.96</v>
          </cell>
        </row>
        <row r="32">
          <cell r="A32" t="str">
            <v>10280</v>
          </cell>
          <cell r="H32">
            <v>563903.84</v>
          </cell>
        </row>
        <row r="33">
          <cell r="A33" t="str">
            <v>10285</v>
          </cell>
          <cell r="H33">
            <v>19391172.23</v>
          </cell>
        </row>
        <row r="34">
          <cell r="A34" t="str">
            <v>10293</v>
          </cell>
          <cell r="H34">
            <v>19884267.420000002</v>
          </cell>
        </row>
        <row r="35">
          <cell r="A35" t="str">
            <v>10305</v>
          </cell>
          <cell r="H35">
            <v>4695.28</v>
          </cell>
        </row>
        <row r="36">
          <cell r="A36" t="str">
            <v>10310</v>
          </cell>
          <cell r="H36">
            <v>2171389.7400000002</v>
          </cell>
        </row>
        <row r="37">
          <cell r="A37" t="str">
            <v>10316</v>
          </cell>
          <cell r="H37">
            <v>8722551.3599999994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796679.6</v>
          </cell>
        </row>
        <row r="41">
          <cell r="A41" t="str">
            <v>10342</v>
          </cell>
          <cell r="H41">
            <v>28347207.940000001</v>
          </cell>
        </row>
        <row r="42">
          <cell r="A42" t="str">
            <v>10343</v>
          </cell>
          <cell r="H42">
            <v>7437409.96</v>
          </cell>
        </row>
        <row r="43">
          <cell r="A43" t="str">
            <v>10344</v>
          </cell>
          <cell r="H43">
            <v>31482083.579999998</v>
          </cell>
        </row>
        <row r="44">
          <cell r="A44" t="str">
            <v>10348</v>
          </cell>
          <cell r="H44">
            <v>0.01</v>
          </cell>
        </row>
        <row r="45">
          <cell r="A45" t="str">
            <v>10497</v>
          </cell>
          <cell r="H45">
            <v>5458755.71</v>
          </cell>
        </row>
        <row r="46">
          <cell r="A46" t="str">
            <v>10801</v>
          </cell>
          <cell r="H46">
            <v>778957297.97000003</v>
          </cell>
        </row>
        <row r="47">
          <cell r="A47" t="str">
            <v>10803</v>
          </cell>
          <cell r="H47">
            <v>2044.37</v>
          </cell>
        </row>
        <row r="48">
          <cell r="A48" t="str">
            <v>11000</v>
          </cell>
          <cell r="H48">
            <v>145474271.58000001</v>
          </cell>
        </row>
        <row r="49">
          <cell r="A49" t="str">
            <v>12100</v>
          </cell>
          <cell r="H49">
            <v>55976562.82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114426553.89</v>
          </cell>
        </row>
        <row r="52">
          <cell r="A52" t="str">
            <v>13004</v>
          </cell>
          <cell r="H52">
            <v>210000</v>
          </cell>
        </row>
        <row r="53">
          <cell r="A53" t="str">
            <v>13005</v>
          </cell>
          <cell r="H53">
            <v>0</v>
          </cell>
        </row>
        <row r="54">
          <cell r="A54" t="str">
            <v>13008</v>
          </cell>
          <cell r="H54">
            <v>0</v>
          </cell>
        </row>
        <row r="55">
          <cell r="A55" t="str">
            <v>13010</v>
          </cell>
          <cell r="H55">
            <v>29935446.899999999</v>
          </cell>
        </row>
        <row r="56">
          <cell r="A56" t="str">
            <v>13116</v>
          </cell>
          <cell r="H56">
            <v>57300</v>
          </cell>
        </row>
        <row r="57">
          <cell r="A57" t="str">
            <v>13120</v>
          </cell>
          <cell r="H57">
            <v>272448710.39999998</v>
          </cell>
        </row>
        <row r="58">
          <cell r="A58" t="str">
            <v>13130</v>
          </cell>
          <cell r="H58">
            <v>16737937.460000001</v>
          </cell>
        </row>
        <row r="59">
          <cell r="A59" t="str">
            <v>13135</v>
          </cell>
          <cell r="H59">
            <v>11638889</v>
          </cell>
        </row>
        <row r="60">
          <cell r="A60" t="str">
            <v>13200</v>
          </cell>
          <cell r="H60">
            <v>2646501.9</v>
          </cell>
        </row>
        <row r="61">
          <cell r="A61" t="str">
            <v>13400</v>
          </cell>
          <cell r="H61">
            <v>529096062.88</v>
          </cell>
        </row>
        <row r="62">
          <cell r="A62" t="str">
            <v>14000</v>
          </cell>
          <cell r="H62">
            <v>-313993615.92000002</v>
          </cell>
        </row>
        <row r="63">
          <cell r="A63" t="str">
            <v>14001</v>
          </cell>
          <cell r="H63">
            <v>-343165037.39999998</v>
          </cell>
        </row>
        <row r="64">
          <cell r="A64" t="str">
            <v>14010</v>
          </cell>
          <cell r="H64">
            <v>303050</v>
          </cell>
        </row>
        <row r="65">
          <cell r="A65" t="str">
            <v>14014</v>
          </cell>
          <cell r="H65">
            <v>0</v>
          </cell>
        </row>
        <row r="66">
          <cell r="A66" t="str">
            <v>14016</v>
          </cell>
          <cell r="H66">
            <v>24641562.16</v>
          </cell>
        </row>
        <row r="67">
          <cell r="A67" t="str">
            <v>14017</v>
          </cell>
          <cell r="H67">
            <v>0</v>
          </cell>
        </row>
        <row r="68">
          <cell r="A68" t="str">
            <v>14020</v>
          </cell>
          <cell r="H68">
            <v>0</v>
          </cell>
        </row>
        <row r="69">
          <cell r="A69" t="str">
            <v>14021</v>
          </cell>
          <cell r="H69">
            <v>1721338.5</v>
          </cell>
        </row>
        <row r="70">
          <cell r="A70" t="str">
            <v>15000</v>
          </cell>
          <cell r="H70">
            <v>38615442.920000002</v>
          </cell>
        </row>
        <row r="71">
          <cell r="A71" t="str">
            <v>15100</v>
          </cell>
          <cell r="H71">
            <v>3645000</v>
          </cell>
        </row>
        <row r="72">
          <cell r="A72" t="str">
            <v>15200</v>
          </cell>
          <cell r="H72">
            <v>326910706.66000003</v>
          </cell>
        </row>
        <row r="73">
          <cell r="A73" t="str">
            <v>15300</v>
          </cell>
          <cell r="H73">
            <v>25560780.25</v>
          </cell>
        </row>
        <row r="74">
          <cell r="A74" t="str">
            <v>15400</v>
          </cell>
          <cell r="H74">
            <v>179350495.81</v>
          </cell>
        </row>
        <row r="75">
          <cell r="A75" t="str">
            <v>15405</v>
          </cell>
          <cell r="H75">
            <v>17904365.100000001</v>
          </cell>
        </row>
        <row r="76">
          <cell r="A76" t="str">
            <v>15410</v>
          </cell>
          <cell r="H76">
            <v>4514161.5</v>
          </cell>
        </row>
        <row r="77">
          <cell r="A77" t="str">
            <v>15500</v>
          </cell>
          <cell r="H77">
            <v>61627057.890000001</v>
          </cell>
        </row>
        <row r="78">
          <cell r="A78" t="str">
            <v>15501</v>
          </cell>
          <cell r="H78">
            <v>643385951.24000001</v>
          </cell>
        </row>
        <row r="79">
          <cell r="A79" t="str">
            <v>15505</v>
          </cell>
          <cell r="H79">
            <v>8503671.5099999998</v>
          </cell>
        </row>
        <row r="80">
          <cell r="A80" t="str">
            <v>15509</v>
          </cell>
          <cell r="H80">
            <v>10400000</v>
          </cell>
        </row>
        <row r="81">
          <cell r="A81" t="str">
            <v>15510</v>
          </cell>
          <cell r="H81">
            <v>1305043294.6800001</v>
          </cell>
        </row>
        <row r="82">
          <cell r="A82" t="str">
            <v>15511</v>
          </cell>
          <cell r="H82">
            <v>88357376.590000004</v>
          </cell>
        </row>
        <row r="83">
          <cell r="A83" t="str">
            <v>16000</v>
          </cell>
          <cell r="H83">
            <v>-28118615.600000001</v>
          </cell>
        </row>
        <row r="84">
          <cell r="A84" t="str">
            <v>16100</v>
          </cell>
          <cell r="H84">
            <v>-3644980.06</v>
          </cell>
        </row>
        <row r="85">
          <cell r="A85" t="str">
            <v>16200</v>
          </cell>
          <cell r="H85">
            <v>-227446263.91</v>
          </cell>
        </row>
        <row r="86">
          <cell r="A86" t="str">
            <v>16300</v>
          </cell>
          <cell r="H86">
            <v>-15272679.18</v>
          </cell>
        </row>
        <row r="87">
          <cell r="A87" t="str">
            <v>16500</v>
          </cell>
          <cell r="H87">
            <v>-17904365.100000001</v>
          </cell>
        </row>
        <row r="88">
          <cell r="A88" t="str">
            <v>17000</v>
          </cell>
          <cell r="H88">
            <v>389713354.81999999</v>
          </cell>
        </row>
        <row r="89">
          <cell r="A89" t="str">
            <v>19006</v>
          </cell>
          <cell r="H89">
            <v>1985333.15</v>
          </cell>
        </row>
        <row r="90">
          <cell r="A90" t="str">
            <v>19007</v>
          </cell>
          <cell r="H90">
            <v>1690403830.4100001</v>
          </cell>
        </row>
        <row r="91">
          <cell r="A91" t="str">
            <v>69904</v>
          </cell>
          <cell r="H91">
            <v>-37722612.25</v>
          </cell>
        </row>
        <row r="92">
          <cell r="A92" t="str">
            <v>20000</v>
          </cell>
          <cell r="H92">
            <v>-286059984.99000001</v>
          </cell>
        </row>
        <row r="93">
          <cell r="A93" t="str">
            <v>20005</v>
          </cell>
          <cell r="H93">
            <v>-78974384.680000007</v>
          </cell>
        </row>
        <row r="94">
          <cell r="A94" t="str">
            <v>22100</v>
          </cell>
          <cell r="H94">
            <v>-8876353.4199999999</v>
          </cell>
        </row>
        <row r="95">
          <cell r="A95" t="str">
            <v>23000</v>
          </cell>
          <cell r="H95">
            <v>-1400902599.9400001</v>
          </cell>
        </row>
        <row r="96">
          <cell r="A96" t="str">
            <v>23001</v>
          </cell>
          <cell r="H96">
            <v>-18331038.280000001</v>
          </cell>
        </row>
        <row r="97">
          <cell r="A97" t="str">
            <v>23010</v>
          </cell>
          <cell r="H97">
            <v>-44746140.770000003</v>
          </cell>
        </row>
        <row r="98">
          <cell r="A98" t="str">
            <v>23015</v>
          </cell>
          <cell r="H98">
            <v>-2071695.74</v>
          </cell>
        </row>
        <row r="99">
          <cell r="A99" t="str">
            <v>23040</v>
          </cell>
          <cell r="H99">
            <v>-8293821.5800000001</v>
          </cell>
        </row>
        <row r="100">
          <cell r="A100" t="str">
            <v>23400</v>
          </cell>
          <cell r="H100">
            <v>-1372919292.0599999</v>
          </cell>
        </row>
        <row r="101">
          <cell r="A101" t="str">
            <v>23405</v>
          </cell>
          <cell r="H101">
            <v>904471947.03999996</v>
          </cell>
        </row>
        <row r="102">
          <cell r="A102" t="str">
            <v>23410</v>
          </cell>
          <cell r="H102">
            <v>51599186.399999999</v>
          </cell>
        </row>
        <row r="103">
          <cell r="A103" t="str">
            <v>23420</v>
          </cell>
          <cell r="H103">
            <v>-22639432.449999999</v>
          </cell>
        </row>
        <row r="104">
          <cell r="A104" t="str">
            <v>23425</v>
          </cell>
          <cell r="H104">
            <v>-32949171.219999999</v>
          </cell>
        </row>
        <row r="105">
          <cell r="A105" t="str">
            <v>24010</v>
          </cell>
          <cell r="H105">
            <v>-23695194.949999999</v>
          </cell>
        </row>
        <row r="106">
          <cell r="A106" t="str">
            <v>24100</v>
          </cell>
          <cell r="H106">
            <v>0.35</v>
          </cell>
        </row>
        <row r="107">
          <cell r="A107" t="str">
            <v>30005</v>
          </cell>
          <cell r="H107">
            <v>96238158.140000001</v>
          </cell>
        </row>
        <row r="108">
          <cell r="A108" t="str">
            <v>30035</v>
          </cell>
          <cell r="H108">
            <v>101787277.34999999</v>
          </cell>
        </row>
        <row r="109">
          <cell r="A109" t="str">
            <v>30040</v>
          </cell>
          <cell r="H109">
            <v>-107359858</v>
          </cell>
        </row>
        <row r="110">
          <cell r="A110" t="str">
            <v>30042</v>
          </cell>
          <cell r="H110">
            <v>-7359858</v>
          </cell>
        </row>
        <row r="111">
          <cell r="A111" t="str">
            <v>30043</v>
          </cell>
          <cell r="H111">
            <v>-114297251.5</v>
          </cell>
        </row>
        <row r="112">
          <cell r="A112" t="str">
            <v>30044</v>
          </cell>
          <cell r="H112">
            <v>-6360000200</v>
          </cell>
        </row>
        <row r="113">
          <cell r="A113" t="str">
            <v>32000</v>
          </cell>
          <cell r="H113">
            <v>-1121517753.3699999</v>
          </cell>
        </row>
        <row r="114">
          <cell r="A114" t="str">
            <v>40020</v>
          </cell>
          <cell r="H114">
            <v>0</v>
          </cell>
        </row>
        <row r="115">
          <cell r="A115" t="str">
            <v>40056</v>
          </cell>
          <cell r="H115">
            <v>46511.63</v>
          </cell>
        </row>
        <row r="116">
          <cell r="A116" t="str">
            <v>40085</v>
          </cell>
          <cell r="H116">
            <v>-158016.72</v>
          </cell>
        </row>
        <row r="117">
          <cell r="A117" t="str">
            <v>40095</v>
          </cell>
          <cell r="H117">
            <v>-837209.3</v>
          </cell>
        </row>
        <row r="118">
          <cell r="A118" t="str">
            <v>40161</v>
          </cell>
          <cell r="H118">
            <v>-196474253.28999999</v>
          </cell>
        </row>
        <row r="119">
          <cell r="A119" t="str">
            <v>40162</v>
          </cell>
          <cell r="H119">
            <v>-183672892.78</v>
          </cell>
        </row>
        <row r="120">
          <cell r="A120" t="str">
            <v>40163</v>
          </cell>
          <cell r="H120">
            <v>-20258364.849999998</v>
          </cell>
        </row>
        <row r="121">
          <cell r="A121" t="str">
            <v>49300</v>
          </cell>
          <cell r="H121">
            <v>-15462167.050000001</v>
          </cell>
        </row>
        <row r="122">
          <cell r="A122" t="str">
            <v>50000</v>
          </cell>
          <cell r="H122">
            <v>1315970.4700000002</v>
          </cell>
        </row>
        <row r="123">
          <cell r="A123" t="str">
            <v>53005</v>
          </cell>
          <cell r="H123">
            <v>0</v>
          </cell>
        </row>
        <row r="124">
          <cell r="A124" t="str">
            <v>53030</v>
          </cell>
          <cell r="H124">
            <v>0</v>
          </cell>
        </row>
        <row r="125">
          <cell r="A125" t="str">
            <v>53040</v>
          </cell>
          <cell r="H125">
            <v>80000</v>
          </cell>
        </row>
        <row r="126">
          <cell r="A126" t="str">
            <v>53045</v>
          </cell>
          <cell r="H126">
            <v>5445395.2599999998</v>
          </cell>
        </row>
        <row r="127">
          <cell r="A127" t="str">
            <v>53055</v>
          </cell>
          <cell r="H127">
            <v>225440.42</v>
          </cell>
        </row>
        <row r="128">
          <cell r="A128" t="str">
            <v>53060</v>
          </cell>
          <cell r="H128">
            <v>7500</v>
          </cell>
        </row>
        <row r="129">
          <cell r="A129" t="str">
            <v>53065</v>
          </cell>
          <cell r="H129">
            <v>0</v>
          </cell>
        </row>
        <row r="130">
          <cell r="A130" t="str">
            <v>53074</v>
          </cell>
          <cell r="H130">
            <v>1351891</v>
          </cell>
        </row>
        <row r="131">
          <cell r="A131" t="str">
            <v>53075</v>
          </cell>
          <cell r="H131">
            <v>499050</v>
          </cell>
        </row>
        <row r="132">
          <cell r="A132" t="str">
            <v>53080</v>
          </cell>
          <cell r="H132">
            <v>1744089.15</v>
          </cell>
        </row>
        <row r="133">
          <cell r="A133" t="str">
            <v>53090</v>
          </cell>
          <cell r="H133">
            <v>18000</v>
          </cell>
        </row>
        <row r="134">
          <cell r="A134" t="str">
            <v>53095</v>
          </cell>
          <cell r="H134">
            <v>2000</v>
          </cell>
        </row>
        <row r="135">
          <cell r="A135" t="str">
            <v>53110</v>
          </cell>
          <cell r="H135">
            <v>0</v>
          </cell>
        </row>
        <row r="136">
          <cell r="A136" t="str">
            <v>53120</v>
          </cell>
          <cell r="H136">
            <v>38776192.149999999</v>
          </cell>
        </row>
        <row r="137">
          <cell r="A137" t="str">
            <v>53140</v>
          </cell>
          <cell r="H137">
            <v>55078259.93</v>
          </cell>
        </row>
        <row r="138">
          <cell r="A138" t="str">
            <v>60010</v>
          </cell>
          <cell r="H138">
            <v>-3166666.6799999997</v>
          </cell>
        </row>
        <row r="139">
          <cell r="A139" t="str">
            <v>60020</v>
          </cell>
          <cell r="H139">
            <v>183000</v>
          </cell>
        </row>
        <row r="140">
          <cell r="A140" t="str">
            <v>60025</v>
          </cell>
          <cell r="H140">
            <v>364000</v>
          </cell>
        </row>
        <row r="141">
          <cell r="A141" t="str">
            <v>60030</v>
          </cell>
          <cell r="H141">
            <v>0</v>
          </cell>
        </row>
        <row r="142">
          <cell r="A142" t="str">
            <v>60035</v>
          </cell>
          <cell r="H142">
            <v>0</v>
          </cell>
        </row>
        <row r="143">
          <cell r="A143" t="str">
            <v>60040</v>
          </cell>
          <cell r="H143">
            <v>33900</v>
          </cell>
        </row>
        <row r="144">
          <cell r="A144" t="str">
            <v>60045</v>
          </cell>
          <cell r="H144">
            <v>830300</v>
          </cell>
        </row>
        <row r="145">
          <cell r="A145" t="str">
            <v>60050</v>
          </cell>
          <cell r="H145">
            <v>1269072.5</v>
          </cell>
        </row>
        <row r="146">
          <cell r="A146" t="str">
            <v>60060</v>
          </cell>
          <cell r="H146">
            <v>25126203.640000001</v>
          </cell>
        </row>
        <row r="147">
          <cell r="A147" t="str">
            <v>60070</v>
          </cell>
          <cell r="H147">
            <v>105685</v>
          </cell>
        </row>
        <row r="148">
          <cell r="A148" t="str">
            <v>60075</v>
          </cell>
          <cell r="H148">
            <v>2902000</v>
          </cell>
        </row>
        <row r="149">
          <cell r="A149" t="str">
            <v>60080</v>
          </cell>
          <cell r="H149">
            <v>608644</v>
          </cell>
        </row>
        <row r="150">
          <cell r="A150" t="str">
            <v>60085</v>
          </cell>
          <cell r="H150">
            <v>1638686.22</v>
          </cell>
        </row>
        <row r="151">
          <cell r="A151" t="str">
            <v>60090</v>
          </cell>
          <cell r="H151">
            <v>10875660.610000001</v>
          </cell>
        </row>
        <row r="152">
          <cell r="A152" t="str">
            <v>60100</v>
          </cell>
          <cell r="H152">
            <v>784810.01</v>
          </cell>
        </row>
        <row r="153">
          <cell r="A153" t="str">
            <v>60110</v>
          </cell>
          <cell r="H153">
            <v>0</v>
          </cell>
        </row>
        <row r="154">
          <cell r="A154" t="str">
            <v>60115</v>
          </cell>
          <cell r="H154">
            <v>31540268.07</v>
          </cell>
        </row>
        <row r="155">
          <cell r="A155" t="str">
            <v>60125</v>
          </cell>
          <cell r="H155">
            <v>10197133.34</v>
          </cell>
        </row>
        <row r="156">
          <cell r="A156" t="str">
            <v>60201</v>
          </cell>
          <cell r="H156">
            <v>1148915.1200000001</v>
          </cell>
        </row>
        <row r="157">
          <cell r="A157" t="str">
            <v>60202</v>
          </cell>
          <cell r="H157">
            <v>0</v>
          </cell>
        </row>
        <row r="158">
          <cell r="A158" t="str">
            <v>60205</v>
          </cell>
          <cell r="H158">
            <v>64350</v>
          </cell>
        </row>
        <row r="159">
          <cell r="A159" t="str">
            <v>60206</v>
          </cell>
          <cell r="H159">
            <v>390000</v>
          </cell>
        </row>
        <row r="160">
          <cell r="A160" t="str">
            <v>60210</v>
          </cell>
          <cell r="H160">
            <v>3014733.25</v>
          </cell>
        </row>
        <row r="161">
          <cell r="A161" t="str">
            <v>60211</v>
          </cell>
          <cell r="H161">
            <v>0</v>
          </cell>
        </row>
        <row r="162">
          <cell r="A162" t="str">
            <v>60213</v>
          </cell>
          <cell r="H162">
            <v>0</v>
          </cell>
        </row>
        <row r="163">
          <cell r="A163" t="str">
            <v>60217</v>
          </cell>
          <cell r="H163">
            <v>0</v>
          </cell>
        </row>
        <row r="164">
          <cell r="A164" t="str">
            <v>61100</v>
          </cell>
          <cell r="H164">
            <v>2116946.19</v>
          </cell>
        </row>
        <row r="165">
          <cell r="A165" t="str">
            <v>61310</v>
          </cell>
          <cell r="H165">
            <v>163270</v>
          </cell>
        </row>
        <row r="166">
          <cell r="A166" t="str">
            <v>61315</v>
          </cell>
          <cell r="H166">
            <v>30000</v>
          </cell>
        </row>
        <row r="167">
          <cell r="A167" t="str">
            <v>61320</v>
          </cell>
          <cell r="H167">
            <v>15650</v>
          </cell>
        </row>
        <row r="168">
          <cell r="A168" t="str">
            <v>61500</v>
          </cell>
          <cell r="H168">
            <v>2274555.2799999998</v>
          </cell>
        </row>
        <row r="169">
          <cell r="A169" t="str">
            <v>61600</v>
          </cell>
          <cell r="H169">
            <v>1703530.45</v>
          </cell>
        </row>
        <row r="170">
          <cell r="A170" t="str">
            <v>61700</v>
          </cell>
          <cell r="H170">
            <v>866530.28</v>
          </cell>
        </row>
        <row r="171">
          <cell r="A171" t="str">
            <v>62101</v>
          </cell>
          <cell r="H171">
            <v>0</v>
          </cell>
        </row>
        <row r="172">
          <cell r="A172" t="str">
            <v>62200</v>
          </cell>
          <cell r="H172">
            <v>1845000</v>
          </cell>
        </row>
        <row r="173">
          <cell r="A173" t="str">
            <v>62415</v>
          </cell>
          <cell r="H173">
            <v>17500</v>
          </cell>
        </row>
        <row r="174">
          <cell r="A174" t="str">
            <v>62420</v>
          </cell>
          <cell r="H174">
            <v>50000</v>
          </cell>
        </row>
        <row r="175">
          <cell r="A175" t="str">
            <v>62425</v>
          </cell>
          <cell r="H175">
            <v>432488</v>
          </cell>
        </row>
        <row r="176">
          <cell r="A176" t="str">
            <v>62435</v>
          </cell>
          <cell r="H176">
            <v>1071150</v>
          </cell>
        </row>
        <row r="177">
          <cell r="A177" t="str">
            <v>62700</v>
          </cell>
          <cell r="H177">
            <v>990481.2</v>
          </cell>
        </row>
        <row r="178">
          <cell r="A178" t="str">
            <v>63110</v>
          </cell>
          <cell r="H178">
            <v>1074523.57</v>
          </cell>
        </row>
        <row r="179">
          <cell r="A179" t="str">
            <v>63120</v>
          </cell>
          <cell r="H179">
            <v>5443965.9699999997</v>
          </cell>
        </row>
        <row r="180">
          <cell r="A180" t="str">
            <v>63125</v>
          </cell>
          <cell r="H180">
            <v>65730.75</v>
          </cell>
        </row>
        <row r="181">
          <cell r="A181" t="str">
            <v>63200</v>
          </cell>
          <cell r="H181">
            <v>0</v>
          </cell>
        </row>
        <row r="182">
          <cell r="A182" t="str">
            <v>63300</v>
          </cell>
          <cell r="H182">
            <v>5016666.67</v>
          </cell>
        </row>
        <row r="183">
          <cell r="A183" t="str">
            <v>63905</v>
          </cell>
          <cell r="H183">
            <v>0</v>
          </cell>
        </row>
        <row r="184">
          <cell r="A184" t="str">
            <v>63907</v>
          </cell>
          <cell r="H184">
            <v>79629030.950000003</v>
          </cell>
        </row>
        <row r="185">
          <cell r="A185" t="str">
            <v>64000</v>
          </cell>
          <cell r="H185">
            <v>3940470.2</v>
          </cell>
        </row>
        <row r="186">
          <cell r="A186" t="str">
            <v>65000</v>
          </cell>
          <cell r="H186">
            <v>89583.33</v>
          </cell>
        </row>
        <row r="187">
          <cell r="A187" t="str">
            <v>65007</v>
          </cell>
          <cell r="H187">
            <v>-918971.03999999911</v>
          </cell>
        </row>
        <row r="188">
          <cell r="A188" t="str">
            <v>65015</v>
          </cell>
          <cell r="H188">
            <v>0</v>
          </cell>
        </row>
        <row r="189">
          <cell r="A189" t="str">
            <v>65031</v>
          </cell>
          <cell r="H189">
            <v>13338607.07</v>
          </cell>
        </row>
        <row r="190">
          <cell r="A190" t="str">
            <v>65032</v>
          </cell>
          <cell r="H190">
            <v>3255030.33</v>
          </cell>
        </row>
        <row r="191">
          <cell r="A191" t="str">
            <v>65035</v>
          </cell>
          <cell r="H191">
            <v>78514097.719999999</v>
          </cell>
        </row>
        <row r="192">
          <cell r="A192" t="str">
            <v>65036</v>
          </cell>
          <cell r="H192">
            <v>1146213.42</v>
          </cell>
        </row>
        <row r="193">
          <cell r="A193" t="str">
            <v>65037</v>
          </cell>
          <cell r="H193">
            <v>0</v>
          </cell>
        </row>
        <row r="194">
          <cell r="A194" t="str">
            <v>65095</v>
          </cell>
          <cell r="H194">
            <v>5198259.92</v>
          </cell>
        </row>
        <row r="195">
          <cell r="A195" t="str">
            <v>65100</v>
          </cell>
          <cell r="H195">
            <v>4068788.05</v>
          </cell>
        </row>
        <row r="196">
          <cell r="A196" t="str">
            <v>65800</v>
          </cell>
          <cell r="H196">
            <v>86000</v>
          </cell>
        </row>
        <row r="197">
          <cell r="A197" t="str">
            <v>66300</v>
          </cell>
          <cell r="H197">
            <v>0</v>
          </cell>
        </row>
        <row r="198">
          <cell r="A198" t="str">
            <v>67010</v>
          </cell>
          <cell r="H198">
            <v>35518386.560000002</v>
          </cell>
        </row>
        <row r="199">
          <cell r="A199" t="str">
            <v>67052</v>
          </cell>
          <cell r="H199">
            <v>0</v>
          </cell>
        </row>
        <row r="200">
          <cell r="A200" t="str">
            <v>67920</v>
          </cell>
          <cell r="H200">
            <v>102896938.59999998</v>
          </cell>
        </row>
        <row r="201">
          <cell r="A201" t="str">
            <v>67940</v>
          </cell>
          <cell r="H201">
            <v>9.9999999999999985E-3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0</v>
          </cell>
        </row>
        <row r="204">
          <cell r="A204" t="str">
            <v>69600</v>
          </cell>
          <cell r="H204">
            <v>2878666.67</v>
          </cell>
        </row>
        <row r="205">
          <cell r="A205" t="str">
            <v>69901</v>
          </cell>
          <cell r="H205">
            <v>2415886.9</v>
          </cell>
        </row>
        <row r="206">
          <cell r="A206" t="str">
            <v>69903</v>
          </cell>
          <cell r="H206">
            <v>2682570.0499999998</v>
          </cell>
        </row>
      </sheetData>
      <sheetData sheetId="1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110352.41</v>
          </cell>
        </row>
        <row r="7">
          <cell r="A7" t="str">
            <v>10104</v>
          </cell>
          <cell r="H7">
            <v>5016168.03</v>
          </cell>
        </row>
        <row r="8">
          <cell r="A8" t="str">
            <v>10105</v>
          </cell>
          <cell r="H8">
            <v>1500499973.51</v>
          </cell>
        </row>
        <row r="9">
          <cell r="A9" t="str">
            <v>10107</v>
          </cell>
          <cell r="H9">
            <v>863450446.94000006</v>
          </cell>
        </row>
        <row r="10">
          <cell r="A10" t="str">
            <v>10108</v>
          </cell>
          <cell r="H10">
            <v>735318.6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321793586.81999999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16003068.1</v>
          </cell>
        </row>
        <row r="20">
          <cell r="A20" t="str">
            <v>10224</v>
          </cell>
          <cell r="H20">
            <v>0</v>
          </cell>
        </row>
        <row r="21">
          <cell r="A21" t="str">
            <v>10225</v>
          </cell>
          <cell r="H21">
            <v>17702982.41</v>
          </cell>
        </row>
        <row r="22">
          <cell r="A22" t="str">
            <v>10226</v>
          </cell>
          <cell r="H22">
            <v>7516604.8899999997</v>
          </cell>
        </row>
        <row r="23">
          <cell r="A23" t="str">
            <v>10227</v>
          </cell>
          <cell r="H23">
            <v>9625581.9000000004</v>
          </cell>
        </row>
        <row r="24">
          <cell r="A24" t="str">
            <v>10235</v>
          </cell>
          <cell r="H24">
            <v>27790512.02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12268491.779999999</v>
          </cell>
        </row>
        <row r="28">
          <cell r="A28" t="str">
            <v>10255</v>
          </cell>
          <cell r="H28">
            <v>954642.62</v>
          </cell>
        </row>
        <row r="29">
          <cell r="A29" t="str">
            <v>10256</v>
          </cell>
          <cell r="H29">
            <v>1182668.1399999999</v>
          </cell>
        </row>
        <row r="30">
          <cell r="A30" t="str">
            <v>10260</v>
          </cell>
          <cell r="H30">
            <v>207200</v>
          </cell>
        </row>
        <row r="31">
          <cell r="A31" t="str">
            <v>10265</v>
          </cell>
          <cell r="H31">
            <v>2981792.46</v>
          </cell>
        </row>
        <row r="32">
          <cell r="A32" t="str">
            <v>10270</v>
          </cell>
          <cell r="H32">
            <v>697187.96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33691130.609999999</v>
          </cell>
        </row>
        <row r="35">
          <cell r="A35" t="str">
            <v>10293</v>
          </cell>
          <cell r="H35">
            <v>15484515.380000001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3997444.26</v>
          </cell>
        </row>
        <row r="38">
          <cell r="A38" t="str">
            <v>10316</v>
          </cell>
          <cell r="H38">
            <v>12136757.76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1030501.6</v>
          </cell>
        </row>
        <row r="42">
          <cell r="A42" t="str">
            <v>10342</v>
          </cell>
          <cell r="H42">
            <v>136765219.41</v>
          </cell>
        </row>
        <row r="43">
          <cell r="A43" t="str">
            <v>10343</v>
          </cell>
          <cell r="H43">
            <v>7710547.0800000001</v>
          </cell>
        </row>
        <row r="44">
          <cell r="A44" t="str">
            <v>10344</v>
          </cell>
          <cell r="H44">
            <v>1843356.86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5458755.71</v>
          </cell>
        </row>
        <row r="47">
          <cell r="A47" t="str">
            <v>10801</v>
          </cell>
          <cell r="H47">
            <v>56868.36</v>
          </cell>
        </row>
        <row r="48">
          <cell r="A48" t="str">
            <v>11000</v>
          </cell>
          <cell r="H48">
            <v>132495694.84</v>
          </cell>
        </row>
        <row r="49">
          <cell r="A49" t="str">
            <v>12100</v>
          </cell>
          <cell r="H49">
            <v>56803802.659999996</v>
          </cell>
        </row>
        <row r="50">
          <cell r="A50" t="str">
            <v>13002</v>
          </cell>
          <cell r="H50">
            <v>1540000</v>
          </cell>
        </row>
        <row r="51">
          <cell r="A51" t="str">
            <v>13003</v>
          </cell>
          <cell r="H51">
            <v>112644149.51000001</v>
          </cell>
        </row>
        <row r="52">
          <cell r="A52" t="str">
            <v>13004</v>
          </cell>
          <cell r="H52">
            <v>1948373.63</v>
          </cell>
        </row>
        <row r="53">
          <cell r="A53" t="str">
            <v>13008</v>
          </cell>
          <cell r="H53">
            <v>599999.46</v>
          </cell>
        </row>
        <row r="54">
          <cell r="A54" t="str">
            <v>13010</v>
          </cell>
          <cell r="H54">
            <v>30879467.960000001</v>
          </cell>
        </row>
        <row r="55">
          <cell r="A55" t="str">
            <v>13116</v>
          </cell>
          <cell r="H55">
            <v>72300</v>
          </cell>
        </row>
        <row r="56">
          <cell r="A56" t="str">
            <v>13120</v>
          </cell>
          <cell r="H56">
            <v>95716723.189999998</v>
          </cell>
        </row>
        <row r="57">
          <cell r="A57" t="str">
            <v>13130</v>
          </cell>
          <cell r="H57">
            <v>18244912.920000002</v>
          </cell>
        </row>
        <row r="58">
          <cell r="A58" t="str">
            <v>13135</v>
          </cell>
          <cell r="H58">
            <v>14444444.550000001</v>
          </cell>
        </row>
        <row r="59">
          <cell r="A59" t="str">
            <v>13200</v>
          </cell>
          <cell r="H59">
            <v>3487923.33</v>
          </cell>
        </row>
        <row r="60">
          <cell r="A60" t="str">
            <v>13400</v>
          </cell>
          <cell r="H60">
            <v>529096062.88</v>
          </cell>
        </row>
        <row r="61">
          <cell r="A61" t="str">
            <v>14000</v>
          </cell>
          <cell r="H61">
            <v>-318560734.56999999</v>
          </cell>
        </row>
        <row r="62">
          <cell r="A62" t="str">
            <v>14001</v>
          </cell>
          <cell r="H62">
            <v>-349897889.79000002</v>
          </cell>
        </row>
        <row r="63">
          <cell r="A63" t="str">
            <v>14010</v>
          </cell>
          <cell r="H63">
            <v>0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21661042.16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38615442.920000002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326910706.66000003</v>
          </cell>
        </row>
        <row r="70">
          <cell r="A70" t="str">
            <v>15300</v>
          </cell>
          <cell r="H70">
            <v>25560780.25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4414161.5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645172846.52999997</v>
          </cell>
        </row>
        <row r="76">
          <cell r="A76" t="str">
            <v>15505</v>
          </cell>
          <cell r="H76">
            <v>8503671.5099999998</v>
          </cell>
        </row>
        <row r="77">
          <cell r="A77" t="str">
            <v>15509</v>
          </cell>
          <cell r="H77">
            <v>10400000</v>
          </cell>
        </row>
        <row r="78">
          <cell r="A78" t="str">
            <v>15510</v>
          </cell>
          <cell r="H78">
            <v>1185707663.48</v>
          </cell>
        </row>
        <row r="79">
          <cell r="A79" t="str">
            <v>15511</v>
          </cell>
          <cell r="H79">
            <v>74539381.689999998</v>
          </cell>
        </row>
        <row r="80">
          <cell r="A80" t="str">
            <v>16000</v>
          </cell>
          <cell r="H80">
            <v>-27923944.510000002</v>
          </cell>
        </row>
        <row r="81">
          <cell r="A81" t="str">
            <v>16100</v>
          </cell>
          <cell r="H81">
            <v>-3644980.06</v>
          </cell>
        </row>
        <row r="82">
          <cell r="A82" t="str">
            <v>16200</v>
          </cell>
          <cell r="H82">
            <v>-223975027.30000001</v>
          </cell>
        </row>
        <row r="83">
          <cell r="A83" t="str">
            <v>16300</v>
          </cell>
          <cell r="H83">
            <v>-14998116.68</v>
          </cell>
        </row>
        <row r="84">
          <cell r="A84" t="str">
            <v>16500</v>
          </cell>
          <cell r="H84">
            <v>-17904365.100000001</v>
          </cell>
        </row>
        <row r="85">
          <cell r="A85" t="str">
            <v>17000</v>
          </cell>
          <cell r="H85">
            <v>389713354.81999999</v>
          </cell>
        </row>
        <row r="86">
          <cell r="A86" t="str">
            <v>19004</v>
          </cell>
          <cell r="H86">
            <v>0</v>
          </cell>
        </row>
        <row r="87">
          <cell r="A87" t="str">
            <v>19006</v>
          </cell>
          <cell r="H87">
            <v>2072503.43</v>
          </cell>
        </row>
        <row r="88">
          <cell r="A88" t="str">
            <v>19007</v>
          </cell>
          <cell r="H88">
            <v>2963297188.27</v>
          </cell>
        </row>
        <row r="89">
          <cell r="A89" t="str">
            <v>69904</v>
          </cell>
          <cell r="H89">
            <v>-35306725.350000001</v>
          </cell>
        </row>
        <row r="90">
          <cell r="A90" t="str">
            <v>20000</v>
          </cell>
          <cell r="H90">
            <v>-299402771.14999998</v>
          </cell>
        </row>
        <row r="91">
          <cell r="A91" t="str">
            <v>20005</v>
          </cell>
          <cell r="H91">
            <v>-96057910.640000001</v>
          </cell>
        </row>
        <row r="92">
          <cell r="A92" t="str">
            <v>22100</v>
          </cell>
          <cell r="H92">
            <v>-9971942.3699999992</v>
          </cell>
        </row>
        <row r="93">
          <cell r="A93" t="str">
            <v>23000</v>
          </cell>
          <cell r="H93">
            <v>-1366636146.78</v>
          </cell>
        </row>
        <row r="94">
          <cell r="A94" t="str">
            <v>23001</v>
          </cell>
          <cell r="H94">
            <v>-36877803.119999997</v>
          </cell>
        </row>
        <row r="95">
          <cell r="A95" t="str">
            <v>23010</v>
          </cell>
          <cell r="H95">
            <v>-53856868.990000002</v>
          </cell>
        </row>
        <row r="96">
          <cell r="A96" t="str">
            <v>23015</v>
          </cell>
          <cell r="H96">
            <v>-710482.61</v>
          </cell>
        </row>
        <row r="97">
          <cell r="A97" t="str">
            <v>23030</v>
          </cell>
          <cell r="H97">
            <v>0</v>
          </cell>
        </row>
        <row r="98">
          <cell r="A98" t="str">
            <v>23040</v>
          </cell>
          <cell r="H98">
            <v>-32201965.390000001</v>
          </cell>
        </row>
        <row r="99">
          <cell r="A99" t="str">
            <v>23400</v>
          </cell>
          <cell r="H99">
            <v>-1355438992.5599999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-16034130.26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24010</v>
          </cell>
          <cell r="H104">
            <v>-22695115.68</v>
          </cell>
        </row>
        <row r="105">
          <cell r="A105" t="str">
            <v>24100</v>
          </cell>
          <cell r="H105">
            <v>0.35</v>
          </cell>
        </row>
        <row r="106">
          <cell r="A106" t="str">
            <v>30005</v>
          </cell>
          <cell r="H106">
            <v>96238158.140000001</v>
          </cell>
        </row>
        <row r="107">
          <cell r="A107" t="str">
            <v>30035</v>
          </cell>
          <cell r="H107">
            <v>101787277.34999999</v>
          </cell>
        </row>
        <row r="108">
          <cell r="A108" t="str">
            <v>30040</v>
          </cell>
          <cell r="H108">
            <v>-107359858</v>
          </cell>
        </row>
        <row r="109">
          <cell r="A109" t="str">
            <v>30042</v>
          </cell>
          <cell r="H109">
            <v>-7359858</v>
          </cell>
        </row>
        <row r="110">
          <cell r="A110" t="str">
            <v>30043</v>
          </cell>
          <cell r="H110">
            <v>-114297251.5</v>
          </cell>
        </row>
        <row r="111">
          <cell r="A111" t="str">
            <v>30044</v>
          </cell>
          <cell r="H111">
            <v>-6360000200</v>
          </cell>
        </row>
        <row r="112">
          <cell r="A112" t="str">
            <v>32000</v>
          </cell>
          <cell r="H112">
            <v>-1121517753.3699999</v>
          </cell>
        </row>
        <row r="113">
          <cell r="A113" t="str">
            <v>40020</v>
          </cell>
          <cell r="H113">
            <v>0</v>
          </cell>
        </row>
        <row r="114">
          <cell r="A114" t="str">
            <v>40056</v>
          </cell>
          <cell r="H114">
            <v>0</v>
          </cell>
        </row>
        <row r="115">
          <cell r="A115" t="str">
            <v>40085</v>
          </cell>
          <cell r="H115">
            <v>-167074.89000000001</v>
          </cell>
        </row>
        <row r="116">
          <cell r="A116" t="str">
            <v>40095</v>
          </cell>
          <cell r="H116">
            <v>0</v>
          </cell>
        </row>
        <row r="117">
          <cell r="A117" t="str">
            <v>40161</v>
          </cell>
          <cell r="H117">
            <v>-43269404.280000001</v>
          </cell>
        </row>
        <row r="118">
          <cell r="A118" t="str">
            <v>40162</v>
          </cell>
          <cell r="H118">
            <v>-99955995.099999994</v>
          </cell>
        </row>
        <row r="119">
          <cell r="A119" t="str">
            <v>40163</v>
          </cell>
          <cell r="H119">
            <v>-40763110.369999997</v>
          </cell>
        </row>
        <row r="120">
          <cell r="A120" t="str">
            <v>49300</v>
          </cell>
          <cell r="H120">
            <v>-31763676.260000002</v>
          </cell>
        </row>
        <row r="121">
          <cell r="A121" t="str">
            <v>50000</v>
          </cell>
          <cell r="H121">
            <v>7700000</v>
          </cell>
        </row>
        <row r="122">
          <cell r="A122" t="str">
            <v>53005</v>
          </cell>
          <cell r="H122">
            <v>1139710.6100000001</v>
          </cell>
        </row>
        <row r="123">
          <cell r="A123" t="str">
            <v>53030</v>
          </cell>
          <cell r="H123">
            <v>0</v>
          </cell>
        </row>
        <row r="124">
          <cell r="A124" t="str">
            <v>53040</v>
          </cell>
          <cell r="H124">
            <v>69550</v>
          </cell>
        </row>
        <row r="125">
          <cell r="A125" t="str">
            <v>53045</v>
          </cell>
          <cell r="H125">
            <v>3610789.74</v>
          </cell>
        </row>
        <row r="126">
          <cell r="A126" t="str">
            <v>53055</v>
          </cell>
          <cell r="H126">
            <v>225440.42</v>
          </cell>
        </row>
        <row r="127">
          <cell r="A127" t="str">
            <v>53060</v>
          </cell>
          <cell r="H127">
            <v>240392</v>
          </cell>
        </row>
        <row r="128">
          <cell r="A128" t="str">
            <v>53065</v>
          </cell>
          <cell r="H128">
            <v>1314616.8</v>
          </cell>
        </row>
        <row r="129">
          <cell r="A129" t="str">
            <v>53074</v>
          </cell>
          <cell r="H129">
            <v>0</v>
          </cell>
        </row>
        <row r="130">
          <cell r="A130" t="str">
            <v>53075</v>
          </cell>
          <cell r="H130">
            <v>1967460</v>
          </cell>
        </row>
        <row r="131">
          <cell r="A131" t="str">
            <v>53080</v>
          </cell>
          <cell r="H131">
            <v>1817753.55</v>
          </cell>
        </row>
        <row r="132">
          <cell r="A132" t="str">
            <v>53090</v>
          </cell>
          <cell r="H132">
            <v>25000</v>
          </cell>
        </row>
        <row r="133">
          <cell r="A133" t="str">
            <v>53095</v>
          </cell>
          <cell r="H133">
            <v>2000</v>
          </cell>
        </row>
        <row r="134">
          <cell r="A134" t="str">
            <v>53110</v>
          </cell>
          <cell r="H134">
            <v>480243.8</v>
          </cell>
        </row>
        <row r="135">
          <cell r="A135" t="str">
            <v>53120</v>
          </cell>
          <cell r="H135">
            <v>3126297.1299999952</v>
          </cell>
        </row>
        <row r="136">
          <cell r="A136" t="str">
            <v>53140</v>
          </cell>
          <cell r="H136">
            <v>728290.37</v>
          </cell>
        </row>
        <row r="137">
          <cell r="A137" t="str">
            <v>60010</v>
          </cell>
          <cell r="H137">
            <v>2407407.41</v>
          </cell>
        </row>
        <row r="138">
          <cell r="A138" t="str">
            <v>60020</v>
          </cell>
          <cell r="H138">
            <v>105000</v>
          </cell>
        </row>
        <row r="139">
          <cell r="A139" t="str">
            <v>60025</v>
          </cell>
          <cell r="H139">
            <v>1296000</v>
          </cell>
        </row>
        <row r="140">
          <cell r="A140" t="str">
            <v>60030</v>
          </cell>
          <cell r="H140">
            <v>0</v>
          </cell>
        </row>
        <row r="141">
          <cell r="A141" t="str">
            <v>60035</v>
          </cell>
          <cell r="H141">
            <v>0</v>
          </cell>
        </row>
        <row r="142">
          <cell r="A142" t="str">
            <v>60040</v>
          </cell>
          <cell r="H142">
            <v>6000</v>
          </cell>
        </row>
        <row r="143">
          <cell r="A143" t="str">
            <v>60045</v>
          </cell>
          <cell r="H143">
            <v>735300</v>
          </cell>
        </row>
        <row r="144">
          <cell r="A144" t="str">
            <v>60050</v>
          </cell>
          <cell r="H144">
            <v>1370639.84</v>
          </cell>
        </row>
        <row r="145">
          <cell r="A145" t="str">
            <v>60060</v>
          </cell>
          <cell r="H145">
            <v>28490364.329999998</v>
          </cell>
        </row>
        <row r="146">
          <cell r="A146" t="str">
            <v>60070</v>
          </cell>
          <cell r="H146">
            <v>435800</v>
          </cell>
        </row>
        <row r="147">
          <cell r="A147" t="str">
            <v>60075</v>
          </cell>
          <cell r="H147">
            <v>0</v>
          </cell>
        </row>
        <row r="148">
          <cell r="A148" t="str">
            <v>60080</v>
          </cell>
          <cell r="H148">
            <v>0</v>
          </cell>
        </row>
        <row r="149">
          <cell r="A149" t="str">
            <v>60085</v>
          </cell>
          <cell r="H149">
            <v>1584927.11</v>
          </cell>
        </row>
        <row r="150">
          <cell r="A150" t="str">
            <v>60090</v>
          </cell>
          <cell r="H150">
            <v>6453767.4100000001</v>
          </cell>
        </row>
        <row r="151">
          <cell r="A151" t="str">
            <v>60100</v>
          </cell>
          <cell r="H151">
            <v>221278.7</v>
          </cell>
        </row>
        <row r="152">
          <cell r="A152" t="str">
            <v>60110</v>
          </cell>
          <cell r="H152">
            <v>0</v>
          </cell>
        </row>
        <row r="153">
          <cell r="A153" t="str">
            <v>60115</v>
          </cell>
          <cell r="H153">
            <v>14952794.720000001</v>
          </cell>
        </row>
        <row r="154">
          <cell r="A154" t="str">
            <v>60125</v>
          </cell>
          <cell r="H154">
            <v>14271346.66</v>
          </cell>
        </row>
        <row r="155">
          <cell r="A155" t="str">
            <v>60201</v>
          </cell>
          <cell r="H155">
            <v>5462255</v>
          </cell>
        </row>
        <row r="156">
          <cell r="A156" t="str">
            <v>60202</v>
          </cell>
          <cell r="H156">
            <v>0</v>
          </cell>
        </row>
        <row r="157">
          <cell r="A157" t="str">
            <v>60205</v>
          </cell>
          <cell r="H157">
            <v>154871.35999999999</v>
          </cell>
        </row>
        <row r="158">
          <cell r="A158" t="str">
            <v>60206</v>
          </cell>
          <cell r="H158">
            <v>1115481.3</v>
          </cell>
        </row>
        <row r="159">
          <cell r="A159" t="str">
            <v>60210</v>
          </cell>
          <cell r="H159">
            <v>8727440.3200000003</v>
          </cell>
        </row>
        <row r="160">
          <cell r="A160" t="str">
            <v>60211</v>
          </cell>
          <cell r="H160">
            <v>81927.98</v>
          </cell>
        </row>
        <row r="161">
          <cell r="A161" t="str">
            <v>60213</v>
          </cell>
          <cell r="H161">
            <v>0</v>
          </cell>
        </row>
        <row r="162">
          <cell r="A162" t="str">
            <v>60217</v>
          </cell>
          <cell r="H162">
            <v>1417500</v>
          </cell>
        </row>
        <row r="163">
          <cell r="A163" t="str">
            <v>61100</v>
          </cell>
          <cell r="H163">
            <v>2265669.0099999998</v>
          </cell>
        </row>
        <row r="164">
          <cell r="A164" t="str">
            <v>61310</v>
          </cell>
          <cell r="H164">
            <v>174430</v>
          </cell>
        </row>
        <row r="165">
          <cell r="A165" t="str">
            <v>61315</v>
          </cell>
          <cell r="H165">
            <v>378887.5</v>
          </cell>
        </row>
        <row r="166">
          <cell r="A166" t="str">
            <v>61320</v>
          </cell>
          <cell r="H166">
            <v>15650</v>
          </cell>
        </row>
        <row r="167">
          <cell r="A167" t="str">
            <v>61500</v>
          </cell>
          <cell r="H167">
            <v>2367119.89</v>
          </cell>
        </row>
        <row r="168">
          <cell r="A168" t="str">
            <v>61600</v>
          </cell>
          <cell r="H168">
            <v>2157530.4500000002</v>
          </cell>
        </row>
        <row r="169">
          <cell r="A169" t="str">
            <v>61700</v>
          </cell>
          <cell r="H169">
            <v>594114.15</v>
          </cell>
        </row>
        <row r="170">
          <cell r="A170" t="str">
            <v>62101</v>
          </cell>
          <cell r="H170">
            <v>41383464</v>
          </cell>
        </row>
        <row r="171">
          <cell r="A171" t="str">
            <v>62200</v>
          </cell>
          <cell r="H171">
            <v>21250</v>
          </cell>
        </row>
        <row r="172">
          <cell r="A172" t="str">
            <v>62415</v>
          </cell>
          <cell r="H172">
            <v>62500</v>
          </cell>
        </row>
        <row r="173">
          <cell r="A173" t="str">
            <v>62420</v>
          </cell>
          <cell r="H173">
            <v>100000</v>
          </cell>
        </row>
        <row r="174">
          <cell r="A174" t="str">
            <v>62425</v>
          </cell>
          <cell r="H174">
            <v>488400</v>
          </cell>
        </row>
        <row r="175">
          <cell r="A175" t="str">
            <v>62435</v>
          </cell>
          <cell r="H175">
            <v>25600</v>
          </cell>
        </row>
        <row r="176">
          <cell r="A176" t="str">
            <v>62700</v>
          </cell>
          <cell r="H176">
            <v>152400</v>
          </cell>
        </row>
        <row r="177">
          <cell r="A177" t="str">
            <v>63110</v>
          </cell>
          <cell r="H177">
            <v>506121.77</v>
          </cell>
        </row>
        <row r="178">
          <cell r="A178" t="str">
            <v>63120</v>
          </cell>
          <cell r="H178">
            <v>2489224</v>
          </cell>
        </row>
        <row r="179">
          <cell r="A179" t="str">
            <v>63125</v>
          </cell>
          <cell r="H179">
            <v>41992.75</v>
          </cell>
        </row>
        <row r="180">
          <cell r="A180" t="str">
            <v>63200</v>
          </cell>
          <cell r="H180">
            <v>0</v>
          </cell>
        </row>
        <row r="181">
          <cell r="A181" t="str">
            <v>63907</v>
          </cell>
          <cell r="H181">
            <v>23074878.400000002</v>
          </cell>
        </row>
        <row r="182">
          <cell r="A182" t="str">
            <v>64000</v>
          </cell>
          <cell r="H182">
            <v>3973707.97</v>
          </cell>
        </row>
        <row r="183">
          <cell r="A183" t="str">
            <v>65000</v>
          </cell>
          <cell r="H183">
            <v>89583.33</v>
          </cell>
        </row>
        <row r="184">
          <cell r="A184" t="str">
            <v>65007</v>
          </cell>
          <cell r="H184">
            <v>436383.00999999978</v>
          </cell>
        </row>
        <row r="185">
          <cell r="A185" t="str">
            <v>65015</v>
          </cell>
          <cell r="H185">
            <v>0</v>
          </cell>
        </row>
        <row r="186">
          <cell r="A186" t="str">
            <v>65031</v>
          </cell>
          <cell r="H186">
            <v>8153598.7300000004</v>
          </cell>
        </row>
        <row r="187">
          <cell r="A187" t="str">
            <v>65032</v>
          </cell>
          <cell r="H187">
            <v>1873531.9100000001</v>
          </cell>
        </row>
        <row r="188">
          <cell r="A188" t="str">
            <v>65035</v>
          </cell>
          <cell r="H188">
            <v>81711075.290000007</v>
          </cell>
        </row>
        <row r="189">
          <cell r="A189" t="str">
            <v>65036</v>
          </cell>
          <cell r="H189">
            <v>1146213.42</v>
          </cell>
        </row>
        <row r="190">
          <cell r="A190" t="str">
            <v>65037</v>
          </cell>
          <cell r="H190">
            <v>0</v>
          </cell>
        </row>
        <row r="191">
          <cell r="A191" t="str">
            <v>65095</v>
          </cell>
          <cell r="H191">
            <v>6015346.75</v>
          </cell>
        </row>
        <row r="192">
          <cell r="A192" t="str">
            <v>65100</v>
          </cell>
          <cell r="H192">
            <v>2341915.0099999998</v>
          </cell>
        </row>
        <row r="193">
          <cell r="A193" t="str">
            <v>65800</v>
          </cell>
          <cell r="H193">
            <v>1132200</v>
          </cell>
        </row>
        <row r="194">
          <cell r="A194" t="str">
            <v>66300</v>
          </cell>
          <cell r="H194">
            <v>0</v>
          </cell>
        </row>
        <row r="195">
          <cell r="A195" t="str">
            <v>67010</v>
          </cell>
          <cell r="H195">
            <v>15172.34</v>
          </cell>
        </row>
        <row r="196">
          <cell r="A196" t="str">
            <v>67052</v>
          </cell>
          <cell r="H196">
            <v>0</v>
          </cell>
        </row>
        <row r="197">
          <cell r="A197" t="str">
            <v>67920</v>
          </cell>
          <cell r="H197">
            <v>-16002200.460000001</v>
          </cell>
        </row>
        <row r="198">
          <cell r="A198" t="str">
            <v>67940</v>
          </cell>
          <cell r="H198">
            <v>0</v>
          </cell>
        </row>
        <row r="199">
          <cell r="A199" t="str">
            <v>68500</v>
          </cell>
          <cell r="H199">
            <v>1791666.67</v>
          </cell>
        </row>
        <row r="200">
          <cell r="A200" t="str">
            <v>68503</v>
          </cell>
          <cell r="H200">
            <v>0</v>
          </cell>
        </row>
        <row r="201">
          <cell r="A201" t="str">
            <v>69600</v>
          </cell>
          <cell r="H201">
            <v>-32173496.649999999</v>
          </cell>
        </row>
        <row r="202">
          <cell r="A202" t="str">
            <v>69901</v>
          </cell>
          <cell r="H202">
            <v>2415886.9</v>
          </cell>
        </row>
        <row r="203">
          <cell r="A203" t="str">
            <v>69903</v>
          </cell>
          <cell r="H203">
            <v>2699413.6899999995</v>
          </cell>
        </row>
      </sheetData>
      <sheetData sheetId="1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11856.85</v>
          </cell>
        </row>
        <row r="7">
          <cell r="A7" t="str">
            <v>10104</v>
          </cell>
          <cell r="H7">
            <v>13408798.109999999</v>
          </cell>
        </row>
        <row r="8">
          <cell r="A8" t="str">
            <v>10105</v>
          </cell>
          <cell r="H8">
            <v>1500499973.51</v>
          </cell>
        </row>
        <row r="9">
          <cell r="A9" t="str">
            <v>10107</v>
          </cell>
          <cell r="H9">
            <v>863450446.94000006</v>
          </cell>
        </row>
        <row r="10">
          <cell r="A10" t="str">
            <v>10108</v>
          </cell>
          <cell r="H10">
            <v>735318.6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7304762.0800000001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7639142.7300000004</v>
          </cell>
        </row>
        <row r="20">
          <cell r="A20" t="str">
            <v>10224</v>
          </cell>
          <cell r="H20">
            <v>615754.78</v>
          </cell>
        </row>
        <row r="21">
          <cell r="A21" t="str">
            <v>10225</v>
          </cell>
          <cell r="H21">
            <v>7487158.1799999997</v>
          </cell>
        </row>
        <row r="22">
          <cell r="A22" t="str">
            <v>10226</v>
          </cell>
          <cell r="H22">
            <v>2990767.68</v>
          </cell>
        </row>
        <row r="23">
          <cell r="A23" t="str">
            <v>10227</v>
          </cell>
          <cell r="H23">
            <v>6358396.6600000001</v>
          </cell>
        </row>
        <row r="24">
          <cell r="A24" t="str">
            <v>10235</v>
          </cell>
          <cell r="H24">
            <v>2090554.61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232422314.99000001</v>
          </cell>
        </row>
        <row r="28">
          <cell r="A28" t="str">
            <v>10255</v>
          </cell>
          <cell r="H28">
            <v>267336.96000000002</v>
          </cell>
        </row>
        <row r="29">
          <cell r="A29" t="str">
            <v>10256</v>
          </cell>
          <cell r="H29">
            <v>1176732.6100000001</v>
          </cell>
        </row>
        <row r="30">
          <cell r="A30" t="str">
            <v>10260</v>
          </cell>
          <cell r="H30">
            <v>207200</v>
          </cell>
        </row>
        <row r="31">
          <cell r="A31" t="str">
            <v>10265</v>
          </cell>
          <cell r="H31">
            <v>2159906.7599999998</v>
          </cell>
        </row>
        <row r="32">
          <cell r="A32" t="str">
            <v>10270</v>
          </cell>
          <cell r="H32">
            <v>697241.96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19748381.010000002</v>
          </cell>
        </row>
        <row r="35">
          <cell r="A35" t="str">
            <v>10293</v>
          </cell>
          <cell r="H35">
            <v>15405470.85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13542278.689999999</v>
          </cell>
        </row>
        <row r="38">
          <cell r="A38" t="str">
            <v>10316</v>
          </cell>
          <cell r="H38">
            <v>9033422.0399999991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943063.6</v>
          </cell>
        </row>
        <row r="42">
          <cell r="A42" t="str">
            <v>10342</v>
          </cell>
          <cell r="H42">
            <v>272672784.22000003</v>
          </cell>
        </row>
        <row r="43">
          <cell r="A43" t="str">
            <v>10343</v>
          </cell>
          <cell r="H43">
            <v>19345.650000000001</v>
          </cell>
        </row>
        <row r="44">
          <cell r="A44" t="str">
            <v>10344</v>
          </cell>
          <cell r="H44">
            <v>1829941.92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5458755.71</v>
          </cell>
        </row>
        <row r="47">
          <cell r="A47" t="str">
            <v>10801</v>
          </cell>
          <cell r="H47">
            <v>56582.95</v>
          </cell>
        </row>
        <row r="48">
          <cell r="A48" t="str">
            <v>11000</v>
          </cell>
          <cell r="H48">
            <v>85682880.909999996</v>
          </cell>
        </row>
        <row r="49">
          <cell r="A49" t="str">
            <v>12100</v>
          </cell>
          <cell r="H49">
            <v>56803802.659999996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136300367.16999999</v>
          </cell>
        </row>
        <row r="52">
          <cell r="A52" t="str">
            <v>13004</v>
          </cell>
          <cell r="H52">
            <v>4880721.05</v>
          </cell>
        </row>
        <row r="53">
          <cell r="A53" t="str">
            <v>13007</v>
          </cell>
          <cell r="H53">
            <v>0</v>
          </cell>
        </row>
        <row r="54">
          <cell r="A54" t="str">
            <v>13008</v>
          </cell>
          <cell r="H54">
            <v>599999.46</v>
          </cell>
        </row>
        <row r="55">
          <cell r="A55" t="str">
            <v>13010</v>
          </cell>
          <cell r="H55">
            <v>32263389.800000001</v>
          </cell>
        </row>
        <row r="56">
          <cell r="A56" t="str">
            <v>13116</v>
          </cell>
          <cell r="H56">
            <v>74700</v>
          </cell>
        </row>
        <row r="57">
          <cell r="A57" t="str">
            <v>13120</v>
          </cell>
          <cell r="H57">
            <v>71575192.790000007</v>
          </cell>
        </row>
        <row r="58">
          <cell r="A58" t="str">
            <v>13130</v>
          </cell>
          <cell r="H58">
            <v>17673759.600000001</v>
          </cell>
        </row>
        <row r="59">
          <cell r="A59" t="str">
            <v>13135</v>
          </cell>
          <cell r="H59">
            <v>962963.07</v>
          </cell>
        </row>
        <row r="60">
          <cell r="A60" t="str">
            <v>13200</v>
          </cell>
          <cell r="H60">
            <v>4245944.76</v>
          </cell>
        </row>
        <row r="61">
          <cell r="A61" t="str">
            <v>13400</v>
          </cell>
          <cell r="H61">
            <v>550768486.45000005</v>
          </cell>
        </row>
        <row r="62">
          <cell r="A62" t="str">
            <v>14000</v>
          </cell>
          <cell r="H62">
            <v>-322669887.00999999</v>
          </cell>
        </row>
        <row r="63">
          <cell r="A63" t="str">
            <v>14001</v>
          </cell>
          <cell r="H63">
            <v>-352056654.45999998</v>
          </cell>
        </row>
        <row r="64">
          <cell r="A64" t="str">
            <v>14010</v>
          </cell>
          <cell r="H64">
            <v>984549.6</v>
          </cell>
        </row>
        <row r="65">
          <cell r="A65" t="str">
            <v>14014</v>
          </cell>
          <cell r="H65">
            <v>40465810.390000001</v>
          </cell>
        </row>
        <row r="66">
          <cell r="A66" t="str">
            <v>14016</v>
          </cell>
          <cell r="H66">
            <v>21430757.66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38615442.920000002</v>
          </cell>
        </row>
        <row r="69">
          <cell r="A69" t="str">
            <v>15100</v>
          </cell>
          <cell r="H69">
            <v>3645000</v>
          </cell>
        </row>
        <row r="70">
          <cell r="A70" t="str">
            <v>15200</v>
          </cell>
          <cell r="H70">
            <v>319910706.66000003</v>
          </cell>
        </row>
        <row r="71">
          <cell r="A71" t="str">
            <v>15300</v>
          </cell>
          <cell r="H71">
            <v>25280780.25</v>
          </cell>
        </row>
        <row r="72">
          <cell r="A72" t="str">
            <v>15400</v>
          </cell>
          <cell r="H72">
            <v>179350495.81</v>
          </cell>
        </row>
        <row r="73">
          <cell r="A73" t="str">
            <v>15405</v>
          </cell>
          <cell r="H73">
            <v>17904365.100000001</v>
          </cell>
        </row>
        <row r="74">
          <cell r="A74" t="str">
            <v>15410</v>
          </cell>
          <cell r="H74">
            <v>2410161.5</v>
          </cell>
        </row>
        <row r="75">
          <cell r="A75" t="str">
            <v>15500</v>
          </cell>
          <cell r="H75">
            <v>61627057.890000001</v>
          </cell>
        </row>
        <row r="76">
          <cell r="A76" t="str">
            <v>15501</v>
          </cell>
          <cell r="H76">
            <v>644834851.25</v>
          </cell>
        </row>
        <row r="77">
          <cell r="A77" t="str">
            <v>15505</v>
          </cell>
          <cell r="H77">
            <v>8503671.5099999998</v>
          </cell>
        </row>
        <row r="78">
          <cell r="A78" t="str">
            <v>15509</v>
          </cell>
          <cell r="H78">
            <v>10400000</v>
          </cell>
        </row>
        <row r="79">
          <cell r="A79" t="str">
            <v>15510</v>
          </cell>
          <cell r="H79">
            <v>1066894070.23</v>
          </cell>
        </row>
        <row r="80">
          <cell r="A80" t="str">
            <v>16000</v>
          </cell>
          <cell r="H80">
            <v>-27729273.420000002</v>
          </cell>
        </row>
        <row r="81">
          <cell r="A81" t="str">
            <v>16100</v>
          </cell>
          <cell r="H81">
            <v>-3644980.06</v>
          </cell>
        </row>
        <row r="82">
          <cell r="A82" t="str">
            <v>16200</v>
          </cell>
          <cell r="H82">
            <v>-220476386.25</v>
          </cell>
        </row>
        <row r="83">
          <cell r="A83" t="str">
            <v>16300</v>
          </cell>
          <cell r="H83">
            <v>-14717720.85</v>
          </cell>
        </row>
        <row r="84">
          <cell r="A84" t="str">
            <v>16500</v>
          </cell>
          <cell r="H84">
            <v>-17904365.100000001</v>
          </cell>
        </row>
        <row r="85">
          <cell r="A85" t="str">
            <v>17000</v>
          </cell>
          <cell r="H85">
            <v>389713354.81999999</v>
          </cell>
        </row>
        <row r="86">
          <cell r="A86" t="str">
            <v>19004</v>
          </cell>
          <cell r="H86">
            <v>2523980.39</v>
          </cell>
        </row>
        <row r="87">
          <cell r="A87" t="str">
            <v>19006</v>
          </cell>
          <cell r="H87">
            <v>2051097.67</v>
          </cell>
        </row>
        <row r="88">
          <cell r="A88" t="str">
            <v>19007</v>
          </cell>
          <cell r="H88">
            <v>2918717986.8499999</v>
          </cell>
        </row>
        <row r="89">
          <cell r="A89" t="str">
            <v>69904</v>
          </cell>
          <cell r="H89">
            <v>-32890838.449999999</v>
          </cell>
        </row>
        <row r="90">
          <cell r="A90" t="str">
            <v>20000</v>
          </cell>
          <cell r="H90">
            <v>-307270565.01999998</v>
          </cell>
        </row>
        <row r="91">
          <cell r="A91" t="str">
            <v>20005</v>
          </cell>
          <cell r="H91">
            <v>-88115437.049999997</v>
          </cell>
        </row>
        <row r="92">
          <cell r="A92" t="str">
            <v>22100</v>
          </cell>
          <cell r="H92">
            <v>-9971942.3699999992</v>
          </cell>
        </row>
        <row r="93">
          <cell r="A93" t="str">
            <v>23000</v>
          </cell>
          <cell r="H93">
            <v>-1018360826.87</v>
          </cell>
        </row>
        <row r="94">
          <cell r="A94" t="str">
            <v>23001</v>
          </cell>
          <cell r="H94">
            <v>-56105693.5</v>
          </cell>
        </row>
        <row r="95">
          <cell r="A95" t="str">
            <v>23010</v>
          </cell>
          <cell r="H95">
            <v>-36265643.18</v>
          </cell>
        </row>
        <row r="96">
          <cell r="A96" t="str">
            <v>23015</v>
          </cell>
          <cell r="H96">
            <v>-810417.46</v>
          </cell>
        </row>
        <row r="97">
          <cell r="A97" t="str">
            <v>23030</v>
          </cell>
          <cell r="H97">
            <v>-543255.56000000006</v>
          </cell>
        </row>
        <row r="98">
          <cell r="A98" t="str">
            <v>23040</v>
          </cell>
          <cell r="H98">
            <v>-24487233.399999999</v>
          </cell>
        </row>
        <row r="99">
          <cell r="A99" t="str">
            <v>23400</v>
          </cell>
          <cell r="H99">
            <v>-1355308197.6700001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-14895007.130000001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24010</v>
          </cell>
          <cell r="H104">
            <v>-21527840.510000002</v>
          </cell>
        </row>
        <row r="105">
          <cell r="A105" t="str">
            <v>24100</v>
          </cell>
          <cell r="H105">
            <v>-23952196.75</v>
          </cell>
        </row>
        <row r="106">
          <cell r="A106" t="str">
            <v>30005</v>
          </cell>
          <cell r="H106">
            <v>96238158.140000001</v>
          </cell>
        </row>
        <row r="107">
          <cell r="A107" t="str">
            <v>30035</v>
          </cell>
          <cell r="H107">
            <v>101787277.34999999</v>
          </cell>
        </row>
        <row r="108">
          <cell r="A108" t="str">
            <v>30040</v>
          </cell>
          <cell r="H108">
            <v>-107359858</v>
          </cell>
        </row>
        <row r="109">
          <cell r="A109" t="str">
            <v>30042</v>
          </cell>
          <cell r="H109">
            <v>-7359858</v>
          </cell>
        </row>
        <row r="110">
          <cell r="A110" t="str">
            <v>30043</v>
          </cell>
          <cell r="H110">
            <v>-114297251.5</v>
          </cell>
        </row>
        <row r="111">
          <cell r="A111" t="str">
            <v>30044</v>
          </cell>
          <cell r="H111">
            <v>-6360000200</v>
          </cell>
        </row>
        <row r="112">
          <cell r="A112" t="str">
            <v>32000</v>
          </cell>
          <cell r="H112">
            <v>-1118694724.28</v>
          </cell>
        </row>
        <row r="113">
          <cell r="A113" t="str">
            <v>40020</v>
          </cell>
          <cell r="H113">
            <v>0</v>
          </cell>
        </row>
        <row r="114">
          <cell r="A114" t="str">
            <v>40025</v>
          </cell>
          <cell r="H114">
            <v>0</v>
          </cell>
        </row>
        <row r="115">
          <cell r="A115" t="str">
            <v>40056</v>
          </cell>
          <cell r="H115">
            <v>-45720.93</v>
          </cell>
        </row>
        <row r="116">
          <cell r="A116" t="str">
            <v>40085</v>
          </cell>
          <cell r="H116">
            <v>-163978.25</v>
          </cell>
        </row>
        <row r="117">
          <cell r="A117" t="str">
            <v>40095</v>
          </cell>
          <cell r="H117">
            <v>-14511628.029999999</v>
          </cell>
        </row>
        <row r="118">
          <cell r="A118" t="str">
            <v>40161</v>
          </cell>
          <cell r="H118">
            <v>-59746304.189999998</v>
          </cell>
        </row>
        <row r="119">
          <cell r="A119" t="str">
            <v>40162</v>
          </cell>
          <cell r="H119">
            <v>-113945656.47999999</v>
          </cell>
        </row>
        <row r="120">
          <cell r="A120" t="str">
            <v>40163</v>
          </cell>
          <cell r="H120">
            <v>-20915224.899999999</v>
          </cell>
        </row>
        <row r="121">
          <cell r="A121" t="str">
            <v>49300</v>
          </cell>
          <cell r="H121">
            <v>-21175915.25</v>
          </cell>
        </row>
        <row r="122">
          <cell r="A122" t="str">
            <v>49400</v>
          </cell>
          <cell r="H122">
            <v>0</v>
          </cell>
        </row>
        <row r="123">
          <cell r="A123" t="str">
            <v>50000</v>
          </cell>
          <cell r="H123">
            <v>31862818.73</v>
          </cell>
        </row>
        <row r="124">
          <cell r="A124" t="str">
            <v>50005</v>
          </cell>
          <cell r="H124">
            <v>0</v>
          </cell>
        </row>
        <row r="125">
          <cell r="A125" t="str">
            <v>53005</v>
          </cell>
          <cell r="H125">
            <v>1295123</v>
          </cell>
        </row>
        <row r="126">
          <cell r="A126" t="str">
            <v>53030</v>
          </cell>
          <cell r="H126">
            <v>0</v>
          </cell>
        </row>
        <row r="127">
          <cell r="A127" t="str">
            <v>53040</v>
          </cell>
          <cell r="H127">
            <v>64000</v>
          </cell>
        </row>
        <row r="128">
          <cell r="A128" t="str">
            <v>53045</v>
          </cell>
          <cell r="H128">
            <v>3533544.28</v>
          </cell>
        </row>
        <row r="129">
          <cell r="A129" t="str">
            <v>53055</v>
          </cell>
          <cell r="H129">
            <v>225468.75</v>
          </cell>
        </row>
        <row r="130">
          <cell r="A130" t="str">
            <v>53060</v>
          </cell>
          <cell r="H130">
            <v>108929.2</v>
          </cell>
        </row>
        <row r="131">
          <cell r="A131" t="str">
            <v>53065</v>
          </cell>
          <cell r="H131">
            <v>856853.2</v>
          </cell>
        </row>
        <row r="132">
          <cell r="A132" t="str">
            <v>53074</v>
          </cell>
          <cell r="H132">
            <v>0</v>
          </cell>
        </row>
        <row r="133">
          <cell r="A133" t="str">
            <v>53075</v>
          </cell>
          <cell r="H133">
            <v>2767590</v>
          </cell>
        </row>
        <row r="134">
          <cell r="A134" t="str">
            <v>53080</v>
          </cell>
          <cell r="H134">
            <v>12007411.619999999</v>
          </cell>
        </row>
        <row r="135">
          <cell r="A135" t="str">
            <v>53090</v>
          </cell>
          <cell r="H135">
            <v>16000</v>
          </cell>
        </row>
        <row r="136">
          <cell r="A136" t="str">
            <v>53095</v>
          </cell>
          <cell r="H136">
            <v>15767.12</v>
          </cell>
        </row>
        <row r="137">
          <cell r="A137" t="str">
            <v>53110</v>
          </cell>
          <cell r="H137">
            <v>860000</v>
          </cell>
        </row>
        <row r="138">
          <cell r="A138" t="str">
            <v>53120</v>
          </cell>
          <cell r="H138">
            <v>40179130.579999998</v>
          </cell>
        </row>
        <row r="139">
          <cell r="A139" t="str">
            <v>53140</v>
          </cell>
          <cell r="H139">
            <v>1585710</v>
          </cell>
        </row>
        <row r="140">
          <cell r="A140" t="str">
            <v>60010</v>
          </cell>
          <cell r="H140">
            <v>2407407.41</v>
          </cell>
        </row>
        <row r="141">
          <cell r="A141" t="str">
            <v>60020</v>
          </cell>
          <cell r="H141">
            <v>89500</v>
          </cell>
        </row>
        <row r="142">
          <cell r="A142" t="str">
            <v>60025</v>
          </cell>
          <cell r="H142">
            <v>1670057</v>
          </cell>
        </row>
        <row r="143">
          <cell r="A143" t="str">
            <v>60030</v>
          </cell>
          <cell r="H143">
            <v>370000</v>
          </cell>
        </row>
        <row r="144">
          <cell r="A144" t="str">
            <v>60035</v>
          </cell>
          <cell r="H144">
            <v>0</v>
          </cell>
        </row>
        <row r="145">
          <cell r="A145" t="str">
            <v>60040</v>
          </cell>
          <cell r="H145">
            <v>21000</v>
          </cell>
        </row>
        <row r="146">
          <cell r="A146" t="str">
            <v>60045</v>
          </cell>
          <cell r="H146">
            <v>735300</v>
          </cell>
        </row>
        <row r="147">
          <cell r="A147" t="str">
            <v>60050</v>
          </cell>
          <cell r="H147">
            <v>1454581.4</v>
          </cell>
        </row>
        <row r="148">
          <cell r="A148" t="str">
            <v>60060</v>
          </cell>
          <cell r="H148">
            <v>25200299.710000001</v>
          </cell>
        </row>
        <row r="149">
          <cell r="A149" t="str">
            <v>60070</v>
          </cell>
          <cell r="H149">
            <v>573957.32999999996</v>
          </cell>
        </row>
        <row r="150">
          <cell r="A150" t="str">
            <v>60075</v>
          </cell>
          <cell r="H150">
            <v>370000</v>
          </cell>
        </row>
        <row r="151">
          <cell r="A151" t="str">
            <v>60080</v>
          </cell>
          <cell r="H151">
            <v>791676.5</v>
          </cell>
        </row>
        <row r="152">
          <cell r="A152" t="str">
            <v>60085</v>
          </cell>
          <cell r="H152">
            <v>1584927.11</v>
          </cell>
        </row>
        <row r="153">
          <cell r="A153" t="str">
            <v>60090</v>
          </cell>
          <cell r="H153">
            <v>21238393.780000001</v>
          </cell>
        </row>
        <row r="154">
          <cell r="A154" t="str">
            <v>60100</v>
          </cell>
          <cell r="H154">
            <v>291721.33</v>
          </cell>
        </row>
        <row r="155">
          <cell r="A155" t="str">
            <v>60110</v>
          </cell>
          <cell r="H155">
            <v>0</v>
          </cell>
        </row>
        <row r="156">
          <cell r="A156" t="str">
            <v>60115</v>
          </cell>
          <cell r="H156">
            <v>834413.28</v>
          </cell>
        </row>
        <row r="157">
          <cell r="A157" t="str">
            <v>60125</v>
          </cell>
          <cell r="H157">
            <v>6122920</v>
          </cell>
        </row>
        <row r="158">
          <cell r="A158" t="str">
            <v>60201</v>
          </cell>
          <cell r="H158">
            <v>1300032.8900000001</v>
          </cell>
        </row>
        <row r="159">
          <cell r="A159" t="str">
            <v>60202</v>
          </cell>
          <cell r="H159">
            <v>0</v>
          </cell>
        </row>
        <row r="160">
          <cell r="A160" t="str">
            <v>60205</v>
          </cell>
          <cell r="H160">
            <v>218534.55</v>
          </cell>
        </row>
        <row r="161">
          <cell r="A161" t="str">
            <v>60206</v>
          </cell>
          <cell r="H161">
            <v>985828</v>
          </cell>
        </row>
        <row r="162">
          <cell r="A162" t="str">
            <v>60210</v>
          </cell>
          <cell r="H162">
            <v>3317310.64</v>
          </cell>
        </row>
        <row r="163">
          <cell r="A163" t="str">
            <v>60211</v>
          </cell>
          <cell r="H163">
            <v>0</v>
          </cell>
        </row>
        <row r="164">
          <cell r="A164" t="str">
            <v>60213</v>
          </cell>
          <cell r="H164">
            <v>0</v>
          </cell>
        </row>
        <row r="165">
          <cell r="A165" t="str">
            <v>60217</v>
          </cell>
          <cell r="H165">
            <v>0</v>
          </cell>
        </row>
        <row r="166">
          <cell r="A166" t="str">
            <v>61100</v>
          </cell>
          <cell r="H166">
            <v>3104706.15</v>
          </cell>
        </row>
        <row r="167">
          <cell r="A167" t="str">
            <v>61310</v>
          </cell>
          <cell r="H167">
            <v>117080</v>
          </cell>
        </row>
        <row r="168">
          <cell r="A168" t="str">
            <v>61315</v>
          </cell>
          <cell r="H168">
            <v>103000</v>
          </cell>
        </row>
        <row r="169">
          <cell r="A169" t="str">
            <v>61320</v>
          </cell>
          <cell r="H169">
            <v>15650</v>
          </cell>
        </row>
        <row r="170">
          <cell r="A170" t="str">
            <v>61500</v>
          </cell>
          <cell r="H170">
            <v>0</v>
          </cell>
        </row>
        <row r="171">
          <cell r="A171" t="str">
            <v>61600</v>
          </cell>
          <cell r="H171">
            <v>400000</v>
          </cell>
        </row>
        <row r="172">
          <cell r="A172" t="str">
            <v>61700</v>
          </cell>
          <cell r="H172">
            <v>594114.15</v>
          </cell>
        </row>
        <row r="173">
          <cell r="A173" t="str">
            <v>62101</v>
          </cell>
          <cell r="H173">
            <v>36000350</v>
          </cell>
        </row>
        <row r="174">
          <cell r="A174" t="str">
            <v>62200</v>
          </cell>
          <cell r="H174">
            <v>151169</v>
          </cell>
        </row>
        <row r="175">
          <cell r="A175" t="str">
            <v>62415</v>
          </cell>
          <cell r="H175">
            <v>76700</v>
          </cell>
        </row>
        <row r="176">
          <cell r="A176" t="str">
            <v>62420</v>
          </cell>
          <cell r="H176">
            <v>25000</v>
          </cell>
        </row>
        <row r="177">
          <cell r="A177" t="str">
            <v>62425</v>
          </cell>
          <cell r="H177">
            <v>426000</v>
          </cell>
        </row>
        <row r="178">
          <cell r="A178" t="str">
            <v>62435</v>
          </cell>
          <cell r="H178">
            <v>348500</v>
          </cell>
        </row>
        <row r="179">
          <cell r="A179" t="str">
            <v>62700</v>
          </cell>
          <cell r="H179">
            <v>1497739.25</v>
          </cell>
        </row>
        <row r="180">
          <cell r="A180" t="str">
            <v>63110</v>
          </cell>
          <cell r="H180">
            <v>1898008.63</v>
          </cell>
        </row>
        <row r="181">
          <cell r="A181" t="str">
            <v>63120</v>
          </cell>
          <cell r="H181">
            <v>140000</v>
          </cell>
        </row>
        <row r="182">
          <cell r="A182" t="str">
            <v>63125</v>
          </cell>
          <cell r="H182">
            <v>268390.5</v>
          </cell>
        </row>
        <row r="183">
          <cell r="A183" t="str">
            <v>63200</v>
          </cell>
          <cell r="H183">
            <v>60500</v>
          </cell>
        </row>
        <row r="184">
          <cell r="A184" t="str">
            <v>63907</v>
          </cell>
          <cell r="H184">
            <v>21322492.370000001</v>
          </cell>
        </row>
        <row r="185">
          <cell r="A185" t="str">
            <v>64000</v>
          </cell>
          <cell r="H185">
            <v>3840266.68</v>
          </cell>
        </row>
        <row r="186">
          <cell r="A186" t="str">
            <v>65000</v>
          </cell>
          <cell r="H186">
            <v>5586083.3300000001</v>
          </cell>
        </row>
        <row r="187">
          <cell r="A187" t="str">
            <v>65007</v>
          </cell>
          <cell r="H187">
            <v>1303338.9100000001</v>
          </cell>
        </row>
        <row r="188">
          <cell r="A188" t="str">
            <v>65015</v>
          </cell>
          <cell r="H188">
            <v>0</v>
          </cell>
        </row>
        <row r="189">
          <cell r="A189" t="str">
            <v>65031</v>
          </cell>
          <cell r="H189">
            <v>12809935.99</v>
          </cell>
        </row>
        <row r="190">
          <cell r="A190" t="str">
            <v>65032</v>
          </cell>
          <cell r="H190">
            <v>3182287.82</v>
          </cell>
        </row>
        <row r="191">
          <cell r="A191" t="str">
            <v>65035</v>
          </cell>
          <cell r="H191">
            <v>83649805.469999999</v>
          </cell>
        </row>
        <row r="192">
          <cell r="A192" t="str">
            <v>65036</v>
          </cell>
          <cell r="H192">
            <v>1146213.42</v>
          </cell>
        </row>
        <row r="193">
          <cell r="A193" t="str">
            <v>65037</v>
          </cell>
          <cell r="H193">
            <v>0</v>
          </cell>
        </row>
        <row r="194">
          <cell r="A194" t="str">
            <v>65095</v>
          </cell>
          <cell r="H194">
            <v>6835930.5599999996</v>
          </cell>
        </row>
        <row r="195">
          <cell r="A195" t="str">
            <v>65100</v>
          </cell>
          <cell r="H195">
            <v>3977859.91</v>
          </cell>
        </row>
        <row r="196">
          <cell r="A196" t="str">
            <v>65800</v>
          </cell>
          <cell r="H196">
            <v>88200</v>
          </cell>
        </row>
        <row r="197">
          <cell r="A197" t="str">
            <v>66300</v>
          </cell>
          <cell r="H197">
            <v>13200</v>
          </cell>
        </row>
        <row r="198">
          <cell r="A198" t="str">
            <v>67052</v>
          </cell>
          <cell r="H198">
            <v>0</v>
          </cell>
        </row>
        <row r="199">
          <cell r="A199" t="str">
            <v>67901</v>
          </cell>
          <cell r="H199">
            <v>0</v>
          </cell>
        </row>
        <row r="200">
          <cell r="A200" t="str">
            <v>67920</v>
          </cell>
          <cell r="H200">
            <v>24443157.900000002</v>
          </cell>
        </row>
        <row r="201">
          <cell r="A201" t="str">
            <v>67940</v>
          </cell>
          <cell r="H201">
            <v>0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0</v>
          </cell>
        </row>
        <row r="204">
          <cell r="A204" t="str">
            <v>69600</v>
          </cell>
          <cell r="H204">
            <v>8341279.5</v>
          </cell>
        </row>
        <row r="205">
          <cell r="A205" t="str">
            <v>69901</v>
          </cell>
          <cell r="H205">
            <v>3630697.14</v>
          </cell>
        </row>
        <row r="206">
          <cell r="A206" t="str">
            <v>69903</v>
          </cell>
          <cell r="H206">
            <v>2555131.4900000002</v>
          </cell>
        </row>
      </sheetData>
      <sheetData sheetId="1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57975.03</v>
          </cell>
        </row>
        <row r="7">
          <cell r="A7" t="str">
            <v>10104</v>
          </cell>
          <cell r="H7">
            <v>5350511.79</v>
          </cell>
        </row>
        <row r="8">
          <cell r="A8" t="str">
            <v>10105</v>
          </cell>
          <cell r="H8">
            <v>1272514018.51</v>
          </cell>
        </row>
        <row r="9">
          <cell r="A9" t="str">
            <v>10107</v>
          </cell>
          <cell r="H9">
            <v>754984087.33000004</v>
          </cell>
        </row>
        <row r="10">
          <cell r="A10" t="str">
            <v>10108</v>
          </cell>
          <cell r="H10">
            <v>735318.6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4245212.08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1911.45</v>
          </cell>
        </row>
        <row r="20">
          <cell r="A20" t="str">
            <v>10224</v>
          </cell>
          <cell r="H20">
            <v>1433986.49</v>
          </cell>
        </row>
        <row r="21">
          <cell r="A21" t="str">
            <v>10225</v>
          </cell>
          <cell r="H21">
            <v>648058.18000000005</v>
          </cell>
        </row>
        <row r="22">
          <cell r="A22" t="str">
            <v>10226</v>
          </cell>
          <cell r="H22">
            <v>6913702.6399999997</v>
          </cell>
        </row>
        <row r="23">
          <cell r="A23" t="str">
            <v>10227</v>
          </cell>
          <cell r="H23">
            <v>9544782.7599999998</v>
          </cell>
        </row>
        <row r="24">
          <cell r="A24" t="str">
            <v>10235</v>
          </cell>
          <cell r="H24">
            <v>1842973.41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66958240.649999999</v>
          </cell>
        </row>
        <row r="28">
          <cell r="A28" t="str">
            <v>10255</v>
          </cell>
          <cell r="H28">
            <v>942619.3</v>
          </cell>
        </row>
        <row r="29">
          <cell r="A29" t="str">
            <v>10256</v>
          </cell>
          <cell r="H29">
            <v>1185174.5900000001</v>
          </cell>
        </row>
        <row r="30">
          <cell r="A30" t="str">
            <v>10260</v>
          </cell>
          <cell r="H30">
            <v>207200</v>
          </cell>
        </row>
        <row r="31">
          <cell r="A31" t="str">
            <v>10265</v>
          </cell>
          <cell r="H31">
            <v>2113011.52</v>
          </cell>
        </row>
        <row r="32">
          <cell r="A32" t="str">
            <v>10270</v>
          </cell>
          <cell r="H32">
            <v>6999363.4900000002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6374381.0099999998</v>
          </cell>
        </row>
        <row r="35">
          <cell r="A35" t="str">
            <v>10293</v>
          </cell>
          <cell r="H35">
            <v>15514649.82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1662600.19</v>
          </cell>
        </row>
        <row r="38">
          <cell r="A38" t="str">
            <v>10316</v>
          </cell>
          <cell r="H38">
            <v>4411309.33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673437.1</v>
          </cell>
        </row>
        <row r="42">
          <cell r="A42" t="str">
            <v>10342</v>
          </cell>
          <cell r="H42">
            <v>503283552.75999999</v>
          </cell>
        </row>
        <row r="43">
          <cell r="A43" t="str">
            <v>10343</v>
          </cell>
          <cell r="H43">
            <v>19484.43</v>
          </cell>
        </row>
        <row r="44">
          <cell r="A44" t="str">
            <v>10344</v>
          </cell>
          <cell r="H44">
            <v>2726339.13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5409681.5099999998</v>
          </cell>
        </row>
        <row r="47">
          <cell r="A47" t="str">
            <v>10801</v>
          </cell>
          <cell r="H47">
            <v>56988.89</v>
          </cell>
        </row>
        <row r="48">
          <cell r="A48" t="str">
            <v>11000</v>
          </cell>
          <cell r="H48">
            <v>83560599.980000004</v>
          </cell>
        </row>
        <row r="49">
          <cell r="A49" t="str">
            <v>12100</v>
          </cell>
          <cell r="H49">
            <v>71142626.680000007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141740079.49000001</v>
          </cell>
        </row>
        <row r="52">
          <cell r="A52" t="str">
            <v>13004</v>
          </cell>
          <cell r="H52">
            <v>2537992</v>
          </cell>
        </row>
        <row r="53">
          <cell r="A53" t="str">
            <v>13008</v>
          </cell>
          <cell r="H53">
            <v>600000</v>
          </cell>
        </row>
        <row r="54">
          <cell r="A54" t="str">
            <v>13010</v>
          </cell>
          <cell r="H54">
            <v>32467411.510000002</v>
          </cell>
        </row>
        <row r="55">
          <cell r="A55" t="str">
            <v>13116</v>
          </cell>
          <cell r="H55">
            <v>101500</v>
          </cell>
        </row>
        <row r="56">
          <cell r="A56" t="str">
            <v>13120</v>
          </cell>
          <cell r="H56">
            <v>60516883.399999999</v>
          </cell>
        </row>
        <row r="57">
          <cell r="A57" t="str">
            <v>13130</v>
          </cell>
          <cell r="H57">
            <v>19824614.449999999</v>
          </cell>
        </row>
        <row r="58">
          <cell r="A58" t="str">
            <v>13135</v>
          </cell>
          <cell r="H58">
            <v>3370370.48</v>
          </cell>
        </row>
        <row r="59">
          <cell r="A59" t="str">
            <v>13200</v>
          </cell>
          <cell r="H59">
            <v>4901041.1900000004</v>
          </cell>
        </row>
        <row r="60">
          <cell r="A60" t="str">
            <v>13400</v>
          </cell>
          <cell r="H60">
            <v>547375401.25</v>
          </cell>
        </row>
        <row r="61">
          <cell r="A61" t="str">
            <v>14000</v>
          </cell>
          <cell r="H61">
            <v>-326542645.45999998</v>
          </cell>
        </row>
        <row r="62">
          <cell r="A62" t="str">
            <v>14001</v>
          </cell>
          <cell r="H62">
            <v>-352583620.5</v>
          </cell>
        </row>
        <row r="63">
          <cell r="A63" t="str">
            <v>14010</v>
          </cell>
          <cell r="H63">
            <v>818549.6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21430757.66</v>
          </cell>
        </row>
        <row r="66">
          <cell r="A66" t="str">
            <v>14021</v>
          </cell>
          <cell r="H66">
            <v>1721338.5</v>
          </cell>
        </row>
        <row r="67">
          <cell r="A67" t="str">
            <v>15000</v>
          </cell>
          <cell r="H67">
            <v>38615442.920000002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316900706.66000003</v>
          </cell>
        </row>
        <row r="70">
          <cell r="A70" t="str">
            <v>15300</v>
          </cell>
          <cell r="H70">
            <v>17185780.25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2410161.5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644391600.25</v>
          </cell>
        </row>
        <row r="76">
          <cell r="A76" t="str">
            <v>15505</v>
          </cell>
          <cell r="H76">
            <v>7288861.2699999996</v>
          </cell>
        </row>
        <row r="77">
          <cell r="A77" t="str">
            <v>15509</v>
          </cell>
          <cell r="H77">
            <v>5400000</v>
          </cell>
        </row>
        <row r="78">
          <cell r="A78" t="str">
            <v>15510</v>
          </cell>
          <cell r="H78">
            <v>971341658.44000006</v>
          </cell>
        </row>
        <row r="79">
          <cell r="A79" t="str">
            <v>16000</v>
          </cell>
          <cell r="H79">
            <v>-27534602.329999998</v>
          </cell>
        </row>
        <row r="80">
          <cell r="A80" t="str">
            <v>16100</v>
          </cell>
          <cell r="H80">
            <v>-3644980.06</v>
          </cell>
        </row>
        <row r="81">
          <cell r="A81" t="str">
            <v>16200</v>
          </cell>
          <cell r="H81">
            <v>-217099519.83000001</v>
          </cell>
        </row>
        <row r="82">
          <cell r="A82" t="str">
            <v>16300</v>
          </cell>
          <cell r="H82">
            <v>-14448991.68</v>
          </cell>
        </row>
        <row r="83">
          <cell r="A83" t="str">
            <v>16500</v>
          </cell>
          <cell r="H83">
            <v>-17904365.100000001</v>
          </cell>
        </row>
        <row r="84">
          <cell r="A84" t="str">
            <v>17000</v>
          </cell>
          <cell r="H84">
            <v>388114354.81999999</v>
          </cell>
        </row>
        <row r="85">
          <cell r="A85" t="str">
            <v>19004</v>
          </cell>
          <cell r="H85">
            <v>2523980.39</v>
          </cell>
        </row>
        <row r="86">
          <cell r="A86" t="str">
            <v>19006</v>
          </cell>
          <cell r="H86">
            <v>2902456.11</v>
          </cell>
        </row>
        <row r="87">
          <cell r="A87" t="str">
            <v>19007</v>
          </cell>
          <cell r="H87">
            <v>3507712736.9499998</v>
          </cell>
        </row>
        <row r="88">
          <cell r="A88" t="str">
            <v>69904</v>
          </cell>
          <cell r="H88">
            <v>-28045331.07</v>
          </cell>
        </row>
        <row r="89">
          <cell r="A89" t="str">
            <v>20000</v>
          </cell>
          <cell r="H89">
            <v>-501220322.13</v>
          </cell>
        </row>
        <row r="90">
          <cell r="A90" t="str">
            <v>20005</v>
          </cell>
          <cell r="H90">
            <v>-82347565.890000001</v>
          </cell>
        </row>
        <row r="91">
          <cell r="A91" t="str">
            <v>22100</v>
          </cell>
          <cell r="H91">
            <v>-9971942.3699999992</v>
          </cell>
        </row>
        <row r="92">
          <cell r="A92" t="str">
            <v>23000</v>
          </cell>
          <cell r="H92">
            <v>-938717163.78999996</v>
          </cell>
        </row>
        <row r="93">
          <cell r="A93" t="str">
            <v>23001</v>
          </cell>
          <cell r="H93">
            <v>59891429</v>
          </cell>
        </row>
        <row r="94">
          <cell r="A94" t="str">
            <v>23010</v>
          </cell>
          <cell r="H94">
            <v>-48391445.700000003</v>
          </cell>
        </row>
        <row r="95">
          <cell r="A95" t="str">
            <v>23015</v>
          </cell>
          <cell r="H95">
            <v>-3180259.95</v>
          </cell>
        </row>
        <row r="96">
          <cell r="A96" t="str">
            <v>23030</v>
          </cell>
          <cell r="H96">
            <v>-543255.56000000006</v>
          </cell>
        </row>
        <row r="97">
          <cell r="A97" t="str">
            <v>23040</v>
          </cell>
          <cell r="H97">
            <v>-17197577.84</v>
          </cell>
        </row>
        <row r="98">
          <cell r="A98" t="str">
            <v>23400</v>
          </cell>
          <cell r="H98">
            <v>-1355594394.27</v>
          </cell>
        </row>
        <row r="99">
          <cell r="A99" t="str">
            <v>23405</v>
          </cell>
          <cell r="H99">
            <v>904471947.03999996</v>
          </cell>
        </row>
        <row r="100">
          <cell r="A100" t="str">
            <v>23410</v>
          </cell>
          <cell r="H100">
            <v>51599186.399999999</v>
          </cell>
        </row>
        <row r="101">
          <cell r="A101" t="str">
            <v>23420</v>
          </cell>
          <cell r="H101">
            <v>-13633099.58</v>
          </cell>
        </row>
        <row r="102">
          <cell r="A102" t="str">
            <v>23425</v>
          </cell>
          <cell r="H102">
            <v>-32949171.219999999</v>
          </cell>
        </row>
        <row r="103">
          <cell r="A103" t="str">
            <v>24010</v>
          </cell>
          <cell r="H103">
            <v>-32495106.550000001</v>
          </cell>
        </row>
        <row r="104">
          <cell r="A104" t="str">
            <v>24100</v>
          </cell>
          <cell r="H104">
            <v>-23952196.75</v>
          </cell>
        </row>
        <row r="105">
          <cell r="A105" t="str">
            <v>30005</v>
          </cell>
          <cell r="H105">
            <v>96238158.140000001</v>
          </cell>
        </row>
        <row r="106">
          <cell r="A106" t="str">
            <v>30035</v>
          </cell>
          <cell r="H106">
            <v>101787277.34999999</v>
          </cell>
        </row>
        <row r="107">
          <cell r="A107" t="str">
            <v>30040</v>
          </cell>
          <cell r="H107">
            <v>-107359858</v>
          </cell>
        </row>
        <row r="108">
          <cell r="A108" t="str">
            <v>30042</v>
          </cell>
          <cell r="H108">
            <v>-7359858</v>
          </cell>
        </row>
        <row r="109">
          <cell r="A109" t="str">
            <v>30043</v>
          </cell>
          <cell r="H109">
            <v>-114297251.5</v>
          </cell>
        </row>
        <row r="110">
          <cell r="A110" t="str">
            <v>30044</v>
          </cell>
          <cell r="H110">
            <v>-6360000200</v>
          </cell>
        </row>
        <row r="111">
          <cell r="A111" t="str">
            <v>32000</v>
          </cell>
          <cell r="H111">
            <v>-1118694724.28</v>
          </cell>
        </row>
        <row r="112">
          <cell r="A112" t="str">
            <v>40020</v>
          </cell>
          <cell r="H112">
            <v>0</v>
          </cell>
        </row>
        <row r="113">
          <cell r="A113" t="str">
            <v>40055</v>
          </cell>
          <cell r="H113">
            <v>0</v>
          </cell>
        </row>
        <row r="114">
          <cell r="A114" t="str">
            <v>40056</v>
          </cell>
          <cell r="H114">
            <v>0</v>
          </cell>
        </row>
        <row r="115">
          <cell r="A115" t="str">
            <v>40085</v>
          </cell>
          <cell r="H115">
            <v>-178615.67999999999</v>
          </cell>
        </row>
        <row r="116">
          <cell r="A116" t="str">
            <v>40095</v>
          </cell>
          <cell r="H116">
            <v>0</v>
          </cell>
        </row>
        <row r="117">
          <cell r="A117" t="str">
            <v>40161</v>
          </cell>
          <cell r="H117">
            <v>-31036614.120000001</v>
          </cell>
        </row>
        <row r="118">
          <cell r="A118" t="str">
            <v>40162</v>
          </cell>
          <cell r="H118">
            <v>-88704328.430000007</v>
          </cell>
        </row>
        <row r="119">
          <cell r="A119" t="str">
            <v>40163</v>
          </cell>
          <cell r="H119">
            <v>0</v>
          </cell>
        </row>
        <row r="120">
          <cell r="A120" t="str">
            <v>49300</v>
          </cell>
          <cell r="H120">
            <v>-21322970.579999998</v>
          </cell>
        </row>
        <row r="121">
          <cell r="A121" t="str">
            <v>49400</v>
          </cell>
          <cell r="H121">
            <v>0</v>
          </cell>
        </row>
        <row r="122">
          <cell r="A122" t="str">
            <v>50000</v>
          </cell>
          <cell r="H122">
            <v>0</v>
          </cell>
        </row>
        <row r="123">
          <cell r="A123" t="str">
            <v>53005</v>
          </cell>
          <cell r="H123">
            <v>0</v>
          </cell>
        </row>
        <row r="124">
          <cell r="A124" t="str">
            <v>53030</v>
          </cell>
          <cell r="H124">
            <v>0</v>
          </cell>
        </row>
        <row r="125">
          <cell r="A125" t="str">
            <v>53040</v>
          </cell>
          <cell r="H125">
            <v>64000</v>
          </cell>
        </row>
        <row r="126">
          <cell r="A126" t="str">
            <v>53045</v>
          </cell>
          <cell r="H126">
            <v>3426551.11</v>
          </cell>
        </row>
        <row r="127">
          <cell r="A127" t="str">
            <v>53055</v>
          </cell>
          <cell r="H127">
            <v>225468.75</v>
          </cell>
        </row>
        <row r="128">
          <cell r="A128" t="str">
            <v>53060</v>
          </cell>
          <cell r="H128">
            <v>10500</v>
          </cell>
        </row>
        <row r="129">
          <cell r="A129" t="str">
            <v>53065</v>
          </cell>
          <cell r="H129">
            <v>0</v>
          </cell>
        </row>
        <row r="130">
          <cell r="A130" t="str">
            <v>53074</v>
          </cell>
          <cell r="H130">
            <v>41673.15</v>
          </cell>
        </row>
        <row r="131">
          <cell r="A131" t="str">
            <v>53075</v>
          </cell>
          <cell r="H131">
            <v>1919100</v>
          </cell>
        </row>
        <row r="132">
          <cell r="A132" t="str">
            <v>53080</v>
          </cell>
          <cell r="H132">
            <v>2001863.55</v>
          </cell>
        </row>
        <row r="133">
          <cell r="A133" t="str">
            <v>53090</v>
          </cell>
          <cell r="H133">
            <v>25000</v>
          </cell>
        </row>
        <row r="134">
          <cell r="A134" t="str">
            <v>53095</v>
          </cell>
          <cell r="H134">
            <v>2000</v>
          </cell>
        </row>
        <row r="135">
          <cell r="A135" t="str">
            <v>53110</v>
          </cell>
          <cell r="H135">
            <v>0</v>
          </cell>
        </row>
        <row r="136">
          <cell r="A136" t="str">
            <v>53120</v>
          </cell>
          <cell r="H136">
            <v>35815582.079999998</v>
          </cell>
        </row>
        <row r="137">
          <cell r="A137" t="str">
            <v>53140</v>
          </cell>
          <cell r="H137">
            <v>1587555</v>
          </cell>
        </row>
        <row r="138">
          <cell r="A138" t="str">
            <v>60010</v>
          </cell>
          <cell r="H138">
            <v>2407407.41</v>
          </cell>
        </row>
        <row r="139">
          <cell r="A139" t="str">
            <v>60020</v>
          </cell>
          <cell r="H139">
            <v>124500</v>
          </cell>
        </row>
        <row r="140">
          <cell r="A140" t="str">
            <v>60025</v>
          </cell>
          <cell r="H140">
            <v>202500</v>
          </cell>
        </row>
        <row r="141">
          <cell r="A141" t="str">
            <v>60030</v>
          </cell>
          <cell r="H141">
            <v>10000</v>
          </cell>
        </row>
        <row r="142">
          <cell r="A142" t="str">
            <v>60035</v>
          </cell>
          <cell r="H142">
            <v>0</v>
          </cell>
        </row>
        <row r="143">
          <cell r="A143" t="str">
            <v>60040</v>
          </cell>
          <cell r="H143">
            <v>3000</v>
          </cell>
        </row>
        <row r="144">
          <cell r="A144" t="str">
            <v>60045</v>
          </cell>
          <cell r="H144">
            <v>735300</v>
          </cell>
        </row>
        <row r="145">
          <cell r="A145" t="str">
            <v>60050</v>
          </cell>
          <cell r="H145">
            <v>1834897.21</v>
          </cell>
        </row>
        <row r="146">
          <cell r="A146" t="str">
            <v>60060</v>
          </cell>
          <cell r="H146">
            <v>20773899.850000001</v>
          </cell>
        </row>
        <row r="147">
          <cell r="A147" t="str">
            <v>60070</v>
          </cell>
          <cell r="H147">
            <v>1528873.51</v>
          </cell>
        </row>
        <row r="148">
          <cell r="A148" t="str">
            <v>60080</v>
          </cell>
          <cell r="H148">
            <v>6354389.8399999999</v>
          </cell>
        </row>
        <row r="149">
          <cell r="A149" t="str">
            <v>60085</v>
          </cell>
          <cell r="H149">
            <v>1557996.59</v>
          </cell>
        </row>
        <row r="150">
          <cell r="A150" t="str">
            <v>60090</v>
          </cell>
          <cell r="H150">
            <v>249516.07</v>
          </cell>
        </row>
        <row r="151">
          <cell r="A151" t="str">
            <v>60100</v>
          </cell>
          <cell r="H151">
            <v>84803.94</v>
          </cell>
        </row>
        <row r="152">
          <cell r="A152" t="str">
            <v>60110</v>
          </cell>
          <cell r="H152">
            <v>0</v>
          </cell>
        </row>
        <row r="153">
          <cell r="A153" t="str">
            <v>60115</v>
          </cell>
          <cell r="H153">
            <v>50000</v>
          </cell>
        </row>
        <row r="154">
          <cell r="A154" t="str">
            <v>60125</v>
          </cell>
          <cell r="H154">
            <v>0</v>
          </cell>
        </row>
        <row r="155">
          <cell r="A155" t="str">
            <v>60201</v>
          </cell>
          <cell r="H155">
            <v>7300627.1799999997</v>
          </cell>
        </row>
        <row r="156">
          <cell r="A156" t="str">
            <v>60202</v>
          </cell>
          <cell r="H156">
            <v>105670.53</v>
          </cell>
        </row>
        <row r="157">
          <cell r="A157" t="str">
            <v>60205</v>
          </cell>
          <cell r="H157">
            <v>72150</v>
          </cell>
        </row>
        <row r="158">
          <cell r="A158" t="str">
            <v>60206</v>
          </cell>
          <cell r="H158">
            <v>3413335</v>
          </cell>
        </row>
        <row r="159">
          <cell r="A159" t="str">
            <v>60210</v>
          </cell>
          <cell r="H159">
            <v>10142860.890000001</v>
          </cell>
        </row>
        <row r="160">
          <cell r="A160" t="str">
            <v>60211</v>
          </cell>
          <cell r="H160">
            <v>77437</v>
          </cell>
        </row>
        <row r="161">
          <cell r="A161" t="str">
            <v>60213</v>
          </cell>
          <cell r="H161">
            <v>0</v>
          </cell>
        </row>
        <row r="162">
          <cell r="A162" t="str">
            <v>60217</v>
          </cell>
          <cell r="H162">
            <v>0</v>
          </cell>
        </row>
        <row r="163">
          <cell r="A163" t="str">
            <v>61100</v>
          </cell>
          <cell r="H163">
            <v>2563945.2000000002</v>
          </cell>
        </row>
        <row r="164">
          <cell r="A164" t="str">
            <v>61310</v>
          </cell>
          <cell r="H164">
            <v>171960.08</v>
          </cell>
        </row>
        <row r="165">
          <cell r="A165" t="str">
            <v>61315</v>
          </cell>
          <cell r="H165">
            <v>30500</v>
          </cell>
        </row>
        <row r="166">
          <cell r="A166" t="str">
            <v>61320</v>
          </cell>
          <cell r="H166">
            <v>31450</v>
          </cell>
        </row>
        <row r="167">
          <cell r="A167" t="str">
            <v>61500</v>
          </cell>
          <cell r="H167">
            <v>293600</v>
          </cell>
        </row>
        <row r="168">
          <cell r="A168" t="str">
            <v>61600</v>
          </cell>
          <cell r="H168">
            <v>0</v>
          </cell>
        </row>
        <row r="169">
          <cell r="A169" t="str">
            <v>61700</v>
          </cell>
          <cell r="H169">
            <v>576301.73</v>
          </cell>
        </row>
        <row r="170">
          <cell r="A170" t="str">
            <v>62101</v>
          </cell>
          <cell r="H170">
            <v>0</v>
          </cell>
        </row>
        <row r="171">
          <cell r="A171" t="str">
            <v>62200</v>
          </cell>
          <cell r="H171">
            <v>469300</v>
          </cell>
        </row>
        <row r="172">
          <cell r="A172" t="str">
            <v>62415</v>
          </cell>
          <cell r="H172">
            <v>12000</v>
          </cell>
        </row>
        <row r="173">
          <cell r="A173" t="str">
            <v>62420</v>
          </cell>
          <cell r="H173">
            <v>12000</v>
          </cell>
        </row>
        <row r="174">
          <cell r="A174" t="str">
            <v>62425</v>
          </cell>
          <cell r="H174">
            <v>401800</v>
          </cell>
        </row>
        <row r="175">
          <cell r="A175" t="str">
            <v>62435</v>
          </cell>
          <cell r="H175">
            <v>294000</v>
          </cell>
        </row>
        <row r="176">
          <cell r="A176" t="str">
            <v>62700</v>
          </cell>
          <cell r="H176">
            <v>509600</v>
          </cell>
        </row>
        <row r="177">
          <cell r="A177" t="str">
            <v>63110</v>
          </cell>
          <cell r="H177">
            <v>1939582.56</v>
          </cell>
        </row>
        <row r="178">
          <cell r="A178" t="str">
            <v>63120</v>
          </cell>
          <cell r="H178">
            <v>0</v>
          </cell>
        </row>
        <row r="179">
          <cell r="A179" t="str">
            <v>63125</v>
          </cell>
          <cell r="H179">
            <v>191487</v>
          </cell>
        </row>
        <row r="180">
          <cell r="A180" t="str">
            <v>63907</v>
          </cell>
          <cell r="H180">
            <v>21550549.760000002</v>
          </cell>
        </row>
        <row r="181">
          <cell r="A181" t="str">
            <v>64000</v>
          </cell>
          <cell r="H181">
            <v>3636404.55</v>
          </cell>
        </row>
        <row r="182">
          <cell r="A182" t="str">
            <v>65000</v>
          </cell>
          <cell r="H182">
            <v>89583.33</v>
          </cell>
        </row>
        <row r="183">
          <cell r="A183" t="str">
            <v>65007</v>
          </cell>
          <cell r="H183">
            <v>1064257.5399999991</v>
          </cell>
        </row>
        <row r="184">
          <cell r="A184" t="str">
            <v>65015</v>
          </cell>
          <cell r="H184">
            <v>0</v>
          </cell>
        </row>
        <row r="185">
          <cell r="A185" t="str">
            <v>65031</v>
          </cell>
          <cell r="H185">
            <v>12436731.699999999</v>
          </cell>
        </row>
        <row r="186">
          <cell r="A186" t="str">
            <v>65032</v>
          </cell>
          <cell r="H186">
            <v>3101002.06</v>
          </cell>
        </row>
        <row r="187">
          <cell r="A187" t="str">
            <v>65035</v>
          </cell>
          <cell r="H187">
            <v>85651897.510000005</v>
          </cell>
        </row>
        <row r="188">
          <cell r="A188" t="str">
            <v>65036</v>
          </cell>
          <cell r="H188">
            <v>1146213.42</v>
          </cell>
        </row>
        <row r="189">
          <cell r="A189" t="str">
            <v>65037</v>
          </cell>
          <cell r="H189">
            <v>-603015.78</v>
          </cell>
        </row>
        <row r="190">
          <cell r="A190" t="str">
            <v>65095</v>
          </cell>
          <cell r="H190">
            <v>8276075.2000000002</v>
          </cell>
        </row>
        <row r="191">
          <cell r="A191" t="str">
            <v>65100</v>
          </cell>
          <cell r="H191">
            <v>3876252.75</v>
          </cell>
        </row>
        <row r="192">
          <cell r="A192" t="str">
            <v>65800</v>
          </cell>
          <cell r="H192">
            <v>700000</v>
          </cell>
        </row>
        <row r="193">
          <cell r="A193" t="str">
            <v>66300</v>
          </cell>
          <cell r="H193">
            <v>0</v>
          </cell>
        </row>
        <row r="194">
          <cell r="A194" t="str">
            <v>67052</v>
          </cell>
          <cell r="H194">
            <v>0</v>
          </cell>
        </row>
        <row r="195">
          <cell r="A195" t="str">
            <v>67920</v>
          </cell>
          <cell r="H195">
            <v>116538409.28999999</v>
          </cell>
        </row>
        <row r="196">
          <cell r="A196" t="str">
            <v>67940</v>
          </cell>
          <cell r="H196">
            <v>0</v>
          </cell>
        </row>
        <row r="197">
          <cell r="A197" t="str">
            <v>68500</v>
          </cell>
          <cell r="H197">
            <v>1806666.67</v>
          </cell>
        </row>
        <row r="198">
          <cell r="A198" t="str">
            <v>68503</v>
          </cell>
          <cell r="H198">
            <v>0</v>
          </cell>
        </row>
        <row r="199">
          <cell r="A199" t="str">
            <v>69600</v>
          </cell>
          <cell r="H199">
            <v>17379043.280000001</v>
          </cell>
        </row>
        <row r="200">
          <cell r="A200" t="str">
            <v>69901</v>
          </cell>
          <cell r="H200">
            <v>1201076.6599999999</v>
          </cell>
        </row>
        <row r="201">
          <cell r="A201" t="str">
            <v>69903</v>
          </cell>
          <cell r="H201">
            <v>2300405.3899999997</v>
          </cell>
        </row>
      </sheetData>
      <sheetData sheetId="1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152793.91</v>
          </cell>
        </row>
        <row r="7">
          <cell r="A7" t="str">
            <v>10104</v>
          </cell>
          <cell r="H7">
            <v>5749387.5899999999</v>
          </cell>
        </row>
        <row r="8">
          <cell r="A8" t="str">
            <v>10105</v>
          </cell>
          <cell r="H8">
            <v>1114207018.51</v>
          </cell>
        </row>
        <row r="9">
          <cell r="A9" t="str">
            <v>10107</v>
          </cell>
          <cell r="H9">
            <v>754984087.33000004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1157362.08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8099697.8600000003</v>
          </cell>
        </row>
        <row r="20">
          <cell r="A20" t="str">
            <v>10224</v>
          </cell>
          <cell r="H20">
            <v>1587821.76</v>
          </cell>
        </row>
        <row r="21">
          <cell r="A21" t="str">
            <v>10225</v>
          </cell>
          <cell r="H21">
            <v>6453812.8200000003</v>
          </cell>
        </row>
        <row r="22">
          <cell r="A22" t="str">
            <v>10226</v>
          </cell>
          <cell r="H22">
            <v>1485808.1</v>
          </cell>
        </row>
        <row r="23">
          <cell r="A23" t="str">
            <v>10227</v>
          </cell>
          <cell r="H23">
            <v>7984424.3099999996</v>
          </cell>
        </row>
        <row r="24">
          <cell r="A24" t="str">
            <v>10235</v>
          </cell>
          <cell r="H24">
            <v>5747187.9900000002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47042422.880000003</v>
          </cell>
        </row>
        <row r="28">
          <cell r="A28" t="str">
            <v>10255</v>
          </cell>
          <cell r="H28">
            <v>2648339.9900000002</v>
          </cell>
        </row>
        <row r="29">
          <cell r="A29" t="str">
            <v>10256</v>
          </cell>
          <cell r="H29">
            <v>1220772.3400000001</v>
          </cell>
        </row>
        <row r="30">
          <cell r="A30" t="str">
            <v>10260</v>
          </cell>
          <cell r="H30">
            <v>200000</v>
          </cell>
        </row>
        <row r="31">
          <cell r="A31" t="str">
            <v>10265</v>
          </cell>
          <cell r="H31">
            <v>49292.12</v>
          </cell>
        </row>
        <row r="32">
          <cell r="A32" t="str">
            <v>10270</v>
          </cell>
          <cell r="H32">
            <v>3000975.53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4168153.27</v>
          </cell>
        </row>
        <row r="35">
          <cell r="A35" t="str">
            <v>10293</v>
          </cell>
          <cell r="H35">
            <v>15979328.029999999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23601424.550000001</v>
          </cell>
        </row>
        <row r="38">
          <cell r="A38" t="str">
            <v>10316</v>
          </cell>
          <cell r="H38">
            <v>4411309.33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444645.18</v>
          </cell>
        </row>
        <row r="42">
          <cell r="A42" t="str">
            <v>10342</v>
          </cell>
          <cell r="H42">
            <v>100506.8</v>
          </cell>
        </row>
        <row r="43">
          <cell r="A43" t="str">
            <v>10343</v>
          </cell>
          <cell r="H43">
            <v>20069.669999999998</v>
          </cell>
        </row>
        <row r="44">
          <cell r="A44" t="str">
            <v>10344</v>
          </cell>
          <cell r="H44">
            <v>3575953.11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5409681.5099999998</v>
          </cell>
        </row>
        <row r="47">
          <cell r="A47" t="str">
            <v>10500</v>
          </cell>
          <cell r="H47">
            <v>0</v>
          </cell>
        </row>
        <row r="48">
          <cell r="A48" t="str">
            <v>10801</v>
          </cell>
          <cell r="H48">
            <v>58700.6</v>
          </cell>
        </row>
        <row r="49">
          <cell r="A49" t="str">
            <v>11000</v>
          </cell>
          <cell r="H49">
            <v>490025471.18000001</v>
          </cell>
        </row>
        <row r="50">
          <cell r="A50" t="str">
            <v>12100</v>
          </cell>
          <cell r="H50">
            <v>71142626.680000007</v>
          </cell>
        </row>
        <row r="51">
          <cell r="A51" t="str">
            <v>13002</v>
          </cell>
          <cell r="H51">
            <v>1440000</v>
          </cell>
        </row>
        <row r="52">
          <cell r="A52" t="str">
            <v>13003</v>
          </cell>
          <cell r="H52">
            <v>140077509.49000001</v>
          </cell>
        </row>
        <row r="53">
          <cell r="A53" t="str">
            <v>13004</v>
          </cell>
          <cell r="H53">
            <v>5971230.6799999997</v>
          </cell>
        </row>
        <row r="54">
          <cell r="A54" t="str">
            <v>13008</v>
          </cell>
          <cell r="H54">
            <v>600000</v>
          </cell>
        </row>
        <row r="55">
          <cell r="A55" t="str">
            <v>13010</v>
          </cell>
          <cell r="H55">
            <v>36527899.969999999</v>
          </cell>
        </row>
        <row r="56">
          <cell r="A56" t="str">
            <v>13116</v>
          </cell>
          <cell r="H56">
            <v>111100</v>
          </cell>
        </row>
        <row r="57">
          <cell r="A57" t="str">
            <v>13120</v>
          </cell>
          <cell r="H57">
            <v>63721645.049999997</v>
          </cell>
        </row>
        <row r="58">
          <cell r="A58" t="str">
            <v>13130</v>
          </cell>
          <cell r="H58">
            <v>21405581.52</v>
          </cell>
        </row>
        <row r="59">
          <cell r="A59" t="str">
            <v>13135</v>
          </cell>
          <cell r="H59">
            <v>0.12</v>
          </cell>
        </row>
        <row r="60">
          <cell r="A60" t="str">
            <v>13200</v>
          </cell>
          <cell r="H60">
            <v>12389631.630000001</v>
          </cell>
        </row>
        <row r="61">
          <cell r="A61" t="str">
            <v>13400</v>
          </cell>
          <cell r="H61">
            <v>514536526.37</v>
          </cell>
        </row>
        <row r="62">
          <cell r="A62" t="str">
            <v>14000</v>
          </cell>
          <cell r="H62">
            <v>-330494250.91000003</v>
          </cell>
        </row>
        <row r="63">
          <cell r="A63" t="str">
            <v>14001</v>
          </cell>
          <cell r="H63">
            <v>-353027152.50999999</v>
          </cell>
        </row>
        <row r="64">
          <cell r="A64" t="str">
            <v>14010</v>
          </cell>
          <cell r="H64">
            <v>305581.40000000002</v>
          </cell>
        </row>
        <row r="65">
          <cell r="A65" t="str">
            <v>14014</v>
          </cell>
          <cell r="H65">
            <v>40465810.390000001</v>
          </cell>
        </row>
        <row r="66">
          <cell r="A66" t="str">
            <v>14016</v>
          </cell>
          <cell r="H66">
            <v>21430757.66</v>
          </cell>
        </row>
        <row r="67">
          <cell r="A67" t="str">
            <v>14021</v>
          </cell>
          <cell r="H67">
            <v>1721338.5</v>
          </cell>
        </row>
        <row r="68">
          <cell r="A68" t="str">
            <v>15000</v>
          </cell>
          <cell r="H68">
            <v>38615442.920000002</v>
          </cell>
        </row>
        <row r="69">
          <cell r="A69" t="str">
            <v>15100</v>
          </cell>
          <cell r="H69">
            <v>3645000</v>
          </cell>
        </row>
        <row r="70">
          <cell r="A70" t="str">
            <v>15200</v>
          </cell>
          <cell r="H70">
            <v>316900706.66000003</v>
          </cell>
        </row>
        <row r="71">
          <cell r="A71" t="str">
            <v>15300</v>
          </cell>
          <cell r="H71">
            <v>17185780.25</v>
          </cell>
        </row>
        <row r="72">
          <cell r="A72" t="str">
            <v>15400</v>
          </cell>
          <cell r="H72">
            <v>179350495.81</v>
          </cell>
        </row>
        <row r="73">
          <cell r="A73" t="str">
            <v>15405</v>
          </cell>
          <cell r="H73">
            <v>17904365.100000001</v>
          </cell>
        </row>
        <row r="74">
          <cell r="A74" t="str">
            <v>15410</v>
          </cell>
          <cell r="H74">
            <v>2410161.5</v>
          </cell>
        </row>
        <row r="75">
          <cell r="A75" t="str">
            <v>15500</v>
          </cell>
          <cell r="H75">
            <v>61627057.890000001</v>
          </cell>
        </row>
        <row r="76">
          <cell r="A76" t="str">
            <v>15501</v>
          </cell>
          <cell r="H76">
            <v>643949346.76999998</v>
          </cell>
        </row>
        <row r="77">
          <cell r="A77" t="str">
            <v>15505</v>
          </cell>
          <cell r="H77">
            <v>8503671.5099999998</v>
          </cell>
        </row>
        <row r="78">
          <cell r="A78" t="str">
            <v>15509</v>
          </cell>
          <cell r="H78">
            <v>5400000</v>
          </cell>
        </row>
        <row r="79">
          <cell r="A79" t="str">
            <v>15510</v>
          </cell>
          <cell r="H79">
            <v>896413018.45000005</v>
          </cell>
        </row>
        <row r="80">
          <cell r="A80" t="str">
            <v>16000</v>
          </cell>
          <cell r="H80">
            <v>-27339931.239999998</v>
          </cell>
        </row>
        <row r="81">
          <cell r="A81" t="str">
            <v>16100</v>
          </cell>
          <cell r="H81">
            <v>-3644980.06</v>
          </cell>
        </row>
        <row r="82">
          <cell r="A82" t="str">
            <v>16200</v>
          </cell>
          <cell r="H82">
            <v>-213757869.69999999</v>
          </cell>
        </row>
        <row r="83">
          <cell r="A83" t="str">
            <v>16300</v>
          </cell>
          <cell r="H83">
            <v>-14348908.35</v>
          </cell>
        </row>
        <row r="84">
          <cell r="A84" t="str">
            <v>16500</v>
          </cell>
          <cell r="H84">
            <v>-17904365.100000001</v>
          </cell>
        </row>
        <row r="85">
          <cell r="A85" t="str">
            <v>17000</v>
          </cell>
          <cell r="H85">
            <v>366818663.89999998</v>
          </cell>
        </row>
        <row r="86">
          <cell r="A86" t="str">
            <v>19004</v>
          </cell>
          <cell r="H86">
            <v>2523980.39</v>
          </cell>
        </row>
        <row r="87">
          <cell r="A87" t="str">
            <v>19006</v>
          </cell>
          <cell r="H87">
            <v>2978551.14</v>
          </cell>
        </row>
        <row r="88">
          <cell r="A88" t="str">
            <v>19007</v>
          </cell>
          <cell r="H88">
            <v>3948747884.3699999</v>
          </cell>
        </row>
        <row r="89">
          <cell r="A89" t="str">
            <v>69904</v>
          </cell>
          <cell r="H89">
            <v>-28059064.649999999</v>
          </cell>
        </row>
        <row r="90">
          <cell r="A90" t="str">
            <v>20000</v>
          </cell>
          <cell r="H90">
            <v>-507767066.56999999</v>
          </cell>
        </row>
        <row r="91">
          <cell r="A91" t="str">
            <v>20005</v>
          </cell>
          <cell r="H91">
            <v>-98661026.959999993</v>
          </cell>
        </row>
        <row r="92">
          <cell r="A92" t="str">
            <v>20010</v>
          </cell>
          <cell r="H92">
            <v>0</v>
          </cell>
        </row>
        <row r="93">
          <cell r="A93" t="str">
            <v>22100</v>
          </cell>
          <cell r="H93">
            <v>-10003693.369999999</v>
          </cell>
        </row>
        <row r="94">
          <cell r="A94" t="str">
            <v>23000</v>
          </cell>
          <cell r="H94">
            <v>-743937000.70000005</v>
          </cell>
        </row>
        <row r="95">
          <cell r="A95" t="str">
            <v>23001</v>
          </cell>
          <cell r="H95">
            <v>59891429</v>
          </cell>
        </row>
        <row r="96">
          <cell r="A96" t="str">
            <v>23010</v>
          </cell>
          <cell r="H96">
            <v>-43823349.979999997</v>
          </cell>
        </row>
        <row r="97">
          <cell r="A97" t="str">
            <v>23015</v>
          </cell>
          <cell r="H97">
            <v>-728899.5</v>
          </cell>
        </row>
        <row r="98">
          <cell r="A98" t="str">
            <v>23030</v>
          </cell>
          <cell r="H98">
            <v>-2279773</v>
          </cell>
        </row>
        <row r="99">
          <cell r="A99" t="str">
            <v>23040</v>
          </cell>
          <cell r="H99">
            <v>-14563198.42</v>
          </cell>
        </row>
        <row r="100">
          <cell r="A100" t="str">
            <v>23400</v>
          </cell>
          <cell r="H100">
            <v>-1359660219.1300001</v>
          </cell>
        </row>
        <row r="101">
          <cell r="A101" t="str">
            <v>23405</v>
          </cell>
          <cell r="H101">
            <v>904471947.03999996</v>
          </cell>
        </row>
        <row r="102">
          <cell r="A102" t="str">
            <v>23410</v>
          </cell>
          <cell r="H102">
            <v>51599186.399999999</v>
          </cell>
        </row>
        <row r="103">
          <cell r="A103" t="str">
            <v>23420</v>
          </cell>
          <cell r="H103">
            <v>-16550886.119999999</v>
          </cell>
        </row>
        <row r="104">
          <cell r="A104" t="str">
            <v>23425</v>
          </cell>
          <cell r="H104">
            <v>-32949171.219999999</v>
          </cell>
        </row>
        <row r="105">
          <cell r="A105" t="str">
            <v>24010</v>
          </cell>
          <cell r="H105">
            <v>-32342720.780000001</v>
          </cell>
        </row>
        <row r="106">
          <cell r="A106" t="str">
            <v>24100</v>
          </cell>
          <cell r="H106">
            <v>-24264109.649999999</v>
          </cell>
        </row>
        <row r="107">
          <cell r="A107" t="str">
            <v>30005</v>
          </cell>
          <cell r="H107">
            <v>96238158.140000001</v>
          </cell>
        </row>
        <row r="108">
          <cell r="A108" t="str">
            <v>30035</v>
          </cell>
          <cell r="H108">
            <v>101787277.34999999</v>
          </cell>
        </row>
        <row r="109">
          <cell r="A109" t="str">
            <v>30040</v>
          </cell>
          <cell r="H109">
            <v>-107359858</v>
          </cell>
        </row>
        <row r="110">
          <cell r="A110" t="str">
            <v>30042</v>
          </cell>
          <cell r="H110">
            <v>-7359858</v>
          </cell>
        </row>
        <row r="111">
          <cell r="A111" t="str">
            <v>30043</v>
          </cell>
          <cell r="H111">
            <v>-114297251.5</v>
          </cell>
        </row>
        <row r="112">
          <cell r="A112" t="str">
            <v>30044</v>
          </cell>
          <cell r="H112">
            <v>-6360000200</v>
          </cell>
        </row>
        <row r="113">
          <cell r="A113" t="str">
            <v>32000</v>
          </cell>
          <cell r="H113">
            <v>-1118694724.28</v>
          </cell>
        </row>
        <row r="114">
          <cell r="A114" t="str">
            <v>40020</v>
          </cell>
          <cell r="H114">
            <v>0</v>
          </cell>
        </row>
        <row r="115">
          <cell r="A115" t="str">
            <v>40055</v>
          </cell>
          <cell r="H115">
            <v>0</v>
          </cell>
        </row>
        <row r="116">
          <cell r="A116" t="str">
            <v>40056</v>
          </cell>
          <cell r="H116">
            <v>0</v>
          </cell>
        </row>
        <row r="117">
          <cell r="A117" t="str">
            <v>40085</v>
          </cell>
          <cell r="H117">
            <v>-61831.68</v>
          </cell>
        </row>
        <row r="118">
          <cell r="A118" t="str">
            <v>40095</v>
          </cell>
          <cell r="H118">
            <v>-7534883.7800000003</v>
          </cell>
        </row>
        <row r="119">
          <cell r="A119" t="str">
            <v>40161</v>
          </cell>
          <cell r="H119">
            <v>-78252950.219999999</v>
          </cell>
        </row>
        <row r="120">
          <cell r="A120" t="str">
            <v>40162</v>
          </cell>
          <cell r="H120">
            <v>-88704328.430000007</v>
          </cell>
        </row>
        <row r="121">
          <cell r="A121" t="str">
            <v>40163</v>
          </cell>
          <cell r="H121">
            <v>0</v>
          </cell>
        </row>
        <row r="122">
          <cell r="A122" t="str">
            <v>49300</v>
          </cell>
          <cell r="H122">
            <v>-23048167.809999999</v>
          </cell>
        </row>
        <row r="123">
          <cell r="A123" t="str">
            <v>49405</v>
          </cell>
          <cell r="H123">
            <v>0</v>
          </cell>
        </row>
        <row r="124">
          <cell r="A124" t="str">
            <v>50000</v>
          </cell>
          <cell r="H124">
            <v>7445158.6200000001</v>
          </cell>
        </row>
        <row r="125">
          <cell r="A125" t="str">
            <v>53005</v>
          </cell>
          <cell r="H125">
            <v>0</v>
          </cell>
        </row>
        <row r="126">
          <cell r="A126" t="str">
            <v>53030</v>
          </cell>
          <cell r="H126">
            <v>1569250</v>
          </cell>
        </row>
        <row r="127">
          <cell r="A127" t="str">
            <v>53040</v>
          </cell>
          <cell r="H127">
            <v>88000</v>
          </cell>
        </row>
        <row r="128">
          <cell r="A128" t="str">
            <v>53045</v>
          </cell>
          <cell r="H128">
            <v>3847732.07</v>
          </cell>
        </row>
        <row r="129">
          <cell r="A129" t="str">
            <v>53055</v>
          </cell>
          <cell r="H129">
            <v>225468.75</v>
          </cell>
        </row>
        <row r="130">
          <cell r="A130" t="str">
            <v>53060</v>
          </cell>
          <cell r="H130">
            <v>10500</v>
          </cell>
        </row>
        <row r="131">
          <cell r="A131" t="str">
            <v>53065</v>
          </cell>
          <cell r="H131">
            <v>1360414</v>
          </cell>
        </row>
        <row r="132">
          <cell r="A132" t="str">
            <v>53074</v>
          </cell>
          <cell r="H132">
            <v>0</v>
          </cell>
        </row>
        <row r="133">
          <cell r="A133" t="str">
            <v>53075</v>
          </cell>
          <cell r="H133">
            <v>33280</v>
          </cell>
        </row>
        <row r="134">
          <cell r="A134" t="str">
            <v>53080</v>
          </cell>
          <cell r="H134">
            <v>2005833.55</v>
          </cell>
        </row>
        <row r="135">
          <cell r="A135" t="str">
            <v>53090</v>
          </cell>
          <cell r="H135">
            <v>0</v>
          </cell>
        </row>
        <row r="136">
          <cell r="A136" t="str">
            <v>53095</v>
          </cell>
          <cell r="H136">
            <v>2000</v>
          </cell>
        </row>
        <row r="137">
          <cell r="A137" t="str">
            <v>53110</v>
          </cell>
          <cell r="H137">
            <v>0</v>
          </cell>
        </row>
        <row r="138">
          <cell r="A138" t="str">
            <v>53120</v>
          </cell>
          <cell r="H138">
            <v>35252454.840000004</v>
          </cell>
        </row>
        <row r="139">
          <cell r="A139" t="str">
            <v>53140</v>
          </cell>
          <cell r="H139">
            <v>1587621.22</v>
          </cell>
        </row>
        <row r="140">
          <cell r="A140" t="str">
            <v>60010</v>
          </cell>
          <cell r="H140">
            <v>2407407.41</v>
          </cell>
        </row>
        <row r="141">
          <cell r="A141" t="str">
            <v>60020</v>
          </cell>
          <cell r="H141">
            <v>70000</v>
          </cell>
        </row>
        <row r="142">
          <cell r="A142" t="str">
            <v>60025</v>
          </cell>
          <cell r="H142">
            <v>3216875</v>
          </cell>
        </row>
        <row r="143">
          <cell r="A143" t="str">
            <v>60030</v>
          </cell>
          <cell r="H143">
            <v>322250</v>
          </cell>
        </row>
        <row r="144">
          <cell r="A144" t="str">
            <v>60035</v>
          </cell>
          <cell r="H144">
            <v>0</v>
          </cell>
        </row>
        <row r="145">
          <cell r="A145" t="str">
            <v>60040</v>
          </cell>
          <cell r="H145">
            <v>39300</v>
          </cell>
        </row>
        <row r="146">
          <cell r="A146" t="str">
            <v>60045</v>
          </cell>
          <cell r="H146">
            <v>915300</v>
          </cell>
        </row>
        <row r="147">
          <cell r="A147" t="str">
            <v>60050</v>
          </cell>
          <cell r="H147">
            <v>2013365.35</v>
          </cell>
        </row>
        <row r="148">
          <cell r="A148" t="str">
            <v>60060</v>
          </cell>
          <cell r="H148">
            <v>23272493.710000001</v>
          </cell>
        </row>
        <row r="149">
          <cell r="A149" t="str">
            <v>60070</v>
          </cell>
          <cell r="H149">
            <v>149800</v>
          </cell>
        </row>
        <row r="150">
          <cell r="A150" t="str">
            <v>60080</v>
          </cell>
          <cell r="H150">
            <v>2357812.27</v>
          </cell>
        </row>
        <row r="151">
          <cell r="A151" t="str">
            <v>60085</v>
          </cell>
          <cell r="H151">
            <v>1557996.59</v>
          </cell>
        </row>
        <row r="152">
          <cell r="A152" t="str">
            <v>60090</v>
          </cell>
          <cell r="H152">
            <v>2155000</v>
          </cell>
        </row>
        <row r="153">
          <cell r="A153" t="str">
            <v>60100</v>
          </cell>
          <cell r="H153">
            <v>10017669.949999999</v>
          </cell>
        </row>
        <row r="154">
          <cell r="A154" t="str">
            <v>60110</v>
          </cell>
          <cell r="H154">
            <v>0</v>
          </cell>
        </row>
        <row r="155">
          <cell r="A155" t="str">
            <v>60115</v>
          </cell>
          <cell r="H155">
            <v>29465282.77</v>
          </cell>
        </row>
        <row r="156">
          <cell r="A156" t="str">
            <v>60125</v>
          </cell>
          <cell r="H156">
            <v>0</v>
          </cell>
        </row>
        <row r="157">
          <cell r="A157" t="str">
            <v>60200</v>
          </cell>
          <cell r="H157">
            <v>0</v>
          </cell>
        </row>
        <row r="158">
          <cell r="A158" t="str">
            <v>60201</v>
          </cell>
          <cell r="H158">
            <v>4549811.1900000004</v>
          </cell>
        </row>
        <row r="159">
          <cell r="A159" t="str">
            <v>60202</v>
          </cell>
          <cell r="H159">
            <v>0</v>
          </cell>
        </row>
        <row r="160">
          <cell r="A160" t="str">
            <v>60205</v>
          </cell>
          <cell r="H160">
            <v>498848.44999999995</v>
          </cell>
        </row>
        <row r="161">
          <cell r="A161" t="str">
            <v>60206</v>
          </cell>
          <cell r="H161">
            <v>1537105</v>
          </cell>
        </row>
        <row r="162">
          <cell r="A162" t="str">
            <v>60210</v>
          </cell>
          <cell r="H162">
            <v>5377065.3799999999</v>
          </cell>
        </row>
        <row r="163">
          <cell r="A163" t="str">
            <v>60211</v>
          </cell>
          <cell r="H163">
            <v>50000</v>
          </cell>
        </row>
        <row r="164">
          <cell r="A164" t="str">
            <v>60213</v>
          </cell>
          <cell r="H164">
            <v>230698.75</v>
          </cell>
        </row>
        <row r="165">
          <cell r="A165" t="str">
            <v>60217</v>
          </cell>
          <cell r="H165">
            <v>1435500</v>
          </cell>
        </row>
        <row r="166">
          <cell r="A166" t="str">
            <v>61100</v>
          </cell>
          <cell r="H166">
            <v>3008825.7</v>
          </cell>
        </row>
        <row r="167">
          <cell r="A167" t="str">
            <v>61310</v>
          </cell>
          <cell r="H167">
            <v>235700</v>
          </cell>
        </row>
        <row r="168">
          <cell r="A168" t="str">
            <v>61315</v>
          </cell>
          <cell r="H168">
            <v>251000</v>
          </cell>
        </row>
        <row r="169">
          <cell r="A169" t="str">
            <v>61320</v>
          </cell>
          <cell r="H169">
            <v>23150</v>
          </cell>
        </row>
        <row r="170">
          <cell r="A170" t="str">
            <v>61500</v>
          </cell>
          <cell r="H170">
            <v>38700</v>
          </cell>
        </row>
        <row r="171">
          <cell r="A171" t="str">
            <v>61600</v>
          </cell>
          <cell r="H171">
            <v>100000</v>
          </cell>
        </row>
        <row r="172">
          <cell r="A172" t="str">
            <v>61700</v>
          </cell>
          <cell r="H172">
            <v>169481.65000000002</v>
          </cell>
        </row>
        <row r="173">
          <cell r="A173" t="str">
            <v>62101</v>
          </cell>
          <cell r="H173">
            <v>61442161.840000004</v>
          </cell>
        </row>
        <row r="174">
          <cell r="A174" t="str">
            <v>62200</v>
          </cell>
          <cell r="H174">
            <v>9200</v>
          </cell>
        </row>
        <row r="175">
          <cell r="A175" t="str">
            <v>62415</v>
          </cell>
          <cell r="H175">
            <v>1027500</v>
          </cell>
        </row>
        <row r="176">
          <cell r="A176" t="str">
            <v>62420</v>
          </cell>
          <cell r="H176">
            <v>63500</v>
          </cell>
        </row>
        <row r="177">
          <cell r="A177" t="str">
            <v>62425</v>
          </cell>
          <cell r="H177">
            <v>118310</v>
          </cell>
        </row>
        <row r="178">
          <cell r="A178" t="str">
            <v>62435</v>
          </cell>
          <cell r="H178">
            <v>484080</v>
          </cell>
        </row>
        <row r="179">
          <cell r="A179" t="str">
            <v>62700</v>
          </cell>
          <cell r="H179">
            <v>5809981.3600000003</v>
          </cell>
        </row>
        <row r="180">
          <cell r="A180" t="str">
            <v>63110</v>
          </cell>
          <cell r="H180">
            <v>1799363.51</v>
          </cell>
        </row>
        <row r="181">
          <cell r="A181" t="str">
            <v>63120</v>
          </cell>
          <cell r="H181">
            <v>375175</v>
          </cell>
        </row>
        <row r="182">
          <cell r="A182" t="str">
            <v>63125</v>
          </cell>
          <cell r="H182">
            <v>150136.38</v>
          </cell>
        </row>
        <row r="183">
          <cell r="A183" t="str">
            <v>63907</v>
          </cell>
          <cell r="H183">
            <v>71606730.529999971</v>
          </cell>
        </row>
        <row r="184">
          <cell r="A184" t="str">
            <v>64000</v>
          </cell>
          <cell r="H184">
            <v>3636404.55</v>
          </cell>
        </row>
        <row r="185">
          <cell r="A185" t="str">
            <v>65000</v>
          </cell>
          <cell r="H185">
            <v>289583.33</v>
          </cell>
        </row>
        <row r="186">
          <cell r="A186" t="str">
            <v>65007</v>
          </cell>
          <cell r="H186">
            <v>1216405.9700000007</v>
          </cell>
        </row>
        <row r="187">
          <cell r="A187" t="str">
            <v>65015</v>
          </cell>
          <cell r="H187">
            <v>0</v>
          </cell>
        </row>
        <row r="188">
          <cell r="A188" t="str">
            <v>65031</v>
          </cell>
          <cell r="H188">
            <v>12297881.49</v>
          </cell>
        </row>
        <row r="189">
          <cell r="A189" t="str">
            <v>65032</v>
          </cell>
          <cell r="H189">
            <v>3052666.75</v>
          </cell>
        </row>
        <row r="190">
          <cell r="A190" t="str">
            <v>65035</v>
          </cell>
          <cell r="H190">
            <v>86221936.040000007</v>
          </cell>
        </row>
        <row r="191">
          <cell r="A191" t="str">
            <v>65036</v>
          </cell>
          <cell r="H191">
            <v>1146213.42</v>
          </cell>
        </row>
        <row r="192">
          <cell r="A192" t="str">
            <v>65037</v>
          </cell>
          <cell r="H192">
            <v>0</v>
          </cell>
        </row>
        <row r="193">
          <cell r="A193" t="str">
            <v>65095</v>
          </cell>
          <cell r="H193">
            <v>9555258.0199999996</v>
          </cell>
        </row>
        <row r="194">
          <cell r="A194" t="str">
            <v>65100</v>
          </cell>
          <cell r="H194">
            <v>3815833.59</v>
          </cell>
        </row>
        <row r="195">
          <cell r="A195" t="str">
            <v>65800</v>
          </cell>
          <cell r="H195">
            <v>600000</v>
          </cell>
        </row>
        <row r="196">
          <cell r="A196" t="str">
            <v>66200</v>
          </cell>
          <cell r="H196">
            <v>0</v>
          </cell>
        </row>
        <row r="197">
          <cell r="A197" t="str">
            <v>66300</v>
          </cell>
          <cell r="H197">
            <v>0</v>
          </cell>
        </row>
        <row r="198">
          <cell r="A198" t="str">
            <v>67052</v>
          </cell>
          <cell r="H198">
            <v>144180000</v>
          </cell>
        </row>
        <row r="199">
          <cell r="A199" t="str">
            <v>67100</v>
          </cell>
          <cell r="H199">
            <v>0</v>
          </cell>
        </row>
        <row r="200">
          <cell r="A200" t="str">
            <v>67920</v>
          </cell>
          <cell r="H200">
            <v>28548544.84</v>
          </cell>
        </row>
        <row r="201">
          <cell r="A201" t="str">
            <v>67940</v>
          </cell>
          <cell r="H201">
            <v>0</v>
          </cell>
        </row>
        <row r="202">
          <cell r="A202" t="str">
            <v>68500</v>
          </cell>
          <cell r="H202">
            <v>1791666.67</v>
          </cell>
        </row>
        <row r="203">
          <cell r="A203" t="str">
            <v>68503</v>
          </cell>
          <cell r="H203">
            <v>1881250</v>
          </cell>
        </row>
        <row r="204">
          <cell r="A204" t="str">
            <v>69600</v>
          </cell>
          <cell r="H204">
            <v>14347752.109999999</v>
          </cell>
        </row>
        <row r="205">
          <cell r="A205" t="str">
            <v>69901</v>
          </cell>
          <cell r="H205">
            <v>1201076.6599999999</v>
          </cell>
        </row>
        <row r="206">
          <cell r="A206" t="str">
            <v>69903</v>
          </cell>
          <cell r="H206">
            <v>2679734.48</v>
          </cell>
        </row>
      </sheetData>
      <sheetData sheetId="1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169093.91</v>
          </cell>
        </row>
        <row r="7">
          <cell r="A7" t="str">
            <v>10104</v>
          </cell>
          <cell r="H7">
            <v>49658.9</v>
          </cell>
        </row>
        <row r="8">
          <cell r="A8" t="str">
            <v>10105</v>
          </cell>
          <cell r="H8">
            <v>1114207018.51</v>
          </cell>
        </row>
        <row r="9">
          <cell r="A9" t="str">
            <v>10107</v>
          </cell>
          <cell r="H9">
            <v>754984087.33000004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11527028.33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1134689.8500000001</v>
          </cell>
        </row>
        <row r="20">
          <cell r="A20" t="str">
            <v>10224</v>
          </cell>
          <cell r="H20">
            <v>32.04</v>
          </cell>
        </row>
        <row r="21">
          <cell r="A21" t="str">
            <v>10225</v>
          </cell>
          <cell r="H21">
            <v>25192426.539999999</v>
          </cell>
        </row>
        <row r="22">
          <cell r="A22" t="str">
            <v>10226</v>
          </cell>
          <cell r="H22">
            <v>3828267.52</v>
          </cell>
        </row>
        <row r="23">
          <cell r="A23" t="str">
            <v>10227</v>
          </cell>
          <cell r="H23">
            <v>1477719.81</v>
          </cell>
        </row>
        <row r="24">
          <cell r="A24" t="str">
            <v>10235</v>
          </cell>
          <cell r="H24">
            <v>13794481.93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153173.68</v>
          </cell>
        </row>
        <row r="28">
          <cell r="A28" t="str">
            <v>10255</v>
          </cell>
          <cell r="H28">
            <v>2601950.5499999998</v>
          </cell>
        </row>
        <row r="29">
          <cell r="A29" t="str">
            <v>10256</v>
          </cell>
          <cell r="H29">
            <v>1180638.3700000001</v>
          </cell>
        </row>
        <row r="30">
          <cell r="A30" t="str">
            <v>10260</v>
          </cell>
          <cell r="H30">
            <v>202600</v>
          </cell>
        </row>
        <row r="31">
          <cell r="A31" t="str">
            <v>10265</v>
          </cell>
          <cell r="H31">
            <v>3052588.87</v>
          </cell>
        </row>
        <row r="32">
          <cell r="A32" t="str">
            <v>10270</v>
          </cell>
          <cell r="H32">
            <v>1555638.24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4767326.5199999996</v>
          </cell>
        </row>
        <row r="35">
          <cell r="A35" t="str">
            <v>10293</v>
          </cell>
          <cell r="H35">
            <v>179669.1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38845879.850000001</v>
          </cell>
        </row>
        <row r="38">
          <cell r="A38" t="str">
            <v>10316</v>
          </cell>
          <cell r="H38">
            <v>1803130.68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784610.18</v>
          </cell>
        </row>
        <row r="42">
          <cell r="A42" t="str">
            <v>10342</v>
          </cell>
          <cell r="H42">
            <v>61501528.840000004</v>
          </cell>
        </row>
        <row r="43">
          <cell r="A43" t="str">
            <v>10343</v>
          </cell>
          <cell r="H43">
            <v>20248.02</v>
          </cell>
        </row>
        <row r="44">
          <cell r="A44" t="str">
            <v>10344</v>
          </cell>
          <cell r="H44">
            <v>106367187.27</v>
          </cell>
        </row>
        <row r="45">
          <cell r="A45" t="str">
            <v>10348</v>
          </cell>
          <cell r="H45">
            <v>25688802.949999999</v>
          </cell>
        </row>
        <row r="46">
          <cell r="A46" t="str">
            <v>10497</v>
          </cell>
          <cell r="H46">
            <v>5409681.5099999998</v>
          </cell>
        </row>
        <row r="47">
          <cell r="A47" t="str">
            <v>10500</v>
          </cell>
          <cell r="H47">
            <v>501445683.98000002</v>
          </cell>
        </row>
        <row r="48">
          <cell r="A48" t="str">
            <v>10801</v>
          </cell>
          <cell r="H48">
            <v>59238.26</v>
          </cell>
        </row>
        <row r="49">
          <cell r="A49" t="str">
            <v>11000</v>
          </cell>
          <cell r="H49">
            <v>438828428.83999997</v>
          </cell>
        </row>
        <row r="50">
          <cell r="A50" t="str">
            <v>11005</v>
          </cell>
          <cell r="H50">
            <v>0</v>
          </cell>
        </row>
        <row r="51">
          <cell r="A51" t="str">
            <v>12100</v>
          </cell>
          <cell r="H51">
            <v>78587785.299999997</v>
          </cell>
        </row>
        <row r="52">
          <cell r="A52" t="str">
            <v>13002</v>
          </cell>
          <cell r="H52">
            <v>1440000</v>
          </cell>
        </row>
        <row r="53">
          <cell r="A53" t="str">
            <v>13003</v>
          </cell>
          <cell r="H53">
            <v>266261432.21000001</v>
          </cell>
        </row>
        <row r="54">
          <cell r="A54" t="str">
            <v>13004</v>
          </cell>
          <cell r="H54">
            <v>2525317.1800000002</v>
          </cell>
        </row>
        <row r="55">
          <cell r="A55" t="str">
            <v>13008</v>
          </cell>
          <cell r="H55">
            <v>600000</v>
          </cell>
        </row>
        <row r="56">
          <cell r="A56" t="str">
            <v>13010</v>
          </cell>
          <cell r="H56">
            <v>21036633.66</v>
          </cell>
        </row>
        <row r="57">
          <cell r="A57" t="str">
            <v>13116</v>
          </cell>
          <cell r="H57">
            <v>113300</v>
          </cell>
        </row>
        <row r="58">
          <cell r="A58" t="str">
            <v>13120</v>
          </cell>
          <cell r="H58">
            <v>56741192.780000001</v>
          </cell>
        </row>
        <row r="59">
          <cell r="A59" t="str">
            <v>13130</v>
          </cell>
          <cell r="H59">
            <v>23573074.829999998</v>
          </cell>
        </row>
        <row r="60">
          <cell r="A60" t="str">
            <v>13135</v>
          </cell>
          <cell r="H60">
            <v>0.12</v>
          </cell>
        </row>
        <row r="61">
          <cell r="A61" t="str">
            <v>13200</v>
          </cell>
          <cell r="H61">
            <v>12913965.560000001</v>
          </cell>
        </row>
        <row r="62">
          <cell r="A62" t="str">
            <v>13400</v>
          </cell>
          <cell r="H62">
            <v>514536526.37</v>
          </cell>
        </row>
        <row r="63">
          <cell r="A63" t="str">
            <v>14000</v>
          </cell>
          <cell r="H63">
            <v>-334448738.54000002</v>
          </cell>
        </row>
        <row r="64">
          <cell r="A64" t="str">
            <v>14001</v>
          </cell>
          <cell r="H64">
            <v>-353443883.91000003</v>
          </cell>
        </row>
        <row r="65">
          <cell r="A65" t="str">
            <v>14010</v>
          </cell>
          <cell r="H65">
            <v>305581.40000000002</v>
          </cell>
        </row>
        <row r="66">
          <cell r="A66" t="str">
            <v>14014</v>
          </cell>
          <cell r="H66">
            <v>40465810.390000001</v>
          </cell>
        </row>
        <row r="67">
          <cell r="A67" t="str">
            <v>14016</v>
          </cell>
          <cell r="H67">
            <v>21430757.66</v>
          </cell>
        </row>
        <row r="68">
          <cell r="A68" t="str">
            <v>14021</v>
          </cell>
          <cell r="H68">
            <v>1481337</v>
          </cell>
        </row>
        <row r="69">
          <cell r="A69" t="str">
            <v>15000</v>
          </cell>
          <cell r="H69">
            <v>38615442.920000002</v>
          </cell>
        </row>
        <row r="70">
          <cell r="A70" t="str">
            <v>15100</v>
          </cell>
          <cell r="H70">
            <v>3645000</v>
          </cell>
        </row>
        <row r="71">
          <cell r="A71" t="str">
            <v>15200</v>
          </cell>
          <cell r="H71">
            <v>316900706.66000003</v>
          </cell>
        </row>
        <row r="72">
          <cell r="A72" t="str">
            <v>15300</v>
          </cell>
          <cell r="H72">
            <v>16565780.25</v>
          </cell>
        </row>
        <row r="73">
          <cell r="A73" t="str">
            <v>15400</v>
          </cell>
          <cell r="H73">
            <v>179350495.81</v>
          </cell>
        </row>
        <row r="74">
          <cell r="A74" t="str">
            <v>15405</v>
          </cell>
          <cell r="H74">
            <v>17904365.100000001</v>
          </cell>
        </row>
        <row r="75">
          <cell r="A75" t="str">
            <v>15410</v>
          </cell>
          <cell r="H75">
            <v>2410161.5</v>
          </cell>
        </row>
        <row r="76">
          <cell r="A76" t="str">
            <v>15500</v>
          </cell>
          <cell r="H76">
            <v>61627057.890000001</v>
          </cell>
        </row>
        <row r="77">
          <cell r="A77" t="str">
            <v>15501</v>
          </cell>
          <cell r="H77">
            <v>643385951.24000001</v>
          </cell>
        </row>
        <row r="78">
          <cell r="A78" t="str">
            <v>15505</v>
          </cell>
          <cell r="H78">
            <v>8503671.5099999998</v>
          </cell>
        </row>
        <row r="79">
          <cell r="A79" t="str">
            <v>15509</v>
          </cell>
          <cell r="H79">
            <v>5400000</v>
          </cell>
        </row>
        <row r="80">
          <cell r="A80" t="str">
            <v>15510</v>
          </cell>
          <cell r="H80">
            <v>891065643.45000005</v>
          </cell>
        </row>
        <row r="81">
          <cell r="A81" t="str">
            <v>16000</v>
          </cell>
          <cell r="H81">
            <v>-27145260.149999999</v>
          </cell>
        </row>
        <row r="82">
          <cell r="A82" t="str">
            <v>16100</v>
          </cell>
          <cell r="H82">
            <v>-3644980.06</v>
          </cell>
        </row>
        <row r="83">
          <cell r="A83" t="str">
            <v>16200</v>
          </cell>
          <cell r="H83">
            <v>-210416219.56999999</v>
          </cell>
        </row>
        <row r="84">
          <cell r="A84" t="str">
            <v>16300</v>
          </cell>
          <cell r="H84">
            <v>-14248825.02</v>
          </cell>
        </row>
        <row r="85">
          <cell r="A85" t="str">
            <v>16500</v>
          </cell>
          <cell r="H85">
            <v>-17904365.100000001</v>
          </cell>
        </row>
        <row r="86">
          <cell r="A86" t="str">
            <v>17000</v>
          </cell>
          <cell r="H86">
            <v>366818663.89999998</v>
          </cell>
        </row>
        <row r="87">
          <cell r="A87" t="str">
            <v>19004</v>
          </cell>
          <cell r="H87">
            <v>2523980.39</v>
          </cell>
        </row>
        <row r="88">
          <cell r="A88" t="str">
            <v>19006</v>
          </cell>
          <cell r="H88">
            <v>1174833.46</v>
          </cell>
        </row>
        <row r="89">
          <cell r="A89" t="str">
            <v>19007</v>
          </cell>
          <cell r="H89">
            <v>3964436312.2800002</v>
          </cell>
        </row>
        <row r="90">
          <cell r="A90" t="str">
            <v>69904</v>
          </cell>
          <cell r="H90">
            <v>-26857987.989999998</v>
          </cell>
        </row>
        <row r="91">
          <cell r="A91" t="str">
            <v>20000</v>
          </cell>
          <cell r="H91">
            <v>-521161207.25</v>
          </cell>
        </row>
        <row r="92">
          <cell r="A92" t="str">
            <v>20005</v>
          </cell>
          <cell r="H92">
            <v>-317175916.07999998</v>
          </cell>
        </row>
        <row r="93">
          <cell r="A93" t="str">
            <v>20010</v>
          </cell>
          <cell r="H93">
            <v>-9675000</v>
          </cell>
        </row>
        <row r="94">
          <cell r="A94" t="str">
            <v>22100</v>
          </cell>
          <cell r="H94">
            <v>-10083768.369999999</v>
          </cell>
        </row>
        <row r="95">
          <cell r="A95" t="str">
            <v>23000</v>
          </cell>
          <cell r="H95">
            <v>-784884837.62</v>
          </cell>
        </row>
        <row r="96">
          <cell r="A96" t="str">
            <v>23001</v>
          </cell>
          <cell r="H96">
            <v>59891429</v>
          </cell>
        </row>
        <row r="97">
          <cell r="A97" t="str">
            <v>23010</v>
          </cell>
          <cell r="H97">
            <v>-64654437.07</v>
          </cell>
        </row>
        <row r="98">
          <cell r="A98" t="str">
            <v>23015</v>
          </cell>
          <cell r="H98">
            <v>-5032987.4800000004</v>
          </cell>
        </row>
        <row r="99">
          <cell r="A99" t="str">
            <v>23030</v>
          </cell>
          <cell r="H99">
            <v>-2279773</v>
          </cell>
        </row>
        <row r="100">
          <cell r="A100" t="str">
            <v>23040</v>
          </cell>
          <cell r="H100">
            <v>-7432710.1100000003</v>
          </cell>
        </row>
        <row r="101">
          <cell r="A101" t="str">
            <v>23400</v>
          </cell>
          <cell r="H101">
            <v>-1362846941.22</v>
          </cell>
        </row>
        <row r="102">
          <cell r="A102" t="str">
            <v>23405</v>
          </cell>
          <cell r="H102">
            <v>904471947.03999996</v>
          </cell>
        </row>
        <row r="103">
          <cell r="A103" t="str">
            <v>23410</v>
          </cell>
          <cell r="H103">
            <v>51599186.399999999</v>
          </cell>
        </row>
        <row r="104">
          <cell r="A104" t="str">
            <v>23420</v>
          </cell>
          <cell r="H104">
            <v>-18422747.75</v>
          </cell>
        </row>
        <row r="105">
          <cell r="A105" t="str">
            <v>23425</v>
          </cell>
          <cell r="H105">
            <v>-32949171.219999999</v>
          </cell>
        </row>
        <row r="106">
          <cell r="A106" t="str">
            <v>24010</v>
          </cell>
          <cell r="H106">
            <v>-19570107.699999999</v>
          </cell>
        </row>
        <row r="107">
          <cell r="A107" t="str">
            <v>24100</v>
          </cell>
          <cell r="H107">
            <v>-24264109.649999999</v>
          </cell>
        </row>
        <row r="108">
          <cell r="A108" t="str">
            <v>30005</v>
          </cell>
          <cell r="H108">
            <v>96238158.140000001</v>
          </cell>
        </row>
        <row r="109">
          <cell r="A109" t="str">
            <v>30035</v>
          </cell>
          <cell r="H109">
            <v>101787277.34999999</v>
          </cell>
        </row>
        <row r="110">
          <cell r="A110" t="str">
            <v>30040</v>
          </cell>
          <cell r="H110">
            <v>-107359858</v>
          </cell>
        </row>
        <row r="111">
          <cell r="A111" t="str">
            <v>30042</v>
          </cell>
          <cell r="H111">
            <v>-7359858</v>
          </cell>
        </row>
        <row r="112">
          <cell r="A112" t="str">
            <v>30043</v>
          </cell>
          <cell r="H112">
            <v>-114297251.5</v>
          </cell>
        </row>
        <row r="113">
          <cell r="A113" t="str">
            <v>30044</v>
          </cell>
          <cell r="H113">
            <v>-6360000200</v>
          </cell>
        </row>
        <row r="114">
          <cell r="A114" t="str">
            <v>32000</v>
          </cell>
          <cell r="H114">
            <v>-1118694724.28</v>
          </cell>
        </row>
        <row r="115">
          <cell r="A115" t="str">
            <v>40020</v>
          </cell>
          <cell r="H115">
            <v>0</v>
          </cell>
        </row>
        <row r="116">
          <cell r="A116" t="str">
            <v>40055</v>
          </cell>
          <cell r="H116">
            <v>0</v>
          </cell>
        </row>
        <row r="117">
          <cell r="A117" t="str">
            <v>40056</v>
          </cell>
          <cell r="H117">
            <v>-279069.77</v>
          </cell>
        </row>
        <row r="118">
          <cell r="A118" t="str">
            <v>40085</v>
          </cell>
          <cell r="H118">
            <v>-147291.04</v>
          </cell>
        </row>
        <row r="119">
          <cell r="A119" t="str">
            <v>40095</v>
          </cell>
          <cell r="H119">
            <v>-8930232.5600000005</v>
          </cell>
        </row>
        <row r="120">
          <cell r="A120" t="str">
            <v>40161</v>
          </cell>
          <cell r="H120">
            <v>-144786586.78</v>
          </cell>
        </row>
        <row r="121">
          <cell r="A121" t="str">
            <v>40162</v>
          </cell>
          <cell r="H121">
            <v>-88704328.430000007</v>
          </cell>
        </row>
        <row r="122">
          <cell r="A122" t="str">
            <v>40163</v>
          </cell>
          <cell r="H122">
            <v>0</v>
          </cell>
        </row>
        <row r="123">
          <cell r="A123" t="str">
            <v>49300</v>
          </cell>
          <cell r="H123">
            <v>-29552228.469999999</v>
          </cell>
        </row>
        <row r="124">
          <cell r="A124" t="str">
            <v>49405</v>
          </cell>
          <cell r="H124">
            <v>0</v>
          </cell>
        </row>
        <row r="125">
          <cell r="A125" t="str">
            <v>50000</v>
          </cell>
          <cell r="H125">
            <v>8823891.8399999999</v>
          </cell>
        </row>
        <row r="126">
          <cell r="A126" t="str">
            <v>53005</v>
          </cell>
          <cell r="H126">
            <v>0</v>
          </cell>
        </row>
        <row r="127">
          <cell r="A127" t="str">
            <v>53040</v>
          </cell>
          <cell r="H127">
            <v>53400</v>
          </cell>
        </row>
        <row r="128">
          <cell r="A128" t="str">
            <v>53045</v>
          </cell>
          <cell r="H128">
            <v>4670820.0199999996</v>
          </cell>
        </row>
        <row r="129">
          <cell r="A129" t="str">
            <v>53055</v>
          </cell>
          <cell r="H129">
            <v>225468.75</v>
          </cell>
        </row>
        <row r="130">
          <cell r="A130" t="str">
            <v>53060</v>
          </cell>
          <cell r="H130">
            <v>10000</v>
          </cell>
        </row>
        <row r="131">
          <cell r="A131" t="str">
            <v>53065</v>
          </cell>
          <cell r="H131">
            <v>0</v>
          </cell>
        </row>
        <row r="132">
          <cell r="A132" t="str">
            <v>53074</v>
          </cell>
          <cell r="H132">
            <v>0</v>
          </cell>
        </row>
        <row r="133">
          <cell r="A133" t="str">
            <v>53075</v>
          </cell>
          <cell r="H133">
            <v>875700</v>
          </cell>
        </row>
        <row r="134">
          <cell r="A134" t="str">
            <v>53080</v>
          </cell>
          <cell r="H134">
            <v>1975523.55</v>
          </cell>
        </row>
        <row r="135">
          <cell r="A135" t="str">
            <v>53090</v>
          </cell>
          <cell r="H135">
            <v>57500</v>
          </cell>
        </row>
        <row r="136">
          <cell r="A136" t="str">
            <v>53095</v>
          </cell>
          <cell r="H136">
            <v>2000</v>
          </cell>
        </row>
        <row r="137">
          <cell r="A137" t="str">
            <v>53110</v>
          </cell>
          <cell r="H137">
            <v>7000</v>
          </cell>
        </row>
        <row r="138">
          <cell r="A138" t="str">
            <v>53120</v>
          </cell>
          <cell r="H138">
            <v>39380040.990000002</v>
          </cell>
        </row>
        <row r="139">
          <cell r="A139" t="str">
            <v>60010</v>
          </cell>
          <cell r="H139">
            <v>2407407.41</v>
          </cell>
        </row>
        <row r="140">
          <cell r="A140" t="str">
            <v>60020</v>
          </cell>
          <cell r="H140">
            <v>25000</v>
          </cell>
        </row>
        <row r="141">
          <cell r="A141" t="str">
            <v>60025</v>
          </cell>
          <cell r="H141">
            <v>0</v>
          </cell>
        </row>
        <row r="142">
          <cell r="A142" t="str">
            <v>60030</v>
          </cell>
          <cell r="H142">
            <v>0</v>
          </cell>
        </row>
        <row r="143">
          <cell r="A143" t="str">
            <v>60035</v>
          </cell>
          <cell r="H143">
            <v>967990.34</v>
          </cell>
        </row>
        <row r="144">
          <cell r="A144" t="str">
            <v>60040</v>
          </cell>
          <cell r="H144">
            <v>0</v>
          </cell>
        </row>
        <row r="145">
          <cell r="A145" t="str">
            <v>60045</v>
          </cell>
          <cell r="H145">
            <v>735300</v>
          </cell>
        </row>
        <row r="146">
          <cell r="A146" t="str">
            <v>60050</v>
          </cell>
          <cell r="H146">
            <v>1989143.3</v>
          </cell>
        </row>
        <row r="147">
          <cell r="A147" t="str">
            <v>60060</v>
          </cell>
          <cell r="H147">
            <v>21681649.84</v>
          </cell>
        </row>
        <row r="148">
          <cell r="A148" t="str">
            <v>60070</v>
          </cell>
          <cell r="H148">
            <v>353800</v>
          </cell>
        </row>
        <row r="149">
          <cell r="A149" t="str">
            <v>60080</v>
          </cell>
          <cell r="H149">
            <v>2456843.17</v>
          </cell>
        </row>
        <row r="150">
          <cell r="A150" t="str">
            <v>60085</v>
          </cell>
          <cell r="H150">
            <v>780943.68</v>
          </cell>
        </row>
        <row r="151">
          <cell r="A151" t="str">
            <v>60090</v>
          </cell>
          <cell r="H151">
            <v>0</v>
          </cell>
        </row>
        <row r="152">
          <cell r="A152" t="str">
            <v>60100</v>
          </cell>
          <cell r="H152">
            <v>12391978.4</v>
          </cell>
        </row>
        <row r="153">
          <cell r="A153" t="str">
            <v>60110</v>
          </cell>
          <cell r="H153">
            <v>808400</v>
          </cell>
        </row>
        <row r="154">
          <cell r="A154" t="str">
            <v>60115</v>
          </cell>
          <cell r="H154">
            <v>27129960.550000001</v>
          </cell>
        </row>
        <row r="155">
          <cell r="A155" t="str">
            <v>60125</v>
          </cell>
          <cell r="H155">
            <v>20127333.34</v>
          </cell>
        </row>
        <row r="156">
          <cell r="A156" t="str">
            <v>60201</v>
          </cell>
          <cell r="H156">
            <v>4727591.07</v>
          </cell>
        </row>
        <row r="157">
          <cell r="A157" t="str">
            <v>60202</v>
          </cell>
          <cell r="H157">
            <v>6449.48</v>
          </cell>
        </row>
        <row r="158">
          <cell r="A158" t="str">
            <v>60205</v>
          </cell>
          <cell r="H158">
            <v>152245</v>
          </cell>
        </row>
        <row r="159">
          <cell r="A159" t="str">
            <v>60206</v>
          </cell>
          <cell r="H159">
            <v>6008902.7999999998</v>
          </cell>
        </row>
        <row r="160">
          <cell r="A160" t="str">
            <v>60210</v>
          </cell>
          <cell r="H160">
            <v>2408187.3500000006</v>
          </cell>
        </row>
        <row r="161">
          <cell r="A161" t="str">
            <v>60211</v>
          </cell>
          <cell r="H161">
            <v>80035.45</v>
          </cell>
        </row>
        <row r="162">
          <cell r="A162" t="str">
            <v>60213</v>
          </cell>
          <cell r="H162">
            <v>0</v>
          </cell>
        </row>
        <row r="163">
          <cell r="A163" t="str">
            <v>60217</v>
          </cell>
          <cell r="H163">
            <v>1544250</v>
          </cell>
        </row>
        <row r="164">
          <cell r="A164" t="str">
            <v>61100</v>
          </cell>
          <cell r="H164">
            <v>2409099.87</v>
          </cell>
        </row>
        <row r="165">
          <cell r="A165" t="str">
            <v>61310</v>
          </cell>
          <cell r="H165">
            <v>296552.08000000007</v>
          </cell>
        </row>
        <row r="166">
          <cell r="A166" t="str">
            <v>61315</v>
          </cell>
          <cell r="H166">
            <v>29700</v>
          </cell>
        </row>
        <row r="167">
          <cell r="A167" t="str">
            <v>61320</v>
          </cell>
          <cell r="H167">
            <v>30150</v>
          </cell>
        </row>
        <row r="168">
          <cell r="A168" t="str">
            <v>61500</v>
          </cell>
          <cell r="H168">
            <v>121446.79</v>
          </cell>
        </row>
        <row r="169">
          <cell r="A169" t="str">
            <v>61700</v>
          </cell>
          <cell r="H169">
            <v>316723.34999999998</v>
          </cell>
        </row>
        <row r="170">
          <cell r="A170" t="str">
            <v>62200</v>
          </cell>
          <cell r="H170">
            <v>354546</v>
          </cell>
        </row>
        <row r="171">
          <cell r="A171" t="str">
            <v>62415</v>
          </cell>
          <cell r="H171">
            <v>48498</v>
          </cell>
        </row>
        <row r="172">
          <cell r="A172" t="str">
            <v>62420</v>
          </cell>
          <cell r="H172">
            <v>38500</v>
          </cell>
        </row>
        <row r="173">
          <cell r="A173" t="str">
            <v>62425</v>
          </cell>
          <cell r="H173">
            <v>668000</v>
          </cell>
        </row>
        <row r="174">
          <cell r="A174" t="str">
            <v>62435</v>
          </cell>
          <cell r="H174">
            <v>96630</v>
          </cell>
        </row>
        <row r="175">
          <cell r="A175" t="str">
            <v>62700</v>
          </cell>
          <cell r="H175">
            <v>6038600</v>
          </cell>
        </row>
        <row r="176">
          <cell r="A176" t="str">
            <v>63110</v>
          </cell>
          <cell r="H176">
            <v>1931493.03</v>
          </cell>
        </row>
        <row r="177">
          <cell r="A177" t="str">
            <v>63120</v>
          </cell>
          <cell r="H177">
            <v>15800</v>
          </cell>
        </row>
        <row r="178">
          <cell r="A178" t="str">
            <v>63125</v>
          </cell>
          <cell r="H178">
            <v>110437.54</v>
          </cell>
        </row>
        <row r="179">
          <cell r="A179" t="str">
            <v>63907</v>
          </cell>
          <cell r="H179">
            <v>22352325.960000001</v>
          </cell>
        </row>
        <row r="180">
          <cell r="A180" t="str">
            <v>64000</v>
          </cell>
          <cell r="H180">
            <v>3628722.89</v>
          </cell>
        </row>
        <row r="181">
          <cell r="A181" t="str">
            <v>65000</v>
          </cell>
          <cell r="H181">
            <v>89583.33</v>
          </cell>
        </row>
        <row r="182">
          <cell r="A182" t="str">
            <v>65007</v>
          </cell>
          <cell r="H182">
            <v>1380595.7300000004</v>
          </cell>
        </row>
        <row r="183">
          <cell r="A183" t="str">
            <v>65015</v>
          </cell>
          <cell r="H183">
            <v>0</v>
          </cell>
        </row>
        <row r="184">
          <cell r="A184" t="str">
            <v>65031</v>
          </cell>
          <cell r="H184">
            <v>12857404.23</v>
          </cell>
        </row>
        <row r="185">
          <cell r="A185" t="str">
            <v>65032</v>
          </cell>
          <cell r="H185">
            <v>3194884.76</v>
          </cell>
        </row>
        <row r="186">
          <cell r="A186" t="str">
            <v>65035</v>
          </cell>
          <cell r="H186">
            <v>85709176.069999993</v>
          </cell>
        </row>
        <row r="187">
          <cell r="A187" t="str">
            <v>65036</v>
          </cell>
          <cell r="H187">
            <v>1146213.42</v>
          </cell>
        </row>
        <row r="188">
          <cell r="A188" t="str">
            <v>65037</v>
          </cell>
          <cell r="H188">
            <v>9431128.7100000009</v>
          </cell>
        </row>
        <row r="189">
          <cell r="A189" t="str">
            <v>65095</v>
          </cell>
          <cell r="H189">
            <v>9870206.209999999</v>
          </cell>
        </row>
        <row r="190">
          <cell r="A190" t="str">
            <v>65100</v>
          </cell>
          <cell r="H190">
            <v>3993606.11</v>
          </cell>
        </row>
        <row r="191">
          <cell r="A191" t="str">
            <v>65800</v>
          </cell>
          <cell r="H191">
            <v>958480</v>
          </cell>
        </row>
        <row r="192">
          <cell r="A192" t="str">
            <v>66300</v>
          </cell>
          <cell r="H192">
            <v>17719.990000000002</v>
          </cell>
        </row>
        <row r="193">
          <cell r="A193" t="str">
            <v>67901</v>
          </cell>
          <cell r="H193">
            <v>0</v>
          </cell>
        </row>
        <row r="194">
          <cell r="A194" t="str">
            <v>67920</v>
          </cell>
          <cell r="H194">
            <v>-177734003.43000001</v>
          </cell>
        </row>
        <row r="195">
          <cell r="A195" t="str">
            <v>67940</v>
          </cell>
          <cell r="H195">
            <v>0.01</v>
          </cell>
        </row>
        <row r="196">
          <cell r="A196" t="str">
            <v>68500</v>
          </cell>
          <cell r="H196">
            <v>1791666.67</v>
          </cell>
        </row>
        <row r="197">
          <cell r="A197" t="str">
            <v>68502</v>
          </cell>
          <cell r="H197">
            <v>0</v>
          </cell>
        </row>
        <row r="198">
          <cell r="A198" t="str">
            <v>68503</v>
          </cell>
          <cell r="H198">
            <v>0</v>
          </cell>
        </row>
        <row r="199">
          <cell r="A199" t="str">
            <v>69600</v>
          </cell>
          <cell r="H199">
            <v>1444913.8</v>
          </cell>
        </row>
        <row r="200">
          <cell r="A200" t="str">
            <v>69901</v>
          </cell>
          <cell r="H200">
            <v>1201076.6599999999</v>
          </cell>
        </row>
        <row r="201">
          <cell r="A201" t="str">
            <v>69903</v>
          </cell>
          <cell r="H201">
            <v>2559459.98</v>
          </cell>
        </row>
      </sheetData>
      <sheetData sheetId="2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220240.7</v>
          </cell>
        </row>
        <row r="7">
          <cell r="A7" t="str">
            <v>10104</v>
          </cell>
          <cell r="H7">
            <v>78315.09</v>
          </cell>
        </row>
        <row r="8">
          <cell r="A8" t="str">
            <v>10105</v>
          </cell>
          <cell r="H8">
            <v>1005318518.51</v>
          </cell>
        </row>
        <row r="9">
          <cell r="A9" t="str">
            <v>10107</v>
          </cell>
          <cell r="H9">
            <v>681873237.33000004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4810082.08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5758.46</v>
          </cell>
        </row>
        <row r="20">
          <cell r="A20" t="str">
            <v>10224</v>
          </cell>
          <cell r="H20">
            <v>30.71</v>
          </cell>
        </row>
        <row r="21">
          <cell r="A21" t="str">
            <v>10225</v>
          </cell>
          <cell r="H21">
            <v>6887408.2300000004</v>
          </cell>
        </row>
        <row r="22">
          <cell r="A22" t="str">
            <v>10226</v>
          </cell>
          <cell r="H22">
            <v>5754896.9900000002</v>
          </cell>
        </row>
        <row r="23">
          <cell r="A23" t="str">
            <v>10227</v>
          </cell>
          <cell r="H23">
            <v>3607976.2</v>
          </cell>
        </row>
        <row r="24">
          <cell r="A24" t="str">
            <v>10235</v>
          </cell>
          <cell r="H24">
            <v>17468961.579999998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251667.85</v>
          </cell>
        </row>
        <row r="28">
          <cell r="A28" t="str">
            <v>10255</v>
          </cell>
          <cell r="H28">
            <v>4433711.3</v>
          </cell>
        </row>
        <row r="29">
          <cell r="A29" t="str">
            <v>10256</v>
          </cell>
          <cell r="H29">
            <v>294478328.37</v>
          </cell>
        </row>
        <row r="30">
          <cell r="A30" t="str">
            <v>10260</v>
          </cell>
          <cell r="H30">
            <v>202600</v>
          </cell>
        </row>
        <row r="31">
          <cell r="A31" t="str">
            <v>10265</v>
          </cell>
          <cell r="H31">
            <v>5348305.92</v>
          </cell>
        </row>
        <row r="32">
          <cell r="A32" t="str">
            <v>10270</v>
          </cell>
          <cell r="H32">
            <v>1555638.24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4842569.8899999997</v>
          </cell>
        </row>
        <row r="35">
          <cell r="A35" t="str">
            <v>10293</v>
          </cell>
          <cell r="H35">
            <v>138832.69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20464723.16</v>
          </cell>
        </row>
        <row r="38">
          <cell r="A38" t="str">
            <v>10316</v>
          </cell>
          <cell r="H38">
            <v>13755124.199999999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887210.26</v>
          </cell>
        </row>
        <row r="42">
          <cell r="A42" t="str">
            <v>10342</v>
          </cell>
          <cell r="H42">
            <v>785209922.22000003</v>
          </cell>
        </row>
        <row r="43">
          <cell r="A43" t="str">
            <v>10343</v>
          </cell>
          <cell r="H43">
            <v>19409.86</v>
          </cell>
        </row>
        <row r="44">
          <cell r="A44" t="str">
            <v>10344</v>
          </cell>
          <cell r="H44">
            <v>908215.97</v>
          </cell>
        </row>
        <row r="45">
          <cell r="A45" t="str">
            <v>10348</v>
          </cell>
          <cell r="H45">
            <v>5351833.95</v>
          </cell>
        </row>
        <row r="46">
          <cell r="A46" t="str">
            <v>10497</v>
          </cell>
          <cell r="H46">
            <v>5109820.21</v>
          </cell>
        </row>
        <row r="47">
          <cell r="A47" t="str">
            <v>10801</v>
          </cell>
          <cell r="H47">
            <v>787660881.75999999</v>
          </cell>
        </row>
        <row r="48">
          <cell r="A48" t="str">
            <v>11000</v>
          </cell>
          <cell r="H48">
            <v>518778937.31</v>
          </cell>
        </row>
        <row r="49">
          <cell r="A49" t="str">
            <v>12100</v>
          </cell>
          <cell r="H49">
            <v>87411677.140000001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262326003.61000001</v>
          </cell>
        </row>
        <row r="52">
          <cell r="A52" t="str">
            <v>13004</v>
          </cell>
          <cell r="H52">
            <v>2377547.19</v>
          </cell>
        </row>
        <row r="53">
          <cell r="A53" t="str">
            <v>13008</v>
          </cell>
          <cell r="H53">
            <v>600000</v>
          </cell>
        </row>
        <row r="54">
          <cell r="A54" t="str">
            <v>13010</v>
          </cell>
          <cell r="H54">
            <v>22794447.350000001</v>
          </cell>
        </row>
        <row r="55">
          <cell r="A55" t="str">
            <v>13116</v>
          </cell>
          <cell r="H55">
            <v>131900</v>
          </cell>
        </row>
        <row r="56">
          <cell r="A56" t="str">
            <v>13120</v>
          </cell>
          <cell r="H56">
            <v>83951218.739999995</v>
          </cell>
        </row>
        <row r="57">
          <cell r="A57" t="str">
            <v>13130</v>
          </cell>
          <cell r="H57">
            <v>8628152.6600000001</v>
          </cell>
        </row>
        <row r="58">
          <cell r="A58" t="str">
            <v>13135</v>
          </cell>
          <cell r="H58">
            <v>0.12</v>
          </cell>
        </row>
        <row r="59">
          <cell r="A59" t="str">
            <v>13200</v>
          </cell>
          <cell r="H59">
            <v>13008398.060000001</v>
          </cell>
        </row>
        <row r="60">
          <cell r="A60" t="str">
            <v>13400</v>
          </cell>
          <cell r="H60">
            <v>509096092.43000001</v>
          </cell>
        </row>
        <row r="61">
          <cell r="A61" t="str">
            <v>14000</v>
          </cell>
          <cell r="H61">
            <v>-338271278.72000003</v>
          </cell>
        </row>
        <row r="62">
          <cell r="A62" t="str">
            <v>14001</v>
          </cell>
          <cell r="H62">
            <v>-353686473</v>
          </cell>
        </row>
        <row r="63">
          <cell r="A63" t="str">
            <v>14010</v>
          </cell>
          <cell r="H63">
            <v>-179000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21430757.66</v>
          </cell>
        </row>
        <row r="66">
          <cell r="A66" t="str">
            <v>14021</v>
          </cell>
          <cell r="H66">
            <v>1481337</v>
          </cell>
        </row>
        <row r="67">
          <cell r="A67" t="str">
            <v>15000</v>
          </cell>
          <cell r="H67">
            <v>38615442.920000002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316900706.66000003</v>
          </cell>
        </row>
        <row r="70">
          <cell r="A70" t="str">
            <v>15300</v>
          </cell>
          <cell r="H70">
            <v>16565780.25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2410161.5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638405483.95000005</v>
          </cell>
        </row>
        <row r="76">
          <cell r="A76" t="str">
            <v>15505</v>
          </cell>
          <cell r="H76">
            <v>8503671.5099999998</v>
          </cell>
        </row>
        <row r="77">
          <cell r="A77" t="str">
            <v>15509</v>
          </cell>
          <cell r="H77">
            <v>4400000</v>
          </cell>
        </row>
        <row r="78">
          <cell r="A78" t="str">
            <v>15510</v>
          </cell>
          <cell r="H78">
            <v>701593285.34000003</v>
          </cell>
        </row>
        <row r="79">
          <cell r="A79" t="str">
            <v>16000</v>
          </cell>
          <cell r="H79">
            <v>-26945354.059999999</v>
          </cell>
        </row>
        <row r="80">
          <cell r="A80" t="str">
            <v>16100</v>
          </cell>
          <cell r="H80">
            <v>-3644980.06</v>
          </cell>
        </row>
        <row r="81">
          <cell r="A81" t="str">
            <v>16200</v>
          </cell>
          <cell r="H81">
            <v>-207074569.44</v>
          </cell>
        </row>
        <row r="82">
          <cell r="A82" t="str">
            <v>16300</v>
          </cell>
          <cell r="H82">
            <v>-14161658.35</v>
          </cell>
        </row>
        <row r="83">
          <cell r="A83" t="str">
            <v>16500</v>
          </cell>
          <cell r="H83">
            <v>-17904365.100000001</v>
          </cell>
        </row>
        <row r="84">
          <cell r="A84" t="str">
            <v>17000</v>
          </cell>
          <cell r="H84">
            <v>366685763.89999998</v>
          </cell>
        </row>
        <row r="85">
          <cell r="A85" t="str">
            <v>19004</v>
          </cell>
          <cell r="H85">
            <v>2523980.39</v>
          </cell>
        </row>
        <row r="86">
          <cell r="A86" t="str">
            <v>19006</v>
          </cell>
          <cell r="H86">
            <v>26530.43</v>
          </cell>
        </row>
        <row r="87">
          <cell r="A87" t="str">
            <v>19007</v>
          </cell>
          <cell r="H87">
            <v>3453453321.8099999</v>
          </cell>
        </row>
        <row r="88">
          <cell r="A88" t="str">
            <v>69904</v>
          </cell>
          <cell r="H88">
            <v>-25656911.329999998</v>
          </cell>
        </row>
        <row r="89">
          <cell r="A89" t="str">
            <v>20000</v>
          </cell>
          <cell r="H89">
            <v>-1002973102.46</v>
          </cell>
        </row>
        <row r="90">
          <cell r="A90" t="str">
            <v>20005</v>
          </cell>
          <cell r="H90">
            <v>-165742753.87</v>
          </cell>
        </row>
        <row r="91">
          <cell r="A91" t="str">
            <v>20010</v>
          </cell>
          <cell r="H91">
            <v>-9675000</v>
          </cell>
        </row>
        <row r="92">
          <cell r="A92" t="str">
            <v>22100</v>
          </cell>
          <cell r="H92">
            <v>-10901526.369999999</v>
          </cell>
        </row>
        <row r="93">
          <cell r="A93" t="str">
            <v>23000</v>
          </cell>
          <cell r="H93">
            <v>-851665674.53999996</v>
          </cell>
        </row>
        <row r="94">
          <cell r="A94" t="str">
            <v>23001</v>
          </cell>
          <cell r="H94">
            <v>59891429</v>
          </cell>
        </row>
        <row r="95">
          <cell r="A95" t="str">
            <v>23010</v>
          </cell>
          <cell r="H95">
            <v>-150966493.72</v>
          </cell>
        </row>
        <row r="96">
          <cell r="A96" t="str">
            <v>23015</v>
          </cell>
          <cell r="H96">
            <v>-1964082.78</v>
          </cell>
        </row>
        <row r="97">
          <cell r="A97" t="str">
            <v>23030</v>
          </cell>
          <cell r="H97">
            <v>-2279773</v>
          </cell>
        </row>
        <row r="98">
          <cell r="A98" t="str">
            <v>23040</v>
          </cell>
          <cell r="H98">
            <v>-7603160.5999999996</v>
          </cell>
        </row>
        <row r="99">
          <cell r="A99" t="str">
            <v>23400</v>
          </cell>
          <cell r="H99">
            <v>-1360025902.1199999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-13681656.539999999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24010</v>
          </cell>
          <cell r="H104">
            <v>-19486878.539999999</v>
          </cell>
        </row>
        <row r="105">
          <cell r="A105" t="str">
            <v>24100</v>
          </cell>
          <cell r="H105">
            <v>-24264109.649999999</v>
          </cell>
        </row>
        <row r="106">
          <cell r="A106" t="str">
            <v>30005</v>
          </cell>
          <cell r="H106">
            <v>96238158.140000001</v>
          </cell>
        </row>
        <row r="107">
          <cell r="A107" t="str">
            <v>30035</v>
          </cell>
          <cell r="H107">
            <v>101787277.34999999</v>
          </cell>
        </row>
        <row r="108">
          <cell r="A108" t="str">
            <v>30040</v>
          </cell>
          <cell r="H108">
            <v>-107359858</v>
          </cell>
        </row>
        <row r="109">
          <cell r="A109" t="str">
            <v>30042</v>
          </cell>
          <cell r="H109">
            <v>-7359858</v>
          </cell>
        </row>
        <row r="110">
          <cell r="A110" t="str">
            <v>30043</v>
          </cell>
          <cell r="H110">
            <v>-114297251.5</v>
          </cell>
        </row>
        <row r="111">
          <cell r="A111" t="str">
            <v>30044</v>
          </cell>
          <cell r="H111">
            <v>-6360000200</v>
          </cell>
        </row>
        <row r="112">
          <cell r="A112" t="str">
            <v>32000</v>
          </cell>
          <cell r="H112">
            <v>-1118694724.28</v>
          </cell>
        </row>
        <row r="113">
          <cell r="A113" t="str">
            <v>40020</v>
          </cell>
          <cell r="H113">
            <v>-293333.33</v>
          </cell>
        </row>
        <row r="114">
          <cell r="A114" t="str">
            <v>40055</v>
          </cell>
          <cell r="H114">
            <v>0</v>
          </cell>
        </row>
        <row r="115">
          <cell r="A115" t="str">
            <v>40056</v>
          </cell>
          <cell r="H115">
            <v>-836423.44000000018</v>
          </cell>
        </row>
        <row r="116">
          <cell r="A116" t="str">
            <v>40085</v>
          </cell>
          <cell r="H116">
            <v>-127627.63</v>
          </cell>
        </row>
        <row r="117">
          <cell r="A117" t="str">
            <v>40095</v>
          </cell>
          <cell r="H117">
            <v>-6976744.1900000004</v>
          </cell>
        </row>
        <row r="118">
          <cell r="A118" t="str">
            <v>40161</v>
          </cell>
          <cell r="H118">
            <v>-100125370.29000001</v>
          </cell>
        </row>
        <row r="119">
          <cell r="A119" t="str">
            <v>40162</v>
          </cell>
          <cell r="H119">
            <v>-113414116.79000001</v>
          </cell>
        </row>
        <row r="120">
          <cell r="A120" t="str">
            <v>40163</v>
          </cell>
          <cell r="H120">
            <v>-757046.50999999791</v>
          </cell>
        </row>
        <row r="121">
          <cell r="A121" t="str">
            <v>49300</v>
          </cell>
          <cell r="H121">
            <v>-28119044.399999999</v>
          </cell>
        </row>
        <row r="122">
          <cell r="A122" t="str">
            <v>50000</v>
          </cell>
          <cell r="H122">
            <v>7169412.0099999998</v>
          </cell>
        </row>
        <row r="123">
          <cell r="A123" t="str">
            <v>53005</v>
          </cell>
          <cell r="H123">
            <v>220352.43</v>
          </cell>
        </row>
        <row r="124">
          <cell r="A124" t="str">
            <v>53040</v>
          </cell>
          <cell r="H124">
            <v>47100</v>
          </cell>
        </row>
        <row r="125">
          <cell r="A125" t="str">
            <v>53045</v>
          </cell>
          <cell r="H125">
            <v>6232729.4800000004</v>
          </cell>
        </row>
        <row r="126">
          <cell r="A126" t="str">
            <v>53055</v>
          </cell>
          <cell r="H126">
            <v>225468.75</v>
          </cell>
        </row>
        <row r="127">
          <cell r="A127" t="str">
            <v>53060</v>
          </cell>
          <cell r="H127">
            <v>119861.43</v>
          </cell>
        </row>
        <row r="128">
          <cell r="A128" t="str">
            <v>53065</v>
          </cell>
          <cell r="H128">
            <v>822120.6</v>
          </cell>
        </row>
        <row r="129">
          <cell r="A129" t="str">
            <v>53074</v>
          </cell>
          <cell r="H129">
            <v>0</v>
          </cell>
        </row>
        <row r="130">
          <cell r="A130" t="str">
            <v>53075</v>
          </cell>
          <cell r="H130">
            <v>35800</v>
          </cell>
        </row>
        <row r="131">
          <cell r="A131" t="str">
            <v>53080</v>
          </cell>
          <cell r="H131">
            <v>1810118.55</v>
          </cell>
        </row>
        <row r="132">
          <cell r="A132" t="str">
            <v>53090</v>
          </cell>
          <cell r="H132">
            <v>31200</v>
          </cell>
        </row>
        <row r="133">
          <cell r="A133" t="str">
            <v>53095</v>
          </cell>
          <cell r="H133">
            <v>21376.54</v>
          </cell>
        </row>
        <row r="134">
          <cell r="A134" t="str">
            <v>53110</v>
          </cell>
          <cell r="H134">
            <v>344201.15</v>
          </cell>
        </row>
        <row r="135">
          <cell r="A135" t="str">
            <v>53120</v>
          </cell>
          <cell r="H135">
            <v>39367801.619999997</v>
          </cell>
        </row>
        <row r="136">
          <cell r="A136" t="str">
            <v>60010</v>
          </cell>
          <cell r="H136">
            <v>2407407.41</v>
          </cell>
        </row>
        <row r="137">
          <cell r="A137" t="str">
            <v>60020</v>
          </cell>
          <cell r="H137">
            <v>214475</v>
          </cell>
        </row>
        <row r="138">
          <cell r="A138" t="str">
            <v>60025</v>
          </cell>
          <cell r="H138">
            <v>3000</v>
          </cell>
        </row>
        <row r="139">
          <cell r="A139" t="str">
            <v>60030</v>
          </cell>
          <cell r="H139">
            <v>0</v>
          </cell>
        </row>
        <row r="140">
          <cell r="A140" t="str">
            <v>60040</v>
          </cell>
          <cell r="H140">
            <v>9000</v>
          </cell>
        </row>
        <row r="141">
          <cell r="A141" t="str">
            <v>60045</v>
          </cell>
          <cell r="H141">
            <v>900300</v>
          </cell>
        </row>
        <row r="142">
          <cell r="A142" t="str">
            <v>60050</v>
          </cell>
          <cell r="H142">
            <v>2296213.79</v>
          </cell>
        </row>
        <row r="143">
          <cell r="A143" t="str">
            <v>60060</v>
          </cell>
          <cell r="H143">
            <v>21674578.670000002</v>
          </cell>
        </row>
        <row r="144">
          <cell r="A144" t="str">
            <v>60070</v>
          </cell>
          <cell r="H144">
            <v>422028.35</v>
          </cell>
        </row>
        <row r="145">
          <cell r="A145" t="str">
            <v>60080</v>
          </cell>
          <cell r="H145">
            <v>5199001.96</v>
          </cell>
        </row>
        <row r="146">
          <cell r="A146" t="str">
            <v>60085</v>
          </cell>
          <cell r="H146">
            <v>780943.71</v>
          </cell>
        </row>
        <row r="147">
          <cell r="A147" t="str">
            <v>60090</v>
          </cell>
          <cell r="H147">
            <v>612981.38000000012</v>
          </cell>
        </row>
        <row r="148">
          <cell r="A148" t="str">
            <v>60100</v>
          </cell>
          <cell r="H148">
            <v>16123847.779999999</v>
          </cell>
        </row>
        <row r="149">
          <cell r="A149" t="str">
            <v>60115</v>
          </cell>
          <cell r="H149">
            <v>23148812.970000003</v>
          </cell>
        </row>
        <row r="150">
          <cell r="A150" t="str">
            <v>60125</v>
          </cell>
          <cell r="H150">
            <v>20127333.329999998</v>
          </cell>
        </row>
        <row r="151">
          <cell r="A151" t="str">
            <v>60200</v>
          </cell>
          <cell r="H151">
            <v>0</v>
          </cell>
        </row>
        <row r="152">
          <cell r="A152" t="str">
            <v>60201</v>
          </cell>
          <cell r="H152">
            <v>2921594.19</v>
          </cell>
        </row>
        <row r="153">
          <cell r="A153" t="str">
            <v>60205</v>
          </cell>
          <cell r="H153">
            <v>197796.63</v>
          </cell>
        </row>
        <row r="154">
          <cell r="A154" t="str">
            <v>60206</v>
          </cell>
          <cell r="H154">
            <v>1622330.1999999997</v>
          </cell>
        </row>
        <row r="155">
          <cell r="A155" t="str">
            <v>60210</v>
          </cell>
          <cell r="H155">
            <v>10325193.42</v>
          </cell>
        </row>
        <row r="156">
          <cell r="A156" t="str">
            <v>60211</v>
          </cell>
          <cell r="H156">
            <v>9700</v>
          </cell>
        </row>
        <row r="157">
          <cell r="A157" t="str">
            <v>60213</v>
          </cell>
          <cell r="H157">
            <v>0</v>
          </cell>
        </row>
        <row r="158">
          <cell r="A158" t="str">
            <v>60217</v>
          </cell>
          <cell r="H158">
            <v>0</v>
          </cell>
        </row>
        <row r="159">
          <cell r="A159" t="str">
            <v>61100</v>
          </cell>
          <cell r="H159">
            <v>544618.92000000004</v>
          </cell>
        </row>
        <row r="160">
          <cell r="A160" t="str">
            <v>61310</v>
          </cell>
          <cell r="H160">
            <v>213786</v>
          </cell>
        </row>
        <row r="161">
          <cell r="A161" t="str">
            <v>61315</v>
          </cell>
          <cell r="H161">
            <v>22700</v>
          </cell>
        </row>
        <row r="162">
          <cell r="A162" t="str">
            <v>61320</v>
          </cell>
          <cell r="H162">
            <v>15650</v>
          </cell>
        </row>
        <row r="163">
          <cell r="A163" t="str">
            <v>61500</v>
          </cell>
          <cell r="H163">
            <v>570400.12</v>
          </cell>
        </row>
        <row r="164">
          <cell r="A164" t="str">
            <v>61700</v>
          </cell>
          <cell r="H164">
            <v>328298.31000000006</v>
          </cell>
        </row>
        <row r="165">
          <cell r="A165" t="str">
            <v>62200</v>
          </cell>
          <cell r="H165">
            <v>1051035</v>
          </cell>
        </row>
        <row r="166">
          <cell r="A166" t="str">
            <v>62400</v>
          </cell>
          <cell r="H166">
            <v>0</v>
          </cell>
        </row>
        <row r="167">
          <cell r="A167" t="str">
            <v>62415</v>
          </cell>
          <cell r="H167">
            <v>207278.15999999997</v>
          </cell>
        </row>
        <row r="168">
          <cell r="A168" t="str">
            <v>62420</v>
          </cell>
          <cell r="H168">
            <v>178948.59</v>
          </cell>
        </row>
        <row r="169">
          <cell r="A169" t="str">
            <v>62425</v>
          </cell>
          <cell r="H169">
            <v>24100</v>
          </cell>
        </row>
        <row r="170">
          <cell r="A170" t="str">
            <v>62435</v>
          </cell>
          <cell r="H170">
            <v>126500</v>
          </cell>
        </row>
        <row r="171">
          <cell r="A171" t="str">
            <v>62700</v>
          </cell>
          <cell r="H171">
            <v>2043087.5</v>
          </cell>
        </row>
        <row r="172">
          <cell r="A172" t="str">
            <v>63110</v>
          </cell>
          <cell r="H172">
            <v>2049264.65</v>
          </cell>
        </row>
        <row r="173">
          <cell r="A173" t="str">
            <v>63120</v>
          </cell>
          <cell r="H173">
            <v>0</v>
          </cell>
        </row>
        <row r="174">
          <cell r="A174" t="str">
            <v>63125</v>
          </cell>
          <cell r="H174">
            <v>22450</v>
          </cell>
        </row>
        <row r="175">
          <cell r="A175" t="str">
            <v>63907</v>
          </cell>
          <cell r="H175">
            <v>25412742.34</v>
          </cell>
        </row>
        <row r="176">
          <cell r="A176" t="str">
            <v>64000</v>
          </cell>
          <cell r="H176">
            <v>3635055.08</v>
          </cell>
        </row>
        <row r="177">
          <cell r="A177" t="str">
            <v>65000</v>
          </cell>
          <cell r="H177">
            <v>89583.33</v>
          </cell>
        </row>
        <row r="178">
          <cell r="A178" t="str">
            <v>65007</v>
          </cell>
          <cell r="H178">
            <v>534476.01999999955</v>
          </cell>
        </row>
        <row r="179">
          <cell r="A179" t="str">
            <v>65015</v>
          </cell>
          <cell r="H179">
            <v>2299840</v>
          </cell>
        </row>
        <row r="180">
          <cell r="A180" t="str">
            <v>65031</v>
          </cell>
          <cell r="H180">
            <v>12899916.720000001</v>
          </cell>
        </row>
        <row r="181">
          <cell r="A181" t="str">
            <v>65032</v>
          </cell>
          <cell r="H181">
            <v>3208290.8899999997</v>
          </cell>
        </row>
        <row r="182">
          <cell r="A182" t="str">
            <v>65035</v>
          </cell>
          <cell r="H182">
            <v>85793860.340000004</v>
          </cell>
        </row>
        <row r="183">
          <cell r="A183" t="str">
            <v>65036</v>
          </cell>
          <cell r="H183">
            <v>3469348.8500000015</v>
          </cell>
        </row>
        <row r="184">
          <cell r="A184" t="str">
            <v>65095</v>
          </cell>
          <cell r="H184">
            <v>8313416.3300000001</v>
          </cell>
        </row>
        <row r="185">
          <cell r="A185" t="str">
            <v>65100</v>
          </cell>
          <cell r="H185">
            <v>4010363.79</v>
          </cell>
        </row>
        <row r="186">
          <cell r="A186" t="str">
            <v>65800</v>
          </cell>
          <cell r="H186">
            <v>0</v>
          </cell>
        </row>
        <row r="187">
          <cell r="A187" t="str">
            <v>66300</v>
          </cell>
          <cell r="H187">
            <v>12340</v>
          </cell>
        </row>
        <row r="188">
          <cell r="A188" t="str">
            <v>67901</v>
          </cell>
          <cell r="H188">
            <v>0</v>
          </cell>
        </row>
        <row r="189">
          <cell r="A189" t="str">
            <v>67920</v>
          </cell>
          <cell r="H189">
            <v>-76093279.030000001</v>
          </cell>
        </row>
        <row r="190">
          <cell r="A190" t="str">
            <v>67940</v>
          </cell>
          <cell r="H190">
            <v>-0.01</v>
          </cell>
        </row>
        <row r="191">
          <cell r="A191" t="str">
            <v>68500</v>
          </cell>
          <cell r="H191">
            <v>1791666.67</v>
          </cell>
        </row>
        <row r="192">
          <cell r="A192" t="str">
            <v>68503</v>
          </cell>
          <cell r="H192">
            <v>0</v>
          </cell>
        </row>
        <row r="193">
          <cell r="A193" t="str">
            <v>69600</v>
          </cell>
          <cell r="H193">
            <v>0</v>
          </cell>
        </row>
        <row r="194">
          <cell r="A194" t="str">
            <v>69901</v>
          </cell>
          <cell r="H194">
            <v>1201076.6599999999</v>
          </cell>
        </row>
        <row r="195">
          <cell r="A195" t="str">
            <v>69903</v>
          </cell>
          <cell r="H195">
            <v>2530590.15</v>
          </cell>
        </row>
      </sheetData>
      <sheetData sheetId="2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202990.7</v>
          </cell>
        </row>
        <row r="7">
          <cell r="A7" t="str">
            <v>10104</v>
          </cell>
          <cell r="H7">
            <v>23401976.309999999</v>
          </cell>
        </row>
        <row r="8">
          <cell r="A8" t="str">
            <v>10105</v>
          </cell>
          <cell r="H8">
            <v>1005318518.51</v>
          </cell>
        </row>
        <row r="9">
          <cell r="A9" t="str">
            <v>10107</v>
          </cell>
          <cell r="H9">
            <v>681873237.33000004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17984367.829999998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16784449.91</v>
          </cell>
        </row>
        <row r="20">
          <cell r="A20" t="str">
            <v>10224</v>
          </cell>
          <cell r="H20">
            <v>29.96</v>
          </cell>
        </row>
        <row r="21">
          <cell r="A21" t="str">
            <v>10225</v>
          </cell>
          <cell r="H21">
            <v>26930627.280000001</v>
          </cell>
        </row>
        <row r="22">
          <cell r="A22" t="str">
            <v>10226</v>
          </cell>
          <cell r="H22">
            <v>2340276.69</v>
          </cell>
        </row>
        <row r="23">
          <cell r="A23" t="str">
            <v>10227</v>
          </cell>
          <cell r="H23">
            <v>12596168.800000001</v>
          </cell>
        </row>
        <row r="24">
          <cell r="A24" t="str">
            <v>10235</v>
          </cell>
          <cell r="H24">
            <v>41599349.560000002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15470427.67</v>
          </cell>
        </row>
        <row r="28">
          <cell r="A28" t="str">
            <v>10255</v>
          </cell>
          <cell r="H28">
            <v>4823286.13</v>
          </cell>
        </row>
        <row r="29">
          <cell r="A29" t="str">
            <v>10256</v>
          </cell>
          <cell r="H29">
            <v>1151956.7</v>
          </cell>
        </row>
        <row r="30">
          <cell r="A30" t="str">
            <v>10260</v>
          </cell>
          <cell r="H30">
            <v>202600</v>
          </cell>
        </row>
        <row r="31">
          <cell r="A31" t="str">
            <v>10265</v>
          </cell>
          <cell r="H31">
            <v>5300537.0599999996</v>
          </cell>
        </row>
        <row r="32">
          <cell r="A32" t="str">
            <v>10270</v>
          </cell>
          <cell r="H32">
            <v>1555764.24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13900776.109999999</v>
          </cell>
        </row>
        <row r="35">
          <cell r="A35" t="str">
            <v>10293</v>
          </cell>
          <cell r="H35">
            <v>223637.86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30264244.41</v>
          </cell>
        </row>
        <row r="38">
          <cell r="A38" t="str">
            <v>10316</v>
          </cell>
          <cell r="H38">
            <v>6960968.1100000003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58756.26</v>
          </cell>
        </row>
        <row r="42">
          <cell r="A42" t="str">
            <v>10342</v>
          </cell>
          <cell r="H42">
            <v>4353702.09</v>
          </cell>
        </row>
        <row r="43">
          <cell r="A43" t="str">
            <v>10343</v>
          </cell>
          <cell r="H43">
            <v>18951.09</v>
          </cell>
        </row>
        <row r="44">
          <cell r="A44" t="str">
            <v>10497</v>
          </cell>
          <cell r="H44">
            <v>3397369.01</v>
          </cell>
        </row>
        <row r="45">
          <cell r="A45" t="str">
            <v>10500</v>
          </cell>
          <cell r="H45">
            <v>0</v>
          </cell>
        </row>
        <row r="46">
          <cell r="A46" t="str">
            <v>10801</v>
          </cell>
          <cell r="H46">
            <v>768436004.13</v>
          </cell>
        </row>
        <row r="47">
          <cell r="A47" t="str">
            <v>11000</v>
          </cell>
          <cell r="H47">
            <v>1273270111.49</v>
          </cell>
        </row>
        <row r="48">
          <cell r="A48" t="str">
            <v>11005</v>
          </cell>
          <cell r="H48">
            <v>0</v>
          </cell>
        </row>
        <row r="49">
          <cell r="A49" t="str">
            <v>12100</v>
          </cell>
          <cell r="H49">
            <v>94581089.150000006</v>
          </cell>
        </row>
        <row r="50">
          <cell r="A50" t="str">
            <v>13002</v>
          </cell>
          <cell r="H50">
            <v>1440000</v>
          </cell>
        </row>
        <row r="51">
          <cell r="A51" t="str">
            <v>13003</v>
          </cell>
          <cell r="H51">
            <v>258059954.34999999</v>
          </cell>
        </row>
        <row r="52">
          <cell r="A52" t="str">
            <v>13004</v>
          </cell>
          <cell r="H52">
            <v>5351146</v>
          </cell>
        </row>
        <row r="53">
          <cell r="A53" t="str">
            <v>13008</v>
          </cell>
          <cell r="H53">
            <v>600000</v>
          </cell>
        </row>
        <row r="54">
          <cell r="A54" t="str">
            <v>13010</v>
          </cell>
          <cell r="H54">
            <v>26694007.690000001</v>
          </cell>
        </row>
        <row r="55">
          <cell r="A55" t="str">
            <v>13116</v>
          </cell>
          <cell r="H55">
            <v>139100</v>
          </cell>
        </row>
        <row r="56">
          <cell r="A56" t="str">
            <v>13120</v>
          </cell>
          <cell r="H56">
            <v>104645309.26000001</v>
          </cell>
        </row>
        <row r="57">
          <cell r="A57" t="str">
            <v>13130</v>
          </cell>
          <cell r="H57">
            <v>6225129.4299999997</v>
          </cell>
        </row>
        <row r="58">
          <cell r="A58" t="str">
            <v>13135</v>
          </cell>
          <cell r="H58">
            <v>0.12</v>
          </cell>
        </row>
        <row r="59">
          <cell r="A59" t="str">
            <v>13200</v>
          </cell>
          <cell r="H59">
            <v>14885950.32</v>
          </cell>
        </row>
        <row r="60">
          <cell r="A60" t="str">
            <v>13400</v>
          </cell>
          <cell r="H60">
            <v>472564818.79000002</v>
          </cell>
        </row>
        <row r="61">
          <cell r="A61" t="str">
            <v>14000</v>
          </cell>
          <cell r="H61">
            <v>-342245217.87</v>
          </cell>
        </row>
        <row r="62">
          <cell r="A62" t="str">
            <v>14001</v>
          </cell>
          <cell r="H62">
            <v>-354587182.82999998</v>
          </cell>
        </row>
        <row r="63">
          <cell r="A63" t="str">
            <v>14010</v>
          </cell>
          <cell r="H63">
            <v>-179000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21430757.66</v>
          </cell>
        </row>
        <row r="66">
          <cell r="A66" t="str">
            <v>14021</v>
          </cell>
          <cell r="H66">
            <v>1481337</v>
          </cell>
        </row>
        <row r="67">
          <cell r="A67" t="str">
            <v>15000</v>
          </cell>
          <cell r="H67">
            <v>37033192.920000002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316900706.66000003</v>
          </cell>
        </row>
        <row r="70">
          <cell r="A70" t="str">
            <v>15300</v>
          </cell>
          <cell r="H70">
            <v>16565780.25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2410161.5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629243877.60000002</v>
          </cell>
        </row>
        <row r="76">
          <cell r="A76" t="str">
            <v>15505</v>
          </cell>
          <cell r="H76">
            <v>8503671.5099999998</v>
          </cell>
        </row>
        <row r="77">
          <cell r="A77" t="str">
            <v>15509</v>
          </cell>
          <cell r="H77">
            <v>4400000</v>
          </cell>
        </row>
        <row r="78">
          <cell r="A78" t="str">
            <v>15510</v>
          </cell>
          <cell r="H78">
            <v>647006032.61000001</v>
          </cell>
        </row>
        <row r="79">
          <cell r="A79" t="str">
            <v>16000</v>
          </cell>
          <cell r="H79">
            <v>-26745642.800000001</v>
          </cell>
        </row>
        <row r="80">
          <cell r="A80" t="str">
            <v>16100</v>
          </cell>
          <cell r="H80">
            <v>-3644980.06</v>
          </cell>
        </row>
        <row r="81">
          <cell r="A81" t="str">
            <v>16200</v>
          </cell>
          <cell r="H81">
            <v>-203715513.91</v>
          </cell>
        </row>
        <row r="82">
          <cell r="A82" t="str">
            <v>16300</v>
          </cell>
          <cell r="H82">
            <v>-14085370.060000001</v>
          </cell>
        </row>
        <row r="83">
          <cell r="A83" t="str">
            <v>16500</v>
          </cell>
          <cell r="H83">
            <v>-17904365.100000001</v>
          </cell>
        </row>
        <row r="84">
          <cell r="A84" t="str">
            <v>17000</v>
          </cell>
          <cell r="H84">
            <v>311888853.44</v>
          </cell>
        </row>
        <row r="85">
          <cell r="A85" t="str">
            <v>19004</v>
          </cell>
          <cell r="H85">
            <v>2523980.39</v>
          </cell>
        </row>
        <row r="86">
          <cell r="A86" t="str">
            <v>19006</v>
          </cell>
          <cell r="H86">
            <v>202154.96</v>
          </cell>
        </row>
        <row r="87">
          <cell r="A87" t="str">
            <v>19007</v>
          </cell>
          <cell r="H87">
            <v>3671032305.3699999</v>
          </cell>
        </row>
        <row r="88">
          <cell r="A88" t="str">
            <v>69904</v>
          </cell>
          <cell r="H88">
            <v>-24455834.670000002</v>
          </cell>
        </row>
        <row r="89">
          <cell r="A89" t="str">
            <v>20000</v>
          </cell>
          <cell r="H89">
            <v>-1003978508.96</v>
          </cell>
        </row>
        <row r="90">
          <cell r="A90" t="str">
            <v>20005</v>
          </cell>
          <cell r="H90">
            <v>-172597444.47</v>
          </cell>
        </row>
        <row r="91">
          <cell r="A91" t="str">
            <v>20010</v>
          </cell>
          <cell r="H91">
            <v>-9675000</v>
          </cell>
        </row>
        <row r="92">
          <cell r="A92" t="str">
            <v>22100</v>
          </cell>
          <cell r="H92">
            <v>-9532546.3200000003</v>
          </cell>
        </row>
        <row r="93">
          <cell r="A93" t="str">
            <v>23000</v>
          </cell>
          <cell r="H93">
            <v>-714918143.12</v>
          </cell>
        </row>
        <row r="94">
          <cell r="A94" t="str">
            <v>23001</v>
          </cell>
          <cell r="H94">
            <v>59891429</v>
          </cell>
        </row>
        <row r="95">
          <cell r="A95" t="str">
            <v>23010</v>
          </cell>
          <cell r="H95">
            <v>-144613719.93000001</v>
          </cell>
        </row>
        <row r="96">
          <cell r="A96" t="str">
            <v>23015</v>
          </cell>
          <cell r="H96">
            <v>-1014999.75</v>
          </cell>
        </row>
        <row r="97">
          <cell r="A97" t="str">
            <v>23030</v>
          </cell>
          <cell r="H97">
            <v>-2279773</v>
          </cell>
        </row>
        <row r="98">
          <cell r="A98" t="str">
            <v>23040</v>
          </cell>
          <cell r="H98">
            <v>-7677361.6600000001</v>
          </cell>
        </row>
        <row r="99">
          <cell r="A99" t="str">
            <v>23400</v>
          </cell>
          <cell r="H99">
            <v>-1370776678.4300001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-13350037.970000001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23889</v>
          </cell>
          <cell r="H104">
            <v>0</v>
          </cell>
        </row>
        <row r="105">
          <cell r="A105" t="str">
            <v>24010</v>
          </cell>
          <cell r="H105">
            <v>-19257076.100000001</v>
          </cell>
        </row>
        <row r="106">
          <cell r="A106" t="str">
            <v>24100</v>
          </cell>
          <cell r="H106">
            <v>-24264109.649999999</v>
          </cell>
        </row>
        <row r="107">
          <cell r="A107" t="str">
            <v>30005</v>
          </cell>
          <cell r="H107">
            <v>96238158.140000001</v>
          </cell>
        </row>
        <row r="108">
          <cell r="A108" t="str">
            <v>30035</v>
          </cell>
          <cell r="H108">
            <v>101787277.34999999</v>
          </cell>
        </row>
        <row r="109">
          <cell r="A109" t="str">
            <v>30040</v>
          </cell>
          <cell r="H109">
            <v>-107359858</v>
          </cell>
        </row>
        <row r="110">
          <cell r="A110" t="str">
            <v>30042</v>
          </cell>
          <cell r="H110">
            <v>-7359858</v>
          </cell>
        </row>
        <row r="111">
          <cell r="A111" t="str">
            <v>30043</v>
          </cell>
          <cell r="H111">
            <v>-114297251.5</v>
          </cell>
        </row>
        <row r="112">
          <cell r="A112" t="str">
            <v>30044</v>
          </cell>
          <cell r="H112">
            <v>-6360000200</v>
          </cell>
        </row>
        <row r="113">
          <cell r="A113" t="str">
            <v>32000</v>
          </cell>
          <cell r="H113">
            <v>-1118694724.28</v>
          </cell>
        </row>
        <row r="114">
          <cell r="A114" t="str">
            <v>40020</v>
          </cell>
          <cell r="H114">
            <v>-307333.32999999996</v>
          </cell>
        </row>
        <row r="115">
          <cell r="A115" t="str">
            <v>40055</v>
          </cell>
          <cell r="H115">
            <v>0</v>
          </cell>
        </row>
        <row r="116">
          <cell r="A116" t="str">
            <v>40056</v>
          </cell>
          <cell r="H116">
            <v>-278279.07</v>
          </cell>
        </row>
        <row r="117">
          <cell r="A117" t="str">
            <v>40085</v>
          </cell>
          <cell r="H117">
            <v>-116831.67</v>
          </cell>
        </row>
        <row r="118">
          <cell r="A118" t="str">
            <v>40095</v>
          </cell>
          <cell r="H118">
            <v>-303000</v>
          </cell>
        </row>
        <row r="119">
          <cell r="A119" t="str">
            <v>40161</v>
          </cell>
          <cell r="H119">
            <v>-97435401.840000004</v>
          </cell>
        </row>
        <row r="120">
          <cell r="A120" t="str">
            <v>40162</v>
          </cell>
          <cell r="H120">
            <v>-98724661.549999997</v>
          </cell>
        </row>
        <row r="121">
          <cell r="A121" t="str">
            <v>40163</v>
          </cell>
          <cell r="H121">
            <v>0</v>
          </cell>
        </row>
        <row r="122">
          <cell r="A122" t="str">
            <v>49300</v>
          </cell>
          <cell r="H122">
            <v>-31184802.43</v>
          </cell>
        </row>
        <row r="123">
          <cell r="A123" t="str">
            <v>53040</v>
          </cell>
          <cell r="H123">
            <v>100000</v>
          </cell>
        </row>
        <row r="124">
          <cell r="A124" t="str">
            <v>53045</v>
          </cell>
          <cell r="H124">
            <v>6331537.21</v>
          </cell>
        </row>
        <row r="125">
          <cell r="A125" t="str">
            <v>53055</v>
          </cell>
          <cell r="H125">
            <v>225468.75</v>
          </cell>
        </row>
        <row r="126">
          <cell r="A126" t="str">
            <v>53060</v>
          </cell>
          <cell r="H126">
            <v>12000</v>
          </cell>
        </row>
        <row r="127">
          <cell r="A127" t="str">
            <v>53074</v>
          </cell>
          <cell r="H127">
            <v>29318.01</v>
          </cell>
        </row>
        <row r="128">
          <cell r="A128" t="str">
            <v>53075</v>
          </cell>
          <cell r="H128">
            <v>513810</v>
          </cell>
        </row>
        <row r="129">
          <cell r="A129" t="str">
            <v>53080</v>
          </cell>
          <cell r="H129">
            <v>2177212.0499999998</v>
          </cell>
        </row>
        <row r="130">
          <cell r="A130" t="str">
            <v>53090</v>
          </cell>
          <cell r="H130">
            <v>9000</v>
          </cell>
        </row>
        <row r="131">
          <cell r="A131" t="str">
            <v>53095</v>
          </cell>
          <cell r="H131">
            <v>2000</v>
          </cell>
        </row>
        <row r="132">
          <cell r="A132" t="str">
            <v>53110</v>
          </cell>
          <cell r="H132">
            <v>7000</v>
          </cell>
        </row>
        <row r="133">
          <cell r="A133" t="str">
            <v>53120</v>
          </cell>
          <cell r="H133">
            <v>38452245.089999996</v>
          </cell>
        </row>
        <row r="134">
          <cell r="A134" t="str">
            <v>60010</v>
          </cell>
          <cell r="H134">
            <v>2037037</v>
          </cell>
        </row>
        <row r="135">
          <cell r="A135" t="str">
            <v>60020</v>
          </cell>
          <cell r="H135">
            <v>573250</v>
          </cell>
        </row>
        <row r="136">
          <cell r="A136" t="str">
            <v>60025</v>
          </cell>
          <cell r="H136">
            <v>769500</v>
          </cell>
        </row>
        <row r="137">
          <cell r="A137" t="str">
            <v>60030</v>
          </cell>
          <cell r="H137">
            <v>75000</v>
          </cell>
        </row>
        <row r="138">
          <cell r="A138" t="str">
            <v>60040</v>
          </cell>
          <cell r="H138">
            <v>40834.839999999997</v>
          </cell>
        </row>
        <row r="139">
          <cell r="A139" t="str">
            <v>60045</v>
          </cell>
          <cell r="H139">
            <v>1385800</v>
          </cell>
        </row>
        <row r="140">
          <cell r="A140" t="str">
            <v>60050</v>
          </cell>
          <cell r="H140">
            <v>2607939.85</v>
          </cell>
        </row>
        <row r="141">
          <cell r="A141" t="str">
            <v>60060</v>
          </cell>
          <cell r="H141">
            <v>21470115.259999998</v>
          </cell>
        </row>
        <row r="142">
          <cell r="A142" t="str">
            <v>60070</v>
          </cell>
          <cell r="H142">
            <v>298875</v>
          </cell>
        </row>
        <row r="143">
          <cell r="A143" t="str">
            <v>60080</v>
          </cell>
          <cell r="H143">
            <v>2123323.85</v>
          </cell>
        </row>
        <row r="144">
          <cell r="A144" t="str">
            <v>60085</v>
          </cell>
          <cell r="H144">
            <v>891201.79</v>
          </cell>
        </row>
        <row r="145">
          <cell r="A145" t="str">
            <v>60100</v>
          </cell>
          <cell r="H145">
            <v>13081364.920000002</v>
          </cell>
        </row>
        <row r="146">
          <cell r="A146" t="str">
            <v>60115</v>
          </cell>
          <cell r="H146">
            <v>27401838.109999999</v>
          </cell>
        </row>
        <row r="147">
          <cell r="A147" t="str">
            <v>60125</v>
          </cell>
          <cell r="H147">
            <v>42770583.329999998</v>
          </cell>
        </row>
        <row r="148">
          <cell r="A148" t="str">
            <v>60201</v>
          </cell>
          <cell r="H148">
            <v>1117190.31</v>
          </cell>
        </row>
        <row r="149">
          <cell r="A149" t="str">
            <v>60205</v>
          </cell>
          <cell r="H149">
            <v>152755.35999999999</v>
          </cell>
        </row>
        <row r="150">
          <cell r="A150" t="str">
            <v>60206</v>
          </cell>
          <cell r="H150">
            <v>593190.19999999995</v>
          </cell>
        </row>
        <row r="151">
          <cell r="A151" t="str">
            <v>60210</v>
          </cell>
          <cell r="H151">
            <v>6258383.4699999997</v>
          </cell>
        </row>
        <row r="152">
          <cell r="A152" t="str">
            <v>60211</v>
          </cell>
          <cell r="H152">
            <v>0</v>
          </cell>
        </row>
        <row r="153">
          <cell r="A153" t="str">
            <v>60213</v>
          </cell>
          <cell r="H153">
            <v>17000</v>
          </cell>
        </row>
        <row r="154">
          <cell r="A154" t="str">
            <v>60217</v>
          </cell>
          <cell r="H154">
            <v>1702500</v>
          </cell>
        </row>
        <row r="155">
          <cell r="A155" t="str">
            <v>61100</v>
          </cell>
          <cell r="H155">
            <v>1367690.48</v>
          </cell>
        </row>
        <row r="156">
          <cell r="A156" t="str">
            <v>61310</v>
          </cell>
          <cell r="H156">
            <v>187802</v>
          </cell>
        </row>
        <row r="157">
          <cell r="A157" t="str">
            <v>61315</v>
          </cell>
          <cell r="H157">
            <v>120500</v>
          </cell>
        </row>
        <row r="158">
          <cell r="A158" t="str">
            <v>61320</v>
          </cell>
          <cell r="H158">
            <v>25150</v>
          </cell>
        </row>
        <row r="159">
          <cell r="A159" t="str">
            <v>61500</v>
          </cell>
          <cell r="H159">
            <v>2263025</v>
          </cell>
        </row>
        <row r="160">
          <cell r="A160" t="str">
            <v>61700</v>
          </cell>
          <cell r="H160">
            <v>579098.30999999994</v>
          </cell>
        </row>
        <row r="161">
          <cell r="A161" t="str">
            <v>62200</v>
          </cell>
          <cell r="H161">
            <v>600100</v>
          </cell>
        </row>
        <row r="162">
          <cell r="A162" t="str">
            <v>62415</v>
          </cell>
          <cell r="H162">
            <v>90400</v>
          </cell>
        </row>
        <row r="163">
          <cell r="A163" t="str">
            <v>62420</v>
          </cell>
          <cell r="H163">
            <v>231950</v>
          </cell>
        </row>
        <row r="164">
          <cell r="A164" t="str">
            <v>62425</v>
          </cell>
          <cell r="H164">
            <v>556750</v>
          </cell>
        </row>
        <row r="165">
          <cell r="A165" t="str">
            <v>62435</v>
          </cell>
          <cell r="H165">
            <v>9000</v>
          </cell>
        </row>
        <row r="166">
          <cell r="A166" t="str">
            <v>62700</v>
          </cell>
          <cell r="H166">
            <v>1348600</v>
          </cell>
        </row>
        <row r="167">
          <cell r="A167" t="str">
            <v>63110</v>
          </cell>
          <cell r="H167">
            <v>2104882.5</v>
          </cell>
        </row>
        <row r="168">
          <cell r="A168" t="str">
            <v>63120</v>
          </cell>
          <cell r="H168">
            <v>39600</v>
          </cell>
        </row>
        <row r="169">
          <cell r="A169" t="str">
            <v>63125</v>
          </cell>
          <cell r="H169">
            <v>21800</v>
          </cell>
        </row>
        <row r="170">
          <cell r="A170" t="str">
            <v>63907</v>
          </cell>
          <cell r="H170">
            <v>20902469.5</v>
          </cell>
        </row>
        <row r="171">
          <cell r="A171" t="str">
            <v>64000</v>
          </cell>
          <cell r="H171">
            <v>3607521.06</v>
          </cell>
        </row>
        <row r="172">
          <cell r="A172" t="str">
            <v>65000</v>
          </cell>
          <cell r="H172">
            <v>89583.33</v>
          </cell>
        </row>
        <row r="173">
          <cell r="A173" t="str">
            <v>65007</v>
          </cell>
          <cell r="H173">
            <v>422637.98000000045</v>
          </cell>
        </row>
        <row r="174">
          <cell r="A174" t="str">
            <v>65030</v>
          </cell>
          <cell r="H174">
            <v>0</v>
          </cell>
        </row>
        <row r="175">
          <cell r="A175" t="str">
            <v>65031</v>
          </cell>
          <cell r="H175">
            <v>12503854.66</v>
          </cell>
        </row>
        <row r="176">
          <cell r="A176" t="str">
            <v>65032</v>
          </cell>
          <cell r="H176">
            <v>3134513.54</v>
          </cell>
        </row>
        <row r="177">
          <cell r="A177" t="str">
            <v>65035</v>
          </cell>
          <cell r="H177">
            <v>80125127</v>
          </cell>
        </row>
        <row r="178">
          <cell r="A178" t="str">
            <v>65095</v>
          </cell>
          <cell r="H178">
            <v>8285337.0599999996</v>
          </cell>
        </row>
        <row r="179">
          <cell r="A179" t="str">
            <v>65100</v>
          </cell>
          <cell r="H179">
            <v>3918142.11</v>
          </cell>
        </row>
        <row r="180">
          <cell r="A180" t="str">
            <v>65800</v>
          </cell>
          <cell r="H180">
            <v>300000</v>
          </cell>
        </row>
        <row r="181">
          <cell r="A181" t="str">
            <v>67055</v>
          </cell>
          <cell r="H181">
            <v>0</v>
          </cell>
        </row>
        <row r="182">
          <cell r="A182" t="str">
            <v>67920</v>
          </cell>
          <cell r="H182">
            <v>-50837749.50999999</v>
          </cell>
        </row>
        <row r="183">
          <cell r="A183" t="str">
            <v>67940</v>
          </cell>
          <cell r="H183">
            <v>-0.02</v>
          </cell>
        </row>
        <row r="184">
          <cell r="A184" t="str">
            <v>68500</v>
          </cell>
          <cell r="H184">
            <v>1791666.67</v>
          </cell>
        </row>
        <row r="185">
          <cell r="A185" t="str">
            <v>68503</v>
          </cell>
          <cell r="H185">
            <v>1400000</v>
          </cell>
        </row>
        <row r="186">
          <cell r="A186" t="str">
            <v>69600</v>
          </cell>
          <cell r="H186">
            <v>4586375.9800000004</v>
          </cell>
        </row>
        <row r="187">
          <cell r="A187" t="str">
            <v>69901</v>
          </cell>
          <cell r="H187">
            <v>1201076.6599999999</v>
          </cell>
        </row>
        <row r="188">
          <cell r="A188" t="str">
            <v>69903</v>
          </cell>
          <cell r="H188">
            <v>2374696.5</v>
          </cell>
        </row>
      </sheetData>
      <sheetData sheetId="2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-140.30000000000001</v>
          </cell>
        </row>
        <row r="7">
          <cell r="A7" t="str">
            <v>10104</v>
          </cell>
          <cell r="H7">
            <v>10564987.02</v>
          </cell>
        </row>
        <row r="8">
          <cell r="A8" t="str">
            <v>10105</v>
          </cell>
          <cell r="H8">
            <v>1005318518.51</v>
          </cell>
        </row>
        <row r="9">
          <cell r="A9" t="str">
            <v>10107</v>
          </cell>
          <cell r="H9">
            <v>681873237.33000004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1741619.5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16692417.48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12306772.199999999</v>
          </cell>
        </row>
        <row r="20">
          <cell r="A20" t="str">
            <v>10224</v>
          </cell>
          <cell r="H20">
            <v>30.75</v>
          </cell>
        </row>
        <row r="21">
          <cell r="A21" t="str">
            <v>10225</v>
          </cell>
          <cell r="H21">
            <v>15395308</v>
          </cell>
        </row>
        <row r="22">
          <cell r="A22" t="str">
            <v>10226</v>
          </cell>
          <cell r="H22">
            <v>3676328.04</v>
          </cell>
        </row>
        <row r="23">
          <cell r="A23" t="str">
            <v>10227</v>
          </cell>
          <cell r="H23">
            <v>8867777.4399999995</v>
          </cell>
        </row>
        <row r="24">
          <cell r="A24" t="str">
            <v>10235</v>
          </cell>
          <cell r="H24">
            <v>252911.28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20759084.719999999</v>
          </cell>
        </row>
        <row r="28">
          <cell r="A28" t="str">
            <v>10255</v>
          </cell>
          <cell r="H28">
            <v>824005.49</v>
          </cell>
        </row>
        <row r="29">
          <cell r="A29" t="str">
            <v>10256</v>
          </cell>
          <cell r="H29">
            <v>1182337.52</v>
          </cell>
        </row>
        <row r="30">
          <cell r="A30" t="str">
            <v>10260</v>
          </cell>
          <cell r="H30">
            <v>200000</v>
          </cell>
        </row>
        <row r="31">
          <cell r="A31" t="str">
            <v>10265</v>
          </cell>
          <cell r="H31">
            <v>225675.26</v>
          </cell>
        </row>
        <row r="32">
          <cell r="A32" t="str">
            <v>10270</v>
          </cell>
          <cell r="H32">
            <v>24263967.030000001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7878081.1100000003</v>
          </cell>
        </row>
        <row r="35">
          <cell r="A35" t="str">
            <v>10293</v>
          </cell>
          <cell r="H35">
            <v>196354.07</v>
          </cell>
        </row>
        <row r="36">
          <cell r="A36" t="str">
            <v>10305</v>
          </cell>
          <cell r="H36">
            <v>4695.28</v>
          </cell>
        </row>
        <row r="37">
          <cell r="A37" t="str">
            <v>10310</v>
          </cell>
          <cell r="H37">
            <v>36205534.409999996</v>
          </cell>
        </row>
        <row r="38">
          <cell r="A38" t="str">
            <v>10316</v>
          </cell>
          <cell r="H38">
            <v>4308872.53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309064.26</v>
          </cell>
        </row>
        <row r="42">
          <cell r="A42" t="str">
            <v>10342</v>
          </cell>
          <cell r="H42">
            <v>3797977.09</v>
          </cell>
        </row>
        <row r="43">
          <cell r="A43" t="str">
            <v>10343</v>
          </cell>
          <cell r="H43">
            <v>19450.89</v>
          </cell>
        </row>
        <row r="44">
          <cell r="A44" t="str">
            <v>10497</v>
          </cell>
          <cell r="H44">
            <v>3098436.21</v>
          </cell>
        </row>
        <row r="45">
          <cell r="A45" t="str">
            <v>10500</v>
          </cell>
          <cell r="H45">
            <v>0</v>
          </cell>
        </row>
        <row r="46">
          <cell r="A46" t="str">
            <v>10801</v>
          </cell>
          <cell r="H46">
            <v>-76881</v>
          </cell>
        </row>
        <row r="47">
          <cell r="A47" t="str">
            <v>11000</v>
          </cell>
          <cell r="H47">
            <v>1236827968.52</v>
          </cell>
        </row>
        <row r="48">
          <cell r="A48" t="str">
            <v>12100</v>
          </cell>
          <cell r="H48">
            <v>94581089.150000006</v>
          </cell>
        </row>
        <row r="49">
          <cell r="A49" t="str">
            <v>13002</v>
          </cell>
          <cell r="H49">
            <v>1440000</v>
          </cell>
        </row>
        <row r="50">
          <cell r="A50" t="str">
            <v>13003</v>
          </cell>
          <cell r="H50">
            <v>462702014.01999998</v>
          </cell>
        </row>
        <row r="51">
          <cell r="A51" t="str">
            <v>13004</v>
          </cell>
          <cell r="H51">
            <v>2711256.75</v>
          </cell>
        </row>
        <row r="52">
          <cell r="A52" t="str">
            <v>13008</v>
          </cell>
          <cell r="H52">
            <v>600000</v>
          </cell>
        </row>
        <row r="53">
          <cell r="A53" t="str">
            <v>13010</v>
          </cell>
          <cell r="H53">
            <v>29900088.079999998</v>
          </cell>
        </row>
        <row r="54">
          <cell r="A54" t="str">
            <v>13116</v>
          </cell>
          <cell r="H54">
            <v>98100</v>
          </cell>
        </row>
        <row r="55">
          <cell r="A55" t="str">
            <v>13120</v>
          </cell>
          <cell r="H55">
            <v>85060331.489999995</v>
          </cell>
        </row>
        <row r="56">
          <cell r="A56" t="str">
            <v>13130</v>
          </cell>
          <cell r="H56">
            <v>9466030.4600000009</v>
          </cell>
        </row>
        <row r="57">
          <cell r="A57" t="str">
            <v>13135</v>
          </cell>
          <cell r="H57">
            <v>2037037.12</v>
          </cell>
        </row>
        <row r="58">
          <cell r="A58" t="str">
            <v>13200</v>
          </cell>
          <cell r="H58">
            <v>15113486.93</v>
          </cell>
        </row>
        <row r="59">
          <cell r="A59" t="str">
            <v>13400</v>
          </cell>
          <cell r="H59">
            <v>472564818.79000002</v>
          </cell>
        </row>
        <row r="60">
          <cell r="A60" t="str">
            <v>14000</v>
          </cell>
          <cell r="H60">
            <v>-345952131.94999999</v>
          </cell>
        </row>
        <row r="61">
          <cell r="A61" t="str">
            <v>14001</v>
          </cell>
          <cell r="H61">
            <v>-407611639.51999998</v>
          </cell>
        </row>
        <row r="62">
          <cell r="A62" t="str">
            <v>14010</v>
          </cell>
          <cell r="H62">
            <v>7668014.4500000002</v>
          </cell>
        </row>
        <row r="63">
          <cell r="A63" t="str">
            <v>14014</v>
          </cell>
          <cell r="H63">
            <v>40465810.390000001</v>
          </cell>
        </row>
        <row r="64">
          <cell r="A64" t="str">
            <v>14016</v>
          </cell>
          <cell r="H64">
            <v>20501784.48</v>
          </cell>
        </row>
        <row r="65">
          <cell r="A65" t="str">
            <v>14021</v>
          </cell>
          <cell r="H65">
            <v>1481337</v>
          </cell>
        </row>
        <row r="66">
          <cell r="A66" t="str">
            <v>15000</v>
          </cell>
          <cell r="H66">
            <v>36171942.920000002</v>
          </cell>
        </row>
        <row r="67">
          <cell r="A67" t="str">
            <v>15100</v>
          </cell>
          <cell r="H67">
            <v>3645000</v>
          </cell>
        </row>
        <row r="68">
          <cell r="A68" t="str">
            <v>15200</v>
          </cell>
          <cell r="H68">
            <v>301799972.25999999</v>
          </cell>
        </row>
        <row r="69">
          <cell r="A69" t="str">
            <v>15300</v>
          </cell>
          <cell r="H69">
            <v>16565780.25</v>
          </cell>
        </row>
        <row r="70">
          <cell r="A70" t="str">
            <v>15400</v>
          </cell>
          <cell r="H70">
            <v>179350495.81</v>
          </cell>
        </row>
        <row r="71">
          <cell r="A71" t="str">
            <v>15405</v>
          </cell>
          <cell r="H71">
            <v>17904365.100000001</v>
          </cell>
        </row>
        <row r="72">
          <cell r="A72" t="str">
            <v>15410</v>
          </cell>
          <cell r="H72">
            <v>2410161.5</v>
          </cell>
        </row>
        <row r="73">
          <cell r="A73" t="str">
            <v>15500</v>
          </cell>
          <cell r="H73">
            <v>61627057.890000001</v>
          </cell>
        </row>
        <row r="74">
          <cell r="A74" t="str">
            <v>15501</v>
          </cell>
          <cell r="H74">
            <v>621367684.12</v>
          </cell>
        </row>
        <row r="75">
          <cell r="A75" t="str">
            <v>15505</v>
          </cell>
          <cell r="H75">
            <v>8503671.5099999998</v>
          </cell>
        </row>
        <row r="76">
          <cell r="A76" t="str">
            <v>15509</v>
          </cell>
          <cell r="H76">
            <v>4400000</v>
          </cell>
        </row>
        <row r="77">
          <cell r="A77" t="str">
            <v>15510</v>
          </cell>
          <cell r="H77">
            <v>551035086.30999994</v>
          </cell>
        </row>
        <row r="78">
          <cell r="A78" t="str">
            <v>16000</v>
          </cell>
          <cell r="H78">
            <v>-26569114.219999999</v>
          </cell>
        </row>
        <row r="79">
          <cell r="A79" t="str">
            <v>16100</v>
          </cell>
          <cell r="H79">
            <v>-3644980.06</v>
          </cell>
        </row>
        <row r="80">
          <cell r="A80" t="str">
            <v>16200</v>
          </cell>
          <cell r="H80">
            <v>-200382566.47999999</v>
          </cell>
        </row>
        <row r="81">
          <cell r="A81" t="str">
            <v>16300</v>
          </cell>
          <cell r="H81">
            <v>-13987325.01</v>
          </cell>
        </row>
        <row r="82">
          <cell r="A82" t="str">
            <v>16500</v>
          </cell>
          <cell r="H82">
            <v>-17904365.100000001</v>
          </cell>
        </row>
        <row r="83">
          <cell r="A83" t="str">
            <v>17000</v>
          </cell>
          <cell r="H83">
            <v>311888853.44</v>
          </cell>
        </row>
        <row r="84">
          <cell r="A84" t="str">
            <v>19004</v>
          </cell>
          <cell r="H84">
            <v>2523980.39</v>
          </cell>
        </row>
        <row r="85">
          <cell r="A85" t="str">
            <v>19006</v>
          </cell>
          <cell r="H85">
            <v>207486.44</v>
          </cell>
        </row>
        <row r="86">
          <cell r="A86" t="str">
            <v>19007</v>
          </cell>
          <cell r="H86">
            <v>4790487113.6099997</v>
          </cell>
        </row>
        <row r="87">
          <cell r="A87" t="str">
            <v>69904</v>
          </cell>
          <cell r="H87">
            <v>-23254758.010000002</v>
          </cell>
        </row>
        <row r="88">
          <cell r="A88" t="str">
            <v>20000</v>
          </cell>
          <cell r="H88">
            <v>-994702210.21000004</v>
          </cell>
        </row>
        <row r="89">
          <cell r="A89" t="str">
            <v>20005</v>
          </cell>
          <cell r="H89">
            <v>-158195839.31999999</v>
          </cell>
        </row>
        <row r="90">
          <cell r="A90" t="str">
            <v>20010</v>
          </cell>
          <cell r="H90">
            <v>-9675000</v>
          </cell>
        </row>
        <row r="91">
          <cell r="A91" t="str">
            <v>22100</v>
          </cell>
          <cell r="H91">
            <v>-9532546.3200000003</v>
          </cell>
        </row>
        <row r="92">
          <cell r="A92" t="str">
            <v>23000</v>
          </cell>
          <cell r="H92">
            <v>-807420216.13</v>
          </cell>
        </row>
        <row r="93">
          <cell r="A93" t="str">
            <v>23001</v>
          </cell>
          <cell r="H93">
            <v>59891429</v>
          </cell>
        </row>
        <row r="94">
          <cell r="A94" t="str">
            <v>23010</v>
          </cell>
          <cell r="H94">
            <v>-133690656.90000001</v>
          </cell>
        </row>
        <row r="95">
          <cell r="A95" t="str">
            <v>23015</v>
          </cell>
          <cell r="H95">
            <v>-4197162.9000000004</v>
          </cell>
        </row>
        <row r="96">
          <cell r="A96" t="str">
            <v>23030</v>
          </cell>
          <cell r="H96">
            <v>-2279773</v>
          </cell>
        </row>
        <row r="97">
          <cell r="A97" t="str">
            <v>23040</v>
          </cell>
          <cell r="H97">
            <v>-7297612.6100000003</v>
          </cell>
        </row>
        <row r="98">
          <cell r="A98" t="str">
            <v>23400</v>
          </cell>
          <cell r="H98">
            <v>-1368569108.46</v>
          </cell>
        </row>
        <row r="99">
          <cell r="A99" t="str">
            <v>23405</v>
          </cell>
          <cell r="H99">
            <v>904471947.03999996</v>
          </cell>
        </row>
        <row r="100">
          <cell r="A100" t="str">
            <v>23410</v>
          </cell>
          <cell r="H100">
            <v>51599186.399999999</v>
          </cell>
        </row>
        <row r="101">
          <cell r="A101" t="str">
            <v>23420</v>
          </cell>
          <cell r="H101">
            <v>-16976483.43</v>
          </cell>
        </row>
        <row r="102">
          <cell r="A102" t="str">
            <v>23425</v>
          </cell>
          <cell r="H102">
            <v>-32949171.219999999</v>
          </cell>
        </row>
        <row r="103">
          <cell r="A103" t="str">
            <v>23889</v>
          </cell>
          <cell r="H103">
            <v>0</v>
          </cell>
        </row>
        <row r="104">
          <cell r="A104" t="str">
            <v>24010</v>
          </cell>
          <cell r="H104">
            <v>-18133337.170000002</v>
          </cell>
        </row>
        <row r="105">
          <cell r="A105" t="str">
            <v>24100</v>
          </cell>
          <cell r="H105">
            <v>-24264109.649999999</v>
          </cell>
        </row>
        <row r="106">
          <cell r="A106" t="str">
            <v>30005</v>
          </cell>
          <cell r="H106">
            <v>96238158.140000001</v>
          </cell>
        </row>
        <row r="107">
          <cell r="A107" t="str">
            <v>30035</v>
          </cell>
          <cell r="H107">
            <v>101787277.34999999</v>
          </cell>
        </row>
        <row r="108">
          <cell r="A108" t="str">
            <v>30040</v>
          </cell>
          <cell r="H108">
            <v>-107359858</v>
          </cell>
        </row>
        <row r="109">
          <cell r="A109" t="str">
            <v>30042</v>
          </cell>
          <cell r="H109">
            <v>-7359858</v>
          </cell>
        </row>
        <row r="110">
          <cell r="A110" t="str">
            <v>30043</v>
          </cell>
          <cell r="H110">
            <v>-114297251.5</v>
          </cell>
        </row>
        <row r="111">
          <cell r="A111" t="str">
            <v>30044</v>
          </cell>
          <cell r="H111">
            <v>-6533054000</v>
          </cell>
        </row>
        <row r="112">
          <cell r="A112" t="str">
            <v>32000</v>
          </cell>
          <cell r="H112">
            <v>-1118694724.28</v>
          </cell>
        </row>
        <row r="113">
          <cell r="A113" t="str">
            <v>40020</v>
          </cell>
          <cell r="H113">
            <v>-293333.33</v>
          </cell>
        </row>
        <row r="114">
          <cell r="A114" t="str">
            <v>40055</v>
          </cell>
          <cell r="H114">
            <v>0</v>
          </cell>
        </row>
        <row r="115">
          <cell r="A115" t="str">
            <v>40056</v>
          </cell>
          <cell r="H115">
            <v>-277209.3</v>
          </cell>
        </row>
        <row r="116">
          <cell r="A116" t="str">
            <v>40085</v>
          </cell>
          <cell r="H116">
            <v>-255331.68</v>
          </cell>
        </row>
        <row r="117">
          <cell r="A117" t="str">
            <v>40155</v>
          </cell>
          <cell r="H117">
            <v>0</v>
          </cell>
        </row>
        <row r="118">
          <cell r="A118" t="str">
            <v>40161</v>
          </cell>
          <cell r="H118">
            <v>-85691343.159999996</v>
          </cell>
        </row>
        <row r="119">
          <cell r="A119" t="str">
            <v>40162</v>
          </cell>
          <cell r="H119">
            <v>-98724661.549999997</v>
          </cell>
        </row>
        <row r="120">
          <cell r="A120" t="str">
            <v>40163</v>
          </cell>
          <cell r="H120">
            <v>-28282066.609999999</v>
          </cell>
        </row>
        <row r="121">
          <cell r="A121" t="str">
            <v>49300</v>
          </cell>
          <cell r="H121">
            <v>-38751472.469999999</v>
          </cell>
        </row>
        <row r="122">
          <cell r="A122" t="str">
            <v>53040</v>
          </cell>
          <cell r="H122">
            <v>100000</v>
          </cell>
        </row>
        <row r="123">
          <cell r="A123" t="str">
            <v>53045</v>
          </cell>
          <cell r="H123">
            <v>7336015.7800000003</v>
          </cell>
        </row>
        <row r="124">
          <cell r="A124" t="str">
            <v>53055</v>
          </cell>
          <cell r="H124">
            <v>225468.75</v>
          </cell>
        </row>
        <row r="125">
          <cell r="A125" t="str">
            <v>53060</v>
          </cell>
          <cell r="H125">
            <v>11500</v>
          </cell>
        </row>
        <row r="126">
          <cell r="A126" t="str">
            <v>53075</v>
          </cell>
          <cell r="H126">
            <v>1198890</v>
          </cell>
        </row>
        <row r="127">
          <cell r="A127" t="str">
            <v>53080</v>
          </cell>
          <cell r="H127">
            <v>10279075.08</v>
          </cell>
        </row>
        <row r="128">
          <cell r="A128" t="str">
            <v>53090</v>
          </cell>
          <cell r="H128">
            <v>11400</v>
          </cell>
        </row>
        <row r="129">
          <cell r="A129" t="str">
            <v>53110</v>
          </cell>
          <cell r="H129">
            <v>7000</v>
          </cell>
        </row>
        <row r="130">
          <cell r="A130" t="str">
            <v>53120</v>
          </cell>
          <cell r="H130">
            <v>42981552.460000001</v>
          </cell>
        </row>
        <row r="131">
          <cell r="A131" t="str">
            <v>60010</v>
          </cell>
          <cell r="H131">
            <v>2037037.04</v>
          </cell>
        </row>
        <row r="132">
          <cell r="A132" t="str">
            <v>60020</v>
          </cell>
          <cell r="H132">
            <v>97000</v>
          </cell>
        </row>
        <row r="133">
          <cell r="A133" t="str">
            <v>60025</v>
          </cell>
          <cell r="H133">
            <v>22000</v>
          </cell>
        </row>
        <row r="134">
          <cell r="A134" t="str">
            <v>60030</v>
          </cell>
          <cell r="H134">
            <v>177250</v>
          </cell>
        </row>
        <row r="135">
          <cell r="A135" t="str">
            <v>60040</v>
          </cell>
          <cell r="H135">
            <v>12000</v>
          </cell>
        </row>
        <row r="136">
          <cell r="A136" t="str">
            <v>60045</v>
          </cell>
          <cell r="H136">
            <v>735300</v>
          </cell>
        </row>
        <row r="137">
          <cell r="A137" t="str">
            <v>60050</v>
          </cell>
          <cell r="H137">
            <v>2607096.21</v>
          </cell>
        </row>
        <row r="138">
          <cell r="A138" t="str">
            <v>60060</v>
          </cell>
          <cell r="H138">
            <v>20638827.18</v>
          </cell>
        </row>
        <row r="139">
          <cell r="A139" t="str">
            <v>60070</v>
          </cell>
          <cell r="H139">
            <v>2218525</v>
          </cell>
        </row>
        <row r="140">
          <cell r="A140" t="str">
            <v>60080</v>
          </cell>
          <cell r="H140">
            <v>2220358</v>
          </cell>
        </row>
        <row r="141">
          <cell r="A141" t="str">
            <v>60085</v>
          </cell>
          <cell r="H141">
            <v>670685.63</v>
          </cell>
        </row>
        <row r="142">
          <cell r="A142" t="str">
            <v>60100</v>
          </cell>
          <cell r="H142">
            <v>13726625.68</v>
          </cell>
        </row>
        <row r="143">
          <cell r="A143" t="str">
            <v>60115</v>
          </cell>
          <cell r="H143">
            <v>5047390.3099999996</v>
          </cell>
        </row>
        <row r="144">
          <cell r="A144" t="str">
            <v>60201</v>
          </cell>
          <cell r="H144">
            <v>5775857.04</v>
          </cell>
        </row>
        <row r="145">
          <cell r="A145" t="str">
            <v>60205</v>
          </cell>
          <cell r="H145">
            <v>320704.14</v>
          </cell>
        </row>
        <row r="146">
          <cell r="A146" t="str">
            <v>60206</v>
          </cell>
          <cell r="H146">
            <v>4120675.5999999996</v>
          </cell>
        </row>
        <row r="147">
          <cell r="A147" t="str">
            <v>60210</v>
          </cell>
          <cell r="H147">
            <v>1447811.07</v>
          </cell>
        </row>
        <row r="148">
          <cell r="A148" t="str">
            <v>60211</v>
          </cell>
          <cell r="H148">
            <v>20000</v>
          </cell>
        </row>
        <row r="149">
          <cell r="A149" t="str">
            <v>60213</v>
          </cell>
          <cell r="H149">
            <v>5000</v>
          </cell>
        </row>
        <row r="150">
          <cell r="A150" t="str">
            <v>61100</v>
          </cell>
          <cell r="H150">
            <v>2140427.44</v>
          </cell>
        </row>
        <row r="151">
          <cell r="A151" t="str">
            <v>61310</v>
          </cell>
          <cell r="H151">
            <v>306686</v>
          </cell>
        </row>
        <row r="152">
          <cell r="A152" t="str">
            <v>61315</v>
          </cell>
          <cell r="H152">
            <v>51500</v>
          </cell>
        </row>
        <row r="153">
          <cell r="A153" t="str">
            <v>61320</v>
          </cell>
          <cell r="H153">
            <v>37000</v>
          </cell>
        </row>
        <row r="154">
          <cell r="A154" t="str">
            <v>61500</v>
          </cell>
          <cell r="H154">
            <v>2607500</v>
          </cell>
        </row>
        <row r="155">
          <cell r="A155" t="str">
            <v>61700</v>
          </cell>
          <cell r="H155">
            <v>325298.31000000006</v>
          </cell>
        </row>
        <row r="156">
          <cell r="A156" t="str">
            <v>62200</v>
          </cell>
          <cell r="H156">
            <v>75400</v>
          </cell>
        </row>
        <row r="157">
          <cell r="A157" t="str">
            <v>62415</v>
          </cell>
          <cell r="H157">
            <v>154000</v>
          </cell>
        </row>
        <row r="158">
          <cell r="A158" t="str">
            <v>62420</v>
          </cell>
          <cell r="H158">
            <v>171450</v>
          </cell>
        </row>
        <row r="159">
          <cell r="A159" t="str">
            <v>62425</v>
          </cell>
          <cell r="H159">
            <v>603800</v>
          </cell>
        </row>
        <row r="160">
          <cell r="A160" t="str">
            <v>62435</v>
          </cell>
          <cell r="H160">
            <v>860900</v>
          </cell>
        </row>
        <row r="161">
          <cell r="A161" t="str">
            <v>62700</v>
          </cell>
          <cell r="H161">
            <v>13800</v>
          </cell>
        </row>
        <row r="162">
          <cell r="A162" t="str">
            <v>63110</v>
          </cell>
          <cell r="H162">
            <v>2206968.36</v>
          </cell>
        </row>
        <row r="163">
          <cell r="A163" t="str">
            <v>63120</v>
          </cell>
          <cell r="H163">
            <v>566300</v>
          </cell>
        </row>
        <row r="164">
          <cell r="A164" t="str">
            <v>63125</v>
          </cell>
          <cell r="H164">
            <v>1334300</v>
          </cell>
        </row>
        <row r="165">
          <cell r="A165" t="str">
            <v>63907</v>
          </cell>
          <cell r="H165">
            <v>21591707.809999999</v>
          </cell>
        </row>
        <row r="166">
          <cell r="A166" t="str">
            <v>64000</v>
          </cell>
          <cell r="H166">
            <v>3341974.37</v>
          </cell>
        </row>
        <row r="167">
          <cell r="A167" t="str">
            <v>65000</v>
          </cell>
          <cell r="H167">
            <v>89583.33</v>
          </cell>
        </row>
        <row r="168">
          <cell r="A168" t="str">
            <v>65007</v>
          </cell>
          <cell r="H168">
            <v>1288773.2399999984</v>
          </cell>
        </row>
        <row r="169">
          <cell r="A169" t="str">
            <v>65030</v>
          </cell>
          <cell r="H169">
            <v>0</v>
          </cell>
        </row>
        <row r="170">
          <cell r="A170" t="str">
            <v>65031</v>
          </cell>
          <cell r="H170">
            <v>12411901.17</v>
          </cell>
        </row>
        <row r="171">
          <cell r="A171" t="str">
            <v>65032</v>
          </cell>
          <cell r="H171">
            <v>3112491.94</v>
          </cell>
        </row>
        <row r="172">
          <cell r="A172" t="str">
            <v>65035</v>
          </cell>
          <cell r="H172">
            <v>78270908</v>
          </cell>
        </row>
        <row r="173">
          <cell r="A173" t="str">
            <v>65050</v>
          </cell>
          <cell r="H173">
            <v>0</v>
          </cell>
        </row>
        <row r="174">
          <cell r="A174" t="str">
            <v>65095</v>
          </cell>
          <cell r="H174">
            <v>7451971.54</v>
          </cell>
        </row>
        <row r="175">
          <cell r="A175" t="str">
            <v>65100</v>
          </cell>
          <cell r="H175">
            <v>3890615.11</v>
          </cell>
        </row>
        <row r="176">
          <cell r="A176" t="str">
            <v>67920</v>
          </cell>
          <cell r="H176">
            <v>-12271596.179999996</v>
          </cell>
        </row>
        <row r="177">
          <cell r="A177" t="str">
            <v>67940</v>
          </cell>
          <cell r="H177">
            <v>-0.02</v>
          </cell>
        </row>
        <row r="178">
          <cell r="A178" t="str">
            <v>68500</v>
          </cell>
          <cell r="H178">
            <v>1791666.67</v>
          </cell>
        </row>
        <row r="179">
          <cell r="A179" t="str">
            <v>69600</v>
          </cell>
          <cell r="H179">
            <v>10026315.539999999</v>
          </cell>
        </row>
        <row r="180">
          <cell r="A180" t="str">
            <v>69901</v>
          </cell>
          <cell r="H180">
            <v>1201076.6599999999</v>
          </cell>
        </row>
        <row r="181">
          <cell r="A181" t="str">
            <v>69903</v>
          </cell>
          <cell r="H181">
            <v>1846763.0300000003</v>
          </cell>
        </row>
      </sheetData>
      <sheetData sheetId="2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225546.42</v>
          </cell>
        </row>
        <row r="7">
          <cell r="A7" t="str">
            <v>10104</v>
          </cell>
          <cell r="H7">
            <v>5307070.8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594962917.33000004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1726190.7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10112</v>
          </cell>
          <cell r="H13">
            <v>0</v>
          </cell>
        </row>
        <row r="14">
          <cell r="A14" t="str">
            <v>10160</v>
          </cell>
          <cell r="H14">
            <v>20280000</v>
          </cell>
        </row>
        <row r="15">
          <cell r="A15" t="str">
            <v>10200</v>
          </cell>
          <cell r="H15">
            <v>11745.64</v>
          </cell>
        </row>
        <row r="16">
          <cell r="A16" t="str">
            <v>10210</v>
          </cell>
          <cell r="H16">
            <v>73124.13</v>
          </cell>
        </row>
        <row r="17">
          <cell r="A17" t="str">
            <v>10213</v>
          </cell>
          <cell r="H17">
            <v>20000</v>
          </cell>
        </row>
        <row r="18">
          <cell r="A18" t="str">
            <v>10215</v>
          </cell>
          <cell r="H18">
            <v>16485718.939999999</v>
          </cell>
        </row>
        <row r="19">
          <cell r="A19" t="str">
            <v>10221</v>
          </cell>
          <cell r="H19">
            <v>989850.45</v>
          </cell>
        </row>
        <row r="20">
          <cell r="A20" t="str">
            <v>10223</v>
          </cell>
          <cell r="H20">
            <v>5846.9</v>
          </cell>
        </row>
        <row r="21">
          <cell r="A21" t="str">
            <v>10224</v>
          </cell>
          <cell r="H21">
            <v>30.94</v>
          </cell>
        </row>
        <row r="22">
          <cell r="A22" t="str">
            <v>10225</v>
          </cell>
          <cell r="H22">
            <v>18974773.579999998</v>
          </cell>
        </row>
        <row r="23">
          <cell r="A23" t="str">
            <v>10226</v>
          </cell>
          <cell r="H23">
            <v>6300640.9400000004</v>
          </cell>
        </row>
        <row r="24">
          <cell r="A24" t="str">
            <v>10227</v>
          </cell>
          <cell r="H24">
            <v>14829712.98</v>
          </cell>
        </row>
        <row r="25">
          <cell r="A25" t="str">
            <v>10235</v>
          </cell>
          <cell r="H25">
            <v>7139972.3799999999</v>
          </cell>
        </row>
        <row r="26">
          <cell r="A26" t="str">
            <v>10240</v>
          </cell>
          <cell r="H26">
            <v>31493.46</v>
          </cell>
        </row>
        <row r="27">
          <cell r="A27" t="str">
            <v>10245</v>
          </cell>
          <cell r="H27">
            <v>208999.86</v>
          </cell>
        </row>
        <row r="28">
          <cell r="A28" t="str">
            <v>10253</v>
          </cell>
          <cell r="H28">
            <v>736446.95</v>
          </cell>
        </row>
        <row r="29">
          <cell r="A29" t="str">
            <v>10255</v>
          </cell>
          <cell r="H29">
            <v>1692570.56</v>
          </cell>
        </row>
        <row r="30">
          <cell r="A30" t="str">
            <v>10256</v>
          </cell>
          <cell r="H30">
            <v>1189396.3899999999</v>
          </cell>
        </row>
        <row r="31">
          <cell r="A31" t="str">
            <v>10260</v>
          </cell>
          <cell r="H31">
            <v>0</v>
          </cell>
        </row>
        <row r="32">
          <cell r="A32" t="str">
            <v>10265</v>
          </cell>
          <cell r="H32">
            <v>1397820.26</v>
          </cell>
        </row>
        <row r="33">
          <cell r="A33" t="str">
            <v>10270</v>
          </cell>
          <cell r="H33">
            <v>18373650.23</v>
          </cell>
        </row>
        <row r="34">
          <cell r="A34" t="str">
            <v>10280</v>
          </cell>
          <cell r="H34">
            <v>563903.84</v>
          </cell>
        </row>
        <row r="35">
          <cell r="A35" t="str">
            <v>10285</v>
          </cell>
          <cell r="H35">
            <v>9020498.2300000004</v>
          </cell>
        </row>
        <row r="36">
          <cell r="A36" t="str">
            <v>10293</v>
          </cell>
          <cell r="H36">
            <v>386421.58</v>
          </cell>
        </row>
        <row r="37">
          <cell r="A37" t="str">
            <v>10305</v>
          </cell>
          <cell r="H37">
            <v>4695.28</v>
          </cell>
        </row>
        <row r="38">
          <cell r="A38" t="str">
            <v>10310</v>
          </cell>
          <cell r="H38">
            <v>6105534.4100000001</v>
          </cell>
        </row>
        <row r="39">
          <cell r="A39" t="str">
            <v>10316</v>
          </cell>
          <cell r="H39">
            <v>6886059.71</v>
          </cell>
        </row>
        <row r="40">
          <cell r="A40" t="str">
            <v>10317</v>
          </cell>
          <cell r="H40">
            <v>101797.4</v>
          </cell>
        </row>
        <row r="41">
          <cell r="A41" t="str">
            <v>10320</v>
          </cell>
          <cell r="H41">
            <v>53.75</v>
          </cell>
        </row>
        <row r="42">
          <cell r="A42" t="str">
            <v>10341</v>
          </cell>
          <cell r="H42">
            <v>1477354.01</v>
          </cell>
        </row>
        <row r="43">
          <cell r="A43" t="str">
            <v>10342</v>
          </cell>
          <cell r="H43">
            <v>19912975.34</v>
          </cell>
        </row>
        <row r="44">
          <cell r="A44" t="str">
            <v>10343</v>
          </cell>
          <cell r="H44">
            <v>19567.02</v>
          </cell>
        </row>
        <row r="45">
          <cell r="A45" t="str">
            <v>10497</v>
          </cell>
          <cell r="H45">
            <v>2800612.01</v>
          </cell>
        </row>
        <row r="46">
          <cell r="A46" t="str">
            <v>10801</v>
          </cell>
          <cell r="H46">
            <v>-77340</v>
          </cell>
        </row>
        <row r="47">
          <cell r="A47" t="str">
            <v>11000</v>
          </cell>
          <cell r="H47">
            <v>1302620817.1600001</v>
          </cell>
        </row>
        <row r="48">
          <cell r="A48" t="str">
            <v>12100</v>
          </cell>
          <cell r="H48">
            <v>94581089.150000006</v>
          </cell>
        </row>
        <row r="49">
          <cell r="A49" t="str">
            <v>13002</v>
          </cell>
          <cell r="H49">
            <v>1440000</v>
          </cell>
        </row>
        <row r="50">
          <cell r="A50" t="str">
            <v>13003</v>
          </cell>
          <cell r="H50">
            <v>454454462.16000003</v>
          </cell>
        </row>
        <row r="51">
          <cell r="A51" t="str">
            <v>13004</v>
          </cell>
          <cell r="H51">
            <v>2660413.5099999998</v>
          </cell>
        </row>
        <row r="52">
          <cell r="A52" t="str">
            <v>13008</v>
          </cell>
          <cell r="H52">
            <v>600000</v>
          </cell>
        </row>
        <row r="53">
          <cell r="A53" t="str">
            <v>13010</v>
          </cell>
          <cell r="H53">
            <v>19858168.43</v>
          </cell>
        </row>
        <row r="54">
          <cell r="A54" t="str">
            <v>13116</v>
          </cell>
          <cell r="H54">
            <v>111900</v>
          </cell>
        </row>
        <row r="55">
          <cell r="A55" t="str">
            <v>13120</v>
          </cell>
          <cell r="H55">
            <v>75063432.430000007</v>
          </cell>
        </row>
        <row r="56">
          <cell r="A56" t="str">
            <v>13130</v>
          </cell>
          <cell r="H56">
            <v>13037097.65</v>
          </cell>
        </row>
        <row r="57">
          <cell r="A57" t="str">
            <v>13135</v>
          </cell>
          <cell r="H57">
            <v>4074074.16</v>
          </cell>
        </row>
        <row r="58">
          <cell r="A58" t="str">
            <v>13200</v>
          </cell>
          <cell r="H58">
            <v>10898024.24</v>
          </cell>
        </row>
        <row r="59">
          <cell r="A59" t="str">
            <v>13301</v>
          </cell>
          <cell r="H59">
            <v>0</v>
          </cell>
        </row>
        <row r="60">
          <cell r="A60" t="str">
            <v>13400</v>
          </cell>
          <cell r="H60">
            <v>466104687.24000001</v>
          </cell>
        </row>
        <row r="61">
          <cell r="A61" t="str">
            <v>14000</v>
          </cell>
          <cell r="H61">
            <v>-349512635.64999998</v>
          </cell>
        </row>
        <row r="62">
          <cell r="A62" t="str">
            <v>14001</v>
          </cell>
          <cell r="H62">
            <v>-408048937.57999998</v>
          </cell>
        </row>
        <row r="63">
          <cell r="A63" t="str">
            <v>14010</v>
          </cell>
          <cell r="H63">
            <v>7493927.7300000004</v>
          </cell>
        </row>
        <row r="64">
          <cell r="A64" t="str">
            <v>14014</v>
          </cell>
          <cell r="H64">
            <v>40465810.390000001</v>
          </cell>
        </row>
        <row r="65">
          <cell r="A65" t="str">
            <v>14016</v>
          </cell>
          <cell r="H65">
            <v>19576056.48</v>
          </cell>
        </row>
        <row r="66">
          <cell r="A66" t="str">
            <v>14021</v>
          </cell>
          <cell r="H66">
            <v>1481337</v>
          </cell>
        </row>
        <row r="67">
          <cell r="A67" t="str">
            <v>15000</v>
          </cell>
          <cell r="H67">
            <v>36171942.920000002</v>
          </cell>
        </row>
        <row r="68">
          <cell r="A68" t="str">
            <v>15100</v>
          </cell>
          <cell r="H68">
            <v>3645000</v>
          </cell>
        </row>
        <row r="69">
          <cell r="A69" t="str">
            <v>15200</v>
          </cell>
          <cell r="H69">
            <v>302982472.25999999</v>
          </cell>
        </row>
        <row r="70">
          <cell r="A70" t="str">
            <v>15300</v>
          </cell>
          <cell r="H70">
            <v>16565780.25</v>
          </cell>
        </row>
        <row r="71">
          <cell r="A71" t="str">
            <v>15400</v>
          </cell>
          <cell r="H71">
            <v>179350495.81</v>
          </cell>
        </row>
        <row r="72">
          <cell r="A72" t="str">
            <v>15405</v>
          </cell>
          <cell r="H72">
            <v>17904365.100000001</v>
          </cell>
        </row>
        <row r="73">
          <cell r="A73" t="str">
            <v>15410</v>
          </cell>
          <cell r="H73">
            <v>2410161.5</v>
          </cell>
        </row>
        <row r="74">
          <cell r="A74" t="str">
            <v>15500</v>
          </cell>
          <cell r="H74">
            <v>61627057.890000001</v>
          </cell>
        </row>
        <row r="75">
          <cell r="A75" t="str">
            <v>15501</v>
          </cell>
          <cell r="H75">
            <v>608045544.54999995</v>
          </cell>
        </row>
        <row r="76">
          <cell r="A76" t="str">
            <v>15505</v>
          </cell>
          <cell r="H76">
            <v>8503671.5099999998</v>
          </cell>
        </row>
        <row r="77">
          <cell r="A77" t="str">
            <v>15509</v>
          </cell>
          <cell r="H77">
            <v>4400000</v>
          </cell>
        </row>
        <row r="78">
          <cell r="A78" t="str">
            <v>15510</v>
          </cell>
          <cell r="H78">
            <v>425611613.13999999</v>
          </cell>
        </row>
        <row r="79">
          <cell r="A79" t="str">
            <v>16000</v>
          </cell>
          <cell r="H79">
            <v>-26406453.420000002</v>
          </cell>
        </row>
        <row r="80">
          <cell r="A80" t="str">
            <v>16100</v>
          </cell>
          <cell r="H80">
            <v>-3644980.06</v>
          </cell>
        </row>
        <row r="81">
          <cell r="A81" t="str">
            <v>16200</v>
          </cell>
          <cell r="H81">
            <v>-198247297.96000001</v>
          </cell>
        </row>
        <row r="82">
          <cell r="A82" t="str">
            <v>16300</v>
          </cell>
          <cell r="H82">
            <v>-13889279.960000001</v>
          </cell>
        </row>
        <row r="83">
          <cell r="A83" t="str">
            <v>16500</v>
          </cell>
          <cell r="H83">
            <v>-17904365.100000001</v>
          </cell>
        </row>
        <row r="84">
          <cell r="A84" t="str">
            <v>17000</v>
          </cell>
          <cell r="H84">
            <v>302198656.10000002</v>
          </cell>
        </row>
        <row r="85">
          <cell r="A85" t="str">
            <v>19004</v>
          </cell>
          <cell r="H85">
            <v>2523980.39</v>
          </cell>
        </row>
        <row r="86">
          <cell r="A86" t="str">
            <v>19006</v>
          </cell>
          <cell r="H86">
            <v>25676.880000000001</v>
          </cell>
        </row>
        <row r="87">
          <cell r="A87" t="str">
            <v>19007</v>
          </cell>
          <cell r="H87">
            <v>5275410725.1000004</v>
          </cell>
        </row>
        <row r="88">
          <cell r="A88" t="str">
            <v>69904</v>
          </cell>
          <cell r="H88">
            <v>-22053681.350000001</v>
          </cell>
        </row>
        <row r="89">
          <cell r="A89" t="str">
            <v>20000</v>
          </cell>
          <cell r="H89">
            <v>-1001385513.49</v>
          </cell>
        </row>
        <row r="90">
          <cell r="A90" t="str">
            <v>20005</v>
          </cell>
          <cell r="H90">
            <v>-144614995.56</v>
          </cell>
        </row>
        <row r="91">
          <cell r="A91" t="str">
            <v>20010</v>
          </cell>
          <cell r="H91">
            <v>-9675000</v>
          </cell>
        </row>
        <row r="92">
          <cell r="A92" t="str">
            <v>22100</v>
          </cell>
          <cell r="H92">
            <v>-12431023.34</v>
          </cell>
        </row>
        <row r="93">
          <cell r="A93" t="str">
            <v>23000</v>
          </cell>
          <cell r="H93">
            <v>-899922289.13999999</v>
          </cell>
        </row>
        <row r="94">
          <cell r="A94" t="str">
            <v>23001</v>
          </cell>
          <cell r="H94">
            <v>59891429</v>
          </cell>
        </row>
        <row r="95">
          <cell r="A95" t="str">
            <v>23010</v>
          </cell>
          <cell r="H95">
            <v>-129874666.54000001</v>
          </cell>
        </row>
        <row r="96">
          <cell r="A96" t="str">
            <v>23015</v>
          </cell>
          <cell r="H96">
            <v>0.25</v>
          </cell>
        </row>
        <row r="97">
          <cell r="A97" t="str">
            <v>23030</v>
          </cell>
          <cell r="H97">
            <v>-2279773</v>
          </cell>
        </row>
        <row r="98">
          <cell r="A98" t="str">
            <v>23040</v>
          </cell>
          <cell r="H98">
            <v>-7219553.4400000004</v>
          </cell>
        </row>
        <row r="99">
          <cell r="A99" t="str">
            <v>23400</v>
          </cell>
          <cell r="H99">
            <v>-1354903224.05</v>
          </cell>
        </row>
        <row r="100">
          <cell r="A100" t="str">
            <v>23405</v>
          </cell>
          <cell r="H100">
            <v>904471947.03999996</v>
          </cell>
        </row>
        <row r="101">
          <cell r="A101" t="str">
            <v>23410</v>
          </cell>
          <cell r="H101">
            <v>51599186.399999999</v>
          </cell>
        </row>
        <row r="102">
          <cell r="A102" t="str">
            <v>23420</v>
          </cell>
          <cell r="H102">
            <v>-14586581.59</v>
          </cell>
        </row>
        <row r="103">
          <cell r="A103" t="str">
            <v>23425</v>
          </cell>
          <cell r="H103">
            <v>-32949171.219999999</v>
          </cell>
        </row>
        <row r="104">
          <cell r="A104" t="str">
            <v>23889</v>
          </cell>
          <cell r="H104">
            <v>0</v>
          </cell>
        </row>
        <row r="105">
          <cell r="A105" t="str">
            <v>24010</v>
          </cell>
          <cell r="H105">
            <v>-21842868.859999999</v>
          </cell>
        </row>
        <row r="106">
          <cell r="A106" t="str">
            <v>24100</v>
          </cell>
          <cell r="H106">
            <v>-24264109.649999999</v>
          </cell>
        </row>
        <row r="107">
          <cell r="A107" t="str">
            <v>30005</v>
          </cell>
          <cell r="H107">
            <v>96238158.140000001</v>
          </cell>
        </row>
        <row r="108">
          <cell r="A108" t="str">
            <v>30035</v>
          </cell>
          <cell r="H108">
            <v>101787277.34999999</v>
          </cell>
        </row>
        <row r="109">
          <cell r="A109" t="str">
            <v>30040</v>
          </cell>
          <cell r="H109">
            <v>-107359858</v>
          </cell>
        </row>
        <row r="110">
          <cell r="A110" t="str">
            <v>30042</v>
          </cell>
          <cell r="H110">
            <v>-7359858</v>
          </cell>
        </row>
        <row r="111">
          <cell r="A111" t="str">
            <v>30043</v>
          </cell>
          <cell r="H111">
            <v>-114297251.5</v>
          </cell>
        </row>
        <row r="112">
          <cell r="A112" t="str">
            <v>30044</v>
          </cell>
          <cell r="H112">
            <v>-6573262400</v>
          </cell>
        </row>
        <row r="113">
          <cell r="A113" t="str">
            <v>32000</v>
          </cell>
          <cell r="H113">
            <v>-1111090970.6300001</v>
          </cell>
        </row>
        <row r="114">
          <cell r="A114" t="str">
            <v>40015</v>
          </cell>
          <cell r="H114">
            <v>-2742883.72</v>
          </cell>
        </row>
        <row r="115">
          <cell r="A115" t="str">
            <v>40020</v>
          </cell>
          <cell r="H115">
            <v>-330542.63</v>
          </cell>
        </row>
        <row r="116">
          <cell r="A116" t="str">
            <v>40025</v>
          </cell>
          <cell r="H116">
            <v>-454533790.82999992</v>
          </cell>
        </row>
        <row r="117">
          <cell r="A117" t="str">
            <v>40055</v>
          </cell>
          <cell r="H117">
            <v>-7644705.3499999996</v>
          </cell>
        </row>
        <row r="118">
          <cell r="A118" t="str">
            <v>40056</v>
          </cell>
          <cell r="H118">
            <v>-360267.44</v>
          </cell>
        </row>
        <row r="119">
          <cell r="A119" t="str">
            <v>40085</v>
          </cell>
          <cell r="H119">
            <v>-1168712.18</v>
          </cell>
        </row>
        <row r="120">
          <cell r="A120" t="str">
            <v>40155</v>
          </cell>
          <cell r="H120">
            <v>-15612001.41</v>
          </cell>
        </row>
        <row r="121">
          <cell r="A121" t="str">
            <v>40161</v>
          </cell>
          <cell r="H121">
            <v>0</v>
          </cell>
        </row>
        <row r="122">
          <cell r="A122" t="str">
            <v>49300</v>
          </cell>
          <cell r="H122">
            <v>-42263700.829999998</v>
          </cell>
        </row>
        <row r="123">
          <cell r="A123" t="str">
            <v>49405</v>
          </cell>
          <cell r="H123">
            <v>-111033811.51000001</v>
          </cell>
        </row>
        <row r="124">
          <cell r="A124" t="str">
            <v>50000</v>
          </cell>
          <cell r="H124">
            <v>0</v>
          </cell>
        </row>
        <row r="125">
          <cell r="A125" t="str">
            <v>53030</v>
          </cell>
          <cell r="H125">
            <v>0</v>
          </cell>
        </row>
        <row r="126">
          <cell r="A126" t="str">
            <v>53040</v>
          </cell>
          <cell r="H126">
            <v>70000</v>
          </cell>
        </row>
        <row r="127">
          <cell r="A127" t="str">
            <v>53045</v>
          </cell>
          <cell r="H127">
            <v>11423798.600000001</v>
          </cell>
        </row>
        <row r="128">
          <cell r="A128" t="str">
            <v>53055</v>
          </cell>
          <cell r="H128">
            <v>225468.75</v>
          </cell>
        </row>
        <row r="129">
          <cell r="A129" t="str">
            <v>53060</v>
          </cell>
          <cell r="H129">
            <v>16000</v>
          </cell>
        </row>
        <row r="130">
          <cell r="A130" t="str">
            <v>53074</v>
          </cell>
          <cell r="H130">
            <v>25000</v>
          </cell>
        </row>
        <row r="131">
          <cell r="A131" t="str">
            <v>53075</v>
          </cell>
          <cell r="H131">
            <v>600710</v>
          </cell>
        </row>
        <row r="132">
          <cell r="A132" t="str">
            <v>53080</v>
          </cell>
          <cell r="H132">
            <v>7618177.75</v>
          </cell>
        </row>
        <row r="133">
          <cell r="A133" t="str">
            <v>53090</v>
          </cell>
          <cell r="H133">
            <v>0</v>
          </cell>
        </row>
        <row r="134">
          <cell r="A134" t="str">
            <v>53095</v>
          </cell>
          <cell r="H134">
            <v>27000</v>
          </cell>
        </row>
        <row r="135">
          <cell r="A135" t="str">
            <v>53110</v>
          </cell>
          <cell r="H135">
            <v>7000</v>
          </cell>
        </row>
        <row r="136">
          <cell r="A136" t="str">
            <v>53120</v>
          </cell>
          <cell r="H136">
            <v>69754032.230000004</v>
          </cell>
        </row>
        <row r="137">
          <cell r="A137" t="str">
            <v>53140</v>
          </cell>
          <cell r="H137">
            <v>0</v>
          </cell>
        </row>
        <row r="138">
          <cell r="A138" t="str">
            <v>60010</v>
          </cell>
          <cell r="H138">
            <v>2037037.04</v>
          </cell>
        </row>
        <row r="139">
          <cell r="A139" t="str">
            <v>60020</v>
          </cell>
          <cell r="H139">
            <v>17500</v>
          </cell>
        </row>
        <row r="140">
          <cell r="A140" t="str">
            <v>60025</v>
          </cell>
          <cell r="H140">
            <v>1708050</v>
          </cell>
        </row>
        <row r="141">
          <cell r="A141" t="str">
            <v>60030</v>
          </cell>
          <cell r="H141">
            <v>0</v>
          </cell>
        </row>
        <row r="142">
          <cell r="A142" t="str">
            <v>60040</v>
          </cell>
          <cell r="H142">
            <v>141000</v>
          </cell>
        </row>
        <row r="143">
          <cell r="A143" t="str">
            <v>60045</v>
          </cell>
          <cell r="H143">
            <v>948800</v>
          </cell>
        </row>
        <row r="144">
          <cell r="A144" t="str">
            <v>60050</v>
          </cell>
          <cell r="H144">
            <v>2516303.31</v>
          </cell>
        </row>
        <row r="145">
          <cell r="A145" t="str">
            <v>60060</v>
          </cell>
          <cell r="H145">
            <v>18222340.149999999</v>
          </cell>
        </row>
        <row r="146">
          <cell r="A146" t="str">
            <v>60070</v>
          </cell>
          <cell r="H146">
            <v>9125950</v>
          </cell>
        </row>
        <row r="147">
          <cell r="A147" t="str">
            <v>60075</v>
          </cell>
          <cell r="H147">
            <v>-4554372</v>
          </cell>
        </row>
        <row r="148">
          <cell r="A148" t="str">
            <v>60080</v>
          </cell>
          <cell r="H148">
            <v>2164770.65</v>
          </cell>
        </row>
        <row r="149">
          <cell r="A149" t="str">
            <v>60085</v>
          </cell>
          <cell r="H149">
            <v>670685.63</v>
          </cell>
        </row>
        <row r="150">
          <cell r="A150" t="str">
            <v>60090</v>
          </cell>
          <cell r="H150">
            <v>0</v>
          </cell>
        </row>
        <row r="151">
          <cell r="A151" t="str">
            <v>60100</v>
          </cell>
          <cell r="H151">
            <v>28236736.079999998</v>
          </cell>
        </row>
        <row r="152">
          <cell r="A152" t="str">
            <v>60110</v>
          </cell>
          <cell r="H152">
            <v>0</v>
          </cell>
        </row>
        <row r="153">
          <cell r="A153" t="str">
            <v>60115</v>
          </cell>
          <cell r="H153">
            <v>773475</v>
          </cell>
        </row>
        <row r="154">
          <cell r="A154" t="str">
            <v>60125</v>
          </cell>
          <cell r="H154">
            <v>0</v>
          </cell>
        </row>
        <row r="155">
          <cell r="A155" t="str">
            <v>60200</v>
          </cell>
          <cell r="H155">
            <v>0</v>
          </cell>
        </row>
        <row r="156">
          <cell r="A156" t="str">
            <v>60201</v>
          </cell>
          <cell r="H156">
            <v>1130000</v>
          </cell>
        </row>
        <row r="157">
          <cell r="A157" t="str">
            <v>60205</v>
          </cell>
          <cell r="H157">
            <v>159168.07</v>
          </cell>
        </row>
        <row r="158">
          <cell r="A158" t="str">
            <v>60206</v>
          </cell>
          <cell r="H158">
            <v>0</v>
          </cell>
        </row>
        <row r="159">
          <cell r="A159" t="str">
            <v>60210</v>
          </cell>
          <cell r="H159">
            <v>4156900</v>
          </cell>
        </row>
        <row r="160">
          <cell r="A160" t="str">
            <v>60211</v>
          </cell>
          <cell r="H160">
            <v>0</v>
          </cell>
        </row>
        <row r="161">
          <cell r="A161" t="str">
            <v>60213</v>
          </cell>
          <cell r="H161">
            <v>0</v>
          </cell>
        </row>
        <row r="162">
          <cell r="A162" t="str">
            <v>60214</v>
          </cell>
          <cell r="H162">
            <v>0</v>
          </cell>
        </row>
        <row r="163">
          <cell r="A163" t="str">
            <v>60217</v>
          </cell>
          <cell r="H163">
            <v>1702500</v>
          </cell>
        </row>
        <row r="164">
          <cell r="A164" t="str">
            <v>61100</v>
          </cell>
          <cell r="H164">
            <v>2226577.75</v>
          </cell>
        </row>
        <row r="165">
          <cell r="A165" t="str">
            <v>61310</v>
          </cell>
          <cell r="H165">
            <v>290702</v>
          </cell>
        </row>
        <row r="166">
          <cell r="A166" t="str">
            <v>61315</v>
          </cell>
          <cell r="H166">
            <v>41500</v>
          </cell>
        </row>
        <row r="167">
          <cell r="A167" t="str">
            <v>61320</v>
          </cell>
          <cell r="H167">
            <v>0</v>
          </cell>
        </row>
        <row r="168">
          <cell r="A168" t="str">
            <v>61500</v>
          </cell>
          <cell r="H168">
            <v>2118565</v>
          </cell>
        </row>
        <row r="169">
          <cell r="A169" t="str">
            <v>61600</v>
          </cell>
          <cell r="H169">
            <v>7997018.0499999998</v>
          </cell>
        </row>
        <row r="170">
          <cell r="A170" t="str">
            <v>61700</v>
          </cell>
          <cell r="H170">
            <v>662673.30000000005</v>
          </cell>
        </row>
        <row r="171">
          <cell r="A171" t="str">
            <v>62101</v>
          </cell>
          <cell r="H171">
            <v>92006275.999999985</v>
          </cell>
        </row>
        <row r="172">
          <cell r="A172" t="str">
            <v>62200</v>
          </cell>
          <cell r="H172">
            <v>42300</v>
          </cell>
        </row>
        <row r="173">
          <cell r="A173" t="str">
            <v>62415</v>
          </cell>
          <cell r="H173">
            <v>40000</v>
          </cell>
        </row>
        <row r="174">
          <cell r="A174" t="str">
            <v>62420</v>
          </cell>
          <cell r="H174">
            <v>20000</v>
          </cell>
        </row>
        <row r="175">
          <cell r="A175" t="str">
            <v>62425</v>
          </cell>
          <cell r="H175">
            <v>79000</v>
          </cell>
        </row>
        <row r="176">
          <cell r="A176" t="str">
            <v>62435</v>
          </cell>
          <cell r="H176">
            <v>0</v>
          </cell>
        </row>
        <row r="177">
          <cell r="A177" t="str">
            <v>62700</v>
          </cell>
          <cell r="H177">
            <v>3264471.97</v>
          </cell>
        </row>
        <row r="178">
          <cell r="A178" t="str">
            <v>62950</v>
          </cell>
          <cell r="H178">
            <v>0</v>
          </cell>
        </row>
        <row r="179">
          <cell r="A179" t="str">
            <v>63110</v>
          </cell>
          <cell r="H179">
            <v>2885732.5</v>
          </cell>
        </row>
        <row r="180">
          <cell r="A180" t="str">
            <v>63120</v>
          </cell>
          <cell r="H180">
            <v>7137990.1100000003</v>
          </cell>
        </row>
        <row r="181">
          <cell r="A181" t="str">
            <v>63125</v>
          </cell>
          <cell r="H181">
            <v>100661.73999999999</v>
          </cell>
        </row>
        <row r="182">
          <cell r="A182" t="str">
            <v>63907</v>
          </cell>
          <cell r="H182">
            <v>49411607</v>
          </cell>
        </row>
        <row r="183">
          <cell r="A183" t="str">
            <v>63910</v>
          </cell>
          <cell r="H183">
            <v>0</v>
          </cell>
        </row>
        <row r="184">
          <cell r="A184" t="str">
            <v>64000</v>
          </cell>
          <cell r="H184">
            <v>3276205.1799999997</v>
          </cell>
        </row>
        <row r="185">
          <cell r="A185" t="str">
            <v>65000</v>
          </cell>
          <cell r="H185">
            <v>728333.33</v>
          </cell>
        </row>
        <row r="186">
          <cell r="A186" t="str">
            <v>65007</v>
          </cell>
          <cell r="H186">
            <v>464305602.92999995</v>
          </cell>
        </row>
        <row r="187">
          <cell r="A187" t="str">
            <v>65015</v>
          </cell>
          <cell r="H187">
            <v>0</v>
          </cell>
        </row>
        <row r="188">
          <cell r="A188" t="str">
            <v>65030</v>
          </cell>
          <cell r="H188">
            <v>17737736.389999997</v>
          </cell>
        </row>
        <row r="189">
          <cell r="A189" t="str">
            <v>65035</v>
          </cell>
          <cell r="H189">
            <v>74276612.810000002</v>
          </cell>
        </row>
        <row r="190">
          <cell r="A190" t="str">
            <v>65037</v>
          </cell>
          <cell r="H190">
            <v>0</v>
          </cell>
        </row>
        <row r="191">
          <cell r="A191" t="str">
            <v>65095</v>
          </cell>
          <cell r="H191">
            <v>15981965.469999999</v>
          </cell>
        </row>
        <row r="192">
          <cell r="A192" t="str">
            <v>65100</v>
          </cell>
          <cell r="H192">
            <v>3310728.83</v>
          </cell>
        </row>
        <row r="193">
          <cell r="A193" t="str">
            <v>65800</v>
          </cell>
          <cell r="H193">
            <v>3829650</v>
          </cell>
        </row>
        <row r="194">
          <cell r="A194" t="str">
            <v>66300</v>
          </cell>
          <cell r="H194">
            <v>0</v>
          </cell>
        </row>
        <row r="195">
          <cell r="A195" t="str">
            <v>66305</v>
          </cell>
          <cell r="H195">
            <v>0</v>
          </cell>
        </row>
        <row r="196">
          <cell r="A196" t="str">
            <v>66310</v>
          </cell>
          <cell r="H196">
            <v>2279773</v>
          </cell>
        </row>
        <row r="197">
          <cell r="A197" t="str">
            <v>67010</v>
          </cell>
          <cell r="H197">
            <v>15021474.17</v>
          </cell>
        </row>
        <row r="198">
          <cell r="A198" t="str">
            <v>67040</v>
          </cell>
          <cell r="H198">
            <v>0</v>
          </cell>
        </row>
        <row r="199">
          <cell r="A199" t="str">
            <v>67052</v>
          </cell>
          <cell r="H199">
            <v>0</v>
          </cell>
        </row>
        <row r="200">
          <cell r="A200" t="str">
            <v>67055</v>
          </cell>
          <cell r="H200">
            <v>14970357</v>
          </cell>
        </row>
        <row r="201">
          <cell r="A201" t="str">
            <v>67901</v>
          </cell>
          <cell r="H201">
            <v>10024754.609999999</v>
          </cell>
        </row>
        <row r="202">
          <cell r="A202" t="str">
            <v>67920</v>
          </cell>
          <cell r="H202">
            <v>-332730012.13999999</v>
          </cell>
        </row>
        <row r="203">
          <cell r="A203" t="str">
            <v>67940</v>
          </cell>
          <cell r="H203">
            <v>-1.0000000000000002E-2</v>
          </cell>
        </row>
        <row r="204">
          <cell r="A204" t="str">
            <v>68500</v>
          </cell>
          <cell r="H204">
            <v>2236666.67</v>
          </cell>
        </row>
        <row r="205">
          <cell r="A205" t="str">
            <v>68501</v>
          </cell>
          <cell r="H205">
            <v>9675000</v>
          </cell>
        </row>
        <row r="206">
          <cell r="A206" t="str">
            <v>68502</v>
          </cell>
          <cell r="H206">
            <v>0</v>
          </cell>
        </row>
        <row r="207">
          <cell r="A207" t="str">
            <v>68503</v>
          </cell>
          <cell r="H207">
            <v>1145000</v>
          </cell>
        </row>
        <row r="208">
          <cell r="A208" t="str">
            <v>69600</v>
          </cell>
          <cell r="H208">
            <v>14272827.699999999</v>
          </cell>
        </row>
        <row r="209">
          <cell r="A209" t="str">
            <v>69901</v>
          </cell>
          <cell r="H209">
            <v>1201076.6599999999</v>
          </cell>
        </row>
        <row r="210">
          <cell r="H210" t="e">
            <v>#N/A</v>
          </cell>
        </row>
      </sheetData>
      <sheetData sheetId="2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29876.85</v>
          </cell>
        </row>
        <row r="7">
          <cell r="A7" t="str">
            <v>10104</v>
          </cell>
          <cell r="H7">
            <v>6152609.2800000003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576450757.33000004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1726190.7</v>
          </cell>
        </row>
        <row r="12">
          <cell r="A12" t="str">
            <v>10110</v>
          </cell>
          <cell r="H12">
            <v>1000000</v>
          </cell>
        </row>
        <row r="13">
          <cell r="A13" t="str">
            <v>10160</v>
          </cell>
          <cell r="H13">
            <v>20280000</v>
          </cell>
        </row>
        <row r="14">
          <cell r="A14" t="str">
            <v>10200</v>
          </cell>
          <cell r="H14">
            <v>11745.64</v>
          </cell>
        </row>
        <row r="15">
          <cell r="A15" t="str">
            <v>10210</v>
          </cell>
          <cell r="H15">
            <v>73124.13</v>
          </cell>
        </row>
        <row r="16">
          <cell r="A16" t="str">
            <v>10213</v>
          </cell>
          <cell r="H16">
            <v>20000</v>
          </cell>
        </row>
        <row r="17">
          <cell r="A17" t="str">
            <v>10215</v>
          </cell>
          <cell r="H17">
            <v>13281518.939999999</v>
          </cell>
        </row>
        <row r="18">
          <cell r="A18" t="str">
            <v>10221</v>
          </cell>
          <cell r="H18">
            <v>989850.45</v>
          </cell>
        </row>
        <row r="19">
          <cell r="A19" t="str">
            <v>10223</v>
          </cell>
          <cell r="H19">
            <v>11786521.289999999</v>
          </cell>
        </row>
        <row r="20">
          <cell r="A20" t="str">
            <v>10224</v>
          </cell>
          <cell r="H20">
            <v>33.659999999999997</v>
          </cell>
        </row>
        <row r="21">
          <cell r="A21" t="str">
            <v>10225</v>
          </cell>
          <cell r="H21">
            <v>14075132.18</v>
          </cell>
        </row>
        <row r="22">
          <cell r="A22" t="str">
            <v>10226</v>
          </cell>
          <cell r="H22">
            <v>11959129.539999999</v>
          </cell>
        </row>
        <row r="23">
          <cell r="A23" t="str">
            <v>10227</v>
          </cell>
          <cell r="H23">
            <v>13877634.32</v>
          </cell>
        </row>
        <row r="24">
          <cell r="A24" t="str">
            <v>10235</v>
          </cell>
          <cell r="H24">
            <v>1166458.71</v>
          </cell>
        </row>
        <row r="25">
          <cell r="A25" t="str">
            <v>10240</v>
          </cell>
          <cell r="H25">
            <v>31493.46</v>
          </cell>
        </row>
        <row r="26">
          <cell r="A26" t="str">
            <v>10245</v>
          </cell>
          <cell r="H26">
            <v>208999.86</v>
          </cell>
        </row>
        <row r="27">
          <cell r="A27" t="str">
            <v>10253</v>
          </cell>
          <cell r="H27">
            <v>52928141.079999998</v>
          </cell>
        </row>
        <row r="28">
          <cell r="A28" t="str">
            <v>10255</v>
          </cell>
          <cell r="H28">
            <v>1075101.1399999999</v>
          </cell>
        </row>
        <row r="29">
          <cell r="A29" t="str">
            <v>10256</v>
          </cell>
          <cell r="H29">
            <v>1294033.75</v>
          </cell>
        </row>
        <row r="30">
          <cell r="A30" t="str">
            <v>10260</v>
          </cell>
          <cell r="H30">
            <v>654050</v>
          </cell>
        </row>
        <row r="31">
          <cell r="A31" t="str">
            <v>10265</v>
          </cell>
          <cell r="H31">
            <v>1344889.13</v>
          </cell>
        </row>
        <row r="32">
          <cell r="A32" t="str">
            <v>10270</v>
          </cell>
          <cell r="H32">
            <v>21716083.25</v>
          </cell>
        </row>
        <row r="33">
          <cell r="A33" t="str">
            <v>10280</v>
          </cell>
          <cell r="H33">
            <v>563903.84</v>
          </cell>
        </row>
        <row r="34">
          <cell r="A34" t="str">
            <v>10285</v>
          </cell>
          <cell r="H34">
            <v>3364100.09</v>
          </cell>
        </row>
        <row r="35">
          <cell r="A35" t="str">
            <v>10293</v>
          </cell>
          <cell r="H35">
            <v>420417.08</v>
          </cell>
        </row>
        <row r="36">
          <cell r="A36" t="str">
            <v>10305</v>
          </cell>
          <cell r="H36">
            <v>4753.08</v>
          </cell>
        </row>
        <row r="37">
          <cell r="A37" t="str">
            <v>10310</v>
          </cell>
          <cell r="H37">
            <v>8913489.4100000001</v>
          </cell>
        </row>
        <row r="38">
          <cell r="A38" t="str">
            <v>10316</v>
          </cell>
          <cell r="H38">
            <v>8268797.2199999997</v>
          </cell>
        </row>
        <row r="39">
          <cell r="A39" t="str">
            <v>10317</v>
          </cell>
          <cell r="H39">
            <v>101797.4</v>
          </cell>
        </row>
        <row r="40">
          <cell r="A40" t="str">
            <v>10320</v>
          </cell>
          <cell r="H40">
            <v>53.75</v>
          </cell>
        </row>
        <row r="41">
          <cell r="A41" t="str">
            <v>10341</v>
          </cell>
          <cell r="H41">
            <v>137206.01999999999</v>
          </cell>
        </row>
        <row r="42">
          <cell r="A42" t="str">
            <v>10342</v>
          </cell>
          <cell r="H42">
            <v>185860896.83000001</v>
          </cell>
        </row>
        <row r="43">
          <cell r="A43" t="str">
            <v>10343</v>
          </cell>
          <cell r="H43">
            <v>21288.43</v>
          </cell>
        </row>
        <row r="44">
          <cell r="A44" t="str">
            <v>10497</v>
          </cell>
          <cell r="H44">
            <v>2400712.0099999998</v>
          </cell>
        </row>
        <row r="45">
          <cell r="A45" t="str">
            <v>10801</v>
          </cell>
          <cell r="H45">
            <v>-84144</v>
          </cell>
        </row>
        <row r="46">
          <cell r="A46" t="str">
            <v>11000</v>
          </cell>
          <cell r="H46">
            <v>226024768.34999999</v>
          </cell>
        </row>
        <row r="47">
          <cell r="A47" t="str">
            <v>12100</v>
          </cell>
          <cell r="H47">
            <v>94581089.150000006</v>
          </cell>
        </row>
        <row r="48">
          <cell r="A48" t="str">
            <v>13002</v>
          </cell>
          <cell r="H48">
            <v>1440000</v>
          </cell>
        </row>
        <row r="49">
          <cell r="A49" t="str">
            <v>13003</v>
          </cell>
          <cell r="H49">
            <v>446530045.44</v>
          </cell>
        </row>
        <row r="50">
          <cell r="A50" t="str">
            <v>13004</v>
          </cell>
          <cell r="H50">
            <v>194390.73</v>
          </cell>
        </row>
        <row r="51">
          <cell r="A51" t="str">
            <v>13008</v>
          </cell>
          <cell r="H51">
            <v>600000</v>
          </cell>
        </row>
        <row r="52">
          <cell r="A52" t="str">
            <v>13010</v>
          </cell>
          <cell r="H52">
            <v>20569802.109999999</v>
          </cell>
        </row>
        <row r="53">
          <cell r="A53" t="str">
            <v>13116</v>
          </cell>
          <cell r="H53">
            <v>40635</v>
          </cell>
        </row>
        <row r="54">
          <cell r="A54" t="str">
            <v>13120</v>
          </cell>
          <cell r="H54">
            <v>81824833.780000001</v>
          </cell>
        </row>
        <row r="55">
          <cell r="A55" t="str">
            <v>13130</v>
          </cell>
          <cell r="H55">
            <v>9542363</v>
          </cell>
        </row>
        <row r="56">
          <cell r="A56" t="str">
            <v>13135</v>
          </cell>
          <cell r="H56">
            <v>6111111.2000000002</v>
          </cell>
        </row>
        <row r="57">
          <cell r="A57" t="str">
            <v>13200</v>
          </cell>
          <cell r="H57">
            <v>12968586.57</v>
          </cell>
        </row>
        <row r="58">
          <cell r="A58" t="str">
            <v>13301</v>
          </cell>
          <cell r="H58">
            <v>10000000</v>
          </cell>
        </row>
        <row r="59">
          <cell r="A59" t="str">
            <v>13400</v>
          </cell>
          <cell r="H59">
            <v>456145048.47000003</v>
          </cell>
        </row>
        <row r="60">
          <cell r="A60" t="str">
            <v>14000</v>
          </cell>
          <cell r="H60">
            <v>-99922944.659999996</v>
          </cell>
        </row>
        <row r="61">
          <cell r="A61" t="str">
            <v>14001</v>
          </cell>
          <cell r="H61">
            <v>-216774730.50999999</v>
          </cell>
        </row>
        <row r="62">
          <cell r="A62" t="str">
            <v>14010</v>
          </cell>
          <cell r="H62">
            <v>6319397.2999999998</v>
          </cell>
        </row>
        <row r="63">
          <cell r="A63" t="str">
            <v>14014</v>
          </cell>
          <cell r="H63">
            <v>40465810.390000001</v>
          </cell>
        </row>
        <row r="64">
          <cell r="A64" t="str">
            <v>14016</v>
          </cell>
          <cell r="H64">
            <v>18767386.48</v>
          </cell>
        </row>
        <row r="65">
          <cell r="A65" t="str">
            <v>15000</v>
          </cell>
          <cell r="H65">
            <v>27291067.68</v>
          </cell>
        </row>
        <row r="66">
          <cell r="A66" t="str">
            <v>15100</v>
          </cell>
          <cell r="H66">
            <v>88402001</v>
          </cell>
        </row>
        <row r="67">
          <cell r="A67" t="str">
            <v>15200</v>
          </cell>
          <cell r="H67">
            <v>301179875.25999999</v>
          </cell>
        </row>
        <row r="68">
          <cell r="A68" t="str">
            <v>15300</v>
          </cell>
          <cell r="H68">
            <v>17087942.25</v>
          </cell>
        </row>
        <row r="69">
          <cell r="A69" t="str">
            <v>15400</v>
          </cell>
          <cell r="H69">
            <v>174166123.81</v>
          </cell>
        </row>
        <row r="70">
          <cell r="A70" t="str">
            <v>15405</v>
          </cell>
          <cell r="H70">
            <v>17904365.100000001</v>
          </cell>
        </row>
        <row r="71">
          <cell r="A71" t="str">
            <v>15410</v>
          </cell>
          <cell r="H71">
            <v>2410161.5</v>
          </cell>
        </row>
        <row r="72">
          <cell r="A72" t="str">
            <v>15500</v>
          </cell>
          <cell r="H72">
            <v>61627057.890000001</v>
          </cell>
        </row>
        <row r="73">
          <cell r="A73" t="str">
            <v>15501</v>
          </cell>
          <cell r="H73">
            <v>576262713.03999996</v>
          </cell>
        </row>
        <row r="74">
          <cell r="A74" t="str">
            <v>15505</v>
          </cell>
          <cell r="H74">
            <v>8503671.5099999998</v>
          </cell>
        </row>
        <row r="75">
          <cell r="A75" t="str">
            <v>15509</v>
          </cell>
          <cell r="H75">
            <v>4400000</v>
          </cell>
        </row>
        <row r="76">
          <cell r="A76" t="str">
            <v>15510</v>
          </cell>
          <cell r="H76">
            <v>418121134.19</v>
          </cell>
        </row>
        <row r="77">
          <cell r="A77" t="str">
            <v>16000</v>
          </cell>
          <cell r="H77">
            <v>-26257605.670000002</v>
          </cell>
        </row>
        <row r="78">
          <cell r="A78" t="str">
            <v>16100</v>
          </cell>
          <cell r="H78">
            <v>-88326063.560000002</v>
          </cell>
        </row>
        <row r="79">
          <cell r="A79" t="str">
            <v>16200</v>
          </cell>
          <cell r="H79">
            <v>-195206876.03999999</v>
          </cell>
        </row>
        <row r="80">
          <cell r="A80" t="str">
            <v>16300</v>
          </cell>
          <cell r="H80">
            <v>-13878261.949999999</v>
          </cell>
        </row>
        <row r="81">
          <cell r="A81" t="str">
            <v>16500</v>
          </cell>
          <cell r="H81">
            <v>-17904365.100000001</v>
          </cell>
        </row>
        <row r="82">
          <cell r="A82" t="str">
            <v>17000</v>
          </cell>
          <cell r="H82">
            <v>288000981.68000001</v>
          </cell>
        </row>
        <row r="83">
          <cell r="A83" t="str">
            <v>19004</v>
          </cell>
          <cell r="H83">
            <v>17545454.559999999</v>
          </cell>
        </row>
        <row r="84">
          <cell r="A84" t="str">
            <v>19006</v>
          </cell>
          <cell r="H84">
            <v>-56393.31</v>
          </cell>
        </row>
        <row r="85">
          <cell r="A85" t="str">
            <v>19007</v>
          </cell>
          <cell r="H85">
            <v>5799974303.1400003</v>
          </cell>
        </row>
        <row r="86">
          <cell r="A86" t="str">
            <v>69904</v>
          </cell>
          <cell r="H86">
            <v>-20852604.690000001</v>
          </cell>
        </row>
        <row r="87">
          <cell r="A87" t="str">
            <v>20000</v>
          </cell>
          <cell r="H87">
            <v>-323810595.66000003</v>
          </cell>
        </row>
        <row r="88">
          <cell r="A88" t="str">
            <v>20005</v>
          </cell>
          <cell r="H88">
            <v>-134053192.75</v>
          </cell>
        </row>
        <row r="89">
          <cell r="A89" t="str">
            <v>22100</v>
          </cell>
          <cell r="H89">
            <v>-17885310.16</v>
          </cell>
        </row>
        <row r="90">
          <cell r="A90" t="str">
            <v>23000</v>
          </cell>
          <cell r="H90">
            <v>-1032628983.76</v>
          </cell>
        </row>
        <row r="91">
          <cell r="A91" t="str">
            <v>23001</v>
          </cell>
          <cell r="H91">
            <v>59891429</v>
          </cell>
        </row>
        <row r="92">
          <cell r="A92" t="str">
            <v>23010</v>
          </cell>
          <cell r="H92">
            <v>-17731807.949999999</v>
          </cell>
        </row>
        <row r="93">
          <cell r="A93" t="str">
            <v>23015</v>
          </cell>
          <cell r="H93">
            <v>-303429.21999999997</v>
          </cell>
        </row>
        <row r="94">
          <cell r="A94" t="str">
            <v>23040</v>
          </cell>
          <cell r="H94">
            <v>-7908412.5499999998</v>
          </cell>
        </row>
        <row r="95">
          <cell r="A95" t="str">
            <v>23400</v>
          </cell>
          <cell r="H95">
            <v>-1260083885.29</v>
          </cell>
        </row>
        <row r="96">
          <cell r="A96" t="str">
            <v>23405</v>
          </cell>
          <cell r="H96">
            <v>896953973.75999999</v>
          </cell>
        </row>
        <row r="97">
          <cell r="A97" t="str">
            <v>23410</v>
          </cell>
          <cell r="H97">
            <v>51599186.399999999</v>
          </cell>
        </row>
        <row r="98">
          <cell r="A98" t="str">
            <v>23420</v>
          </cell>
          <cell r="H98">
            <v>-17876959.370000001</v>
          </cell>
        </row>
        <row r="99">
          <cell r="A99" t="str">
            <v>23425</v>
          </cell>
          <cell r="H99">
            <v>-42242924.219999999</v>
          </cell>
        </row>
        <row r="100">
          <cell r="A100" t="str">
            <v>23889</v>
          </cell>
          <cell r="H100">
            <v>0</v>
          </cell>
        </row>
        <row r="101">
          <cell r="A101" t="str">
            <v>24010</v>
          </cell>
          <cell r="H101">
            <v>-19623310.859999999</v>
          </cell>
        </row>
        <row r="102">
          <cell r="A102" t="str">
            <v>24100</v>
          </cell>
          <cell r="H102">
            <v>0.35</v>
          </cell>
        </row>
        <row r="103">
          <cell r="A103" t="str">
            <v>30005</v>
          </cell>
          <cell r="H103">
            <v>96238158.140000001</v>
          </cell>
        </row>
        <row r="104">
          <cell r="A104" t="str">
            <v>30035</v>
          </cell>
          <cell r="H104">
            <v>101787277.34999999</v>
          </cell>
        </row>
        <row r="105">
          <cell r="A105" t="str">
            <v>30040</v>
          </cell>
          <cell r="H105">
            <v>-107359858</v>
          </cell>
        </row>
        <row r="106">
          <cell r="A106" t="str">
            <v>30042</v>
          </cell>
          <cell r="H106">
            <v>-7359858</v>
          </cell>
        </row>
        <row r="107">
          <cell r="A107" t="str">
            <v>30043</v>
          </cell>
          <cell r="H107">
            <v>-114297251.5</v>
          </cell>
        </row>
        <row r="108">
          <cell r="A108" t="str">
            <v>30044</v>
          </cell>
          <cell r="H108">
            <v>-7371014400</v>
          </cell>
        </row>
        <row r="109">
          <cell r="A109" t="str">
            <v>32000</v>
          </cell>
          <cell r="H109">
            <v>-1111090970.6300001</v>
          </cell>
        </row>
        <row r="110">
          <cell r="A110" t="str">
            <v>40015</v>
          </cell>
          <cell r="H110">
            <v>-5157906.9800000004</v>
          </cell>
        </row>
        <row r="111">
          <cell r="A111" t="str">
            <v>40020</v>
          </cell>
          <cell r="H111">
            <v>-293333.33</v>
          </cell>
        </row>
        <row r="112">
          <cell r="A112" t="str">
            <v>40025</v>
          </cell>
          <cell r="H112">
            <v>-66297576.75</v>
          </cell>
        </row>
        <row r="113">
          <cell r="A113" t="str">
            <v>40055</v>
          </cell>
          <cell r="H113">
            <v>-8255267.0800000001</v>
          </cell>
        </row>
        <row r="114">
          <cell r="A114" t="str">
            <v>40056</v>
          </cell>
          <cell r="H114">
            <v>0</v>
          </cell>
        </row>
        <row r="115">
          <cell r="A115" t="str">
            <v>40085</v>
          </cell>
          <cell r="H115">
            <v>-12916.67</v>
          </cell>
        </row>
        <row r="116">
          <cell r="A116" t="str">
            <v>40155</v>
          </cell>
          <cell r="H116">
            <v>-51922181.310000002</v>
          </cell>
        </row>
        <row r="117">
          <cell r="A117" t="str">
            <v>49300</v>
          </cell>
          <cell r="H117">
            <v>-41094615.82</v>
          </cell>
        </row>
        <row r="118">
          <cell r="A118" t="str">
            <v>49405</v>
          </cell>
          <cell r="H118">
            <v>-95065629.00999999</v>
          </cell>
        </row>
        <row r="119">
          <cell r="A119" t="str">
            <v>50000</v>
          </cell>
          <cell r="H119">
            <v>0</v>
          </cell>
        </row>
        <row r="120">
          <cell r="A120" t="str">
            <v>53025</v>
          </cell>
          <cell r="H120">
            <v>0</v>
          </cell>
        </row>
        <row r="121">
          <cell r="A121" t="str">
            <v>53030</v>
          </cell>
          <cell r="H121">
            <v>0</v>
          </cell>
        </row>
        <row r="122">
          <cell r="A122" t="str">
            <v>53040</v>
          </cell>
          <cell r="H122">
            <v>80000</v>
          </cell>
        </row>
        <row r="123">
          <cell r="A123" t="str">
            <v>53045</v>
          </cell>
          <cell r="H123">
            <v>13507770.949999999</v>
          </cell>
        </row>
        <row r="124">
          <cell r="A124" t="str">
            <v>53055</v>
          </cell>
          <cell r="H124">
            <v>225468.75</v>
          </cell>
        </row>
        <row r="125">
          <cell r="A125" t="str">
            <v>53060</v>
          </cell>
          <cell r="H125">
            <v>16000</v>
          </cell>
        </row>
        <row r="126">
          <cell r="A126" t="str">
            <v>53074</v>
          </cell>
          <cell r="H126">
            <v>0</v>
          </cell>
        </row>
        <row r="127">
          <cell r="A127" t="str">
            <v>53075</v>
          </cell>
          <cell r="H127">
            <v>1863990</v>
          </cell>
        </row>
        <row r="128">
          <cell r="A128" t="str">
            <v>53080</v>
          </cell>
          <cell r="H128">
            <v>6949865.25</v>
          </cell>
        </row>
        <row r="129">
          <cell r="A129" t="str">
            <v>53090</v>
          </cell>
          <cell r="H129">
            <v>47500</v>
          </cell>
        </row>
        <row r="130">
          <cell r="A130" t="str">
            <v>53095</v>
          </cell>
          <cell r="H130">
            <v>2000</v>
          </cell>
        </row>
        <row r="131">
          <cell r="A131" t="str">
            <v>53110</v>
          </cell>
          <cell r="H131">
            <v>7000</v>
          </cell>
        </row>
        <row r="132">
          <cell r="A132" t="str">
            <v>53120</v>
          </cell>
          <cell r="H132">
            <v>49520426.049999997</v>
          </cell>
        </row>
        <row r="133">
          <cell r="A133" t="str">
            <v>53140</v>
          </cell>
          <cell r="H133">
            <v>0</v>
          </cell>
        </row>
        <row r="134">
          <cell r="A134" t="str">
            <v>60010</v>
          </cell>
          <cell r="H134">
            <v>2037037.04</v>
          </cell>
        </row>
        <row r="135">
          <cell r="A135" t="str">
            <v>60020</v>
          </cell>
          <cell r="H135">
            <v>492000</v>
          </cell>
        </row>
        <row r="136">
          <cell r="A136" t="str">
            <v>60025</v>
          </cell>
          <cell r="H136">
            <v>2523000</v>
          </cell>
        </row>
        <row r="137">
          <cell r="A137" t="str">
            <v>60030</v>
          </cell>
          <cell r="H137">
            <v>0</v>
          </cell>
        </row>
        <row r="138">
          <cell r="A138" t="str">
            <v>60040</v>
          </cell>
          <cell r="H138">
            <v>27000</v>
          </cell>
        </row>
        <row r="139">
          <cell r="A139" t="str">
            <v>60045</v>
          </cell>
          <cell r="H139">
            <v>799300</v>
          </cell>
        </row>
        <row r="140">
          <cell r="A140" t="str">
            <v>60050</v>
          </cell>
          <cell r="H140">
            <v>2789323.11</v>
          </cell>
        </row>
        <row r="141">
          <cell r="A141" t="str">
            <v>60060</v>
          </cell>
          <cell r="H141">
            <v>10881254.02</v>
          </cell>
        </row>
        <row r="142">
          <cell r="A142" t="str">
            <v>60070</v>
          </cell>
          <cell r="H142">
            <v>247500</v>
          </cell>
        </row>
        <row r="143">
          <cell r="A143" t="str">
            <v>60075</v>
          </cell>
          <cell r="H143">
            <v>0</v>
          </cell>
        </row>
        <row r="144">
          <cell r="A144" t="str">
            <v>60080</v>
          </cell>
          <cell r="H144">
            <v>2142577.38</v>
          </cell>
        </row>
        <row r="145">
          <cell r="A145" t="str">
            <v>60085</v>
          </cell>
          <cell r="H145">
            <v>1230339.76</v>
          </cell>
        </row>
        <row r="146">
          <cell r="A146" t="str">
            <v>60090</v>
          </cell>
          <cell r="H146">
            <v>1767024</v>
          </cell>
        </row>
        <row r="147">
          <cell r="A147" t="str">
            <v>60100</v>
          </cell>
          <cell r="H147">
            <v>23325735.479999997</v>
          </cell>
        </row>
        <row r="148">
          <cell r="A148" t="str">
            <v>60110</v>
          </cell>
          <cell r="H148">
            <v>1000</v>
          </cell>
        </row>
        <row r="149">
          <cell r="A149" t="str">
            <v>60115</v>
          </cell>
          <cell r="H149">
            <v>2000000</v>
          </cell>
        </row>
        <row r="150">
          <cell r="A150" t="str">
            <v>60125</v>
          </cell>
          <cell r="H150">
            <v>80270109</v>
          </cell>
        </row>
        <row r="151">
          <cell r="A151" t="str">
            <v>60200</v>
          </cell>
          <cell r="H151">
            <v>0</v>
          </cell>
        </row>
        <row r="152">
          <cell r="A152" t="str">
            <v>60201</v>
          </cell>
          <cell r="H152">
            <v>5505164.3099999996</v>
          </cell>
        </row>
        <row r="153">
          <cell r="A153" t="str">
            <v>60205</v>
          </cell>
          <cell r="H153">
            <v>336718.69</v>
          </cell>
        </row>
        <row r="154">
          <cell r="A154" t="str">
            <v>60206</v>
          </cell>
          <cell r="H154">
            <v>7194475.7999999998</v>
          </cell>
        </row>
        <row r="155">
          <cell r="A155" t="str">
            <v>60210</v>
          </cell>
          <cell r="H155">
            <v>7142775.0599999996</v>
          </cell>
        </row>
        <row r="156">
          <cell r="A156" t="str">
            <v>60211</v>
          </cell>
          <cell r="H156">
            <v>43023.360000000001</v>
          </cell>
        </row>
        <row r="157">
          <cell r="A157" t="str">
            <v>60213</v>
          </cell>
          <cell r="H157">
            <v>500000</v>
          </cell>
        </row>
        <row r="158">
          <cell r="A158" t="str">
            <v>60214</v>
          </cell>
          <cell r="H158">
            <v>0</v>
          </cell>
        </row>
        <row r="159">
          <cell r="A159" t="str">
            <v>60217</v>
          </cell>
          <cell r="H159">
            <v>0</v>
          </cell>
        </row>
        <row r="160">
          <cell r="A160" t="str">
            <v>61100</v>
          </cell>
          <cell r="H160">
            <v>1525182.34</v>
          </cell>
        </row>
        <row r="161">
          <cell r="A161" t="str">
            <v>61310</v>
          </cell>
          <cell r="H161">
            <v>276736</v>
          </cell>
        </row>
        <row r="162">
          <cell r="A162" t="str">
            <v>61315</v>
          </cell>
          <cell r="H162">
            <v>178500</v>
          </cell>
        </row>
        <row r="163">
          <cell r="A163" t="str">
            <v>61320</v>
          </cell>
          <cell r="H163">
            <v>5000</v>
          </cell>
        </row>
        <row r="164">
          <cell r="A164" t="str">
            <v>61500</v>
          </cell>
          <cell r="H164">
            <v>478710</v>
          </cell>
        </row>
        <row r="165">
          <cell r="A165" t="str">
            <v>61600</v>
          </cell>
          <cell r="H165">
            <v>8713354.8200000003</v>
          </cell>
        </row>
        <row r="166">
          <cell r="A166" t="str">
            <v>61700</v>
          </cell>
          <cell r="H166">
            <v>-130269.29999999993</v>
          </cell>
        </row>
        <row r="167">
          <cell r="A167" t="str">
            <v>62101</v>
          </cell>
          <cell r="H167">
            <v>0</v>
          </cell>
        </row>
        <row r="168">
          <cell r="A168" t="str">
            <v>62200</v>
          </cell>
          <cell r="H168">
            <v>63570</v>
          </cell>
        </row>
        <row r="169">
          <cell r="A169" t="str">
            <v>62415</v>
          </cell>
          <cell r="H169">
            <v>609500</v>
          </cell>
        </row>
        <row r="170">
          <cell r="A170" t="str">
            <v>62420</v>
          </cell>
          <cell r="H170">
            <v>71211</v>
          </cell>
        </row>
        <row r="171">
          <cell r="A171" t="str">
            <v>62425</v>
          </cell>
          <cell r="H171">
            <v>717500</v>
          </cell>
        </row>
        <row r="172">
          <cell r="A172" t="str">
            <v>62435</v>
          </cell>
          <cell r="H172">
            <v>15000</v>
          </cell>
        </row>
        <row r="173">
          <cell r="A173" t="str">
            <v>62700</v>
          </cell>
          <cell r="H173">
            <v>10688018.560000001</v>
          </cell>
        </row>
        <row r="174">
          <cell r="A174" t="str">
            <v>62950</v>
          </cell>
          <cell r="H174">
            <v>0</v>
          </cell>
        </row>
        <row r="175">
          <cell r="A175" t="str">
            <v>63110</v>
          </cell>
          <cell r="H175">
            <v>2147182.5</v>
          </cell>
        </row>
        <row r="176">
          <cell r="A176" t="str">
            <v>63120</v>
          </cell>
          <cell r="H176">
            <v>9174820.0899999999</v>
          </cell>
        </row>
        <row r="177">
          <cell r="A177" t="str">
            <v>63125</v>
          </cell>
          <cell r="H177">
            <v>91200</v>
          </cell>
        </row>
        <row r="178">
          <cell r="A178" t="str">
            <v>63907</v>
          </cell>
          <cell r="H178">
            <v>23720918</v>
          </cell>
        </row>
        <row r="179">
          <cell r="A179" t="str">
            <v>63910</v>
          </cell>
          <cell r="H179">
            <v>0</v>
          </cell>
        </row>
        <row r="180">
          <cell r="A180" t="str">
            <v>64000</v>
          </cell>
          <cell r="H180">
            <v>3285791.74</v>
          </cell>
        </row>
        <row r="181">
          <cell r="A181" t="str">
            <v>65000</v>
          </cell>
          <cell r="H181">
            <v>1950000</v>
          </cell>
        </row>
        <row r="182">
          <cell r="A182" t="str">
            <v>65007</v>
          </cell>
          <cell r="H182">
            <v>75499588.36999999</v>
          </cell>
        </row>
        <row r="183">
          <cell r="A183" t="str">
            <v>65015</v>
          </cell>
          <cell r="H183">
            <v>0</v>
          </cell>
        </row>
        <row r="184">
          <cell r="A184" t="str">
            <v>65030</v>
          </cell>
          <cell r="H184">
            <v>14359521.949999999</v>
          </cell>
        </row>
        <row r="185">
          <cell r="A185" t="str">
            <v>65035</v>
          </cell>
          <cell r="H185">
            <v>54877192.770000003</v>
          </cell>
        </row>
        <row r="186">
          <cell r="A186" t="str">
            <v>65037</v>
          </cell>
          <cell r="H186">
            <v>0</v>
          </cell>
        </row>
        <row r="187">
          <cell r="A187" t="str">
            <v>65095</v>
          </cell>
          <cell r="H187">
            <v>14076288.890000001</v>
          </cell>
        </row>
        <row r="188">
          <cell r="A188" t="str">
            <v>65100</v>
          </cell>
          <cell r="H188">
            <v>3638273.71</v>
          </cell>
        </row>
        <row r="189">
          <cell r="A189" t="str">
            <v>65800</v>
          </cell>
          <cell r="H189">
            <v>90500</v>
          </cell>
        </row>
        <row r="190">
          <cell r="A190" t="str">
            <v>66300</v>
          </cell>
          <cell r="H190">
            <v>292878.70000000007</v>
          </cell>
        </row>
        <row r="191">
          <cell r="A191" t="str">
            <v>67052</v>
          </cell>
          <cell r="H191">
            <v>0</v>
          </cell>
        </row>
        <row r="192">
          <cell r="A192" t="str">
            <v>67920</v>
          </cell>
          <cell r="H192">
            <v>33847644.530000001</v>
          </cell>
        </row>
        <row r="193">
          <cell r="A193" t="str">
            <v>67940</v>
          </cell>
          <cell r="H193">
            <v>-0.01</v>
          </cell>
        </row>
        <row r="194">
          <cell r="A194" t="str">
            <v>68500</v>
          </cell>
          <cell r="H194">
            <v>2550916.67</v>
          </cell>
        </row>
        <row r="195">
          <cell r="A195" t="str">
            <v>68502</v>
          </cell>
          <cell r="H195">
            <v>0</v>
          </cell>
        </row>
        <row r="196">
          <cell r="A196" t="str">
            <v>68503</v>
          </cell>
          <cell r="H196">
            <v>0</v>
          </cell>
        </row>
        <row r="197">
          <cell r="A197" t="str">
            <v>69600</v>
          </cell>
          <cell r="H197">
            <v>15098711.949999999</v>
          </cell>
        </row>
        <row r="198">
          <cell r="A198" t="str">
            <v>69901</v>
          </cell>
          <cell r="H198">
            <v>1201076.6599999999</v>
          </cell>
        </row>
      </sheetData>
      <sheetData sheetId="2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91251.87</v>
          </cell>
        </row>
        <row r="7">
          <cell r="A7" t="str">
            <v>10104</v>
          </cell>
          <cell r="H7">
            <v>5695816.4400000004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576450757.33000004</v>
          </cell>
        </row>
        <row r="10">
          <cell r="A10" t="str">
            <v>10108</v>
          </cell>
          <cell r="H10">
            <v>417482.5</v>
          </cell>
        </row>
        <row r="11">
          <cell r="A11" t="str">
            <v>10109</v>
          </cell>
          <cell r="H11">
            <v>1726190.7</v>
          </cell>
        </row>
        <row r="12">
          <cell r="A12" t="str">
            <v>10160</v>
          </cell>
          <cell r="H12">
            <v>20280000</v>
          </cell>
        </row>
        <row r="13">
          <cell r="A13" t="str">
            <v>10200</v>
          </cell>
          <cell r="H13">
            <v>11745.64</v>
          </cell>
        </row>
        <row r="14">
          <cell r="A14" t="str">
            <v>10210</v>
          </cell>
          <cell r="H14">
            <v>73124.13</v>
          </cell>
        </row>
        <row r="15">
          <cell r="A15" t="str">
            <v>10213</v>
          </cell>
          <cell r="H15">
            <v>20000</v>
          </cell>
        </row>
        <row r="16">
          <cell r="A16" t="str">
            <v>10215</v>
          </cell>
          <cell r="H16">
            <v>7256768.9400000004</v>
          </cell>
        </row>
        <row r="17">
          <cell r="A17" t="str">
            <v>10221</v>
          </cell>
          <cell r="H17">
            <v>989850.45</v>
          </cell>
        </row>
        <row r="18">
          <cell r="A18" t="str">
            <v>10223</v>
          </cell>
          <cell r="H18">
            <v>9340383.0299999993</v>
          </cell>
        </row>
        <row r="19">
          <cell r="A19" t="str">
            <v>10224</v>
          </cell>
          <cell r="H19">
            <v>32.869999999999997</v>
          </cell>
        </row>
        <row r="20">
          <cell r="A20" t="str">
            <v>10225</v>
          </cell>
          <cell r="H20">
            <v>1195332.18</v>
          </cell>
        </row>
        <row r="21">
          <cell r="A21" t="str">
            <v>10226</v>
          </cell>
          <cell r="H21">
            <v>6294157.6200000001</v>
          </cell>
        </row>
        <row r="22">
          <cell r="A22" t="str">
            <v>10227</v>
          </cell>
          <cell r="H22">
            <v>8535343.6300000008</v>
          </cell>
        </row>
        <row r="23">
          <cell r="A23" t="str">
            <v>10235</v>
          </cell>
          <cell r="H23">
            <v>5388894.4100000001</v>
          </cell>
        </row>
        <row r="24">
          <cell r="A24" t="str">
            <v>10240</v>
          </cell>
          <cell r="H24">
            <v>31493.46</v>
          </cell>
        </row>
        <row r="25">
          <cell r="A25" t="str">
            <v>10245</v>
          </cell>
          <cell r="H25">
            <v>208999.86</v>
          </cell>
        </row>
        <row r="26">
          <cell r="A26" t="str">
            <v>10253</v>
          </cell>
          <cell r="H26">
            <v>2902335.64</v>
          </cell>
        </row>
        <row r="27">
          <cell r="A27" t="str">
            <v>10255</v>
          </cell>
          <cell r="H27">
            <v>2206724.2999999998</v>
          </cell>
        </row>
        <row r="28">
          <cell r="A28" t="str">
            <v>10256</v>
          </cell>
          <cell r="H28">
            <v>17697029.859999999</v>
          </cell>
        </row>
        <row r="29">
          <cell r="A29" t="str">
            <v>10260</v>
          </cell>
          <cell r="H29">
            <v>0</v>
          </cell>
        </row>
        <row r="30">
          <cell r="A30" t="str">
            <v>10265</v>
          </cell>
          <cell r="H30">
            <v>1317911.4099999999</v>
          </cell>
        </row>
        <row r="31">
          <cell r="A31" t="str">
            <v>10270</v>
          </cell>
          <cell r="H31">
            <v>106671760.56999999</v>
          </cell>
        </row>
        <row r="32">
          <cell r="A32" t="str">
            <v>10280</v>
          </cell>
          <cell r="H32">
            <v>563903.84</v>
          </cell>
        </row>
        <row r="33">
          <cell r="A33" t="str">
            <v>10285</v>
          </cell>
          <cell r="H33">
            <v>9233411.8900000006</v>
          </cell>
        </row>
        <row r="34">
          <cell r="A34" t="str">
            <v>10293</v>
          </cell>
          <cell r="H34">
            <v>410539.2</v>
          </cell>
        </row>
        <row r="35">
          <cell r="A35" t="str">
            <v>10305</v>
          </cell>
          <cell r="H35">
            <v>4753.08</v>
          </cell>
        </row>
        <row r="36">
          <cell r="A36" t="str">
            <v>10310</v>
          </cell>
          <cell r="H36">
            <v>33813543.159999996</v>
          </cell>
        </row>
        <row r="37">
          <cell r="A37" t="str">
            <v>10316</v>
          </cell>
          <cell r="H37">
            <v>6286942.2699999996</v>
          </cell>
        </row>
        <row r="38">
          <cell r="A38" t="str">
            <v>10317</v>
          </cell>
          <cell r="H38">
            <v>101797.4</v>
          </cell>
        </row>
        <row r="39">
          <cell r="A39" t="str">
            <v>10320</v>
          </cell>
          <cell r="H39">
            <v>53.75</v>
          </cell>
        </row>
        <row r="40">
          <cell r="A40" t="str">
            <v>10341</v>
          </cell>
          <cell r="H40">
            <v>339222.02</v>
          </cell>
        </row>
        <row r="41">
          <cell r="A41" t="str">
            <v>10342</v>
          </cell>
          <cell r="H41">
            <v>97618935.579999998</v>
          </cell>
        </row>
        <row r="42">
          <cell r="A42" t="str">
            <v>10343</v>
          </cell>
          <cell r="H42">
            <v>20771.82</v>
          </cell>
        </row>
        <row r="43">
          <cell r="A43" t="str">
            <v>10497</v>
          </cell>
          <cell r="H43">
            <v>2400729.21</v>
          </cell>
        </row>
        <row r="44">
          <cell r="A44" t="str">
            <v>10500</v>
          </cell>
          <cell r="H44">
            <v>0</v>
          </cell>
        </row>
        <row r="45">
          <cell r="A45" t="str">
            <v>10801</v>
          </cell>
          <cell r="H45">
            <v>-82167</v>
          </cell>
        </row>
        <row r="46">
          <cell r="A46" t="str">
            <v>11000</v>
          </cell>
          <cell r="H46">
            <v>261318604.97</v>
          </cell>
        </row>
        <row r="47">
          <cell r="A47" t="str">
            <v>12100</v>
          </cell>
          <cell r="H47">
            <v>94581089.150000006</v>
          </cell>
        </row>
        <row r="48">
          <cell r="A48" t="str">
            <v>13002</v>
          </cell>
          <cell r="H48">
            <v>1440000</v>
          </cell>
        </row>
        <row r="49">
          <cell r="A49" t="str">
            <v>13003</v>
          </cell>
          <cell r="H49">
            <v>245689217.77000001</v>
          </cell>
        </row>
        <row r="50">
          <cell r="A50" t="str">
            <v>13004</v>
          </cell>
          <cell r="H50">
            <v>9045220.8300000001</v>
          </cell>
        </row>
        <row r="51">
          <cell r="A51" t="str">
            <v>13010</v>
          </cell>
          <cell r="H51">
            <v>18765833.34</v>
          </cell>
        </row>
        <row r="52">
          <cell r="A52" t="str">
            <v>13120</v>
          </cell>
          <cell r="H52">
            <v>108136211.08</v>
          </cell>
        </row>
        <row r="53">
          <cell r="A53" t="str">
            <v>13130</v>
          </cell>
          <cell r="H53">
            <v>12230758.5</v>
          </cell>
        </row>
        <row r="54">
          <cell r="A54" t="str">
            <v>13135</v>
          </cell>
          <cell r="H54">
            <v>8148148.2400000002</v>
          </cell>
        </row>
        <row r="55">
          <cell r="A55" t="str">
            <v>13200</v>
          </cell>
          <cell r="H55">
            <v>12913475.17</v>
          </cell>
        </row>
        <row r="56">
          <cell r="A56" t="str">
            <v>13400</v>
          </cell>
          <cell r="H56">
            <v>454629154.98000002</v>
          </cell>
        </row>
        <row r="57">
          <cell r="A57" t="str">
            <v>14000</v>
          </cell>
          <cell r="H57">
            <v>-102689600.92</v>
          </cell>
        </row>
        <row r="58">
          <cell r="A58" t="str">
            <v>14001</v>
          </cell>
          <cell r="H58">
            <v>-111582080.88</v>
          </cell>
        </row>
        <row r="59">
          <cell r="A59" t="str">
            <v>14010</v>
          </cell>
          <cell r="H59">
            <v>7171397.2999999998</v>
          </cell>
        </row>
        <row r="60">
          <cell r="A60" t="str">
            <v>14014</v>
          </cell>
          <cell r="H60">
            <v>39705998.890000001</v>
          </cell>
        </row>
        <row r="61">
          <cell r="A61" t="str">
            <v>14016</v>
          </cell>
          <cell r="H61">
            <v>2380000</v>
          </cell>
        </row>
        <row r="62">
          <cell r="A62" t="str">
            <v>14017</v>
          </cell>
          <cell r="H62">
            <v>0</v>
          </cell>
        </row>
        <row r="63">
          <cell r="A63" t="str">
            <v>14020</v>
          </cell>
          <cell r="H63">
            <v>0</v>
          </cell>
        </row>
        <row r="64">
          <cell r="A64" t="str">
            <v>15000</v>
          </cell>
          <cell r="H64">
            <v>27291067.68</v>
          </cell>
        </row>
        <row r="65">
          <cell r="A65" t="str">
            <v>15100</v>
          </cell>
          <cell r="H65">
            <v>88402001</v>
          </cell>
        </row>
        <row r="66">
          <cell r="A66" t="str">
            <v>15200</v>
          </cell>
          <cell r="H66">
            <v>293110375.25999999</v>
          </cell>
        </row>
        <row r="67">
          <cell r="A67" t="str">
            <v>15300</v>
          </cell>
          <cell r="H67">
            <v>17087942.25</v>
          </cell>
        </row>
        <row r="68">
          <cell r="A68" t="str">
            <v>15400</v>
          </cell>
          <cell r="H68">
            <v>174166123.81</v>
          </cell>
        </row>
        <row r="69">
          <cell r="A69" t="str">
            <v>15405</v>
          </cell>
          <cell r="H69">
            <v>17904365.100000001</v>
          </cell>
        </row>
        <row r="70">
          <cell r="A70" t="str">
            <v>15410</v>
          </cell>
          <cell r="H70">
            <v>2410161.5</v>
          </cell>
        </row>
        <row r="71">
          <cell r="A71" t="str">
            <v>15500</v>
          </cell>
          <cell r="H71">
            <v>61627057.890000001</v>
          </cell>
        </row>
        <row r="72">
          <cell r="A72" t="str">
            <v>15501</v>
          </cell>
          <cell r="H72">
            <v>546358998.30999994</v>
          </cell>
        </row>
        <row r="73">
          <cell r="A73" t="str">
            <v>15505</v>
          </cell>
          <cell r="H73">
            <v>8503671.5099999998</v>
          </cell>
        </row>
        <row r="74">
          <cell r="A74" t="str">
            <v>15509</v>
          </cell>
          <cell r="H74">
            <v>4400000</v>
          </cell>
        </row>
        <row r="75">
          <cell r="A75" t="str">
            <v>15510</v>
          </cell>
          <cell r="H75">
            <v>409542430.24000001</v>
          </cell>
        </row>
        <row r="76">
          <cell r="A76" t="str">
            <v>16000</v>
          </cell>
          <cell r="H76">
            <v>-26237311.920000002</v>
          </cell>
        </row>
        <row r="77">
          <cell r="A77" t="str">
            <v>16100</v>
          </cell>
          <cell r="H77">
            <v>-88250126.060000002</v>
          </cell>
        </row>
        <row r="78">
          <cell r="A78" t="str">
            <v>16200</v>
          </cell>
          <cell r="H78">
            <v>-192115360.59999999</v>
          </cell>
        </row>
        <row r="79">
          <cell r="A79" t="str">
            <v>16300</v>
          </cell>
          <cell r="H79">
            <v>-13780216.9</v>
          </cell>
        </row>
        <row r="80">
          <cell r="A80" t="str">
            <v>16500</v>
          </cell>
          <cell r="H80">
            <v>-17904365.100000001</v>
          </cell>
        </row>
        <row r="81">
          <cell r="A81" t="str">
            <v>17000</v>
          </cell>
          <cell r="H81">
            <v>285727141.44999999</v>
          </cell>
        </row>
        <row r="82">
          <cell r="A82" t="str">
            <v>19004</v>
          </cell>
          <cell r="H82">
            <v>17545454.559999999</v>
          </cell>
        </row>
        <row r="83">
          <cell r="A83" t="str">
            <v>19006</v>
          </cell>
          <cell r="H83">
            <v>-55068.32</v>
          </cell>
        </row>
        <row r="84">
          <cell r="A84" t="str">
            <v>19007</v>
          </cell>
          <cell r="H84">
            <v>5860667243.1800003</v>
          </cell>
        </row>
        <row r="85">
          <cell r="A85" t="str">
            <v>69904</v>
          </cell>
          <cell r="H85">
            <v>-19651528.030000001</v>
          </cell>
        </row>
        <row r="86">
          <cell r="A86" t="str">
            <v>20000</v>
          </cell>
          <cell r="H86">
            <v>-212871447.09</v>
          </cell>
        </row>
        <row r="87">
          <cell r="A87" t="str">
            <v>20005</v>
          </cell>
          <cell r="H87">
            <v>-144789337.31999999</v>
          </cell>
        </row>
        <row r="88">
          <cell r="A88" t="str">
            <v>22100</v>
          </cell>
          <cell r="H88">
            <v>-17946503.23</v>
          </cell>
        </row>
        <row r="89">
          <cell r="A89" t="str">
            <v>23000</v>
          </cell>
          <cell r="H89">
            <v>-1006902332.5</v>
          </cell>
        </row>
        <row r="90">
          <cell r="A90" t="str">
            <v>23001</v>
          </cell>
          <cell r="H90">
            <v>59891429</v>
          </cell>
        </row>
        <row r="91">
          <cell r="A91" t="str">
            <v>23010</v>
          </cell>
          <cell r="H91">
            <v>-14287736.699999999</v>
          </cell>
        </row>
        <row r="92">
          <cell r="A92" t="str">
            <v>23015</v>
          </cell>
          <cell r="H92">
            <v>-5142585.67</v>
          </cell>
        </row>
        <row r="93">
          <cell r="A93" t="str">
            <v>23040</v>
          </cell>
          <cell r="H93">
            <v>-7715568.3300000001</v>
          </cell>
        </row>
        <row r="94">
          <cell r="A94" t="str">
            <v>23400</v>
          </cell>
          <cell r="H94">
            <v>-1242372803.8699999</v>
          </cell>
        </row>
        <row r="95">
          <cell r="A95" t="str">
            <v>23405</v>
          </cell>
          <cell r="H95">
            <v>892291131.38</v>
          </cell>
        </row>
        <row r="96">
          <cell r="A96" t="str">
            <v>23410</v>
          </cell>
          <cell r="H96">
            <v>51599186.399999999</v>
          </cell>
        </row>
        <row r="97">
          <cell r="A97" t="str">
            <v>23420</v>
          </cell>
          <cell r="H97">
            <v>-21159696.27</v>
          </cell>
        </row>
        <row r="98">
          <cell r="A98" t="str">
            <v>23425</v>
          </cell>
          <cell r="H98">
            <v>-42242924.219999999</v>
          </cell>
        </row>
        <row r="99">
          <cell r="A99" t="str">
            <v>23889</v>
          </cell>
          <cell r="H99">
            <v>0</v>
          </cell>
        </row>
        <row r="100">
          <cell r="A100" t="str">
            <v>24010</v>
          </cell>
          <cell r="H100">
            <v>-18552668.059999999</v>
          </cell>
        </row>
        <row r="101">
          <cell r="A101" t="str">
            <v>24100</v>
          </cell>
          <cell r="H101">
            <v>0.35</v>
          </cell>
        </row>
        <row r="102">
          <cell r="A102" t="str">
            <v>30005</v>
          </cell>
          <cell r="H102">
            <v>96238158.140000001</v>
          </cell>
        </row>
        <row r="103">
          <cell r="A103" t="str">
            <v>30035</v>
          </cell>
          <cell r="H103">
            <v>101787277.34999999</v>
          </cell>
        </row>
        <row r="104">
          <cell r="A104" t="str">
            <v>30040</v>
          </cell>
          <cell r="H104">
            <v>-107359858</v>
          </cell>
        </row>
        <row r="105">
          <cell r="A105" t="str">
            <v>30042</v>
          </cell>
          <cell r="H105">
            <v>-7359858</v>
          </cell>
        </row>
        <row r="106">
          <cell r="A106" t="str">
            <v>30043</v>
          </cell>
          <cell r="H106">
            <v>-114297251.5</v>
          </cell>
        </row>
        <row r="107">
          <cell r="A107" t="str">
            <v>30044</v>
          </cell>
          <cell r="H107">
            <v>-7197829200</v>
          </cell>
        </row>
        <row r="108">
          <cell r="A108" t="str">
            <v>32000</v>
          </cell>
          <cell r="H108">
            <v>-1111090970.6300001</v>
          </cell>
        </row>
        <row r="109">
          <cell r="A109" t="str">
            <v>40015</v>
          </cell>
          <cell r="H109">
            <v>-3087069.77</v>
          </cell>
        </row>
        <row r="110">
          <cell r="A110" t="str">
            <v>40020</v>
          </cell>
          <cell r="H110">
            <v>-293333.33</v>
          </cell>
        </row>
        <row r="111">
          <cell r="A111" t="str">
            <v>40025</v>
          </cell>
          <cell r="H111">
            <v>-46595790.700000003</v>
          </cell>
        </row>
        <row r="112">
          <cell r="A112" t="str">
            <v>40055</v>
          </cell>
          <cell r="H112">
            <v>-9648401.0999999996</v>
          </cell>
        </row>
        <row r="113">
          <cell r="A113" t="str">
            <v>40056</v>
          </cell>
          <cell r="H113">
            <v>-186046.51</v>
          </cell>
        </row>
        <row r="114">
          <cell r="A114" t="str">
            <v>40085</v>
          </cell>
          <cell r="H114">
            <v>-17083.34</v>
          </cell>
        </row>
        <row r="115">
          <cell r="A115" t="str">
            <v>40155</v>
          </cell>
          <cell r="H115">
            <v>-9199126.2300000004</v>
          </cell>
        </row>
        <row r="116">
          <cell r="A116" t="str">
            <v>49300</v>
          </cell>
          <cell r="H116">
            <v>-77470868.230000004</v>
          </cell>
        </row>
        <row r="117">
          <cell r="A117" t="str">
            <v>49405</v>
          </cell>
          <cell r="H117">
            <v>-104367954.59</v>
          </cell>
        </row>
        <row r="118">
          <cell r="A118" t="str">
            <v>50000</v>
          </cell>
          <cell r="H118">
            <v>0</v>
          </cell>
        </row>
        <row r="119">
          <cell r="A119" t="str">
            <v>53025</v>
          </cell>
          <cell r="H119">
            <v>0</v>
          </cell>
        </row>
        <row r="120">
          <cell r="A120" t="str">
            <v>53030</v>
          </cell>
          <cell r="H120">
            <v>0</v>
          </cell>
        </row>
        <row r="121">
          <cell r="A121" t="str">
            <v>53040</v>
          </cell>
          <cell r="H121">
            <v>100000</v>
          </cell>
        </row>
        <row r="122">
          <cell r="A122" t="str">
            <v>53045</v>
          </cell>
          <cell r="H122">
            <v>14692363.43</v>
          </cell>
        </row>
        <row r="123">
          <cell r="A123" t="str">
            <v>53055</v>
          </cell>
          <cell r="H123">
            <v>225468.75</v>
          </cell>
        </row>
        <row r="124">
          <cell r="A124" t="str">
            <v>53060</v>
          </cell>
          <cell r="H124">
            <v>6500</v>
          </cell>
        </row>
        <row r="125">
          <cell r="A125" t="str">
            <v>53074</v>
          </cell>
          <cell r="H125">
            <v>0</v>
          </cell>
        </row>
        <row r="126">
          <cell r="A126" t="str">
            <v>53075</v>
          </cell>
          <cell r="H126">
            <v>1904500</v>
          </cell>
        </row>
        <row r="127">
          <cell r="A127" t="str">
            <v>53080</v>
          </cell>
          <cell r="H127">
            <v>6434261.6899999995</v>
          </cell>
        </row>
        <row r="128">
          <cell r="A128" t="str">
            <v>53090</v>
          </cell>
          <cell r="H128">
            <v>9400</v>
          </cell>
        </row>
        <row r="129">
          <cell r="A129" t="str">
            <v>53095</v>
          </cell>
          <cell r="H129">
            <v>2000</v>
          </cell>
        </row>
        <row r="130">
          <cell r="A130" t="str">
            <v>53110</v>
          </cell>
          <cell r="H130">
            <v>7000</v>
          </cell>
        </row>
        <row r="131">
          <cell r="A131" t="str">
            <v>53120</v>
          </cell>
          <cell r="H131">
            <v>51524451.880000003</v>
          </cell>
        </row>
        <row r="132">
          <cell r="A132" t="str">
            <v>53140</v>
          </cell>
          <cell r="H132">
            <v>0</v>
          </cell>
        </row>
        <row r="133">
          <cell r="A133" t="str">
            <v>60010</v>
          </cell>
          <cell r="H133">
            <v>2037037.04</v>
          </cell>
        </row>
        <row r="134">
          <cell r="A134" t="str">
            <v>60020</v>
          </cell>
          <cell r="H134">
            <v>26000</v>
          </cell>
        </row>
        <row r="135">
          <cell r="A135" t="str">
            <v>60025</v>
          </cell>
          <cell r="H135">
            <v>451800</v>
          </cell>
        </row>
        <row r="136">
          <cell r="A136" t="str">
            <v>60030</v>
          </cell>
          <cell r="H136">
            <v>127250</v>
          </cell>
        </row>
        <row r="137">
          <cell r="A137" t="str">
            <v>60040</v>
          </cell>
          <cell r="H137">
            <v>23500</v>
          </cell>
        </row>
        <row r="138">
          <cell r="A138" t="str">
            <v>60045</v>
          </cell>
          <cell r="H138">
            <v>735300</v>
          </cell>
        </row>
        <row r="139">
          <cell r="A139" t="str">
            <v>60050</v>
          </cell>
          <cell r="H139">
            <v>3056185.14</v>
          </cell>
        </row>
        <row r="140">
          <cell r="A140" t="str">
            <v>60060</v>
          </cell>
          <cell r="H140">
            <v>12686412.939999999</v>
          </cell>
        </row>
        <row r="141">
          <cell r="A141" t="str">
            <v>60070</v>
          </cell>
          <cell r="H141">
            <v>0</v>
          </cell>
        </row>
        <row r="142">
          <cell r="A142" t="str">
            <v>60075</v>
          </cell>
          <cell r="H142">
            <v>150000</v>
          </cell>
        </row>
        <row r="143">
          <cell r="A143" t="str">
            <v>60080</v>
          </cell>
          <cell r="H143">
            <v>2036979.17</v>
          </cell>
        </row>
        <row r="144">
          <cell r="A144" t="str">
            <v>60085</v>
          </cell>
          <cell r="H144">
            <v>905031.64</v>
          </cell>
        </row>
        <row r="145">
          <cell r="A145" t="str">
            <v>60090</v>
          </cell>
          <cell r="H145">
            <v>77207205.600000009</v>
          </cell>
        </row>
        <row r="146">
          <cell r="A146" t="str">
            <v>60100</v>
          </cell>
          <cell r="H146">
            <v>28651003.699999999</v>
          </cell>
        </row>
        <row r="147">
          <cell r="A147" t="str">
            <v>60110</v>
          </cell>
          <cell r="H147">
            <v>0</v>
          </cell>
        </row>
        <row r="148">
          <cell r="A148" t="str">
            <v>60115</v>
          </cell>
          <cell r="H148">
            <v>0</v>
          </cell>
        </row>
        <row r="149">
          <cell r="A149" t="str">
            <v>60125</v>
          </cell>
          <cell r="H149">
            <v>-154000</v>
          </cell>
        </row>
        <row r="150">
          <cell r="A150" t="str">
            <v>60200</v>
          </cell>
          <cell r="H150">
            <v>900000</v>
          </cell>
        </row>
        <row r="151">
          <cell r="A151" t="str">
            <v>60201</v>
          </cell>
          <cell r="H151">
            <v>10747449.6</v>
          </cell>
        </row>
        <row r="152">
          <cell r="A152" t="str">
            <v>60205</v>
          </cell>
          <cell r="H152">
            <v>676969.16999999993</v>
          </cell>
        </row>
        <row r="153">
          <cell r="A153" t="str">
            <v>60206</v>
          </cell>
          <cell r="H153">
            <v>4183327.2</v>
          </cell>
        </row>
        <row r="154">
          <cell r="A154" t="str">
            <v>60210</v>
          </cell>
          <cell r="H154">
            <v>17456505.419999998</v>
          </cell>
        </row>
        <row r="155">
          <cell r="A155" t="str">
            <v>60211</v>
          </cell>
          <cell r="H155">
            <v>102016.53</v>
          </cell>
        </row>
        <row r="156">
          <cell r="A156" t="str">
            <v>60213</v>
          </cell>
          <cell r="H156">
            <v>0</v>
          </cell>
        </row>
        <row r="157">
          <cell r="A157" t="str">
            <v>60214</v>
          </cell>
          <cell r="H157">
            <v>0</v>
          </cell>
        </row>
        <row r="158">
          <cell r="A158" t="str">
            <v>60217</v>
          </cell>
          <cell r="H158">
            <v>1631250</v>
          </cell>
        </row>
        <row r="159">
          <cell r="A159" t="str">
            <v>61100</v>
          </cell>
          <cell r="H159">
            <v>2961152.74</v>
          </cell>
        </row>
        <row r="160">
          <cell r="A160" t="str">
            <v>61310</v>
          </cell>
          <cell r="H160">
            <v>250092</v>
          </cell>
        </row>
        <row r="161">
          <cell r="A161" t="str">
            <v>61315</v>
          </cell>
          <cell r="H161">
            <v>28500</v>
          </cell>
        </row>
        <row r="162">
          <cell r="A162" t="str">
            <v>61320</v>
          </cell>
          <cell r="H162">
            <v>50204.4</v>
          </cell>
        </row>
        <row r="163">
          <cell r="A163" t="str">
            <v>61500</v>
          </cell>
          <cell r="H163">
            <v>15000</v>
          </cell>
        </row>
        <row r="164">
          <cell r="A164" t="str">
            <v>61600</v>
          </cell>
          <cell r="H164">
            <v>9241921.4399999995</v>
          </cell>
        </row>
        <row r="165">
          <cell r="A165" t="str">
            <v>61700</v>
          </cell>
          <cell r="H165">
            <v>745089.97</v>
          </cell>
        </row>
        <row r="166">
          <cell r="A166" t="str">
            <v>62101</v>
          </cell>
          <cell r="H166">
            <v>0</v>
          </cell>
        </row>
        <row r="167">
          <cell r="A167" t="str">
            <v>62200</v>
          </cell>
          <cell r="H167">
            <v>203860</v>
          </cell>
        </row>
        <row r="168">
          <cell r="A168" t="str">
            <v>62415</v>
          </cell>
          <cell r="H168">
            <v>929725</v>
          </cell>
        </row>
        <row r="169">
          <cell r="A169" t="str">
            <v>62420</v>
          </cell>
          <cell r="H169">
            <v>0</v>
          </cell>
        </row>
        <row r="170">
          <cell r="A170" t="str">
            <v>62425</v>
          </cell>
          <cell r="H170">
            <v>633950</v>
          </cell>
        </row>
        <row r="171">
          <cell r="A171" t="str">
            <v>62435</v>
          </cell>
          <cell r="H171">
            <v>70500</v>
          </cell>
        </row>
        <row r="172">
          <cell r="A172" t="str">
            <v>62700</v>
          </cell>
          <cell r="H172">
            <v>1263061.46</v>
          </cell>
        </row>
        <row r="173">
          <cell r="A173" t="str">
            <v>62950</v>
          </cell>
          <cell r="H173">
            <v>0</v>
          </cell>
        </row>
        <row r="174">
          <cell r="A174" t="str">
            <v>63110</v>
          </cell>
          <cell r="H174">
            <v>2227446.2400000002</v>
          </cell>
        </row>
        <row r="175">
          <cell r="A175" t="str">
            <v>63120</v>
          </cell>
          <cell r="H175">
            <v>1168332.01</v>
          </cell>
        </row>
        <row r="176">
          <cell r="A176" t="str">
            <v>63125</v>
          </cell>
          <cell r="H176">
            <v>56900</v>
          </cell>
        </row>
        <row r="177">
          <cell r="A177" t="str">
            <v>63907</v>
          </cell>
          <cell r="H177">
            <v>23252776</v>
          </cell>
        </row>
        <row r="178">
          <cell r="A178" t="str">
            <v>63910</v>
          </cell>
          <cell r="H178">
            <v>0</v>
          </cell>
        </row>
        <row r="179">
          <cell r="A179" t="str">
            <v>64000</v>
          </cell>
          <cell r="H179">
            <v>3160589.24</v>
          </cell>
        </row>
        <row r="180">
          <cell r="A180" t="str">
            <v>65000</v>
          </cell>
          <cell r="H180">
            <v>0</v>
          </cell>
        </row>
        <row r="181">
          <cell r="A181" t="str">
            <v>65007</v>
          </cell>
          <cell r="H181">
            <v>4228157.12</v>
          </cell>
        </row>
        <row r="182">
          <cell r="A182" t="str">
            <v>65015</v>
          </cell>
          <cell r="H182">
            <v>0</v>
          </cell>
        </row>
        <row r="183">
          <cell r="A183" t="str">
            <v>65030</v>
          </cell>
          <cell r="H183">
            <v>15102430.039999999</v>
          </cell>
        </row>
        <row r="184">
          <cell r="A184" t="str">
            <v>65035</v>
          </cell>
          <cell r="H184">
            <v>55034072.039999999</v>
          </cell>
        </row>
        <row r="185">
          <cell r="A185" t="str">
            <v>65037</v>
          </cell>
          <cell r="H185">
            <v>0</v>
          </cell>
        </row>
        <row r="186">
          <cell r="A186" t="str">
            <v>65095</v>
          </cell>
          <cell r="H186">
            <v>5896357.8600000003</v>
          </cell>
        </row>
        <row r="187">
          <cell r="A187" t="str">
            <v>65100</v>
          </cell>
          <cell r="H187">
            <v>3816939.91</v>
          </cell>
        </row>
        <row r="188">
          <cell r="A188" t="str">
            <v>65800</v>
          </cell>
          <cell r="H188">
            <v>0</v>
          </cell>
        </row>
        <row r="189">
          <cell r="A189" t="str">
            <v>67052</v>
          </cell>
          <cell r="H189">
            <v>0</v>
          </cell>
        </row>
        <row r="190">
          <cell r="A190" t="str">
            <v>67920</v>
          </cell>
          <cell r="H190">
            <v>142600528.06999999</v>
          </cell>
        </row>
        <row r="191">
          <cell r="A191" t="str">
            <v>67940</v>
          </cell>
          <cell r="H191">
            <v>2.3199999999999998</v>
          </cell>
        </row>
        <row r="192">
          <cell r="A192" t="str">
            <v>68500</v>
          </cell>
          <cell r="H192">
            <v>1791666.67</v>
          </cell>
        </row>
        <row r="193">
          <cell r="A193" t="str">
            <v>68502</v>
          </cell>
          <cell r="H193">
            <v>492765</v>
          </cell>
        </row>
        <row r="194">
          <cell r="A194" t="str">
            <v>68503</v>
          </cell>
          <cell r="H194">
            <v>0</v>
          </cell>
        </row>
        <row r="195">
          <cell r="A195" t="str">
            <v>69600</v>
          </cell>
          <cell r="H195">
            <v>3327763.5</v>
          </cell>
        </row>
        <row r="196">
          <cell r="A196" t="str">
            <v>69901</v>
          </cell>
          <cell r="H196">
            <v>1201076.6599999999</v>
          </cell>
        </row>
        <row r="197">
          <cell r="H197" t="e">
            <v>#N/A</v>
          </cell>
        </row>
        <row r="198">
          <cell r="H198" t="e">
            <v>#N/A</v>
          </cell>
        </row>
      </sheetData>
      <sheetData sheetId="2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109721.87</v>
          </cell>
        </row>
        <row r="7">
          <cell r="A7" t="str">
            <v>10104</v>
          </cell>
          <cell r="H7">
            <v>1437798.76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576450757.33000004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10213</v>
          </cell>
          <cell r="H13">
            <v>20000</v>
          </cell>
        </row>
        <row r="14">
          <cell r="A14" t="str">
            <v>10215</v>
          </cell>
          <cell r="H14">
            <v>3651019.8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3526876.99</v>
          </cell>
        </row>
        <row r="17">
          <cell r="A17" t="str">
            <v>10224</v>
          </cell>
          <cell r="H17">
            <v>33.36</v>
          </cell>
        </row>
        <row r="18">
          <cell r="A18" t="str">
            <v>10225</v>
          </cell>
          <cell r="H18">
            <v>376579.69</v>
          </cell>
        </row>
        <row r="19">
          <cell r="A19" t="str">
            <v>10226</v>
          </cell>
          <cell r="H19">
            <v>10072308.789999999</v>
          </cell>
        </row>
        <row r="20">
          <cell r="A20" t="str">
            <v>10227</v>
          </cell>
          <cell r="H20">
            <v>15604052.98</v>
          </cell>
        </row>
        <row r="21">
          <cell r="A21" t="str">
            <v>10235</v>
          </cell>
          <cell r="H21">
            <v>1766586.76</v>
          </cell>
        </row>
        <row r="22">
          <cell r="A22" t="str">
            <v>10240</v>
          </cell>
          <cell r="H22">
            <v>31493.46</v>
          </cell>
        </row>
        <row r="23">
          <cell r="A23" t="str">
            <v>10245</v>
          </cell>
          <cell r="H23">
            <v>208999.86</v>
          </cell>
        </row>
        <row r="24">
          <cell r="A24" t="str">
            <v>10253</v>
          </cell>
          <cell r="H24">
            <v>33514121.670000002</v>
          </cell>
        </row>
        <row r="25">
          <cell r="A25" t="str">
            <v>10255</v>
          </cell>
          <cell r="H25">
            <v>4305608.58</v>
          </cell>
        </row>
        <row r="26">
          <cell r="A26" t="str">
            <v>10256</v>
          </cell>
          <cell r="H26">
            <v>387668663.37</v>
          </cell>
        </row>
        <row r="27">
          <cell r="A27" t="str">
            <v>10260</v>
          </cell>
          <cell r="H27">
            <v>28443.360000000001</v>
          </cell>
        </row>
        <row r="28">
          <cell r="A28" t="str">
            <v>10265</v>
          </cell>
          <cell r="H28">
            <v>1231165.51</v>
          </cell>
        </row>
        <row r="29">
          <cell r="A29" t="str">
            <v>10270</v>
          </cell>
          <cell r="H29">
            <v>120015089.09</v>
          </cell>
        </row>
        <row r="30">
          <cell r="A30" t="str">
            <v>10280</v>
          </cell>
          <cell r="H30">
            <v>563903.84</v>
          </cell>
        </row>
        <row r="31">
          <cell r="A31" t="str">
            <v>10285</v>
          </cell>
          <cell r="H31">
            <v>54253579.359999999</v>
          </cell>
        </row>
        <row r="32">
          <cell r="A32" t="str">
            <v>10293</v>
          </cell>
          <cell r="H32">
            <v>5521.01</v>
          </cell>
        </row>
        <row r="33">
          <cell r="A33" t="str">
            <v>10305</v>
          </cell>
          <cell r="H33">
            <v>4753.08</v>
          </cell>
        </row>
        <row r="34">
          <cell r="A34" t="str">
            <v>10310</v>
          </cell>
          <cell r="H34">
            <v>12113743.16</v>
          </cell>
        </row>
        <row r="35">
          <cell r="A35" t="str">
            <v>10316</v>
          </cell>
          <cell r="H35">
            <v>13490505.48</v>
          </cell>
        </row>
        <row r="36">
          <cell r="A36" t="str">
            <v>10317</v>
          </cell>
          <cell r="H36">
            <v>101797.4</v>
          </cell>
        </row>
        <row r="37">
          <cell r="A37" t="str">
            <v>10320</v>
          </cell>
          <cell r="H37">
            <v>53.75</v>
          </cell>
        </row>
        <row r="38">
          <cell r="A38" t="str">
            <v>10341</v>
          </cell>
          <cell r="H38">
            <v>315827.77</v>
          </cell>
        </row>
        <row r="39">
          <cell r="A39" t="str">
            <v>10342</v>
          </cell>
          <cell r="H39">
            <v>191267318.11000001</v>
          </cell>
        </row>
        <row r="40">
          <cell r="A40" t="str">
            <v>10343</v>
          </cell>
          <cell r="H40">
            <v>21083.27</v>
          </cell>
        </row>
        <row r="41">
          <cell r="A41" t="str">
            <v>10497</v>
          </cell>
          <cell r="H41">
            <v>1666641.88</v>
          </cell>
        </row>
        <row r="42">
          <cell r="A42" t="str">
            <v>10500</v>
          </cell>
          <cell r="H42">
            <v>0</v>
          </cell>
        </row>
        <row r="43">
          <cell r="A43" t="str">
            <v>10801</v>
          </cell>
          <cell r="H43">
            <v>-83399</v>
          </cell>
        </row>
        <row r="44">
          <cell r="A44" t="str">
            <v>11000</v>
          </cell>
          <cell r="H44">
            <v>384273723.79000002</v>
          </cell>
        </row>
        <row r="45">
          <cell r="A45" t="str">
            <v>12100</v>
          </cell>
          <cell r="H45">
            <v>94581089.150000006</v>
          </cell>
        </row>
        <row r="46">
          <cell r="A46" t="str">
            <v>13002</v>
          </cell>
          <cell r="H46">
            <v>1440000</v>
          </cell>
        </row>
        <row r="47">
          <cell r="A47" t="str">
            <v>13003</v>
          </cell>
          <cell r="H47">
            <v>241900389.28999999</v>
          </cell>
        </row>
        <row r="48">
          <cell r="A48" t="str">
            <v>13004</v>
          </cell>
          <cell r="H48">
            <v>345714.9</v>
          </cell>
        </row>
        <row r="49">
          <cell r="A49" t="str">
            <v>13010</v>
          </cell>
          <cell r="H49">
            <v>18141666.670000002</v>
          </cell>
        </row>
        <row r="50">
          <cell r="A50" t="str">
            <v>13120</v>
          </cell>
          <cell r="H50">
            <v>48719489.780000001</v>
          </cell>
        </row>
        <row r="51">
          <cell r="A51" t="str">
            <v>13130</v>
          </cell>
          <cell r="H51">
            <v>14001626.18</v>
          </cell>
        </row>
        <row r="52">
          <cell r="A52" t="str">
            <v>13135</v>
          </cell>
          <cell r="H52">
            <v>10185185.279999999</v>
          </cell>
        </row>
        <row r="53">
          <cell r="A53" t="str">
            <v>13200</v>
          </cell>
          <cell r="H53">
            <v>5820369.4699999997</v>
          </cell>
        </row>
        <row r="54">
          <cell r="A54" t="str">
            <v>13400</v>
          </cell>
          <cell r="H54">
            <v>443925487.08999997</v>
          </cell>
        </row>
        <row r="55">
          <cell r="A55" t="str">
            <v>14000</v>
          </cell>
          <cell r="H55">
            <v>-105483782.89</v>
          </cell>
        </row>
        <row r="56">
          <cell r="A56" t="str">
            <v>14001</v>
          </cell>
          <cell r="H56">
            <v>-140993774.84999999</v>
          </cell>
        </row>
        <row r="57">
          <cell r="A57" t="str">
            <v>14010</v>
          </cell>
          <cell r="H57">
            <v>12372839.16</v>
          </cell>
        </row>
        <row r="58">
          <cell r="A58" t="str">
            <v>14014</v>
          </cell>
          <cell r="H58">
            <v>50153299.07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14020</v>
          </cell>
          <cell r="H60">
            <v>1726190.7</v>
          </cell>
        </row>
        <row r="61">
          <cell r="A61" t="str">
            <v>15000</v>
          </cell>
          <cell r="H61">
            <v>27291067.68</v>
          </cell>
        </row>
        <row r="62">
          <cell r="A62" t="str">
            <v>15100</v>
          </cell>
          <cell r="H62">
            <v>88402001</v>
          </cell>
        </row>
        <row r="63">
          <cell r="A63" t="str">
            <v>15200</v>
          </cell>
          <cell r="H63">
            <v>280188875.25999999</v>
          </cell>
        </row>
        <row r="64">
          <cell r="A64" t="str">
            <v>15300</v>
          </cell>
          <cell r="H64">
            <v>17087942.25</v>
          </cell>
        </row>
        <row r="65">
          <cell r="A65" t="str">
            <v>15400</v>
          </cell>
          <cell r="H65">
            <v>174166123.81</v>
          </cell>
        </row>
        <row r="66">
          <cell r="A66" t="str">
            <v>15405</v>
          </cell>
          <cell r="H66">
            <v>17904365.100000001</v>
          </cell>
        </row>
        <row r="67">
          <cell r="A67" t="str">
            <v>15410</v>
          </cell>
          <cell r="H67">
            <v>2410161.5</v>
          </cell>
        </row>
        <row r="68">
          <cell r="A68" t="str">
            <v>15500</v>
          </cell>
          <cell r="H68">
            <v>61627057.890000001</v>
          </cell>
        </row>
        <row r="69">
          <cell r="A69" t="str">
            <v>15501</v>
          </cell>
          <cell r="H69">
            <v>544266299.65999997</v>
          </cell>
        </row>
        <row r="70">
          <cell r="A70" t="str">
            <v>15505</v>
          </cell>
          <cell r="H70">
            <v>8503671.5099999998</v>
          </cell>
        </row>
        <row r="71">
          <cell r="A71" t="str">
            <v>15509</v>
          </cell>
          <cell r="H71">
            <v>2400000</v>
          </cell>
        </row>
        <row r="72">
          <cell r="A72" t="str">
            <v>15510</v>
          </cell>
          <cell r="H72">
            <v>252189301.40000001</v>
          </cell>
        </row>
        <row r="73">
          <cell r="A73" t="str">
            <v>16000</v>
          </cell>
          <cell r="H73">
            <v>-26209429</v>
          </cell>
        </row>
        <row r="74">
          <cell r="A74" t="str">
            <v>16100</v>
          </cell>
          <cell r="H74">
            <v>-88174188.560000002</v>
          </cell>
        </row>
        <row r="75">
          <cell r="A75" t="str">
            <v>16200</v>
          </cell>
          <cell r="H75">
            <v>-189156636.83000001</v>
          </cell>
        </row>
        <row r="76">
          <cell r="A76" t="str">
            <v>16300</v>
          </cell>
          <cell r="H76">
            <v>-13682171.85</v>
          </cell>
        </row>
        <row r="77">
          <cell r="A77" t="str">
            <v>16500</v>
          </cell>
          <cell r="H77">
            <v>-17904365.100000001</v>
          </cell>
        </row>
        <row r="78">
          <cell r="A78" t="str">
            <v>17000</v>
          </cell>
          <cell r="H78">
            <v>277699390.52999997</v>
          </cell>
        </row>
        <row r="79">
          <cell r="A79" t="str">
            <v>19004</v>
          </cell>
          <cell r="H79">
            <v>17545454.559999999</v>
          </cell>
        </row>
        <row r="80">
          <cell r="A80" t="str">
            <v>19006</v>
          </cell>
          <cell r="H80">
            <v>355279.74</v>
          </cell>
        </row>
        <row r="81">
          <cell r="A81" t="str">
            <v>19007</v>
          </cell>
          <cell r="H81">
            <v>5873852910.0799999</v>
          </cell>
        </row>
        <row r="82">
          <cell r="A82" t="str">
            <v>69904</v>
          </cell>
          <cell r="H82">
            <v>-18450451.370000001</v>
          </cell>
        </row>
        <row r="83">
          <cell r="A83" t="str">
            <v>20000</v>
          </cell>
          <cell r="H83">
            <v>-232966649.52000001</v>
          </cell>
        </row>
        <row r="84">
          <cell r="A84" t="str">
            <v>20005</v>
          </cell>
          <cell r="H84">
            <v>-101816876.84</v>
          </cell>
        </row>
        <row r="85">
          <cell r="A85" t="str">
            <v>22100</v>
          </cell>
          <cell r="H85">
            <v>-17551121.600000001</v>
          </cell>
        </row>
        <row r="86">
          <cell r="A86" t="str">
            <v>23000</v>
          </cell>
          <cell r="H86">
            <v>-1054298715.83</v>
          </cell>
        </row>
        <row r="87">
          <cell r="A87" t="str">
            <v>23001</v>
          </cell>
          <cell r="H87">
            <v>59891429</v>
          </cell>
        </row>
        <row r="88">
          <cell r="A88" t="str">
            <v>23010</v>
          </cell>
          <cell r="H88">
            <v>-17861670.030000001</v>
          </cell>
        </row>
        <row r="89">
          <cell r="A89" t="str">
            <v>23015</v>
          </cell>
          <cell r="H89">
            <v>-1155210.1000000001</v>
          </cell>
        </row>
        <row r="90">
          <cell r="A90" t="str">
            <v>23040</v>
          </cell>
          <cell r="H90">
            <v>-7687749.0599999996</v>
          </cell>
        </row>
        <row r="91">
          <cell r="A91" t="str">
            <v>23400</v>
          </cell>
          <cell r="H91">
            <v>-1228931211.1400001</v>
          </cell>
        </row>
        <row r="92">
          <cell r="A92" t="str">
            <v>23405</v>
          </cell>
          <cell r="H92">
            <v>888478816.38999999</v>
          </cell>
        </row>
        <row r="93">
          <cell r="A93" t="str">
            <v>23410</v>
          </cell>
          <cell r="H93">
            <v>51599186.399999999</v>
          </cell>
        </row>
        <row r="94">
          <cell r="A94" t="str">
            <v>23420</v>
          </cell>
          <cell r="H94">
            <v>-19288075.890000001</v>
          </cell>
        </row>
        <row r="95">
          <cell r="A95" t="str">
            <v>23425</v>
          </cell>
          <cell r="H95">
            <v>-42242924.219999999</v>
          </cell>
        </row>
        <row r="96">
          <cell r="A96" t="str">
            <v>23889</v>
          </cell>
          <cell r="H96">
            <v>0</v>
          </cell>
        </row>
        <row r="97">
          <cell r="A97" t="str">
            <v>24010</v>
          </cell>
          <cell r="H97">
            <v>-17767763.57</v>
          </cell>
        </row>
        <row r="98">
          <cell r="A98" t="str">
            <v>24100</v>
          </cell>
          <cell r="H98">
            <v>0.35</v>
          </cell>
        </row>
        <row r="99">
          <cell r="A99" t="str">
            <v>30005</v>
          </cell>
          <cell r="H99">
            <v>96238158.140000001</v>
          </cell>
        </row>
        <row r="100">
          <cell r="A100" t="str">
            <v>30035</v>
          </cell>
          <cell r="H100">
            <v>101787277.34999999</v>
          </cell>
        </row>
        <row r="101">
          <cell r="A101" t="str">
            <v>30040</v>
          </cell>
          <cell r="H101">
            <v>-107359858</v>
          </cell>
        </row>
        <row r="102">
          <cell r="A102" t="str">
            <v>30042</v>
          </cell>
          <cell r="H102">
            <v>-7359858</v>
          </cell>
        </row>
        <row r="103">
          <cell r="A103" t="str">
            <v>30043</v>
          </cell>
          <cell r="H103">
            <v>-114297251.5</v>
          </cell>
        </row>
        <row r="104">
          <cell r="A104" t="str">
            <v>30044</v>
          </cell>
          <cell r="H104">
            <v>-7305752400</v>
          </cell>
        </row>
        <row r="105">
          <cell r="A105" t="str">
            <v>32000</v>
          </cell>
          <cell r="H105">
            <v>-1111090970.6300001</v>
          </cell>
        </row>
        <row r="106">
          <cell r="A106" t="str">
            <v>40015</v>
          </cell>
          <cell r="H106">
            <v>-2009488.37</v>
          </cell>
        </row>
        <row r="107">
          <cell r="A107" t="str">
            <v>40020</v>
          </cell>
          <cell r="H107">
            <v>-293333.33</v>
          </cell>
        </row>
        <row r="108">
          <cell r="A108" t="str">
            <v>40025</v>
          </cell>
          <cell r="H108">
            <v>-36214395.350000001</v>
          </cell>
        </row>
        <row r="109">
          <cell r="A109" t="str">
            <v>40055</v>
          </cell>
          <cell r="H109">
            <v>-9238597.2200000007</v>
          </cell>
        </row>
        <row r="110">
          <cell r="A110" t="str">
            <v>40056</v>
          </cell>
          <cell r="H110">
            <v>-232558.14</v>
          </cell>
        </row>
        <row r="111">
          <cell r="A111" t="str">
            <v>40085</v>
          </cell>
          <cell r="H111">
            <v>-15000.01</v>
          </cell>
        </row>
        <row r="112">
          <cell r="A112" t="str">
            <v>40155</v>
          </cell>
          <cell r="H112">
            <v>-10393353.07</v>
          </cell>
        </row>
        <row r="113">
          <cell r="A113" t="str">
            <v>49300</v>
          </cell>
          <cell r="H113">
            <v>-2826292.9499999993</v>
          </cell>
        </row>
        <row r="114">
          <cell r="A114" t="str">
            <v>49405</v>
          </cell>
          <cell r="H114">
            <v>-63438498.210000008</v>
          </cell>
        </row>
        <row r="115">
          <cell r="A115" t="str">
            <v>50000</v>
          </cell>
          <cell r="H115">
            <v>-4199040</v>
          </cell>
        </row>
        <row r="116">
          <cell r="A116" t="str">
            <v>53005</v>
          </cell>
          <cell r="H116">
            <v>0</v>
          </cell>
        </row>
        <row r="117">
          <cell r="A117" t="str">
            <v>53030</v>
          </cell>
          <cell r="H117">
            <v>0</v>
          </cell>
        </row>
        <row r="118">
          <cell r="A118" t="str">
            <v>53040</v>
          </cell>
          <cell r="H118">
            <v>114500</v>
          </cell>
        </row>
        <row r="119">
          <cell r="A119" t="str">
            <v>53045</v>
          </cell>
          <cell r="H119">
            <v>17097354.640000001</v>
          </cell>
        </row>
        <row r="120">
          <cell r="A120" t="str">
            <v>53055</v>
          </cell>
          <cell r="H120">
            <v>225468.75</v>
          </cell>
        </row>
        <row r="121">
          <cell r="A121" t="str">
            <v>53060</v>
          </cell>
          <cell r="H121">
            <v>6500</v>
          </cell>
        </row>
        <row r="122">
          <cell r="A122" t="str">
            <v>53074</v>
          </cell>
          <cell r="H122">
            <v>0</v>
          </cell>
        </row>
        <row r="123">
          <cell r="A123" t="str">
            <v>53075</v>
          </cell>
          <cell r="H123">
            <v>0</v>
          </cell>
        </row>
        <row r="124">
          <cell r="A124" t="str">
            <v>53080</v>
          </cell>
          <cell r="H124">
            <v>8818218.6300000008</v>
          </cell>
        </row>
        <row r="125">
          <cell r="A125" t="str">
            <v>53090</v>
          </cell>
          <cell r="H125">
            <v>0</v>
          </cell>
        </row>
        <row r="126">
          <cell r="A126" t="str">
            <v>53095</v>
          </cell>
          <cell r="H126">
            <v>2000</v>
          </cell>
        </row>
        <row r="127">
          <cell r="A127" t="str">
            <v>53110</v>
          </cell>
          <cell r="H127">
            <v>7000</v>
          </cell>
        </row>
        <row r="128">
          <cell r="A128" t="str">
            <v>53120</v>
          </cell>
          <cell r="H128">
            <v>58054587.210000001</v>
          </cell>
        </row>
        <row r="129">
          <cell r="A129" t="str">
            <v>53140</v>
          </cell>
          <cell r="H129">
            <v>0</v>
          </cell>
        </row>
        <row r="130">
          <cell r="A130" t="str">
            <v>60010</v>
          </cell>
          <cell r="H130">
            <v>2037037.04</v>
          </cell>
        </row>
        <row r="131">
          <cell r="A131" t="str">
            <v>60020</v>
          </cell>
          <cell r="H131">
            <v>303000</v>
          </cell>
        </row>
        <row r="132">
          <cell r="A132" t="str">
            <v>60025</v>
          </cell>
          <cell r="H132">
            <v>1411800</v>
          </cell>
        </row>
        <row r="133">
          <cell r="A133" t="str">
            <v>60030</v>
          </cell>
          <cell r="H133">
            <v>0</v>
          </cell>
        </row>
        <row r="134">
          <cell r="A134" t="str">
            <v>60040</v>
          </cell>
          <cell r="H134">
            <v>30000</v>
          </cell>
        </row>
        <row r="135">
          <cell r="A135" t="str">
            <v>60045</v>
          </cell>
          <cell r="H135">
            <v>735300</v>
          </cell>
        </row>
        <row r="136">
          <cell r="A136" t="str">
            <v>60050</v>
          </cell>
          <cell r="H136">
            <v>8263089.5199999996</v>
          </cell>
        </row>
        <row r="137">
          <cell r="A137" t="str">
            <v>60060</v>
          </cell>
          <cell r="H137">
            <v>7787222.96</v>
          </cell>
        </row>
        <row r="138">
          <cell r="A138" t="str">
            <v>60070</v>
          </cell>
          <cell r="H138">
            <v>154500</v>
          </cell>
        </row>
        <row r="139">
          <cell r="A139" t="str">
            <v>60075</v>
          </cell>
          <cell r="H139">
            <v>-10000</v>
          </cell>
        </row>
        <row r="140">
          <cell r="A140" t="str">
            <v>60080</v>
          </cell>
          <cell r="H140">
            <v>2301116.67</v>
          </cell>
        </row>
        <row r="141">
          <cell r="A141" t="str">
            <v>60085</v>
          </cell>
          <cell r="H141">
            <v>896031.64</v>
          </cell>
        </row>
        <row r="142">
          <cell r="A142" t="str">
            <v>60090</v>
          </cell>
          <cell r="H142">
            <v>36723118.879999995</v>
          </cell>
        </row>
        <row r="143">
          <cell r="A143" t="str">
            <v>60100</v>
          </cell>
          <cell r="H143">
            <v>559006.02</v>
          </cell>
        </row>
        <row r="144">
          <cell r="A144" t="str">
            <v>60110</v>
          </cell>
          <cell r="H144">
            <v>150000</v>
          </cell>
        </row>
        <row r="145">
          <cell r="A145" t="str">
            <v>60115</v>
          </cell>
          <cell r="H145">
            <v>1449672</v>
          </cell>
        </row>
        <row r="146">
          <cell r="A146" t="str">
            <v>60200</v>
          </cell>
          <cell r="H146">
            <v>-1282632</v>
          </cell>
        </row>
        <row r="147">
          <cell r="A147" t="str">
            <v>60201</v>
          </cell>
          <cell r="H147">
            <v>4452309.5299999993</v>
          </cell>
        </row>
        <row r="148">
          <cell r="A148" t="str">
            <v>60205</v>
          </cell>
          <cell r="H148">
            <v>573161.53</v>
          </cell>
        </row>
        <row r="149">
          <cell r="A149" t="str">
            <v>60206</v>
          </cell>
          <cell r="H149">
            <v>9031480.3000000007</v>
          </cell>
        </row>
        <row r="150">
          <cell r="A150" t="str">
            <v>60210</v>
          </cell>
          <cell r="H150">
            <v>501748.59999999963</v>
          </cell>
        </row>
        <row r="151">
          <cell r="A151" t="str">
            <v>60211</v>
          </cell>
          <cell r="H151">
            <v>1060644.78</v>
          </cell>
        </row>
        <row r="152">
          <cell r="A152" t="str">
            <v>60213</v>
          </cell>
          <cell r="H152">
            <v>0</v>
          </cell>
        </row>
        <row r="153">
          <cell r="A153" t="str">
            <v>60214</v>
          </cell>
          <cell r="H153">
            <v>0</v>
          </cell>
        </row>
        <row r="154">
          <cell r="A154" t="str">
            <v>60217</v>
          </cell>
          <cell r="H154">
            <v>0</v>
          </cell>
        </row>
        <row r="155">
          <cell r="A155" t="str">
            <v>61100</v>
          </cell>
          <cell r="H155">
            <v>2336655.69</v>
          </cell>
        </row>
        <row r="156">
          <cell r="A156" t="str">
            <v>61310</v>
          </cell>
          <cell r="H156">
            <v>323239.27</v>
          </cell>
        </row>
        <row r="157">
          <cell r="A157" t="str">
            <v>61315</v>
          </cell>
          <cell r="H157">
            <v>173000</v>
          </cell>
        </row>
        <row r="158">
          <cell r="A158" t="str">
            <v>61320</v>
          </cell>
          <cell r="H158">
            <v>50204.4</v>
          </cell>
        </row>
        <row r="159">
          <cell r="A159" t="str">
            <v>61500</v>
          </cell>
          <cell r="H159">
            <v>2999226.88</v>
          </cell>
        </row>
        <row r="160">
          <cell r="A160" t="str">
            <v>61600</v>
          </cell>
          <cell r="H160">
            <v>6442137.3399999999</v>
          </cell>
        </row>
        <row r="161">
          <cell r="A161" t="str">
            <v>61700</v>
          </cell>
          <cell r="H161">
            <v>598589.97</v>
          </cell>
        </row>
        <row r="162">
          <cell r="A162" t="str">
            <v>62101</v>
          </cell>
          <cell r="H162">
            <v>0</v>
          </cell>
        </row>
        <row r="163">
          <cell r="A163" t="str">
            <v>62200</v>
          </cell>
          <cell r="H163">
            <v>55450</v>
          </cell>
        </row>
        <row r="164">
          <cell r="A164" t="str">
            <v>62415</v>
          </cell>
          <cell r="H164">
            <v>3122000</v>
          </cell>
        </row>
        <row r="165">
          <cell r="A165" t="str">
            <v>62420</v>
          </cell>
          <cell r="H165">
            <v>42000</v>
          </cell>
        </row>
        <row r="166">
          <cell r="A166" t="str">
            <v>62425</v>
          </cell>
          <cell r="H166">
            <v>590300</v>
          </cell>
        </row>
        <row r="167">
          <cell r="A167" t="str">
            <v>62435</v>
          </cell>
          <cell r="H167">
            <v>81900</v>
          </cell>
        </row>
        <row r="168">
          <cell r="A168" t="str">
            <v>62700</v>
          </cell>
          <cell r="H168">
            <v>1676157.4</v>
          </cell>
        </row>
        <row r="169">
          <cell r="A169" t="str">
            <v>62950</v>
          </cell>
          <cell r="H169">
            <v>5000</v>
          </cell>
        </row>
        <row r="170">
          <cell r="A170" t="str">
            <v>63110</v>
          </cell>
          <cell r="H170">
            <v>2168596.77</v>
          </cell>
        </row>
        <row r="171">
          <cell r="A171" t="str">
            <v>63120</v>
          </cell>
          <cell r="H171">
            <v>29055220.280000001</v>
          </cell>
        </row>
        <row r="172">
          <cell r="A172" t="str">
            <v>63125</v>
          </cell>
          <cell r="H172">
            <v>748200</v>
          </cell>
        </row>
        <row r="173">
          <cell r="A173" t="str">
            <v>63907</v>
          </cell>
          <cell r="H173">
            <v>12676913</v>
          </cell>
        </row>
        <row r="174">
          <cell r="A174" t="str">
            <v>63910</v>
          </cell>
          <cell r="H174">
            <v>13580204.83</v>
          </cell>
        </row>
        <row r="175">
          <cell r="A175" t="str">
            <v>64000</v>
          </cell>
          <cell r="H175">
            <v>2994568</v>
          </cell>
        </row>
        <row r="176">
          <cell r="A176" t="str">
            <v>65000</v>
          </cell>
          <cell r="H176">
            <v>900000</v>
          </cell>
        </row>
        <row r="177">
          <cell r="A177" t="str">
            <v>65007</v>
          </cell>
          <cell r="H177">
            <v>-8616866.8800000008</v>
          </cell>
        </row>
        <row r="178">
          <cell r="A178" t="str">
            <v>65015</v>
          </cell>
          <cell r="H178">
            <v>0</v>
          </cell>
        </row>
        <row r="179">
          <cell r="A179" t="str">
            <v>65030</v>
          </cell>
          <cell r="H179">
            <v>14667020.449999999</v>
          </cell>
        </row>
        <row r="180">
          <cell r="A180" t="str">
            <v>65035</v>
          </cell>
          <cell r="H180">
            <v>51285471.339999996</v>
          </cell>
        </row>
        <row r="181">
          <cell r="A181" t="str">
            <v>65037</v>
          </cell>
          <cell r="H181">
            <v>0</v>
          </cell>
        </row>
        <row r="182">
          <cell r="A182" t="str">
            <v>65095</v>
          </cell>
          <cell r="H182">
            <v>9587724.7400000002</v>
          </cell>
        </row>
        <row r="183">
          <cell r="A183" t="str">
            <v>65100</v>
          </cell>
          <cell r="H183">
            <v>3685579.72</v>
          </cell>
        </row>
        <row r="184">
          <cell r="A184" t="str">
            <v>65800</v>
          </cell>
          <cell r="H184">
            <v>0</v>
          </cell>
        </row>
        <row r="185">
          <cell r="A185" t="str">
            <v>67052</v>
          </cell>
          <cell r="H185">
            <v>0</v>
          </cell>
        </row>
        <row r="186">
          <cell r="A186" t="str">
            <v>67920</v>
          </cell>
          <cell r="H186">
            <v>-165902362.72999996</v>
          </cell>
        </row>
        <row r="187">
          <cell r="A187" t="str">
            <v>67940</v>
          </cell>
          <cell r="H187">
            <v>0.03</v>
          </cell>
        </row>
        <row r="188">
          <cell r="A188" t="str">
            <v>68500</v>
          </cell>
          <cell r="H188">
            <v>1798166.67</v>
          </cell>
        </row>
        <row r="189">
          <cell r="A189" t="str">
            <v>68502</v>
          </cell>
          <cell r="H189">
            <v>495510</v>
          </cell>
        </row>
        <row r="190">
          <cell r="A190" t="str">
            <v>68503</v>
          </cell>
          <cell r="H190">
            <v>0</v>
          </cell>
        </row>
        <row r="191">
          <cell r="A191" t="str">
            <v>69600</v>
          </cell>
          <cell r="H191">
            <v>0</v>
          </cell>
        </row>
        <row r="192">
          <cell r="A192" t="str">
            <v>69901</v>
          </cell>
          <cell r="H192">
            <v>1201076.6599999999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</sheetData>
      <sheetData sheetId="2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147121.87</v>
          </cell>
        </row>
        <row r="7">
          <cell r="A7" t="str">
            <v>10104</v>
          </cell>
          <cell r="H7">
            <v>830058.3</v>
          </cell>
        </row>
        <row r="8">
          <cell r="A8" t="str">
            <v>10105</v>
          </cell>
          <cell r="H8">
            <v>881160918.50999999</v>
          </cell>
        </row>
        <row r="9">
          <cell r="A9" t="str">
            <v>10107</v>
          </cell>
          <cell r="H9">
            <v>576450757.33000004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10213</v>
          </cell>
          <cell r="H13">
            <v>20000</v>
          </cell>
        </row>
        <row r="14">
          <cell r="A14" t="str">
            <v>10215</v>
          </cell>
          <cell r="H14">
            <v>1304369.8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6542703.9800000004</v>
          </cell>
        </row>
        <row r="17">
          <cell r="A17" t="str">
            <v>10224</v>
          </cell>
          <cell r="H17">
            <v>11401.38</v>
          </cell>
        </row>
        <row r="18">
          <cell r="A18" t="str">
            <v>10225</v>
          </cell>
          <cell r="H18">
            <v>4275686.3499999996</v>
          </cell>
        </row>
        <row r="19">
          <cell r="A19" t="str">
            <v>10226</v>
          </cell>
          <cell r="H19">
            <v>4814246.6399999997</v>
          </cell>
        </row>
        <row r="20">
          <cell r="A20" t="str">
            <v>10227</v>
          </cell>
          <cell r="H20">
            <v>7877587.2000000002</v>
          </cell>
        </row>
        <row r="21">
          <cell r="A21" t="str">
            <v>10235</v>
          </cell>
          <cell r="H21">
            <v>28135098.25</v>
          </cell>
        </row>
        <row r="22">
          <cell r="A22" t="str">
            <v>10240</v>
          </cell>
          <cell r="H22">
            <v>31493.46</v>
          </cell>
        </row>
        <row r="23">
          <cell r="A23" t="str">
            <v>10245</v>
          </cell>
          <cell r="H23">
            <v>208999.86</v>
          </cell>
        </row>
        <row r="24">
          <cell r="A24" t="str">
            <v>10253</v>
          </cell>
          <cell r="H24">
            <v>42317373.93</v>
          </cell>
        </row>
        <row r="25">
          <cell r="A25" t="str">
            <v>10255</v>
          </cell>
          <cell r="H25">
            <v>5646619.3799999999</v>
          </cell>
        </row>
        <row r="26">
          <cell r="A26" t="str">
            <v>10256</v>
          </cell>
          <cell r="H26">
            <v>387668663.37</v>
          </cell>
        </row>
        <row r="27">
          <cell r="A27" t="str">
            <v>10260</v>
          </cell>
          <cell r="H27">
            <v>28443.360000000001</v>
          </cell>
        </row>
        <row r="28">
          <cell r="A28" t="str">
            <v>10265</v>
          </cell>
          <cell r="H28">
            <v>687892.51</v>
          </cell>
        </row>
        <row r="29">
          <cell r="A29" t="str">
            <v>10270</v>
          </cell>
          <cell r="H29">
            <v>224506400.15000001</v>
          </cell>
        </row>
        <row r="30">
          <cell r="A30" t="str">
            <v>10280</v>
          </cell>
          <cell r="H30">
            <v>563903.84</v>
          </cell>
        </row>
        <row r="31">
          <cell r="A31" t="str">
            <v>10285</v>
          </cell>
          <cell r="H31">
            <v>30044985.359999999</v>
          </cell>
        </row>
        <row r="32">
          <cell r="A32" t="str">
            <v>10293</v>
          </cell>
          <cell r="H32">
            <v>5263.4</v>
          </cell>
        </row>
        <row r="33">
          <cell r="A33" t="str">
            <v>10305</v>
          </cell>
          <cell r="H33">
            <v>4806.83</v>
          </cell>
        </row>
        <row r="34">
          <cell r="A34" t="str">
            <v>10310</v>
          </cell>
          <cell r="H34">
            <v>5604043.1600000001</v>
          </cell>
        </row>
        <row r="35">
          <cell r="A35" t="str">
            <v>10316</v>
          </cell>
          <cell r="H35">
            <v>11098547.33</v>
          </cell>
        </row>
        <row r="36">
          <cell r="A36" t="str">
            <v>10317</v>
          </cell>
          <cell r="H36">
            <v>101797.4</v>
          </cell>
        </row>
        <row r="37">
          <cell r="A37" t="str">
            <v>10320</v>
          </cell>
          <cell r="H37">
            <v>53.75</v>
          </cell>
        </row>
        <row r="38">
          <cell r="A38" t="str">
            <v>10341</v>
          </cell>
          <cell r="H38">
            <v>968802.77</v>
          </cell>
        </row>
        <row r="39">
          <cell r="A39" t="str">
            <v>10342</v>
          </cell>
          <cell r="H39">
            <v>374833522.77999997</v>
          </cell>
        </row>
        <row r="40">
          <cell r="A40" t="str">
            <v>10343</v>
          </cell>
          <cell r="H40">
            <v>20099.5</v>
          </cell>
        </row>
        <row r="41">
          <cell r="A41" t="str">
            <v>10497</v>
          </cell>
          <cell r="H41">
            <v>1416791.88</v>
          </cell>
        </row>
        <row r="42">
          <cell r="A42" t="str">
            <v>10500</v>
          </cell>
          <cell r="H42">
            <v>62492895</v>
          </cell>
        </row>
        <row r="43">
          <cell r="A43" t="str">
            <v>10801</v>
          </cell>
          <cell r="H43">
            <v>-79507.5</v>
          </cell>
        </row>
        <row r="44">
          <cell r="A44" t="str">
            <v>11000</v>
          </cell>
          <cell r="H44">
            <v>503058169.26999998</v>
          </cell>
        </row>
        <row r="45">
          <cell r="A45" t="str">
            <v>12100</v>
          </cell>
          <cell r="H45">
            <v>94581089.150000006</v>
          </cell>
        </row>
        <row r="46">
          <cell r="A46" t="str">
            <v>13002</v>
          </cell>
          <cell r="H46">
            <v>1440000</v>
          </cell>
        </row>
        <row r="47">
          <cell r="A47" t="str">
            <v>13003</v>
          </cell>
          <cell r="H47">
            <v>166174096.34</v>
          </cell>
        </row>
        <row r="48">
          <cell r="A48" t="str">
            <v>13004</v>
          </cell>
          <cell r="H48">
            <v>7014445</v>
          </cell>
        </row>
        <row r="49">
          <cell r="A49" t="str">
            <v>13010</v>
          </cell>
          <cell r="H49">
            <v>18445833.329999998</v>
          </cell>
        </row>
        <row r="50">
          <cell r="A50" t="str">
            <v>13120</v>
          </cell>
          <cell r="H50">
            <v>44614274.549999997</v>
          </cell>
        </row>
        <row r="51">
          <cell r="A51" t="str">
            <v>13130</v>
          </cell>
          <cell r="H51">
            <v>12069837.609999999</v>
          </cell>
        </row>
        <row r="52">
          <cell r="A52" t="str">
            <v>13135</v>
          </cell>
          <cell r="H52">
            <v>12222222.32</v>
          </cell>
        </row>
        <row r="53">
          <cell r="A53" t="str">
            <v>13200</v>
          </cell>
          <cell r="H53">
            <v>10151260</v>
          </cell>
        </row>
        <row r="54">
          <cell r="A54" t="str">
            <v>13400</v>
          </cell>
          <cell r="H54">
            <v>459214113.20999998</v>
          </cell>
        </row>
        <row r="55">
          <cell r="A55" t="str">
            <v>14000</v>
          </cell>
          <cell r="H55">
            <v>-108378862.88</v>
          </cell>
        </row>
        <row r="56">
          <cell r="A56" t="str">
            <v>14001</v>
          </cell>
          <cell r="H56">
            <v>-175738239.08000001</v>
          </cell>
        </row>
        <row r="57">
          <cell r="A57" t="str">
            <v>14010</v>
          </cell>
          <cell r="H57">
            <v>12931653.109999999</v>
          </cell>
        </row>
        <row r="58">
          <cell r="A58" t="str">
            <v>14014</v>
          </cell>
          <cell r="H58">
            <v>47945948.689999998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15000</v>
          </cell>
          <cell r="H60">
            <v>27291067.68</v>
          </cell>
        </row>
        <row r="61">
          <cell r="A61" t="str">
            <v>15100</v>
          </cell>
          <cell r="H61">
            <v>88402001</v>
          </cell>
        </row>
        <row r="62">
          <cell r="A62" t="str">
            <v>15200</v>
          </cell>
          <cell r="H62">
            <v>280188875.25999999</v>
          </cell>
        </row>
        <row r="63">
          <cell r="A63" t="str">
            <v>15300</v>
          </cell>
          <cell r="H63">
            <v>17087942.25</v>
          </cell>
        </row>
        <row r="64">
          <cell r="A64" t="str">
            <v>15400</v>
          </cell>
          <cell r="H64">
            <v>174166123.81</v>
          </cell>
        </row>
        <row r="65">
          <cell r="A65" t="str">
            <v>15405</v>
          </cell>
          <cell r="H65">
            <v>17904365.100000001</v>
          </cell>
        </row>
        <row r="66">
          <cell r="A66" t="str">
            <v>15410</v>
          </cell>
          <cell r="H66">
            <v>2410161.5</v>
          </cell>
        </row>
        <row r="67">
          <cell r="A67" t="str">
            <v>15500</v>
          </cell>
          <cell r="H67">
            <v>61627057.890000001</v>
          </cell>
        </row>
        <row r="68">
          <cell r="A68" t="str">
            <v>15501</v>
          </cell>
          <cell r="H68">
            <v>519321513.86000001</v>
          </cell>
        </row>
        <row r="69">
          <cell r="A69" t="str">
            <v>15505</v>
          </cell>
          <cell r="H69">
            <v>8503671.5099999998</v>
          </cell>
        </row>
        <row r="70">
          <cell r="A70" t="str">
            <v>15509</v>
          </cell>
          <cell r="H70">
            <v>2400000</v>
          </cell>
        </row>
        <row r="71">
          <cell r="A71" t="str">
            <v>15510</v>
          </cell>
          <cell r="H71">
            <v>150618380.36000001</v>
          </cell>
        </row>
        <row r="72">
          <cell r="A72" t="str">
            <v>16000</v>
          </cell>
          <cell r="H72">
            <v>-26160688.16</v>
          </cell>
        </row>
        <row r="73">
          <cell r="A73" t="str">
            <v>16100</v>
          </cell>
          <cell r="H73">
            <v>-88098251.060000002</v>
          </cell>
        </row>
        <row r="74">
          <cell r="A74" t="str">
            <v>16200</v>
          </cell>
          <cell r="H74">
            <v>-186384792.22</v>
          </cell>
        </row>
        <row r="75">
          <cell r="A75" t="str">
            <v>16300</v>
          </cell>
          <cell r="H75">
            <v>-13584126.800000001</v>
          </cell>
        </row>
        <row r="76">
          <cell r="A76" t="str">
            <v>16500</v>
          </cell>
          <cell r="H76">
            <v>-17904365.100000001</v>
          </cell>
        </row>
        <row r="77">
          <cell r="A77" t="str">
            <v>17000</v>
          </cell>
          <cell r="H77">
            <v>271402110.11000001</v>
          </cell>
        </row>
        <row r="78">
          <cell r="A78" t="str">
            <v>19004</v>
          </cell>
          <cell r="H78">
            <v>17500454.559999999</v>
          </cell>
        </row>
        <row r="79">
          <cell r="A79" t="str">
            <v>19006</v>
          </cell>
          <cell r="H79">
            <v>1336870.9099999999</v>
          </cell>
        </row>
        <row r="80">
          <cell r="A80" t="str">
            <v>19007</v>
          </cell>
          <cell r="H80">
            <v>5565814629.9200001</v>
          </cell>
        </row>
        <row r="81">
          <cell r="A81" t="str">
            <v>69904</v>
          </cell>
          <cell r="H81">
            <v>-17249374.710000001</v>
          </cell>
        </row>
        <row r="82">
          <cell r="A82" t="str">
            <v>20000</v>
          </cell>
          <cell r="H82">
            <v>-310606338.44</v>
          </cell>
        </row>
        <row r="83">
          <cell r="A83" t="str">
            <v>20005</v>
          </cell>
          <cell r="H83">
            <v>-195445996.47999999</v>
          </cell>
        </row>
        <row r="84">
          <cell r="A84" t="str">
            <v>22100</v>
          </cell>
          <cell r="H84">
            <v>-17131959.149999999</v>
          </cell>
        </row>
        <row r="85">
          <cell r="A85" t="str">
            <v>23000</v>
          </cell>
          <cell r="H85">
            <v>-1132028799.1600001</v>
          </cell>
        </row>
        <row r="86">
          <cell r="A86" t="str">
            <v>23001</v>
          </cell>
          <cell r="H86">
            <v>59891429</v>
          </cell>
        </row>
        <row r="87">
          <cell r="A87" t="str">
            <v>23010</v>
          </cell>
          <cell r="H87">
            <v>-17837909.359999999</v>
          </cell>
        </row>
        <row r="88">
          <cell r="A88" t="str">
            <v>23015</v>
          </cell>
          <cell r="H88">
            <v>-2119872.2400000002</v>
          </cell>
        </row>
        <row r="89">
          <cell r="A89" t="str">
            <v>23040</v>
          </cell>
          <cell r="H89">
            <v>-8395548.3300000001</v>
          </cell>
        </row>
        <row r="90">
          <cell r="A90" t="str">
            <v>23400</v>
          </cell>
          <cell r="H90">
            <v>-1216571078.72</v>
          </cell>
        </row>
        <row r="91">
          <cell r="A91" t="str">
            <v>23405</v>
          </cell>
          <cell r="H91">
            <v>874003719.42999995</v>
          </cell>
        </row>
        <row r="92">
          <cell r="A92" t="str">
            <v>23410</v>
          </cell>
          <cell r="H92">
            <v>51599186.399999999</v>
          </cell>
        </row>
        <row r="93">
          <cell r="A93" t="str">
            <v>23420</v>
          </cell>
          <cell r="H93">
            <v>-20859053.420000002</v>
          </cell>
        </row>
        <row r="94">
          <cell r="A94" t="str">
            <v>23425</v>
          </cell>
          <cell r="H94">
            <v>-42242924.219999999</v>
          </cell>
        </row>
        <row r="95">
          <cell r="A95" t="str">
            <v>23889</v>
          </cell>
          <cell r="H95">
            <v>0</v>
          </cell>
        </row>
        <row r="96">
          <cell r="A96" t="str">
            <v>24010</v>
          </cell>
          <cell r="H96">
            <v>-17092795.960000001</v>
          </cell>
        </row>
        <row r="97">
          <cell r="A97" t="str">
            <v>24100</v>
          </cell>
          <cell r="H97">
            <v>0.35</v>
          </cell>
        </row>
        <row r="98">
          <cell r="A98" t="str">
            <v>30005</v>
          </cell>
          <cell r="H98">
            <v>96238158.140000001</v>
          </cell>
        </row>
        <row r="99">
          <cell r="A99" t="str">
            <v>30035</v>
          </cell>
          <cell r="H99">
            <v>101787277.34999999</v>
          </cell>
        </row>
        <row r="100">
          <cell r="A100" t="str">
            <v>30040</v>
          </cell>
          <cell r="H100">
            <v>-107359858</v>
          </cell>
        </row>
        <row r="101">
          <cell r="A101" t="str">
            <v>30042</v>
          </cell>
          <cell r="H101">
            <v>-7359858</v>
          </cell>
        </row>
        <row r="102">
          <cell r="A102" t="str">
            <v>30043</v>
          </cell>
          <cell r="H102">
            <v>-114297251.5</v>
          </cell>
        </row>
        <row r="103">
          <cell r="A103" t="str">
            <v>30044</v>
          </cell>
          <cell r="H103">
            <v>-6964857000</v>
          </cell>
        </row>
        <row r="104">
          <cell r="A104" t="str">
            <v>32000</v>
          </cell>
          <cell r="H104">
            <v>-1111090970.6300001</v>
          </cell>
        </row>
        <row r="105">
          <cell r="A105" t="str">
            <v>40015</v>
          </cell>
          <cell r="H105">
            <v>-7687813.9500000002</v>
          </cell>
        </row>
        <row r="106">
          <cell r="A106" t="str">
            <v>40020</v>
          </cell>
          <cell r="H106">
            <v>-76424296.590000004</v>
          </cell>
        </row>
        <row r="107">
          <cell r="A107" t="str">
            <v>40025</v>
          </cell>
          <cell r="H107">
            <v>-33619046.509999998</v>
          </cell>
        </row>
        <row r="108">
          <cell r="A108" t="str">
            <v>40055</v>
          </cell>
          <cell r="H108">
            <v>-7739593.3700000001</v>
          </cell>
        </row>
        <row r="109">
          <cell r="A109" t="str">
            <v>40056</v>
          </cell>
          <cell r="H109">
            <v>-460883.72</v>
          </cell>
        </row>
        <row r="110">
          <cell r="A110" t="str">
            <v>40085</v>
          </cell>
          <cell r="H110">
            <v>-19500.47</v>
          </cell>
        </row>
        <row r="111">
          <cell r="A111" t="str">
            <v>40155</v>
          </cell>
          <cell r="H111">
            <v>-58548978.049999997</v>
          </cell>
        </row>
        <row r="112">
          <cell r="A112" t="str">
            <v>49300</v>
          </cell>
          <cell r="H112">
            <v>-33132384.52</v>
          </cell>
        </row>
        <row r="113">
          <cell r="A113" t="str">
            <v>49405</v>
          </cell>
          <cell r="H113">
            <v>-128723830.66000001</v>
          </cell>
        </row>
        <row r="114">
          <cell r="A114" t="str">
            <v>50000</v>
          </cell>
          <cell r="H114">
            <v>46990400</v>
          </cell>
        </row>
        <row r="115">
          <cell r="A115" t="str">
            <v>53030</v>
          </cell>
          <cell r="H115">
            <v>20500</v>
          </cell>
        </row>
        <row r="116">
          <cell r="A116" t="str">
            <v>53040</v>
          </cell>
          <cell r="H116">
            <v>187750</v>
          </cell>
        </row>
        <row r="117">
          <cell r="A117" t="str">
            <v>53045</v>
          </cell>
          <cell r="H117">
            <v>18857116.809999999</v>
          </cell>
        </row>
        <row r="118">
          <cell r="A118" t="str">
            <v>53055</v>
          </cell>
          <cell r="H118">
            <v>225468.75</v>
          </cell>
        </row>
        <row r="119">
          <cell r="A119" t="str">
            <v>53060</v>
          </cell>
          <cell r="H119">
            <v>64500</v>
          </cell>
        </row>
        <row r="120">
          <cell r="A120" t="str">
            <v>53074</v>
          </cell>
          <cell r="H120">
            <v>0</v>
          </cell>
        </row>
        <row r="121">
          <cell r="A121" t="str">
            <v>53075</v>
          </cell>
          <cell r="H121">
            <v>0</v>
          </cell>
        </row>
        <row r="122">
          <cell r="A122" t="str">
            <v>53080</v>
          </cell>
          <cell r="H122">
            <v>37202065.5</v>
          </cell>
        </row>
        <row r="123">
          <cell r="A123" t="str">
            <v>53090</v>
          </cell>
          <cell r="H123">
            <v>0</v>
          </cell>
        </row>
        <row r="124">
          <cell r="A124" t="str">
            <v>53095</v>
          </cell>
          <cell r="H124">
            <v>4000</v>
          </cell>
        </row>
        <row r="125">
          <cell r="A125" t="str">
            <v>53110</v>
          </cell>
          <cell r="H125">
            <v>7000</v>
          </cell>
        </row>
        <row r="126">
          <cell r="A126" t="str">
            <v>53120</v>
          </cell>
          <cell r="H126">
            <v>53111492.009999998</v>
          </cell>
        </row>
        <row r="127">
          <cell r="A127" t="str">
            <v>53140</v>
          </cell>
          <cell r="H127">
            <v>0</v>
          </cell>
        </row>
        <row r="128">
          <cell r="A128" t="str">
            <v>60010</v>
          </cell>
          <cell r="H128">
            <v>2037037.04</v>
          </cell>
        </row>
        <row r="129">
          <cell r="A129" t="str">
            <v>60020</v>
          </cell>
          <cell r="H129">
            <v>281500</v>
          </cell>
        </row>
        <row r="130">
          <cell r="A130" t="str">
            <v>60025</v>
          </cell>
          <cell r="H130">
            <v>1083500</v>
          </cell>
        </row>
        <row r="131">
          <cell r="A131" t="str">
            <v>60030</v>
          </cell>
          <cell r="H131">
            <v>0</v>
          </cell>
        </row>
        <row r="132">
          <cell r="A132" t="str">
            <v>60040</v>
          </cell>
          <cell r="H132">
            <v>8000</v>
          </cell>
        </row>
        <row r="133">
          <cell r="A133" t="str">
            <v>60045</v>
          </cell>
          <cell r="H133">
            <v>735300</v>
          </cell>
        </row>
        <row r="134">
          <cell r="A134" t="str">
            <v>60050</v>
          </cell>
          <cell r="H134">
            <v>14799764.57</v>
          </cell>
        </row>
        <row r="135">
          <cell r="A135" t="str">
            <v>60060</v>
          </cell>
          <cell r="H135">
            <v>10354339.350000001</v>
          </cell>
        </row>
        <row r="136">
          <cell r="A136" t="str">
            <v>60070</v>
          </cell>
          <cell r="H136">
            <v>1059500</v>
          </cell>
        </row>
        <row r="137">
          <cell r="A137" t="str">
            <v>60075</v>
          </cell>
          <cell r="H137">
            <v>5000</v>
          </cell>
        </row>
        <row r="138">
          <cell r="A138" t="str">
            <v>60080</v>
          </cell>
          <cell r="H138">
            <v>1289086.01</v>
          </cell>
        </row>
        <row r="139">
          <cell r="A139" t="str">
            <v>60085</v>
          </cell>
          <cell r="H139">
            <v>963229.62</v>
          </cell>
        </row>
        <row r="140">
          <cell r="A140" t="str">
            <v>60090</v>
          </cell>
          <cell r="H140">
            <v>3109047.87</v>
          </cell>
        </row>
        <row r="141">
          <cell r="A141" t="str">
            <v>60100</v>
          </cell>
          <cell r="H141">
            <v>869252.52</v>
          </cell>
        </row>
        <row r="142">
          <cell r="A142" t="str">
            <v>60110</v>
          </cell>
          <cell r="H142">
            <v>0</v>
          </cell>
        </row>
        <row r="143">
          <cell r="A143" t="str">
            <v>60115</v>
          </cell>
          <cell r="H143">
            <v>1667180.15</v>
          </cell>
        </row>
        <row r="144">
          <cell r="A144" t="str">
            <v>60200</v>
          </cell>
          <cell r="H144">
            <v>10745235</v>
          </cell>
        </row>
        <row r="145">
          <cell r="A145" t="str">
            <v>60201</v>
          </cell>
          <cell r="H145">
            <v>7261280.9799999995</v>
          </cell>
        </row>
        <row r="146">
          <cell r="A146" t="str">
            <v>60205</v>
          </cell>
          <cell r="H146">
            <v>536975.9</v>
          </cell>
        </row>
        <row r="147">
          <cell r="A147" t="str">
            <v>60206</v>
          </cell>
          <cell r="H147">
            <v>3600701.6</v>
          </cell>
        </row>
        <row r="148">
          <cell r="A148" t="str">
            <v>60210</v>
          </cell>
          <cell r="H148">
            <v>11087430.330000002</v>
          </cell>
        </row>
        <row r="149">
          <cell r="A149" t="str">
            <v>60211</v>
          </cell>
          <cell r="H149">
            <v>429683.37</v>
          </cell>
        </row>
        <row r="150">
          <cell r="A150" t="str">
            <v>60213</v>
          </cell>
          <cell r="H150">
            <v>0</v>
          </cell>
        </row>
        <row r="151">
          <cell r="A151" t="str">
            <v>60214</v>
          </cell>
          <cell r="H151">
            <v>0</v>
          </cell>
        </row>
        <row r="152">
          <cell r="A152" t="str">
            <v>60217</v>
          </cell>
          <cell r="H152">
            <v>1649800</v>
          </cell>
        </row>
        <row r="153">
          <cell r="A153" t="str">
            <v>61100</v>
          </cell>
          <cell r="H153">
            <v>5744907.4000000004</v>
          </cell>
        </row>
        <row r="154">
          <cell r="A154" t="str">
            <v>61310</v>
          </cell>
          <cell r="H154">
            <v>69820</v>
          </cell>
        </row>
        <row r="155">
          <cell r="A155" t="str">
            <v>61315</v>
          </cell>
          <cell r="H155">
            <v>771500</v>
          </cell>
        </row>
        <row r="156">
          <cell r="A156" t="str">
            <v>61320</v>
          </cell>
          <cell r="H156">
            <v>50204.4</v>
          </cell>
        </row>
        <row r="157">
          <cell r="A157" t="str">
            <v>61500</v>
          </cell>
          <cell r="H157">
            <v>604123.31000000006</v>
          </cell>
        </row>
        <row r="158">
          <cell r="A158" t="str">
            <v>61600</v>
          </cell>
          <cell r="H158">
            <v>6905531.1600000001</v>
          </cell>
        </row>
        <row r="159">
          <cell r="A159" t="str">
            <v>61700</v>
          </cell>
          <cell r="H159">
            <v>598589.97</v>
          </cell>
        </row>
        <row r="160">
          <cell r="A160" t="str">
            <v>62101</v>
          </cell>
          <cell r="H160">
            <v>-70251665.25</v>
          </cell>
        </row>
        <row r="161">
          <cell r="A161" t="str">
            <v>62200</v>
          </cell>
          <cell r="H161">
            <v>7800</v>
          </cell>
        </row>
        <row r="162">
          <cell r="A162" t="str">
            <v>62415</v>
          </cell>
          <cell r="H162">
            <v>68560.97</v>
          </cell>
        </row>
        <row r="163">
          <cell r="A163" t="str">
            <v>62420</v>
          </cell>
          <cell r="H163">
            <v>15000</v>
          </cell>
        </row>
        <row r="164">
          <cell r="A164" t="str">
            <v>62425</v>
          </cell>
          <cell r="H164">
            <v>367700</v>
          </cell>
        </row>
        <row r="165">
          <cell r="A165" t="str">
            <v>62435</v>
          </cell>
          <cell r="H165">
            <v>0</v>
          </cell>
        </row>
        <row r="166">
          <cell r="A166" t="str">
            <v>62700</v>
          </cell>
          <cell r="H166">
            <v>1241736.56</v>
          </cell>
        </row>
        <row r="167">
          <cell r="A167" t="str">
            <v>62950</v>
          </cell>
          <cell r="H167">
            <v>10000</v>
          </cell>
        </row>
        <row r="168">
          <cell r="A168" t="str">
            <v>63110</v>
          </cell>
          <cell r="H168">
            <v>2145596.7799999998</v>
          </cell>
        </row>
        <row r="169">
          <cell r="A169" t="str">
            <v>63120</v>
          </cell>
          <cell r="H169">
            <v>510955.68</v>
          </cell>
        </row>
        <row r="170">
          <cell r="A170" t="str">
            <v>63125</v>
          </cell>
          <cell r="H170">
            <v>108560</v>
          </cell>
        </row>
        <row r="171">
          <cell r="A171" t="str">
            <v>63907</v>
          </cell>
          <cell r="H171">
            <v>22120651.879999999</v>
          </cell>
        </row>
        <row r="172">
          <cell r="A172" t="str">
            <v>63910</v>
          </cell>
          <cell r="H172">
            <v>0</v>
          </cell>
        </row>
        <row r="173">
          <cell r="A173" t="str">
            <v>64000</v>
          </cell>
          <cell r="H173">
            <v>3039369.57</v>
          </cell>
        </row>
        <row r="174">
          <cell r="A174" t="str">
            <v>65000</v>
          </cell>
          <cell r="H174">
            <v>0</v>
          </cell>
        </row>
        <row r="175">
          <cell r="A175" t="str">
            <v>65007</v>
          </cell>
          <cell r="H175">
            <v>-3304491.3</v>
          </cell>
        </row>
        <row r="176">
          <cell r="A176" t="str">
            <v>65015</v>
          </cell>
          <cell r="H176">
            <v>0</v>
          </cell>
        </row>
        <row r="177">
          <cell r="A177" t="str">
            <v>65030</v>
          </cell>
          <cell r="H177">
            <v>14258451.09</v>
          </cell>
        </row>
        <row r="178">
          <cell r="A178" t="str">
            <v>65035</v>
          </cell>
          <cell r="H178">
            <v>49435803.259999998</v>
          </cell>
        </row>
        <row r="179">
          <cell r="A179" t="str">
            <v>65037</v>
          </cell>
          <cell r="H179">
            <v>0</v>
          </cell>
        </row>
        <row r="180">
          <cell r="A180" t="str">
            <v>65095</v>
          </cell>
          <cell r="H180">
            <v>8564675.7899999991</v>
          </cell>
        </row>
        <row r="181">
          <cell r="A181" t="str">
            <v>65100</v>
          </cell>
          <cell r="H181">
            <v>3585150.33</v>
          </cell>
        </row>
        <row r="182">
          <cell r="A182" t="str">
            <v>65800</v>
          </cell>
          <cell r="H182">
            <v>500000</v>
          </cell>
        </row>
        <row r="183">
          <cell r="A183" t="str">
            <v>67052</v>
          </cell>
          <cell r="H183">
            <v>0</v>
          </cell>
        </row>
        <row r="184">
          <cell r="A184" t="str">
            <v>67920</v>
          </cell>
          <cell r="H184">
            <v>-11849483</v>
          </cell>
        </row>
        <row r="185">
          <cell r="A185" t="str">
            <v>67940</v>
          </cell>
          <cell r="H185">
            <v>0.01</v>
          </cell>
        </row>
        <row r="186">
          <cell r="A186" t="str">
            <v>68500</v>
          </cell>
          <cell r="H186">
            <v>1791666.67</v>
          </cell>
        </row>
        <row r="187">
          <cell r="A187" t="str">
            <v>68502</v>
          </cell>
          <cell r="H187">
            <v>477045</v>
          </cell>
        </row>
        <row r="188">
          <cell r="A188" t="str">
            <v>68503</v>
          </cell>
          <cell r="H188">
            <v>500000</v>
          </cell>
        </row>
        <row r="189">
          <cell r="A189" t="str">
            <v>69600</v>
          </cell>
          <cell r="H189">
            <v>0</v>
          </cell>
        </row>
        <row r="190">
          <cell r="A190" t="str">
            <v>69901</v>
          </cell>
          <cell r="H190">
            <v>1201076.6599999999</v>
          </cell>
        </row>
      </sheetData>
      <sheetData sheetId="2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9471.8700000000008</v>
          </cell>
        </row>
        <row r="7">
          <cell r="A7" t="str">
            <v>10104</v>
          </cell>
          <cell r="H7">
            <v>3830184.96</v>
          </cell>
        </row>
        <row r="8">
          <cell r="A8" t="str">
            <v>10105</v>
          </cell>
          <cell r="H8">
            <v>755041235.00999999</v>
          </cell>
        </row>
        <row r="9">
          <cell r="A9" t="str">
            <v>10107</v>
          </cell>
          <cell r="H9">
            <v>450724367.32999998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10213</v>
          </cell>
          <cell r="H13">
            <v>20000</v>
          </cell>
        </row>
        <row r="14">
          <cell r="A14" t="str">
            <v>10215</v>
          </cell>
          <cell r="H14">
            <v>10327193.550000001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11585902.380000001</v>
          </cell>
        </row>
        <row r="17">
          <cell r="A17" t="str">
            <v>10224</v>
          </cell>
          <cell r="H17">
            <v>888286.99</v>
          </cell>
        </row>
        <row r="18">
          <cell r="A18" t="str">
            <v>10225</v>
          </cell>
          <cell r="H18">
            <v>5265474.55</v>
          </cell>
        </row>
        <row r="19">
          <cell r="A19" t="str">
            <v>10226</v>
          </cell>
          <cell r="H19">
            <v>3530585.92</v>
          </cell>
        </row>
        <row r="20">
          <cell r="A20" t="str">
            <v>10227</v>
          </cell>
          <cell r="H20">
            <v>7307364.3099999996</v>
          </cell>
        </row>
        <row r="21">
          <cell r="A21" t="str">
            <v>10230</v>
          </cell>
          <cell r="H21">
            <v>0</v>
          </cell>
        </row>
        <row r="22">
          <cell r="A22" t="str">
            <v>10235</v>
          </cell>
          <cell r="H22">
            <v>5308883.17</v>
          </cell>
        </row>
        <row r="23">
          <cell r="A23" t="str">
            <v>10240</v>
          </cell>
          <cell r="H23">
            <v>31493.46</v>
          </cell>
        </row>
        <row r="24">
          <cell r="A24" t="str">
            <v>10245</v>
          </cell>
          <cell r="H24">
            <v>208999.86</v>
          </cell>
        </row>
        <row r="25">
          <cell r="A25" t="str">
            <v>10253</v>
          </cell>
          <cell r="H25">
            <v>126624286.3</v>
          </cell>
        </row>
        <row r="26">
          <cell r="A26" t="str">
            <v>10255</v>
          </cell>
          <cell r="H26">
            <v>403051.61</v>
          </cell>
        </row>
        <row r="27">
          <cell r="A27" t="str">
            <v>10256</v>
          </cell>
          <cell r="H27">
            <v>1533122334.28</v>
          </cell>
        </row>
        <row r="28">
          <cell r="A28" t="str">
            <v>10260</v>
          </cell>
          <cell r="H28">
            <v>28443.360000000001</v>
          </cell>
        </row>
        <row r="29">
          <cell r="A29" t="str">
            <v>10265</v>
          </cell>
          <cell r="H29">
            <v>316140.96999999997</v>
          </cell>
        </row>
        <row r="30">
          <cell r="A30" t="str">
            <v>10270</v>
          </cell>
          <cell r="H30">
            <v>386790302.29000002</v>
          </cell>
        </row>
        <row r="31">
          <cell r="A31" t="str">
            <v>10280</v>
          </cell>
          <cell r="H31">
            <v>563903.84</v>
          </cell>
        </row>
        <row r="32">
          <cell r="A32" t="str">
            <v>10285</v>
          </cell>
          <cell r="H32">
            <v>6649299.6100000003</v>
          </cell>
        </row>
        <row r="33">
          <cell r="A33" t="str">
            <v>10293</v>
          </cell>
          <cell r="H33">
            <v>1974434.29</v>
          </cell>
        </row>
        <row r="34">
          <cell r="A34" t="str">
            <v>10305</v>
          </cell>
          <cell r="H34">
            <v>4806.83</v>
          </cell>
        </row>
        <row r="35">
          <cell r="A35" t="str">
            <v>10310</v>
          </cell>
          <cell r="H35">
            <v>4674193.16</v>
          </cell>
        </row>
        <row r="36">
          <cell r="A36" t="str">
            <v>10316</v>
          </cell>
          <cell r="H36">
            <v>8283980.0499999998</v>
          </cell>
        </row>
        <row r="37">
          <cell r="A37" t="str">
            <v>10317</v>
          </cell>
          <cell r="H37">
            <v>101879.4</v>
          </cell>
        </row>
        <row r="38">
          <cell r="A38" t="str">
            <v>10320</v>
          </cell>
          <cell r="H38">
            <v>53.75</v>
          </cell>
        </row>
        <row r="39">
          <cell r="A39" t="str">
            <v>10341</v>
          </cell>
          <cell r="H39">
            <v>9161.61</v>
          </cell>
        </row>
        <row r="40">
          <cell r="A40" t="str">
            <v>10342</v>
          </cell>
          <cell r="H40">
            <v>346793</v>
          </cell>
        </row>
        <row r="41">
          <cell r="A41" t="str">
            <v>10343</v>
          </cell>
          <cell r="H41">
            <v>20583.990000000002</v>
          </cell>
        </row>
        <row r="42">
          <cell r="A42" t="str">
            <v>10497</v>
          </cell>
          <cell r="H42">
            <v>921617.68</v>
          </cell>
        </row>
        <row r="43">
          <cell r="A43" t="str">
            <v>10500</v>
          </cell>
          <cell r="H43">
            <v>0</v>
          </cell>
        </row>
        <row r="44">
          <cell r="A44" t="str">
            <v>11000</v>
          </cell>
          <cell r="H44">
            <v>680846040.74000001</v>
          </cell>
        </row>
        <row r="45">
          <cell r="A45" t="str">
            <v>12100</v>
          </cell>
          <cell r="H45">
            <v>94581089.150000006</v>
          </cell>
        </row>
        <row r="46">
          <cell r="A46" t="str">
            <v>13002</v>
          </cell>
          <cell r="H46">
            <v>1440000</v>
          </cell>
        </row>
        <row r="47">
          <cell r="A47" t="str">
            <v>13003</v>
          </cell>
          <cell r="H47">
            <v>167380062.44</v>
          </cell>
        </row>
        <row r="48">
          <cell r="A48" t="str">
            <v>13004</v>
          </cell>
          <cell r="H48">
            <v>4016143.03</v>
          </cell>
        </row>
        <row r="49">
          <cell r="A49" t="str">
            <v>13010</v>
          </cell>
          <cell r="H49">
            <v>18749999.989999998</v>
          </cell>
        </row>
        <row r="50">
          <cell r="A50" t="str">
            <v>13120</v>
          </cell>
          <cell r="H50">
            <v>50979200.530000001</v>
          </cell>
        </row>
        <row r="51">
          <cell r="A51" t="str">
            <v>13130</v>
          </cell>
          <cell r="H51">
            <v>14860413.130000001</v>
          </cell>
        </row>
        <row r="52">
          <cell r="A52" t="str">
            <v>13135</v>
          </cell>
          <cell r="H52">
            <v>14259259.359999999</v>
          </cell>
        </row>
        <row r="53">
          <cell r="A53" t="str">
            <v>13200</v>
          </cell>
          <cell r="H53">
            <v>8198177.1500000004</v>
          </cell>
        </row>
        <row r="54">
          <cell r="A54" t="str">
            <v>13400</v>
          </cell>
          <cell r="H54">
            <v>421113561.36000001</v>
          </cell>
        </row>
        <row r="55">
          <cell r="A55" t="str">
            <v>14000</v>
          </cell>
          <cell r="H55">
            <v>-111174435.17</v>
          </cell>
        </row>
        <row r="56">
          <cell r="A56" t="str">
            <v>14001</v>
          </cell>
          <cell r="H56">
            <v>-169973185.53</v>
          </cell>
        </row>
        <row r="57">
          <cell r="A57" t="str">
            <v>14010</v>
          </cell>
          <cell r="H57">
            <v>16857653.109999999</v>
          </cell>
        </row>
        <row r="58">
          <cell r="A58" t="str">
            <v>14014</v>
          </cell>
          <cell r="H58">
            <v>47381600.159999996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15000</v>
          </cell>
          <cell r="H60">
            <v>27291067.68</v>
          </cell>
        </row>
        <row r="61">
          <cell r="A61" t="str">
            <v>15100</v>
          </cell>
          <cell r="H61">
            <v>88402001</v>
          </cell>
        </row>
        <row r="62">
          <cell r="A62" t="str">
            <v>15200</v>
          </cell>
          <cell r="H62">
            <v>276163000.25999999</v>
          </cell>
        </row>
        <row r="63">
          <cell r="A63" t="str">
            <v>15300</v>
          </cell>
          <cell r="H63">
            <v>17087942.25</v>
          </cell>
        </row>
        <row r="64">
          <cell r="A64" t="str">
            <v>15400</v>
          </cell>
          <cell r="H64">
            <v>174166123.81</v>
          </cell>
        </row>
        <row r="65">
          <cell r="A65" t="str">
            <v>15405</v>
          </cell>
          <cell r="H65">
            <v>17904365.100000001</v>
          </cell>
        </row>
        <row r="66">
          <cell r="A66" t="str">
            <v>15410</v>
          </cell>
          <cell r="H66">
            <v>2410161.5</v>
          </cell>
        </row>
        <row r="67">
          <cell r="A67" t="str">
            <v>15500</v>
          </cell>
          <cell r="H67">
            <v>53411028.170000002</v>
          </cell>
        </row>
        <row r="68">
          <cell r="A68" t="str">
            <v>15501</v>
          </cell>
          <cell r="H68">
            <v>497179611.41000003</v>
          </cell>
        </row>
        <row r="69">
          <cell r="A69" t="str">
            <v>15505</v>
          </cell>
          <cell r="H69">
            <v>8503671.5099999998</v>
          </cell>
        </row>
        <row r="70">
          <cell r="A70" t="str">
            <v>15509</v>
          </cell>
          <cell r="H70">
            <v>2400000</v>
          </cell>
        </row>
        <row r="71">
          <cell r="A71" t="str">
            <v>15510</v>
          </cell>
          <cell r="H71">
            <v>99160219.060000002</v>
          </cell>
        </row>
        <row r="72">
          <cell r="A72" t="str">
            <v>16000</v>
          </cell>
          <cell r="H72">
            <v>-26109562.41</v>
          </cell>
        </row>
        <row r="73">
          <cell r="A73" t="str">
            <v>16100</v>
          </cell>
          <cell r="H73">
            <v>-88022313.560000002</v>
          </cell>
        </row>
        <row r="74">
          <cell r="A74" t="str">
            <v>16200</v>
          </cell>
          <cell r="H74">
            <v>-183570530.94999999</v>
          </cell>
        </row>
        <row r="75">
          <cell r="A75" t="str">
            <v>16300</v>
          </cell>
          <cell r="H75">
            <v>-13486081.75</v>
          </cell>
        </row>
        <row r="76">
          <cell r="A76" t="str">
            <v>16500</v>
          </cell>
          <cell r="H76">
            <v>-17904365.100000001</v>
          </cell>
        </row>
        <row r="77">
          <cell r="A77" t="str">
            <v>17000</v>
          </cell>
          <cell r="H77">
            <v>268893776.79000002</v>
          </cell>
        </row>
        <row r="78">
          <cell r="A78" t="str">
            <v>19004</v>
          </cell>
          <cell r="H78">
            <v>13173579.560000001</v>
          </cell>
        </row>
        <row r="79">
          <cell r="A79" t="str">
            <v>19006</v>
          </cell>
          <cell r="H79">
            <v>1444233.77</v>
          </cell>
        </row>
        <row r="80">
          <cell r="A80" t="str">
            <v>19007</v>
          </cell>
          <cell r="H80">
            <v>4728660856.4200001</v>
          </cell>
        </row>
        <row r="81">
          <cell r="A81" t="str">
            <v>69904</v>
          </cell>
          <cell r="H81">
            <v>-16048298.050000001</v>
          </cell>
        </row>
        <row r="82">
          <cell r="A82" t="str">
            <v>20000</v>
          </cell>
          <cell r="H82">
            <v>-327445108.08999997</v>
          </cell>
        </row>
        <row r="83">
          <cell r="A83" t="str">
            <v>20005</v>
          </cell>
          <cell r="H83">
            <v>-182961464.19999999</v>
          </cell>
        </row>
        <row r="84">
          <cell r="A84" t="str">
            <v>20010</v>
          </cell>
          <cell r="H84">
            <v>0</v>
          </cell>
        </row>
        <row r="85">
          <cell r="A85" t="str">
            <v>22100</v>
          </cell>
          <cell r="H85">
            <v>-20203615.719999999</v>
          </cell>
        </row>
        <row r="86">
          <cell r="A86" t="str">
            <v>23000</v>
          </cell>
          <cell r="H86">
            <v>-810365241.47000003</v>
          </cell>
        </row>
        <row r="87">
          <cell r="A87" t="str">
            <v>23001</v>
          </cell>
          <cell r="H87">
            <v>-1144603</v>
          </cell>
        </row>
        <row r="88">
          <cell r="A88" t="str">
            <v>23010</v>
          </cell>
          <cell r="H88">
            <v>-83727601.939999998</v>
          </cell>
        </row>
        <row r="89">
          <cell r="A89" t="str">
            <v>23015</v>
          </cell>
          <cell r="H89">
            <v>-6293413.7199999997</v>
          </cell>
        </row>
        <row r="90">
          <cell r="A90" t="str">
            <v>23040</v>
          </cell>
          <cell r="H90">
            <v>-7961484.4400000004</v>
          </cell>
        </row>
        <row r="91">
          <cell r="A91" t="str">
            <v>23400</v>
          </cell>
          <cell r="H91">
            <v>-1207790976.79</v>
          </cell>
        </row>
        <row r="92">
          <cell r="A92" t="str">
            <v>23405</v>
          </cell>
          <cell r="H92">
            <v>871193354.36000001</v>
          </cell>
        </row>
        <row r="93">
          <cell r="A93" t="str">
            <v>23410</v>
          </cell>
          <cell r="H93">
            <v>51599186.399999999</v>
          </cell>
        </row>
        <row r="94">
          <cell r="A94" t="str">
            <v>23420</v>
          </cell>
          <cell r="H94">
            <v>-14289067.630000001</v>
          </cell>
        </row>
        <row r="95">
          <cell r="A95" t="str">
            <v>23425</v>
          </cell>
          <cell r="H95">
            <v>-42242924.219999999</v>
          </cell>
        </row>
        <row r="96">
          <cell r="A96" t="str">
            <v>23889</v>
          </cell>
          <cell r="H96">
            <v>0</v>
          </cell>
        </row>
        <row r="97">
          <cell r="A97" t="str">
            <v>24010</v>
          </cell>
          <cell r="H97">
            <v>-15603399.59</v>
          </cell>
        </row>
        <row r="98">
          <cell r="A98" t="str">
            <v>24100</v>
          </cell>
          <cell r="H98">
            <v>0.35</v>
          </cell>
        </row>
        <row r="99">
          <cell r="A99" t="str">
            <v>30005</v>
          </cell>
          <cell r="H99">
            <v>96238158.140000001</v>
          </cell>
        </row>
        <row r="100">
          <cell r="A100" t="str">
            <v>30035</v>
          </cell>
          <cell r="H100">
            <v>101787277.34999999</v>
          </cell>
        </row>
        <row r="101">
          <cell r="A101" t="str">
            <v>30040</v>
          </cell>
          <cell r="H101">
            <v>-107359858</v>
          </cell>
        </row>
        <row r="102">
          <cell r="A102" t="str">
            <v>30042</v>
          </cell>
          <cell r="H102">
            <v>-7359858</v>
          </cell>
        </row>
        <row r="103">
          <cell r="A103" t="str">
            <v>30043</v>
          </cell>
          <cell r="H103">
            <v>-114297251.5</v>
          </cell>
        </row>
        <row r="104">
          <cell r="A104" t="str">
            <v>30044</v>
          </cell>
          <cell r="H104">
            <v>-7132742400</v>
          </cell>
        </row>
        <row r="105">
          <cell r="A105" t="str">
            <v>32000</v>
          </cell>
          <cell r="H105">
            <v>-1111090970.6300001</v>
          </cell>
        </row>
        <row r="106">
          <cell r="A106" t="str">
            <v>40015</v>
          </cell>
          <cell r="H106">
            <v>-21312372.09</v>
          </cell>
        </row>
        <row r="107">
          <cell r="A107" t="str">
            <v>40020</v>
          </cell>
          <cell r="H107">
            <v>-293333.33</v>
          </cell>
        </row>
        <row r="108">
          <cell r="A108" t="str">
            <v>40025</v>
          </cell>
          <cell r="H108">
            <v>-35637651.159999996</v>
          </cell>
        </row>
        <row r="109">
          <cell r="A109" t="str">
            <v>40055</v>
          </cell>
          <cell r="H109">
            <v>-7402596.0499999998</v>
          </cell>
        </row>
        <row r="110">
          <cell r="A110" t="str">
            <v>40056</v>
          </cell>
          <cell r="H110">
            <v>-93023.26</v>
          </cell>
        </row>
        <row r="111">
          <cell r="A111" t="str">
            <v>40085</v>
          </cell>
          <cell r="H111">
            <v>-22167.55</v>
          </cell>
        </row>
        <row r="112">
          <cell r="A112" t="str">
            <v>40155</v>
          </cell>
          <cell r="H112">
            <v>-580358.16</v>
          </cell>
        </row>
        <row r="113">
          <cell r="A113" t="str">
            <v>49300</v>
          </cell>
          <cell r="H113">
            <v>-31606356.719999999</v>
          </cell>
        </row>
        <row r="114">
          <cell r="A114" t="str">
            <v>49405</v>
          </cell>
          <cell r="H114">
            <v>-148519491.08000001</v>
          </cell>
        </row>
        <row r="115">
          <cell r="A115" t="str">
            <v>53030</v>
          </cell>
          <cell r="H115">
            <v>90000</v>
          </cell>
        </row>
        <row r="116">
          <cell r="A116" t="str">
            <v>53040</v>
          </cell>
          <cell r="H116">
            <v>0</v>
          </cell>
        </row>
        <row r="117">
          <cell r="A117" t="str">
            <v>53045</v>
          </cell>
          <cell r="H117">
            <v>4833328.6399999997</v>
          </cell>
        </row>
        <row r="118">
          <cell r="A118" t="str">
            <v>53055</v>
          </cell>
          <cell r="H118">
            <v>7120641.5800000001</v>
          </cell>
        </row>
        <row r="119">
          <cell r="A119" t="str">
            <v>53060</v>
          </cell>
          <cell r="H119">
            <v>0</v>
          </cell>
        </row>
        <row r="120">
          <cell r="A120" t="str">
            <v>53074</v>
          </cell>
          <cell r="H120">
            <v>129956.88</v>
          </cell>
        </row>
        <row r="121">
          <cell r="A121" t="str">
            <v>53075</v>
          </cell>
          <cell r="H121">
            <v>0</v>
          </cell>
        </row>
        <row r="122">
          <cell r="A122" t="str">
            <v>53080</v>
          </cell>
          <cell r="H122">
            <v>183902.5</v>
          </cell>
        </row>
        <row r="123">
          <cell r="A123" t="str">
            <v>53090</v>
          </cell>
          <cell r="H123">
            <v>0</v>
          </cell>
        </row>
        <row r="124">
          <cell r="A124" t="str">
            <v>53095</v>
          </cell>
          <cell r="H124">
            <v>0</v>
          </cell>
        </row>
        <row r="125">
          <cell r="A125" t="str">
            <v>53110</v>
          </cell>
          <cell r="H125">
            <v>0</v>
          </cell>
        </row>
        <row r="126">
          <cell r="A126" t="str">
            <v>53120</v>
          </cell>
          <cell r="H126">
            <v>51227134.350000001</v>
          </cell>
        </row>
        <row r="127">
          <cell r="A127" t="str">
            <v>53140</v>
          </cell>
          <cell r="H127">
            <v>0</v>
          </cell>
        </row>
        <row r="128">
          <cell r="A128" t="str">
            <v>60010</v>
          </cell>
          <cell r="H128">
            <v>2037037.04</v>
          </cell>
        </row>
        <row r="129">
          <cell r="A129" t="str">
            <v>60020</v>
          </cell>
          <cell r="H129">
            <v>131000</v>
          </cell>
        </row>
        <row r="130">
          <cell r="A130" t="str">
            <v>60025</v>
          </cell>
          <cell r="H130">
            <v>248200</v>
          </cell>
        </row>
        <row r="131">
          <cell r="A131" t="str">
            <v>60030</v>
          </cell>
          <cell r="H131">
            <v>110000</v>
          </cell>
        </row>
        <row r="132">
          <cell r="A132" t="str">
            <v>60040</v>
          </cell>
          <cell r="H132">
            <v>10000</v>
          </cell>
        </row>
        <row r="133">
          <cell r="A133" t="str">
            <v>60045</v>
          </cell>
          <cell r="H133">
            <v>735300</v>
          </cell>
        </row>
        <row r="134">
          <cell r="A134" t="str">
            <v>60050</v>
          </cell>
          <cell r="H134">
            <v>15811824.27</v>
          </cell>
        </row>
        <row r="135">
          <cell r="A135" t="str">
            <v>60060</v>
          </cell>
          <cell r="H135">
            <v>10455482.57</v>
          </cell>
        </row>
        <row r="136">
          <cell r="A136" t="str">
            <v>60070</v>
          </cell>
          <cell r="H136">
            <v>230200</v>
          </cell>
        </row>
        <row r="137">
          <cell r="A137" t="str">
            <v>60075</v>
          </cell>
          <cell r="H137">
            <v>5000</v>
          </cell>
        </row>
        <row r="138">
          <cell r="A138" t="str">
            <v>60080</v>
          </cell>
          <cell r="H138">
            <v>1392697.41</v>
          </cell>
        </row>
        <row r="139">
          <cell r="A139" t="str">
            <v>60085</v>
          </cell>
          <cell r="H139">
            <v>896031.64</v>
          </cell>
        </row>
        <row r="140">
          <cell r="A140" t="str">
            <v>60090</v>
          </cell>
          <cell r="H140">
            <v>0</v>
          </cell>
        </row>
        <row r="141">
          <cell r="A141" t="str">
            <v>60100</v>
          </cell>
          <cell r="H141">
            <v>647811.31999999995</v>
          </cell>
        </row>
        <row r="142">
          <cell r="A142" t="str">
            <v>60110</v>
          </cell>
          <cell r="H142">
            <v>3000000</v>
          </cell>
        </row>
        <row r="143">
          <cell r="A143" t="str">
            <v>60115</v>
          </cell>
          <cell r="H143">
            <v>0</v>
          </cell>
        </row>
        <row r="144">
          <cell r="A144" t="str">
            <v>60200</v>
          </cell>
          <cell r="H144">
            <v>1100000</v>
          </cell>
        </row>
        <row r="145">
          <cell r="A145" t="str">
            <v>60201</v>
          </cell>
          <cell r="H145">
            <v>3602277.36</v>
          </cell>
        </row>
        <row r="146">
          <cell r="A146" t="str">
            <v>60205</v>
          </cell>
          <cell r="H146">
            <v>150159.04999999999</v>
          </cell>
        </row>
        <row r="147">
          <cell r="A147" t="str">
            <v>60206</v>
          </cell>
          <cell r="H147">
            <v>2901328</v>
          </cell>
        </row>
        <row r="148">
          <cell r="A148" t="str">
            <v>60210</v>
          </cell>
          <cell r="H148">
            <v>10462672.91</v>
          </cell>
        </row>
        <row r="149">
          <cell r="A149" t="str">
            <v>60211</v>
          </cell>
          <cell r="H149">
            <v>113064.6</v>
          </cell>
        </row>
        <row r="150">
          <cell r="A150" t="str">
            <v>60213</v>
          </cell>
          <cell r="H150">
            <v>0</v>
          </cell>
        </row>
        <row r="151">
          <cell r="A151" t="str">
            <v>60214</v>
          </cell>
          <cell r="H151">
            <v>500000</v>
          </cell>
        </row>
        <row r="152">
          <cell r="A152" t="str">
            <v>60217</v>
          </cell>
          <cell r="H152">
            <v>0</v>
          </cell>
        </row>
        <row r="153">
          <cell r="A153" t="str">
            <v>61100</v>
          </cell>
          <cell r="H153">
            <v>1573803.8</v>
          </cell>
        </row>
        <row r="154">
          <cell r="A154" t="str">
            <v>61310</v>
          </cell>
          <cell r="H154">
            <v>213910</v>
          </cell>
        </row>
        <row r="155">
          <cell r="A155" t="str">
            <v>61315</v>
          </cell>
          <cell r="H155">
            <v>14000</v>
          </cell>
        </row>
        <row r="156">
          <cell r="A156" t="str">
            <v>61320</v>
          </cell>
          <cell r="H156">
            <v>56704.4</v>
          </cell>
        </row>
        <row r="157">
          <cell r="A157" t="str">
            <v>61500</v>
          </cell>
          <cell r="H157">
            <v>1467500</v>
          </cell>
        </row>
        <row r="158">
          <cell r="A158" t="str">
            <v>61600</v>
          </cell>
          <cell r="H158">
            <v>8414830.3100000005</v>
          </cell>
        </row>
        <row r="159">
          <cell r="A159" t="str">
            <v>61700</v>
          </cell>
          <cell r="H159">
            <v>594644.97</v>
          </cell>
        </row>
        <row r="160">
          <cell r="A160" t="str">
            <v>62200</v>
          </cell>
          <cell r="H160">
            <v>192300</v>
          </cell>
        </row>
        <row r="161">
          <cell r="A161" t="str">
            <v>62415</v>
          </cell>
          <cell r="H161">
            <v>0</v>
          </cell>
        </row>
        <row r="162">
          <cell r="A162" t="str">
            <v>62420</v>
          </cell>
          <cell r="H162">
            <v>12500</v>
          </cell>
        </row>
        <row r="163">
          <cell r="A163" t="str">
            <v>62425</v>
          </cell>
          <cell r="H163">
            <v>345950</v>
          </cell>
        </row>
        <row r="164">
          <cell r="A164" t="str">
            <v>62435</v>
          </cell>
          <cell r="H164">
            <v>0</v>
          </cell>
        </row>
        <row r="165">
          <cell r="A165" t="str">
            <v>62700</v>
          </cell>
          <cell r="H165">
            <v>1902640.56</v>
          </cell>
        </row>
        <row r="166">
          <cell r="A166" t="str">
            <v>62950</v>
          </cell>
          <cell r="H166">
            <v>0</v>
          </cell>
        </row>
        <row r="167">
          <cell r="A167" t="str">
            <v>63110</v>
          </cell>
          <cell r="H167">
            <v>2601311.83</v>
          </cell>
        </row>
        <row r="168">
          <cell r="A168" t="str">
            <v>63120</v>
          </cell>
          <cell r="H168">
            <v>15660719.08</v>
          </cell>
        </row>
        <row r="169">
          <cell r="A169" t="str">
            <v>63125</v>
          </cell>
          <cell r="H169">
            <v>89000</v>
          </cell>
        </row>
        <row r="170">
          <cell r="A170" t="str">
            <v>63907</v>
          </cell>
          <cell r="H170">
            <v>22374292.5</v>
          </cell>
        </row>
        <row r="171">
          <cell r="A171" t="str">
            <v>63910</v>
          </cell>
          <cell r="H171">
            <v>0</v>
          </cell>
        </row>
        <row r="172">
          <cell r="A172" t="str">
            <v>64000</v>
          </cell>
          <cell r="H172">
            <v>3043818.66</v>
          </cell>
        </row>
        <row r="173">
          <cell r="A173" t="str">
            <v>65000</v>
          </cell>
          <cell r="H173">
            <v>0</v>
          </cell>
        </row>
        <row r="174">
          <cell r="A174" t="str">
            <v>65007</v>
          </cell>
          <cell r="H174">
            <v>-5195560.25</v>
          </cell>
        </row>
        <row r="175">
          <cell r="A175" t="str">
            <v>65015</v>
          </cell>
          <cell r="H175">
            <v>0</v>
          </cell>
        </row>
        <row r="176">
          <cell r="A176" t="str">
            <v>65030</v>
          </cell>
          <cell r="H176">
            <v>14288374.1</v>
          </cell>
        </row>
        <row r="177">
          <cell r="A177" t="str">
            <v>65035</v>
          </cell>
          <cell r="H177">
            <v>49258981.020000003</v>
          </cell>
        </row>
        <row r="178">
          <cell r="A178" t="str">
            <v>65037</v>
          </cell>
          <cell r="H178">
            <v>0</v>
          </cell>
        </row>
        <row r="179">
          <cell r="A179" t="str">
            <v>65095</v>
          </cell>
          <cell r="H179">
            <v>2507052.41</v>
          </cell>
        </row>
        <row r="180">
          <cell r="A180" t="str">
            <v>65100</v>
          </cell>
          <cell r="H180">
            <v>3594773.84</v>
          </cell>
        </row>
        <row r="181">
          <cell r="A181" t="str">
            <v>65800</v>
          </cell>
          <cell r="H181">
            <v>131000</v>
          </cell>
        </row>
        <row r="182">
          <cell r="A182" t="str">
            <v>67052</v>
          </cell>
          <cell r="H182">
            <v>0</v>
          </cell>
        </row>
        <row r="183">
          <cell r="A183" t="str">
            <v>67920</v>
          </cell>
          <cell r="H183">
            <v>40860281.339999974</v>
          </cell>
        </row>
        <row r="184">
          <cell r="A184" t="str">
            <v>67940</v>
          </cell>
          <cell r="H184">
            <v>0</v>
          </cell>
        </row>
        <row r="185">
          <cell r="A185" t="str">
            <v>68500</v>
          </cell>
          <cell r="H185">
            <v>1791666.67</v>
          </cell>
        </row>
        <row r="186">
          <cell r="A186" t="str">
            <v>68502</v>
          </cell>
          <cell r="H186">
            <v>967110</v>
          </cell>
        </row>
        <row r="187">
          <cell r="A187" t="str">
            <v>68503</v>
          </cell>
          <cell r="H187">
            <v>0</v>
          </cell>
        </row>
        <row r="188">
          <cell r="A188" t="str">
            <v>69600</v>
          </cell>
          <cell r="H188">
            <v>0</v>
          </cell>
        </row>
        <row r="189">
          <cell r="A189" t="str">
            <v>69901</v>
          </cell>
          <cell r="H189">
            <v>0</v>
          </cell>
        </row>
      </sheetData>
      <sheetData sheetId="2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188487.46</v>
          </cell>
        </row>
        <row r="7">
          <cell r="A7" t="str">
            <v>10104</v>
          </cell>
          <cell r="H7">
            <v>3379893.84</v>
          </cell>
        </row>
        <row r="8">
          <cell r="A8" t="str">
            <v>10105</v>
          </cell>
          <cell r="H8">
            <v>755041235.00999999</v>
          </cell>
        </row>
        <row r="9">
          <cell r="A9" t="str">
            <v>10107</v>
          </cell>
          <cell r="H9">
            <v>450724367.32999998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985036435.14999998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10213</v>
          </cell>
          <cell r="H13">
            <v>20000</v>
          </cell>
        </row>
        <row r="14">
          <cell r="A14" t="str">
            <v>10215</v>
          </cell>
          <cell r="H14">
            <v>5805788.79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5888935.4699999997</v>
          </cell>
        </row>
        <row r="17">
          <cell r="A17" t="str">
            <v>10224</v>
          </cell>
          <cell r="H17">
            <v>9048783.1799999997</v>
          </cell>
        </row>
        <row r="18">
          <cell r="A18" t="str">
            <v>10225</v>
          </cell>
          <cell r="H18">
            <v>3065010.2</v>
          </cell>
        </row>
        <row r="19">
          <cell r="A19" t="str">
            <v>10226</v>
          </cell>
          <cell r="H19">
            <v>900728.83</v>
          </cell>
        </row>
        <row r="20">
          <cell r="A20" t="str">
            <v>10230</v>
          </cell>
          <cell r="H20">
            <v>2593.08</v>
          </cell>
        </row>
        <row r="21">
          <cell r="A21" t="str">
            <v>10235</v>
          </cell>
          <cell r="H21">
            <v>10468814.58</v>
          </cell>
        </row>
        <row r="22">
          <cell r="A22" t="str">
            <v>10240</v>
          </cell>
          <cell r="H22">
            <v>31493.46</v>
          </cell>
        </row>
        <row r="23">
          <cell r="A23" t="str">
            <v>10245</v>
          </cell>
          <cell r="H23">
            <v>208999.86</v>
          </cell>
        </row>
        <row r="24">
          <cell r="A24" t="str">
            <v>10253</v>
          </cell>
          <cell r="H24">
            <v>184987253.72</v>
          </cell>
        </row>
        <row r="25">
          <cell r="A25" t="str">
            <v>10255</v>
          </cell>
          <cell r="H25">
            <v>1633190.64</v>
          </cell>
        </row>
        <row r="26">
          <cell r="A26" t="str">
            <v>10256</v>
          </cell>
          <cell r="H26">
            <v>1445040840.75</v>
          </cell>
        </row>
        <row r="27">
          <cell r="A27" t="str">
            <v>10260</v>
          </cell>
          <cell r="H27">
            <v>28443.360000000001</v>
          </cell>
        </row>
        <row r="28">
          <cell r="A28" t="str">
            <v>10265</v>
          </cell>
          <cell r="H28">
            <v>278138.03000000003</v>
          </cell>
        </row>
        <row r="29">
          <cell r="A29" t="str">
            <v>10270</v>
          </cell>
          <cell r="H29">
            <v>11919686.869999999</v>
          </cell>
        </row>
        <row r="30">
          <cell r="A30" t="str">
            <v>10280</v>
          </cell>
          <cell r="H30">
            <v>563903.84</v>
          </cell>
        </row>
        <row r="31">
          <cell r="A31" t="str">
            <v>10285</v>
          </cell>
          <cell r="H31">
            <v>4040743.08</v>
          </cell>
        </row>
        <row r="32">
          <cell r="A32" t="str">
            <v>10293</v>
          </cell>
          <cell r="H32">
            <v>437053.12</v>
          </cell>
        </row>
        <row r="33">
          <cell r="A33" t="str">
            <v>10305</v>
          </cell>
          <cell r="H33">
            <v>4806.83</v>
          </cell>
        </row>
        <row r="34">
          <cell r="A34" t="str">
            <v>10310</v>
          </cell>
          <cell r="H34">
            <v>5337184.55</v>
          </cell>
        </row>
        <row r="35">
          <cell r="A35" t="str">
            <v>10316</v>
          </cell>
          <cell r="H35">
            <v>6757162.9699999997</v>
          </cell>
        </row>
        <row r="36">
          <cell r="A36" t="str">
            <v>10317</v>
          </cell>
          <cell r="H36">
            <v>1101879.3999999999</v>
          </cell>
        </row>
        <row r="37">
          <cell r="A37" t="str">
            <v>10320</v>
          </cell>
          <cell r="H37">
            <v>53.75</v>
          </cell>
        </row>
        <row r="38">
          <cell r="A38" t="str">
            <v>10341</v>
          </cell>
          <cell r="H38">
            <v>244321.74</v>
          </cell>
        </row>
        <row r="39">
          <cell r="A39" t="str">
            <v>10342</v>
          </cell>
          <cell r="H39">
            <v>1672091.85</v>
          </cell>
        </row>
        <row r="40">
          <cell r="A40" t="str">
            <v>10343</v>
          </cell>
          <cell r="H40">
            <v>19401.39</v>
          </cell>
        </row>
        <row r="41">
          <cell r="A41" t="str">
            <v>10497</v>
          </cell>
          <cell r="H41">
            <v>821680.58</v>
          </cell>
        </row>
        <row r="42">
          <cell r="A42" t="str">
            <v>11000</v>
          </cell>
          <cell r="H42">
            <v>641845991.34000003</v>
          </cell>
        </row>
        <row r="43">
          <cell r="A43" t="str">
            <v>12100</v>
          </cell>
          <cell r="H43">
            <v>94581089.150000006</v>
          </cell>
        </row>
        <row r="44">
          <cell r="A44" t="str">
            <v>13002</v>
          </cell>
          <cell r="H44">
            <v>1440000</v>
          </cell>
        </row>
        <row r="45">
          <cell r="A45" t="str">
            <v>13003</v>
          </cell>
          <cell r="H45">
            <v>166762511.16</v>
          </cell>
        </row>
        <row r="46">
          <cell r="A46" t="str">
            <v>13004</v>
          </cell>
          <cell r="H46">
            <v>3572489.35</v>
          </cell>
        </row>
        <row r="47">
          <cell r="A47" t="str">
            <v>13007</v>
          </cell>
          <cell r="H47">
            <v>0</v>
          </cell>
        </row>
        <row r="48">
          <cell r="A48" t="str">
            <v>13008</v>
          </cell>
          <cell r="H48">
            <v>0</v>
          </cell>
        </row>
        <row r="49">
          <cell r="A49" t="str">
            <v>13010</v>
          </cell>
          <cell r="H49">
            <v>18587499.989999998</v>
          </cell>
        </row>
        <row r="50">
          <cell r="A50" t="str">
            <v>13120</v>
          </cell>
          <cell r="H50">
            <v>52726922.32</v>
          </cell>
        </row>
        <row r="51">
          <cell r="A51" t="str">
            <v>13130</v>
          </cell>
          <cell r="H51">
            <v>14069374.619999999</v>
          </cell>
        </row>
        <row r="52">
          <cell r="A52" t="str">
            <v>13135</v>
          </cell>
          <cell r="H52">
            <v>16296296.4</v>
          </cell>
        </row>
        <row r="53">
          <cell r="A53" t="str">
            <v>13200</v>
          </cell>
          <cell r="H53">
            <v>6102149.7800000003</v>
          </cell>
        </row>
        <row r="54">
          <cell r="A54" t="str">
            <v>13400</v>
          </cell>
          <cell r="H54">
            <v>421038561.36000001</v>
          </cell>
        </row>
        <row r="55">
          <cell r="A55" t="str">
            <v>14000</v>
          </cell>
          <cell r="H55">
            <v>-115015198.62</v>
          </cell>
        </row>
        <row r="56">
          <cell r="A56" t="str">
            <v>14001</v>
          </cell>
          <cell r="H56">
            <v>-174947850.88</v>
          </cell>
        </row>
        <row r="57">
          <cell r="A57" t="str">
            <v>14010</v>
          </cell>
          <cell r="H57">
            <v>16844653.109999999</v>
          </cell>
        </row>
        <row r="58">
          <cell r="A58" t="str">
            <v>14014</v>
          </cell>
          <cell r="H58">
            <v>37665409.960000001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15000</v>
          </cell>
          <cell r="H60">
            <v>26404192.68</v>
          </cell>
        </row>
        <row r="61">
          <cell r="A61" t="str">
            <v>15100</v>
          </cell>
          <cell r="H61">
            <v>88402001</v>
          </cell>
        </row>
        <row r="62">
          <cell r="A62" t="str">
            <v>15200</v>
          </cell>
          <cell r="H62">
            <v>271567375.25999999</v>
          </cell>
        </row>
        <row r="63">
          <cell r="A63" t="str">
            <v>15300</v>
          </cell>
          <cell r="H63">
            <v>17087942.25</v>
          </cell>
        </row>
        <row r="64">
          <cell r="A64" t="str">
            <v>15400</v>
          </cell>
          <cell r="H64">
            <v>174166123.81</v>
          </cell>
        </row>
        <row r="65">
          <cell r="A65" t="str">
            <v>15405</v>
          </cell>
          <cell r="H65">
            <v>17904365.100000001</v>
          </cell>
        </row>
        <row r="66">
          <cell r="A66" t="str">
            <v>15410</v>
          </cell>
          <cell r="H66">
            <v>2410161.5</v>
          </cell>
        </row>
        <row r="67">
          <cell r="A67" t="str">
            <v>15500</v>
          </cell>
          <cell r="H67">
            <v>53411028.170000002</v>
          </cell>
        </row>
        <row r="68">
          <cell r="A68" t="str">
            <v>15501</v>
          </cell>
          <cell r="H68">
            <v>474971974.51999998</v>
          </cell>
        </row>
        <row r="69">
          <cell r="A69" t="str">
            <v>15505</v>
          </cell>
          <cell r="H69">
            <v>8503671.5099999998</v>
          </cell>
        </row>
        <row r="70">
          <cell r="A70" t="str">
            <v>15509</v>
          </cell>
          <cell r="H70">
            <v>2400000</v>
          </cell>
        </row>
        <row r="71">
          <cell r="A71" t="str">
            <v>15510</v>
          </cell>
          <cell r="H71">
            <v>9685283.8000000007</v>
          </cell>
        </row>
        <row r="72">
          <cell r="A72" t="str">
            <v>16000</v>
          </cell>
          <cell r="H72">
            <v>-26053952.16</v>
          </cell>
        </row>
        <row r="73">
          <cell r="A73" t="str">
            <v>16100</v>
          </cell>
          <cell r="H73">
            <v>-87946376.060000002</v>
          </cell>
        </row>
        <row r="74">
          <cell r="A74" t="str">
            <v>16200</v>
          </cell>
          <cell r="H74">
            <v>-180756305.09</v>
          </cell>
        </row>
        <row r="75">
          <cell r="A75" t="str">
            <v>16300</v>
          </cell>
          <cell r="H75">
            <v>-13388036.699999999</v>
          </cell>
        </row>
        <row r="76">
          <cell r="A76" t="str">
            <v>16500</v>
          </cell>
          <cell r="H76">
            <v>-17904365.100000001</v>
          </cell>
        </row>
        <row r="77">
          <cell r="A77" t="str">
            <v>17000</v>
          </cell>
          <cell r="H77">
            <v>268893776.79000002</v>
          </cell>
        </row>
        <row r="78">
          <cell r="A78" t="str">
            <v>19004</v>
          </cell>
          <cell r="H78">
            <v>12636079.560000001</v>
          </cell>
        </row>
        <row r="79">
          <cell r="A79" t="str">
            <v>19006</v>
          </cell>
          <cell r="H79">
            <v>2393769.14</v>
          </cell>
        </row>
        <row r="80">
          <cell r="A80" t="str">
            <v>19007</v>
          </cell>
          <cell r="H80">
            <v>4428487269.9300003</v>
          </cell>
        </row>
        <row r="81">
          <cell r="A81" t="str">
            <v>69904</v>
          </cell>
          <cell r="H81">
            <v>-16048298.050000001</v>
          </cell>
        </row>
        <row r="82">
          <cell r="A82" t="str">
            <v>20000</v>
          </cell>
          <cell r="H82">
            <v>-320884662.89999998</v>
          </cell>
        </row>
        <row r="83">
          <cell r="A83" t="str">
            <v>20005</v>
          </cell>
          <cell r="H83">
            <v>-116572241.95999999</v>
          </cell>
        </row>
        <row r="84">
          <cell r="A84" t="str">
            <v>22100</v>
          </cell>
          <cell r="H84">
            <v>-19873278.309999999</v>
          </cell>
        </row>
        <row r="85">
          <cell r="A85" t="str">
            <v>23000</v>
          </cell>
          <cell r="H85">
            <v>-1282902598.3299999</v>
          </cell>
        </row>
        <row r="86">
          <cell r="A86" t="str">
            <v>23001</v>
          </cell>
          <cell r="H86">
            <v>-1144603</v>
          </cell>
        </row>
        <row r="87">
          <cell r="A87" t="str">
            <v>23010</v>
          </cell>
          <cell r="H87">
            <v>-157816851.53</v>
          </cell>
        </row>
        <row r="88">
          <cell r="A88" t="str">
            <v>23015</v>
          </cell>
          <cell r="H88">
            <v>-2667206.1</v>
          </cell>
        </row>
        <row r="89">
          <cell r="A89" t="str">
            <v>23040</v>
          </cell>
          <cell r="H89">
            <v>-8217297.2199999997</v>
          </cell>
        </row>
        <row r="90">
          <cell r="A90" t="str">
            <v>23400</v>
          </cell>
          <cell r="H90">
            <v>-1202388053.4000001</v>
          </cell>
        </row>
        <row r="91">
          <cell r="A91" t="str">
            <v>23405</v>
          </cell>
          <cell r="H91">
            <v>868584948.69000006</v>
          </cell>
        </row>
        <row r="92">
          <cell r="A92" t="str">
            <v>23410</v>
          </cell>
          <cell r="H92">
            <v>51599186.399999999</v>
          </cell>
        </row>
        <row r="93">
          <cell r="A93" t="str">
            <v>23420</v>
          </cell>
          <cell r="H93">
            <v>-15966732.1</v>
          </cell>
        </row>
        <row r="94">
          <cell r="A94" t="str">
            <v>23425</v>
          </cell>
          <cell r="H94">
            <v>-42242924.219999999</v>
          </cell>
        </row>
        <row r="95">
          <cell r="A95" t="str">
            <v>23889</v>
          </cell>
          <cell r="H95">
            <v>0</v>
          </cell>
        </row>
        <row r="96">
          <cell r="A96" t="str">
            <v>24010</v>
          </cell>
          <cell r="H96">
            <v>-15062002.779999999</v>
          </cell>
        </row>
        <row r="97">
          <cell r="A97" t="str">
            <v>24100</v>
          </cell>
          <cell r="H97">
            <v>0.35</v>
          </cell>
        </row>
        <row r="98">
          <cell r="A98" t="str">
            <v>30005</v>
          </cell>
          <cell r="H98">
            <v>96238158.140000001</v>
          </cell>
        </row>
        <row r="99">
          <cell r="A99" t="str">
            <v>30035</v>
          </cell>
          <cell r="H99">
            <v>101787277.34999999</v>
          </cell>
        </row>
        <row r="100">
          <cell r="A100" t="str">
            <v>30040</v>
          </cell>
          <cell r="H100">
            <v>-107359858</v>
          </cell>
        </row>
        <row r="101">
          <cell r="A101" t="str">
            <v>30042</v>
          </cell>
          <cell r="H101">
            <v>-7359858</v>
          </cell>
        </row>
        <row r="102">
          <cell r="A102" t="str">
            <v>30043</v>
          </cell>
          <cell r="H102">
            <v>-114297251.5</v>
          </cell>
        </row>
        <row r="103">
          <cell r="A103" t="str">
            <v>30044</v>
          </cell>
          <cell r="H103">
            <v>-6722949600</v>
          </cell>
        </row>
        <row r="104">
          <cell r="A104" t="str">
            <v>32000</v>
          </cell>
          <cell r="H104">
            <v>-1111090970.6300001</v>
          </cell>
        </row>
        <row r="105">
          <cell r="A105" t="str">
            <v>40015</v>
          </cell>
          <cell r="H105">
            <v>-16373953.49</v>
          </cell>
        </row>
        <row r="106">
          <cell r="A106" t="str">
            <v>40020</v>
          </cell>
          <cell r="H106">
            <v>-293333.33</v>
          </cell>
        </row>
        <row r="107">
          <cell r="A107" t="str">
            <v>40025</v>
          </cell>
          <cell r="H107">
            <v>-32270245.579999998</v>
          </cell>
        </row>
        <row r="108">
          <cell r="A108" t="str">
            <v>40055</v>
          </cell>
          <cell r="H108">
            <v>-6488596.6699999999</v>
          </cell>
        </row>
        <row r="109">
          <cell r="A109" t="str">
            <v>40056</v>
          </cell>
          <cell r="H109">
            <v>-91441.86</v>
          </cell>
        </row>
        <row r="110">
          <cell r="A110" t="str">
            <v>40085</v>
          </cell>
          <cell r="H110">
            <v>-14167.049999999988</v>
          </cell>
        </row>
        <row r="111">
          <cell r="A111" t="str">
            <v>40155</v>
          </cell>
          <cell r="H111">
            <v>-7782409.6200000001</v>
          </cell>
        </row>
        <row r="112">
          <cell r="A112" t="str">
            <v>49300</v>
          </cell>
          <cell r="H112">
            <v>-33159523.329999998</v>
          </cell>
        </row>
        <row r="113">
          <cell r="A113" t="str">
            <v>49405</v>
          </cell>
          <cell r="H113">
            <v>-156139964.66000003</v>
          </cell>
        </row>
        <row r="114">
          <cell r="A114" t="str">
            <v>53030</v>
          </cell>
          <cell r="H114">
            <v>6000</v>
          </cell>
        </row>
        <row r="115">
          <cell r="A115" t="str">
            <v>53040</v>
          </cell>
          <cell r="H115">
            <v>108450</v>
          </cell>
        </row>
        <row r="116">
          <cell r="A116" t="str">
            <v>53045</v>
          </cell>
          <cell r="H116">
            <v>19013806.149999999</v>
          </cell>
        </row>
        <row r="117">
          <cell r="A117" t="str">
            <v>53055</v>
          </cell>
          <cell r="H117">
            <v>225468.75</v>
          </cell>
        </row>
        <row r="118">
          <cell r="A118" t="str">
            <v>53060</v>
          </cell>
          <cell r="H118">
            <v>6500</v>
          </cell>
        </row>
        <row r="119">
          <cell r="A119" t="str">
            <v>53075</v>
          </cell>
          <cell r="H119">
            <v>0</v>
          </cell>
        </row>
        <row r="120">
          <cell r="A120" t="str">
            <v>53080</v>
          </cell>
          <cell r="H120">
            <v>835893</v>
          </cell>
        </row>
        <row r="121">
          <cell r="A121" t="str">
            <v>53090</v>
          </cell>
          <cell r="H121">
            <v>0</v>
          </cell>
        </row>
        <row r="122">
          <cell r="A122" t="str">
            <v>53095</v>
          </cell>
          <cell r="H122">
            <v>2000</v>
          </cell>
        </row>
        <row r="123">
          <cell r="A123" t="str">
            <v>53110</v>
          </cell>
          <cell r="H123">
            <v>7000</v>
          </cell>
        </row>
        <row r="124">
          <cell r="A124" t="str">
            <v>53120</v>
          </cell>
          <cell r="H124">
            <v>52667375.659999996</v>
          </cell>
        </row>
        <row r="125">
          <cell r="A125" t="str">
            <v>53140</v>
          </cell>
          <cell r="H125">
            <v>100767.5</v>
          </cell>
        </row>
        <row r="126">
          <cell r="A126" t="str">
            <v>60010</v>
          </cell>
          <cell r="H126">
            <v>2037037.04</v>
          </cell>
        </row>
        <row r="127">
          <cell r="A127" t="str">
            <v>60020</v>
          </cell>
          <cell r="H127">
            <v>129000</v>
          </cell>
        </row>
        <row r="128">
          <cell r="A128" t="str">
            <v>60025</v>
          </cell>
          <cell r="H128">
            <v>362000</v>
          </cell>
        </row>
        <row r="129">
          <cell r="A129" t="str">
            <v>60030</v>
          </cell>
          <cell r="H129">
            <v>1004125</v>
          </cell>
        </row>
        <row r="130">
          <cell r="A130" t="str">
            <v>60040</v>
          </cell>
          <cell r="H130">
            <v>22000</v>
          </cell>
        </row>
        <row r="131">
          <cell r="A131" t="str">
            <v>60045</v>
          </cell>
          <cell r="H131">
            <v>1075731</v>
          </cell>
        </row>
        <row r="132">
          <cell r="A132" t="str">
            <v>60050</v>
          </cell>
          <cell r="H132">
            <v>7937823.4299999997</v>
          </cell>
        </row>
        <row r="133">
          <cell r="A133" t="str">
            <v>60060</v>
          </cell>
          <cell r="H133">
            <v>15237181.409999998</v>
          </cell>
        </row>
        <row r="134">
          <cell r="A134" t="str">
            <v>60070</v>
          </cell>
          <cell r="H134">
            <v>920440.72</v>
          </cell>
        </row>
        <row r="135">
          <cell r="A135" t="str">
            <v>60075</v>
          </cell>
          <cell r="H135">
            <v>5000</v>
          </cell>
        </row>
        <row r="136">
          <cell r="A136" t="str">
            <v>60080</v>
          </cell>
          <cell r="H136">
            <v>1171780.77</v>
          </cell>
        </row>
        <row r="137">
          <cell r="A137" t="str">
            <v>60085</v>
          </cell>
          <cell r="H137">
            <v>924063.94</v>
          </cell>
        </row>
        <row r="138">
          <cell r="A138" t="str">
            <v>60090</v>
          </cell>
          <cell r="H138">
            <v>1712500</v>
          </cell>
        </row>
        <row r="139">
          <cell r="A139" t="str">
            <v>60100</v>
          </cell>
          <cell r="H139">
            <v>390728.75</v>
          </cell>
        </row>
        <row r="140">
          <cell r="A140" t="str">
            <v>60110</v>
          </cell>
          <cell r="H140">
            <v>0</v>
          </cell>
        </row>
        <row r="141">
          <cell r="A141" t="str">
            <v>60115</v>
          </cell>
          <cell r="H141">
            <v>0</v>
          </cell>
        </row>
        <row r="142">
          <cell r="A142" t="str">
            <v>60200</v>
          </cell>
          <cell r="H142">
            <v>0</v>
          </cell>
        </row>
        <row r="143">
          <cell r="A143" t="str">
            <v>60201</v>
          </cell>
          <cell r="H143">
            <v>4762595.6900000004</v>
          </cell>
        </row>
        <row r="144">
          <cell r="A144" t="str">
            <v>60205</v>
          </cell>
          <cell r="H144">
            <v>519071.24</v>
          </cell>
        </row>
        <row r="145">
          <cell r="A145" t="str">
            <v>60206</v>
          </cell>
          <cell r="H145">
            <v>8634018.6400000006</v>
          </cell>
        </row>
        <row r="146">
          <cell r="A146" t="str">
            <v>60210</v>
          </cell>
          <cell r="H146">
            <v>20068048.760000002</v>
          </cell>
        </row>
        <row r="147">
          <cell r="A147" t="str">
            <v>60211</v>
          </cell>
          <cell r="H147">
            <v>5792525.1399999997</v>
          </cell>
        </row>
        <row r="148">
          <cell r="A148" t="str">
            <v>60213</v>
          </cell>
          <cell r="H148">
            <v>0</v>
          </cell>
        </row>
        <row r="149">
          <cell r="A149" t="str">
            <v>60214</v>
          </cell>
          <cell r="H149">
            <v>355200</v>
          </cell>
        </row>
        <row r="150">
          <cell r="A150" t="str">
            <v>60217</v>
          </cell>
          <cell r="H150">
            <v>2085000</v>
          </cell>
        </row>
        <row r="151">
          <cell r="A151" t="str">
            <v>61100</v>
          </cell>
          <cell r="H151">
            <v>12171384.17</v>
          </cell>
        </row>
        <row r="152">
          <cell r="A152" t="str">
            <v>61310</v>
          </cell>
          <cell r="H152">
            <v>115365</v>
          </cell>
        </row>
        <row r="153">
          <cell r="A153" t="str">
            <v>61315</v>
          </cell>
          <cell r="H153">
            <v>246000</v>
          </cell>
        </row>
        <row r="154">
          <cell r="A154" t="str">
            <v>61320</v>
          </cell>
          <cell r="H154">
            <v>67741.94</v>
          </cell>
        </row>
        <row r="155">
          <cell r="A155" t="str">
            <v>61500</v>
          </cell>
          <cell r="H155">
            <v>176394.79</v>
          </cell>
        </row>
        <row r="156">
          <cell r="A156" t="str">
            <v>61600</v>
          </cell>
          <cell r="H156">
            <v>4606153.59</v>
          </cell>
        </row>
        <row r="157">
          <cell r="A157" t="str">
            <v>61700</v>
          </cell>
          <cell r="H157">
            <v>820110.19</v>
          </cell>
        </row>
        <row r="158">
          <cell r="A158" t="str">
            <v>62200</v>
          </cell>
          <cell r="H158">
            <v>26050</v>
          </cell>
        </row>
        <row r="159">
          <cell r="A159" t="str">
            <v>62415</v>
          </cell>
          <cell r="H159">
            <v>51000</v>
          </cell>
        </row>
        <row r="160">
          <cell r="A160" t="str">
            <v>62420</v>
          </cell>
          <cell r="H160">
            <v>43090</v>
          </cell>
        </row>
        <row r="161">
          <cell r="A161" t="str">
            <v>62425</v>
          </cell>
          <cell r="H161">
            <v>755760</v>
          </cell>
        </row>
        <row r="162">
          <cell r="A162" t="str">
            <v>62435</v>
          </cell>
          <cell r="H162">
            <v>0</v>
          </cell>
        </row>
        <row r="163">
          <cell r="A163" t="str">
            <v>62700</v>
          </cell>
          <cell r="H163">
            <v>2620329.33</v>
          </cell>
        </row>
        <row r="164">
          <cell r="A164" t="str">
            <v>63110</v>
          </cell>
          <cell r="H164">
            <v>2413000</v>
          </cell>
        </row>
        <row r="165">
          <cell r="A165" t="str">
            <v>63120</v>
          </cell>
          <cell r="H165">
            <v>3860812.24</v>
          </cell>
        </row>
        <row r="166">
          <cell r="A166" t="str">
            <v>63125</v>
          </cell>
          <cell r="H166">
            <v>378650</v>
          </cell>
        </row>
        <row r="167">
          <cell r="A167" t="str">
            <v>63907</v>
          </cell>
          <cell r="H167">
            <v>18802770</v>
          </cell>
        </row>
        <row r="168">
          <cell r="A168" t="str">
            <v>63910</v>
          </cell>
          <cell r="H168">
            <v>0</v>
          </cell>
        </row>
        <row r="169">
          <cell r="A169" t="str">
            <v>64000</v>
          </cell>
          <cell r="H169">
            <v>3230819.9499999997</v>
          </cell>
        </row>
        <row r="170">
          <cell r="A170" t="str">
            <v>65000</v>
          </cell>
          <cell r="H170">
            <v>0</v>
          </cell>
        </row>
        <row r="171">
          <cell r="A171" t="str">
            <v>65007</v>
          </cell>
          <cell r="H171">
            <v>-1409646.2199999988</v>
          </cell>
        </row>
        <row r="172">
          <cell r="A172" t="str">
            <v>65015</v>
          </cell>
          <cell r="H172">
            <v>0</v>
          </cell>
        </row>
        <row r="173">
          <cell r="A173" t="str">
            <v>65030</v>
          </cell>
          <cell r="H173">
            <v>15223124.91</v>
          </cell>
        </row>
        <row r="174">
          <cell r="A174" t="str">
            <v>65035</v>
          </cell>
          <cell r="H174">
            <v>46418583.670000002</v>
          </cell>
        </row>
        <row r="175">
          <cell r="A175" t="str">
            <v>65037</v>
          </cell>
          <cell r="H175">
            <v>0</v>
          </cell>
        </row>
        <row r="176">
          <cell r="A176" t="str">
            <v>65095</v>
          </cell>
          <cell r="H176">
            <v>12319265.34</v>
          </cell>
        </row>
        <row r="177">
          <cell r="A177" t="str">
            <v>65100</v>
          </cell>
          <cell r="H177">
            <v>3714838.4099999997</v>
          </cell>
        </row>
        <row r="178">
          <cell r="A178" t="str">
            <v>65800</v>
          </cell>
          <cell r="H178">
            <v>800000</v>
          </cell>
        </row>
        <row r="179">
          <cell r="A179" t="str">
            <v>67052</v>
          </cell>
          <cell r="H179">
            <v>0</v>
          </cell>
        </row>
        <row r="180">
          <cell r="A180" t="str">
            <v>67920</v>
          </cell>
          <cell r="H180">
            <v>56699031.49000001</v>
          </cell>
        </row>
        <row r="181">
          <cell r="A181" t="str">
            <v>67940</v>
          </cell>
          <cell r="H181">
            <v>2.0000000018626451E-2</v>
          </cell>
        </row>
        <row r="182">
          <cell r="A182" t="str">
            <v>68500</v>
          </cell>
          <cell r="H182">
            <v>2452873.4700000002</v>
          </cell>
        </row>
        <row r="183">
          <cell r="A183" t="str">
            <v>68502</v>
          </cell>
          <cell r="H183">
            <v>460476</v>
          </cell>
        </row>
        <row r="184">
          <cell r="A184" t="str">
            <v>68503</v>
          </cell>
          <cell r="H184">
            <v>5751250</v>
          </cell>
        </row>
        <row r="185">
          <cell r="A185" t="str">
            <v>69600</v>
          </cell>
          <cell r="H185">
            <v>764823.55999999866</v>
          </cell>
        </row>
        <row r="186">
          <cell r="A186" t="str">
            <v>69901</v>
          </cell>
          <cell r="H186">
            <v>0</v>
          </cell>
        </row>
      </sheetData>
      <sheetData sheetId="3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2542.5</v>
          </cell>
        </row>
        <row r="7">
          <cell r="A7" t="str">
            <v>10103</v>
          </cell>
          <cell r="H7">
            <v>0</v>
          </cell>
        </row>
        <row r="8">
          <cell r="A8" t="str">
            <v>10104</v>
          </cell>
          <cell r="H8">
            <v>5753672.54</v>
          </cell>
        </row>
        <row r="9">
          <cell r="A9" t="str">
            <v>10105</v>
          </cell>
          <cell r="H9">
            <v>755041235.00999999</v>
          </cell>
        </row>
        <row r="10">
          <cell r="A10" t="str">
            <v>10107</v>
          </cell>
          <cell r="H10">
            <v>450724367.32999998</v>
          </cell>
        </row>
        <row r="11">
          <cell r="A11" t="str">
            <v>10160</v>
          </cell>
          <cell r="H11">
            <v>20280000</v>
          </cell>
        </row>
        <row r="12">
          <cell r="A12" t="str">
            <v>10200</v>
          </cell>
          <cell r="H12">
            <v>11745.64</v>
          </cell>
        </row>
        <row r="13">
          <cell r="A13" t="str">
            <v>10210</v>
          </cell>
          <cell r="H13">
            <v>73124.13</v>
          </cell>
        </row>
        <row r="14">
          <cell r="A14" t="str">
            <v>10215</v>
          </cell>
          <cell r="H14">
            <v>8686306.2899999991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18946096.050000001</v>
          </cell>
        </row>
        <row r="17">
          <cell r="A17" t="str">
            <v>10224</v>
          </cell>
          <cell r="H17">
            <v>104064.52</v>
          </cell>
        </row>
        <row r="18">
          <cell r="A18" t="str">
            <v>10225</v>
          </cell>
          <cell r="H18">
            <v>5031395.5599999996</v>
          </cell>
        </row>
        <row r="19">
          <cell r="A19" t="str">
            <v>10226</v>
          </cell>
          <cell r="H19">
            <v>1838692.64</v>
          </cell>
        </row>
        <row r="20">
          <cell r="A20" t="str">
            <v>10230</v>
          </cell>
          <cell r="H20">
            <v>2593.08</v>
          </cell>
        </row>
        <row r="21">
          <cell r="A21" t="str">
            <v>10235</v>
          </cell>
          <cell r="H21">
            <v>4870820.16</v>
          </cell>
        </row>
        <row r="22">
          <cell r="A22" t="str">
            <v>10240</v>
          </cell>
          <cell r="H22">
            <v>31493.46</v>
          </cell>
        </row>
        <row r="23">
          <cell r="A23" t="str">
            <v>10245</v>
          </cell>
          <cell r="H23">
            <v>178073.03</v>
          </cell>
        </row>
        <row r="24">
          <cell r="A24" t="str">
            <v>10253</v>
          </cell>
          <cell r="H24">
            <v>67011430.240000002</v>
          </cell>
        </row>
        <row r="25">
          <cell r="A25" t="str">
            <v>10255</v>
          </cell>
          <cell r="H25">
            <v>-418254.39</v>
          </cell>
        </row>
        <row r="26">
          <cell r="A26" t="str">
            <v>10256</v>
          </cell>
          <cell r="H26">
            <v>1289090669.8699999</v>
          </cell>
        </row>
        <row r="27">
          <cell r="A27" t="str">
            <v>10260</v>
          </cell>
          <cell r="H27">
            <v>35493.360000000001</v>
          </cell>
        </row>
        <row r="28">
          <cell r="A28" t="str">
            <v>10265</v>
          </cell>
          <cell r="H28">
            <v>253136.77</v>
          </cell>
        </row>
        <row r="29">
          <cell r="A29" t="str">
            <v>10270</v>
          </cell>
          <cell r="H29">
            <v>9615481.9000000004</v>
          </cell>
        </row>
        <row r="30">
          <cell r="A30" t="str">
            <v>10280</v>
          </cell>
          <cell r="H30">
            <v>563903.84</v>
          </cell>
        </row>
        <row r="31">
          <cell r="A31" t="str">
            <v>10285</v>
          </cell>
          <cell r="H31">
            <v>9789877.9299999997</v>
          </cell>
        </row>
        <row r="32">
          <cell r="A32" t="str">
            <v>10293</v>
          </cell>
          <cell r="H32">
            <v>10255503.68</v>
          </cell>
        </row>
        <row r="33">
          <cell r="A33" t="str">
            <v>10305</v>
          </cell>
          <cell r="H33">
            <v>4864.58</v>
          </cell>
        </row>
        <row r="34">
          <cell r="A34" t="str">
            <v>10310</v>
          </cell>
          <cell r="H34">
            <v>4097384.66</v>
          </cell>
        </row>
        <row r="35">
          <cell r="A35" t="str">
            <v>10316</v>
          </cell>
          <cell r="H35">
            <v>4672839.2699999996</v>
          </cell>
        </row>
        <row r="36">
          <cell r="A36" t="str">
            <v>10317</v>
          </cell>
          <cell r="H36">
            <v>101879.4</v>
          </cell>
        </row>
        <row r="37">
          <cell r="A37" t="str">
            <v>10320</v>
          </cell>
          <cell r="H37">
            <v>53.75</v>
          </cell>
        </row>
        <row r="38">
          <cell r="A38" t="str">
            <v>10341</v>
          </cell>
          <cell r="H38">
            <v>709449.32</v>
          </cell>
        </row>
        <row r="39">
          <cell r="A39" t="str">
            <v>10342</v>
          </cell>
          <cell r="H39">
            <v>192529511.86000001</v>
          </cell>
        </row>
        <row r="40">
          <cell r="A40" t="str">
            <v>10343</v>
          </cell>
          <cell r="H40">
            <v>1369557.55</v>
          </cell>
        </row>
        <row r="41">
          <cell r="A41" t="str">
            <v>10497</v>
          </cell>
          <cell r="H41">
            <v>10734305.83</v>
          </cell>
        </row>
        <row r="42">
          <cell r="A42" t="str">
            <v>10500</v>
          </cell>
          <cell r="H42">
            <v>0</v>
          </cell>
        </row>
        <row r="43">
          <cell r="A43" t="str">
            <v>11000</v>
          </cell>
          <cell r="H43">
            <v>677613947.49000001</v>
          </cell>
        </row>
        <row r="44">
          <cell r="A44" t="str">
            <v>11004</v>
          </cell>
          <cell r="H44">
            <v>0</v>
          </cell>
        </row>
        <row r="45">
          <cell r="A45" t="str">
            <v>11005</v>
          </cell>
          <cell r="H45">
            <v>0</v>
          </cell>
        </row>
        <row r="46">
          <cell r="A46" t="str">
            <v>12100</v>
          </cell>
          <cell r="H46">
            <v>94581089.150000006</v>
          </cell>
        </row>
        <row r="47">
          <cell r="A47" t="str">
            <v>13002</v>
          </cell>
          <cell r="H47">
            <v>1440000</v>
          </cell>
        </row>
        <row r="48">
          <cell r="A48" t="str">
            <v>13003</v>
          </cell>
          <cell r="H48">
            <v>152278565.88</v>
          </cell>
        </row>
        <row r="49">
          <cell r="A49" t="str">
            <v>13004</v>
          </cell>
          <cell r="H49">
            <v>13907181.300000001</v>
          </cell>
        </row>
        <row r="50">
          <cell r="A50" t="str">
            <v>13007</v>
          </cell>
          <cell r="H50">
            <v>15082015.4</v>
          </cell>
        </row>
        <row r="51">
          <cell r="A51" t="str">
            <v>13008</v>
          </cell>
          <cell r="H51">
            <v>13561503.369999999</v>
          </cell>
        </row>
        <row r="52">
          <cell r="A52" t="str">
            <v>13010</v>
          </cell>
          <cell r="H52">
            <v>18124999.989999998</v>
          </cell>
        </row>
        <row r="53">
          <cell r="A53" t="str">
            <v>13120</v>
          </cell>
          <cell r="H53">
            <v>30274587.219999999</v>
          </cell>
        </row>
        <row r="54">
          <cell r="A54" t="str">
            <v>13130</v>
          </cell>
          <cell r="H54">
            <v>16642540.210000001</v>
          </cell>
        </row>
        <row r="55">
          <cell r="A55" t="str">
            <v>13135</v>
          </cell>
          <cell r="H55">
            <v>18333333.440000001</v>
          </cell>
        </row>
        <row r="56">
          <cell r="A56" t="str">
            <v>13200</v>
          </cell>
          <cell r="H56">
            <v>9960434.1199999992</v>
          </cell>
        </row>
        <row r="57">
          <cell r="A57" t="str">
            <v>13400</v>
          </cell>
          <cell r="H57">
            <v>421038561.36000001</v>
          </cell>
        </row>
        <row r="58">
          <cell r="A58" t="str">
            <v>14000</v>
          </cell>
          <cell r="H58">
            <v>-117314718.72</v>
          </cell>
        </row>
        <row r="59">
          <cell r="A59" t="str">
            <v>14001</v>
          </cell>
          <cell r="H59">
            <v>-178692361.96000001</v>
          </cell>
        </row>
        <row r="60">
          <cell r="A60" t="str">
            <v>14010</v>
          </cell>
          <cell r="H60">
            <v>20626653.109999999</v>
          </cell>
        </row>
        <row r="61">
          <cell r="A61" t="str">
            <v>14014</v>
          </cell>
          <cell r="H61">
            <v>34803874.420000002</v>
          </cell>
        </row>
        <row r="62">
          <cell r="A62" t="str">
            <v>14016</v>
          </cell>
          <cell r="H62">
            <v>2380000</v>
          </cell>
        </row>
        <row r="63">
          <cell r="A63" t="str">
            <v>15000</v>
          </cell>
          <cell r="H63">
            <v>26403926.010000002</v>
          </cell>
        </row>
        <row r="64">
          <cell r="A64" t="str">
            <v>15100</v>
          </cell>
          <cell r="H64">
            <v>88402001</v>
          </cell>
        </row>
        <row r="65">
          <cell r="A65" t="str">
            <v>15200</v>
          </cell>
          <cell r="H65">
            <v>271567375.25999999</v>
          </cell>
        </row>
        <row r="66">
          <cell r="A66" t="str">
            <v>15300</v>
          </cell>
          <cell r="H66">
            <v>17087942.25</v>
          </cell>
        </row>
        <row r="67">
          <cell r="A67" t="str">
            <v>15400</v>
          </cell>
          <cell r="H67">
            <v>174166123.81</v>
          </cell>
        </row>
        <row r="68">
          <cell r="A68" t="str">
            <v>15405</v>
          </cell>
          <cell r="H68">
            <v>17904365.100000001</v>
          </cell>
        </row>
        <row r="69">
          <cell r="A69" t="str">
            <v>15410</v>
          </cell>
          <cell r="H69">
            <v>2410161.5</v>
          </cell>
        </row>
        <row r="70">
          <cell r="A70" t="str">
            <v>15500</v>
          </cell>
          <cell r="H70">
            <v>18388298.050000001</v>
          </cell>
        </row>
        <row r="71">
          <cell r="A71" t="str">
            <v>15501</v>
          </cell>
          <cell r="H71">
            <v>451571950.82999998</v>
          </cell>
        </row>
        <row r="72">
          <cell r="A72" t="str">
            <v>15505</v>
          </cell>
          <cell r="H72">
            <v>8503671.5099999998</v>
          </cell>
        </row>
        <row r="73">
          <cell r="A73" t="str">
            <v>16000</v>
          </cell>
          <cell r="H73">
            <v>-25990429.460000001</v>
          </cell>
        </row>
        <row r="74">
          <cell r="A74" t="str">
            <v>16100</v>
          </cell>
          <cell r="H74">
            <v>-87870438.560000002</v>
          </cell>
        </row>
        <row r="75">
          <cell r="A75" t="str">
            <v>16200</v>
          </cell>
          <cell r="H75">
            <v>-177762723.72</v>
          </cell>
        </row>
        <row r="76">
          <cell r="A76" t="str">
            <v>16300</v>
          </cell>
          <cell r="H76">
            <v>-13289991.65</v>
          </cell>
        </row>
        <row r="77">
          <cell r="A77" t="str">
            <v>16500</v>
          </cell>
          <cell r="H77">
            <v>-17904365.100000001</v>
          </cell>
        </row>
        <row r="78">
          <cell r="A78" t="str">
            <v>17000</v>
          </cell>
          <cell r="H78">
            <v>268893776.79000002</v>
          </cell>
        </row>
        <row r="79">
          <cell r="A79" t="str">
            <v>19004</v>
          </cell>
          <cell r="H79">
            <v>12636079.560000001</v>
          </cell>
        </row>
        <row r="80">
          <cell r="A80" t="str">
            <v>19006</v>
          </cell>
          <cell r="H80">
            <v>1561885.21</v>
          </cell>
        </row>
        <row r="81">
          <cell r="A81" t="str">
            <v>19007</v>
          </cell>
          <cell r="H81">
            <v>3922344185.9299998</v>
          </cell>
        </row>
        <row r="82">
          <cell r="A82" t="str">
            <v>69904</v>
          </cell>
          <cell r="H82">
            <v>-16048298.050000001</v>
          </cell>
        </row>
        <row r="83">
          <cell r="A83" t="str">
            <v>20000</v>
          </cell>
          <cell r="H83">
            <v>-314562051.89999998</v>
          </cell>
        </row>
        <row r="84">
          <cell r="A84" t="str">
            <v>20005</v>
          </cell>
          <cell r="H84">
            <v>-82829237.75</v>
          </cell>
        </row>
        <row r="85">
          <cell r="A85" t="str">
            <v>22100</v>
          </cell>
          <cell r="H85">
            <v>-23838672.649999999</v>
          </cell>
        </row>
        <row r="86">
          <cell r="A86" t="str">
            <v>23000</v>
          </cell>
          <cell r="H86">
            <v>-324004242.14999998</v>
          </cell>
        </row>
        <row r="87">
          <cell r="A87" t="str">
            <v>23001</v>
          </cell>
          <cell r="H87">
            <v>-1144603</v>
          </cell>
        </row>
        <row r="88">
          <cell r="A88" t="str">
            <v>23010</v>
          </cell>
          <cell r="H88">
            <v>-202849536.34999999</v>
          </cell>
        </row>
        <row r="89">
          <cell r="A89" t="str">
            <v>23015</v>
          </cell>
          <cell r="H89">
            <v>-325160.32000000001</v>
          </cell>
        </row>
        <row r="90">
          <cell r="A90" t="str">
            <v>23040</v>
          </cell>
          <cell r="H90">
            <v>-8070219.2699999996</v>
          </cell>
        </row>
        <row r="91">
          <cell r="A91" t="str">
            <v>23400</v>
          </cell>
          <cell r="H91">
            <v>-1199779647.73</v>
          </cell>
        </row>
        <row r="92">
          <cell r="A92" t="str">
            <v>23405</v>
          </cell>
          <cell r="H92">
            <v>863093628.28999996</v>
          </cell>
        </row>
        <row r="93">
          <cell r="A93" t="str">
            <v>23410</v>
          </cell>
          <cell r="H93">
            <v>51599186.399999999</v>
          </cell>
        </row>
        <row r="94">
          <cell r="A94" t="str">
            <v>23420</v>
          </cell>
          <cell r="H94">
            <v>-27208044.449999999</v>
          </cell>
        </row>
        <row r="95">
          <cell r="A95" t="str">
            <v>23425</v>
          </cell>
          <cell r="H95">
            <v>-42242924.219999999</v>
          </cell>
        </row>
        <row r="96">
          <cell r="A96" t="str">
            <v>23889</v>
          </cell>
          <cell r="H96">
            <v>0</v>
          </cell>
        </row>
        <row r="97">
          <cell r="A97" t="str">
            <v>24010</v>
          </cell>
          <cell r="H97">
            <v>-13235148.48</v>
          </cell>
        </row>
        <row r="98">
          <cell r="A98" t="str">
            <v>24100</v>
          </cell>
          <cell r="H98">
            <v>0.35</v>
          </cell>
        </row>
        <row r="99">
          <cell r="A99" t="str">
            <v>30005</v>
          </cell>
          <cell r="H99">
            <v>96238158.140000001</v>
          </cell>
        </row>
        <row r="100">
          <cell r="A100" t="str">
            <v>30035</v>
          </cell>
          <cell r="H100">
            <v>101787277.34999999</v>
          </cell>
        </row>
        <row r="101">
          <cell r="A101" t="str">
            <v>30040</v>
          </cell>
          <cell r="H101">
            <v>-107359858</v>
          </cell>
        </row>
        <row r="102">
          <cell r="A102" t="str">
            <v>30042</v>
          </cell>
          <cell r="H102">
            <v>-7359858</v>
          </cell>
        </row>
        <row r="103">
          <cell r="A103" t="str">
            <v>30043</v>
          </cell>
          <cell r="H103">
            <v>-114297251.5</v>
          </cell>
        </row>
        <row r="104">
          <cell r="A104" t="str">
            <v>30044</v>
          </cell>
          <cell r="H104">
            <v>-5997402600</v>
          </cell>
        </row>
        <row r="105">
          <cell r="A105" t="str">
            <v>32000</v>
          </cell>
          <cell r="H105">
            <v>-1111090970.6300001</v>
          </cell>
        </row>
        <row r="106">
          <cell r="A106" t="str">
            <v>40015</v>
          </cell>
          <cell r="H106">
            <v>-34558697.670000002</v>
          </cell>
        </row>
        <row r="107">
          <cell r="A107" t="str">
            <v>40020</v>
          </cell>
          <cell r="H107">
            <v>-293333.33</v>
          </cell>
        </row>
        <row r="108">
          <cell r="A108" t="str">
            <v>40025</v>
          </cell>
          <cell r="H108">
            <v>-99960637.040000007</v>
          </cell>
        </row>
        <row r="109">
          <cell r="A109" t="str">
            <v>40055</v>
          </cell>
          <cell r="H109">
            <v>-7946784.0599999996</v>
          </cell>
        </row>
        <row r="110">
          <cell r="A110" t="str">
            <v>40056</v>
          </cell>
          <cell r="H110">
            <v>-670465.12</v>
          </cell>
        </row>
        <row r="111">
          <cell r="A111" t="str">
            <v>40085</v>
          </cell>
          <cell r="H111">
            <v>-9917.1300000000047</v>
          </cell>
        </row>
        <row r="112">
          <cell r="A112" t="str">
            <v>40155</v>
          </cell>
          <cell r="H112">
            <v>-16202777.220000003</v>
          </cell>
        </row>
        <row r="113">
          <cell r="A113" t="str">
            <v>49300</v>
          </cell>
          <cell r="H113">
            <v>-9560463.9799999986</v>
          </cell>
        </row>
        <row r="114">
          <cell r="A114" t="str">
            <v>49405</v>
          </cell>
          <cell r="H114">
            <v>-47095107.030000001</v>
          </cell>
        </row>
        <row r="115">
          <cell r="A115" t="str">
            <v>53030</v>
          </cell>
          <cell r="H115">
            <v>10302250</v>
          </cell>
        </row>
        <row r="116">
          <cell r="A116" t="str">
            <v>53040</v>
          </cell>
          <cell r="H116">
            <v>100500</v>
          </cell>
        </row>
        <row r="117">
          <cell r="A117" t="str">
            <v>53045</v>
          </cell>
          <cell r="H117">
            <v>10730270.67</v>
          </cell>
        </row>
        <row r="118">
          <cell r="A118" t="str">
            <v>53055</v>
          </cell>
          <cell r="H118">
            <v>225468.75</v>
          </cell>
        </row>
        <row r="119">
          <cell r="A119" t="str">
            <v>53060</v>
          </cell>
          <cell r="H119">
            <v>6500</v>
          </cell>
        </row>
        <row r="120">
          <cell r="A120" t="str">
            <v>53075</v>
          </cell>
          <cell r="H120">
            <v>0</v>
          </cell>
        </row>
        <row r="121">
          <cell r="A121" t="str">
            <v>53080</v>
          </cell>
          <cell r="H121">
            <v>105831215.36999999</v>
          </cell>
        </row>
        <row r="122">
          <cell r="A122" t="str">
            <v>53090</v>
          </cell>
          <cell r="H122">
            <v>63500</v>
          </cell>
        </row>
        <row r="123">
          <cell r="A123" t="str">
            <v>53095</v>
          </cell>
          <cell r="H123">
            <v>2000</v>
          </cell>
        </row>
        <row r="124">
          <cell r="A124" t="str">
            <v>53110</v>
          </cell>
          <cell r="H124">
            <v>9000</v>
          </cell>
        </row>
        <row r="125">
          <cell r="A125" t="str">
            <v>53120</v>
          </cell>
          <cell r="H125">
            <v>48032046.549999997</v>
          </cell>
        </row>
        <row r="126">
          <cell r="A126" t="str">
            <v>53140</v>
          </cell>
          <cell r="H126">
            <v>0</v>
          </cell>
        </row>
        <row r="127">
          <cell r="A127" t="str">
            <v>60010</v>
          </cell>
          <cell r="H127">
            <v>2911111.1100000003</v>
          </cell>
        </row>
        <row r="128">
          <cell r="A128" t="str">
            <v>60020</v>
          </cell>
          <cell r="H128">
            <v>841542.26</v>
          </cell>
        </row>
        <row r="129">
          <cell r="A129" t="str">
            <v>60025</v>
          </cell>
          <cell r="H129">
            <v>343500</v>
          </cell>
        </row>
        <row r="130">
          <cell r="A130" t="str">
            <v>60030</v>
          </cell>
          <cell r="H130">
            <v>192000</v>
          </cell>
        </row>
        <row r="131">
          <cell r="A131" t="str">
            <v>60040</v>
          </cell>
          <cell r="H131">
            <v>86000</v>
          </cell>
        </row>
        <row r="132">
          <cell r="A132" t="str">
            <v>60045</v>
          </cell>
          <cell r="H132">
            <v>1067636.25</v>
          </cell>
        </row>
        <row r="133">
          <cell r="A133" t="str">
            <v>60050</v>
          </cell>
          <cell r="H133">
            <v>3363912.99</v>
          </cell>
        </row>
        <row r="134">
          <cell r="A134" t="str">
            <v>60060</v>
          </cell>
          <cell r="H134">
            <v>8180606.5999999996</v>
          </cell>
        </row>
        <row r="135">
          <cell r="A135" t="str">
            <v>60070</v>
          </cell>
          <cell r="H135">
            <v>388700</v>
          </cell>
        </row>
        <row r="136">
          <cell r="A136" t="str">
            <v>60075</v>
          </cell>
          <cell r="H136">
            <v>5000</v>
          </cell>
        </row>
        <row r="137">
          <cell r="A137" t="str">
            <v>60080</v>
          </cell>
          <cell r="H137">
            <v>763233.66</v>
          </cell>
        </row>
        <row r="138">
          <cell r="A138" t="str">
            <v>60085</v>
          </cell>
          <cell r="H138">
            <v>408307.32</v>
          </cell>
        </row>
        <row r="139">
          <cell r="A139" t="str">
            <v>60090</v>
          </cell>
          <cell r="H139">
            <v>92000</v>
          </cell>
        </row>
        <row r="140">
          <cell r="A140" t="str">
            <v>60100</v>
          </cell>
          <cell r="H140">
            <v>730384.3</v>
          </cell>
        </row>
        <row r="141">
          <cell r="A141" t="str">
            <v>60110</v>
          </cell>
          <cell r="H141">
            <v>33000</v>
          </cell>
        </row>
        <row r="142">
          <cell r="A142" t="str">
            <v>60115</v>
          </cell>
          <cell r="H142">
            <v>3764359.1</v>
          </cell>
        </row>
        <row r="143">
          <cell r="A143" t="str">
            <v>60200</v>
          </cell>
          <cell r="H143">
            <v>490000</v>
          </cell>
        </row>
        <row r="144">
          <cell r="A144" t="str">
            <v>60201</v>
          </cell>
          <cell r="H144">
            <v>3612390.43</v>
          </cell>
        </row>
        <row r="145">
          <cell r="A145" t="str">
            <v>60205</v>
          </cell>
          <cell r="H145">
            <v>74000</v>
          </cell>
        </row>
        <row r="146">
          <cell r="A146" t="str">
            <v>60206</v>
          </cell>
          <cell r="H146">
            <v>732221</v>
          </cell>
        </row>
        <row r="147">
          <cell r="A147" t="str">
            <v>60210</v>
          </cell>
          <cell r="H147">
            <v>9955805.1999999993</v>
          </cell>
        </row>
        <row r="148">
          <cell r="A148" t="str">
            <v>60211</v>
          </cell>
          <cell r="H148">
            <v>83545.56</v>
          </cell>
        </row>
        <row r="149">
          <cell r="A149" t="str">
            <v>60213</v>
          </cell>
          <cell r="H149">
            <v>250000</v>
          </cell>
        </row>
        <row r="150">
          <cell r="A150" t="str">
            <v>60214</v>
          </cell>
          <cell r="H150">
            <v>400000</v>
          </cell>
        </row>
        <row r="151">
          <cell r="A151" t="str">
            <v>60217</v>
          </cell>
          <cell r="H151">
            <v>0</v>
          </cell>
        </row>
        <row r="152">
          <cell r="A152" t="str">
            <v>61100</v>
          </cell>
          <cell r="H152">
            <v>9329239.8399999999</v>
          </cell>
        </row>
        <row r="153">
          <cell r="A153" t="str">
            <v>61310</v>
          </cell>
          <cell r="H153">
            <v>117820</v>
          </cell>
        </row>
        <row r="154">
          <cell r="A154" t="str">
            <v>61315</v>
          </cell>
          <cell r="H154">
            <v>12000</v>
          </cell>
        </row>
        <row r="155">
          <cell r="A155" t="str">
            <v>61320</v>
          </cell>
          <cell r="H155">
            <v>5000</v>
          </cell>
        </row>
        <row r="156">
          <cell r="A156" t="str">
            <v>61500</v>
          </cell>
          <cell r="H156">
            <v>1110385</v>
          </cell>
        </row>
        <row r="157">
          <cell r="A157" t="str">
            <v>61600</v>
          </cell>
          <cell r="H157">
            <v>5730413.0999999996</v>
          </cell>
        </row>
        <row r="158">
          <cell r="A158" t="str">
            <v>61700</v>
          </cell>
          <cell r="H158">
            <v>892867.75</v>
          </cell>
        </row>
        <row r="159">
          <cell r="A159" t="str">
            <v>62200</v>
          </cell>
          <cell r="H159">
            <v>457600</v>
          </cell>
        </row>
        <row r="160">
          <cell r="A160" t="str">
            <v>62415</v>
          </cell>
          <cell r="H160">
            <v>570970</v>
          </cell>
        </row>
        <row r="161">
          <cell r="A161" t="str">
            <v>62420</v>
          </cell>
          <cell r="H161">
            <v>50500</v>
          </cell>
        </row>
        <row r="162">
          <cell r="A162" t="str">
            <v>62425</v>
          </cell>
          <cell r="H162">
            <v>988620</v>
          </cell>
        </row>
        <row r="163">
          <cell r="A163" t="str">
            <v>62435</v>
          </cell>
          <cell r="H163">
            <v>173100</v>
          </cell>
        </row>
        <row r="164">
          <cell r="A164" t="str">
            <v>62700</v>
          </cell>
          <cell r="H164">
            <v>136000</v>
          </cell>
        </row>
        <row r="165">
          <cell r="A165" t="str">
            <v>62950</v>
          </cell>
          <cell r="H165">
            <v>0</v>
          </cell>
        </row>
        <row r="166">
          <cell r="A166" t="str">
            <v>63110</v>
          </cell>
          <cell r="H166">
            <v>2951500</v>
          </cell>
        </row>
        <row r="167">
          <cell r="A167" t="str">
            <v>63120</v>
          </cell>
          <cell r="H167">
            <v>13277512</v>
          </cell>
        </row>
        <row r="168">
          <cell r="A168" t="str">
            <v>63125</v>
          </cell>
          <cell r="H168">
            <v>183900</v>
          </cell>
        </row>
        <row r="169">
          <cell r="A169" t="str">
            <v>63907</v>
          </cell>
          <cell r="H169">
            <v>47575068.5</v>
          </cell>
        </row>
        <row r="170">
          <cell r="A170" t="str">
            <v>63910</v>
          </cell>
          <cell r="H170">
            <v>3666218.5</v>
          </cell>
        </row>
        <row r="171">
          <cell r="A171" t="str">
            <v>64000</v>
          </cell>
          <cell r="H171">
            <v>2852194.03</v>
          </cell>
        </row>
        <row r="172">
          <cell r="A172" t="str">
            <v>65000</v>
          </cell>
          <cell r="H172">
            <v>0</v>
          </cell>
        </row>
        <row r="173">
          <cell r="A173" t="str">
            <v>65007</v>
          </cell>
          <cell r="H173">
            <v>-3853260.84</v>
          </cell>
        </row>
        <row r="174">
          <cell r="A174" t="str">
            <v>65015</v>
          </cell>
          <cell r="H174">
            <v>0</v>
          </cell>
        </row>
        <row r="175">
          <cell r="A175" t="str">
            <v>65030</v>
          </cell>
          <cell r="H175">
            <v>14541972.779999999</v>
          </cell>
        </row>
        <row r="176">
          <cell r="A176" t="str">
            <v>65035</v>
          </cell>
          <cell r="H176">
            <v>44354708.359999999</v>
          </cell>
        </row>
        <row r="177">
          <cell r="A177" t="str">
            <v>65037</v>
          </cell>
          <cell r="H177">
            <v>0</v>
          </cell>
        </row>
        <row r="178">
          <cell r="A178" t="str">
            <v>65095</v>
          </cell>
          <cell r="H178">
            <v>5930794.0600000005</v>
          </cell>
        </row>
        <row r="179">
          <cell r="A179" t="str">
            <v>65100</v>
          </cell>
          <cell r="H179">
            <v>3532189.99</v>
          </cell>
        </row>
        <row r="180">
          <cell r="A180" t="str">
            <v>65800</v>
          </cell>
          <cell r="H180">
            <v>38900</v>
          </cell>
        </row>
        <row r="181">
          <cell r="A181" t="str">
            <v>67052</v>
          </cell>
          <cell r="H181">
            <v>0</v>
          </cell>
        </row>
        <row r="182">
          <cell r="A182" t="str">
            <v>67920</v>
          </cell>
          <cell r="H182">
            <v>44062355.840000004</v>
          </cell>
        </row>
        <row r="183">
          <cell r="A183" t="str">
            <v>67940</v>
          </cell>
          <cell r="H183">
            <v>-0.01</v>
          </cell>
        </row>
        <row r="184">
          <cell r="A184" t="str">
            <v>68500</v>
          </cell>
          <cell r="H184">
            <v>1691666.67</v>
          </cell>
        </row>
        <row r="185">
          <cell r="A185" t="str">
            <v>68502</v>
          </cell>
          <cell r="H185">
            <v>0</v>
          </cell>
        </row>
        <row r="186">
          <cell r="A186" t="str">
            <v>68503</v>
          </cell>
          <cell r="H186">
            <v>500000</v>
          </cell>
        </row>
        <row r="187">
          <cell r="A187" t="str">
            <v>69600</v>
          </cell>
          <cell r="H187">
            <v>8354823.5600000005</v>
          </cell>
        </row>
        <row r="188">
          <cell r="A188" t="str">
            <v>69901</v>
          </cell>
          <cell r="H188">
            <v>0</v>
          </cell>
        </row>
      </sheetData>
      <sheetData sheetId="3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203615.34</v>
          </cell>
        </row>
        <row r="7">
          <cell r="A7" t="str">
            <v>10104</v>
          </cell>
          <cell r="H7">
            <v>17214006.940000001</v>
          </cell>
        </row>
        <row r="8">
          <cell r="A8" t="str">
            <v>10105</v>
          </cell>
          <cell r="H8">
            <v>755041235.00999999</v>
          </cell>
        </row>
        <row r="9">
          <cell r="A9" t="str">
            <v>10107</v>
          </cell>
          <cell r="H9">
            <v>323720767.32999998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10215</v>
          </cell>
          <cell r="H13">
            <v>19712072.539999999</v>
          </cell>
        </row>
        <row r="14">
          <cell r="A14" t="str">
            <v>10221</v>
          </cell>
          <cell r="H14">
            <v>989850.45</v>
          </cell>
        </row>
        <row r="15">
          <cell r="A15" t="str">
            <v>10223</v>
          </cell>
          <cell r="H15">
            <v>18012635.469999999</v>
          </cell>
        </row>
        <row r="16">
          <cell r="A16" t="str">
            <v>10225</v>
          </cell>
          <cell r="H16">
            <v>20065269.359999999</v>
          </cell>
        </row>
        <row r="17">
          <cell r="A17" t="str">
            <v>10230</v>
          </cell>
          <cell r="H17">
            <v>2593.08</v>
          </cell>
        </row>
        <row r="18">
          <cell r="A18" t="str">
            <v>10235</v>
          </cell>
          <cell r="H18">
            <v>5479725.1399999997</v>
          </cell>
        </row>
        <row r="19">
          <cell r="A19" t="str">
            <v>10240</v>
          </cell>
          <cell r="H19">
            <v>31493.46</v>
          </cell>
        </row>
        <row r="20">
          <cell r="A20" t="str">
            <v>10245</v>
          </cell>
          <cell r="H20">
            <v>178073.03</v>
          </cell>
        </row>
        <row r="21">
          <cell r="A21" t="str">
            <v>10253</v>
          </cell>
          <cell r="H21">
            <v>10123793.84</v>
          </cell>
        </row>
        <row r="22">
          <cell r="A22" t="str">
            <v>10255</v>
          </cell>
          <cell r="H22">
            <v>28839.38</v>
          </cell>
        </row>
        <row r="23">
          <cell r="A23" t="str">
            <v>10256</v>
          </cell>
          <cell r="H23">
            <v>5355506611.1999998</v>
          </cell>
        </row>
        <row r="24">
          <cell r="A24" t="str">
            <v>10260</v>
          </cell>
          <cell r="H24">
            <v>2034171.87</v>
          </cell>
        </row>
        <row r="25">
          <cell r="A25" t="str">
            <v>10265</v>
          </cell>
          <cell r="H25">
            <v>238135.23</v>
          </cell>
        </row>
        <row r="26">
          <cell r="A26" t="str">
            <v>10270</v>
          </cell>
          <cell r="H26">
            <v>83152570.280000001</v>
          </cell>
        </row>
        <row r="27">
          <cell r="A27" t="str">
            <v>10280</v>
          </cell>
          <cell r="H27">
            <v>563903.84</v>
          </cell>
        </row>
        <row r="28">
          <cell r="A28" t="str">
            <v>10285</v>
          </cell>
          <cell r="H28">
            <v>3933213.51</v>
          </cell>
        </row>
        <row r="29">
          <cell r="A29" t="str">
            <v>10293</v>
          </cell>
          <cell r="H29">
            <v>9892689.7699999996</v>
          </cell>
        </row>
        <row r="30">
          <cell r="A30" t="str">
            <v>10305</v>
          </cell>
          <cell r="H30">
            <v>4864.58</v>
          </cell>
        </row>
        <row r="31">
          <cell r="A31" t="str">
            <v>10310</v>
          </cell>
          <cell r="H31">
            <v>12144826.130000001</v>
          </cell>
        </row>
        <row r="32">
          <cell r="A32" t="str">
            <v>10316</v>
          </cell>
          <cell r="H32">
            <v>3118278.3</v>
          </cell>
        </row>
        <row r="33">
          <cell r="A33" t="str">
            <v>10320</v>
          </cell>
          <cell r="H33">
            <v>53.75</v>
          </cell>
        </row>
        <row r="34">
          <cell r="A34" t="str">
            <v>10341</v>
          </cell>
          <cell r="H34">
            <v>404308.47</v>
          </cell>
        </row>
        <row r="35">
          <cell r="A35" t="str">
            <v>10342</v>
          </cell>
          <cell r="H35">
            <v>300691378.87</v>
          </cell>
        </row>
        <row r="36">
          <cell r="A36" t="str">
            <v>10343</v>
          </cell>
          <cell r="H36">
            <v>1339161.1599999999</v>
          </cell>
        </row>
        <row r="37">
          <cell r="A37" t="str">
            <v>10497</v>
          </cell>
          <cell r="H37">
            <v>9524436.5800000001</v>
          </cell>
        </row>
        <row r="38">
          <cell r="A38" t="str">
            <v>10500</v>
          </cell>
          <cell r="H38">
            <v>42904000</v>
          </cell>
        </row>
        <row r="39">
          <cell r="A39" t="str">
            <v>11000</v>
          </cell>
          <cell r="H39">
            <v>845955586.53999996</v>
          </cell>
        </row>
        <row r="40">
          <cell r="A40" t="str">
            <v>11003</v>
          </cell>
          <cell r="H40">
            <v>0</v>
          </cell>
        </row>
        <row r="41">
          <cell r="A41" t="str">
            <v>11004</v>
          </cell>
          <cell r="H41">
            <v>0</v>
          </cell>
        </row>
        <row r="42">
          <cell r="A42" t="str">
            <v>11020</v>
          </cell>
          <cell r="H42">
            <v>0</v>
          </cell>
        </row>
        <row r="43">
          <cell r="A43" t="str">
            <v>12100</v>
          </cell>
          <cell r="H43">
            <v>94581089.150000006</v>
          </cell>
        </row>
        <row r="44">
          <cell r="A44" t="str">
            <v>13002</v>
          </cell>
          <cell r="H44">
            <v>1440000</v>
          </cell>
        </row>
        <row r="45">
          <cell r="A45" t="str">
            <v>13003</v>
          </cell>
          <cell r="H45">
            <v>5967808.5700000003</v>
          </cell>
        </row>
        <row r="46">
          <cell r="A46" t="str">
            <v>13004</v>
          </cell>
          <cell r="H46">
            <v>1275951.47</v>
          </cell>
        </row>
        <row r="47">
          <cell r="A47" t="str">
            <v>13007</v>
          </cell>
          <cell r="H47">
            <v>15082015.4</v>
          </cell>
        </row>
        <row r="48">
          <cell r="A48" t="str">
            <v>13008</v>
          </cell>
          <cell r="H48">
            <v>12561503.369999999</v>
          </cell>
        </row>
        <row r="49">
          <cell r="A49" t="str">
            <v>13010</v>
          </cell>
          <cell r="H49">
            <v>17720833.32</v>
          </cell>
        </row>
        <row r="50">
          <cell r="A50" t="str">
            <v>13120</v>
          </cell>
          <cell r="H50">
            <v>36936979.539999999</v>
          </cell>
        </row>
        <row r="51">
          <cell r="A51" t="str">
            <v>13130</v>
          </cell>
          <cell r="H51">
            <v>3409694.37</v>
          </cell>
        </row>
        <row r="52">
          <cell r="A52" t="str">
            <v>13135</v>
          </cell>
          <cell r="H52">
            <v>0.11</v>
          </cell>
        </row>
        <row r="53">
          <cell r="A53" t="str">
            <v>13200</v>
          </cell>
          <cell r="H53">
            <v>12188701.869999999</v>
          </cell>
        </row>
        <row r="54">
          <cell r="A54" t="str">
            <v>13400</v>
          </cell>
          <cell r="H54">
            <v>394948400.66000003</v>
          </cell>
        </row>
        <row r="55">
          <cell r="A55" t="str">
            <v>14000</v>
          </cell>
          <cell r="H55">
            <v>-119776296.28</v>
          </cell>
        </row>
        <row r="56">
          <cell r="A56" t="str">
            <v>14001</v>
          </cell>
          <cell r="H56">
            <v>-184079052.63</v>
          </cell>
        </row>
        <row r="57">
          <cell r="A57" t="str">
            <v>14010</v>
          </cell>
          <cell r="H57">
            <v>21870321.710000001</v>
          </cell>
        </row>
        <row r="58">
          <cell r="A58" t="str">
            <v>14014</v>
          </cell>
          <cell r="H58">
            <v>31289687.91</v>
          </cell>
        </row>
        <row r="59">
          <cell r="A59" t="str">
            <v>14016</v>
          </cell>
          <cell r="H59">
            <v>2380000</v>
          </cell>
        </row>
        <row r="60">
          <cell r="A60" t="str">
            <v>15000</v>
          </cell>
          <cell r="H60">
            <v>26403926.010000002</v>
          </cell>
        </row>
        <row r="61">
          <cell r="A61" t="str">
            <v>15100</v>
          </cell>
          <cell r="H61">
            <v>88402001</v>
          </cell>
        </row>
        <row r="62">
          <cell r="A62" t="str">
            <v>15200</v>
          </cell>
          <cell r="H62">
            <v>258638575.25999999</v>
          </cell>
        </row>
        <row r="63">
          <cell r="A63" t="str">
            <v>15300</v>
          </cell>
          <cell r="H63">
            <v>16565780</v>
          </cell>
        </row>
        <row r="64">
          <cell r="A64" t="str">
            <v>15400</v>
          </cell>
          <cell r="H64">
            <v>174166123.81</v>
          </cell>
        </row>
        <row r="65">
          <cell r="A65" t="str">
            <v>15405</v>
          </cell>
          <cell r="H65">
            <v>17904365.100000001</v>
          </cell>
        </row>
        <row r="66">
          <cell r="A66" t="str">
            <v>15410</v>
          </cell>
          <cell r="H66">
            <v>2410161.5</v>
          </cell>
        </row>
        <row r="67">
          <cell r="A67" t="str">
            <v>15500</v>
          </cell>
          <cell r="H67">
            <v>18388298.050000001</v>
          </cell>
        </row>
        <row r="68">
          <cell r="A68" t="str">
            <v>15501</v>
          </cell>
          <cell r="H68">
            <v>429326894.85000002</v>
          </cell>
        </row>
        <row r="69">
          <cell r="A69" t="str">
            <v>15505</v>
          </cell>
          <cell r="H69">
            <v>8503671.5099999998</v>
          </cell>
        </row>
        <row r="70">
          <cell r="A70" t="str">
            <v>16000</v>
          </cell>
          <cell r="H70">
            <v>-25925295.77</v>
          </cell>
        </row>
        <row r="71">
          <cell r="A71" t="str">
            <v>16100</v>
          </cell>
          <cell r="H71">
            <v>-87794501.060000002</v>
          </cell>
        </row>
        <row r="72">
          <cell r="A72" t="str">
            <v>16200</v>
          </cell>
          <cell r="H72">
            <v>-175149645.93000001</v>
          </cell>
        </row>
        <row r="73">
          <cell r="A73" t="str">
            <v>16300</v>
          </cell>
          <cell r="H73">
            <v>-13191946.6</v>
          </cell>
        </row>
        <row r="74">
          <cell r="A74" t="str">
            <v>16500</v>
          </cell>
          <cell r="H74">
            <v>-17904365.100000001</v>
          </cell>
        </row>
        <row r="75">
          <cell r="A75" t="str">
            <v>17000</v>
          </cell>
          <cell r="H75">
            <v>248704331.25999999</v>
          </cell>
        </row>
        <row r="76">
          <cell r="A76" t="str">
            <v>19004</v>
          </cell>
          <cell r="H76">
            <v>12636079.560000001</v>
          </cell>
        </row>
        <row r="77">
          <cell r="A77" t="str">
            <v>19006</v>
          </cell>
          <cell r="H77">
            <v>555514.69999999995</v>
          </cell>
        </row>
        <row r="78">
          <cell r="A78" t="str">
            <v>69904</v>
          </cell>
          <cell r="H78">
            <v>-16048298.050000001</v>
          </cell>
        </row>
        <row r="79">
          <cell r="A79" t="str">
            <v>20000</v>
          </cell>
          <cell r="H79">
            <v>-229703505.91</v>
          </cell>
        </row>
        <row r="80">
          <cell r="A80" t="str">
            <v>20005</v>
          </cell>
          <cell r="H80">
            <v>-68116494.099999994</v>
          </cell>
        </row>
        <row r="81">
          <cell r="A81" t="str">
            <v>20010</v>
          </cell>
          <cell r="H81">
            <v>0</v>
          </cell>
        </row>
        <row r="82">
          <cell r="A82" t="str">
            <v>22100</v>
          </cell>
          <cell r="H82">
            <v>-17991166.440000001</v>
          </cell>
        </row>
        <row r="83">
          <cell r="A83" t="str">
            <v>23000</v>
          </cell>
          <cell r="H83">
            <v>-350294175.48000002</v>
          </cell>
        </row>
        <row r="84">
          <cell r="A84" t="str">
            <v>23001</v>
          </cell>
          <cell r="H84">
            <v>-1144603</v>
          </cell>
        </row>
        <row r="85">
          <cell r="A85" t="str">
            <v>23010</v>
          </cell>
          <cell r="H85">
            <v>-339844684.17000002</v>
          </cell>
        </row>
        <row r="86">
          <cell r="A86" t="str">
            <v>23015</v>
          </cell>
          <cell r="H86">
            <v>-2673399.54</v>
          </cell>
        </row>
        <row r="87">
          <cell r="A87" t="str">
            <v>23040</v>
          </cell>
          <cell r="H87">
            <v>-7552807.9500000002</v>
          </cell>
        </row>
        <row r="88">
          <cell r="A88" t="str">
            <v>23400</v>
          </cell>
          <cell r="H88">
            <v>-1189869093.3599999</v>
          </cell>
        </row>
        <row r="89">
          <cell r="A89" t="str">
            <v>23405</v>
          </cell>
          <cell r="H89">
            <v>860110120.57000005</v>
          </cell>
        </row>
        <row r="90">
          <cell r="A90" t="str">
            <v>23410</v>
          </cell>
          <cell r="H90">
            <v>51599186.399999999</v>
          </cell>
        </row>
        <row r="91">
          <cell r="A91" t="str">
            <v>23420</v>
          </cell>
          <cell r="H91">
            <v>-27580219.899999999</v>
          </cell>
        </row>
        <row r="92">
          <cell r="A92" t="str">
            <v>23425</v>
          </cell>
          <cell r="H92">
            <v>-42242924.219999999</v>
          </cell>
        </row>
        <row r="93">
          <cell r="A93" t="str">
            <v>23889</v>
          </cell>
          <cell r="H93">
            <v>0</v>
          </cell>
        </row>
        <row r="94">
          <cell r="A94" t="str">
            <v>24010</v>
          </cell>
          <cell r="H94">
            <v>-11317697.810000001</v>
          </cell>
        </row>
        <row r="95">
          <cell r="A95" t="str">
            <v>24100</v>
          </cell>
          <cell r="H95">
            <v>0.35</v>
          </cell>
        </row>
        <row r="96">
          <cell r="A96" t="str">
            <v>30005</v>
          </cell>
          <cell r="H96">
            <v>96238158.140000001</v>
          </cell>
        </row>
        <row r="97">
          <cell r="A97" t="str">
            <v>30035</v>
          </cell>
          <cell r="H97">
            <v>101787277.34999999</v>
          </cell>
        </row>
        <row r="98">
          <cell r="A98" t="str">
            <v>30040</v>
          </cell>
          <cell r="H98">
            <v>-107359858</v>
          </cell>
        </row>
        <row r="99">
          <cell r="A99" t="str">
            <v>30042</v>
          </cell>
          <cell r="H99">
            <v>-7359858</v>
          </cell>
        </row>
        <row r="100">
          <cell r="A100" t="str">
            <v>30043</v>
          </cell>
          <cell r="H100">
            <v>-114297251.5</v>
          </cell>
        </row>
        <row r="101">
          <cell r="A101" t="str">
            <v>30044</v>
          </cell>
          <cell r="H101">
            <v>-5855534400</v>
          </cell>
        </row>
        <row r="102">
          <cell r="A102" t="str">
            <v>32000</v>
          </cell>
          <cell r="H102">
            <v>-1111090970.6300001</v>
          </cell>
        </row>
        <row r="103">
          <cell r="A103" t="str">
            <v>40015</v>
          </cell>
          <cell r="H103">
            <v>-14634418.6</v>
          </cell>
        </row>
        <row r="104">
          <cell r="A104" t="str">
            <v>40020</v>
          </cell>
          <cell r="H104">
            <v>-293333.33</v>
          </cell>
        </row>
        <row r="105">
          <cell r="A105" t="str">
            <v>40025</v>
          </cell>
          <cell r="H105">
            <v>-11660399.26</v>
          </cell>
        </row>
        <row r="106">
          <cell r="A106" t="str">
            <v>40055</v>
          </cell>
          <cell r="H106">
            <v>-5904259.1900000004</v>
          </cell>
        </row>
        <row r="107">
          <cell r="A107" t="str">
            <v>40056</v>
          </cell>
          <cell r="H107">
            <v>0</v>
          </cell>
        </row>
        <row r="108">
          <cell r="A108" t="str">
            <v>40085</v>
          </cell>
          <cell r="H108">
            <v>-13583.570000000007</v>
          </cell>
        </row>
        <row r="109">
          <cell r="A109" t="str">
            <v>40155</v>
          </cell>
          <cell r="H109">
            <v>-187583071.31</v>
          </cell>
        </row>
        <row r="110">
          <cell r="A110" t="str">
            <v>49300</v>
          </cell>
          <cell r="H110">
            <v>-295333.44999999995</v>
          </cell>
        </row>
        <row r="111">
          <cell r="A111" t="str">
            <v>49405</v>
          </cell>
          <cell r="H111">
            <v>-321764374.33999997</v>
          </cell>
        </row>
        <row r="112">
          <cell r="A112" t="str">
            <v>53025</v>
          </cell>
          <cell r="H112">
            <v>0</v>
          </cell>
        </row>
        <row r="113">
          <cell r="A113" t="str">
            <v>53030</v>
          </cell>
          <cell r="H113">
            <v>29195322.539999999</v>
          </cell>
        </row>
        <row r="114">
          <cell r="A114" t="str">
            <v>53040</v>
          </cell>
          <cell r="H114">
            <v>75000</v>
          </cell>
        </row>
        <row r="115">
          <cell r="A115" t="str">
            <v>53045</v>
          </cell>
          <cell r="H115">
            <v>285450.62</v>
          </cell>
        </row>
        <row r="116">
          <cell r="A116" t="str">
            <v>53055</v>
          </cell>
          <cell r="H116">
            <v>225468.75</v>
          </cell>
        </row>
        <row r="117">
          <cell r="A117" t="str">
            <v>53060</v>
          </cell>
          <cell r="H117">
            <v>11000</v>
          </cell>
        </row>
        <row r="118">
          <cell r="A118" t="str">
            <v>53075</v>
          </cell>
          <cell r="H118">
            <v>0</v>
          </cell>
        </row>
        <row r="119">
          <cell r="A119" t="str">
            <v>53080</v>
          </cell>
          <cell r="H119">
            <v>71549822.129999995</v>
          </cell>
        </row>
        <row r="120">
          <cell r="A120" t="str">
            <v>53090</v>
          </cell>
          <cell r="H120">
            <v>67500</v>
          </cell>
        </row>
        <row r="121">
          <cell r="A121" t="str">
            <v>53095</v>
          </cell>
          <cell r="H121">
            <v>2000</v>
          </cell>
        </row>
        <row r="122">
          <cell r="A122" t="str">
            <v>53110</v>
          </cell>
          <cell r="H122">
            <v>7000</v>
          </cell>
        </row>
        <row r="123">
          <cell r="A123" t="str">
            <v>53120</v>
          </cell>
          <cell r="H123">
            <v>46040002.689999998</v>
          </cell>
        </row>
        <row r="124">
          <cell r="A124" t="str">
            <v>53140</v>
          </cell>
          <cell r="H124">
            <v>6684400</v>
          </cell>
        </row>
        <row r="125">
          <cell r="A125" t="str">
            <v>60010</v>
          </cell>
          <cell r="H125">
            <v>1600000</v>
          </cell>
        </row>
        <row r="126">
          <cell r="A126" t="str">
            <v>60020</v>
          </cell>
          <cell r="H126">
            <v>387000</v>
          </cell>
        </row>
        <row r="127">
          <cell r="A127" t="str">
            <v>60025</v>
          </cell>
          <cell r="H127">
            <v>1534000</v>
          </cell>
        </row>
        <row r="128">
          <cell r="A128" t="str">
            <v>60030</v>
          </cell>
          <cell r="H128">
            <v>342000</v>
          </cell>
        </row>
        <row r="129">
          <cell r="A129" t="str">
            <v>60040</v>
          </cell>
          <cell r="H129">
            <v>238620</v>
          </cell>
        </row>
        <row r="130">
          <cell r="A130" t="str">
            <v>60045</v>
          </cell>
          <cell r="H130">
            <v>309761.25</v>
          </cell>
        </row>
        <row r="131">
          <cell r="A131" t="str">
            <v>60050</v>
          </cell>
          <cell r="H131">
            <v>5482050.2300000004</v>
          </cell>
        </row>
        <row r="132">
          <cell r="A132" t="str">
            <v>60060</v>
          </cell>
          <cell r="H132">
            <v>3667636.71</v>
          </cell>
        </row>
        <row r="133">
          <cell r="A133" t="str">
            <v>60070</v>
          </cell>
          <cell r="H133">
            <v>414537.5</v>
          </cell>
        </row>
        <row r="134">
          <cell r="A134" t="str">
            <v>60075</v>
          </cell>
          <cell r="H134">
            <v>0</v>
          </cell>
        </row>
        <row r="135">
          <cell r="A135" t="str">
            <v>60080</v>
          </cell>
          <cell r="H135">
            <v>153333.32999999999</v>
          </cell>
        </row>
        <row r="136">
          <cell r="A136" t="str">
            <v>60085</v>
          </cell>
          <cell r="H136">
            <v>35532.430000000022</v>
          </cell>
        </row>
        <row r="137">
          <cell r="A137" t="str">
            <v>60090</v>
          </cell>
          <cell r="H137">
            <v>509625</v>
          </cell>
        </row>
        <row r="138">
          <cell r="A138" t="str">
            <v>60095</v>
          </cell>
          <cell r="H138">
            <v>0</v>
          </cell>
        </row>
        <row r="139">
          <cell r="A139" t="str">
            <v>60100</v>
          </cell>
          <cell r="H139">
            <v>7762863.21</v>
          </cell>
        </row>
        <row r="140">
          <cell r="A140" t="str">
            <v>60115</v>
          </cell>
          <cell r="H140">
            <v>18522509.600000001</v>
          </cell>
        </row>
        <row r="141">
          <cell r="A141" t="str">
            <v>60200</v>
          </cell>
          <cell r="H141">
            <v>3238775.59</v>
          </cell>
        </row>
        <row r="142">
          <cell r="A142" t="str">
            <v>60201</v>
          </cell>
          <cell r="H142">
            <v>3980000</v>
          </cell>
        </row>
        <row r="143">
          <cell r="A143" t="str">
            <v>60205</v>
          </cell>
          <cell r="H143">
            <v>74000</v>
          </cell>
        </row>
        <row r="144">
          <cell r="A144" t="str">
            <v>60206</v>
          </cell>
          <cell r="H144">
            <v>380354</v>
          </cell>
        </row>
        <row r="145">
          <cell r="A145" t="str">
            <v>60210</v>
          </cell>
          <cell r="H145">
            <v>3873367.1900000004</v>
          </cell>
        </row>
        <row r="146">
          <cell r="A146" t="str">
            <v>60211</v>
          </cell>
          <cell r="H146">
            <v>0</v>
          </cell>
        </row>
        <row r="147">
          <cell r="A147" t="str">
            <v>60213</v>
          </cell>
          <cell r="H147">
            <v>0</v>
          </cell>
        </row>
        <row r="148">
          <cell r="A148" t="str">
            <v>60217</v>
          </cell>
          <cell r="H148">
            <v>2458600</v>
          </cell>
        </row>
        <row r="149">
          <cell r="A149" t="str">
            <v>61100</v>
          </cell>
          <cell r="H149">
            <v>2845066.01</v>
          </cell>
        </row>
        <row r="150">
          <cell r="A150" t="str">
            <v>61310</v>
          </cell>
          <cell r="H150">
            <v>181820</v>
          </cell>
        </row>
        <row r="151">
          <cell r="A151" t="str">
            <v>61315</v>
          </cell>
          <cell r="H151">
            <v>174500</v>
          </cell>
        </row>
        <row r="152">
          <cell r="A152" t="str">
            <v>61320</v>
          </cell>
          <cell r="H152">
            <v>0</v>
          </cell>
        </row>
        <row r="153">
          <cell r="A153" t="str">
            <v>61500</v>
          </cell>
          <cell r="H153">
            <v>214120</v>
          </cell>
        </row>
        <row r="154">
          <cell r="A154" t="str">
            <v>61600</v>
          </cell>
          <cell r="H154">
            <v>8264931.4199999999</v>
          </cell>
        </row>
        <row r="155">
          <cell r="A155" t="str">
            <v>61700</v>
          </cell>
          <cell r="H155">
            <v>536741.64</v>
          </cell>
        </row>
        <row r="156">
          <cell r="A156" t="str">
            <v>62200</v>
          </cell>
          <cell r="H156">
            <v>1287110</v>
          </cell>
        </row>
        <row r="157">
          <cell r="A157" t="str">
            <v>62415</v>
          </cell>
          <cell r="H157">
            <v>13533</v>
          </cell>
        </row>
        <row r="158">
          <cell r="A158" t="str">
            <v>62420</v>
          </cell>
          <cell r="H158">
            <v>6500</v>
          </cell>
        </row>
        <row r="159">
          <cell r="A159" t="str">
            <v>62425</v>
          </cell>
          <cell r="H159">
            <v>126180</v>
          </cell>
        </row>
        <row r="160">
          <cell r="A160" t="str">
            <v>62435</v>
          </cell>
          <cell r="H160">
            <v>27050</v>
          </cell>
        </row>
        <row r="161">
          <cell r="A161" t="str">
            <v>62700</v>
          </cell>
          <cell r="H161">
            <v>709127.5</v>
          </cell>
        </row>
        <row r="162">
          <cell r="A162" t="str">
            <v>62950</v>
          </cell>
          <cell r="H162">
            <v>0</v>
          </cell>
        </row>
        <row r="163">
          <cell r="A163" t="str">
            <v>63110</v>
          </cell>
          <cell r="H163">
            <v>2232500</v>
          </cell>
        </row>
        <row r="164">
          <cell r="A164" t="str">
            <v>63120</v>
          </cell>
          <cell r="H164">
            <v>1274972.5</v>
          </cell>
        </row>
        <row r="165">
          <cell r="A165" t="str">
            <v>63125</v>
          </cell>
          <cell r="H165">
            <v>15600</v>
          </cell>
        </row>
        <row r="166">
          <cell r="A166" t="str">
            <v>63907</v>
          </cell>
          <cell r="H166">
            <v>19440963.999999996</v>
          </cell>
        </row>
        <row r="167">
          <cell r="A167" t="str">
            <v>64000</v>
          </cell>
          <cell r="H167">
            <v>2745466.48</v>
          </cell>
        </row>
        <row r="168">
          <cell r="A168" t="str">
            <v>65000</v>
          </cell>
          <cell r="H168">
            <v>0</v>
          </cell>
        </row>
        <row r="169">
          <cell r="A169" t="str">
            <v>65007</v>
          </cell>
          <cell r="H169">
            <v>-3512463.0599999987</v>
          </cell>
        </row>
        <row r="170">
          <cell r="A170" t="str">
            <v>65015</v>
          </cell>
          <cell r="H170">
            <v>0</v>
          </cell>
        </row>
        <row r="171">
          <cell r="A171" t="str">
            <v>65030</v>
          </cell>
          <cell r="H171">
            <v>14155123.349999998</v>
          </cell>
        </row>
        <row r="172">
          <cell r="A172" t="str">
            <v>65035</v>
          </cell>
          <cell r="H172">
            <v>46570872.930000007</v>
          </cell>
        </row>
        <row r="173">
          <cell r="A173" t="str">
            <v>65037</v>
          </cell>
          <cell r="H173">
            <v>6700175.4100000001</v>
          </cell>
        </row>
        <row r="174">
          <cell r="A174" t="str">
            <v>65095</v>
          </cell>
          <cell r="H174">
            <v>3600571.7599999979</v>
          </cell>
        </row>
        <row r="175">
          <cell r="A175" t="str">
            <v>65100</v>
          </cell>
          <cell r="H175">
            <v>2589490.46</v>
          </cell>
        </row>
        <row r="176">
          <cell r="A176" t="str">
            <v>65800</v>
          </cell>
          <cell r="H176">
            <v>360000</v>
          </cell>
        </row>
        <row r="177">
          <cell r="A177" t="str">
            <v>67052</v>
          </cell>
          <cell r="H177">
            <v>0</v>
          </cell>
        </row>
        <row r="178">
          <cell r="A178" t="str">
            <v>67055</v>
          </cell>
          <cell r="H178">
            <v>0</v>
          </cell>
        </row>
        <row r="179">
          <cell r="A179" t="str">
            <v>67920</v>
          </cell>
          <cell r="H179">
            <v>-24549870.409999967</v>
          </cell>
        </row>
        <row r="180">
          <cell r="A180" t="str">
            <v>67940</v>
          </cell>
          <cell r="H180">
            <v>-0.01</v>
          </cell>
        </row>
        <row r="181">
          <cell r="A181" t="str">
            <v>68500</v>
          </cell>
          <cell r="H181">
            <v>1781666.67</v>
          </cell>
        </row>
        <row r="182">
          <cell r="A182" t="str">
            <v>68502</v>
          </cell>
          <cell r="H182">
            <v>-1023750</v>
          </cell>
        </row>
        <row r="183">
          <cell r="A183" t="str">
            <v>68503</v>
          </cell>
          <cell r="H183">
            <v>1505000</v>
          </cell>
        </row>
        <row r="184">
          <cell r="A184" t="str">
            <v>69600</v>
          </cell>
          <cell r="H184">
            <v>946924.4299999997</v>
          </cell>
        </row>
        <row r="185">
          <cell r="A185" t="str">
            <v>69901</v>
          </cell>
          <cell r="H185">
            <v>-278799.93</v>
          </cell>
        </row>
      </sheetData>
      <sheetData sheetId="3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119497.01</v>
          </cell>
        </row>
        <row r="7">
          <cell r="A7" t="str">
            <v>10104</v>
          </cell>
          <cell r="H7">
            <v>19285530</v>
          </cell>
        </row>
        <row r="8">
          <cell r="A8" t="str">
            <v>10105</v>
          </cell>
          <cell r="H8">
            <v>520056540.63999999</v>
          </cell>
        </row>
        <row r="9">
          <cell r="A9" t="str">
            <v>10107</v>
          </cell>
          <cell r="H9">
            <v>271479066.39999998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10215</v>
          </cell>
          <cell r="H13">
            <v>2614772.54</v>
          </cell>
        </row>
        <row r="14">
          <cell r="A14" t="str">
            <v>10221</v>
          </cell>
          <cell r="H14">
            <v>989850.45</v>
          </cell>
        </row>
        <row r="15">
          <cell r="A15" t="str">
            <v>10223</v>
          </cell>
          <cell r="H15">
            <v>9292215</v>
          </cell>
        </row>
        <row r="16">
          <cell r="A16" t="str">
            <v>10225</v>
          </cell>
          <cell r="H16">
            <v>2850703.9</v>
          </cell>
        </row>
        <row r="17">
          <cell r="A17" t="str">
            <v>10230</v>
          </cell>
          <cell r="H17">
            <v>2593.08</v>
          </cell>
        </row>
        <row r="18">
          <cell r="A18" t="str">
            <v>10235</v>
          </cell>
          <cell r="H18">
            <v>2614055.11</v>
          </cell>
        </row>
        <row r="19">
          <cell r="A19" t="str">
            <v>10240</v>
          </cell>
          <cell r="H19">
            <v>31493.46</v>
          </cell>
        </row>
        <row r="20">
          <cell r="A20" t="str">
            <v>10245</v>
          </cell>
          <cell r="H20">
            <v>178073.03</v>
          </cell>
        </row>
        <row r="21">
          <cell r="A21" t="str">
            <v>10253</v>
          </cell>
          <cell r="H21">
            <v>12626700</v>
          </cell>
        </row>
        <row r="22">
          <cell r="A22" t="str">
            <v>10255</v>
          </cell>
          <cell r="H22">
            <v>27575.69</v>
          </cell>
        </row>
        <row r="23">
          <cell r="A23" t="str">
            <v>10256</v>
          </cell>
          <cell r="H23">
            <v>6599985000</v>
          </cell>
        </row>
        <row r="24">
          <cell r="A24" t="str">
            <v>10260</v>
          </cell>
          <cell r="H24">
            <v>2034171.87</v>
          </cell>
        </row>
        <row r="25">
          <cell r="A25" t="str">
            <v>10265</v>
          </cell>
          <cell r="H25">
            <v>233134.39</v>
          </cell>
        </row>
        <row r="26">
          <cell r="A26" t="str">
            <v>10270</v>
          </cell>
          <cell r="H26">
            <v>8040054.1699999999</v>
          </cell>
        </row>
        <row r="27">
          <cell r="A27" t="str">
            <v>10280</v>
          </cell>
          <cell r="H27">
            <v>563903.84</v>
          </cell>
        </row>
        <row r="28">
          <cell r="A28" t="str">
            <v>10285</v>
          </cell>
          <cell r="H28">
            <v>1258401.5900000001</v>
          </cell>
        </row>
        <row r="29">
          <cell r="A29" t="str">
            <v>10293</v>
          </cell>
          <cell r="H29">
            <v>1480050</v>
          </cell>
        </row>
        <row r="30">
          <cell r="A30" t="str">
            <v>10305</v>
          </cell>
          <cell r="H30">
            <v>4864.58</v>
          </cell>
        </row>
        <row r="31">
          <cell r="A31" t="str">
            <v>10310</v>
          </cell>
          <cell r="H31">
            <v>4705326.13</v>
          </cell>
        </row>
        <row r="32">
          <cell r="A32" t="str">
            <v>10316</v>
          </cell>
          <cell r="H32">
            <v>1725015</v>
          </cell>
        </row>
        <row r="33">
          <cell r="A33" t="str">
            <v>10320</v>
          </cell>
          <cell r="H33">
            <v>53.75</v>
          </cell>
        </row>
        <row r="34">
          <cell r="A34" t="str">
            <v>10341</v>
          </cell>
          <cell r="H34">
            <v>731965.97</v>
          </cell>
        </row>
        <row r="35">
          <cell r="A35" t="str">
            <v>10342</v>
          </cell>
          <cell r="H35">
            <v>406406770.63</v>
          </cell>
        </row>
        <row r="36">
          <cell r="A36" t="str">
            <v>10497</v>
          </cell>
          <cell r="H36">
            <v>24496.13</v>
          </cell>
        </row>
        <row r="37">
          <cell r="A37" t="str">
            <v>10500</v>
          </cell>
          <cell r="H37">
            <v>5186000</v>
          </cell>
        </row>
        <row r="38">
          <cell r="A38" t="str">
            <v>11000</v>
          </cell>
          <cell r="H38">
            <v>855022952.01999998</v>
          </cell>
        </row>
        <row r="39">
          <cell r="A39" t="str">
            <v>11020</v>
          </cell>
          <cell r="H39">
            <v>509115.23</v>
          </cell>
        </row>
        <row r="40">
          <cell r="A40" t="str">
            <v>12100</v>
          </cell>
          <cell r="H40">
            <v>94581089.150000006</v>
          </cell>
        </row>
        <row r="41">
          <cell r="A41" t="str">
            <v>13002</v>
          </cell>
          <cell r="H41">
            <v>1440000</v>
          </cell>
        </row>
        <row r="42">
          <cell r="A42" t="str">
            <v>13003</v>
          </cell>
          <cell r="H42">
            <v>5163400</v>
          </cell>
        </row>
        <row r="43">
          <cell r="A43" t="str">
            <v>13004</v>
          </cell>
          <cell r="H43">
            <v>326935.40000000002</v>
          </cell>
        </row>
        <row r="44">
          <cell r="A44" t="str">
            <v>13007</v>
          </cell>
          <cell r="H44">
            <v>58951.91</v>
          </cell>
        </row>
        <row r="45">
          <cell r="A45" t="str">
            <v>13008</v>
          </cell>
          <cell r="H45">
            <v>12561503.369999999</v>
          </cell>
        </row>
        <row r="46">
          <cell r="A46" t="str">
            <v>13010</v>
          </cell>
          <cell r="H46">
            <v>17631666.66</v>
          </cell>
        </row>
        <row r="47">
          <cell r="A47" t="str">
            <v>13120</v>
          </cell>
          <cell r="H47">
            <v>34448695.130000003</v>
          </cell>
        </row>
        <row r="48">
          <cell r="A48" t="str">
            <v>13130</v>
          </cell>
          <cell r="H48">
            <v>4171904.76</v>
          </cell>
        </row>
        <row r="49">
          <cell r="A49" t="str">
            <v>13135</v>
          </cell>
          <cell r="H49">
            <v>0.11</v>
          </cell>
        </row>
        <row r="50">
          <cell r="A50" t="str">
            <v>13200</v>
          </cell>
          <cell r="H50">
            <v>9933685.3499999996</v>
          </cell>
        </row>
        <row r="51">
          <cell r="A51" t="str">
            <v>13400</v>
          </cell>
          <cell r="H51">
            <v>345334052.72000003</v>
          </cell>
        </row>
        <row r="52">
          <cell r="A52" t="str">
            <v>14000</v>
          </cell>
          <cell r="H52">
            <v>-122014070.22</v>
          </cell>
        </row>
        <row r="53">
          <cell r="A53" t="str">
            <v>14001</v>
          </cell>
          <cell r="H53">
            <v>-188444806.75</v>
          </cell>
        </row>
        <row r="54">
          <cell r="A54" t="str">
            <v>14010</v>
          </cell>
          <cell r="H54">
            <v>20212011.27</v>
          </cell>
        </row>
        <row r="55">
          <cell r="A55" t="str">
            <v>14014</v>
          </cell>
          <cell r="H55">
            <v>28105430.59</v>
          </cell>
        </row>
        <row r="56">
          <cell r="A56" t="str">
            <v>14016</v>
          </cell>
          <cell r="H56">
            <v>2380000</v>
          </cell>
        </row>
        <row r="57">
          <cell r="A57" t="str">
            <v>15000</v>
          </cell>
          <cell r="H57">
            <v>26403926.010000002</v>
          </cell>
        </row>
        <row r="58">
          <cell r="A58" t="str">
            <v>15100</v>
          </cell>
          <cell r="H58">
            <v>88402001</v>
          </cell>
        </row>
        <row r="59">
          <cell r="A59" t="str">
            <v>15200</v>
          </cell>
          <cell r="H59">
            <v>254750375.25999999</v>
          </cell>
        </row>
        <row r="60">
          <cell r="A60" t="str">
            <v>15300</v>
          </cell>
          <cell r="H60">
            <v>16565780</v>
          </cell>
        </row>
        <row r="61">
          <cell r="A61" t="str">
            <v>15400</v>
          </cell>
          <cell r="H61">
            <v>174166123.81</v>
          </cell>
        </row>
        <row r="62">
          <cell r="A62" t="str">
            <v>15405</v>
          </cell>
          <cell r="H62">
            <v>17904365.100000001</v>
          </cell>
        </row>
        <row r="63">
          <cell r="A63" t="str">
            <v>15410</v>
          </cell>
          <cell r="H63">
            <v>2410161.5</v>
          </cell>
        </row>
        <row r="64">
          <cell r="A64" t="str">
            <v>15500</v>
          </cell>
          <cell r="H64">
            <v>18388298.050000001</v>
          </cell>
        </row>
        <row r="65">
          <cell r="A65" t="str">
            <v>15501</v>
          </cell>
          <cell r="H65">
            <v>408381553.41000003</v>
          </cell>
        </row>
        <row r="66">
          <cell r="A66" t="str">
            <v>15505</v>
          </cell>
          <cell r="H66">
            <v>8503671.5099999998</v>
          </cell>
        </row>
        <row r="67">
          <cell r="A67" t="str">
            <v>16000</v>
          </cell>
          <cell r="H67">
            <v>-25860162.09</v>
          </cell>
        </row>
        <row r="68">
          <cell r="A68" t="str">
            <v>16100</v>
          </cell>
          <cell r="H68">
            <v>-87718563.560000002</v>
          </cell>
        </row>
        <row r="69">
          <cell r="A69" t="str">
            <v>16200</v>
          </cell>
          <cell r="H69">
            <v>-172632417.30000001</v>
          </cell>
        </row>
        <row r="70">
          <cell r="A70" t="str">
            <v>16300</v>
          </cell>
          <cell r="H70">
            <v>-13104779.93</v>
          </cell>
        </row>
        <row r="71">
          <cell r="A71" t="str">
            <v>16500</v>
          </cell>
          <cell r="H71">
            <v>-17904365.100000001</v>
          </cell>
        </row>
        <row r="72">
          <cell r="A72" t="str">
            <v>17000</v>
          </cell>
          <cell r="H72">
            <v>211205923.84999999</v>
          </cell>
        </row>
        <row r="73">
          <cell r="A73" t="str">
            <v>19004</v>
          </cell>
          <cell r="H73">
            <v>12613421.199999999</v>
          </cell>
        </row>
        <row r="74">
          <cell r="A74" t="str">
            <v>19006</v>
          </cell>
          <cell r="H74">
            <v>622380</v>
          </cell>
        </row>
        <row r="75">
          <cell r="A75" t="str">
            <v>69904</v>
          </cell>
          <cell r="H75">
            <v>-16327097.98</v>
          </cell>
        </row>
        <row r="76">
          <cell r="A76" t="str">
            <v>20000</v>
          </cell>
          <cell r="H76">
            <v>-224973727.99000001</v>
          </cell>
        </row>
        <row r="77">
          <cell r="A77" t="str">
            <v>20005</v>
          </cell>
          <cell r="H77">
            <v>-113813512.45</v>
          </cell>
        </row>
        <row r="78">
          <cell r="A78" t="str">
            <v>20010</v>
          </cell>
          <cell r="H78">
            <v>-8062500</v>
          </cell>
        </row>
        <row r="79">
          <cell r="A79" t="str">
            <v>22100</v>
          </cell>
          <cell r="H79">
            <v>-23056820.52</v>
          </cell>
        </row>
        <row r="80">
          <cell r="A80" t="str">
            <v>22150</v>
          </cell>
          <cell r="H80">
            <v>0</v>
          </cell>
        </row>
        <row r="81">
          <cell r="A81" t="str">
            <v>23000</v>
          </cell>
          <cell r="H81">
            <v>-350423908.81</v>
          </cell>
        </row>
        <row r="82">
          <cell r="A82" t="str">
            <v>23001</v>
          </cell>
          <cell r="H82">
            <v>-836265</v>
          </cell>
        </row>
        <row r="83">
          <cell r="A83" t="str">
            <v>23010</v>
          </cell>
          <cell r="H83">
            <v>-557472502.13999999</v>
          </cell>
        </row>
        <row r="84">
          <cell r="A84" t="str">
            <v>23015</v>
          </cell>
          <cell r="H84">
            <v>-3244946.07</v>
          </cell>
        </row>
        <row r="85">
          <cell r="A85" t="str">
            <v>23040</v>
          </cell>
          <cell r="H85">
            <v>-6489129.0300000003</v>
          </cell>
        </row>
        <row r="86">
          <cell r="A86" t="str">
            <v>23400</v>
          </cell>
          <cell r="H86">
            <v>-1159833578.1300001</v>
          </cell>
        </row>
        <row r="87">
          <cell r="A87" t="str">
            <v>23405</v>
          </cell>
          <cell r="H87">
            <v>852339098.12</v>
          </cell>
        </row>
        <row r="88">
          <cell r="A88" t="str">
            <v>23410</v>
          </cell>
          <cell r="H88">
            <v>51599186.399999999</v>
          </cell>
        </row>
        <row r="89">
          <cell r="A89" t="str">
            <v>23420</v>
          </cell>
          <cell r="H89">
            <v>-29230063.510000002</v>
          </cell>
        </row>
        <row r="90">
          <cell r="A90" t="str">
            <v>23425</v>
          </cell>
          <cell r="H90">
            <v>-42242924.219999999</v>
          </cell>
        </row>
        <row r="91">
          <cell r="A91" t="str">
            <v>23889</v>
          </cell>
          <cell r="H91">
            <v>0</v>
          </cell>
        </row>
        <row r="92">
          <cell r="A92" t="str">
            <v>24010</v>
          </cell>
          <cell r="H92">
            <v>-6703904.4000000004</v>
          </cell>
        </row>
        <row r="93">
          <cell r="A93" t="str">
            <v>24100</v>
          </cell>
          <cell r="H93">
            <v>0.35</v>
          </cell>
        </row>
        <row r="94">
          <cell r="A94" t="str">
            <v>30005</v>
          </cell>
          <cell r="H94">
            <v>96238158.140000001</v>
          </cell>
        </row>
        <row r="95">
          <cell r="A95" t="str">
            <v>30035</v>
          </cell>
          <cell r="H95">
            <v>101787277.34999999</v>
          </cell>
        </row>
        <row r="96">
          <cell r="A96" t="str">
            <v>30040</v>
          </cell>
          <cell r="H96">
            <v>-107359858</v>
          </cell>
        </row>
        <row r="97">
          <cell r="A97" t="str">
            <v>30042</v>
          </cell>
          <cell r="H97">
            <v>-7359858</v>
          </cell>
        </row>
        <row r="98">
          <cell r="A98" t="str">
            <v>30043</v>
          </cell>
          <cell r="H98">
            <v>-114247251.5</v>
          </cell>
        </row>
        <row r="99">
          <cell r="A99" t="str">
            <v>30044</v>
          </cell>
          <cell r="H99">
            <v>-6600000000</v>
          </cell>
        </row>
        <row r="100">
          <cell r="A100" t="str">
            <v>32000</v>
          </cell>
          <cell r="H100">
            <v>-1111090970.6300001</v>
          </cell>
        </row>
        <row r="101">
          <cell r="A101" t="str">
            <v>40015</v>
          </cell>
          <cell r="H101">
            <v>-5571348.8399999999</v>
          </cell>
        </row>
        <row r="102">
          <cell r="A102" t="str">
            <v>40020</v>
          </cell>
          <cell r="H102">
            <v>0</v>
          </cell>
        </row>
        <row r="103">
          <cell r="A103" t="str">
            <v>40025</v>
          </cell>
          <cell r="H103">
            <v>-10669767.439999999</v>
          </cell>
        </row>
        <row r="104">
          <cell r="A104" t="str">
            <v>40055</v>
          </cell>
          <cell r="H104">
            <v>-7273948.0199999996</v>
          </cell>
        </row>
        <row r="105">
          <cell r="A105" t="str">
            <v>40056</v>
          </cell>
          <cell r="H105">
            <v>0</v>
          </cell>
        </row>
        <row r="106">
          <cell r="A106" t="str">
            <v>40085</v>
          </cell>
          <cell r="H106">
            <v>-28583.59</v>
          </cell>
        </row>
        <row r="107">
          <cell r="A107" t="str">
            <v>40155</v>
          </cell>
          <cell r="H107">
            <v>-203769463</v>
          </cell>
        </row>
        <row r="108">
          <cell r="A108" t="str">
            <v>49300</v>
          </cell>
          <cell r="H108">
            <v>-7692.0599999999995</v>
          </cell>
        </row>
        <row r="109">
          <cell r="A109" t="str">
            <v>49405</v>
          </cell>
          <cell r="H109">
            <v>-299729715</v>
          </cell>
        </row>
        <row r="110">
          <cell r="A110" t="str">
            <v>53030</v>
          </cell>
          <cell r="H110">
            <v>0</v>
          </cell>
        </row>
        <row r="111">
          <cell r="A111" t="str">
            <v>53040</v>
          </cell>
          <cell r="H111">
            <v>0</v>
          </cell>
        </row>
        <row r="112">
          <cell r="A112" t="str">
            <v>53045</v>
          </cell>
          <cell r="H112">
            <v>32951806.880000003</v>
          </cell>
        </row>
        <row r="113">
          <cell r="A113" t="str">
            <v>53055</v>
          </cell>
          <cell r="H113">
            <v>225468.75</v>
          </cell>
        </row>
        <row r="114">
          <cell r="A114" t="str">
            <v>53060</v>
          </cell>
          <cell r="H114">
            <v>0</v>
          </cell>
        </row>
        <row r="115">
          <cell r="A115" t="str">
            <v>53075</v>
          </cell>
          <cell r="H115">
            <v>0</v>
          </cell>
        </row>
        <row r="116">
          <cell r="A116" t="str">
            <v>53080</v>
          </cell>
          <cell r="H116">
            <v>55159262.189999998</v>
          </cell>
        </row>
        <row r="117">
          <cell r="A117" t="str">
            <v>53090</v>
          </cell>
          <cell r="H117">
            <v>0</v>
          </cell>
        </row>
        <row r="118">
          <cell r="A118" t="str">
            <v>53095</v>
          </cell>
          <cell r="H118">
            <v>0</v>
          </cell>
        </row>
        <row r="119">
          <cell r="A119" t="str">
            <v>53110</v>
          </cell>
          <cell r="H119">
            <v>0</v>
          </cell>
        </row>
        <row r="120">
          <cell r="A120" t="str">
            <v>53120</v>
          </cell>
          <cell r="H120">
            <v>33295875.84</v>
          </cell>
        </row>
        <row r="121">
          <cell r="A121" t="str">
            <v>60010</v>
          </cell>
          <cell r="H121">
            <v>1600000</v>
          </cell>
        </row>
        <row r="122">
          <cell r="A122" t="str">
            <v>60020</v>
          </cell>
          <cell r="H122">
            <v>9000</v>
          </cell>
        </row>
        <row r="123">
          <cell r="A123" t="str">
            <v>60025</v>
          </cell>
          <cell r="H123">
            <v>-17000</v>
          </cell>
        </row>
        <row r="124">
          <cell r="A124" t="str">
            <v>60030</v>
          </cell>
          <cell r="H124">
            <v>30000</v>
          </cell>
        </row>
        <row r="125">
          <cell r="A125" t="str">
            <v>60040</v>
          </cell>
          <cell r="H125">
            <v>0</v>
          </cell>
        </row>
        <row r="126">
          <cell r="A126" t="str">
            <v>60045</v>
          </cell>
          <cell r="H126">
            <v>929283.75</v>
          </cell>
        </row>
        <row r="127">
          <cell r="A127" t="str">
            <v>60050</v>
          </cell>
          <cell r="H127">
            <v>10751535</v>
          </cell>
        </row>
        <row r="128">
          <cell r="A128" t="str">
            <v>60060</v>
          </cell>
          <cell r="H128">
            <v>10757640</v>
          </cell>
        </row>
        <row r="129">
          <cell r="A129" t="str">
            <v>60070</v>
          </cell>
          <cell r="H129">
            <v>255750</v>
          </cell>
        </row>
        <row r="130">
          <cell r="A130" t="str">
            <v>60075</v>
          </cell>
          <cell r="H130">
            <v>5000</v>
          </cell>
        </row>
        <row r="131">
          <cell r="A131" t="str">
            <v>60080</v>
          </cell>
          <cell r="H131">
            <v>3537077</v>
          </cell>
        </row>
        <row r="132">
          <cell r="A132" t="str">
            <v>60085</v>
          </cell>
          <cell r="H132">
            <v>5906242.2599999998</v>
          </cell>
        </row>
        <row r="133">
          <cell r="A133" t="str">
            <v>60100</v>
          </cell>
          <cell r="H133">
            <v>411374</v>
          </cell>
        </row>
        <row r="134">
          <cell r="A134" t="str">
            <v>60115</v>
          </cell>
          <cell r="H134">
            <v>1020555</v>
          </cell>
        </row>
        <row r="135">
          <cell r="A135" t="str">
            <v>60200</v>
          </cell>
          <cell r="H135">
            <v>-360914</v>
          </cell>
        </row>
        <row r="136">
          <cell r="A136" t="str">
            <v>60201</v>
          </cell>
          <cell r="H136">
            <v>2660415</v>
          </cell>
        </row>
        <row r="137">
          <cell r="A137" t="str">
            <v>60205</v>
          </cell>
          <cell r="H137">
            <v>820665</v>
          </cell>
        </row>
        <row r="138">
          <cell r="A138" t="str">
            <v>60206</v>
          </cell>
          <cell r="H138">
            <v>1950000</v>
          </cell>
        </row>
        <row r="139">
          <cell r="A139" t="str">
            <v>60210</v>
          </cell>
          <cell r="H139">
            <v>731885</v>
          </cell>
        </row>
        <row r="140">
          <cell r="A140" t="str">
            <v>60211</v>
          </cell>
          <cell r="H140">
            <v>258160</v>
          </cell>
        </row>
        <row r="141">
          <cell r="A141" t="str">
            <v>60213</v>
          </cell>
          <cell r="H141">
            <v>0</v>
          </cell>
        </row>
        <row r="142">
          <cell r="A142" t="str">
            <v>60217</v>
          </cell>
          <cell r="H142">
            <v>0</v>
          </cell>
        </row>
        <row r="143">
          <cell r="A143" t="str">
            <v>61100</v>
          </cell>
          <cell r="H143">
            <v>885119.43</v>
          </cell>
        </row>
        <row r="144">
          <cell r="A144" t="str">
            <v>61310</v>
          </cell>
          <cell r="H144">
            <v>97820</v>
          </cell>
        </row>
        <row r="145">
          <cell r="A145" t="str">
            <v>61315</v>
          </cell>
          <cell r="H145">
            <v>13500</v>
          </cell>
        </row>
        <row r="146">
          <cell r="A146" t="str">
            <v>61320</v>
          </cell>
          <cell r="H146">
            <v>22000</v>
          </cell>
        </row>
        <row r="147">
          <cell r="A147" t="str">
            <v>61500</v>
          </cell>
          <cell r="H147">
            <v>1194900</v>
          </cell>
        </row>
        <row r="148">
          <cell r="A148" t="str">
            <v>61600</v>
          </cell>
          <cell r="H148">
            <v>3562670.0599999996</v>
          </cell>
        </row>
        <row r="149">
          <cell r="A149" t="str">
            <v>61700</v>
          </cell>
          <cell r="H149">
            <v>479116.64</v>
          </cell>
        </row>
        <row r="150">
          <cell r="A150" t="str">
            <v>62200</v>
          </cell>
          <cell r="H150">
            <v>71970</v>
          </cell>
        </row>
        <row r="151">
          <cell r="A151" t="str">
            <v>62415</v>
          </cell>
          <cell r="H151">
            <v>0</v>
          </cell>
        </row>
        <row r="152">
          <cell r="A152" t="str">
            <v>62420</v>
          </cell>
          <cell r="H152">
            <v>1800</v>
          </cell>
        </row>
        <row r="153">
          <cell r="A153" t="str">
            <v>62425</v>
          </cell>
          <cell r="H153">
            <v>142620</v>
          </cell>
        </row>
        <row r="154">
          <cell r="A154" t="str">
            <v>62435</v>
          </cell>
          <cell r="H154">
            <v>20600</v>
          </cell>
        </row>
        <row r="155">
          <cell r="A155" t="str">
            <v>62950</v>
          </cell>
          <cell r="H155">
            <v>0</v>
          </cell>
        </row>
        <row r="156">
          <cell r="A156" t="str">
            <v>63110</v>
          </cell>
          <cell r="H156">
            <v>2109500</v>
          </cell>
        </row>
        <row r="157">
          <cell r="A157" t="str">
            <v>63125</v>
          </cell>
          <cell r="H157">
            <v>30900</v>
          </cell>
        </row>
        <row r="158">
          <cell r="A158" t="str">
            <v>63907</v>
          </cell>
          <cell r="H158">
            <v>9450000</v>
          </cell>
        </row>
        <row r="159">
          <cell r="A159" t="str">
            <v>64000</v>
          </cell>
          <cell r="H159">
            <v>2791403.98</v>
          </cell>
        </row>
        <row r="160">
          <cell r="A160" t="str">
            <v>65000</v>
          </cell>
          <cell r="H160">
            <v>9200</v>
          </cell>
        </row>
        <row r="161">
          <cell r="A161" t="str">
            <v>65007</v>
          </cell>
          <cell r="H161">
            <v>-1527287.2400000002</v>
          </cell>
        </row>
        <row r="162">
          <cell r="A162" t="str">
            <v>65015</v>
          </cell>
          <cell r="H162">
            <v>0</v>
          </cell>
        </row>
        <row r="163">
          <cell r="A163" t="str">
            <v>65030</v>
          </cell>
          <cell r="H163">
            <v>10887626.039999999</v>
          </cell>
        </row>
        <row r="164">
          <cell r="A164" t="str">
            <v>65035</v>
          </cell>
          <cell r="H164">
            <v>38938671.060000002</v>
          </cell>
        </row>
        <row r="165">
          <cell r="A165" t="str">
            <v>65095</v>
          </cell>
          <cell r="H165">
            <v>9979670.4700000007</v>
          </cell>
        </row>
        <row r="166">
          <cell r="A166" t="str">
            <v>65100</v>
          </cell>
          <cell r="H166">
            <v>2091629.88</v>
          </cell>
        </row>
        <row r="167">
          <cell r="A167" t="str">
            <v>67052</v>
          </cell>
          <cell r="H167">
            <v>1014508.47</v>
          </cell>
        </row>
        <row r="168">
          <cell r="A168" t="str">
            <v>67920</v>
          </cell>
          <cell r="H168">
            <v>-1383083.81</v>
          </cell>
        </row>
        <row r="169">
          <cell r="A169" t="str">
            <v>67940</v>
          </cell>
          <cell r="H169">
            <v>0</v>
          </cell>
        </row>
        <row r="170">
          <cell r="A170" t="str">
            <v>68500</v>
          </cell>
          <cell r="H170">
            <v>5805000</v>
          </cell>
        </row>
        <row r="171">
          <cell r="A171" t="str">
            <v>68502</v>
          </cell>
          <cell r="H171">
            <v>3242468.75</v>
          </cell>
        </row>
        <row r="172">
          <cell r="A172" t="str">
            <v>68503</v>
          </cell>
          <cell r="H172">
            <v>3264340</v>
          </cell>
        </row>
        <row r="173">
          <cell r="A173" t="str">
            <v>69600</v>
          </cell>
          <cell r="H173">
            <v>8716183.5</v>
          </cell>
        </row>
        <row r="174">
          <cell r="A174" t="str">
            <v>69901</v>
          </cell>
          <cell r="H174">
            <v>0</v>
          </cell>
        </row>
      </sheetData>
      <sheetData sheetId="3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143812.97</v>
          </cell>
        </row>
        <row r="7">
          <cell r="A7" t="str">
            <v>10103</v>
          </cell>
          <cell r="H7">
            <v>0</v>
          </cell>
        </row>
        <row r="8">
          <cell r="A8" t="str">
            <v>10104</v>
          </cell>
          <cell r="H8">
            <v>4486515</v>
          </cell>
        </row>
        <row r="9">
          <cell r="A9" t="str">
            <v>10105</v>
          </cell>
          <cell r="H9">
            <v>520056540.63999999</v>
          </cell>
        </row>
        <row r="10">
          <cell r="A10" t="str">
            <v>10107</v>
          </cell>
          <cell r="H10">
            <v>256479066.40000001</v>
          </cell>
        </row>
        <row r="11">
          <cell r="A11" t="str">
            <v>10160</v>
          </cell>
          <cell r="H11">
            <v>20280000</v>
          </cell>
        </row>
        <row r="12">
          <cell r="A12" t="str">
            <v>10200</v>
          </cell>
          <cell r="H12">
            <v>11745.64</v>
          </cell>
        </row>
        <row r="13">
          <cell r="A13" t="str">
            <v>10210</v>
          </cell>
          <cell r="H13">
            <v>73124.13</v>
          </cell>
        </row>
        <row r="14">
          <cell r="A14" t="str">
            <v>10215</v>
          </cell>
          <cell r="H14">
            <v>2108158.64</v>
          </cell>
        </row>
        <row r="15">
          <cell r="A15" t="str">
            <v>10221</v>
          </cell>
          <cell r="H15">
            <v>989850.45</v>
          </cell>
        </row>
        <row r="16">
          <cell r="A16" t="str">
            <v>10223</v>
          </cell>
          <cell r="H16">
            <v>8123865</v>
          </cell>
        </row>
        <row r="17">
          <cell r="A17" t="str">
            <v>10225</v>
          </cell>
          <cell r="H17">
            <v>5285526.72</v>
          </cell>
        </row>
        <row r="18">
          <cell r="A18" t="str">
            <v>10230</v>
          </cell>
          <cell r="H18">
            <v>2593.08</v>
          </cell>
        </row>
        <row r="19">
          <cell r="A19" t="str">
            <v>10235</v>
          </cell>
          <cell r="H19">
            <v>279761.8</v>
          </cell>
        </row>
        <row r="20">
          <cell r="A20" t="str">
            <v>10240</v>
          </cell>
          <cell r="H20">
            <v>31493.46</v>
          </cell>
        </row>
        <row r="21">
          <cell r="A21" t="str">
            <v>10245</v>
          </cell>
          <cell r="H21">
            <v>44840.59</v>
          </cell>
        </row>
        <row r="22">
          <cell r="A22" t="str">
            <v>10248</v>
          </cell>
          <cell r="H22">
            <v>0</v>
          </cell>
        </row>
        <row r="23">
          <cell r="A23" t="str">
            <v>10253</v>
          </cell>
          <cell r="H23">
            <v>17136480</v>
          </cell>
        </row>
        <row r="24">
          <cell r="A24" t="str">
            <v>10255</v>
          </cell>
          <cell r="H24">
            <v>487862.28</v>
          </cell>
        </row>
        <row r="25">
          <cell r="A25" t="str">
            <v>10260</v>
          </cell>
          <cell r="H25">
            <v>2034171.87</v>
          </cell>
        </row>
        <row r="26">
          <cell r="A26" t="str">
            <v>10265</v>
          </cell>
          <cell r="H26">
            <v>228133.55</v>
          </cell>
        </row>
        <row r="27">
          <cell r="A27" t="str">
            <v>10270</v>
          </cell>
          <cell r="H27">
            <v>982562.37</v>
          </cell>
        </row>
        <row r="28">
          <cell r="A28" t="str">
            <v>10280</v>
          </cell>
          <cell r="H28">
            <v>563903.84</v>
          </cell>
        </row>
        <row r="29">
          <cell r="A29" t="str">
            <v>10285</v>
          </cell>
          <cell r="H29">
            <v>1657539.09</v>
          </cell>
        </row>
        <row r="30">
          <cell r="A30" t="str">
            <v>10293</v>
          </cell>
          <cell r="H30">
            <v>676545</v>
          </cell>
        </row>
        <row r="31">
          <cell r="A31" t="str">
            <v>10305</v>
          </cell>
          <cell r="H31">
            <v>4922.33</v>
          </cell>
        </row>
        <row r="32">
          <cell r="A32" t="str">
            <v>10310</v>
          </cell>
          <cell r="H32">
            <v>718617.68</v>
          </cell>
        </row>
        <row r="33">
          <cell r="A33" t="str">
            <v>10316</v>
          </cell>
          <cell r="H33">
            <v>5779140</v>
          </cell>
        </row>
        <row r="34">
          <cell r="A34" t="str">
            <v>10320</v>
          </cell>
          <cell r="H34">
            <v>53.75</v>
          </cell>
        </row>
        <row r="35">
          <cell r="A35" t="str">
            <v>10341</v>
          </cell>
          <cell r="H35">
            <v>1401649.31</v>
          </cell>
        </row>
        <row r="36">
          <cell r="A36" t="str">
            <v>10342</v>
          </cell>
          <cell r="H36">
            <v>719959.43</v>
          </cell>
        </row>
        <row r="37">
          <cell r="A37" t="str">
            <v>10497</v>
          </cell>
          <cell r="H37">
            <v>24496.13</v>
          </cell>
        </row>
        <row r="38">
          <cell r="A38" t="str">
            <v>10500</v>
          </cell>
          <cell r="H38">
            <v>40390000</v>
          </cell>
        </row>
        <row r="39">
          <cell r="A39" t="str">
            <v>11000</v>
          </cell>
          <cell r="H39">
            <v>564863684.07000005</v>
          </cell>
        </row>
        <row r="40">
          <cell r="A40" t="str">
            <v>11003</v>
          </cell>
          <cell r="H40">
            <v>0</v>
          </cell>
        </row>
        <row r="41">
          <cell r="A41" t="str">
            <v>11020</v>
          </cell>
          <cell r="H41">
            <v>501558.17</v>
          </cell>
        </row>
        <row r="42">
          <cell r="A42" t="str">
            <v>12100</v>
          </cell>
          <cell r="H42">
            <v>94581089.150000006</v>
          </cell>
        </row>
        <row r="43">
          <cell r="A43" t="str">
            <v>13002</v>
          </cell>
          <cell r="H43">
            <v>1440000</v>
          </cell>
        </row>
        <row r="44">
          <cell r="A44" t="str">
            <v>13003</v>
          </cell>
          <cell r="H44">
            <v>5163400</v>
          </cell>
        </row>
        <row r="45">
          <cell r="A45" t="str">
            <v>13004</v>
          </cell>
          <cell r="H45">
            <v>2271850.4</v>
          </cell>
        </row>
        <row r="46">
          <cell r="A46" t="str">
            <v>13007</v>
          </cell>
          <cell r="H46">
            <v>82015.399999999994</v>
          </cell>
        </row>
        <row r="47">
          <cell r="A47" t="str">
            <v>13008</v>
          </cell>
          <cell r="H47">
            <v>12561503.369999999</v>
          </cell>
        </row>
        <row r="48">
          <cell r="A48" t="str">
            <v>13010</v>
          </cell>
          <cell r="H48">
            <v>18054999.989999998</v>
          </cell>
        </row>
        <row r="49">
          <cell r="A49" t="str">
            <v>13120</v>
          </cell>
          <cell r="H49">
            <v>69874789.719999999</v>
          </cell>
        </row>
        <row r="50">
          <cell r="A50" t="str">
            <v>13130</v>
          </cell>
          <cell r="H50">
            <v>4184990.15</v>
          </cell>
        </row>
        <row r="51">
          <cell r="A51" t="str">
            <v>13135</v>
          </cell>
          <cell r="H51">
            <v>0.11</v>
          </cell>
        </row>
        <row r="52">
          <cell r="A52" t="str">
            <v>13200</v>
          </cell>
          <cell r="H52">
            <v>8207356.8300000001</v>
          </cell>
        </row>
        <row r="53">
          <cell r="A53" t="str">
            <v>13400</v>
          </cell>
          <cell r="H53">
            <v>313643468.25</v>
          </cell>
        </row>
        <row r="54">
          <cell r="A54" t="str">
            <v>14000</v>
          </cell>
          <cell r="H54">
            <v>-123695322.29000001</v>
          </cell>
        </row>
        <row r="55">
          <cell r="A55" t="str">
            <v>14001</v>
          </cell>
          <cell r="H55">
            <v>-187691790.90000001</v>
          </cell>
        </row>
        <row r="56">
          <cell r="A56" t="str">
            <v>14010</v>
          </cell>
          <cell r="H56">
            <v>23831374.739999998</v>
          </cell>
        </row>
        <row r="57">
          <cell r="A57" t="str">
            <v>14014</v>
          </cell>
          <cell r="H57">
            <v>33870839.969999999</v>
          </cell>
        </row>
        <row r="58">
          <cell r="A58" t="str">
            <v>14016</v>
          </cell>
          <cell r="H58">
            <v>2380000</v>
          </cell>
        </row>
        <row r="59">
          <cell r="A59" t="str">
            <v>15000</v>
          </cell>
          <cell r="H59">
            <v>26403926.010000002</v>
          </cell>
        </row>
        <row r="60">
          <cell r="A60" t="str">
            <v>15100</v>
          </cell>
          <cell r="H60">
            <v>88402001</v>
          </cell>
        </row>
        <row r="61">
          <cell r="A61" t="str">
            <v>15200</v>
          </cell>
          <cell r="H61">
            <v>254750375.25999999</v>
          </cell>
        </row>
        <row r="62">
          <cell r="A62" t="str">
            <v>15300</v>
          </cell>
          <cell r="H62">
            <v>16565780</v>
          </cell>
        </row>
        <row r="63">
          <cell r="A63" t="str">
            <v>15400</v>
          </cell>
          <cell r="H63">
            <v>174166123.81</v>
          </cell>
        </row>
        <row r="64">
          <cell r="A64" t="str">
            <v>15405</v>
          </cell>
          <cell r="H64">
            <v>17904365.100000001</v>
          </cell>
        </row>
        <row r="65">
          <cell r="A65" t="str">
            <v>15410</v>
          </cell>
          <cell r="H65">
            <v>2410161.5</v>
          </cell>
        </row>
        <row r="66">
          <cell r="A66" t="str">
            <v>15500</v>
          </cell>
          <cell r="H66">
            <v>18388298.050000001</v>
          </cell>
        </row>
        <row r="67">
          <cell r="A67" t="str">
            <v>15501</v>
          </cell>
          <cell r="H67">
            <v>383107008.41000003</v>
          </cell>
        </row>
        <row r="68">
          <cell r="A68" t="str">
            <v>15505</v>
          </cell>
          <cell r="H68">
            <v>8503671.5099999998</v>
          </cell>
        </row>
        <row r="69">
          <cell r="A69" t="str">
            <v>16000</v>
          </cell>
          <cell r="H69">
            <v>-25795028.399999999</v>
          </cell>
        </row>
        <row r="70">
          <cell r="A70" t="str">
            <v>16100</v>
          </cell>
          <cell r="H70">
            <v>-87642626.060000002</v>
          </cell>
        </row>
        <row r="71">
          <cell r="A71" t="str">
            <v>16200</v>
          </cell>
          <cell r="H71">
            <v>-170069251.18000001</v>
          </cell>
        </row>
        <row r="72">
          <cell r="A72" t="str">
            <v>16300</v>
          </cell>
          <cell r="H72">
            <v>-13017613.26</v>
          </cell>
        </row>
        <row r="73">
          <cell r="A73" t="str">
            <v>16500</v>
          </cell>
          <cell r="H73">
            <v>-17904365.100000001</v>
          </cell>
        </row>
        <row r="74">
          <cell r="A74" t="str">
            <v>17000</v>
          </cell>
          <cell r="H74">
            <v>177031054.99000001</v>
          </cell>
        </row>
        <row r="75">
          <cell r="A75" t="str">
            <v>19004</v>
          </cell>
          <cell r="H75">
            <v>13333191.279999999</v>
          </cell>
        </row>
        <row r="76">
          <cell r="A76" t="str">
            <v>19006</v>
          </cell>
          <cell r="H76">
            <v>611775</v>
          </cell>
        </row>
        <row r="77">
          <cell r="A77" t="str">
            <v>69904</v>
          </cell>
          <cell r="H77">
            <v>-16327097.98</v>
          </cell>
        </row>
        <row r="78">
          <cell r="A78" t="str">
            <v>20000</v>
          </cell>
          <cell r="H78">
            <v>-219885386.40000001</v>
          </cell>
        </row>
        <row r="79">
          <cell r="A79" t="str">
            <v>20005</v>
          </cell>
          <cell r="H79">
            <v>-106463862.45</v>
          </cell>
        </row>
        <row r="80">
          <cell r="A80" t="str">
            <v>20010</v>
          </cell>
          <cell r="H80">
            <v>-8062500</v>
          </cell>
        </row>
        <row r="81">
          <cell r="A81" t="str">
            <v>22100</v>
          </cell>
          <cell r="H81">
            <v>-9236488</v>
          </cell>
        </row>
        <row r="82">
          <cell r="A82" t="str">
            <v>22150</v>
          </cell>
          <cell r="H82">
            <v>-70000000</v>
          </cell>
        </row>
        <row r="83">
          <cell r="A83" t="str">
            <v>23000</v>
          </cell>
          <cell r="H83">
            <v>-40427908.810000002</v>
          </cell>
        </row>
        <row r="84">
          <cell r="A84" t="str">
            <v>23010</v>
          </cell>
          <cell r="H84">
            <v>-509779171.24000001</v>
          </cell>
        </row>
        <row r="85">
          <cell r="A85" t="str">
            <v>23015</v>
          </cell>
          <cell r="H85">
            <v>-4426546.07</v>
          </cell>
        </row>
        <row r="86">
          <cell r="A86" t="str">
            <v>23040</v>
          </cell>
          <cell r="H86">
            <v>-7090363.4699999997</v>
          </cell>
        </row>
        <row r="87">
          <cell r="A87" t="str">
            <v>23400</v>
          </cell>
          <cell r="H87">
            <v>-1114267774.3499999</v>
          </cell>
        </row>
        <row r="88">
          <cell r="A88" t="str">
            <v>23405</v>
          </cell>
          <cell r="H88">
            <v>850244876.08000004</v>
          </cell>
        </row>
        <row r="89">
          <cell r="A89" t="str">
            <v>23410</v>
          </cell>
          <cell r="H89">
            <v>51599186.399999999</v>
          </cell>
        </row>
        <row r="90">
          <cell r="A90" t="str">
            <v>23420</v>
          </cell>
          <cell r="H90">
            <v>-26503892.969999999</v>
          </cell>
        </row>
        <row r="91">
          <cell r="A91" t="str">
            <v>23425</v>
          </cell>
          <cell r="H91">
            <v>-42242924.219999999</v>
          </cell>
        </row>
        <row r="92">
          <cell r="A92" t="str">
            <v>23889</v>
          </cell>
          <cell r="H92">
            <v>0</v>
          </cell>
        </row>
        <row r="93">
          <cell r="A93" t="str">
            <v>24010</v>
          </cell>
          <cell r="H93">
            <v>-6584544.0999999996</v>
          </cell>
        </row>
        <row r="94">
          <cell r="A94" t="str">
            <v>24100</v>
          </cell>
          <cell r="H94">
            <v>-13578387</v>
          </cell>
        </row>
        <row r="95">
          <cell r="A95" t="str">
            <v>30005</v>
          </cell>
          <cell r="H95">
            <v>96238158.140000001</v>
          </cell>
        </row>
        <row r="96">
          <cell r="A96" t="str">
            <v>30035</v>
          </cell>
          <cell r="H96">
            <v>101787277.34999999</v>
          </cell>
        </row>
        <row r="97">
          <cell r="A97" t="str">
            <v>30040</v>
          </cell>
          <cell r="H97">
            <v>-100000000</v>
          </cell>
        </row>
        <row r="98">
          <cell r="A98" t="str">
            <v>32000</v>
          </cell>
          <cell r="H98">
            <v>-1111090970.6300001</v>
          </cell>
        </row>
        <row r="99">
          <cell r="A99" t="str">
            <v>40015</v>
          </cell>
          <cell r="H99">
            <v>-8048186.0499999998</v>
          </cell>
        </row>
        <row r="100">
          <cell r="A100" t="str">
            <v>40020</v>
          </cell>
          <cell r="H100">
            <v>0</v>
          </cell>
        </row>
        <row r="101">
          <cell r="A101" t="str">
            <v>40025</v>
          </cell>
          <cell r="H101">
            <v>-576744.18999999994</v>
          </cell>
        </row>
        <row r="102">
          <cell r="A102" t="str">
            <v>40055</v>
          </cell>
          <cell r="H102">
            <v>-8561147.3900000006</v>
          </cell>
        </row>
        <row r="103">
          <cell r="A103" t="str">
            <v>40056</v>
          </cell>
          <cell r="H103">
            <v>-282511.63</v>
          </cell>
        </row>
        <row r="104">
          <cell r="A104" t="str">
            <v>40085</v>
          </cell>
          <cell r="H104">
            <v>-28583.589999999851</v>
          </cell>
        </row>
        <row r="105">
          <cell r="A105" t="str">
            <v>40155</v>
          </cell>
          <cell r="H105">
            <v>-272395971.13</v>
          </cell>
        </row>
        <row r="106">
          <cell r="A106" t="str">
            <v>49300</v>
          </cell>
          <cell r="H106">
            <v>-210</v>
          </cell>
        </row>
        <row r="107">
          <cell r="A107" t="str">
            <v>49405</v>
          </cell>
          <cell r="H107">
            <v>-228624829.49000001</v>
          </cell>
        </row>
        <row r="108">
          <cell r="A108" t="str">
            <v>53030</v>
          </cell>
          <cell r="H108">
            <v>14000</v>
          </cell>
        </row>
        <row r="109">
          <cell r="A109" t="str">
            <v>53040</v>
          </cell>
          <cell r="H109">
            <v>122000</v>
          </cell>
        </row>
        <row r="110">
          <cell r="A110" t="str">
            <v>53045</v>
          </cell>
          <cell r="H110">
            <v>50911525</v>
          </cell>
        </row>
        <row r="111">
          <cell r="A111" t="str">
            <v>53055</v>
          </cell>
          <cell r="H111">
            <v>225468.75</v>
          </cell>
        </row>
        <row r="112">
          <cell r="A112" t="str">
            <v>53060</v>
          </cell>
          <cell r="H112">
            <v>11000</v>
          </cell>
        </row>
        <row r="113">
          <cell r="A113" t="str">
            <v>53075</v>
          </cell>
          <cell r="H113">
            <v>0</v>
          </cell>
        </row>
        <row r="114">
          <cell r="A114" t="str">
            <v>53080</v>
          </cell>
          <cell r="H114">
            <v>16231169.099999994</v>
          </cell>
        </row>
        <row r="115">
          <cell r="A115" t="str">
            <v>53090</v>
          </cell>
          <cell r="H115">
            <v>67500</v>
          </cell>
        </row>
        <row r="116">
          <cell r="A116" t="str">
            <v>53095</v>
          </cell>
          <cell r="H116">
            <v>2000</v>
          </cell>
        </row>
        <row r="117">
          <cell r="A117" t="str">
            <v>53110</v>
          </cell>
          <cell r="H117">
            <v>6000</v>
          </cell>
        </row>
        <row r="118">
          <cell r="A118" t="str">
            <v>53120</v>
          </cell>
          <cell r="H118">
            <v>33230058.289999999</v>
          </cell>
        </row>
        <row r="119">
          <cell r="A119" t="str">
            <v>60010</v>
          </cell>
          <cell r="H119">
            <v>1600000</v>
          </cell>
        </row>
        <row r="120">
          <cell r="A120" t="str">
            <v>60020</v>
          </cell>
          <cell r="H120">
            <v>6000</v>
          </cell>
        </row>
        <row r="121">
          <cell r="A121" t="str">
            <v>60025</v>
          </cell>
          <cell r="H121">
            <v>250300</v>
          </cell>
        </row>
        <row r="122">
          <cell r="A122" t="str">
            <v>60030</v>
          </cell>
          <cell r="H122">
            <v>0</v>
          </cell>
        </row>
        <row r="123">
          <cell r="A123" t="str">
            <v>60040</v>
          </cell>
          <cell r="H123">
            <v>10000</v>
          </cell>
        </row>
        <row r="124">
          <cell r="A124" t="str">
            <v>60050</v>
          </cell>
          <cell r="H124">
            <v>17866320</v>
          </cell>
        </row>
        <row r="125">
          <cell r="A125" t="str">
            <v>60060</v>
          </cell>
          <cell r="H125">
            <v>4512242.0999999996</v>
          </cell>
        </row>
        <row r="126">
          <cell r="A126" t="str">
            <v>60070</v>
          </cell>
          <cell r="H126">
            <v>266600</v>
          </cell>
        </row>
        <row r="127">
          <cell r="A127" t="str">
            <v>60075</v>
          </cell>
          <cell r="H127">
            <v>4554372</v>
          </cell>
        </row>
        <row r="128">
          <cell r="A128" t="str">
            <v>60080</v>
          </cell>
          <cell r="H128">
            <v>0</v>
          </cell>
        </row>
        <row r="129">
          <cell r="A129" t="str">
            <v>60100</v>
          </cell>
          <cell r="H129">
            <v>858676.1100000001</v>
          </cell>
        </row>
        <row r="130">
          <cell r="A130" t="str">
            <v>60115</v>
          </cell>
          <cell r="H130">
            <v>3345136.41</v>
          </cell>
        </row>
        <row r="131">
          <cell r="A131" t="str">
            <v>60200</v>
          </cell>
          <cell r="H131">
            <v>0</v>
          </cell>
        </row>
        <row r="132">
          <cell r="A132" t="str">
            <v>60201</v>
          </cell>
          <cell r="H132">
            <v>0</v>
          </cell>
        </row>
        <row r="133">
          <cell r="A133" t="str">
            <v>60205</v>
          </cell>
          <cell r="H133">
            <v>81000</v>
          </cell>
        </row>
        <row r="134">
          <cell r="A134" t="str">
            <v>60206</v>
          </cell>
          <cell r="H134">
            <v>0</v>
          </cell>
        </row>
        <row r="135">
          <cell r="A135" t="str">
            <v>60210</v>
          </cell>
          <cell r="H135">
            <v>0</v>
          </cell>
        </row>
        <row r="136">
          <cell r="A136" t="str">
            <v>60211</v>
          </cell>
          <cell r="H136">
            <v>0</v>
          </cell>
        </row>
        <row r="137">
          <cell r="A137" t="str">
            <v>60213</v>
          </cell>
          <cell r="H137">
            <v>0</v>
          </cell>
        </row>
        <row r="138">
          <cell r="A138" t="str">
            <v>60217</v>
          </cell>
          <cell r="H138">
            <v>52000</v>
          </cell>
        </row>
        <row r="139">
          <cell r="A139" t="str">
            <v>61100</v>
          </cell>
          <cell r="H139">
            <v>2692877.52</v>
          </cell>
        </row>
        <row r="140">
          <cell r="A140" t="str">
            <v>61310</v>
          </cell>
          <cell r="H140">
            <v>76820</v>
          </cell>
        </row>
        <row r="141">
          <cell r="A141" t="str">
            <v>61315</v>
          </cell>
          <cell r="H141">
            <v>47900</v>
          </cell>
        </row>
        <row r="142">
          <cell r="A142" t="str">
            <v>61320</v>
          </cell>
          <cell r="H142">
            <v>6000</v>
          </cell>
        </row>
        <row r="143">
          <cell r="A143" t="str">
            <v>61500</v>
          </cell>
          <cell r="H143">
            <v>131765</v>
          </cell>
        </row>
        <row r="144">
          <cell r="A144" t="str">
            <v>61600</v>
          </cell>
          <cell r="H144">
            <v>6488602.9199999999</v>
          </cell>
        </row>
        <row r="145">
          <cell r="A145" t="str">
            <v>61700</v>
          </cell>
          <cell r="H145">
            <v>479116.64</v>
          </cell>
        </row>
        <row r="146">
          <cell r="A146" t="str">
            <v>62200</v>
          </cell>
          <cell r="H146">
            <v>6300</v>
          </cell>
        </row>
        <row r="147">
          <cell r="A147" t="str">
            <v>62415</v>
          </cell>
          <cell r="H147">
            <v>32500</v>
          </cell>
        </row>
        <row r="148">
          <cell r="A148" t="str">
            <v>62420</v>
          </cell>
          <cell r="H148">
            <v>23685</v>
          </cell>
        </row>
        <row r="149">
          <cell r="A149" t="str">
            <v>62425</v>
          </cell>
          <cell r="H149">
            <v>128000</v>
          </cell>
        </row>
        <row r="150">
          <cell r="A150" t="str">
            <v>62950</v>
          </cell>
          <cell r="H150">
            <v>0</v>
          </cell>
        </row>
        <row r="151">
          <cell r="A151" t="str">
            <v>63110</v>
          </cell>
          <cell r="H151">
            <v>2064500</v>
          </cell>
        </row>
        <row r="152">
          <cell r="A152" t="str">
            <v>63125</v>
          </cell>
          <cell r="H152">
            <v>16100</v>
          </cell>
        </row>
        <row r="153">
          <cell r="A153" t="str">
            <v>63907</v>
          </cell>
          <cell r="H153">
            <v>9450000</v>
          </cell>
        </row>
        <row r="154">
          <cell r="A154" t="str">
            <v>64000</v>
          </cell>
          <cell r="H154">
            <v>2813461.9</v>
          </cell>
        </row>
        <row r="155">
          <cell r="A155" t="str">
            <v>65007</v>
          </cell>
          <cell r="H155">
            <v>-849518.40000000037</v>
          </cell>
        </row>
        <row r="156">
          <cell r="A156" t="str">
            <v>65015</v>
          </cell>
          <cell r="H156">
            <v>0</v>
          </cell>
        </row>
        <row r="157">
          <cell r="A157" t="str">
            <v>65030</v>
          </cell>
          <cell r="H157">
            <v>9092803.9800000004</v>
          </cell>
        </row>
        <row r="158">
          <cell r="A158" t="str">
            <v>65035</v>
          </cell>
          <cell r="H158">
            <v>39039542.810000002</v>
          </cell>
        </row>
        <row r="159">
          <cell r="A159" t="str">
            <v>65095</v>
          </cell>
          <cell r="H159">
            <v>10365876.810000001</v>
          </cell>
        </row>
        <row r="160">
          <cell r="A160" t="str">
            <v>65100</v>
          </cell>
          <cell r="H160">
            <v>2783081.37</v>
          </cell>
        </row>
        <row r="161">
          <cell r="A161" t="str">
            <v>67052</v>
          </cell>
          <cell r="H161">
            <v>321442.59999999998</v>
          </cell>
        </row>
        <row r="162">
          <cell r="A162" t="str">
            <v>67920</v>
          </cell>
          <cell r="H162">
            <v>-13056386.49</v>
          </cell>
        </row>
        <row r="163">
          <cell r="A163" t="str">
            <v>67940</v>
          </cell>
          <cell r="H163">
            <v>0.01</v>
          </cell>
        </row>
        <row r="164">
          <cell r="A164" t="str">
            <v>68502</v>
          </cell>
          <cell r="H164">
            <v>-5750000</v>
          </cell>
        </row>
        <row r="165">
          <cell r="A165" t="str">
            <v>68503</v>
          </cell>
          <cell r="H165">
            <v>1517998.23</v>
          </cell>
        </row>
        <row r="166">
          <cell r="A166" t="str">
            <v>69600</v>
          </cell>
          <cell r="H166">
            <v>1251227.25</v>
          </cell>
        </row>
        <row r="167">
          <cell r="A167" t="str">
            <v>69901</v>
          </cell>
          <cell r="H167">
            <v>278799.92</v>
          </cell>
        </row>
      </sheetData>
      <sheetData sheetId="3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10100</v>
          </cell>
          <cell r="H6">
            <v>174816.78</v>
          </cell>
        </row>
        <row r="7">
          <cell r="A7" t="str">
            <v>10104</v>
          </cell>
          <cell r="H7">
            <v>-7545350</v>
          </cell>
        </row>
        <row r="8">
          <cell r="A8" t="str">
            <v>10105</v>
          </cell>
          <cell r="H8">
            <v>520056540.63999999</v>
          </cell>
        </row>
        <row r="9">
          <cell r="A9" t="str">
            <v>10107</v>
          </cell>
          <cell r="H9">
            <v>241479066.40000001</v>
          </cell>
        </row>
        <row r="10">
          <cell r="A10" t="str">
            <v>10160</v>
          </cell>
          <cell r="H10">
            <v>20280000</v>
          </cell>
        </row>
        <row r="11">
          <cell r="A11" t="str">
            <v>10200</v>
          </cell>
          <cell r="H11">
            <v>11745.64</v>
          </cell>
        </row>
        <row r="12">
          <cell r="A12" t="str">
            <v>10210</v>
          </cell>
          <cell r="H12">
            <v>73124.13</v>
          </cell>
        </row>
        <row r="13">
          <cell r="A13" t="str">
            <v>10215</v>
          </cell>
          <cell r="H13">
            <v>1947614.14</v>
          </cell>
        </row>
        <row r="14">
          <cell r="A14" t="str">
            <v>10221</v>
          </cell>
          <cell r="H14">
            <v>989850.45</v>
          </cell>
        </row>
        <row r="15">
          <cell r="A15" t="str">
            <v>10223</v>
          </cell>
          <cell r="H15">
            <v>-960669.5</v>
          </cell>
        </row>
        <row r="16">
          <cell r="A16" t="str">
            <v>10225</v>
          </cell>
          <cell r="H16">
            <v>1016657.25</v>
          </cell>
        </row>
        <row r="17">
          <cell r="A17" t="str">
            <v>10227</v>
          </cell>
          <cell r="H17">
            <v>0</v>
          </cell>
        </row>
        <row r="18">
          <cell r="A18" t="str">
            <v>10230</v>
          </cell>
          <cell r="H18">
            <v>2593.08</v>
          </cell>
        </row>
        <row r="19">
          <cell r="A19" t="str">
            <v>10235</v>
          </cell>
          <cell r="H19">
            <v>4838975.16</v>
          </cell>
        </row>
        <row r="20">
          <cell r="A20" t="str">
            <v>10240</v>
          </cell>
          <cell r="H20">
            <v>31493.46</v>
          </cell>
        </row>
        <row r="21">
          <cell r="A21" t="str">
            <v>10245</v>
          </cell>
          <cell r="H21">
            <v>247848.59</v>
          </cell>
        </row>
        <row r="22">
          <cell r="A22" t="str">
            <v>10253</v>
          </cell>
          <cell r="H22">
            <v>37858624</v>
          </cell>
        </row>
        <row r="23">
          <cell r="A23" t="str">
            <v>10255</v>
          </cell>
          <cell r="H23">
            <v>268169.90999999997</v>
          </cell>
        </row>
        <row r="24">
          <cell r="A24" t="str">
            <v>10260</v>
          </cell>
          <cell r="H24">
            <v>2034171.87</v>
          </cell>
        </row>
        <row r="25">
          <cell r="A25" t="str">
            <v>10265</v>
          </cell>
          <cell r="H25">
            <v>223132.71</v>
          </cell>
        </row>
        <row r="26">
          <cell r="A26" t="str">
            <v>10270</v>
          </cell>
          <cell r="H26">
            <v>114720.73</v>
          </cell>
        </row>
        <row r="27">
          <cell r="A27" t="str">
            <v>10280</v>
          </cell>
          <cell r="H27">
            <v>563903.84</v>
          </cell>
        </row>
        <row r="28">
          <cell r="A28" t="str">
            <v>10285</v>
          </cell>
          <cell r="H28">
            <v>5940610.0099999998</v>
          </cell>
        </row>
        <row r="29">
          <cell r="A29" t="str">
            <v>10293</v>
          </cell>
          <cell r="H29">
            <v>-2069159.5</v>
          </cell>
        </row>
        <row r="30">
          <cell r="A30" t="str">
            <v>10305</v>
          </cell>
          <cell r="H30">
            <v>4980.08</v>
          </cell>
        </row>
        <row r="31">
          <cell r="A31" t="str">
            <v>10310</v>
          </cell>
          <cell r="H31">
            <v>408667.71</v>
          </cell>
        </row>
        <row r="32">
          <cell r="A32" t="str">
            <v>10316</v>
          </cell>
          <cell r="H32">
            <v>766135.5</v>
          </cell>
        </row>
        <row r="33">
          <cell r="A33" t="str">
            <v>10320</v>
          </cell>
          <cell r="H33">
            <v>53.75</v>
          </cell>
        </row>
        <row r="34">
          <cell r="A34" t="str">
            <v>10341</v>
          </cell>
          <cell r="H34">
            <v>2495130.4900000002</v>
          </cell>
        </row>
        <row r="35">
          <cell r="A35" t="str">
            <v>10342</v>
          </cell>
          <cell r="H35">
            <v>39614157.359999999</v>
          </cell>
        </row>
        <row r="36">
          <cell r="A36" t="str">
            <v>10497</v>
          </cell>
          <cell r="H36">
            <v>1422924.68</v>
          </cell>
        </row>
        <row r="37">
          <cell r="A37" t="str">
            <v>10500</v>
          </cell>
          <cell r="H37">
            <v>15230000</v>
          </cell>
        </row>
        <row r="38">
          <cell r="A38" t="str">
            <v>11000</v>
          </cell>
          <cell r="H38">
            <v>156264272.31999999</v>
          </cell>
        </row>
        <row r="39">
          <cell r="A39" t="str">
            <v>11020</v>
          </cell>
          <cell r="H39">
            <v>501558.17</v>
          </cell>
        </row>
        <row r="40">
          <cell r="A40" t="str">
            <v>12100</v>
          </cell>
          <cell r="H40">
            <v>94581089.150000006</v>
          </cell>
        </row>
        <row r="41">
          <cell r="A41" t="str">
            <v>13002</v>
          </cell>
          <cell r="H41">
            <v>1440000</v>
          </cell>
        </row>
        <row r="42">
          <cell r="A42" t="str">
            <v>13003</v>
          </cell>
          <cell r="H42">
            <v>5163400</v>
          </cell>
        </row>
        <row r="43">
          <cell r="A43" t="str">
            <v>13004</v>
          </cell>
          <cell r="H43">
            <v>49500.4</v>
          </cell>
        </row>
        <row r="44">
          <cell r="A44" t="str">
            <v>13007</v>
          </cell>
          <cell r="H44">
            <v>82015.399999999994</v>
          </cell>
        </row>
        <row r="45">
          <cell r="A45" t="str">
            <v>13008</v>
          </cell>
          <cell r="H45">
            <v>12561503.369999999</v>
          </cell>
        </row>
        <row r="46">
          <cell r="A46" t="str">
            <v>13010</v>
          </cell>
          <cell r="H46">
            <v>18458333.32</v>
          </cell>
        </row>
        <row r="47">
          <cell r="A47" t="str">
            <v>13120</v>
          </cell>
          <cell r="H47">
            <v>15587602.92</v>
          </cell>
        </row>
        <row r="48">
          <cell r="A48" t="str">
            <v>13130</v>
          </cell>
          <cell r="H48">
            <v>4889575.54</v>
          </cell>
        </row>
        <row r="49">
          <cell r="A49" t="str">
            <v>13135</v>
          </cell>
          <cell r="H49">
            <v>1600000.11</v>
          </cell>
        </row>
        <row r="50">
          <cell r="A50" t="str">
            <v>13200</v>
          </cell>
          <cell r="H50">
            <v>6243492.71</v>
          </cell>
        </row>
        <row r="51">
          <cell r="A51" t="str">
            <v>13400</v>
          </cell>
          <cell r="H51">
            <v>305145909.02999997</v>
          </cell>
        </row>
        <row r="52">
          <cell r="A52" t="str">
            <v>14000</v>
          </cell>
          <cell r="H52">
            <v>-125319791.42</v>
          </cell>
        </row>
        <row r="53">
          <cell r="A53" t="str">
            <v>14001</v>
          </cell>
          <cell r="H53">
            <v>-186070180.63</v>
          </cell>
        </row>
        <row r="54">
          <cell r="A54" t="str">
            <v>14010</v>
          </cell>
          <cell r="H54">
            <v>37218036.689999998</v>
          </cell>
        </row>
        <row r="55">
          <cell r="A55" t="str">
            <v>14014</v>
          </cell>
          <cell r="H55">
            <v>32724180.43</v>
          </cell>
        </row>
        <row r="56">
          <cell r="A56" t="str">
            <v>14015</v>
          </cell>
          <cell r="H56">
            <v>0</v>
          </cell>
        </row>
        <row r="57">
          <cell r="A57" t="str">
            <v>14016</v>
          </cell>
          <cell r="H57">
            <v>805000</v>
          </cell>
        </row>
        <row r="58">
          <cell r="A58" t="str">
            <v>15000</v>
          </cell>
          <cell r="H58">
            <v>26403926.010000002</v>
          </cell>
        </row>
        <row r="59">
          <cell r="A59" t="str">
            <v>15100</v>
          </cell>
          <cell r="H59">
            <v>88402001</v>
          </cell>
        </row>
        <row r="60">
          <cell r="A60" t="str">
            <v>15200</v>
          </cell>
          <cell r="H60">
            <v>254750375.25999999</v>
          </cell>
        </row>
        <row r="61">
          <cell r="A61" t="str">
            <v>15300</v>
          </cell>
          <cell r="H61">
            <v>16565780</v>
          </cell>
        </row>
        <row r="62">
          <cell r="A62" t="str">
            <v>15400</v>
          </cell>
          <cell r="H62">
            <v>174166123.81</v>
          </cell>
        </row>
        <row r="63">
          <cell r="A63" t="str">
            <v>15405</v>
          </cell>
          <cell r="H63">
            <v>17904365.100000001</v>
          </cell>
        </row>
        <row r="64">
          <cell r="A64" t="str">
            <v>15410</v>
          </cell>
          <cell r="H64">
            <v>2410161.5</v>
          </cell>
        </row>
        <row r="65">
          <cell r="A65" t="str">
            <v>15500</v>
          </cell>
          <cell r="H65">
            <v>18388298.050000001</v>
          </cell>
        </row>
        <row r="66">
          <cell r="A66" t="str">
            <v>15501</v>
          </cell>
          <cell r="H66">
            <v>363793880.81999999</v>
          </cell>
        </row>
        <row r="67">
          <cell r="A67" t="str">
            <v>15505</v>
          </cell>
          <cell r="H67">
            <v>8503671.5099999998</v>
          </cell>
        </row>
        <row r="68">
          <cell r="A68" t="str">
            <v>16000</v>
          </cell>
          <cell r="H68">
            <v>-25729894.710000001</v>
          </cell>
        </row>
        <row r="69">
          <cell r="A69" t="str">
            <v>16100</v>
          </cell>
          <cell r="H69">
            <v>-87566688.560000002</v>
          </cell>
        </row>
        <row r="70">
          <cell r="A70" t="str">
            <v>16200</v>
          </cell>
          <cell r="H70">
            <v>-167484027.13999999</v>
          </cell>
        </row>
        <row r="71">
          <cell r="A71" t="str">
            <v>16300</v>
          </cell>
          <cell r="H71">
            <v>-12930446.59</v>
          </cell>
        </row>
        <row r="72">
          <cell r="A72" t="str">
            <v>16500</v>
          </cell>
          <cell r="H72">
            <v>-17904365.100000001</v>
          </cell>
        </row>
        <row r="73">
          <cell r="A73" t="str">
            <v>17000</v>
          </cell>
          <cell r="H73">
            <v>170606570.56999999</v>
          </cell>
        </row>
        <row r="74">
          <cell r="A74" t="str">
            <v>19004</v>
          </cell>
          <cell r="H74">
            <v>17413421.199999999</v>
          </cell>
        </row>
        <row r="75">
          <cell r="A75" t="str">
            <v>19006</v>
          </cell>
          <cell r="H75">
            <v>142575</v>
          </cell>
        </row>
        <row r="76">
          <cell r="A76" t="str">
            <v>69904</v>
          </cell>
          <cell r="H76">
            <v>-16048298.060000001</v>
          </cell>
        </row>
        <row r="77">
          <cell r="A77" t="str">
            <v>20000</v>
          </cell>
          <cell r="H77">
            <v>-213303760.16</v>
          </cell>
        </row>
        <row r="78">
          <cell r="A78" t="str">
            <v>20005</v>
          </cell>
          <cell r="H78">
            <v>-100461606.02</v>
          </cell>
        </row>
        <row r="79">
          <cell r="A79" t="str">
            <v>20010</v>
          </cell>
          <cell r="H79">
            <v>-8062500</v>
          </cell>
        </row>
        <row r="80">
          <cell r="A80" t="str">
            <v>22100</v>
          </cell>
          <cell r="H80">
            <v>-9172426</v>
          </cell>
        </row>
        <row r="81">
          <cell r="A81" t="str">
            <v>23000</v>
          </cell>
          <cell r="H81">
            <v>-57775129.310000002</v>
          </cell>
        </row>
        <row r="82">
          <cell r="A82" t="str">
            <v>23010</v>
          </cell>
          <cell r="H82">
            <v>-434560973.00999999</v>
          </cell>
        </row>
        <row r="83">
          <cell r="A83" t="str">
            <v>23015</v>
          </cell>
          <cell r="H83">
            <v>-3244946.07</v>
          </cell>
        </row>
        <row r="84">
          <cell r="A84" t="str">
            <v>23040</v>
          </cell>
          <cell r="H84">
            <v>-7399009.7199999997</v>
          </cell>
        </row>
        <row r="85">
          <cell r="A85" t="str">
            <v>23400</v>
          </cell>
          <cell r="H85">
            <v>-1083677157.23</v>
          </cell>
        </row>
        <row r="86">
          <cell r="A86" t="str">
            <v>23405</v>
          </cell>
          <cell r="H86">
            <v>846695382.23000002</v>
          </cell>
        </row>
        <row r="87">
          <cell r="A87" t="str">
            <v>23410</v>
          </cell>
          <cell r="H87">
            <v>51599186.399999999</v>
          </cell>
        </row>
        <row r="88">
          <cell r="A88" t="str">
            <v>23420</v>
          </cell>
          <cell r="H88">
            <v>-24656424.949999999</v>
          </cell>
        </row>
        <row r="89">
          <cell r="A89" t="str">
            <v>23425</v>
          </cell>
          <cell r="H89">
            <v>-42242924.219999999</v>
          </cell>
        </row>
        <row r="90">
          <cell r="A90" t="str">
            <v>23889</v>
          </cell>
          <cell r="H90">
            <v>0</v>
          </cell>
        </row>
        <row r="91">
          <cell r="A91" t="str">
            <v>24010</v>
          </cell>
          <cell r="H91">
            <v>-6790298.5</v>
          </cell>
        </row>
        <row r="92">
          <cell r="A92" t="str">
            <v>24100</v>
          </cell>
          <cell r="H92">
            <v>-13578387</v>
          </cell>
        </row>
        <row r="93">
          <cell r="A93" t="str">
            <v>30005</v>
          </cell>
          <cell r="H93">
            <v>96238158.140000001</v>
          </cell>
        </row>
        <row r="94">
          <cell r="A94" t="str">
            <v>30035</v>
          </cell>
          <cell r="H94">
            <v>101787277.34999999</v>
          </cell>
        </row>
        <row r="95">
          <cell r="A95" t="str">
            <v>30040</v>
          </cell>
          <cell r="H95">
            <v>-100000000</v>
          </cell>
        </row>
        <row r="96">
          <cell r="A96" t="str">
            <v>32000</v>
          </cell>
          <cell r="H96">
            <v>-1111090970.6300001</v>
          </cell>
        </row>
        <row r="97">
          <cell r="A97" t="str">
            <v>40015</v>
          </cell>
          <cell r="H97">
            <v>-1638139.53</v>
          </cell>
        </row>
        <row r="98">
          <cell r="A98" t="str">
            <v>40025</v>
          </cell>
          <cell r="H98">
            <v>-40971906.979999997</v>
          </cell>
        </row>
        <row r="99">
          <cell r="A99" t="str">
            <v>40055</v>
          </cell>
          <cell r="H99">
            <v>-7240716.3899999997</v>
          </cell>
        </row>
        <row r="100">
          <cell r="A100" t="str">
            <v>40056</v>
          </cell>
          <cell r="H100">
            <v>-318104.65000000002</v>
          </cell>
        </row>
        <row r="101">
          <cell r="A101" t="str">
            <v>40085</v>
          </cell>
          <cell r="H101">
            <v>-51483.95</v>
          </cell>
        </row>
        <row r="102">
          <cell r="A102" t="str">
            <v>40155</v>
          </cell>
          <cell r="H102">
            <v>-64801682.240000002</v>
          </cell>
        </row>
        <row r="103">
          <cell r="A103" t="str">
            <v>49300</v>
          </cell>
          <cell r="H103">
            <v>-3390.03</v>
          </cell>
        </row>
        <row r="104">
          <cell r="A104" t="str">
            <v>49405</v>
          </cell>
          <cell r="H104">
            <v>-60200431.150000006</v>
          </cell>
        </row>
        <row r="105">
          <cell r="A105" t="str">
            <v>53030</v>
          </cell>
          <cell r="H105">
            <v>658500</v>
          </cell>
        </row>
        <row r="106">
          <cell r="A106" t="str">
            <v>53040</v>
          </cell>
          <cell r="H106">
            <v>114000</v>
          </cell>
        </row>
        <row r="107">
          <cell r="A107" t="str">
            <v>53045</v>
          </cell>
          <cell r="H107">
            <v>38866178.399999999</v>
          </cell>
        </row>
        <row r="108">
          <cell r="A108" t="str">
            <v>53055</v>
          </cell>
          <cell r="H108">
            <v>225468.75</v>
          </cell>
        </row>
        <row r="109">
          <cell r="A109" t="str">
            <v>53060</v>
          </cell>
          <cell r="H109">
            <v>12500</v>
          </cell>
        </row>
        <row r="110">
          <cell r="A110" t="str">
            <v>53075</v>
          </cell>
          <cell r="H110">
            <v>65000</v>
          </cell>
        </row>
        <row r="111">
          <cell r="A111" t="str">
            <v>53080</v>
          </cell>
          <cell r="H111">
            <v>5887296.0499999998</v>
          </cell>
        </row>
        <row r="112">
          <cell r="A112" t="str">
            <v>53090</v>
          </cell>
          <cell r="H112">
            <v>6800</v>
          </cell>
        </row>
        <row r="113">
          <cell r="A113" t="str">
            <v>53095</v>
          </cell>
          <cell r="H113">
            <v>4000</v>
          </cell>
        </row>
        <row r="114">
          <cell r="A114" t="str">
            <v>53120</v>
          </cell>
          <cell r="H114">
            <v>37601228.419999994</v>
          </cell>
        </row>
        <row r="115">
          <cell r="A115" t="str">
            <v>60010</v>
          </cell>
          <cell r="H115">
            <v>1600000</v>
          </cell>
        </row>
        <row r="116">
          <cell r="A116" t="str">
            <v>60020</v>
          </cell>
          <cell r="H116">
            <v>13000</v>
          </cell>
        </row>
        <row r="117">
          <cell r="A117" t="str">
            <v>60025</v>
          </cell>
          <cell r="H117">
            <v>-340000</v>
          </cell>
        </row>
        <row r="118">
          <cell r="A118" t="str">
            <v>60030</v>
          </cell>
          <cell r="H118">
            <v>83000</v>
          </cell>
        </row>
        <row r="119">
          <cell r="A119" t="str">
            <v>60050</v>
          </cell>
          <cell r="H119">
            <v>27394905</v>
          </cell>
        </row>
        <row r="120">
          <cell r="A120" t="str">
            <v>60060</v>
          </cell>
          <cell r="H120">
            <v>8152514.9999999991</v>
          </cell>
        </row>
        <row r="121">
          <cell r="A121" t="str">
            <v>60070</v>
          </cell>
          <cell r="H121">
            <v>-136000</v>
          </cell>
        </row>
        <row r="122">
          <cell r="A122" t="str">
            <v>60075</v>
          </cell>
          <cell r="H122">
            <v>10000</v>
          </cell>
        </row>
        <row r="123">
          <cell r="A123" t="str">
            <v>60080</v>
          </cell>
          <cell r="H123">
            <v>252738.06</v>
          </cell>
        </row>
        <row r="124">
          <cell r="A124" t="str">
            <v>60100</v>
          </cell>
          <cell r="H124">
            <v>1138620</v>
          </cell>
        </row>
        <row r="125">
          <cell r="A125" t="str">
            <v>60200</v>
          </cell>
          <cell r="H125">
            <v>460820</v>
          </cell>
        </row>
        <row r="126">
          <cell r="A126" t="str">
            <v>60201</v>
          </cell>
          <cell r="H126">
            <v>107000</v>
          </cell>
        </row>
        <row r="127">
          <cell r="A127" t="str">
            <v>60205</v>
          </cell>
          <cell r="H127">
            <v>81000</v>
          </cell>
        </row>
        <row r="128">
          <cell r="A128" t="str">
            <v>60206</v>
          </cell>
          <cell r="H128">
            <v>-2634900</v>
          </cell>
        </row>
        <row r="129">
          <cell r="A129" t="str">
            <v>60210</v>
          </cell>
          <cell r="H129">
            <v>970707.6100000001</v>
          </cell>
        </row>
        <row r="130">
          <cell r="A130" t="str">
            <v>60211</v>
          </cell>
          <cell r="H130">
            <v>-4957.5</v>
          </cell>
        </row>
        <row r="131">
          <cell r="A131" t="str">
            <v>60213</v>
          </cell>
          <cell r="H131">
            <v>417600</v>
          </cell>
        </row>
        <row r="132">
          <cell r="A132" t="str">
            <v>60217</v>
          </cell>
          <cell r="H132">
            <v>1499484.6</v>
          </cell>
        </row>
        <row r="133">
          <cell r="A133" t="str">
            <v>61100</v>
          </cell>
          <cell r="H133">
            <v>586910.6</v>
          </cell>
        </row>
        <row r="134">
          <cell r="A134" t="str">
            <v>61310</v>
          </cell>
          <cell r="H134">
            <v>102365</v>
          </cell>
        </row>
        <row r="135">
          <cell r="A135" t="str">
            <v>61315</v>
          </cell>
          <cell r="H135">
            <v>40500</v>
          </cell>
        </row>
        <row r="136">
          <cell r="A136" t="str">
            <v>61320</v>
          </cell>
          <cell r="H136">
            <v>58400</v>
          </cell>
        </row>
        <row r="137">
          <cell r="A137" t="str">
            <v>61500</v>
          </cell>
          <cell r="H137">
            <v>66100</v>
          </cell>
        </row>
        <row r="138">
          <cell r="A138" t="str">
            <v>61600</v>
          </cell>
          <cell r="H138">
            <v>8359283.3799999999</v>
          </cell>
        </row>
        <row r="139">
          <cell r="A139" t="str">
            <v>61700</v>
          </cell>
          <cell r="H139">
            <v>481408.31</v>
          </cell>
        </row>
        <row r="140">
          <cell r="A140" t="str">
            <v>62200</v>
          </cell>
          <cell r="H140">
            <v>13500</v>
          </cell>
        </row>
        <row r="141">
          <cell r="A141" t="str">
            <v>62420</v>
          </cell>
          <cell r="H141">
            <v>-8400</v>
          </cell>
        </row>
        <row r="142">
          <cell r="A142" t="str">
            <v>62425</v>
          </cell>
          <cell r="H142">
            <v>65500</v>
          </cell>
        </row>
        <row r="143">
          <cell r="A143" t="str">
            <v>62950</v>
          </cell>
          <cell r="H143">
            <v>0</v>
          </cell>
        </row>
        <row r="144">
          <cell r="A144" t="str">
            <v>63110</v>
          </cell>
          <cell r="H144">
            <v>2577925</v>
          </cell>
        </row>
        <row r="145">
          <cell r="A145" t="str">
            <v>63120</v>
          </cell>
          <cell r="H145">
            <v>0</v>
          </cell>
        </row>
        <row r="146">
          <cell r="A146" t="str">
            <v>63125</v>
          </cell>
          <cell r="H146">
            <v>38600</v>
          </cell>
        </row>
        <row r="147">
          <cell r="A147" t="str">
            <v>63907</v>
          </cell>
          <cell r="H147">
            <v>9434000</v>
          </cell>
        </row>
        <row r="148">
          <cell r="A148" t="str">
            <v>64000</v>
          </cell>
          <cell r="H148">
            <v>2883128.57</v>
          </cell>
        </row>
        <row r="149">
          <cell r="A149" t="str">
            <v>65007</v>
          </cell>
          <cell r="H149">
            <v>-2466698.5300000003</v>
          </cell>
        </row>
        <row r="150">
          <cell r="A150" t="str">
            <v>65015</v>
          </cell>
          <cell r="H150">
            <v>1999840</v>
          </cell>
        </row>
        <row r="151">
          <cell r="A151" t="str">
            <v>65030</v>
          </cell>
          <cell r="H151">
            <v>9450127.9100000001</v>
          </cell>
        </row>
        <row r="152">
          <cell r="A152" t="str">
            <v>65035</v>
          </cell>
          <cell r="H152">
            <v>27891534.939999998</v>
          </cell>
        </row>
        <row r="153">
          <cell r="A153" t="str">
            <v>65095</v>
          </cell>
          <cell r="H153">
            <v>6314445</v>
          </cell>
        </row>
        <row r="154">
          <cell r="A154" t="str">
            <v>65100</v>
          </cell>
          <cell r="H154">
            <v>2861282.51</v>
          </cell>
        </row>
        <row r="155">
          <cell r="A155" t="str">
            <v>67920</v>
          </cell>
          <cell r="H155">
            <v>-87500</v>
          </cell>
        </row>
        <row r="156">
          <cell r="A156" t="str">
            <v>68503</v>
          </cell>
          <cell r="H156">
            <v>700000</v>
          </cell>
        </row>
        <row r="157">
          <cell r="A157" t="str">
            <v>69600</v>
          </cell>
          <cell r="H157">
            <v>-179850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7"/>
      <sheetName val="PL"/>
      <sheetName val="BS"/>
      <sheetName val="TB"/>
      <sheetName val="FX Rate"/>
      <sheetName val="Apr-26"/>
      <sheetName val="Mar-26"/>
      <sheetName val="Feb-26"/>
      <sheetName val="Jan-26"/>
      <sheetName val="Dec-25"/>
      <sheetName val="Nov-25"/>
      <sheetName val="Oct-25"/>
      <sheetName val="Sep-25"/>
      <sheetName val="Aug-25"/>
      <sheetName val="Jul-25"/>
      <sheetName val="Jun-25"/>
      <sheetName val="May-25"/>
      <sheetName val="Apr-25"/>
      <sheetName val="Mar-25"/>
      <sheetName val="Feb-25"/>
      <sheetName val="Jan-25"/>
      <sheetName val="Dec-24"/>
      <sheetName val="Nov-24"/>
      <sheetName val="Oct-24"/>
      <sheetName val="Sep-24"/>
      <sheetName val="Aug-24"/>
      <sheetName val="Jul-24"/>
      <sheetName val="Jun-24"/>
      <sheetName val="May-24"/>
      <sheetName val="Apr-24"/>
      <sheetName val="Mar-24"/>
      <sheetName val="Feb-24"/>
      <sheetName val="Jan-2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16598.45</v>
          </cell>
        </row>
        <row r="7">
          <cell r="A7" t="str">
            <v>10300</v>
          </cell>
          <cell r="H7">
            <v>2736.32</v>
          </cell>
        </row>
        <row r="8">
          <cell r="A8" t="str">
            <v>10400</v>
          </cell>
          <cell r="H8">
            <v>129.76</v>
          </cell>
        </row>
        <row r="9">
          <cell r="A9" t="str">
            <v>10401</v>
          </cell>
          <cell r="H9">
            <v>31496.03</v>
          </cell>
        </row>
        <row r="10">
          <cell r="A10" t="str">
            <v>11000</v>
          </cell>
          <cell r="H10">
            <v>11273.8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13004</v>
          </cell>
          <cell r="H12">
            <v>1000</v>
          </cell>
        </row>
        <row r="13">
          <cell r="A13" t="str">
            <v>13120</v>
          </cell>
          <cell r="H13">
            <v>20</v>
          </cell>
        </row>
        <row r="14">
          <cell r="A14" t="str">
            <v>13200</v>
          </cell>
          <cell r="H14">
            <v>410.4</v>
          </cell>
        </row>
        <row r="15">
          <cell r="A15" t="str">
            <v>15000</v>
          </cell>
          <cell r="H15">
            <v>1932.46</v>
          </cell>
        </row>
        <row r="16">
          <cell r="A16" t="str">
            <v>15020</v>
          </cell>
          <cell r="H16">
            <v>5548.24</v>
          </cell>
        </row>
        <row r="17">
          <cell r="A17" t="str">
            <v>16000</v>
          </cell>
          <cell r="H17">
            <v>-872.74</v>
          </cell>
        </row>
        <row r="18">
          <cell r="A18" t="str">
            <v>16020</v>
          </cell>
          <cell r="H18">
            <v>-4658.25</v>
          </cell>
        </row>
        <row r="19">
          <cell r="A19" t="str">
            <v>20030</v>
          </cell>
          <cell r="H19">
            <v>-844.47</v>
          </cell>
        </row>
        <row r="20">
          <cell r="A20" t="str">
            <v>20035</v>
          </cell>
          <cell r="H20">
            <v>33.33</v>
          </cell>
        </row>
        <row r="21">
          <cell r="A21" t="str">
            <v>20045</v>
          </cell>
          <cell r="H21">
            <v>-8667.52</v>
          </cell>
        </row>
        <row r="22">
          <cell r="A22" t="str">
            <v>20095</v>
          </cell>
          <cell r="H22">
            <v>-60553.42</v>
          </cell>
        </row>
        <row r="23">
          <cell r="A23" t="str">
            <v>23040</v>
          </cell>
          <cell r="H23">
            <v>-513.66</v>
          </cell>
        </row>
        <row r="24">
          <cell r="A24" t="str">
            <v>23300</v>
          </cell>
          <cell r="H24">
            <v>-54.29</v>
          </cell>
        </row>
        <row r="25">
          <cell r="A25" t="str">
            <v>23406</v>
          </cell>
          <cell r="H25">
            <v>8808.83</v>
          </cell>
        </row>
        <row r="26">
          <cell r="A26" t="str">
            <v>24510</v>
          </cell>
          <cell r="H26">
            <v>-21637.42</v>
          </cell>
        </row>
        <row r="27">
          <cell r="A27" t="str">
            <v>24600</v>
          </cell>
          <cell r="H27">
            <v>-201433.06</v>
          </cell>
        </row>
        <row r="28">
          <cell r="A28" t="str">
            <v>29000</v>
          </cell>
          <cell r="H28">
            <v>-3285.86</v>
          </cell>
        </row>
        <row r="29">
          <cell r="A29" t="str">
            <v>29010</v>
          </cell>
          <cell r="H29">
            <v>-1804.96</v>
          </cell>
        </row>
        <row r="30">
          <cell r="A30" t="str">
            <v>30022</v>
          </cell>
          <cell r="H30">
            <v>-388778.01</v>
          </cell>
        </row>
        <row r="31">
          <cell r="A31" t="str">
            <v>30045</v>
          </cell>
          <cell r="H31">
            <v>-300</v>
          </cell>
        </row>
        <row r="32">
          <cell r="A32" t="str">
            <v>30510</v>
          </cell>
          <cell r="H32">
            <v>-446102.03</v>
          </cell>
        </row>
        <row r="33">
          <cell r="A33" t="str">
            <v>30540</v>
          </cell>
          <cell r="H33">
            <v>217687.62</v>
          </cell>
        </row>
        <row r="34">
          <cell r="A34" t="str">
            <v>32000</v>
          </cell>
          <cell r="H34">
            <v>820867.22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-816.76</v>
          </cell>
        </row>
        <row r="37">
          <cell r="A37" t="str">
            <v>16060</v>
          </cell>
          <cell r="H37">
            <v>32.21</v>
          </cell>
        </row>
        <row r="38">
          <cell r="A38" t="str">
            <v>51270</v>
          </cell>
          <cell r="H38">
            <v>1437.45</v>
          </cell>
        </row>
        <row r="39">
          <cell r="A39" t="str">
            <v>51280</v>
          </cell>
          <cell r="H39">
            <v>13274.79</v>
          </cell>
        </row>
        <row r="40">
          <cell r="A40" t="str">
            <v>51312</v>
          </cell>
          <cell r="H40">
            <v>95.63</v>
          </cell>
        </row>
        <row r="41">
          <cell r="A41" t="str">
            <v>51410</v>
          </cell>
          <cell r="H41">
            <v>256.83</v>
          </cell>
        </row>
        <row r="42">
          <cell r="A42" t="str">
            <v>51490</v>
          </cell>
          <cell r="H42">
            <v>92.47</v>
          </cell>
        </row>
        <row r="43">
          <cell r="A43" t="str">
            <v>51530</v>
          </cell>
          <cell r="H43">
            <v>110.07</v>
          </cell>
        </row>
        <row r="44">
          <cell r="A44" t="str">
            <v>51610</v>
          </cell>
          <cell r="H44">
            <v>92.05</v>
          </cell>
        </row>
        <row r="45">
          <cell r="A45" t="str">
            <v>53045</v>
          </cell>
          <cell r="H45">
            <v>930.6</v>
          </cell>
        </row>
        <row r="46">
          <cell r="A46" t="str">
            <v>53080</v>
          </cell>
          <cell r="H46">
            <v>1012.35</v>
          </cell>
        </row>
        <row r="47">
          <cell r="A47" t="str">
            <v>60010</v>
          </cell>
          <cell r="H47">
            <v>725.32</v>
          </cell>
        </row>
        <row r="48">
          <cell r="A48" t="str">
            <v>60200</v>
          </cell>
          <cell r="H48">
            <v>671.64</v>
          </cell>
        </row>
        <row r="49">
          <cell r="A49" t="str">
            <v>61000</v>
          </cell>
          <cell r="H49">
            <v>35.75</v>
          </cell>
        </row>
        <row r="50">
          <cell r="A50" t="str">
            <v>61600</v>
          </cell>
          <cell r="H50">
            <v>979.91</v>
          </cell>
        </row>
        <row r="51">
          <cell r="A51" t="str">
            <v>61700</v>
          </cell>
          <cell r="H51">
            <v>189.06</v>
          </cell>
        </row>
        <row r="52">
          <cell r="A52" t="str">
            <v>63100</v>
          </cell>
          <cell r="H52">
            <v>30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9453.7900000000009</v>
          </cell>
        </row>
        <row r="7">
          <cell r="A7" t="str">
            <v>10300</v>
          </cell>
          <cell r="H7">
            <v>2415.27</v>
          </cell>
        </row>
        <row r="8">
          <cell r="A8" t="str">
            <v>10400</v>
          </cell>
          <cell r="H8">
            <v>129.76</v>
          </cell>
        </row>
        <row r="9">
          <cell r="A9" t="str">
            <v>10401</v>
          </cell>
          <cell r="H9">
            <v>21704.65</v>
          </cell>
        </row>
        <row r="10">
          <cell r="A10" t="str">
            <v>11000</v>
          </cell>
          <cell r="H10">
            <v>11485.12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40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-840.53</v>
          </cell>
        </row>
        <row r="17">
          <cell r="A17" t="str">
            <v>16020</v>
          </cell>
          <cell r="H17">
            <v>-4565.78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-7862.52</v>
          </cell>
        </row>
        <row r="21">
          <cell r="A21" t="str">
            <v>20095</v>
          </cell>
          <cell r="H21">
            <v>-56602.57</v>
          </cell>
        </row>
        <row r="22">
          <cell r="A22" t="str">
            <v>23040</v>
          </cell>
          <cell r="H22">
            <v>-256.83</v>
          </cell>
        </row>
        <row r="23">
          <cell r="A23" t="str">
            <v>23300</v>
          </cell>
          <cell r="H23">
            <v>-108.6</v>
          </cell>
        </row>
        <row r="24">
          <cell r="A24" t="str">
            <v>23406</v>
          </cell>
          <cell r="H24">
            <v>8468.27</v>
          </cell>
        </row>
        <row r="25">
          <cell r="A25" t="str">
            <v>24510</v>
          </cell>
          <cell r="H25">
            <v>-21637.42</v>
          </cell>
        </row>
        <row r="26">
          <cell r="A26" t="str">
            <v>24600</v>
          </cell>
          <cell r="H26">
            <v>-198158.27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-1806.16</v>
          </cell>
        </row>
        <row r="29">
          <cell r="A29" t="str">
            <v>30022</v>
          </cell>
          <cell r="H29">
            <v>-359673.25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-992.86</v>
          </cell>
        </row>
        <row r="37">
          <cell r="A37" t="str">
            <v>49401</v>
          </cell>
          <cell r="H37">
            <v>0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51022</v>
          </cell>
          <cell r="H39">
            <v>125.37</v>
          </cell>
        </row>
        <row r="40">
          <cell r="A40" t="str">
            <v>51205</v>
          </cell>
          <cell r="H40">
            <v>0</v>
          </cell>
        </row>
        <row r="41">
          <cell r="A41" t="str">
            <v>51270</v>
          </cell>
          <cell r="H41">
            <v>1438.05</v>
          </cell>
        </row>
        <row r="42">
          <cell r="A42" t="str">
            <v>51280</v>
          </cell>
          <cell r="H42">
            <v>13293.79</v>
          </cell>
        </row>
        <row r="43">
          <cell r="A43" t="str">
            <v>51290</v>
          </cell>
          <cell r="H43">
            <v>0</v>
          </cell>
        </row>
        <row r="44">
          <cell r="A44" t="str">
            <v>51312</v>
          </cell>
          <cell r="H44">
            <v>105.83</v>
          </cell>
        </row>
        <row r="45">
          <cell r="A45" t="str">
            <v>51410</v>
          </cell>
          <cell r="H45">
            <v>0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110.07</v>
          </cell>
        </row>
        <row r="48">
          <cell r="A48" t="str">
            <v>51610</v>
          </cell>
          <cell r="H48">
            <v>3092.05</v>
          </cell>
        </row>
        <row r="49">
          <cell r="A49" t="str">
            <v>51620</v>
          </cell>
          <cell r="H49">
            <v>0</v>
          </cell>
        </row>
        <row r="50">
          <cell r="A50" t="str">
            <v>53045</v>
          </cell>
          <cell r="H50">
            <v>805.49</v>
          </cell>
        </row>
        <row r="51">
          <cell r="A51" t="str">
            <v>53080</v>
          </cell>
          <cell r="H51">
            <v>365.38</v>
          </cell>
        </row>
        <row r="52">
          <cell r="A52" t="str">
            <v>53095</v>
          </cell>
          <cell r="H52">
            <v>16.39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0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0</v>
          </cell>
        </row>
        <row r="58">
          <cell r="A58" t="str">
            <v>60200</v>
          </cell>
          <cell r="H58">
            <v>0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46.59</v>
          </cell>
        </row>
        <row r="61">
          <cell r="A61" t="str">
            <v>61600</v>
          </cell>
          <cell r="H61">
            <v>136.28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62200</v>
          </cell>
          <cell r="H63">
            <v>0</v>
          </cell>
        </row>
        <row r="64">
          <cell r="A64" t="str">
            <v>62400</v>
          </cell>
          <cell r="H64">
            <v>0</v>
          </cell>
        </row>
        <row r="65">
          <cell r="A65" t="str">
            <v>62435</v>
          </cell>
          <cell r="H65">
            <v>108.35</v>
          </cell>
        </row>
        <row r="66">
          <cell r="A66" t="str">
            <v>62500</v>
          </cell>
          <cell r="H66">
            <v>289</v>
          </cell>
        </row>
        <row r="67">
          <cell r="A67" t="str">
            <v>62710</v>
          </cell>
          <cell r="H67">
            <v>0</v>
          </cell>
        </row>
        <row r="68">
          <cell r="A68" t="str">
            <v>63100</v>
          </cell>
          <cell r="H68">
            <v>40</v>
          </cell>
        </row>
        <row r="69">
          <cell r="A69" t="str">
            <v>65095</v>
          </cell>
          <cell r="H69">
            <v>0</v>
          </cell>
        </row>
        <row r="70">
          <cell r="A70" t="str">
            <v>67920</v>
          </cell>
          <cell r="H70">
            <v>0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26566.43</v>
          </cell>
        </row>
        <row r="7">
          <cell r="A7" t="str">
            <v>10300</v>
          </cell>
          <cell r="H7">
            <v>1286.81</v>
          </cell>
        </row>
        <row r="8">
          <cell r="A8" t="str">
            <v>10400</v>
          </cell>
          <cell r="H8">
            <v>129.76</v>
          </cell>
        </row>
        <row r="9">
          <cell r="A9" t="str">
            <v>10401</v>
          </cell>
          <cell r="H9">
            <v>10841.58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11000</v>
          </cell>
          <cell r="H11">
            <v>12287.35</v>
          </cell>
        </row>
        <row r="12">
          <cell r="A12" t="str">
            <v>12100</v>
          </cell>
          <cell r="H12">
            <v>1868.17</v>
          </cell>
        </row>
        <row r="13">
          <cell r="A13" t="str">
            <v>13120</v>
          </cell>
          <cell r="H13">
            <v>60</v>
          </cell>
        </row>
        <row r="14">
          <cell r="A14" t="str">
            <v>13200</v>
          </cell>
          <cell r="H14">
            <v>410.4</v>
          </cell>
        </row>
        <row r="15">
          <cell r="A15" t="str">
            <v>15000</v>
          </cell>
          <cell r="H15">
            <v>1932.46</v>
          </cell>
        </row>
        <row r="16">
          <cell r="A16" t="str">
            <v>15020</v>
          </cell>
          <cell r="H16">
            <v>5548.24</v>
          </cell>
        </row>
        <row r="17">
          <cell r="A17" t="str">
            <v>16000</v>
          </cell>
          <cell r="H17">
            <v>-808.32</v>
          </cell>
        </row>
        <row r="18">
          <cell r="A18" t="str">
            <v>16020</v>
          </cell>
          <cell r="H18">
            <v>-4473.3100000000004</v>
          </cell>
        </row>
        <row r="19">
          <cell r="A19" t="str">
            <v>20030</v>
          </cell>
          <cell r="H19">
            <v>-844.47</v>
          </cell>
        </row>
        <row r="20">
          <cell r="A20" t="str">
            <v>20035</v>
          </cell>
          <cell r="H20">
            <v>33.33</v>
          </cell>
        </row>
        <row r="21">
          <cell r="A21" t="str">
            <v>20045</v>
          </cell>
          <cell r="H21">
            <v>-7663.95</v>
          </cell>
        </row>
        <row r="22">
          <cell r="A22" t="str">
            <v>20095</v>
          </cell>
          <cell r="H22">
            <v>-52303.78</v>
          </cell>
        </row>
        <row r="23">
          <cell r="A23" t="str">
            <v>23040</v>
          </cell>
          <cell r="H23">
            <v>-1041.6300000000001</v>
          </cell>
        </row>
        <row r="24">
          <cell r="A24" t="str">
            <v>23300</v>
          </cell>
          <cell r="H24">
            <v>-162.91</v>
          </cell>
        </row>
        <row r="25">
          <cell r="A25" t="str">
            <v>23406</v>
          </cell>
          <cell r="H25">
            <v>8103.03</v>
          </cell>
        </row>
        <row r="26">
          <cell r="A26" t="str">
            <v>24510</v>
          </cell>
          <cell r="H26">
            <v>-21637.42</v>
          </cell>
        </row>
        <row r="27">
          <cell r="A27" t="str">
            <v>24600</v>
          </cell>
          <cell r="H27">
            <v>-194864.48</v>
          </cell>
        </row>
        <row r="28">
          <cell r="A28" t="str">
            <v>29000</v>
          </cell>
          <cell r="H28">
            <v>-3285.87</v>
          </cell>
        </row>
        <row r="29">
          <cell r="A29" t="str">
            <v>29010</v>
          </cell>
          <cell r="H29">
            <v>-1911.57</v>
          </cell>
        </row>
        <row r="30">
          <cell r="A30" t="str">
            <v>30022</v>
          </cell>
          <cell r="H30">
            <v>-353177.36</v>
          </cell>
        </row>
        <row r="31">
          <cell r="A31" t="str">
            <v>30045</v>
          </cell>
          <cell r="H31">
            <v>-300</v>
          </cell>
        </row>
        <row r="32">
          <cell r="A32" t="str">
            <v>30510</v>
          </cell>
          <cell r="H32">
            <v>-446102.03</v>
          </cell>
        </row>
        <row r="33">
          <cell r="A33" t="str">
            <v>30540</v>
          </cell>
          <cell r="H33">
            <v>217687.62</v>
          </cell>
        </row>
        <row r="34">
          <cell r="A34" t="str">
            <v>32000</v>
          </cell>
          <cell r="H34">
            <v>603457.26</v>
          </cell>
        </row>
        <row r="35">
          <cell r="A35" t="str">
            <v>40025</v>
          </cell>
          <cell r="H35">
            <v>0</v>
          </cell>
        </row>
        <row r="36">
          <cell r="A36" t="str">
            <v>40027</v>
          </cell>
          <cell r="H36">
            <v>-54.31</v>
          </cell>
        </row>
        <row r="37">
          <cell r="A37" t="str">
            <v>40032</v>
          </cell>
          <cell r="H37">
            <v>-1168.6199999999999</v>
          </cell>
        </row>
        <row r="38">
          <cell r="A38" t="str">
            <v>49401</v>
          </cell>
          <cell r="H38">
            <v>0</v>
          </cell>
        </row>
        <row r="39">
          <cell r="A39" t="str">
            <v>16060</v>
          </cell>
          <cell r="H39">
            <v>32.21</v>
          </cell>
        </row>
        <row r="40">
          <cell r="A40" t="str">
            <v>51022</v>
          </cell>
          <cell r="H40">
            <v>0</v>
          </cell>
        </row>
        <row r="41">
          <cell r="A41" t="str">
            <v>51205</v>
          </cell>
          <cell r="H41">
            <v>0</v>
          </cell>
        </row>
        <row r="42">
          <cell r="A42" t="str">
            <v>51270</v>
          </cell>
          <cell r="H42">
            <v>1539.9</v>
          </cell>
        </row>
        <row r="43">
          <cell r="A43" t="str">
            <v>51280</v>
          </cell>
          <cell r="H43">
            <v>14334.68</v>
          </cell>
        </row>
        <row r="44">
          <cell r="A44" t="str">
            <v>51290</v>
          </cell>
          <cell r="H44">
            <v>0</v>
          </cell>
        </row>
        <row r="45">
          <cell r="A45" t="str">
            <v>51312</v>
          </cell>
          <cell r="H45">
            <v>96.62</v>
          </cell>
        </row>
        <row r="46">
          <cell r="A46" t="str">
            <v>51410</v>
          </cell>
          <cell r="H46">
            <v>407.1</v>
          </cell>
        </row>
        <row r="47">
          <cell r="A47" t="str">
            <v>51490</v>
          </cell>
          <cell r="H47">
            <v>92.47</v>
          </cell>
        </row>
        <row r="48">
          <cell r="A48" t="str">
            <v>51530</v>
          </cell>
          <cell r="H48">
            <v>127.47</v>
          </cell>
        </row>
        <row r="49">
          <cell r="A49" t="str">
            <v>51610</v>
          </cell>
          <cell r="H49">
            <v>2306.2399999999998</v>
          </cell>
        </row>
        <row r="50">
          <cell r="A50" t="str">
            <v>51620</v>
          </cell>
          <cell r="H50">
            <v>135</v>
          </cell>
        </row>
        <row r="51">
          <cell r="A51" t="str">
            <v>53045</v>
          </cell>
          <cell r="H51">
            <v>852.77</v>
          </cell>
        </row>
        <row r="52">
          <cell r="A52" t="str">
            <v>53080</v>
          </cell>
          <cell r="H52">
            <v>0</v>
          </cell>
        </row>
        <row r="53">
          <cell r="A53" t="str">
            <v>53095</v>
          </cell>
          <cell r="H53">
            <v>0</v>
          </cell>
        </row>
        <row r="54">
          <cell r="A54" t="str">
            <v>60010</v>
          </cell>
          <cell r="H54">
            <v>721</v>
          </cell>
        </row>
        <row r="55">
          <cell r="A55" t="str">
            <v>60100</v>
          </cell>
          <cell r="H55">
            <v>0</v>
          </cell>
        </row>
        <row r="56">
          <cell r="A56" t="str">
            <v>60115</v>
          </cell>
          <cell r="H56">
            <v>0</v>
          </cell>
        </row>
        <row r="57">
          <cell r="A57" t="str">
            <v>60120</v>
          </cell>
          <cell r="H57">
            <v>0</v>
          </cell>
        </row>
        <row r="58">
          <cell r="A58" t="str">
            <v>60125</v>
          </cell>
          <cell r="H58">
            <v>0</v>
          </cell>
        </row>
        <row r="59">
          <cell r="A59" t="str">
            <v>60200</v>
          </cell>
          <cell r="H59">
            <v>0</v>
          </cell>
        </row>
        <row r="60">
          <cell r="A60" t="str">
            <v>60213</v>
          </cell>
          <cell r="H60">
            <v>0</v>
          </cell>
        </row>
        <row r="61">
          <cell r="A61" t="str">
            <v>61000</v>
          </cell>
          <cell r="H61">
            <v>0</v>
          </cell>
        </row>
        <row r="62">
          <cell r="A62" t="str">
            <v>61600</v>
          </cell>
          <cell r="H62">
            <v>93.62</v>
          </cell>
        </row>
        <row r="63">
          <cell r="A63" t="str">
            <v>61700</v>
          </cell>
          <cell r="H63">
            <v>189.06</v>
          </cell>
        </row>
        <row r="64">
          <cell r="A64" t="str">
            <v>62200</v>
          </cell>
          <cell r="H64">
            <v>0</v>
          </cell>
        </row>
        <row r="65">
          <cell r="A65" t="str">
            <v>62400</v>
          </cell>
          <cell r="H65">
            <v>0</v>
          </cell>
        </row>
        <row r="66">
          <cell r="A66" t="str">
            <v>62500</v>
          </cell>
          <cell r="H66">
            <v>0</v>
          </cell>
        </row>
        <row r="67">
          <cell r="A67" t="str">
            <v>62710</v>
          </cell>
          <cell r="H67">
            <v>0</v>
          </cell>
        </row>
        <row r="68">
          <cell r="A68" t="str">
            <v>63100</v>
          </cell>
          <cell r="H68">
            <v>0</v>
          </cell>
        </row>
        <row r="69">
          <cell r="A69" t="str">
            <v>65095</v>
          </cell>
          <cell r="H69">
            <v>0</v>
          </cell>
        </row>
        <row r="70">
          <cell r="A70" t="str">
            <v>67920</v>
          </cell>
          <cell r="H70">
            <v>10.36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6633.33</v>
          </cell>
        </row>
        <row r="7">
          <cell r="A7" t="str">
            <v>10300</v>
          </cell>
          <cell r="H7">
            <v>1547.33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35639.339999999997</v>
          </cell>
        </row>
        <row r="10">
          <cell r="A10" t="str">
            <v>11000</v>
          </cell>
          <cell r="H10">
            <v>11489.69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80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-776.11</v>
          </cell>
        </row>
        <row r="17">
          <cell r="A17" t="str">
            <v>16020</v>
          </cell>
          <cell r="H17">
            <v>-4380.84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-5223.04</v>
          </cell>
        </row>
        <row r="21">
          <cell r="A21" t="str">
            <v>20095</v>
          </cell>
          <cell r="H21">
            <v>-48620.2</v>
          </cell>
        </row>
        <row r="22">
          <cell r="A22" t="str">
            <v>23040</v>
          </cell>
          <cell r="H22">
            <v>-744.2</v>
          </cell>
        </row>
        <row r="23">
          <cell r="A23" t="str">
            <v>23300</v>
          </cell>
          <cell r="H23">
            <v>-217.22</v>
          </cell>
        </row>
        <row r="24">
          <cell r="A24" t="str">
            <v>23406</v>
          </cell>
          <cell r="H24">
            <v>7773.69</v>
          </cell>
        </row>
        <row r="25">
          <cell r="A25" t="str">
            <v>24510</v>
          </cell>
          <cell r="H25">
            <v>-21637.42</v>
          </cell>
        </row>
        <row r="26">
          <cell r="A26" t="str">
            <v>24600</v>
          </cell>
          <cell r="H26">
            <v>-191452.98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-1966.89</v>
          </cell>
        </row>
        <row r="29">
          <cell r="A29" t="str">
            <v>30022</v>
          </cell>
          <cell r="H29">
            <v>-347651.98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-492.77</v>
          </cell>
        </row>
        <row r="37">
          <cell r="A37" t="str">
            <v>49401</v>
          </cell>
          <cell r="H37">
            <v>0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51022</v>
          </cell>
          <cell r="H39">
            <v>0</v>
          </cell>
        </row>
        <row r="40">
          <cell r="A40" t="str">
            <v>51205</v>
          </cell>
          <cell r="H40">
            <v>0</v>
          </cell>
        </row>
        <row r="41">
          <cell r="A41" t="str">
            <v>51270</v>
          </cell>
          <cell r="H41">
            <v>1699.9</v>
          </cell>
        </row>
        <row r="42">
          <cell r="A42" t="str">
            <v>51280</v>
          </cell>
          <cell r="H42">
            <v>15016.87</v>
          </cell>
        </row>
        <row r="43">
          <cell r="A43" t="str">
            <v>51290</v>
          </cell>
          <cell r="H43">
            <v>0</v>
          </cell>
        </row>
        <row r="44">
          <cell r="A44" t="str">
            <v>51312</v>
          </cell>
          <cell r="H44">
            <v>95.63</v>
          </cell>
        </row>
        <row r="45">
          <cell r="A45" t="str">
            <v>51410</v>
          </cell>
          <cell r="H45">
            <v>372.1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159.47</v>
          </cell>
        </row>
        <row r="48">
          <cell r="A48" t="str">
            <v>51610</v>
          </cell>
          <cell r="H48">
            <v>6093.46</v>
          </cell>
        </row>
        <row r="49">
          <cell r="A49" t="str">
            <v>51620</v>
          </cell>
          <cell r="H49">
            <v>0</v>
          </cell>
        </row>
        <row r="50">
          <cell r="A50" t="str">
            <v>53045</v>
          </cell>
          <cell r="H50">
            <v>1610.21</v>
          </cell>
        </row>
        <row r="51">
          <cell r="A51" t="str">
            <v>53080</v>
          </cell>
          <cell r="H51">
            <v>59.98</v>
          </cell>
        </row>
        <row r="52">
          <cell r="A52" t="str">
            <v>53095</v>
          </cell>
          <cell r="H52">
            <v>0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0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0</v>
          </cell>
        </row>
        <row r="58">
          <cell r="A58" t="str">
            <v>60200</v>
          </cell>
          <cell r="H58">
            <v>0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0</v>
          </cell>
        </row>
        <row r="61">
          <cell r="A61" t="str">
            <v>61600</v>
          </cell>
          <cell r="H61">
            <v>41.75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62200</v>
          </cell>
          <cell r="H63">
            <v>0</v>
          </cell>
        </row>
        <row r="64">
          <cell r="A64" t="str">
            <v>62400</v>
          </cell>
          <cell r="H64">
            <v>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62710</v>
          </cell>
          <cell r="H66">
            <v>0</v>
          </cell>
        </row>
        <row r="67">
          <cell r="A67" t="str">
            <v>63100</v>
          </cell>
          <cell r="H67">
            <v>30</v>
          </cell>
        </row>
        <row r="68">
          <cell r="A68" t="str">
            <v>65095</v>
          </cell>
          <cell r="H68">
            <v>0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16007.47</v>
          </cell>
        </row>
        <row r="7">
          <cell r="A7" t="str">
            <v>10300</v>
          </cell>
          <cell r="H7">
            <v>14179.27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23723.48</v>
          </cell>
        </row>
        <row r="10">
          <cell r="A10" t="str">
            <v>11000</v>
          </cell>
          <cell r="H10">
            <v>12131.63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100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-743.9</v>
          </cell>
        </row>
        <row r="17">
          <cell r="A17" t="str">
            <v>16020</v>
          </cell>
          <cell r="H17">
            <v>-4288.37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-5124.49</v>
          </cell>
        </row>
        <row r="21">
          <cell r="A21" t="str">
            <v>20095</v>
          </cell>
          <cell r="H21">
            <v>-43832.11</v>
          </cell>
        </row>
        <row r="22">
          <cell r="A22" t="str">
            <v>23040</v>
          </cell>
          <cell r="H22">
            <v>-372.1</v>
          </cell>
        </row>
        <row r="23">
          <cell r="A23" t="str">
            <v>23300</v>
          </cell>
          <cell r="H23">
            <v>-271.52999999999997</v>
          </cell>
        </row>
        <row r="24">
          <cell r="A24" t="str">
            <v>23406</v>
          </cell>
          <cell r="H24">
            <v>7295.76</v>
          </cell>
        </row>
        <row r="25">
          <cell r="A25" t="str">
            <v>24510</v>
          </cell>
          <cell r="H25">
            <v>-21637.42</v>
          </cell>
        </row>
        <row r="26">
          <cell r="A26" t="str">
            <v>24600</v>
          </cell>
          <cell r="H26">
            <v>-188602.79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-1966.89</v>
          </cell>
        </row>
        <row r="29">
          <cell r="A29" t="str">
            <v>30022</v>
          </cell>
          <cell r="H29">
            <v>-340438.48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40027</v>
          </cell>
          <cell r="H35">
            <v>-54.31</v>
          </cell>
        </row>
        <row r="36">
          <cell r="A36" t="str">
            <v>40032</v>
          </cell>
          <cell r="H36">
            <v>-503.9</v>
          </cell>
        </row>
        <row r="37">
          <cell r="A37" t="str">
            <v>49401</v>
          </cell>
          <cell r="H37">
            <v>-11335.97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51022</v>
          </cell>
          <cell r="H39">
            <v>0</v>
          </cell>
        </row>
        <row r="40">
          <cell r="A40" t="str">
            <v>51205</v>
          </cell>
          <cell r="H40">
            <v>0</v>
          </cell>
        </row>
        <row r="41">
          <cell r="A41" t="str">
            <v>51270</v>
          </cell>
          <cell r="H41">
            <v>1509.9</v>
          </cell>
        </row>
        <row r="42">
          <cell r="A42" t="str">
            <v>51280</v>
          </cell>
          <cell r="H42">
            <v>-113486.88</v>
          </cell>
        </row>
        <row r="43">
          <cell r="A43" t="str">
            <v>51290</v>
          </cell>
          <cell r="H43">
            <v>3504.0099999999993</v>
          </cell>
        </row>
        <row r="44">
          <cell r="A44" t="str">
            <v>51312</v>
          </cell>
          <cell r="H44">
            <v>106.21</v>
          </cell>
        </row>
        <row r="45">
          <cell r="A45" t="str">
            <v>51410</v>
          </cell>
          <cell r="H45">
            <v>218.5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159.47</v>
          </cell>
        </row>
        <row r="48">
          <cell r="A48" t="str">
            <v>51610</v>
          </cell>
          <cell r="H48">
            <v>20894.14</v>
          </cell>
        </row>
        <row r="49">
          <cell r="A49" t="str">
            <v>51620</v>
          </cell>
          <cell r="H49">
            <v>0</v>
          </cell>
        </row>
        <row r="50">
          <cell r="A50" t="str">
            <v>53045</v>
          </cell>
          <cell r="H50">
            <v>825.78</v>
          </cell>
        </row>
        <row r="51">
          <cell r="A51" t="str">
            <v>53080</v>
          </cell>
          <cell r="H51">
            <v>713.15</v>
          </cell>
        </row>
        <row r="52">
          <cell r="A52" t="str">
            <v>53095</v>
          </cell>
          <cell r="H52">
            <v>133.04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0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0</v>
          </cell>
        </row>
        <row r="58">
          <cell r="A58" t="str">
            <v>60200</v>
          </cell>
          <cell r="H58">
            <v>19.52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0</v>
          </cell>
        </row>
        <row r="61">
          <cell r="A61" t="str">
            <v>61600</v>
          </cell>
          <cell r="H61">
            <v>1240.67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62200</v>
          </cell>
          <cell r="H63">
            <v>0</v>
          </cell>
        </row>
        <row r="64">
          <cell r="A64" t="str">
            <v>62400</v>
          </cell>
          <cell r="H64">
            <v>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62710</v>
          </cell>
          <cell r="H66">
            <v>0</v>
          </cell>
        </row>
        <row r="67">
          <cell r="A67" t="str">
            <v>63100</v>
          </cell>
          <cell r="H67">
            <v>60</v>
          </cell>
        </row>
        <row r="68">
          <cell r="A68" t="str">
            <v>65095</v>
          </cell>
          <cell r="H68">
            <v>0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49237.79</v>
          </cell>
        </row>
        <row r="7">
          <cell r="A7" t="str">
            <v>10300</v>
          </cell>
          <cell r="H7">
            <v>14032.81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17640.48</v>
          </cell>
        </row>
        <row r="10">
          <cell r="A10" t="str">
            <v>11000</v>
          </cell>
          <cell r="H10">
            <v>12538.61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120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-711.69</v>
          </cell>
        </row>
        <row r="17">
          <cell r="A17" t="str">
            <v>16020</v>
          </cell>
          <cell r="H17">
            <v>-4195.8999999999996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-15.26</v>
          </cell>
        </row>
        <row r="21">
          <cell r="A21" t="str">
            <v>20095</v>
          </cell>
          <cell r="H21">
            <v>-32198.82</v>
          </cell>
        </row>
        <row r="22">
          <cell r="A22" t="str">
            <v>23040</v>
          </cell>
          <cell r="H22">
            <v>-283.43</v>
          </cell>
        </row>
        <row r="23">
          <cell r="A23" t="str">
            <v>23300</v>
          </cell>
          <cell r="H23">
            <v>-325.83999999999997</v>
          </cell>
        </row>
        <row r="24">
          <cell r="A24" t="str">
            <v>23406</v>
          </cell>
          <cell r="H24">
            <v>6731.39</v>
          </cell>
        </row>
        <row r="25">
          <cell r="A25" t="str">
            <v>24510</v>
          </cell>
          <cell r="H25">
            <v>-18850.189999999999</v>
          </cell>
        </row>
        <row r="26">
          <cell r="A26" t="str">
            <v>24600</v>
          </cell>
          <cell r="H26">
            <v>-184496.61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-1877.4</v>
          </cell>
        </row>
        <row r="29">
          <cell r="A29" t="str">
            <v>30022</v>
          </cell>
          <cell r="H29">
            <v>-486148.34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40026</v>
          </cell>
          <cell r="H35">
            <v>0</v>
          </cell>
        </row>
        <row r="36">
          <cell r="A36" t="str">
            <v>40027</v>
          </cell>
          <cell r="H36">
            <v>-54.31</v>
          </cell>
        </row>
        <row r="37">
          <cell r="A37" t="str">
            <v>40032</v>
          </cell>
          <cell r="H37">
            <v>-1027.72</v>
          </cell>
        </row>
        <row r="38">
          <cell r="A38" t="str">
            <v>49401</v>
          </cell>
          <cell r="H38">
            <v>0</v>
          </cell>
        </row>
        <row r="39">
          <cell r="A39" t="str">
            <v>16060</v>
          </cell>
          <cell r="H39">
            <v>32.21</v>
          </cell>
        </row>
        <row r="40">
          <cell r="A40" t="str">
            <v>51022</v>
          </cell>
          <cell r="H40">
            <v>0</v>
          </cell>
        </row>
        <row r="41">
          <cell r="A41" t="str">
            <v>51205</v>
          </cell>
          <cell r="H41">
            <v>0</v>
          </cell>
        </row>
        <row r="42">
          <cell r="A42" t="str">
            <v>51270</v>
          </cell>
          <cell r="H42">
            <v>1509.9</v>
          </cell>
        </row>
        <row r="43">
          <cell r="A43" t="str">
            <v>51280</v>
          </cell>
          <cell r="H43">
            <v>13943.03</v>
          </cell>
        </row>
        <row r="44">
          <cell r="A44" t="str">
            <v>51312</v>
          </cell>
          <cell r="H44">
            <v>101.95</v>
          </cell>
        </row>
        <row r="45">
          <cell r="A45" t="str">
            <v>51410</v>
          </cell>
          <cell r="H45">
            <v>92.2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121.47</v>
          </cell>
        </row>
        <row r="48">
          <cell r="A48" t="str">
            <v>51610</v>
          </cell>
          <cell r="H48">
            <v>392.05</v>
          </cell>
        </row>
        <row r="49">
          <cell r="A49" t="str">
            <v>51620</v>
          </cell>
          <cell r="H49">
            <v>199.15</v>
          </cell>
        </row>
        <row r="50">
          <cell r="A50" t="str">
            <v>53045</v>
          </cell>
          <cell r="H50">
            <v>825.13</v>
          </cell>
        </row>
        <row r="51">
          <cell r="A51" t="str">
            <v>53080</v>
          </cell>
          <cell r="H51">
            <v>0</v>
          </cell>
        </row>
        <row r="52">
          <cell r="A52" t="str">
            <v>53095</v>
          </cell>
          <cell r="H52">
            <v>0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2130.66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3000</v>
          </cell>
        </row>
        <row r="58">
          <cell r="A58" t="str">
            <v>60200</v>
          </cell>
          <cell r="H58">
            <v>1148.83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0</v>
          </cell>
        </row>
        <row r="61">
          <cell r="A61" t="str">
            <v>61600</v>
          </cell>
          <cell r="H61">
            <v>42.47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62200</v>
          </cell>
          <cell r="H63">
            <v>4.8</v>
          </cell>
        </row>
        <row r="64">
          <cell r="A64" t="str">
            <v>62400</v>
          </cell>
          <cell r="H64">
            <v>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62710</v>
          </cell>
          <cell r="H66">
            <v>0</v>
          </cell>
        </row>
        <row r="67">
          <cell r="A67" t="str">
            <v>63100</v>
          </cell>
          <cell r="H67">
            <v>3.68</v>
          </cell>
        </row>
        <row r="68">
          <cell r="A68" t="str">
            <v>65095</v>
          </cell>
          <cell r="H68">
            <v>0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14231.53</v>
          </cell>
        </row>
        <row r="7">
          <cell r="A7" t="str">
            <v>10300</v>
          </cell>
          <cell r="H7">
            <v>13851.07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7146.13</v>
          </cell>
        </row>
        <row r="10">
          <cell r="A10" t="str">
            <v>11000</v>
          </cell>
          <cell r="H10">
            <v>12352.29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140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-679.48</v>
          </cell>
        </row>
        <row r="17">
          <cell r="A17" t="str">
            <v>16020</v>
          </cell>
          <cell r="H17">
            <v>-4103.43</v>
          </cell>
        </row>
        <row r="18">
          <cell r="A18" t="str">
            <v>20030</v>
          </cell>
          <cell r="H18">
            <v>-844.47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-15.26</v>
          </cell>
        </row>
        <row r="21">
          <cell r="A21" t="str">
            <v>20095</v>
          </cell>
          <cell r="H21">
            <v>-32198.82</v>
          </cell>
        </row>
        <row r="22">
          <cell r="A22" t="str">
            <v>23040</v>
          </cell>
          <cell r="H22">
            <v>-256.83</v>
          </cell>
        </row>
        <row r="23">
          <cell r="A23" t="str">
            <v>23300</v>
          </cell>
          <cell r="H23">
            <v>-380.15</v>
          </cell>
        </row>
        <row r="24">
          <cell r="A24" t="str">
            <v>23406</v>
          </cell>
          <cell r="H24">
            <v>4987.79</v>
          </cell>
        </row>
        <row r="25">
          <cell r="A25" t="str">
            <v>24510</v>
          </cell>
          <cell r="H25">
            <v>-18850.189999999999</v>
          </cell>
        </row>
        <row r="26">
          <cell r="A26" t="str">
            <v>24600</v>
          </cell>
          <cell r="H26">
            <v>-181453.58</v>
          </cell>
        </row>
        <row r="27">
          <cell r="A27" t="str">
            <v>29000</v>
          </cell>
          <cell r="H27">
            <v>-3285.86</v>
          </cell>
        </row>
        <row r="28">
          <cell r="A28" t="str">
            <v>29010</v>
          </cell>
          <cell r="H28">
            <v>-1804.95</v>
          </cell>
        </row>
        <row r="29">
          <cell r="A29" t="str">
            <v>30022</v>
          </cell>
          <cell r="H29">
            <v>-418300.5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603457.26</v>
          </cell>
        </row>
        <row r="35">
          <cell r="A35" t="str">
            <v>40025</v>
          </cell>
          <cell r="H35">
            <v>0</v>
          </cell>
        </row>
        <row r="36">
          <cell r="A36" t="str">
            <v>40026</v>
          </cell>
          <cell r="H36">
            <v>6406.9500000000007</v>
          </cell>
        </row>
        <row r="37">
          <cell r="A37" t="str">
            <v>40027</v>
          </cell>
          <cell r="H37">
            <v>8.3700000000000045</v>
          </cell>
        </row>
        <row r="38">
          <cell r="A38" t="str">
            <v>40032</v>
          </cell>
          <cell r="H38">
            <v>-843.05</v>
          </cell>
        </row>
        <row r="39">
          <cell r="A39" t="str">
            <v>49401</v>
          </cell>
          <cell r="H39">
            <v>0</v>
          </cell>
        </row>
        <row r="40">
          <cell r="A40" t="str">
            <v>16060</v>
          </cell>
          <cell r="H40">
            <v>32.21</v>
          </cell>
        </row>
        <row r="41">
          <cell r="A41" t="str">
            <v>51022</v>
          </cell>
          <cell r="H41">
            <v>0</v>
          </cell>
        </row>
        <row r="42">
          <cell r="A42" t="str">
            <v>51205</v>
          </cell>
          <cell r="H42">
            <v>0</v>
          </cell>
        </row>
        <row r="43">
          <cell r="A43" t="str">
            <v>51270</v>
          </cell>
          <cell r="H43">
            <v>1437.45</v>
          </cell>
        </row>
        <row r="44">
          <cell r="A44" t="str">
            <v>51280</v>
          </cell>
          <cell r="H44">
            <v>14848.63</v>
          </cell>
        </row>
        <row r="45">
          <cell r="A45" t="str">
            <v>51312</v>
          </cell>
          <cell r="H45">
            <v>97.02</v>
          </cell>
        </row>
        <row r="46">
          <cell r="A46" t="str">
            <v>51410</v>
          </cell>
          <cell r="H46">
            <v>73.400000000000006</v>
          </cell>
        </row>
        <row r="47">
          <cell r="A47" t="str">
            <v>51490</v>
          </cell>
          <cell r="H47">
            <v>92.47</v>
          </cell>
        </row>
        <row r="48">
          <cell r="A48" t="str">
            <v>51530</v>
          </cell>
          <cell r="H48">
            <v>110.07</v>
          </cell>
        </row>
        <row r="49">
          <cell r="A49" t="str">
            <v>51610</v>
          </cell>
          <cell r="H49">
            <v>4002.05</v>
          </cell>
        </row>
        <row r="50">
          <cell r="A50" t="str">
            <v>53045</v>
          </cell>
          <cell r="H50">
            <v>753.16</v>
          </cell>
        </row>
        <row r="51">
          <cell r="A51" t="str">
            <v>53080</v>
          </cell>
          <cell r="H51">
            <v>342.17</v>
          </cell>
        </row>
        <row r="52">
          <cell r="A52" t="str">
            <v>53095</v>
          </cell>
          <cell r="H52">
            <v>1321.39</v>
          </cell>
        </row>
        <row r="53">
          <cell r="A53" t="str">
            <v>60010</v>
          </cell>
          <cell r="H53">
            <v>721.7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60115</v>
          </cell>
          <cell r="H55">
            <v>0</v>
          </cell>
        </row>
        <row r="56">
          <cell r="A56" t="str">
            <v>60120</v>
          </cell>
          <cell r="H56">
            <v>0</v>
          </cell>
        </row>
        <row r="57">
          <cell r="A57" t="str">
            <v>60125</v>
          </cell>
          <cell r="H57">
            <v>8500</v>
          </cell>
        </row>
        <row r="58">
          <cell r="A58" t="str">
            <v>60200</v>
          </cell>
          <cell r="H58">
            <v>10036.469999999999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161</v>
          </cell>
        </row>
        <row r="61">
          <cell r="A61" t="str">
            <v>61600</v>
          </cell>
          <cell r="H61">
            <v>20</v>
          </cell>
        </row>
        <row r="62">
          <cell r="A62" t="str">
            <v>61700</v>
          </cell>
          <cell r="H62">
            <v>189.06</v>
          </cell>
        </row>
        <row r="63">
          <cell r="A63" t="str">
            <v>62101</v>
          </cell>
          <cell r="H63">
            <v>-2575.3200000000006</v>
          </cell>
        </row>
        <row r="64">
          <cell r="A64" t="str">
            <v>62200</v>
          </cell>
          <cell r="H64">
            <v>0</v>
          </cell>
        </row>
        <row r="65">
          <cell r="A65" t="str">
            <v>62400</v>
          </cell>
          <cell r="H65">
            <v>0</v>
          </cell>
        </row>
        <row r="66">
          <cell r="A66" t="str">
            <v>62500</v>
          </cell>
          <cell r="H66">
            <v>0</v>
          </cell>
        </row>
        <row r="67">
          <cell r="A67" t="str">
            <v>62710</v>
          </cell>
          <cell r="H67">
            <v>150</v>
          </cell>
        </row>
        <row r="68">
          <cell r="A68" t="str">
            <v>63100</v>
          </cell>
          <cell r="H68">
            <v>30</v>
          </cell>
        </row>
        <row r="69">
          <cell r="A69" t="str">
            <v>65095</v>
          </cell>
          <cell r="H69">
            <v>0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53998.35</v>
          </cell>
        </row>
        <row r="7">
          <cell r="A7" t="str">
            <v>10300</v>
          </cell>
          <cell r="H7">
            <v>13289.18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10401</v>
          </cell>
          <cell r="H9">
            <v>1993.82</v>
          </cell>
        </row>
        <row r="10">
          <cell r="A10" t="str">
            <v>11000</v>
          </cell>
          <cell r="H10">
            <v>12768.56</v>
          </cell>
        </row>
        <row r="11">
          <cell r="A11" t="str">
            <v>12100</v>
          </cell>
          <cell r="H11">
            <v>1868.17</v>
          </cell>
        </row>
        <row r="12">
          <cell r="A12" t="str">
            <v>13120</v>
          </cell>
          <cell r="H12">
            <v>160</v>
          </cell>
        </row>
        <row r="13">
          <cell r="A13" t="str">
            <v>13200</v>
          </cell>
          <cell r="H13">
            <v>410.4</v>
          </cell>
        </row>
        <row r="14">
          <cell r="A14" t="str">
            <v>15000</v>
          </cell>
          <cell r="H14">
            <v>1932.46</v>
          </cell>
        </row>
        <row r="15">
          <cell r="A15" t="str">
            <v>15020</v>
          </cell>
          <cell r="H15">
            <v>5548.24</v>
          </cell>
        </row>
        <row r="16">
          <cell r="A16" t="str">
            <v>16000</v>
          </cell>
          <cell r="H16">
            <v>-647.27</v>
          </cell>
        </row>
        <row r="17">
          <cell r="A17" t="str">
            <v>16020</v>
          </cell>
          <cell r="H17">
            <v>-4010.96</v>
          </cell>
        </row>
        <row r="18">
          <cell r="A18" t="str">
            <v>20030</v>
          </cell>
          <cell r="H18">
            <v>-238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-15.26</v>
          </cell>
        </row>
        <row r="21">
          <cell r="A21" t="str">
            <v>20095</v>
          </cell>
          <cell r="H21">
            <v>-34774.14</v>
          </cell>
        </row>
        <row r="22">
          <cell r="A22" t="str">
            <v>23040</v>
          </cell>
          <cell r="H22">
            <v>-256.83</v>
          </cell>
        </row>
        <row r="23">
          <cell r="A23" t="str">
            <v>23300</v>
          </cell>
          <cell r="H23">
            <v>-434.46</v>
          </cell>
        </row>
        <row r="24">
          <cell r="A24" t="str">
            <v>23406</v>
          </cell>
          <cell r="H24">
            <v>3622.75</v>
          </cell>
        </row>
        <row r="25">
          <cell r="A25" t="str">
            <v>24510</v>
          </cell>
          <cell r="H25">
            <v>-18850.189999999999</v>
          </cell>
        </row>
        <row r="26">
          <cell r="A26" t="str">
            <v>24600</v>
          </cell>
          <cell r="H26">
            <v>-176604.95</v>
          </cell>
        </row>
        <row r="27">
          <cell r="A27" t="str">
            <v>29000</v>
          </cell>
          <cell r="H27">
            <v>-3285.87</v>
          </cell>
        </row>
        <row r="28">
          <cell r="A28" t="str">
            <v>29010</v>
          </cell>
          <cell r="H28">
            <v>-1689.47</v>
          </cell>
        </row>
        <row r="29">
          <cell r="A29" t="str">
            <v>30022</v>
          </cell>
          <cell r="H29">
            <v>-408574.77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0</v>
          </cell>
        </row>
        <row r="35">
          <cell r="A35" t="str">
            <v>40026</v>
          </cell>
          <cell r="H35">
            <v>-2081.25</v>
          </cell>
        </row>
        <row r="36">
          <cell r="A36" t="str">
            <v>40027</v>
          </cell>
          <cell r="H36">
            <v>-85.65</v>
          </cell>
        </row>
        <row r="37">
          <cell r="A37" t="str">
            <v>40032</v>
          </cell>
          <cell r="H37">
            <v>-872.45</v>
          </cell>
        </row>
        <row r="38">
          <cell r="A38" t="str">
            <v>49401</v>
          </cell>
          <cell r="H38">
            <v>0</v>
          </cell>
        </row>
        <row r="39">
          <cell r="A39" t="str">
            <v>16060</v>
          </cell>
          <cell r="H39">
            <v>32.21</v>
          </cell>
        </row>
        <row r="40">
          <cell r="A40" t="str">
            <v>51022</v>
          </cell>
          <cell r="H40">
            <v>0</v>
          </cell>
        </row>
        <row r="41">
          <cell r="A41" t="str">
            <v>51205</v>
          </cell>
          <cell r="H41">
            <v>0</v>
          </cell>
        </row>
        <row r="42">
          <cell r="A42" t="str">
            <v>51270</v>
          </cell>
          <cell r="H42">
            <v>1321.97</v>
          </cell>
        </row>
        <row r="43">
          <cell r="A43" t="str">
            <v>51280</v>
          </cell>
          <cell r="H43">
            <v>11437.14</v>
          </cell>
        </row>
        <row r="44">
          <cell r="A44" t="str">
            <v>51312</v>
          </cell>
          <cell r="H44">
            <v>97.1</v>
          </cell>
        </row>
        <row r="45">
          <cell r="A45" t="str">
            <v>51410</v>
          </cell>
          <cell r="H45">
            <v>37.6</v>
          </cell>
        </row>
        <row r="46">
          <cell r="A46" t="str">
            <v>51490</v>
          </cell>
          <cell r="H46">
            <v>92.47</v>
          </cell>
        </row>
        <row r="47">
          <cell r="A47" t="str">
            <v>51530</v>
          </cell>
          <cell r="H47">
            <v>110.07</v>
          </cell>
        </row>
        <row r="48">
          <cell r="A48" t="str">
            <v>51610</v>
          </cell>
          <cell r="H48">
            <v>3092.05</v>
          </cell>
        </row>
        <row r="49">
          <cell r="A49" t="str">
            <v>53045</v>
          </cell>
          <cell r="H49">
            <v>769.08</v>
          </cell>
        </row>
        <row r="50">
          <cell r="A50" t="str">
            <v>53080</v>
          </cell>
          <cell r="H50">
            <v>876.61</v>
          </cell>
        </row>
        <row r="51">
          <cell r="A51" t="str">
            <v>53095</v>
          </cell>
          <cell r="H51">
            <v>55.19</v>
          </cell>
        </row>
        <row r="52">
          <cell r="A52" t="str">
            <v>60010</v>
          </cell>
          <cell r="H52">
            <v>721</v>
          </cell>
        </row>
        <row r="53">
          <cell r="A53" t="str">
            <v>60100</v>
          </cell>
          <cell r="H53">
            <v>0</v>
          </cell>
        </row>
        <row r="54">
          <cell r="A54" t="str">
            <v>60115</v>
          </cell>
          <cell r="H54">
            <v>6742.31</v>
          </cell>
        </row>
        <row r="55">
          <cell r="A55" t="str">
            <v>60120</v>
          </cell>
          <cell r="H55">
            <v>0</v>
          </cell>
        </row>
        <row r="56">
          <cell r="A56" t="str">
            <v>60125</v>
          </cell>
          <cell r="H56">
            <v>5500</v>
          </cell>
        </row>
        <row r="57">
          <cell r="A57" t="str">
            <v>60200</v>
          </cell>
          <cell r="H57">
            <v>693</v>
          </cell>
        </row>
        <row r="58">
          <cell r="A58" t="str">
            <v>60213</v>
          </cell>
          <cell r="H58">
            <v>0</v>
          </cell>
        </row>
        <row r="59">
          <cell r="A59" t="str">
            <v>61000</v>
          </cell>
          <cell r="H59">
            <v>0</v>
          </cell>
        </row>
        <row r="60">
          <cell r="A60" t="str">
            <v>61600</v>
          </cell>
          <cell r="H60">
            <v>20</v>
          </cell>
        </row>
        <row r="61">
          <cell r="A61" t="str">
            <v>61700</v>
          </cell>
          <cell r="H61">
            <v>189.06</v>
          </cell>
        </row>
        <row r="62">
          <cell r="A62" t="str">
            <v>62101</v>
          </cell>
          <cell r="H62">
            <v>845.04</v>
          </cell>
        </row>
        <row r="63">
          <cell r="A63" t="str">
            <v>62200</v>
          </cell>
          <cell r="H63">
            <v>2</v>
          </cell>
        </row>
        <row r="64">
          <cell r="A64" t="str">
            <v>62400</v>
          </cell>
          <cell r="H64">
            <v>90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63100</v>
          </cell>
          <cell r="H66">
            <v>0</v>
          </cell>
        </row>
        <row r="67">
          <cell r="A67" t="str">
            <v>65095</v>
          </cell>
          <cell r="H67">
            <v>0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88141.47</v>
          </cell>
        </row>
        <row r="7">
          <cell r="A7" t="str">
            <v>10300</v>
          </cell>
          <cell r="H7">
            <v>13178.04</v>
          </cell>
        </row>
        <row r="8">
          <cell r="A8" t="str">
            <v>10400</v>
          </cell>
          <cell r="H8">
            <v>820.12</v>
          </cell>
        </row>
        <row r="9">
          <cell r="A9" t="str">
            <v>11000</v>
          </cell>
          <cell r="H9">
            <v>12697.96</v>
          </cell>
        </row>
        <row r="10">
          <cell r="A10" t="str">
            <v>12100</v>
          </cell>
          <cell r="H10">
            <v>1868.17</v>
          </cell>
        </row>
        <row r="11">
          <cell r="A11" t="str">
            <v>13120</v>
          </cell>
          <cell r="H11">
            <v>180</v>
          </cell>
        </row>
        <row r="12">
          <cell r="A12" t="str">
            <v>13200</v>
          </cell>
          <cell r="H12">
            <v>410.4</v>
          </cell>
        </row>
        <row r="13">
          <cell r="A13" t="str">
            <v>15000</v>
          </cell>
          <cell r="H13">
            <v>1932.46</v>
          </cell>
        </row>
        <row r="14">
          <cell r="A14" t="str">
            <v>15020</v>
          </cell>
          <cell r="H14">
            <v>5548.24</v>
          </cell>
        </row>
        <row r="15">
          <cell r="A15" t="str">
            <v>16000</v>
          </cell>
          <cell r="H15">
            <v>-615.05999999999995</v>
          </cell>
        </row>
        <row r="16">
          <cell r="A16" t="str">
            <v>16020</v>
          </cell>
          <cell r="H16">
            <v>-3918.49</v>
          </cell>
        </row>
        <row r="17">
          <cell r="A17" t="str">
            <v>20015</v>
          </cell>
          <cell r="H17">
            <v>0</v>
          </cell>
        </row>
        <row r="18">
          <cell r="A18" t="str">
            <v>20030</v>
          </cell>
          <cell r="H18">
            <v>-4538.83</v>
          </cell>
        </row>
        <row r="19">
          <cell r="A19" t="str">
            <v>20035</v>
          </cell>
          <cell r="H19">
            <v>33.33</v>
          </cell>
        </row>
        <row r="20">
          <cell r="A20" t="str">
            <v>20045</v>
          </cell>
          <cell r="H20">
            <v>-15.26</v>
          </cell>
        </row>
        <row r="21">
          <cell r="A21" t="str">
            <v>20095</v>
          </cell>
          <cell r="H21">
            <v>-33929.1</v>
          </cell>
        </row>
        <row r="22">
          <cell r="A22" t="str">
            <v>23040</v>
          </cell>
          <cell r="H22">
            <v>-349.66</v>
          </cell>
        </row>
        <row r="23">
          <cell r="A23" t="str">
            <v>23300</v>
          </cell>
          <cell r="H23">
            <v>-488.77</v>
          </cell>
        </row>
        <row r="24">
          <cell r="A24" t="str">
            <v>23406</v>
          </cell>
          <cell r="H24">
            <v>2207.14</v>
          </cell>
        </row>
        <row r="25">
          <cell r="A25" t="str">
            <v>24510</v>
          </cell>
          <cell r="H25">
            <v>-18850.189999999999</v>
          </cell>
        </row>
        <row r="26">
          <cell r="A26" t="str">
            <v>24600</v>
          </cell>
          <cell r="H26">
            <v>-175167.81</v>
          </cell>
        </row>
        <row r="27">
          <cell r="A27" t="str">
            <v>29000</v>
          </cell>
          <cell r="H27">
            <v>-3445.47</v>
          </cell>
        </row>
        <row r="28">
          <cell r="A28" t="str">
            <v>29010</v>
          </cell>
          <cell r="H28">
            <v>-431.35</v>
          </cell>
        </row>
        <row r="29">
          <cell r="A29" t="str">
            <v>30022</v>
          </cell>
          <cell r="H29">
            <v>-408519.58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603457.26</v>
          </cell>
        </row>
        <row r="35">
          <cell r="A35" t="str">
            <v>40025</v>
          </cell>
          <cell r="H35">
            <v>0</v>
          </cell>
        </row>
        <row r="36">
          <cell r="A36" t="str">
            <v>40026</v>
          </cell>
          <cell r="H36">
            <v>-3679</v>
          </cell>
        </row>
        <row r="37">
          <cell r="A37" t="str">
            <v>40027</v>
          </cell>
          <cell r="H37">
            <v>-194.27</v>
          </cell>
        </row>
        <row r="38">
          <cell r="A38" t="str">
            <v>40032</v>
          </cell>
          <cell r="H38">
            <v>-1189.94</v>
          </cell>
        </row>
        <row r="39">
          <cell r="A39" t="str">
            <v>49401</v>
          </cell>
          <cell r="H39">
            <v>-83.33</v>
          </cell>
        </row>
        <row r="40">
          <cell r="A40" t="str">
            <v>16060</v>
          </cell>
          <cell r="H40">
            <v>32.21</v>
          </cell>
        </row>
        <row r="41">
          <cell r="A41" t="str">
            <v>51022</v>
          </cell>
          <cell r="H41">
            <v>0</v>
          </cell>
        </row>
        <row r="42">
          <cell r="A42" t="str">
            <v>51205</v>
          </cell>
          <cell r="H42">
            <v>0</v>
          </cell>
        </row>
        <row r="43">
          <cell r="A43" t="str">
            <v>51270</v>
          </cell>
          <cell r="H43">
            <v>0</v>
          </cell>
        </row>
        <row r="44">
          <cell r="A44" t="str">
            <v>51280</v>
          </cell>
          <cell r="H44">
            <v>12818.449999999999</v>
          </cell>
        </row>
        <row r="45">
          <cell r="A45" t="str">
            <v>51312</v>
          </cell>
          <cell r="H45">
            <v>199.78</v>
          </cell>
        </row>
        <row r="46">
          <cell r="A46" t="str">
            <v>51410</v>
          </cell>
          <cell r="H46">
            <v>311.43</v>
          </cell>
        </row>
        <row r="47">
          <cell r="A47" t="str">
            <v>51490</v>
          </cell>
          <cell r="H47">
            <v>92.47</v>
          </cell>
        </row>
        <row r="48">
          <cell r="A48" t="str">
            <v>51530</v>
          </cell>
          <cell r="H48">
            <v>149.85</v>
          </cell>
        </row>
        <row r="49">
          <cell r="A49" t="str">
            <v>51610</v>
          </cell>
          <cell r="H49">
            <v>2660.05</v>
          </cell>
        </row>
        <row r="50">
          <cell r="A50" t="str">
            <v>53045</v>
          </cell>
          <cell r="H50">
            <v>756.95</v>
          </cell>
        </row>
        <row r="51">
          <cell r="A51" t="str">
            <v>53080</v>
          </cell>
          <cell r="H51">
            <v>0</v>
          </cell>
        </row>
        <row r="52">
          <cell r="A52" t="str">
            <v>53095</v>
          </cell>
          <cell r="H52">
            <v>67.430000000000007</v>
          </cell>
        </row>
        <row r="53">
          <cell r="A53" t="str">
            <v>60010</v>
          </cell>
          <cell r="H53">
            <v>721</v>
          </cell>
        </row>
        <row r="54">
          <cell r="A54" t="str">
            <v>60100</v>
          </cell>
          <cell r="H54">
            <v>0</v>
          </cell>
        </row>
        <row r="55">
          <cell r="A55" t="str">
            <v>60120</v>
          </cell>
          <cell r="H55">
            <v>0</v>
          </cell>
        </row>
        <row r="56">
          <cell r="A56" t="str">
            <v>60125</v>
          </cell>
          <cell r="H56">
            <v>5500</v>
          </cell>
        </row>
        <row r="57">
          <cell r="A57" t="str">
            <v>60200</v>
          </cell>
          <cell r="H57">
            <v>291</v>
          </cell>
        </row>
        <row r="58">
          <cell r="A58" t="str">
            <v>60213</v>
          </cell>
          <cell r="H58">
            <v>0</v>
          </cell>
        </row>
        <row r="59">
          <cell r="A59" t="str">
            <v>61000</v>
          </cell>
          <cell r="H59">
            <v>1333.5</v>
          </cell>
        </row>
        <row r="60">
          <cell r="A60" t="str">
            <v>61600</v>
          </cell>
          <cell r="H60">
            <v>20</v>
          </cell>
        </row>
        <row r="61">
          <cell r="A61" t="str">
            <v>61700</v>
          </cell>
          <cell r="H61">
            <v>189.06</v>
          </cell>
        </row>
        <row r="62">
          <cell r="A62" t="str">
            <v>62101</v>
          </cell>
          <cell r="H62">
            <v>1471.6</v>
          </cell>
        </row>
        <row r="63">
          <cell r="A63" t="str">
            <v>62400</v>
          </cell>
          <cell r="H63">
            <v>0</v>
          </cell>
        </row>
        <row r="64">
          <cell r="A64" t="str">
            <v>62500</v>
          </cell>
          <cell r="H64">
            <v>0</v>
          </cell>
        </row>
        <row r="65">
          <cell r="A65" t="str">
            <v>63100</v>
          </cell>
          <cell r="H65">
            <v>0</v>
          </cell>
        </row>
        <row r="66">
          <cell r="A66" t="str">
            <v>65095</v>
          </cell>
          <cell r="H66">
            <v>0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113271.21</v>
          </cell>
        </row>
        <row r="7">
          <cell r="A7" t="str">
            <v>10300</v>
          </cell>
          <cell r="H7">
            <v>13586.28</v>
          </cell>
        </row>
        <row r="8">
          <cell r="A8" t="str">
            <v>11000</v>
          </cell>
          <cell r="H8">
            <v>11726.99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200</v>
          </cell>
        </row>
        <row r="11">
          <cell r="A11" t="str">
            <v>13200</v>
          </cell>
          <cell r="H11">
            <v>410.4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-582.85</v>
          </cell>
        </row>
        <row r="15">
          <cell r="A15" t="str">
            <v>16020</v>
          </cell>
          <cell r="H15">
            <v>-3826.02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-4538.83</v>
          </cell>
        </row>
        <row r="18">
          <cell r="A18" t="str">
            <v>20035</v>
          </cell>
          <cell r="H18">
            <v>33.33</v>
          </cell>
        </row>
        <row r="19">
          <cell r="A19" t="str">
            <v>20045</v>
          </cell>
          <cell r="H19">
            <v>1957.39</v>
          </cell>
        </row>
        <row r="20">
          <cell r="A20" t="str">
            <v>20095</v>
          </cell>
          <cell r="H20">
            <v>-32457.5</v>
          </cell>
        </row>
        <row r="21">
          <cell r="A21" t="str">
            <v>23040</v>
          </cell>
          <cell r="H21">
            <v>-395.43</v>
          </cell>
        </row>
        <row r="22">
          <cell r="A22" t="str">
            <v>23300</v>
          </cell>
          <cell r="H22">
            <v>-651.70000000000005</v>
          </cell>
        </row>
        <row r="23">
          <cell r="A23" t="str">
            <v>23406</v>
          </cell>
          <cell r="H23">
            <v>-18.09</v>
          </cell>
        </row>
        <row r="24">
          <cell r="A24" t="str">
            <v>24510</v>
          </cell>
          <cell r="H24">
            <v>-18850.189999999999</v>
          </cell>
        </row>
        <row r="25">
          <cell r="A25" t="str">
            <v>24600</v>
          </cell>
          <cell r="H25">
            <v>-174195.51</v>
          </cell>
        </row>
        <row r="26">
          <cell r="A26" t="str">
            <v>29000</v>
          </cell>
          <cell r="H26">
            <v>-0.2</v>
          </cell>
        </row>
        <row r="27">
          <cell r="A27" t="str">
            <v>29010</v>
          </cell>
          <cell r="H27">
            <v>0</v>
          </cell>
        </row>
        <row r="28">
          <cell r="A28" t="str">
            <v>30022</v>
          </cell>
          <cell r="H28">
            <v>-408452.15</v>
          </cell>
        </row>
        <row r="29">
          <cell r="A29" t="str">
            <v>30045</v>
          </cell>
          <cell r="H29">
            <v>-300</v>
          </cell>
        </row>
        <row r="30">
          <cell r="A30" t="str">
            <v>30510</v>
          </cell>
          <cell r="H30">
            <v>-446102.03</v>
          </cell>
        </row>
        <row r="31">
          <cell r="A31" t="str">
            <v>30540</v>
          </cell>
          <cell r="H31">
            <v>217687.62</v>
          </cell>
        </row>
        <row r="32">
          <cell r="A32" t="str">
            <v>32000</v>
          </cell>
          <cell r="H32">
            <v>603457.26</v>
          </cell>
        </row>
        <row r="33">
          <cell r="A33" t="str">
            <v>40025</v>
          </cell>
          <cell r="H33">
            <v>0</v>
          </cell>
        </row>
        <row r="34">
          <cell r="A34" t="str">
            <v>40026</v>
          </cell>
          <cell r="H34">
            <v>-646.70000000000005</v>
          </cell>
        </row>
        <row r="35">
          <cell r="A35" t="str">
            <v>40032</v>
          </cell>
          <cell r="H35">
            <v>-813.62</v>
          </cell>
        </row>
        <row r="36">
          <cell r="A36" t="str">
            <v>16060</v>
          </cell>
          <cell r="H36">
            <v>32.21</v>
          </cell>
        </row>
        <row r="37">
          <cell r="A37" t="str">
            <v>51022</v>
          </cell>
          <cell r="H37">
            <v>0</v>
          </cell>
        </row>
        <row r="38">
          <cell r="A38" t="str">
            <v>51205</v>
          </cell>
          <cell r="H38">
            <v>0</v>
          </cell>
        </row>
        <row r="39">
          <cell r="A39" t="str">
            <v>51270</v>
          </cell>
          <cell r="H39">
            <v>0</v>
          </cell>
        </row>
        <row r="40">
          <cell r="A40" t="str">
            <v>51280</v>
          </cell>
          <cell r="H40">
            <v>12741.39</v>
          </cell>
        </row>
        <row r="41">
          <cell r="A41" t="str">
            <v>51312</v>
          </cell>
          <cell r="H41">
            <v>19.899999999999999</v>
          </cell>
        </row>
        <row r="42">
          <cell r="A42" t="str">
            <v>51410</v>
          </cell>
          <cell r="H42">
            <v>107.99999999999997</v>
          </cell>
        </row>
        <row r="43">
          <cell r="A43" t="str">
            <v>51490</v>
          </cell>
          <cell r="H43">
            <v>92.47</v>
          </cell>
        </row>
        <row r="44">
          <cell r="A44" t="str">
            <v>51530</v>
          </cell>
          <cell r="H44">
            <v>169.47</v>
          </cell>
        </row>
        <row r="45">
          <cell r="A45" t="str">
            <v>51610</v>
          </cell>
          <cell r="H45">
            <v>6112</v>
          </cell>
        </row>
        <row r="46">
          <cell r="A46" t="str">
            <v>53045</v>
          </cell>
          <cell r="H46">
            <v>695.76</v>
          </cell>
        </row>
        <row r="47">
          <cell r="A47" t="str">
            <v>53080</v>
          </cell>
          <cell r="H47">
            <v>557.46</v>
          </cell>
        </row>
        <row r="48">
          <cell r="A48" t="str">
            <v>53095</v>
          </cell>
          <cell r="H48">
            <v>17.170000000000002</v>
          </cell>
        </row>
        <row r="49">
          <cell r="A49" t="str">
            <v>60010</v>
          </cell>
          <cell r="H49">
            <v>723.1</v>
          </cell>
        </row>
        <row r="50">
          <cell r="A50" t="str">
            <v>60100</v>
          </cell>
          <cell r="H50">
            <v>60</v>
          </cell>
        </row>
        <row r="51">
          <cell r="A51" t="str">
            <v>60120</v>
          </cell>
          <cell r="H51">
            <v>0</v>
          </cell>
        </row>
        <row r="52">
          <cell r="A52" t="str">
            <v>60125</v>
          </cell>
          <cell r="H52">
            <v>5500</v>
          </cell>
        </row>
        <row r="53">
          <cell r="A53" t="str">
            <v>60200</v>
          </cell>
          <cell r="H53">
            <v>151.34</v>
          </cell>
        </row>
        <row r="54">
          <cell r="A54" t="str">
            <v>60213</v>
          </cell>
          <cell r="H54">
            <v>0</v>
          </cell>
        </row>
        <row r="55">
          <cell r="A55" t="str">
            <v>61000</v>
          </cell>
          <cell r="H55">
            <v>4159.96</v>
          </cell>
        </row>
        <row r="56">
          <cell r="A56" t="str">
            <v>61600</v>
          </cell>
          <cell r="H56">
            <v>20</v>
          </cell>
        </row>
        <row r="57">
          <cell r="A57" t="str">
            <v>61700</v>
          </cell>
          <cell r="H57">
            <v>189.1</v>
          </cell>
        </row>
        <row r="58">
          <cell r="A58" t="str">
            <v>62101</v>
          </cell>
          <cell r="H58">
            <v>258.68</v>
          </cell>
        </row>
        <row r="59">
          <cell r="A59" t="str">
            <v>62400</v>
          </cell>
          <cell r="H59">
            <v>0</v>
          </cell>
        </row>
        <row r="60">
          <cell r="A60" t="str">
            <v>62500</v>
          </cell>
          <cell r="H60">
            <v>0</v>
          </cell>
        </row>
        <row r="61">
          <cell r="A61" t="str">
            <v>63100</v>
          </cell>
          <cell r="H61">
            <v>44.78</v>
          </cell>
        </row>
        <row r="62">
          <cell r="A62" t="str">
            <v>63125</v>
          </cell>
          <cell r="H62">
            <v>0</v>
          </cell>
        </row>
        <row r="63">
          <cell r="A63" t="str">
            <v>65095</v>
          </cell>
          <cell r="H63">
            <v>0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38418.339999999997</v>
          </cell>
        </row>
        <row r="7">
          <cell r="A7" t="str">
            <v>10300</v>
          </cell>
          <cell r="H7">
            <v>13755.97</v>
          </cell>
        </row>
        <row r="8">
          <cell r="A8" t="str">
            <v>11000</v>
          </cell>
          <cell r="H8">
            <v>11448.68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-20</v>
          </cell>
        </row>
        <row r="11">
          <cell r="A11" t="str">
            <v>13200</v>
          </cell>
          <cell r="H11">
            <v>410.4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-550.64</v>
          </cell>
        </row>
        <row r="15">
          <cell r="A15" t="str">
            <v>16020</v>
          </cell>
          <cell r="H15">
            <v>-3733.55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33.33</v>
          </cell>
        </row>
        <row r="19">
          <cell r="A19" t="str">
            <v>20045</v>
          </cell>
          <cell r="H19">
            <v>1957.39</v>
          </cell>
        </row>
        <row r="20">
          <cell r="A20" t="str">
            <v>20095</v>
          </cell>
          <cell r="H20">
            <v>-32198.82</v>
          </cell>
        </row>
        <row r="21">
          <cell r="A21" t="str">
            <v>23040</v>
          </cell>
          <cell r="H21">
            <v>-395.43</v>
          </cell>
        </row>
        <row r="22">
          <cell r="A22" t="str">
            <v>23300</v>
          </cell>
          <cell r="H22">
            <v>-651.70000000000005</v>
          </cell>
        </row>
        <row r="23">
          <cell r="A23" t="str">
            <v>23406</v>
          </cell>
          <cell r="H23">
            <v>-813.64</v>
          </cell>
        </row>
        <row r="24">
          <cell r="A24" t="str">
            <v>24510</v>
          </cell>
          <cell r="H24">
            <v>-18850.189999999999</v>
          </cell>
        </row>
        <row r="25">
          <cell r="A25" t="str">
            <v>24600</v>
          </cell>
          <cell r="H25">
            <v>-173954.12</v>
          </cell>
        </row>
        <row r="26">
          <cell r="A26" t="str">
            <v>29000</v>
          </cell>
          <cell r="H26">
            <v>-0.2</v>
          </cell>
        </row>
        <row r="27">
          <cell r="A27" t="str">
            <v>29010</v>
          </cell>
          <cell r="H27">
            <v>0</v>
          </cell>
        </row>
        <row r="28">
          <cell r="A28" t="str">
            <v>30022</v>
          </cell>
          <cell r="H28">
            <v>-303015.39</v>
          </cell>
        </row>
        <row r="29">
          <cell r="A29" t="str">
            <v>30045</v>
          </cell>
          <cell r="H29">
            <v>-300</v>
          </cell>
        </row>
        <row r="30">
          <cell r="A30" t="str">
            <v>30510</v>
          </cell>
          <cell r="H30">
            <v>-446102.03</v>
          </cell>
        </row>
        <row r="31">
          <cell r="A31" t="str">
            <v>30540</v>
          </cell>
          <cell r="H31">
            <v>217687.62</v>
          </cell>
        </row>
        <row r="32">
          <cell r="A32" t="str">
            <v>30550</v>
          </cell>
          <cell r="H32">
            <v>0</v>
          </cell>
        </row>
        <row r="33">
          <cell r="A33" t="str">
            <v>32000</v>
          </cell>
          <cell r="H33">
            <v>603457.26</v>
          </cell>
        </row>
        <row r="34">
          <cell r="A34" t="str">
            <v>40025</v>
          </cell>
          <cell r="H34">
            <v>166.67</v>
          </cell>
        </row>
        <row r="35">
          <cell r="A35" t="str">
            <v>40032</v>
          </cell>
          <cell r="H35">
            <v>-380.8</v>
          </cell>
        </row>
        <row r="36">
          <cell r="A36" t="str">
            <v>16060</v>
          </cell>
          <cell r="H36">
            <v>32.21</v>
          </cell>
        </row>
        <row r="37">
          <cell r="A37" t="str">
            <v>51022</v>
          </cell>
          <cell r="H37">
            <v>0</v>
          </cell>
        </row>
        <row r="38">
          <cell r="A38" t="str">
            <v>51205</v>
          </cell>
          <cell r="H38">
            <v>0</v>
          </cell>
        </row>
        <row r="39">
          <cell r="A39" t="str">
            <v>51270</v>
          </cell>
          <cell r="H39">
            <v>0</v>
          </cell>
        </row>
        <row r="40">
          <cell r="A40" t="str">
            <v>51280</v>
          </cell>
          <cell r="H40">
            <v>14257.28</v>
          </cell>
        </row>
        <row r="41">
          <cell r="A41" t="str">
            <v>51312</v>
          </cell>
          <cell r="H41">
            <v>9.9</v>
          </cell>
        </row>
        <row r="42">
          <cell r="A42" t="str">
            <v>51410</v>
          </cell>
          <cell r="H42">
            <v>113.2</v>
          </cell>
        </row>
        <row r="43">
          <cell r="A43" t="str">
            <v>51490</v>
          </cell>
          <cell r="H43">
            <v>92.47</v>
          </cell>
        </row>
        <row r="44">
          <cell r="A44" t="str">
            <v>51530</v>
          </cell>
          <cell r="H44">
            <v>169.47</v>
          </cell>
        </row>
        <row r="45">
          <cell r="A45" t="str">
            <v>51610</v>
          </cell>
          <cell r="H45">
            <v>2591.1999999999998</v>
          </cell>
        </row>
        <row r="46">
          <cell r="A46" t="str">
            <v>53045</v>
          </cell>
          <cell r="H46">
            <v>760.79</v>
          </cell>
        </row>
        <row r="47">
          <cell r="A47" t="str">
            <v>53080</v>
          </cell>
          <cell r="H47">
            <v>0</v>
          </cell>
        </row>
        <row r="48">
          <cell r="A48" t="str">
            <v>53095</v>
          </cell>
          <cell r="H48">
            <v>16.5</v>
          </cell>
        </row>
        <row r="49">
          <cell r="A49" t="str">
            <v>60010</v>
          </cell>
          <cell r="H49">
            <v>1063</v>
          </cell>
        </row>
        <row r="50">
          <cell r="A50" t="str">
            <v>60120</v>
          </cell>
          <cell r="H50">
            <v>0</v>
          </cell>
        </row>
        <row r="51">
          <cell r="A51" t="str">
            <v>60125</v>
          </cell>
          <cell r="H51">
            <v>5500</v>
          </cell>
        </row>
        <row r="52">
          <cell r="A52" t="str">
            <v>60200</v>
          </cell>
          <cell r="H52">
            <v>3895.63</v>
          </cell>
        </row>
        <row r="53">
          <cell r="A53" t="str">
            <v>60213</v>
          </cell>
          <cell r="H53">
            <v>0</v>
          </cell>
        </row>
        <row r="54">
          <cell r="A54" t="str">
            <v>61000</v>
          </cell>
          <cell r="H54">
            <v>6850.93</v>
          </cell>
        </row>
        <row r="55">
          <cell r="A55" t="str">
            <v>61600</v>
          </cell>
          <cell r="H55">
            <v>20</v>
          </cell>
        </row>
        <row r="56">
          <cell r="A56" t="str">
            <v>61700</v>
          </cell>
          <cell r="H56">
            <v>193.88</v>
          </cell>
        </row>
        <row r="57">
          <cell r="A57" t="str">
            <v>62400</v>
          </cell>
          <cell r="H57">
            <v>36</v>
          </cell>
        </row>
        <row r="58">
          <cell r="A58" t="str">
            <v>62500</v>
          </cell>
          <cell r="H58">
            <v>0</v>
          </cell>
        </row>
        <row r="59">
          <cell r="A59" t="str">
            <v>63100</v>
          </cell>
          <cell r="H59">
            <v>69</v>
          </cell>
        </row>
        <row r="60">
          <cell r="A60" t="str">
            <v>65095</v>
          </cell>
          <cell r="H60">
            <v>0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4583.28</v>
          </cell>
        </row>
        <row r="7">
          <cell r="A7" t="str">
            <v>10300</v>
          </cell>
          <cell r="H7">
            <v>20002.830000000002</v>
          </cell>
        </row>
        <row r="8">
          <cell r="A8" t="str">
            <v>11000</v>
          </cell>
          <cell r="H8">
            <v>12020.46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0</v>
          </cell>
        </row>
        <row r="11">
          <cell r="A11" t="str">
            <v>13200</v>
          </cell>
          <cell r="H11">
            <v>410.4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-518.42999999999995</v>
          </cell>
        </row>
        <row r="15">
          <cell r="A15" t="str">
            <v>16020</v>
          </cell>
          <cell r="H15">
            <v>-3641.08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20095</v>
          </cell>
          <cell r="H18">
            <v>-32198.82</v>
          </cell>
        </row>
        <row r="19">
          <cell r="A19" t="str">
            <v>23040</v>
          </cell>
          <cell r="H19">
            <v>-652.26</v>
          </cell>
        </row>
        <row r="20">
          <cell r="A20" t="str">
            <v>23406</v>
          </cell>
          <cell r="H20">
            <v>-1632</v>
          </cell>
        </row>
        <row r="21">
          <cell r="A21" t="str">
            <v>24510</v>
          </cell>
          <cell r="H21">
            <v>-18850.189999999999</v>
          </cell>
        </row>
        <row r="22">
          <cell r="A22" t="str">
            <v>24600</v>
          </cell>
          <cell r="H22">
            <v>-173760.91</v>
          </cell>
        </row>
        <row r="23">
          <cell r="A23" t="str">
            <v>29000</v>
          </cell>
          <cell r="H23">
            <v>-4695.1400000000003</v>
          </cell>
        </row>
        <row r="24">
          <cell r="A24" t="str">
            <v>29010</v>
          </cell>
          <cell r="H24">
            <v>-759.49</v>
          </cell>
        </row>
        <row r="25">
          <cell r="A25" t="str">
            <v>30022</v>
          </cell>
          <cell r="H25">
            <v>-233010.89</v>
          </cell>
        </row>
        <row r="26">
          <cell r="A26" t="str">
            <v>30045</v>
          </cell>
          <cell r="H26">
            <v>-300</v>
          </cell>
        </row>
        <row r="27">
          <cell r="A27" t="str">
            <v>30510</v>
          </cell>
          <cell r="H27">
            <v>-446102.03</v>
          </cell>
        </row>
        <row r="28">
          <cell r="A28" t="str">
            <v>30540</v>
          </cell>
          <cell r="H28">
            <v>217687.62</v>
          </cell>
        </row>
        <row r="29">
          <cell r="A29" t="str">
            <v>32000</v>
          </cell>
          <cell r="H29">
            <v>603457.26</v>
          </cell>
        </row>
        <row r="30">
          <cell r="A30" t="str">
            <v>40025</v>
          </cell>
          <cell r="H30">
            <v>-509.77</v>
          </cell>
        </row>
        <row r="31">
          <cell r="A31" t="str">
            <v>40032</v>
          </cell>
          <cell r="H31">
            <v>-581.69000000000005</v>
          </cell>
        </row>
        <row r="32">
          <cell r="A32" t="str">
            <v>16060</v>
          </cell>
          <cell r="H32">
            <v>32.21</v>
          </cell>
        </row>
        <row r="33">
          <cell r="A33" t="str">
            <v>51022</v>
          </cell>
          <cell r="H33">
            <v>550.79999999999995</v>
          </cell>
        </row>
        <row r="34">
          <cell r="A34" t="str">
            <v>51205</v>
          </cell>
          <cell r="H34">
            <v>1004.54</v>
          </cell>
        </row>
        <row r="35">
          <cell r="A35" t="str">
            <v>51270</v>
          </cell>
          <cell r="H35">
            <v>0</v>
          </cell>
        </row>
        <row r="36">
          <cell r="A36" t="str">
            <v>51280</v>
          </cell>
          <cell r="H36">
            <v>18587.07</v>
          </cell>
        </row>
        <row r="37">
          <cell r="A37" t="str">
            <v>51312</v>
          </cell>
          <cell r="H37">
            <v>19.899999999999999</v>
          </cell>
        </row>
        <row r="38">
          <cell r="A38" t="str">
            <v>51410</v>
          </cell>
          <cell r="H38">
            <v>155.53</v>
          </cell>
        </row>
        <row r="39">
          <cell r="A39" t="str">
            <v>51490</v>
          </cell>
          <cell r="H39">
            <v>92.47</v>
          </cell>
        </row>
        <row r="40">
          <cell r="A40" t="str">
            <v>51530</v>
          </cell>
          <cell r="H40">
            <v>279.54000000000002</v>
          </cell>
        </row>
        <row r="41">
          <cell r="A41" t="str">
            <v>51610</v>
          </cell>
          <cell r="H41">
            <v>686.2</v>
          </cell>
        </row>
        <row r="42">
          <cell r="A42" t="str">
            <v>53045</v>
          </cell>
          <cell r="H42">
            <v>683.27</v>
          </cell>
        </row>
        <row r="43">
          <cell r="A43" t="str">
            <v>53080</v>
          </cell>
          <cell r="H43">
            <v>455.65</v>
          </cell>
        </row>
        <row r="44">
          <cell r="A44" t="str">
            <v>53095</v>
          </cell>
          <cell r="H44">
            <v>28.73</v>
          </cell>
        </row>
        <row r="45">
          <cell r="A45" t="str">
            <v>60010</v>
          </cell>
          <cell r="H45">
            <v>721</v>
          </cell>
        </row>
        <row r="46">
          <cell r="A46" t="str">
            <v>60120</v>
          </cell>
          <cell r="H46">
            <v>148.99</v>
          </cell>
        </row>
        <row r="47">
          <cell r="A47" t="str">
            <v>60125</v>
          </cell>
          <cell r="H47">
            <v>5500</v>
          </cell>
        </row>
        <row r="48">
          <cell r="A48" t="str">
            <v>60200</v>
          </cell>
          <cell r="H48">
            <v>2975.73</v>
          </cell>
        </row>
        <row r="49">
          <cell r="A49" t="str">
            <v>60213</v>
          </cell>
          <cell r="H49">
            <v>47</v>
          </cell>
        </row>
        <row r="50">
          <cell r="A50" t="str">
            <v>61000</v>
          </cell>
          <cell r="H50">
            <v>3064.08</v>
          </cell>
        </row>
        <row r="51">
          <cell r="A51" t="str">
            <v>61600</v>
          </cell>
          <cell r="H51">
            <v>20</v>
          </cell>
        </row>
        <row r="52">
          <cell r="A52" t="str">
            <v>61700</v>
          </cell>
          <cell r="H52">
            <v>193.88</v>
          </cell>
        </row>
        <row r="53">
          <cell r="A53" t="str">
            <v>62500</v>
          </cell>
          <cell r="H53">
            <v>248.75</v>
          </cell>
        </row>
        <row r="54">
          <cell r="A54" t="str">
            <v>63100</v>
          </cell>
          <cell r="H54">
            <v>44</v>
          </cell>
        </row>
        <row r="55">
          <cell r="A55" t="str">
            <v>65095</v>
          </cell>
          <cell r="H55">
            <v>0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33336.18</v>
          </cell>
        </row>
        <row r="7">
          <cell r="A7" t="str">
            <v>10300</v>
          </cell>
          <cell r="H7">
            <v>19629.37</v>
          </cell>
        </row>
        <row r="8">
          <cell r="A8" t="str">
            <v>11000</v>
          </cell>
          <cell r="H8">
            <v>12802.33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20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-486.22</v>
          </cell>
        </row>
        <row r="15">
          <cell r="A15" t="str">
            <v>16020</v>
          </cell>
          <cell r="H15">
            <v>-3548.61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20095</v>
          </cell>
          <cell r="H18">
            <v>-32198.82</v>
          </cell>
        </row>
        <row r="19">
          <cell r="A19" t="str">
            <v>23040</v>
          </cell>
          <cell r="H19">
            <v>-652.26</v>
          </cell>
        </row>
        <row r="20">
          <cell r="A20" t="str">
            <v>23406</v>
          </cell>
          <cell r="H20">
            <v>-1948.05</v>
          </cell>
        </row>
        <row r="21">
          <cell r="A21" t="str">
            <v>24510</v>
          </cell>
          <cell r="H21">
            <v>-18850.189999999999</v>
          </cell>
        </row>
        <row r="22">
          <cell r="A22" t="str">
            <v>24600</v>
          </cell>
          <cell r="H22">
            <v>-173594.13</v>
          </cell>
        </row>
        <row r="23">
          <cell r="A23" t="str">
            <v>29000</v>
          </cell>
          <cell r="H23">
            <v>-0.2</v>
          </cell>
        </row>
        <row r="24">
          <cell r="A24" t="str">
            <v>29010</v>
          </cell>
          <cell r="H24">
            <v>0</v>
          </cell>
        </row>
        <row r="25">
          <cell r="A25" t="str">
            <v>30022</v>
          </cell>
          <cell r="H25">
            <v>-232982.16</v>
          </cell>
        </row>
        <row r="26">
          <cell r="A26" t="str">
            <v>30045</v>
          </cell>
          <cell r="H26">
            <v>-300</v>
          </cell>
        </row>
        <row r="27">
          <cell r="A27" t="str">
            <v>30510</v>
          </cell>
          <cell r="H27">
            <v>-446102.03</v>
          </cell>
        </row>
        <row r="28">
          <cell r="A28" t="str">
            <v>30540</v>
          </cell>
          <cell r="H28">
            <v>217687.62</v>
          </cell>
        </row>
        <row r="29">
          <cell r="A29" t="str">
            <v>32000</v>
          </cell>
          <cell r="H29">
            <v>603457.26</v>
          </cell>
        </row>
        <row r="30">
          <cell r="A30" t="str">
            <v>40032</v>
          </cell>
          <cell r="H30">
            <v>-857.28</v>
          </cell>
        </row>
        <row r="31">
          <cell r="A31" t="str">
            <v>16060</v>
          </cell>
          <cell r="H31">
            <v>32.209999999999994</v>
          </cell>
        </row>
        <row r="32">
          <cell r="A32" t="str">
            <v>51270</v>
          </cell>
          <cell r="H32">
            <v>0</v>
          </cell>
        </row>
        <row r="33">
          <cell r="A33" t="str">
            <v>51280</v>
          </cell>
          <cell r="H33">
            <v>17980.730000000003</v>
          </cell>
        </row>
        <row r="34">
          <cell r="A34" t="str">
            <v>51312</v>
          </cell>
          <cell r="H34">
            <v>19.899999999999999</v>
          </cell>
        </row>
        <row r="35">
          <cell r="A35" t="str">
            <v>51410</v>
          </cell>
          <cell r="H35">
            <v>342</v>
          </cell>
        </row>
        <row r="36">
          <cell r="A36" t="str">
            <v>51490</v>
          </cell>
          <cell r="H36">
            <v>92.470000000000027</v>
          </cell>
        </row>
        <row r="37">
          <cell r="A37" t="str">
            <v>51530</v>
          </cell>
          <cell r="H37">
            <v>279.53999999999996</v>
          </cell>
        </row>
        <row r="38">
          <cell r="A38" t="str">
            <v>51610</v>
          </cell>
          <cell r="H38">
            <v>1441.2</v>
          </cell>
        </row>
        <row r="39">
          <cell r="A39" t="str">
            <v>53045</v>
          </cell>
          <cell r="H39">
            <v>699.17</v>
          </cell>
        </row>
        <row r="40">
          <cell r="A40" t="str">
            <v>53080</v>
          </cell>
          <cell r="H40">
            <v>0</v>
          </cell>
        </row>
        <row r="41">
          <cell r="A41" t="str">
            <v>53095</v>
          </cell>
          <cell r="H41">
            <v>48.89</v>
          </cell>
        </row>
        <row r="42">
          <cell r="A42" t="str">
            <v>60010</v>
          </cell>
          <cell r="H42">
            <v>641</v>
          </cell>
        </row>
        <row r="43">
          <cell r="A43" t="str">
            <v>60120</v>
          </cell>
          <cell r="H43">
            <v>464.99</v>
          </cell>
        </row>
        <row r="44">
          <cell r="A44" t="str">
            <v>60125</v>
          </cell>
          <cell r="H44">
            <v>5500</v>
          </cell>
        </row>
        <row r="45">
          <cell r="A45" t="str">
            <v>60200</v>
          </cell>
          <cell r="H45">
            <v>0</v>
          </cell>
        </row>
        <row r="46">
          <cell r="A46" t="str">
            <v>61600</v>
          </cell>
          <cell r="H46">
            <v>20</v>
          </cell>
        </row>
        <row r="47">
          <cell r="A47" t="str">
            <v>61700</v>
          </cell>
          <cell r="H47">
            <v>193.88</v>
          </cell>
        </row>
        <row r="48">
          <cell r="A48" t="str">
            <v>63100</v>
          </cell>
          <cell r="H48">
            <v>44</v>
          </cell>
        </row>
        <row r="49">
          <cell r="A49" t="str">
            <v>65095</v>
          </cell>
          <cell r="H49">
            <v>0.77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18237.919999999998</v>
          </cell>
        </row>
        <row r="7">
          <cell r="A7" t="str">
            <v>10300</v>
          </cell>
          <cell r="H7">
            <v>20398.57</v>
          </cell>
        </row>
        <row r="8">
          <cell r="A8" t="str">
            <v>11000</v>
          </cell>
          <cell r="H8">
            <v>11773.59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40.770000000000003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-454.01</v>
          </cell>
        </row>
        <row r="15">
          <cell r="A15" t="str">
            <v>16020</v>
          </cell>
          <cell r="H15">
            <v>-3456.14</v>
          </cell>
        </row>
        <row r="16">
          <cell r="A16" t="str">
            <v>20015</v>
          </cell>
          <cell r="H16">
            <v>-8350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-32198.82</v>
          </cell>
        </row>
        <row r="20">
          <cell r="A20" t="str">
            <v>23040</v>
          </cell>
          <cell r="H20">
            <v>-652.26</v>
          </cell>
        </row>
        <row r="21">
          <cell r="A21" t="str">
            <v>23400</v>
          </cell>
          <cell r="H21">
            <v>0</v>
          </cell>
        </row>
        <row r="22">
          <cell r="A22" t="str">
            <v>23406</v>
          </cell>
          <cell r="H22">
            <v>-2339.25</v>
          </cell>
        </row>
        <row r="23">
          <cell r="A23" t="str">
            <v>24510</v>
          </cell>
          <cell r="H23">
            <v>-18850.189999999999</v>
          </cell>
        </row>
        <row r="24">
          <cell r="A24" t="str">
            <v>24600</v>
          </cell>
          <cell r="H24">
            <v>-173530.07</v>
          </cell>
        </row>
        <row r="25">
          <cell r="A25" t="str">
            <v>29000</v>
          </cell>
          <cell r="H25">
            <v>-4780.9399999999996</v>
          </cell>
        </row>
        <row r="26">
          <cell r="A26" t="str">
            <v>29010</v>
          </cell>
          <cell r="H26">
            <v>-2918.19</v>
          </cell>
        </row>
        <row r="27">
          <cell r="A27" t="str">
            <v>30022</v>
          </cell>
          <cell r="H27">
            <v>-182800.27</v>
          </cell>
        </row>
        <row r="28">
          <cell r="A28" t="str">
            <v>30045</v>
          </cell>
          <cell r="H28">
            <v>-300</v>
          </cell>
        </row>
        <row r="29">
          <cell r="A29" t="str">
            <v>30510</v>
          </cell>
          <cell r="H29">
            <v>-446102.03</v>
          </cell>
        </row>
        <row r="30">
          <cell r="A30" t="str">
            <v>30540</v>
          </cell>
          <cell r="H30">
            <v>217687.62</v>
          </cell>
        </row>
        <row r="31">
          <cell r="A31" t="str">
            <v>32000</v>
          </cell>
          <cell r="H31">
            <v>445358.91</v>
          </cell>
        </row>
        <row r="32">
          <cell r="A32" t="str">
            <v>40025</v>
          </cell>
          <cell r="H32">
            <v>-5309.7999999999993</v>
          </cell>
        </row>
        <row r="33">
          <cell r="A33" t="str">
            <v>40032</v>
          </cell>
          <cell r="H33">
            <v>-598.72</v>
          </cell>
        </row>
        <row r="34">
          <cell r="A34" t="str">
            <v>40042</v>
          </cell>
          <cell r="H34">
            <v>0</v>
          </cell>
        </row>
        <row r="35">
          <cell r="A35" t="str">
            <v>40192</v>
          </cell>
          <cell r="H35">
            <v>0</v>
          </cell>
        </row>
        <row r="36">
          <cell r="A36" t="str">
            <v>49401</v>
          </cell>
          <cell r="H36">
            <v>0</v>
          </cell>
        </row>
        <row r="37">
          <cell r="A37" t="str">
            <v>49405</v>
          </cell>
          <cell r="H37">
            <v>0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911.44999999999993</v>
          </cell>
        </row>
        <row r="41">
          <cell r="A41" t="str">
            <v>51270</v>
          </cell>
          <cell r="H41">
            <v>2158.1</v>
          </cell>
        </row>
        <row r="42">
          <cell r="A42" t="str">
            <v>51280</v>
          </cell>
          <cell r="H42">
            <v>18991.590000000004</v>
          </cell>
        </row>
        <row r="43">
          <cell r="A43" t="str">
            <v>51312</v>
          </cell>
          <cell r="H43">
            <v>9.9</v>
          </cell>
        </row>
        <row r="44">
          <cell r="A44" t="str">
            <v>51410</v>
          </cell>
          <cell r="H44">
            <v>316.89</v>
          </cell>
        </row>
        <row r="45">
          <cell r="A45" t="str">
            <v>51490</v>
          </cell>
          <cell r="H45">
            <v>92.47</v>
          </cell>
        </row>
        <row r="46">
          <cell r="A46" t="str">
            <v>51530</v>
          </cell>
          <cell r="H46">
            <v>279.54000000000002</v>
          </cell>
        </row>
        <row r="47">
          <cell r="A47" t="str">
            <v>51540</v>
          </cell>
          <cell r="H47">
            <v>0</v>
          </cell>
        </row>
        <row r="48">
          <cell r="A48" t="str">
            <v>51610</v>
          </cell>
          <cell r="H48">
            <v>91.2</v>
          </cell>
        </row>
        <row r="49">
          <cell r="A49" t="str">
            <v>51620</v>
          </cell>
          <cell r="H49">
            <v>0</v>
          </cell>
        </row>
        <row r="50">
          <cell r="A50" t="str">
            <v>53035</v>
          </cell>
          <cell r="H50">
            <v>0</v>
          </cell>
        </row>
        <row r="51">
          <cell r="A51" t="str">
            <v>53045</v>
          </cell>
          <cell r="H51">
            <v>1198.19</v>
          </cell>
        </row>
        <row r="52">
          <cell r="A52" t="str">
            <v>53080</v>
          </cell>
          <cell r="H52">
            <v>0</v>
          </cell>
        </row>
        <row r="53">
          <cell r="A53" t="str">
            <v>53095</v>
          </cell>
          <cell r="H53">
            <v>62.93</v>
          </cell>
        </row>
        <row r="54">
          <cell r="A54" t="str">
            <v>60010</v>
          </cell>
          <cell r="H54">
            <v>641</v>
          </cell>
        </row>
        <row r="55">
          <cell r="A55" t="str">
            <v>60080</v>
          </cell>
          <cell r="H55">
            <v>203.5</v>
          </cell>
        </row>
        <row r="56">
          <cell r="A56" t="str">
            <v>60115</v>
          </cell>
          <cell r="H56">
            <v>0</v>
          </cell>
        </row>
        <row r="57">
          <cell r="A57" t="str">
            <v>60125</v>
          </cell>
          <cell r="H57">
            <v>5500</v>
          </cell>
        </row>
        <row r="58">
          <cell r="A58" t="str">
            <v>60200</v>
          </cell>
          <cell r="H58">
            <v>3729.84</v>
          </cell>
        </row>
        <row r="59">
          <cell r="A59" t="str">
            <v>60213</v>
          </cell>
          <cell r="H59">
            <v>0</v>
          </cell>
        </row>
        <row r="60">
          <cell r="A60" t="str">
            <v>61000</v>
          </cell>
          <cell r="H60">
            <v>0</v>
          </cell>
        </row>
        <row r="61">
          <cell r="A61" t="str">
            <v>61600</v>
          </cell>
          <cell r="H61">
            <v>-220</v>
          </cell>
        </row>
        <row r="62">
          <cell r="A62" t="str">
            <v>61700</v>
          </cell>
          <cell r="H62">
            <v>343.88</v>
          </cell>
        </row>
        <row r="63">
          <cell r="A63" t="str">
            <v>62200</v>
          </cell>
          <cell r="H63">
            <v>0</v>
          </cell>
        </row>
        <row r="64">
          <cell r="A64" t="str">
            <v>62415</v>
          </cell>
          <cell r="H64">
            <v>0</v>
          </cell>
        </row>
        <row r="65">
          <cell r="A65" t="str">
            <v>62500</v>
          </cell>
          <cell r="H65">
            <v>0</v>
          </cell>
        </row>
        <row r="66">
          <cell r="A66" t="str">
            <v>62710</v>
          </cell>
          <cell r="H66">
            <v>4440</v>
          </cell>
        </row>
        <row r="67">
          <cell r="A67" t="str">
            <v>63100</v>
          </cell>
          <cell r="H67">
            <v>44.36</v>
          </cell>
        </row>
        <row r="68">
          <cell r="A68" t="str">
            <v>63125</v>
          </cell>
          <cell r="H68">
            <v>0</v>
          </cell>
        </row>
        <row r="69">
          <cell r="A69" t="str">
            <v>65095</v>
          </cell>
          <cell r="H69">
            <v>0.77</v>
          </cell>
        </row>
      </sheetData>
      <sheetData sheetId="1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18827.560000000001</v>
          </cell>
        </row>
        <row r="7">
          <cell r="A7" t="str">
            <v>10300</v>
          </cell>
          <cell r="H7">
            <v>40386.660000000003</v>
          </cell>
        </row>
        <row r="8">
          <cell r="A8" t="str">
            <v>11000</v>
          </cell>
          <cell r="H8">
            <v>17464.47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61.54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-421.8</v>
          </cell>
        </row>
        <row r="15">
          <cell r="A15" t="str">
            <v>16020</v>
          </cell>
          <cell r="H15">
            <v>-3363.67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-31287.37</v>
          </cell>
        </row>
        <row r="20">
          <cell r="A20" t="str">
            <v>23040</v>
          </cell>
          <cell r="H20">
            <v>-652.26</v>
          </cell>
        </row>
        <row r="21">
          <cell r="A21" t="str">
            <v>23406</v>
          </cell>
          <cell r="H21">
            <v>-1548.91</v>
          </cell>
        </row>
        <row r="22">
          <cell r="A22" t="str">
            <v>24510</v>
          </cell>
          <cell r="H22">
            <v>-18850.189999999999</v>
          </cell>
        </row>
        <row r="23">
          <cell r="A23" t="str">
            <v>24600</v>
          </cell>
          <cell r="H23">
            <v>-173139.55</v>
          </cell>
        </row>
        <row r="24">
          <cell r="A24" t="str">
            <v>29000</v>
          </cell>
          <cell r="H24">
            <v>-4780.9399999999996</v>
          </cell>
        </row>
        <row r="25">
          <cell r="A25" t="str">
            <v>29010</v>
          </cell>
          <cell r="H25">
            <v>-2918.19</v>
          </cell>
        </row>
        <row r="26">
          <cell r="A26" t="str">
            <v>30022</v>
          </cell>
          <cell r="H26">
            <v>-182737.34</v>
          </cell>
        </row>
        <row r="27">
          <cell r="A27" t="str">
            <v>30045</v>
          </cell>
          <cell r="H27">
            <v>-300</v>
          </cell>
        </row>
        <row r="28">
          <cell r="A28" t="str">
            <v>30510</v>
          </cell>
          <cell r="H28">
            <v>-446102.03</v>
          </cell>
        </row>
        <row r="29">
          <cell r="A29" t="str">
            <v>30540</v>
          </cell>
          <cell r="H29">
            <v>217687.62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445358.91</v>
          </cell>
        </row>
        <row r="32">
          <cell r="A32" t="str">
            <v>40025</v>
          </cell>
          <cell r="H32">
            <v>-9637.7800000011921</v>
          </cell>
        </row>
        <row r="33">
          <cell r="A33" t="str">
            <v>40032</v>
          </cell>
          <cell r="H33">
            <v>-577.89999999990687</v>
          </cell>
        </row>
        <row r="34">
          <cell r="A34" t="str">
            <v>40042</v>
          </cell>
          <cell r="H34">
            <v>0</v>
          </cell>
        </row>
        <row r="35">
          <cell r="A35" t="str">
            <v>40192</v>
          </cell>
          <cell r="H35">
            <v>0</v>
          </cell>
        </row>
        <row r="36">
          <cell r="A36" t="str">
            <v>49401</v>
          </cell>
          <cell r="H36">
            <v>0</v>
          </cell>
        </row>
        <row r="37">
          <cell r="A37" t="str">
            <v>16060</v>
          </cell>
          <cell r="H37">
            <v>32.210000000006403</v>
          </cell>
        </row>
        <row r="38">
          <cell r="A38" t="str">
            <v>50000</v>
          </cell>
          <cell r="H38">
            <v>0</v>
          </cell>
        </row>
        <row r="39">
          <cell r="A39" t="str">
            <v>50070</v>
          </cell>
          <cell r="H39">
            <v>1599.6500000003725</v>
          </cell>
        </row>
        <row r="40">
          <cell r="A40" t="str">
            <v>51270</v>
          </cell>
          <cell r="H40">
            <v>2158.7000000001863</v>
          </cell>
        </row>
        <row r="41">
          <cell r="A41" t="str">
            <v>51280</v>
          </cell>
          <cell r="H41">
            <v>18463.390000000596</v>
          </cell>
        </row>
        <row r="42">
          <cell r="A42" t="str">
            <v>51312</v>
          </cell>
          <cell r="H42">
            <v>19.899999999994179</v>
          </cell>
        </row>
        <row r="43">
          <cell r="A43" t="str">
            <v>51410</v>
          </cell>
          <cell r="H43">
            <v>168.86000000010245</v>
          </cell>
        </row>
        <row r="44">
          <cell r="A44" t="str">
            <v>51490</v>
          </cell>
          <cell r="H44">
            <v>92.46999999997206</v>
          </cell>
        </row>
        <row r="45">
          <cell r="A45" t="str">
            <v>51530</v>
          </cell>
          <cell r="H45">
            <v>279.54000000003725</v>
          </cell>
        </row>
        <row r="46">
          <cell r="A46" t="str">
            <v>51540</v>
          </cell>
          <cell r="H46">
            <v>0</v>
          </cell>
        </row>
        <row r="47">
          <cell r="A47" t="str">
            <v>51610</v>
          </cell>
          <cell r="H47">
            <v>91.200000000011642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53045</v>
          </cell>
          <cell r="H50">
            <v>1722.8199999993667</v>
          </cell>
        </row>
        <row r="51">
          <cell r="A51" t="str">
            <v>53080</v>
          </cell>
          <cell r="H51">
            <v>403.38999999989755</v>
          </cell>
        </row>
        <row r="52">
          <cell r="A52" t="str">
            <v>53095</v>
          </cell>
          <cell r="H52">
            <v>42.17</v>
          </cell>
        </row>
        <row r="53">
          <cell r="A53" t="str">
            <v>60010</v>
          </cell>
          <cell r="H53">
            <v>641</v>
          </cell>
        </row>
        <row r="54">
          <cell r="A54" t="str">
            <v>60115</v>
          </cell>
          <cell r="H54">
            <v>0</v>
          </cell>
        </row>
        <row r="55">
          <cell r="A55" t="str">
            <v>60125</v>
          </cell>
          <cell r="H55">
            <v>0</v>
          </cell>
        </row>
        <row r="56">
          <cell r="A56" t="str">
            <v>60200</v>
          </cell>
          <cell r="H56">
            <v>548.25</v>
          </cell>
        </row>
        <row r="57">
          <cell r="A57" t="str">
            <v>60213</v>
          </cell>
          <cell r="H57">
            <v>0</v>
          </cell>
        </row>
        <row r="58">
          <cell r="A58" t="str">
            <v>61000</v>
          </cell>
          <cell r="H58">
            <v>0</v>
          </cell>
        </row>
        <row r="59">
          <cell r="A59" t="str">
            <v>61600</v>
          </cell>
          <cell r="H59">
            <v>20</v>
          </cell>
        </row>
        <row r="60">
          <cell r="A60" t="str">
            <v>61700</v>
          </cell>
          <cell r="H60">
            <v>193.88000000000466</v>
          </cell>
        </row>
        <row r="61">
          <cell r="A61" t="str">
            <v>62200</v>
          </cell>
          <cell r="H61">
            <v>0</v>
          </cell>
        </row>
        <row r="62">
          <cell r="A62" t="str">
            <v>62415</v>
          </cell>
          <cell r="H62">
            <v>0</v>
          </cell>
        </row>
        <row r="63">
          <cell r="A63" t="str">
            <v>62500</v>
          </cell>
          <cell r="H63">
            <v>0</v>
          </cell>
        </row>
        <row r="64">
          <cell r="A64" t="str">
            <v>62710</v>
          </cell>
          <cell r="H64">
            <v>0</v>
          </cell>
        </row>
        <row r="65">
          <cell r="A65" t="str">
            <v>63100</v>
          </cell>
          <cell r="H65">
            <v>44</v>
          </cell>
        </row>
        <row r="66">
          <cell r="A66" t="str">
            <v>63125</v>
          </cell>
          <cell r="H66">
            <v>0</v>
          </cell>
        </row>
        <row r="67">
          <cell r="A67" t="str">
            <v>65095</v>
          </cell>
          <cell r="H67">
            <v>0.90000000000009095</v>
          </cell>
        </row>
        <row r="68">
          <cell r="A68" t="str">
            <v>67920</v>
          </cell>
          <cell r="H68">
            <v>0</v>
          </cell>
        </row>
      </sheetData>
      <sheetData sheetId="2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37933.839999999997</v>
          </cell>
        </row>
        <row r="7">
          <cell r="A7" t="str">
            <v>10300</v>
          </cell>
          <cell r="H7">
            <v>26837.03</v>
          </cell>
        </row>
        <row r="8">
          <cell r="A8" t="str">
            <v>11000</v>
          </cell>
          <cell r="H8">
            <v>19524.48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82.44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-389.59</v>
          </cell>
        </row>
        <row r="15">
          <cell r="A15" t="str">
            <v>16020</v>
          </cell>
          <cell r="H15">
            <v>-3271.2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-1825.55</v>
          </cell>
        </row>
        <row r="19">
          <cell r="A19" t="str">
            <v>20095</v>
          </cell>
          <cell r="H19">
            <v>-55503.03</v>
          </cell>
        </row>
        <row r="20">
          <cell r="A20" t="str">
            <v>23040</v>
          </cell>
          <cell r="H20">
            <v>-652.26</v>
          </cell>
        </row>
        <row r="21">
          <cell r="A21" t="str">
            <v>23406</v>
          </cell>
          <cell r="H21">
            <v>-857.62</v>
          </cell>
        </row>
        <row r="22">
          <cell r="A22" t="str">
            <v>24510</v>
          </cell>
          <cell r="H22">
            <v>-18850.189999999999</v>
          </cell>
        </row>
        <row r="23">
          <cell r="A23" t="str">
            <v>24600</v>
          </cell>
          <cell r="H23">
            <v>-172801.83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-156879.85999999999</v>
          </cell>
        </row>
        <row r="27">
          <cell r="A27" t="str">
            <v>30045</v>
          </cell>
          <cell r="H27">
            <v>-300</v>
          </cell>
        </row>
        <row r="28">
          <cell r="A28" t="str">
            <v>30510</v>
          </cell>
          <cell r="H28">
            <v>-446102.03</v>
          </cell>
        </row>
        <row r="29">
          <cell r="A29" t="str">
            <v>30540</v>
          </cell>
          <cell r="H29">
            <v>217687.62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445358.91</v>
          </cell>
        </row>
        <row r="32">
          <cell r="A32" t="str">
            <v>40025</v>
          </cell>
          <cell r="H32">
            <v>-11695.83</v>
          </cell>
        </row>
        <row r="33">
          <cell r="A33" t="str">
            <v>40032</v>
          </cell>
          <cell r="H33">
            <v>-459.8</v>
          </cell>
        </row>
        <row r="34">
          <cell r="A34" t="str">
            <v>40042</v>
          </cell>
          <cell r="H34">
            <v>0</v>
          </cell>
        </row>
        <row r="35">
          <cell r="A35" t="str">
            <v>49401</v>
          </cell>
          <cell r="H35">
            <v>-1.91</v>
          </cell>
        </row>
        <row r="36">
          <cell r="A36" t="str">
            <v>16060</v>
          </cell>
          <cell r="H36">
            <v>32.21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1798.21</v>
          </cell>
        </row>
        <row r="39">
          <cell r="A39" t="str">
            <v>51270</v>
          </cell>
          <cell r="H39">
            <v>2158.6999999999998</v>
          </cell>
        </row>
        <row r="40">
          <cell r="A40" t="str">
            <v>51280</v>
          </cell>
          <cell r="H40">
            <v>18119.09</v>
          </cell>
        </row>
        <row r="41">
          <cell r="A41" t="str">
            <v>51312</v>
          </cell>
          <cell r="H41">
            <v>19.899999999999999</v>
          </cell>
        </row>
        <row r="42">
          <cell r="A42" t="str">
            <v>51410</v>
          </cell>
          <cell r="H42">
            <v>524.49</v>
          </cell>
        </row>
        <row r="43">
          <cell r="A43" t="str">
            <v>51490</v>
          </cell>
          <cell r="H43">
            <v>92.47</v>
          </cell>
        </row>
        <row r="44">
          <cell r="A44" t="str">
            <v>51530</v>
          </cell>
          <cell r="H44">
            <v>279.54000000000002</v>
          </cell>
        </row>
        <row r="45">
          <cell r="A45" t="str">
            <v>51540</v>
          </cell>
          <cell r="H45">
            <v>0</v>
          </cell>
        </row>
        <row r="46">
          <cell r="A46" t="str">
            <v>51610</v>
          </cell>
          <cell r="H46">
            <v>1836.1999999999998</v>
          </cell>
        </row>
        <row r="47">
          <cell r="A47" t="str">
            <v>51620</v>
          </cell>
          <cell r="H47">
            <v>0</v>
          </cell>
        </row>
        <row r="48">
          <cell r="A48" t="str">
            <v>53035</v>
          </cell>
          <cell r="H48">
            <v>0</v>
          </cell>
        </row>
        <row r="49">
          <cell r="A49" t="str">
            <v>53045</v>
          </cell>
          <cell r="H49">
            <v>1699.64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26.69</v>
          </cell>
        </row>
        <row r="52">
          <cell r="A52" t="str">
            <v>60010</v>
          </cell>
          <cell r="H52">
            <v>641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60125</v>
          </cell>
          <cell r="H54">
            <v>4000</v>
          </cell>
        </row>
        <row r="55">
          <cell r="A55" t="str">
            <v>60200</v>
          </cell>
          <cell r="H55">
            <v>0</v>
          </cell>
        </row>
        <row r="56">
          <cell r="A56" t="str">
            <v>60213</v>
          </cell>
          <cell r="H56">
            <v>0</v>
          </cell>
        </row>
        <row r="57">
          <cell r="A57" t="str">
            <v>61000</v>
          </cell>
          <cell r="H57">
            <v>2700</v>
          </cell>
        </row>
        <row r="58">
          <cell r="A58" t="str">
            <v>61600</v>
          </cell>
          <cell r="H58">
            <v>20</v>
          </cell>
        </row>
        <row r="59">
          <cell r="A59" t="str">
            <v>61700</v>
          </cell>
          <cell r="H59">
            <v>193.88</v>
          </cell>
        </row>
        <row r="60">
          <cell r="A60" t="str">
            <v>62200</v>
          </cell>
          <cell r="H60">
            <v>0</v>
          </cell>
        </row>
        <row r="61">
          <cell r="A61" t="str">
            <v>62415</v>
          </cell>
          <cell r="H61">
            <v>60.32</v>
          </cell>
        </row>
        <row r="62">
          <cell r="A62" t="str">
            <v>62500</v>
          </cell>
          <cell r="H62">
            <v>0</v>
          </cell>
        </row>
        <row r="63">
          <cell r="A63" t="str">
            <v>62710</v>
          </cell>
          <cell r="H63">
            <v>0</v>
          </cell>
        </row>
        <row r="64">
          <cell r="A64" t="str">
            <v>63100</v>
          </cell>
          <cell r="H64">
            <v>44.2</v>
          </cell>
        </row>
        <row r="65">
          <cell r="A65" t="str">
            <v>63125</v>
          </cell>
          <cell r="H65">
            <v>0</v>
          </cell>
        </row>
        <row r="66">
          <cell r="A66" t="str">
            <v>65095</v>
          </cell>
          <cell r="H66">
            <v>0.77</v>
          </cell>
        </row>
      </sheetData>
      <sheetData sheetId="2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4493.17</v>
          </cell>
        </row>
        <row r="7">
          <cell r="A7" t="str">
            <v>10300</v>
          </cell>
          <cell r="H7">
            <v>23736.720000000001</v>
          </cell>
        </row>
        <row r="8">
          <cell r="A8" t="str">
            <v>11000</v>
          </cell>
          <cell r="H8">
            <v>12805.33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103.21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-357.38</v>
          </cell>
        </row>
        <row r="15">
          <cell r="A15" t="str">
            <v>16020</v>
          </cell>
          <cell r="H15">
            <v>-3178.73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-1825.55</v>
          </cell>
        </row>
        <row r="19">
          <cell r="A19" t="str">
            <v>20095</v>
          </cell>
          <cell r="H19">
            <v>-53704.82</v>
          </cell>
        </row>
        <row r="20">
          <cell r="A20" t="str">
            <v>23040</v>
          </cell>
          <cell r="H20">
            <v>-652.26</v>
          </cell>
        </row>
        <row r="21">
          <cell r="A21" t="str">
            <v>23406</v>
          </cell>
          <cell r="H21">
            <v>184.51</v>
          </cell>
        </row>
        <row r="22">
          <cell r="A22" t="str">
            <v>24510</v>
          </cell>
          <cell r="H22">
            <v>-18850.189999999999</v>
          </cell>
        </row>
        <row r="23">
          <cell r="A23" t="str">
            <v>24600</v>
          </cell>
          <cell r="H23">
            <v>-172599.41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-94718.17</v>
          </cell>
        </row>
        <row r="27">
          <cell r="A27" t="str">
            <v>30045</v>
          </cell>
          <cell r="H27">
            <v>-300</v>
          </cell>
        </row>
        <row r="28">
          <cell r="A28" t="str">
            <v>30510</v>
          </cell>
          <cell r="H28">
            <v>-446102.03</v>
          </cell>
        </row>
        <row r="29">
          <cell r="A29" t="str">
            <v>30540</v>
          </cell>
          <cell r="H29">
            <v>217687.62</v>
          </cell>
        </row>
        <row r="30">
          <cell r="A30" t="str">
            <v>32000</v>
          </cell>
          <cell r="H30">
            <v>445358.91</v>
          </cell>
        </row>
        <row r="31">
          <cell r="A31" t="str">
            <v>40025</v>
          </cell>
          <cell r="H31">
            <v>-4306.04</v>
          </cell>
        </row>
        <row r="32">
          <cell r="A32" t="str">
            <v>40032</v>
          </cell>
          <cell r="H32">
            <v>-1105.8399999999999</v>
          </cell>
        </row>
        <row r="33">
          <cell r="A33" t="str">
            <v>40042</v>
          </cell>
          <cell r="H33">
            <v>0</v>
          </cell>
        </row>
        <row r="34">
          <cell r="A34" t="str">
            <v>40051</v>
          </cell>
          <cell r="H34">
            <v>0</v>
          </cell>
        </row>
        <row r="35">
          <cell r="A35" t="str">
            <v>16060</v>
          </cell>
          <cell r="H35">
            <v>32.21</v>
          </cell>
        </row>
        <row r="36">
          <cell r="A36" t="str">
            <v>50000</v>
          </cell>
          <cell r="H36">
            <v>0</v>
          </cell>
        </row>
        <row r="37">
          <cell r="A37" t="str">
            <v>50070</v>
          </cell>
          <cell r="H37">
            <v>981.92</v>
          </cell>
        </row>
        <row r="38">
          <cell r="A38" t="str">
            <v>51270</v>
          </cell>
          <cell r="H38">
            <v>2158.6999999999998</v>
          </cell>
        </row>
        <row r="39">
          <cell r="A39" t="str">
            <v>51280</v>
          </cell>
          <cell r="H39">
            <v>21312.95</v>
          </cell>
        </row>
        <row r="40">
          <cell r="A40" t="str">
            <v>51312</v>
          </cell>
          <cell r="H40">
            <v>19.899999999999999</v>
          </cell>
        </row>
        <row r="41">
          <cell r="A41" t="str">
            <v>51410</v>
          </cell>
          <cell r="H41">
            <v>155</v>
          </cell>
        </row>
        <row r="42">
          <cell r="A42" t="str">
            <v>51490</v>
          </cell>
          <cell r="H42">
            <v>92.47</v>
          </cell>
        </row>
        <row r="43">
          <cell r="A43" t="str">
            <v>51530</v>
          </cell>
          <cell r="H43">
            <v>279.54000000000002</v>
          </cell>
        </row>
        <row r="44">
          <cell r="A44" t="str">
            <v>51540</v>
          </cell>
          <cell r="H44">
            <v>-89325.35</v>
          </cell>
        </row>
        <row r="45">
          <cell r="A45" t="str">
            <v>51610</v>
          </cell>
          <cell r="H45">
            <v>182.4</v>
          </cell>
        </row>
        <row r="46">
          <cell r="A46" t="str">
            <v>51620</v>
          </cell>
          <cell r="H46">
            <v>0</v>
          </cell>
        </row>
        <row r="47">
          <cell r="A47" t="str">
            <v>53035</v>
          </cell>
          <cell r="H47">
            <v>0</v>
          </cell>
        </row>
        <row r="48">
          <cell r="A48" t="str">
            <v>53080</v>
          </cell>
          <cell r="H48">
            <v>841.12</v>
          </cell>
        </row>
        <row r="49">
          <cell r="A49" t="str">
            <v>53095</v>
          </cell>
          <cell r="H49">
            <v>0</v>
          </cell>
        </row>
        <row r="50">
          <cell r="A50" t="str">
            <v>60010</v>
          </cell>
          <cell r="H50">
            <v>641</v>
          </cell>
        </row>
        <row r="51">
          <cell r="A51" t="str">
            <v>60115</v>
          </cell>
          <cell r="H51">
            <v>125</v>
          </cell>
        </row>
        <row r="52">
          <cell r="A52" t="str">
            <v>60200</v>
          </cell>
          <cell r="H52">
            <v>554.42999999999995</v>
          </cell>
        </row>
        <row r="53">
          <cell r="A53" t="str">
            <v>60213</v>
          </cell>
          <cell r="H53">
            <v>0</v>
          </cell>
        </row>
        <row r="54">
          <cell r="A54" t="str">
            <v>61000</v>
          </cell>
          <cell r="H54">
            <v>0</v>
          </cell>
        </row>
        <row r="55">
          <cell r="A55" t="str">
            <v>61600</v>
          </cell>
          <cell r="H55">
            <v>1178.3499999999999</v>
          </cell>
        </row>
        <row r="56">
          <cell r="A56" t="str">
            <v>61700</v>
          </cell>
          <cell r="H56">
            <v>193.88</v>
          </cell>
        </row>
        <row r="57">
          <cell r="A57" t="str">
            <v>62200</v>
          </cell>
          <cell r="H57">
            <v>0</v>
          </cell>
        </row>
        <row r="58">
          <cell r="A58" t="str">
            <v>62415</v>
          </cell>
          <cell r="H58">
            <v>0</v>
          </cell>
        </row>
        <row r="59">
          <cell r="A59" t="str">
            <v>62500</v>
          </cell>
          <cell r="H59">
            <v>0</v>
          </cell>
        </row>
        <row r="60">
          <cell r="A60" t="str">
            <v>62710</v>
          </cell>
          <cell r="H60">
            <v>0</v>
          </cell>
        </row>
        <row r="61">
          <cell r="A61" t="str">
            <v>63100</v>
          </cell>
          <cell r="H61">
            <v>44</v>
          </cell>
        </row>
        <row r="62">
          <cell r="A62" t="str">
            <v>63125</v>
          </cell>
          <cell r="H62">
            <v>0</v>
          </cell>
        </row>
        <row r="63">
          <cell r="A63" t="str">
            <v>65095</v>
          </cell>
          <cell r="H63">
            <v>1679.4</v>
          </cell>
        </row>
        <row r="64">
          <cell r="A64" t="str">
            <v>66000</v>
          </cell>
          <cell r="H64">
            <v>0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13211.57</v>
          </cell>
        </row>
        <row r="7">
          <cell r="A7" t="str">
            <v>10300</v>
          </cell>
          <cell r="H7">
            <v>41369.46</v>
          </cell>
        </row>
        <row r="8">
          <cell r="A8" t="str">
            <v>11000</v>
          </cell>
          <cell r="H8">
            <v>14447.53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123.98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-325.17</v>
          </cell>
        </row>
        <row r="15">
          <cell r="A15" t="str">
            <v>16020</v>
          </cell>
          <cell r="H15">
            <v>-3086.26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-1825.55</v>
          </cell>
        </row>
        <row r="19">
          <cell r="A19" t="str">
            <v>20045</v>
          </cell>
          <cell r="H19">
            <v>0</v>
          </cell>
        </row>
        <row r="20">
          <cell r="A20" t="str">
            <v>20095</v>
          </cell>
          <cell r="H20">
            <v>-52722.9</v>
          </cell>
        </row>
        <row r="21">
          <cell r="A21" t="str">
            <v>23040</v>
          </cell>
          <cell r="H21">
            <v>-652.26</v>
          </cell>
        </row>
        <row r="22">
          <cell r="A22" t="str">
            <v>23406</v>
          </cell>
          <cell r="H22">
            <v>505.77</v>
          </cell>
        </row>
        <row r="23">
          <cell r="A23" t="str">
            <v>24100</v>
          </cell>
          <cell r="H23">
            <v>0</v>
          </cell>
        </row>
        <row r="24">
          <cell r="A24" t="str">
            <v>24510</v>
          </cell>
          <cell r="H24">
            <v>-6529.04</v>
          </cell>
        </row>
        <row r="25">
          <cell r="A25" t="str">
            <v>24600</v>
          </cell>
          <cell r="H25">
            <v>-169467.13</v>
          </cell>
        </row>
        <row r="26">
          <cell r="A26" t="str">
            <v>29000</v>
          </cell>
          <cell r="H26">
            <v>-4595.67</v>
          </cell>
        </row>
        <row r="27">
          <cell r="A27" t="str">
            <v>29010</v>
          </cell>
          <cell r="H27">
            <v>-2918.19</v>
          </cell>
        </row>
        <row r="28">
          <cell r="A28" t="str">
            <v>30022</v>
          </cell>
          <cell r="H28">
            <v>-196364.67</v>
          </cell>
        </row>
        <row r="29">
          <cell r="A29" t="str">
            <v>30045</v>
          </cell>
          <cell r="H29">
            <v>-300</v>
          </cell>
        </row>
        <row r="30">
          <cell r="A30" t="str">
            <v>30510</v>
          </cell>
          <cell r="H30">
            <v>-446102.03</v>
          </cell>
        </row>
        <row r="31">
          <cell r="A31" t="str">
            <v>30540</v>
          </cell>
          <cell r="H31">
            <v>217687.62</v>
          </cell>
        </row>
        <row r="32">
          <cell r="A32" t="str">
            <v>32000</v>
          </cell>
          <cell r="H32">
            <v>445358.91</v>
          </cell>
        </row>
        <row r="33">
          <cell r="A33" t="str">
            <v>40025</v>
          </cell>
          <cell r="H33">
            <v>-8167.62</v>
          </cell>
        </row>
        <row r="34">
          <cell r="A34" t="str">
            <v>40032</v>
          </cell>
          <cell r="H34">
            <v>-960.16</v>
          </cell>
        </row>
        <row r="35">
          <cell r="A35" t="str">
            <v>40042</v>
          </cell>
          <cell r="H35">
            <v>0</v>
          </cell>
        </row>
        <row r="36">
          <cell r="A36" t="str">
            <v>40192</v>
          </cell>
          <cell r="H36">
            <v>0</v>
          </cell>
        </row>
        <row r="37">
          <cell r="A37" t="str">
            <v>16060</v>
          </cell>
          <cell r="H37">
            <v>32.21</v>
          </cell>
        </row>
        <row r="38">
          <cell r="A38" t="str">
            <v>50000</v>
          </cell>
          <cell r="H38">
            <v>0</v>
          </cell>
        </row>
        <row r="39">
          <cell r="A39" t="str">
            <v>50070</v>
          </cell>
          <cell r="H39">
            <v>1315.21</v>
          </cell>
        </row>
        <row r="40">
          <cell r="A40" t="str">
            <v>51270</v>
          </cell>
          <cell r="H40">
            <v>2158.6999999999998</v>
          </cell>
        </row>
        <row r="41">
          <cell r="A41" t="str">
            <v>51280</v>
          </cell>
          <cell r="H41">
            <v>17636.669999999998</v>
          </cell>
        </row>
        <row r="42">
          <cell r="A42" t="str">
            <v>51312</v>
          </cell>
          <cell r="H42">
            <v>24.9</v>
          </cell>
        </row>
        <row r="43">
          <cell r="A43" t="str">
            <v>51410</v>
          </cell>
          <cell r="H43">
            <v>379.23</v>
          </cell>
        </row>
        <row r="44">
          <cell r="A44" t="str">
            <v>51490</v>
          </cell>
          <cell r="H44">
            <v>92.47</v>
          </cell>
        </row>
        <row r="45">
          <cell r="A45" t="str">
            <v>51530</v>
          </cell>
          <cell r="H45">
            <v>279.54000000000002</v>
          </cell>
        </row>
        <row r="46">
          <cell r="A46" t="str">
            <v>51540</v>
          </cell>
          <cell r="H46">
            <v>0</v>
          </cell>
        </row>
        <row r="47">
          <cell r="A47" t="str">
            <v>51610</v>
          </cell>
          <cell r="H47">
            <v>395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25.01</v>
          </cell>
        </row>
        <row r="50">
          <cell r="A50" t="str">
            <v>53080</v>
          </cell>
          <cell r="H50">
            <v>800.35</v>
          </cell>
        </row>
        <row r="51">
          <cell r="A51" t="str">
            <v>53095</v>
          </cell>
          <cell r="H51">
            <v>43.11</v>
          </cell>
        </row>
        <row r="52">
          <cell r="A52" t="str">
            <v>60010</v>
          </cell>
          <cell r="H52">
            <v>641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60200</v>
          </cell>
          <cell r="H54">
            <v>0</v>
          </cell>
        </row>
        <row r="55">
          <cell r="A55" t="str">
            <v>60213</v>
          </cell>
          <cell r="H55">
            <v>0</v>
          </cell>
        </row>
        <row r="56">
          <cell r="A56" t="str">
            <v>61000</v>
          </cell>
          <cell r="H56">
            <v>175.5</v>
          </cell>
        </row>
        <row r="57">
          <cell r="A57" t="str">
            <v>61600</v>
          </cell>
          <cell r="H57">
            <v>20</v>
          </cell>
        </row>
        <row r="58">
          <cell r="A58" t="str">
            <v>61700</v>
          </cell>
          <cell r="H58">
            <v>193.88</v>
          </cell>
        </row>
        <row r="59">
          <cell r="A59" t="str">
            <v>62200</v>
          </cell>
          <cell r="H59">
            <v>24.34</v>
          </cell>
        </row>
        <row r="60">
          <cell r="A60" t="str">
            <v>62415</v>
          </cell>
          <cell r="H60">
            <v>0</v>
          </cell>
        </row>
        <row r="61">
          <cell r="A61" t="str">
            <v>62500</v>
          </cell>
          <cell r="H61">
            <v>122.5</v>
          </cell>
        </row>
        <row r="62">
          <cell r="A62" t="str">
            <v>62710</v>
          </cell>
          <cell r="H62">
            <v>0</v>
          </cell>
        </row>
        <row r="63">
          <cell r="A63" t="str">
            <v>63100</v>
          </cell>
          <cell r="H63">
            <v>44</v>
          </cell>
        </row>
        <row r="64">
          <cell r="A64" t="str">
            <v>63125</v>
          </cell>
          <cell r="H64">
            <v>94.61</v>
          </cell>
        </row>
        <row r="65">
          <cell r="A65" t="str">
            <v>65095</v>
          </cell>
          <cell r="H65">
            <v>1434.74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20294.13</v>
          </cell>
        </row>
        <row r="7">
          <cell r="A7" t="str">
            <v>10300</v>
          </cell>
          <cell r="H7">
            <v>60476.97</v>
          </cell>
        </row>
        <row r="8">
          <cell r="A8" t="str">
            <v>11000</v>
          </cell>
          <cell r="H8">
            <v>10155.89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144.75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-292.95999999999998</v>
          </cell>
        </row>
        <row r="15">
          <cell r="A15" t="str">
            <v>16020</v>
          </cell>
          <cell r="H15">
            <v>-2993.79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-4430.83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-7336.8</v>
          </cell>
        </row>
        <row r="21">
          <cell r="A21" t="str">
            <v>20095</v>
          </cell>
          <cell r="H21">
            <v>-51407.69</v>
          </cell>
        </row>
        <row r="22">
          <cell r="A22" t="str">
            <v>23040</v>
          </cell>
          <cell r="H22">
            <v>-652.26</v>
          </cell>
        </row>
        <row r="23">
          <cell r="A23" t="str">
            <v>23406</v>
          </cell>
          <cell r="H23">
            <v>0</v>
          </cell>
        </row>
        <row r="24">
          <cell r="A24" t="str">
            <v>24510</v>
          </cell>
          <cell r="H24">
            <v>-6529.04</v>
          </cell>
        </row>
        <row r="25">
          <cell r="A25" t="str">
            <v>24600</v>
          </cell>
          <cell r="H25">
            <v>-170047.13</v>
          </cell>
        </row>
        <row r="26">
          <cell r="A26" t="str">
            <v>29000</v>
          </cell>
          <cell r="H26">
            <v>-4595.66</v>
          </cell>
        </row>
        <row r="27">
          <cell r="A27" t="str">
            <v>29010</v>
          </cell>
          <cell r="H27">
            <v>-2918.19</v>
          </cell>
        </row>
        <row r="28">
          <cell r="A28" t="str">
            <v>30022</v>
          </cell>
          <cell r="H28">
            <v>-196321.56</v>
          </cell>
        </row>
        <row r="29">
          <cell r="A29" t="str">
            <v>30045</v>
          </cell>
          <cell r="H29">
            <v>-300</v>
          </cell>
        </row>
        <row r="30">
          <cell r="A30" t="str">
            <v>30510</v>
          </cell>
          <cell r="H30">
            <v>-446102.03</v>
          </cell>
        </row>
        <row r="31">
          <cell r="A31" t="str">
            <v>30540</v>
          </cell>
          <cell r="H31">
            <v>217687.62</v>
          </cell>
        </row>
        <row r="32">
          <cell r="A32" t="str">
            <v>30550</v>
          </cell>
          <cell r="H32">
            <v>0</v>
          </cell>
        </row>
        <row r="33">
          <cell r="A33" t="str">
            <v>32000</v>
          </cell>
          <cell r="H33">
            <v>445358.91</v>
          </cell>
        </row>
        <row r="34">
          <cell r="A34" t="str">
            <v>40025</v>
          </cell>
          <cell r="H34">
            <v>-9157.67</v>
          </cell>
        </row>
        <row r="35">
          <cell r="A35" t="str">
            <v>40032</v>
          </cell>
          <cell r="H35">
            <v>-1143.9100000000001</v>
          </cell>
        </row>
        <row r="36">
          <cell r="A36" t="str">
            <v>40042</v>
          </cell>
          <cell r="H36">
            <v>0.1</v>
          </cell>
        </row>
        <row r="37">
          <cell r="A37" t="str">
            <v>16060</v>
          </cell>
          <cell r="H37">
            <v>32.21</v>
          </cell>
        </row>
        <row r="38">
          <cell r="A38" t="str">
            <v>50000</v>
          </cell>
          <cell r="H38">
            <v>0</v>
          </cell>
        </row>
        <row r="39">
          <cell r="A39" t="str">
            <v>50070</v>
          </cell>
          <cell r="H39">
            <v>1304.69</v>
          </cell>
        </row>
        <row r="40">
          <cell r="A40" t="str">
            <v>51270</v>
          </cell>
          <cell r="H40">
            <v>2158.6999999999998</v>
          </cell>
        </row>
        <row r="41">
          <cell r="A41" t="str">
            <v>51280</v>
          </cell>
          <cell r="H41">
            <v>17622.080000000002</v>
          </cell>
        </row>
        <row r="42">
          <cell r="A42" t="str">
            <v>51312</v>
          </cell>
          <cell r="H42">
            <v>19.899999999999999</v>
          </cell>
        </row>
        <row r="43">
          <cell r="A43" t="str">
            <v>51410</v>
          </cell>
          <cell r="H43">
            <v>337.26</v>
          </cell>
        </row>
        <row r="44">
          <cell r="A44" t="str">
            <v>51490</v>
          </cell>
          <cell r="H44">
            <v>92.47</v>
          </cell>
        </row>
        <row r="45">
          <cell r="A45" t="str">
            <v>51530</v>
          </cell>
          <cell r="H45">
            <v>279.54000000000002</v>
          </cell>
        </row>
        <row r="46">
          <cell r="A46" t="str">
            <v>51540</v>
          </cell>
          <cell r="H46">
            <v>28.91</v>
          </cell>
        </row>
        <row r="47">
          <cell r="A47" t="str">
            <v>51610</v>
          </cell>
          <cell r="H47">
            <v>1441.2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53080</v>
          </cell>
          <cell r="H50">
            <v>799.57</v>
          </cell>
        </row>
        <row r="51">
          <cell r="A51" t="str">
            <v>53095</v>
          </cell>
          <cell r="H51">
            <v>0</v>
          </cell>
        </row>
        <row r="52">
          <cell r="A52" t="str">
            <v>60010</v>
          </cell>
          <cell r="H52">
            <v>641.15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60200</v>
          </cell>
          <cell r="H54">
            <v>932.05</v>
          </cell>
        </row>
        <row r="55">
          <cell r="A55" t="str">
            <v>60213</v>
          </cell>
          <cell r="H55">
            <v>0</v>
          </cell>
        </row>
        <row r="56">
          <cell r="A56" t="str">
            <v>61000</v>
          </cell>
          <cell r="H56">
            <v>6900</v>
          </cell>
        </row>
        <row r="57">
          <cell r="A57" t="str">
            <v>61600</v>
          </cell>
          <cell r="H57">
            <v>20</v>
          </cell>
        </row>
        <row r="58">
          <cell r="A58" t="str">
            <v>61700</v>
          </cell>
          <cell r="H58">
            <v>193.88</v>
          </cell>
        </row>
        <row r="59">
          <cell r="A59" t="str">
            <v>62200</v>
          </cell>
          <cell r="H59">
            <v>0</v>
          </cell>
        </row>
        <row r="60">
          <cell r="A60" t="str">
            <v>62415</v>
          </cell>
          <cell r="H60">
            <v>0</v>
          </cell>
        </row>
        <row r="61">
          <cell r="A61" t="str">
            <v>62500</v>
          </cell>
          <cell r="H61">
            <v>0</v>
          </cell>
        </row>
        <row r="62">
          <cell r="A62" t="str">
            <v>62710</v>
          </cell>
          <cell r="H62">
            <v>150</v>
          </cell>
        </row>
        <row r="63">
          <cell r="A63" t="str">
            <v>63100</v>
          </cell>
          <cell r="H63">
            <v>44</v>
          </cell>
        </row>
        <row r="64">
          <cell r="A64" t="str">
            <v>65095</v>
          </cell>
          <cell r="H64">
            <v>0.77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25570.09</v>
          </cell>
        </row>
        <row r="7">
          <cell r="A7" t="str">
            <v>10300</v>
          </cell>
          <cell r="H7">
            <v>64104.26</v>
          </cell>
        </row>
        <row r="8">
          <cell r="A8" t="str">
            <v>11000</v>
          </cell>
          <cell r="H8">
            <v>14786.21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165.52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-260.75</v>
          </cell>
        </row>
        <row r="15">
          <cell r="A15" t="str">
            <v>16020</v>
          </cell>
          <cell r="H15">
            <v>-2901.32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-7128.68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0</v>
          </cell>
        </row>
        <row r="21">
          <cell r="A21" t="str">
            <v>20095</v>
          </cell>
          <cell r="H21">
            <v>-50103</v>
          </cell>
        </row>
        <row r="22">
          <cell r="A22" t="str">
            <v>23040</v>
          </cell>
          <cell r="H22">
            <v>-652.26</v>
          </cell>
        </row>
        <row r="23">
          <cell r="A23" t="str">
            <v>23300</v>
          </cell>
          <cell r="H23">
            <v>0</v>
          </cell>
        </row>
        <row r="24">
          <cell r="A24" t="str">
            <v>23406</v>
          </cell>
          <cell r="H24">
            <v>856.9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-170641.72</v>
          </cell>
        </row>
        <row r="27">
          <cell r="A27" t="str">
            <v>29000</v>
          </cell>
          <cell r="H27">
            <v>0</v>
          </cell>
        </row>
        <row r="28">
          <cell r="A28" t="str">
            <v>29010</v>
          </cell>
          <cell r="H28">
            <v>0</v>
          </cell>
        </row>
        <row r="29">
          <cell r="A29" t="str">
            <v>30022</v>
          </cell>
          <cell r="H29">
            <v>-196292.65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-11525.1</v>
          </cell>
        </row>
        <row r="36">
          <cell r="A36" t="str">
            <v>40032</v>
          </cell>
          <cell r="H36">
            <v>-1681.41</v>
          </cell>
        </row>
        <row r="37">
          <cell r="A37" t="str">
            <v>40042</v>
          </cell>
          <cell r="H37">
            <v>0.12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1289.6600000000001</v>
          </cell>
        </row>
        <row r="41">
          <cell r="A41" t="str">
            <v>51270</v>
          </cell>
          <cell r="H41">
            <v>2158.6999999999998</v>
          </cell>
        </row>
        <row r="42">
          <cell r="A42" t="str">
            <v>51280</v>
          </cell>
          <cell r="H42">
            <v>17620.689999999999</v>
          </cell>
        </row>
        <row r="43">
          <cell r="A43" t="str">
            <v>51312</v>
          </cell>
          <cell r="H43">
            <v>19.899999999999999</v>
          </cell>
        </row>
        <row r="44">
          <cell r="A44" t="str">
            <v>51410</v>
          </cell>
          <cell r="H44">
            <v>44.4</v>
          </cell>
        </row>
        <row r="45">
          <cell r="A45" t="str">
            <v>51490</v>
          </cell>
          <cell r="H45">
            <v>92.47</v>
          </cell>
        </row>
        <row r="46">
          <cell r="A46" t="str">
            <v>51530</v>
          </cell>
          <cell r="H46">
            <v>279.54000000000002</v>
          </cell>
        </row>
        <row r="47">
          <cell r="A47" t="str">
            <v>51610</v>
          </cell>
          <cell r="H47">
            <v>91.2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0</v>
          </cell>
        </row>
        <row r="52">
          <cell r="A52" t="str">
            <v>60010</v>
          </cell>
          <cell r="H52">
            <v>641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60200</v>
          </cell>
          <cell r="H54">
            <v>4675.6400000000003</v>
          </cell>
        </row>
        <row r="55">
          <cell r="A55" t="str">
            <v>60213</v>
          </cell>
          <cell r="H55">
            <v>0</v>
          </cell>
        </row>
        <row r="56">
          <cell r="A56" t="str">
            <v>61000</v>
          </cell>
          <cell r="H56">
            <v>10726.03</v>
          </cell>
        </row>
        <row r="57">
          <cell r="A57" t="str">
            <v>61600</v>
          </cell>
          <cell r="H57">
            <v>20</v>
          </cell>
        </row>
        <row r="58">
          <cell r="A58" t="str">
            <v>61700</v>
          </cell>
          <cell r="H58">
            <v>193.88</v>
          </cell>
        </row>
        <row r="59">
          <cell r="A59" t="str">
            <v>62200</v>
          </cell>
          <cell r="H59">
            <v>0</v>
          </cell>
        </row>
        <row r="60">
          <cell r="A60" t="str">
            <v>62415</v>
          </cell>
          <cell r="H60">
            <v>0</v>
          </cell>
        </row>
        <row r="61">
          <cell r="A61" t="str">
            <v>62500</v>
          </cell>
          <cell r="H61">
            <v>0</v>
          </cell>
        </row>
        <row r="62">
          <cell r="A62" t="str">
            <v>62710</v>
          </cell>
          <cell r="H62">
            <v>0</v>
          </cell>
        </row>
        <row r="63">
          <cell r="A63" t="str">
            <v>63100</v>
          </cell>
          <cell r="H63">
            <v>51.5</v>
          </cell>
        </row>
        <row r="64">
          <cell r="A64" t="str">
            <v>65095</v>
          </cell>
          <cell r="H64">
            <v>18.68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4921.6099999999997</v>
          </cell>
        </row>
        <row r="7">
          <cell r="A7" t="str">
            <v>10300</v>
          </cell>
          <cell r="H7">
            <v>57958.27</v>
          </cell>
        </row>
        <row r="8">
          <cell r="A8" t="str">
            <v>11000</v>
          </cell>
          <cell r="H8">
            <v>15953.74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186.29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-228.54</v>
          </cell>
        </row>
        <row r="15">
          <cell r="A15" t="str">
            <v>16020</v>
          </cell>
          <cell r="H15">
            <v>-2808.85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-4487.41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-4302.9399999999996</v>
          </cell>
        </row>
        <row r="21">
          <cell r="A21" t="str">
            <v>20095</v>
          </cell>
          <cell r="H21">
            <v>-48813.34</v>
          </cell>
        </row>
        <row r="22">
          <cell r="A22" t="str">
            <v>23040</v>
          </cell>
          <cell r="H22">
            <v>-825.86</v>
          </cell>
        </row>
        <row r="23">
          <cell r="A23" t="str">
            <v>23300</v>
          </cell>
          <cell r="H23">
            <v>-100</v>
          </cell>
        </row>
        <row r="24">
          <cell r="A24" t="str">
            <v>23406</v>
          </cell>
          <cell r="H24">
            <v>700.99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-171237.7</v>
          </cell>
        </row>
        <row r="27">
          <cell r="A27" t="str">
            <v>29000</v>
          </cell>
          <cell r="H27">
            <v>-5027.07</v>
          </cell>
        </row>
        <row r="28">
          <cell r="A28" t="str">
            <v>29010</v>
          </cell>
          <cell r="H28">
            <v>-3383.75</v>
          </cell>
        </row>
        <row r="29">
          <cell r="A29" t="str">
            <v>30022</v>
          </cell>
          <cell r="H29">
            <v>-136253.73000000001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-21581.88</v>
          </cell>
        </row>
        <row r="36">
          <cell r="A36" t="str">
            <v>40032</v>
          </cell>
          <cell r="H36">
            <v>-855.24</v>
          </cell>
        </row>
        <row r="37">
          <cell r="A37" t="str">
            <v>40042</v>
          </cell>
          <cell r="H37">
            <v>0.08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1953.05</v>
          </cell>
        </row>
        <row r="41">
          <cell r="A41" t="str">
            <v>51270</v>
          </cell>
          <cell r="H41">
            <v>2468.1</v>
          </cell>
        </row>
        <row r="42">
          <cell r="A42" t="str">
            <v>51280</v>
          </cell>
          <cell r="H42">
            <v>18478.169999999998</v>
          </cell>
        </row>
        <row r="43">
          <cell r="A43" t="str">
            <v>51312</v>
          </cell>
          <cell r="H43">
            <v>8.25</v>
          </cell>
        </row>
        <row r="44">
          <cell r="A44" t="str">
            <v>51410</v>
          </cell>
          <cell r="H44">
            <v>0</v>
          </cell>
        </row>
        <row r="45">
          <cell r="A45" t="str">
            <v>51490</v>
          </cell>
          <cell r="H45">
            <v>92.47</v>
          </cell>
        </row>
        <row r="46">
          <cell r="A46" t="str">
            <v>51530</v>
          </cell>
          <cell r="H46">
            <v>353.94</v>
          </cell>
        </row>
        <row r="47">
          <cell r="A47" t="str">
            <v>51610</v>
          </cell>
          <cell r="H47">
            <v>91.2</v>
          </cell>
        </row>
        <row r="48">
          <cell r="A48" t="str">
            <v>51620</v>
          </cell>
          <cell r="H48">
            <v>0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188.06</v>
          </cell>
        </row>
        <row r="52">
          <cell r="A52" t="str">
            <v>60010</v>
          </cell>
          <cell r="H52">
            <v>648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60200</v>
          </cell>
          <cell r="H54">
            <v>339.23</v>
          </cell>
        </row>
        <row r="55">
          <cell r="A55" t="str">
            <v>60213</v>
          </cell>
          <cell r="H55">
            <v>0</v>
          </cell>
        </row>
        <row r="56">
          <cell r="A56" t="str">
            <v>61000</v>
          </cell>
          <cell r="H56">
            <v>15770.01</v>
          </cell>
        </row>
        <row r="57">
          <cell r="A57" t="str">
            <v>61600</v>
          </cell>
          <cell r="H57">
            <v>20</v>
          </cell>
        </row>
        <row r="58">
          <cell r="A58" t="str">
            <v>61700</v>
          </cell>
          <cell r="H58">
            <v>193.88</v>
          </cell>
        </row>
        <row r="59">
          <cell r="A59" t="str">
            <v>62200</v>
          </cell>
          <cell r="H59">
            <v>0</v>
          </cell>
        </row>
        <row r="60">
          <cell r="A60" t="str">
            <v>62415</v>
          </cell>
          <cell r="H60">
            <v>0</v>
          </cell>
        </row>
        <row r="61">
          <cell r="A61" t="str">
            <v>62500</v>
          </cell>
          <cell r="H61">
            <v>0</v>
          </cell>
        </row>
        <row r="62">
          <cell r="A62" t="str">
            <v>62710</v>
          </cell>
          <cell r="H62">
            <v>395</v>
          </cell>
        </row>
        <row r="63">
          <cell r="A63" t="str">
            <v>63100</v>
          </cell>
          <cell r="H63">
            <v>44.3</v>
          </cell>
        </row>
        <row r="64">
          <cell r="A64" t="str">
            <v>65095</v>
          </cell>
          <cell r="H64">
            <v>0.77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15641.42</v>
          </cell>
        </row>
        <row r="7">
          <cell r="A7" t="str">
            <v>10300</v>
          </cell>
          <cell r="H7">
            <v>71019.7</v>
          </cell>
        </row>
        <row r="8">
          <cell r="A8" t="str">
            <v>11000</v>
          </cell>
          <cell r="H8">
            <v>6745.46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207.06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-196.33</v>
          </cell>
        </row>
        <row r="15">
          <cell r="A15" t="str">
            <v>16020</v>
          </cell>
          <cell r="H15">
            <v>-2716.38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-4302.9399999999996</v>
          </cell>
        </row>
        <row r="21">
          <cell r="A21" t="str">
            <v>20095</v>
          </cell>
          <cell r="H21">
            <v>-46860.29</v>
          </cell>
        </row>
        <row r="22">
          <cell r="A22" t="str">
            <v>23040</v>
          </cell>
          <cell r="H22">
            <v>-856.66</v>
          </cell>
        </row>
        <row r="23">
          <cell r="A23" t="str">
            <v>23300</v>
          </cell>
          <cell r="H23">
            <v>-100</v>
          </cell>
        </row>
        <row r="24">
          <cell r="A24" t="str">
            <v>23406</v>
          </cell>
          <cell r="H24">
            <v>463.64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-174180.2</v>
          </cell>
        </row>
        <row r="27">
          <cell r="A27" t="str">
            <v>29000</v>
          </cell>
          <cell r="H27">
            <v>-4536.6000000000004</v>
          </cell>
        </row>
        <row r="28">
          <cell r="A28" t="str">
            <v>29010</v>
          </cell>
          <cell r="H28">
            <v>-3411.63</v>
          </cell>
        </row>
        <row r="29">
          <cell r="A29" t="str">
            <v>30022</v>
          </cell>
          <cell r="H29">
            <v>-136024.94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-3392.86</v>
          </cell>
        </row>
        <row r="36">
          <cell r="A36" t="str">
            <v>40032</v>
          </cell>
          <cell r="H36">
            <v>0</v>
          </cell>
        </row>
        <row r="37">
          <cell r="A37" t="str">
            <v>40042</v>
          </cell>
          <cell r="H37">
            <v>0.14000000000000001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1440.18</v>
          </cell>
        </row>
        <row r="41">
          <cell r="A41" t="str">
            <v>51270</v>
          </cell>
          <cell r="H41">
            <v>2495.98</v>
          </cell>
        </row>
        <row r="42">
          <cell r="A42" t="str">
            <v>51280</v>
          </cell>
          <cell r="H42">
            <v>18946.7</v>
          </cell>
        </row>
        <row r="43">
          <cell r="A43" t="str">
            <v>51312</v>
          </cell>
          <cell r="H43">
            <v>4.08</v>
          </cell>
        </row>
        <row r="44">
          <cell r="A44" t="str">
            <v>51410</v>
          </cell>
          <cell r="H44">
            <v>1791.2</v>
          </cell>
        </row>
        <row r="45">
          <cell r="A45" t="str">
            <v>51490</v>
          </cell>
          <cell r="H45">
            <v>92.47</v>
          </cell>
        </row>
        <row r="46">
          <cell r="A46" t="str">
            <v>51530</v>
          </cell>
          <cell r="H46">
            <v>367.14</v>
          </cell>
        </row>
        <row r="47">
          <cell r="A47" t="str">
            <v>51610</v>
          </cell>
          <cell r="H47">
            <v>1441.2</v>
          </cell>
        </row>
        <row r="48">
          <cell r="A48" t="str">
            <v>51620</v>
          </cell>
          <cell r="H48">
            <v>2</v>
          </cell>
        </row>
        <row r="49">
          <cell r="A49" t="str">
            <v>53035</v>
          </cell>
          <cell r="H49">
            <v>0</v>
          </cell>
        </row>
        <row r="50">
          <cell r="A50" t="str">
            <v>53080</v>
          </cell>
          <cell r="H50">
            <v>1056.6400000000001</v>
          </cell>
        </row>
        <row r="51">
          <cell r="A51" t="str">
            <v>60010</v>
          </cell>
          <cell r="H51">
            <v>641</v>
          </cell>
        </row>
        <row r="52">
          <cell r="A52" t="str">
            <v>60115</v>
          </cell>
          <cell r="H52">
            <v>0</v>
          </cell>
        </row>
        <row r="53">
          <cell r="A53" t="str">
            <v>60200</v>
          </cell>
          <cell r="H53">
            <v>0</v>
          </cell>
        </row>
        <row r="54">
          <cell r="A54" t="str">
            <v>60213</v>
          </cell>
          <cell r="H54">
            <v>0</v>
          </cell>
        </row>
        <row r="55">
          <cell r="A55" t="str">
            <v>61000</v>
          </cell>
          <cell r="H55">
            <v>14586.51</v>
          </cell>
        </row>
        <row r="56">
          <cell r="A56" t="str">
            <v>61600</v>
          </cell>
          <cell r="H56">
            <v>2338.23</v>
          </cell>
        </row>
        <row r="57">
          <cell r="A57" t="str">
            <v>61700</v>
          </cell>
          <cell r="H57">
            <v>193.93</v>
          </cell>
        </row>
        <row r="58">
          <cell r="A58" t="str">
            <v>62200</v>
          </cell>
          <cell r="H58">
            <v>0</v>
          </cell>
        </row>
        <row r="59">
          <cell r="A59" t="str">
            <v>62415</v>
          </cell>
          <cell r="H59">
            <v>0</v>
          </cell>
        </row>
        <row r="60">
          <cell r="A60" t="str">
            <v>62500</v>
          </cell>
          <cell r="H60">
            <v>0</v>
          </cell>
        </row>
        <row r="61">
          <cell r="A61" t="str">
            <v>63100</v>
          </cell>
          <cell r="H61">
            <v>363.4</v>
          </cell>
        </row>
        <row r="62">
          <cell r="A62" t="str">
            <v>65095</v>
          </cell>
          <cell r="H62">
            <v>66.87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55807.29</v>
          </cell>
        </row>
        <row r="7">
          <cell r="A7" t="str">
            <v>10300</v>
          </cell>
          <cell r="H7">
            <v>58506.83</v>
          </cell>
        </row>
        <row r="8">
          <cell r="A8" t="str">
            <v>11000</v>
          </cell>
          <cell r="H8">
            <v>15567.06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-12.17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5548.24</v>
          </cell>
        </row>
        <row r="14">
          <cell r="A14" t="str">
            <v>16000</v>
          </cell>
          <cell r="H14">
            <v>-164.12</v>
          </cell>
        </row>
        <row r="15">
          <cell r="A15" t="str">
            <v>16020</v>
          </cell>
          <cell r="H15">
            <v>-2623.91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-5455.45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0</v>
          </cell>
        </row>
        <row r="21">
          <cell r="A21" t="str">
            <v>20095</v>
          </cell>
          <cell r="H21">
            <v>-45420.11</v>
          </cell>
        </row>
        <row r="22">
          <cell r="A22" t="str">
            <v>23040</v>
          </cell>
          <cell r="H22">
            <v>-891.66</v>
          </cell>
        </row>
        <row r="23">
          <cell r="A23" t="str">
            <v>23300</v>
          </cell>
          <cell r="H23">
            <v>-400</v>
          </cell>
        </row>
        <row r="24">
          <cell r="A24" t="str">
            <v>23406</v>
          </cell>
          <cell r="H24">
            <v>1262.8599999999999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-177110.17</v>
          </cell>
        </row>
        <row r="27">
          <cell r="A27" t="str">
            <v>30022</v>
          </cell>
          <cell r="H27">
            <v>-135708.12</v>
          </cell>
        </row>
        <row r="28">
          <cell r="A28" t="str">
            <v>30045</v>
          </cell>
          <cell r="H28">
            <v>-300</v>
          </cell>
        </row>
        <row r="29">
          <cell r="A29" t="str">
            <v>30510</v>
          </cell>
          <cell r="H29">
            <v>-446102.03</v>
          </cell>
        </row>
        <row r="30">
          <cell r="A30" t="str">
            <v>30540</v>
          </cell>
          <cell r="H30">
            <v>217687.62</v>
          </cell>
        </row>
        <row r="31">
          <cell r="A31" t="str">
            <v>30550</v>
          </cell>
          <cell r="H31">
            <v>0</v>
          </cell>
        </row>
        <row r="32">
          <cell r="A32" t="str">
            <v>32000</v>
          </cell>
          <cell r="H32">
            <v>445358.91</v>
          </cell>
        </row>
        <row r="33">
          <cell r="A33" t="str">
            <v>40025</v>
          </cell>
          <cell r="H33">
            <v>-11157.74</v>
          </cell>
        </row>
        <row r="34">
          <cell r="A34" t="str">
            <v>40032</v>
          </cell>
          <cell r="H34">
            <v>-1400.51</v>
          </cell>
        </row>
        <row r="35">
          <cell r="A35" t="str">
            <v>40042</v>
          </cell>
          <cell r="H35">
            <v>0.16</v>
          </cell>
        </row>
        <row r="36">
          <cell r="A36" t="str">
            <v>16060</v>
          </cell>
          <cell r="H36">
            <v>32.21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2244.83</v>
          </cell>
        </row>
        <row r="39">
          <cell r="A39" t="str">
            <v>51270</v>
          </cell>
          <cell r="H39">
            <v>1047.76</v>
          </cell>
        </row>
        <row r="40">
          <cell r="A40" t="str">
            <v>51280</v>
          </cell>
          <cell r="H40">
            <v>18762.509999999998</v>
          </cell>
        </row>
        <row r="41">
          <cell r="A41" t="str">
            <v>51312</v>
          </cell>
          <cell r="H41">
            <v>8.25</v>
          </cell>
        </row>
        <row r="42">
          <cell r="A42" t="str">
            <v>51410</v>
          </cell>
          <cell r="H42">
            <v>234.8</v>
          </cell>
        </row>
        <row r="43">
          <cell r="A43" t="str">
            <v>51490</v>
          </cell>
          <cell r="H43">
            <v>92.47</v>
          </cell>
        </row>
        <row r="44">
          <cell r="A44" t="str">
            <v>51530</v>
          </cell>
          <cell r="H44">
            <v>382.14</v>
          </cell>
        </row>
        <row r="45">
          <cell r="A45" t="str">
            <v>51610</v>
          </cell>
          <cell r="H45">
            <v>2491.1999999999998</v>
          </cell>
        </row>
        <row r="46">
          <cell r="A46" t="str">
            <v>51620</v>
          </cell>
          <cell r="H46">
            <v>116.67</v>
          </cell>
        </row>
        <row r="47">
          <cell r="A47" t="str">
            <v>53035</v>
          </cell>
          <cell r="H47">
            <v>0</v>
          </cell>
        </row>
        <row r="48">
          <cell r="A48" t="str">
            <v>53080</v>
          </cell>
          <cell r="H48">
            <v>0</v>
          </cell>
        </row>
        <row r="49">
          <cell r="A49" t="str">
            <v>60010</v>
          </cell>
          <cell r="H49">
            <v>641</v>
          </cell>
        </row>
        <row r="50">
          <cell r="A50" t="str">
            <v>60115</v>
          </cell>
          <cell r="H50">
            <v>0</v>
          </cell>
        </row>
        <row r="51">
          <cell r="A51" t="str">
            <v>60200</v>
          </cell>
          <cell r="H51">
            <v>2875.75</v>
          </cell>
        </row>
        <row r="52">
          <cell r="A52" t="str">
            <v>60213</v>
          </cell>
          <cell r="H52">
            <v>0</v>
          </cell>
        </row>
        <row r="53">
          <cell r="A53" t="str">
            <v>61000</v>
          </cell>
          <cell r="H53">
            <v>5145.95</v>
          </cell>
        </row>
        <row r="54">
          <cell r="A54" t="str">
            <v>61600</v>
          </cell>
          <cell r="H54">
            <v>20</v>
          </cell>
        </row>
        <row r="55">
          <cell r="A55" t="str">
            <v>61700</v>
          </cell>
          <cell r="H55">
            <v>192.84</v>
          </cell>
        </row>
        <row r="56">
          <cell r="A56" t="str">
            <v>62200</v>
          </cell>
          <cell r="H56">
            <v>2.4900000000000002</v>
          </cell>
        </row>
        <row r="57">
          <cell r="A57" t="str">
            <v>62415</v>
          </cell>
          <cell r="H57">
            <v>51.44</v>
          </cell>
        </row>
        <row r="58">
          <cell r="A58" t="str">
            <v>62500</v>
          </cell>
          <cell r="H58">
            <v>34.130000000000003</v>
          </cell>
        </row>
        <row r="59">
          <cell r="A59" t="str">
            <v>63100</v>
          </cell>
          <cell r="H59">
            <v>53</v>
          </cell>
        </row>
        <row r="60">
          <cell r="A60" t="str">
            <v>65095</v>
          </cell>
          <cell r="H60">
            <v>22.3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</sheetData>
      <sheetData sheetId="2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100752.95</v>
          </cell>
        </row>
        <row r="7">
          <cell r="A7" t="str">
            <v>10300</v>
          </cell>
          <cell r="H7">
            <v>40523.08</v>
          </cell>
        </row>
        <row r="8">
          <cell r="A8" t="str">
            <v>11000</v>
          </cell>
          <cell r="H8">
            <v>18281.11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8.6</v>
          </cell>
        </row>
        <row r="11">
          <cell r="A11" t="str">
            <v>13200</v>
          </cell>
          <cell r="H11">
            <v>218.4</v>
          </cell>
        </row>
        <row r="12">
          <cell r="A12" t="str">
            <v>15000</v>
          </cell>
          <cell r="H12">
            <v>1932.46</v>
          </cell>
        </row>
        <row r="13">
          <cell r="A13" t="str">
            <v>15020</v>
          </cell>
          <cell r="H13">
            <v>5075</v>
          </cell>
        </row>
        <row r="14">
          <cell r="A14" t="str">
            <v>16000</v>
          </cell>
          <cell r="H14">
            <v>-131.91</v>
          </cell>
        </row>
        <row r="15">
          <cell r="A15" t="str">
            <v>16020</v>
          </cell>
          <cell r="H15">
            <v>-2531.44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-2943.84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-9888.7099999999991</v>
          </cell>
        </row>
        <row r="21">
          <cell r="A21" t="str">
            <v>20095</v>
          </cell>
          <cell r="H21">
            <v>-43175.28</v>
          </cell>
        </row>
        <row r="22">
          <cell r="A22" t="str">
            <v>23040</v>
          </cell>
          <cell r="H22">
            <v>-534.03</v>
          </cell>
        </row>
        <row r="23">
          <cell r="A23" t="str">
            <v>23300</v>
          </cell>
          <cell r="H23">
            <v>-200</v>
          </cell>
        </row>
        <row r="24">
          <cell r="A24" t="str">
            <v>23406</v>
          </cell>
          <cell r="H24">
            <v>1055.79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-180307.66</v>
          </cell>
        </row>
        <row r="27">
          <cell r="A27" t="str">
            <v>29000</v>
          </cell>
          <cell r="H27">
            <v>0</v>
          </cell>
        </row>
        <row r="28">
          <cell r="A28" t="str">
            <v>29010</v>
          </cell>
          <cell r="H28">
            <v>0</v>
          </cell>
        </row>
        <row r="29">
          <cell r="A29" t="str">
            <v>30022</v>
          </cell>
          <cell r="H29">
            <v>-135183.44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-13546.42</v>
          </cell>
        </row>
        <row r="36">
          <cell r="A36" t="str">
            <v>40032</v>
          </cell>
          <cell r="H36">
            <v>-1173</v>
          </cell>
        </row>
        <row r="37">
          <cell r="A37" t="str">
            <v>40042</v>
          </cell>
          <cell r="H37">
            <v>0.16</v>
          </cell>
        </row>
        <row r="38">
          <cell r="A38" t="str">
            <v>16060</v>
          </cell>
          <cell r="H38">
            <v>32.21</v>
          </cell>
        </row>
        <row r="39">
          <cell r="A39" t="str">
            <v>50000</v>
          </cell>
          <cell r="H39">
            <v>0</v>
          </cell>
        </row>
        <row r="40">
          <cell r="A40" t="str">
            <v>50070</v>
          </cell>
          <cell r="H40">
            <v>-11366.67</v>
          </cell>
        </row>
        <row r="41">
          <cell r="A41" t="str">
            <v>51280</v>
          </cell>
          <cell r="H41">
            <v>13273.82</v>
          </cell>
        </row>
        <row r="42">
          <cell r="A42" t="str">
            <v>51312</v>
          </cell>
          <cell r="H42">
            <v>17.57</v>
          </cell>
        </row>
        <row r="43">
          <cell r="A43" t="str">
            <v>51410</v>
          </cell>
          <cell r="H43">
            <v>351.6</v>
          </cell>
        </row>
        <row r="44">
          <cell r="A44" t="str">
            <v>51490</v>
          </cell>
          <cell r="H44">
            <v>84.58</v>
          </cell>
        </row>
        <row r="45">
          <cell r="A45" t="str">
            <v>51530</v>
          </cell>
          <cell r="H45">
            <v>228.87</v>
          </cell>
        </row>
        <row r="46">
          <cell r="A46" t="str">
            <v>51610</v>
          </cell>
          <cell r="H46">
            <v>666.2</v>
          </cell>
        </row>
        <row r="47">
          <cell r="A47" t="str">
            <v>53035</v>
          </cell>
          <cell r="H47">
            <v>0</v>
          </cell>
        </row>
        <row r="48">
          <cell r="A48" t="str">
            <v>53080</v>
          </cell>
          <cell r="H48">
            <v>502.43</v>
          </cell>
        </row>
        <row r="49">
          <cell r="A49" t="str">
            <v>60010</v>
          </cell>
          <cell r="H49">
            <v>641</v>
          </cell>
        </row>
        <row r="50">
          <cell r="A50" t="str">
            <v>60115</v>
          </cell>
          <cell r="H50">
            <v>0</v>
          </cell>
        </row>
        <row r="51">
          <cell r="A51" t="str">
            <v>60200</v>
          </cell>
          <cell r="H51">
            <v>168.24</v>
          </cell>
        </row>
        <row r="52">
          <cell r="A52" t="str">
            <v>60213</v>
          </cell>
          <cell r="H52">
            <v>29.17</v>
          </cell>
        </row>
        <row r="53">
          <cell r="A53" t="str">
            <v>61000</v>
          </cell>
          <cell r="H53">
            <v>4252.97</v>
          </cell>
        </row>
        <row r="54">
          <cell r="A54" t="str">
            <v>61600</v>
          </cell>
          <cell r="H54">
            <v>2001.2</v>
          </cell>
        </row>
        <row r="55">
          <cell r="A55" t="str">
            <v>61700</v>
          </cell>
          <cell r="H55">
            <v>192.84</v>
          </cell>
        </row>
        <row r="56">
          <cell r="A56" t="str">
            <v>62415</v>
          </cell>
          <cell r="H56">
            <v>26.65</v>
          </cell>
        </row>
        <row r="57">
          <cell r="A57" t="str">
            <v>63100</v>
          </cell>
          <cell r="H57">
            <v>-15.23</v>
          </cell>
        </row>
        <row r="58">
          <cell r="A58" t="str">
            <v>65095</v>
          </cell>
          <cell r="H58">
            <v>202.48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</sheetData>
      <sheetData sheetId="2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132940.07</v>
          </cell>
        </row>
        <row r="7">
          <cell r="A7" t="str">
            <v>10300</v>
          </cell>
          <cell r="H7">
            <v>21241.919999999998</v>
          </cell>
        </row>
        <row r="8">
          <cell r="A8" t="str">
            <v>11000</v>
          </cell>
          <cell r="H8">
            <v>19799.169999999998</v>
          </cell>
        </row>
        <row r="9">
          <cell r="A9" t="str">
            <v>12100</v>
          </cell>
          <cell r="H9">
            <v>1868.17</v>
          </cell>
        </row>
        <row r="10">
          <cell r="A10" t="str">
            <v>13120</v>
          </cell>
          <cell r="H10">
            <v>29.37</v>
          </cell>
        </row>
        <row r="11">
          <cell r="A11" t="str">
            <v>13200</v>
          </cell>
          <cell r="H11">
            <v>120</v>
          </cell>
        </row>
        <row r="12">
          <cell r="A12" t="str">
            <v>15000</v>
          </cell>
          <cell r="H12">
            <v>416.63</v>
          </cell>
        </row>
        <row r="13">
          <cell r="A13" t="str">
            <v>15020</v>
          </cell>
          <cell r="H13">
            <v>5075</v>
          </cell>
        </row>
        <row r="14">
          <cell r="A14" t="str">
            <v>16000</v>
          </cell>
          <cell r="H14">
            <v>-99.7</v>
          </cell>
        </row>
        <row r="15">
          <cell r="A15" t="str">
            <v>16020</v>
          </cell>
          <cell r="H15">
            <v>-2446.86</v>
          </cell>
        </row>
        <row r="16">
          <cell r="A16" t="str">
            <v>20015</v>
          </cell>
          <cell r="H16">
            <v>-4000</v>
          </cell>
        </row>
        <row r="17">
          <cell r="A17" t="str">
            <v>20030</v>
          </cell>
          <cell r="H17">
            <v>-4730.83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20040</v>
          </cell>
          <cell r="H19">
            <v>0</v>
          </cell>
        </row>
        <row r="20">
          <cell r="A20" t="str">
            <v>20045</v>
          </cell>
          <cell r="H20">
            <v>-9888.7099999999991</v>
          </cell>
        </row>
        <row r="21">
          <cell r="A21" t="str">
            <v>20095</v>
          </cell>
          <cell r="H21">
            <v>-54541.95</v>
          </cell>
        </row>
        <row r="22">
          <cell r="A22" t="str">
            <v>23040</v>
          </cell>
          <cell r="H22">
            <v>-534.03</v>
          </cell>
        </row>
        <row r="23">
          <cell r="A23" t="str">
            <v>23300</v>
          </cell>
          <cell r="H23">
            <v>-100</v>
          </cell>
        </row>
        <row r="24">
          <cell r="A24" t="str">
            <v>23406</v>
          </cell>
          <cell r="H24">
            <v>0</v>
          </cell>
        </row>
        <row r="25">
          <cell r="A25" t="str">
            <v>24510</v>
          </cell>
          <cell r="H25">
            <v>-6529.04</v>
          </cell>
        </row>
        <row r="26">
          <cell r="A26" t="str">
            <v>24600</v>
          </cell>
          <cell r="H26">
            <v>-182561.84</v>
          </cell>
        </row>
        <row r="27">
          <cell r="A27" t="str">
            <v>29000</v>
          </cell>
          <cell r="H27">
            <v>-4144.0600000000004</v>
          </cell>
        </row>
        <row r="28">
          <cell r="A28" t="str">
            <v>29010</v>
          </cell>
          <cell r="H28">
            <v>-599.82000000000005</v>
          </cell>
        </row>
        <row r="29">
          <cell r="A29" t="str">
            <v>30022</v>
          </cell>
          <cell r="H29">
            <v>-135183.44</v>
          </cell>
        </row>
        <row r="30">
          <cell r="A30" t="str">
            <v>30045</v>
          </cell>
          <cell r="H30">
            <v>-300</v>
          </cell>
        </row>
        <row r="31">
          <cell r="A31" t="str">
            <v>30510</v>
          </cell>
          <cell r="H31">
            <v>-446102.03</v>
          </cell>
        </row>
        <row r="32">
          <cell r="A32" t="str">
            <v>30540</v>
          </cell>
          <cell r="H32">
            <v>217687.62</v>
          </cell>
        </row>
        <row r="33">
          <cell r="A33" t="str">
            <v>30550</v>
          </cell>
          <cell r="H33">
            <v>0</v>
          </cell>
        </row>
        <row r="34">
          <cell r="A34" t="str">
            <v>32000</v>
          </cell>
          <cell r="H34">
            <v>445358.91</v>
          </cell>
        </row>
        <row r="35">
          <cell r="A35" t="str">
            <v>40025</v>
          </cell>
          <cell r="H35">
            <v>-14481.62</v>
          </cell>
        </row>
        <row r="36">
          <cell r="A36" t="str">
            <v>40032</v>
          </cell>
          <cell r="H36">
            <v>-1017</v>
          </cell>
        </row>
        <row r="37">
          <cell r="A37" t="str">
            <v>40042</v>
          </cell>
          <cell r="H37">
            <v>0.2</v>
          </cell>
        </row>
        <row r="38">
          <cell r="A38" t="str">
            <v>16060</v>
          </cell>
          <cell r="H38">
            <v>6.94</v>
          </cell>
        </row>
        <row r="39">
          <cell r="A39" t="str">
            <v>50000</v>
          </cell>
          <cell r="H39">
            <v>336.28</v>
          </cell>
        </row>
        <row r="40">
          <cell r="A40" t="str">
            <v>50070</v>
          </cell>
          <cell r="H40">
            <v>2993.46</v>
          </cell>
        </row>
        <row r="41">
          <cell r="A41" t="str">
            <v>51280</v>
          </cell>
          <cell r="H41">
            <v>13657.45</v>
          </cell>
        </row>
        <row r="42">
          <cell r="A42" t="str">
            <v>51312</v>
          </cell>
          <cell r="H42">
            <v>32.25</v>
          </cell>
        </row>
        <row r="43">
          <cell r="A43" t="str">
            <v>51410</v>
          </cell>
          <cell r="H43">
            <v>95</v>
          </cell>
        </row>
        <row r="44">
          <cell r="A44" t="str">
            <v>51490</v>
          </cell>
          <cell r="H44">
            <v>84.58</v>
          </cell>
        </row>
        <row r="45">
          <cell r="A45" t="str">
            <v>51530</v>
          </cell>
          <cell r="H45">
            <v>228.87</v>
          </cell>
        </row>
        <row r="46">
          <cell r="A46" t="str">
            <v>51610</v>
          </cell>
          <cell r="H46">
            <v>1441.2</v>
          </cell>
        </row>
        <row r="47">
          <cell r="A47" t="str">
            <v>53035</v>
          </cell>
          <cell r="H47">
            <v>7.46</v>
          </cell>
        </row>
        <row r="48">
          <cell r="A48" t="str">
            <v>53080</v>
          </cell>
          <cell r="H48">
            <v>922.39</v>
          </cell>
        </row>
        <row r="49">
          <cell r="A49" t="str">
            <v>60010</v>
          </cell>
          <cell r="H49">
            <v>600</v>
          </cell>
        </row>
        <row r="50">
          <cell r="A50" t="str">
            <v>60115</v>
          </cell>
          <cell r="H50">
            <v>2000</v>
          </cell>
        </row>
        <row r="51">
          <cell r="A51" t="str">
            <v>60200</v>
          </cell>
          <cell r="H51">
            <v>4</v>
          </cell>
        </row>
        <row r="52">
          <cell r="A52" t="str">
            <v>61600</v>
          </cell>
          <cell r="H52">
            <v>20</v>
          </cell>
        </row>
        <row r="53">
          <cell r="A53" t="str">
            <v>61700</v>
          </cell>
          <cell r="H53">
            <v>192.84</v>
          </cell>
        </row>
        <row r="54">
          <cell r="A54" t="str">
            <v>63100</v>
          </cell>
          <cell r="H54">
            <v>70.88</v>
          </cell>
        </row>
        <row r="55">
          <cell r="A55" t="str">
            <v>65095</v>
          </cell>
          <cell r="H55">
            <v>30.27</v>
          </cell>
        </row>
        <row r="56">
          <cell r="H56">
            <v>7225.4500000000035</v>
          </cell>
        </row>
      </sheetData>
      <sheetData sheetId="3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0</v>
          </cell>
        </row>
        <row r="7">
          <cell r="A7" t="str">
            <v>10300</v>
          </cell>
          <cell r="H7">
            <v>0</v>
          </cell>
        </row>
        <row r="8">
          <cell r="A8" t="str">
            <v>11000</v>
          </cell>
          <cell r="H8">
            <v>0</v>
          </cell>
        </row>
        <row r="9">
          <cell r="A9" t="str">
            <v>12100</v>
          </cell>
          <cell r="H9">
            <v>0</v>
          </cell>
        </row>
        <row r="10">
          <cell r="A10" t="str">
            <v>13120</v>
          </cell>
          <cell r="H10">
            <v>0</v>
          </cell>
        </row>
        <row r="11">
          <cell r="A11" t="str">
            <v>13200</v>
          </cell>
          <cell r="H11">
            <v>0</v>
          </cell>
        </row>
        <row r="12">
          <cell r="A12" t="str">
            <v>15000</v>
          </cell>
          <cell r="H12">
            <v>0</v>
          </cell>
        </row>
        <row r="13">
          <cell r="A13" t="str">
            <v>15020</v>
          </cell>
          <cell r="H13">
            <v>0</v>
          </cell>
        </row>
        <row r="14">
          <cell r="A14" t="str">
            <v>16000</v>
          </cell>
          <cell r="H14">
            <v>0</v>
          </cell>
        </row>
        <row r="15">
          <cell r="A15" t="str">
            <v>16020</v>
          </cell>
          <cell r="H15">
            <v>0</v>
          </cell>
        </row>
        <row r="16">
          <cell r="A16" t="str">
            <v>20015</v>
          </cell>
          <cell r="H16">
            <v>0</v>
          </cell>
        </row>
        <row r="17">
          <cell r="A17" t="str">
            <v>20030</v>
          </cell>
          <cell r="H17">
            <v>0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0</v>
          </cell>
        </row>
        <row r="20">
          <cell r="A20" t="str">
            <v>23040</v>
          </cell>
          <cell r="H20">
            <v>0</v>
          </cell>
        </row>
        <row r="21">
          <cell r="A21" t="str">
            <v>23406</v>
          </cell>
          <cell r="H21">
            <v>0</v>
          </cell>
        </row>
        <row r="22">
          <cell r="A22" t="str">
            <v>24510</v>
          </cell>
          <cell r="H22">
            <v>0</v>
          </cell>
        </row>
        <row r="23">
          <cell r="A23" t="str">
            <v>24600</v>
          </cell>
          <cell r="H23">
            <v>0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0</v>
          </cell>
        </row>
        <row r="27">
          <cell r="A27" t="str">
            <v>30045</v>
          </cell>
          <cell r="H27">
            <v>0</v>
          </cell>
        </row>
        <row r="28">
          <cell r="A28" t="str">
            <v>30510</v>
          </cell>
          <cell r="H28">
            <v>0</v>
          </cell>
        </row>
        <row r="29">
          <cell r="A29" t="str">
            <v>30540</v>
          </cell>
          <cell r="H29">
            <v>0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0</v>
          </cell>
        </row>
        <row r="32">
          <cell r="A32" t="str">
            <v>40025</v>
          </cell>
          <cell r="H32">
            <v>-19651.060000000001</v>
          </cell>
        </row>
        <row r="33">
          <cell r="A33" t="str">
            <v>40032</v>
          </cell>
          <cell r="H33">
            <v>-1155.22</v>
          </cell>
        </row>
        <row r="34">
          <cell r="A34" t="str">
            <v>40042</v>
          </cell>
          <cell r="H34">
            <v>0.26</v>
          </cell>
        </row>
        <row r="35">
          <cell r="A35" t="str">
            <v>49401</v>
          </cell>
          <cell r="H35">
            <v>0</v>
          </cell>
        </row>
        <row r="36">
          <cell r="A36" t="str">
            <v>16060</v>
          </cell>
          <cell r="H36">
            <v>6.94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4089.7</v>
          </cell>
        </row>
        <row r="39">
          <cell r="A39" t="str">
            <v>51270</v>
          </cell>
          <cell r="H39">
            <v>2095.8200000000002</v>
          </cell>
        </row>
        <row r="40">
          <cell r="A40" t="str">
            <v>51280</v>
          </cell>
          <cell r="H40">
            <v>18223.330000000002</v>
          </cell>
        </row>
        <row r="41">
          <cell r="A41" t="str">
            <v>51312</v>
          </cell>
          <cell r="H41">
            <v>0.3</v>
          </cell>
        </row>
        <row r="42">
          <cell r="A42" t="str">
            <v>51410</v>
          </cell>
          <cell r="H42">
            <v>140.1</v>
          </cell>
        </row>
        <row r="43">
          <cell r="A43" t="str">
            <v>51490</v>
          </cell>
          <cell r="H43">
            <v>84.58</v>
          </cell>
        </row>
        <row r="44">
          <cell r="A44" t="str">
            <v>51530</v>
          </cell>
          <cell r="H44">
            <v>279.54000000000002</v>
          </cell>
        </row>
        <row r="45">
          <cell r="A45" t="str">
            <v>51540</v>
          </cell>
          <cell r="H45">
            <v>159907.56</v>
          </cell>
        </row>
        <row r="46">
          <cell r="A46" t="str">
            <v>51610</v>
          </cell>
          <cell r="H46">
            <v>-2288.13</v>
          </cell>
        </row>
        <row r="47">
          <cell r="A47" t="str">
            <v>51620</v>
          </cell>
          <cell r="H47">
            <v>237.94</v>
          </cell>
        </row>
        <row r="48">
          <cell r="A48" t="str">
            <v>53035</v>
          </cell>
          <cell r="H48">
            <v>0</v>
          </cell>
        </row>
        <row r="49">
          <cell r="A49" t="str">
            <v>53045</v>
          </cell>
          <cell r="H49">
            <v>0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601.04</v>
          </cell>
        </row>
        <row r="52">
          <cell r="A52" t="str">
            <v>60010</v>
          </cell>
          <cell r="H52">
            <v>600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60125</v>
          </cell>
          <cell r="H54">
            <v>0</v>
          </cell>
        </row>
        <row r="55">
          <cell r="A55" t="str">
            <v>60200</v>
          </cell>
          <cell r="H55">
            <v>210.18</v>
          </cell>
        </row>
        <row r="56">
          <cell r="A56" t="str">
            <v>60213</v>
          </cell>
          <cell r="H56">
            <v>0</v>
          </cell>
        </row>
        <row r="57">
          <cell r="A57" t="str">
            <v>61000</v>
          </cell>
          <cell r="H57">
            <v>15350.13</v>
          </cell>
        </row>
        <row r="58">
          <cell r="A58" t="str">
            <v>61600</v>
          </cell>
          <cell r="H58">
            <v>31.74</v>
          </cell>
        </row>
        <row r="59">
          <cell r="A59" t="str">
            <v>61700</v>
          </cell>
          <cell r="H59">
            <v>342.84</v>
          </cell>
        </row>
        <row r="60">
          <cell r="A60" t="str">
            <v>62200</v>
          </cell>
          <cell r="H60">
            <v>-426.49</v>
          </cell>
        </row>
        <row r="61">
          <cell r="A61" t="str">
            <v>62415</v>
          </cell>
          <cell r="H61">
            <v>0</v>
          </cell>
        </row>
        <row r="62">
          <cell r="A62" t="str">
            <v>62500</v>
          </cell>
          <cell r="H62">
            <v>0</v>
          </cell>
        </row>
        <row r="63">
          <cell r="A63" t="str">
            <v>62710</v>
          </cell>
          <cell r="H63">
            <v>5966.33</v>
          </cell>
        </row>
        <row r="64">
          <cell r="A64" t="str">
            <v>63100</v>
          </cell>
          <cell r="H64">
            <v>16.149999999999999</v>
          </cell>
        </row>
        <row r="65">
          <cell r="A65" t="str">
            <v>63125</v>
          </cell>
          <cell r="H65">
            <v>0</v>
          </cell>
        </row>
        <row r="66">
          <cell r="A66" t="str">
            <v>65095</v>
          </cell>
          <cell r="H66">
            <v>0.77</v>
          </cell>
        </row>
        <row r="67">
          <cell r="A67" t="str">
            <v>62400</v>
          </cell>
          <cell r="H67">
            <v>13</v>
          </cell>
        </row>
      </sheetData>
      <sheetData sheetId="3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0</v>
          </cell>
        </row>
        <row r="7">
          <cell r="A7" t="str">
            <v>10300</v>
          </cell>
          <cell r="H7">
            <v>0</v>
          </cell>
        </row>
        <row r="8">
          <cell r="A8" t="str">
            <v>11000</v>
          </cell>
          <cell r="H8">
            <v>0</v>
          </cell>
        </row>
        <row r="9">
          <cell r="A9" t="str">
            <v>12100</v>
          </cell>
          <cell r="H9">
            <v>0</v>
          </cell>
        </row>
        <row r="10">
          <cell r="A10" t="str">
            <v>13120</v>
          </cell>
          <cell r="H10">
            <v>0</v>
          </cell>
        </row>
        <row r="11">
          <cell r="A11" t="str">
            <v>13200</v>
          </cell>
          <cell r="H11">
            <v>0</v>
          </cell>
        </row>
        <row r="12">
          <cell r="A12" t="str">
            <v>15000</v>
          </cell>
          <cell r="H12">
            <v>0</v>
          </cell>
        </row>
        <row r="13">
          <cell r="A13" t="str">
            <v>15020</v>
          </cell>
          <cell r="H13">
            <v>0</v>
          </cell>
        </row>
        <row r="14">
          <cell r="A14" t="str">
            <v>16000</v>
          </cell>
          <cell r="H14">
            <v>0</v>
          </cell>
        </row>
        <row r="15">
          <cell r="A15" t="str">
            <v>16020</v>
          </cell>
          <cell r="H15">
            <v>0</v>
          </cell>
        </row>
        <row r="16">
          <cell r="A16" t="str">
            <v>20015</v>
          </cell>
          <cell r="H16">
            <v>0</v>
          </cell>
        </row>
        <row r="17">
          <cell r="A17" t="str">
            <v>20030</v>
          </cell>
          <cell r="H17">
            <v>0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0</v>
          </cell>
        </row>
        <row r="20">
          <cell r="A20" t="str">
            <v>23040</v>
          </cell>
          <cell r="H20">
            <v>0</v>
          </cell>
        </row>
        <row r="21">
          <cell r="A21" t="str">
            <v>23406</v>
          </cell>
          <cell r="H21">
            <v>0</v>
          </cell>
        </row>
        <row r="22">
          <cell r="A22" t="str">
            <v>24510</v>
          </cell>
          <cell r="H22">
            <v>0</v>
          </cell>
        </row>
        <row r="23">
          <cell r="A23" t="str">
            <v>24600</v>
          </cell>
          <cell r="H23">
            <v>0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0</v>
          </cell>
        </row>
        <row r="27">
          <cell r="A27" t="str">
            <v>30045</v>
          </cell>
          <cell r="H27">
            <v>0</v>
          </cell>
        </row>
        <row r="28">
          <cell r="A28" t="str">
            <v>30510</v>
          </cell>
          <cell r="H28">
            <v>0</v>
          </cell>
        </row>
        <row r="29">
          <cell r="A29" t="str">
            <v>30540</v>
          </cell>
          <cell r="H29">
            <v>0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0</v>
          </cell>
        </row>
        <row r="32">
          <cell r="A32" t="str">
            <v>40025</v>
          </cell>
          <cell r="H32">
            <v>-18123.88</v>
          </cell>
        </row>
        <row r="33">
          <cell r="A33" t="str">
            <v>40032</v>
          </cell>
          <cell r="H33">
            <v>-1406.38</v>
          </cell>
        </row>
        <row r="34">
          <cell r="A34" t="str">
            <v>40042</v>
          </cell>
          <cell r="H34">
            <v>0.01</v>
          </cell>
        </row>
        <row r="35">
          <cell r="A35" t="str">
            <v>49401</v>
          </cell>
          <cell r="H35">
            <v>0</v>
          </cell>
        </row>
        <row r="36">
          <cell r="A36" t="str">
            <v>16060</v>
          </cell>
          <cell r="H36">
            <v>6.94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3986.48</v>
          </cell>
        </row>
        <row r="39">
          <cell r="A39" t="str">
            <v>51270</v>
          </cell>
          <cell r="H39">
            <v>1515.8</v>
          </cell>
        </row>
        <row r="40">
          <cell r="A40" t="str">
            <v>51280</v>
          </cell>
          <cell r="H40">
            <v>12500</v>
          </cell>
        </row>
        <row r="41">
          <cell r="A41" t="str">
            <v>51312</v>
          </cell>
          <cell r="H41">
            <v>0</v>
          </cell>
        </row>
        <row r="42">
          <cell r="A42" t="str">
            <v>51410</v>
          </cell>
          <cell r="H42">
            <v>353</v>
          </cell>
        </row>
        <row r="43">
          <cell r="A43" t="str">
            <v>51490</v>
          </cell>
          <cell r="H43">
            <v>84.58</v>
          </cell>
        </row>
        <row r="44">
          <cell r="A44" t="str">
            <v>51530</v>
          </cell>
          <cell r="H44">
            <v>169.47</v>
          </cell>
        </row>
        <row r="45">
          <cell r="A45" t="str">
            <v>51540</v>
          </cell>
          <cell r="H45">
            <v>-768.39</v>
          </cell>
        </row>
        <row r="46">
          <cell r="A46" t="str">
            <v>51610</v>
          </cell>
          <cell r="H46">
            <v>4366.53</v>
          </cell>
        </row>
        <row r="47">
          <cell r="A47" t="str">
            <v>51620</v>
          </cell>
          <cell r="H47">
            <v>0</v>
          </cell>
        </row>
        <row r="48">
          <cell r="A48" t="str">
            <v>53035</v>
          </cell>
          <cell r="H48">
            <v>0</v>
          </cell>
        </row>
        <row r="49">
          <cell r="A49" t="str">
            <v>53045</v>
          </cell>
          <cell r="H49">
            <v>0</v>
          </cell>
        </row>
        <row r="50">
          <cell r="A50" t="str">
            <v>53080</v>
          </cell>
          <cell r="H50">
            <v>0</v>
          </cell>
        </row>
        <row r="51">
          <cell r="A51" t="str">
            <v>53095</v>
          </cell>
          <cell r="H51">
            <v>0</v>
          </cell>
        </row>
        <row r="52">
          <cell r="A52" t="str">
            <v>60010</v>
          </cell>
          <cell r="H52">
            <v>600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60125</v>
          </cell>
          <cell r="H54">
            <v>0</v>
          </cell>
        </row>
        <row r="55">
          <cell r="A55" t="str">
            <v>60200</v>
          </cell>
          <cell r="H55">
            <v>0</v>
          </cell>
        </row>
        <row r="56">
          <cell r="A56" t="str">
            <v>60213</v>
          </cell>
          <cell r="H56">
            <v>50</v>
          </cell>
        </row>
        <row r="57">
          <cell r="A57" t="str">
            <v>61000</v>
          </cell>
          <cell r="H57">
            <v>0</v>
          </cell>
        </row>
        <row r="58">
          <cell r="A58" t="str">
            <v>61600</v>
          </cell>
          <cell r="H58">
            <v>37.229999999999997</v>
          </cell>
        </row>
        <row r="59">
          <cell r="A59" t="str">
            <v>61700</v>
          </cell>
          <cell r="H59">
            <v>192.84</v>
          </cell>
        </row>
        <row r="60">
          <cell r="A60" t="str">
            <v>62200</v>
          </cell>
          <cell r="H60">
            <v>13.2</v>
          </cell>
        </row>
        <row r="61">
          <cell r="A61" t="str">
            <v>62415</v>
          </cell>
          <cell r="H61">
            <v>0</v>
          </cell>
        </row>
        <row r="62">
          <cell r="A62" t="str">
            <v>62500</v>
          </cell>
          <cell r="H62">
            <v>32.46</v>
          </cell>
        </row>
        <row r="63">
          <cell r="A63" t="str">
            <v>62710</v>
          </cell>
          <cell r="H63">
            <v>0</v>
          </cell>
        </row>
        <row r="64">
          <cell r="A64" t="str">
            <v>63100</v>
          </cell>
          <cell r="H64">
            <v>0</v>
          </cell>
        </row>
        <row r="65">
          <cell r="A65" t="str">
            <v>63125</v>
          </cell>
          <cell r="H65">
            <v>0</v>
          </cell>
        </row>
        <row r="66">
          <cell r="A66" t="str">
            <v>65095</v>
          </cell>
          <cell r="H66">
            <v>0.77</v>
          </cell>
        </row>
      </sheetData>
      <sheetData sheetId="3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10120</v>
          </cell>
          <cell r="H6">
            <v>0</v>
          </cell>
        </row>
        <row r="7">
          <cell r="A7" t="str">
            <v>10300</v>
          </cell>
          <cell r="H7">
            <v>0</v>
          </cell>
        </row>
        <row r="8">
          <cell r="A8" t="str">
            <v>11000</v>
          </cell>
          <cell r="H8">
            <v>0</v>
          </cell>
        </row>
        <row r="9">
          <cell r="A9" t="str">
            <v>12100</v>
          </cell>
          <cell r="H9">
            <v>0</v>
          </cell>
        </row>
        <row r="10">
          <cell r="A10" t="str">
            <v>13120</v>
          </cell>
          <cell r="H10">
            <v>0</v>
          </cell>
        </row>
        <row r="11">
          <cell r="A11" t="str">
            <v>13200</v>
          </cell>
          <cell r="H11">
            <v>0</v>
          </cell>
        </row>
        <row r="12">
          <cell r="A12" t="str">
            <v>15000</v>
          </cell>
          <cell r="H12">
            <v>0</v>
          </cell>
        </row>
        <row r="13">
          <cell r="A13" t="str">
            <v>15020</v>
          </cell>
          <cell r="H13">
            <v>0</v>
          </cell>
        </row>
        <row r="14">
          <cell r="A14" t="str">
            <v>16000</v>
          </cell>
          <cell r="H14">
            <v>0</v>
          </cell>
        </row>
        <row r="15">
          <cell r="A15" t="str">
            <v>16020</v>
          </cell>
          <cell r="H15">
            <v>0</v>
          </cell>
        </row>
        <row r="16">
          <cell r="A16" t="str">
            <v>20015</v>
          </cell>
          <cell r="H16">
            <v>0</v>
          </cell>
        </row>
        <row r="17">
          <cell r="A17" t="str">
            <v>20030</v>
          </cell>
          <cell r="H17">
            <v>0</v>
          </cell>
        </row>
        <row r="18">
          <cell r="A18" t="str">
            <v>20035</v>
          </cell>
          <cell r="H18">
            <v>0</v>
          </cell>
        </row>
        <row r="19">
          <cell r="A19" t="str">
            <v>20095</v>
          </cell>
          <cell r="H19">
            <v>0</v>
          </cell>
        </row>
        <row r="20">
          <cell r="A20" t="str">
            <v>23040</v>
          </cell>
          <cell r="H20">
            <v>0</v>
          </cell>
        </row>
        <row r="21">
          <cell r="A21" t="str">
            <v>23406</v>
          </cell>
          <cell r="H21">
            <v>0</v>
          </cell>
        </row>
        <row r="22">
          <cell r="A22" t="str">
            <v>24510</v>
          </cell>
          <cell r="H22">
            <v>0</v>
          </cell>
        </row>
        <row r="23">
          <cell r="A23" t="str">
            <v>24600</v>
          </cell>
          <cell r="H23">
            <v>0</v>
          </cell>
        </row>
        <row r="24">
          <cell r="A24" t="str">
            <v>29000</v>
          </cell>
          <cell r="H24">
            <v>0</v>
          </cell>
        </row>
        <row r="25">
          <cell r="A25" t="str">
            <v>29010</v>
          </cell>
          <cell r="H25">
            <v>0</v>
          </cell>
        </row>
        <row r="26">
          <cell r="A26" t="str">
            <v>30022</v>
          </cell>
          <cell r="H26">
            <v>0</v>
          </cell>
        </row>
        <row r="27">
          <cell r="A27" t="str">
            <v>30045</v>
          </cell>
          <cell r="H27">
            <v>0</v>
          </cell>
        </row>
        <row r="28">
          <cell r="A28" t="str">
            <v>30510</v>
          </cell>
          <cell r="H28">
            <v>0</v>
          </cell>
        </row>
        <row r="29">
          <cell r="A29" t="str">
            <v>30540</v>
          </cell>
          <cell r="H29">
            <v>0</v>
          </cell>
        </row>
        <row r="30">
          <cell r="A30" t="str">
            <v>30550</v>
          </cell>
          <cell r="H30">
            <v>0</v>
          </cell>
        </row>
        <row r="31">
          <cell r="A31" t="str">
            <v>32000</v>
          </cell>
          <cell r="H31">
            <v>0</v>
          </cell>
        </row>
        <row r="32">
          <cell r="A32" t="str">
            <v>40025</v>
          </cell>
          <cell r="H32">
            <v>-19132.47</v>
          </cell>
        </row>
        <row r="33">
          <cell r="A33" t="str">
            <v>40032</v>
          </cell>
          <cell r="H33">
            <v>-1364.89</v>
          </cell>
        </row>
        <row r="34">
          <cell r="A34" t="str">
            <v>40042</v>
          </cell>
          <cell r="H34">
            <v>0</v>
          </cell>
        </row>
        <row r="35">
          <cell r="A35" t="str">
            <v>49401</v>
          </cell>
          <cell r="H35">
            <v>0</v>
          </cell>
        </row>
        <row r="36">
          <cell r="A36" t="str">
            <v>16060</v>
          </cell>
          <cell r="H36">
            <v>6.94</v>
          </cell>
        </row>
        <row r="37">
          <cell r="A37" t="str">
            <v>50000</v>
          </cell>
          <cell r="H37">
            <v>0</v>
          </cell>
        </row>
        <row r="38">
          <cell r="A38" t="str">
            <v>50070</v>
          </cell>
          <cell r="H38">
            <v>3698.81</v>
          </cell>
        </row>
        <row r="39">
          <cell r="A39" t="str">
            <v>51270</v>
          </cell>
          <cell r="H39">
            <v>1515.8</v>
          </cell>
        </row>
        <row r="40">
          <cell r="A40" t="str">
            <v>51280</v>
          </cell>
          <cell r="H40">
            <v>12500</v>
          </cell>
        </row>
        <row r="41">
          <cell r="A41" t="str">
            <v>51312</v>
          </cell>
          <cell r="H41">
            <v>2.16</v>
          </cell>
        </row>
        <row r="42">
          <cell r="A42" t="str">
            <v>51410</v>
          </cell>
          <cell r="H42">
            <v>0</v>
          </cell>
        </row>
        <row r="43">
          <cell r="A43" t="str">
            <v>51490</v>
          </cell>
          <cell r="H43">
            <v>84.58</v>
          </cell>
        </row>
        <row r="44">
          <cell r="A44" t="str">
            <v>51530</v>
          </cell>
          <cell r="H44">
            <v>169.47</v>
          </cell>
        </row>
        <row r="45">
          <cell r="A45" t="str">
            <v>51540</v>
          </cell>
          <cell r="H45">
            <v>227.17</v>
          </cell>
        </row>
        <row r="46">
          <cell r="A46" t="str">
            <v>51610</v>
          </cell>
          <cell r="H46">
            <v>1125.2</v>
          </cell>
        </row>
        <row r="47">
          <cell r="A47" t="str">
            <v>51620</v>
          </cell>
          <cell r="H47">
            <v>0</v>
          </cell>
        </row>
        <row r="48">
          <cell r="A48" t="str">
            <v>53035</v>
          </cell>
          <cell r="H48">
            <v>0</v>
          </cell>
        </row>
        <row r="49">
          <cell r="A49" t="str">
            <v>53045</v>
          </cell>
          <cell r="H49">
            <v>0</v>
          </cell>
        </row>
        <row r="50">
          <cell r="A50" t="str">
            <v>53080</v>
          </cell>
          <cell r="H50">
            <v>0.64</v>
          </cell>
        </row>
        <row r="51">
          <cell r="A51" t="str">
            <v>53095</v>
          </cell>
          <cell r="H51">
            <v>0</v>
          </cell>
        </row>
        <row r="52">
          <cell r="A52" t="str">
            <v>60010</v>
          </cell>
          <cell r="H52">
            <v>600</v>
          </cell>
        </row>
        <row r="53">
          <cell r="A53" t="str">
            <v>60115</v>
          </cell>
          <cell r="H53">
            <v>0</v>
          </cell>
        </row>
        <row r="54">
          <cell r="A54" t="str">
            <v>60125</v>
          </cell>
          <cell r="H54">
            <v>0</v>
          </cell>
        </row>
        <row r="55">
          <cell r="A55" t="str">
            <v>60200</v>
          </cell>
          <cell r="H55">
            <v>0</v>
          </cell>
        </row>
        <row r="56">
          <cell r="A56" t="str">
            <v>60213</v>
          </cell>
          <cell r="H56">
            <v>0</v>
          </cell>
        </row>
        <row r="57">
          <cell r="A57" t="str">
            <v>61000</v>
          </cell>
          <cell r="H57">
            <v>0</v>
          </cell>
        </row>
        <row r="58">
          <cell r="A58" t="str">
            <v>61600</v>
          </cell>
          <cell r="H58">
            <v>1139.77</v>
          </cell>
        </row>
        <row r="59">
          <cell r="A59" t="str">
            <v>61700</v>
          </cell>
          <cell r="H59">
            <v>192.84</v>
          </cell>
        </row>
        <row r="60">
          <cell r="A60" t="str">
            <v>62200</v>
          </cell>
          <cell r="H60">
            <v>0</v>
          </cell>
        </row>
        <row r="61">
          <cell r="A61" t="str">
            <v>62415</v>
          </cell>
          <cell r="H61">
            <v>0</v>
          </cell>
        </row>
        <row r="62">
          <cell r="A62" t="str">
            <v>62500</v>
          </cell>
          <cell r="H62">
            <v>94.9</v>
          </cell>
        </row>
        <row r="63">
          <cell r="A63" t="str">
            <v>62710</v>
          </cell>
          <cell r="H63">
            <v>0</v>
          </cell>
        </row>
        <row r="64">
          <cell r="A64" t="str">
            <v>63100</v>
          </cell>
          <cell r="H64">
            <v>0</v>
          </cell>
        </row>
        <row r="65">
          <cell r="A65" t="str">
            <v>63125</v>
          </cell>
          <cell r="H65">
            <v>131.22</v>
          </cell>
        </row>
        <row r="66">
          <cell r="A66" t="str">
            <v>65095</v>
          </cell>
          <cell r="H66">
            <v>0.77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7"/>
      <sheetName val="PL"/>
      <sheetName val="BS"/>
      <sheetName val="TB"/>
      <sheetName val="FX Rate"/>
      <sheetName val="Apr-26"/>
      <sheetName val="Mar-26"/>
      <sheetName val="Feb-26"/>
      <sheetName val="Jan-26"/>
      <sheetName val="Dec-25"/>
      <sheetName val="Nov-25"/>
      <sheetName val="Oct-25"/>
      <sheetName val="Sep-25"/>
      <sheetName val="Aug-25"/>
      <sheetName val="Jul-25"/>
      <sheetName val="Jun-25"/>
      <sheetName val="May-25"/>
      <sheetName val="Apr-25"/>
      <sheetName val="Mar-25"/>
      <sheetName val="Feb-25"/>
      <sheetName val="Jan-25"/>
      <sheetName val="Dec-24"/>
      <sheetName val="Nov-24"/>
      <sheetName val="Oct-24"/>
      <sheetName val="Sep-24"/>
      <sheetName val="Aug-24"/>
      <sheetName val="Jul-24"/>
      <sheetName val="Jun-24"/>
      <sheetName val="May-24"/>
      <sheetName val="Apr-24"/>
      <sheetName val="Mar-24"/>
      <sheetName val="Feb-24"/>
      <sheetName val="Jan-24"/>
    </sheetNames>
    <sheetDataSet>
      <sheetData sheetId="0" refreshError="1"/>
      <sheetData sheetId="1" refreshError="1"/>
      <sheetData sheetId="2" refreshError="1"/>
      <sheetData sheetId="3">
        <row r="3">
          <cell r="A3" t="str">
            <v>Account</v>
          </cell>
          <cell r="E3" t="str">
            <v>Description</v>
          </cell>
        </row>
        <row r="4">
          <cell r="A4" t="str">
            <v>10104</v>
          </cell>
          <cell r="E4" t="str">
            <v>Cash in Hand (USD $)</v>
          </cell>
        </row>
        <row r="5">
          <cell r="A5" t="str">
            <v>10130</v>
          </cell>
          <cell r="E5" t="str">
            <v>FAB - USD Account</v>
          </cell>
        </row>
        <row r="6">
          <cell r="A6" t="str">
            <v>10131</v>
          </cell>
          <cell r="E6" t="str">
            <v>FAB Account - AED</v>
          </cell>
        </row>
        <row r="7">
          <cell r="A7" t="str">
            <v>10132</v>
          </cell>
          <cell r="E7" t="str">
            <v>Mashreq Account - AED</v>
          </cell>
        </row>
        <row r="8">
          <cell r="A8" t="str">
            <v>10133</v>
          </cell>
          <cell r="E8" t="str">
            <v>Mashreq USD Account</v>
          </cell>
        </row>
        <row r="9">
          <cell r="A9" t="str">
            <v>10134</v>
          </cell>
          <cell r="E9" t="str">
            <v>Mashreq EUR account</v>
          </cell>
        </row>
        <row r="10">
          <cell r="A10" t="str">
            <v>10400</v>
          </cell>
          <cell r="E10" t="str">
            <v>Undeposited Funds</v>
          </cell>
        </row>
        <row r="11">
          <cell r="A11" t="str">
            <v>10500</v>
          </cell>
          <cell r="E11" t="str">
            <v>Cash in Transit</v>
          </cell>
        </row>
        <row r="12">
          <cell r="A12" t="str">
            <v>10600</v>
          </cell>
          <cell r="E12" t="str">
            <v>Credit Card Account</v>
          </cell>
        </row>
        <row r="13">
          <cell r="A13" t="str">
            <v>11000</v>
          </cell>
          <cell r="E13" t="str">
            <v>Accounts Receivable (A/R)</v>
          </cell>
        </row>
        <row r="14">
          <cell r="A14" t="str">
            <v>11005</v>
          </cell>
          <cell r="E14" t="str">
            <v>Accounts Receivable (A/R) - USD</v>
          </cell>
        </row>
        <row r="15">
          <cell r="A15" t="str">
            <v>11020</v>
          </cell>
          <cell r="E15" t="str">
            <v>Accrued Revenue</v>
          </cell>
        </row>
        <row r="16">
          <cell r="A16" t="str">
            <v>11501</v>
          </cell>
          <cell r="E16" t="str">
            <v>Allowance for bad debt</v>
          </cell>
        </row>
        <row r="17">
          <cell r="A17" t="str">
            <v>11510</v>
          </cell>
          <cell r="E17" t="str">
            <v>Employee Cash Advances</v>
          </cell>
        </row>
        <row r="18">
          <cell r="A18" t="str">
            <v>11530</v>
          </cell>
          <cell r="E18" t="str">
            <v>Prepaid expenses</v>
          </cell>
        </row>
        <row r="19">
          <cell r="A19" t="str">
            <v>12100</v>
          </cell>
          <cell r="E19" t="str">
            <v>Inventory</v>
          </cell>
        </row>
        <row r="20">
          <cell r="A20" t="str">
            <v>12400</v>
          </cell>
          <cell r="E20" t="str">
            <v>Work in Progress Inventory</v>
          </cell>
        </row>
        <row r="21">
          <cell r="A21" t="str">
            <v>13001</v>
          </cell>
          <cell r="E21" t="str">
            <v>Cash Advance</v>
          </cell>
        </row>
        <row r="22">
          <cell r="A22" t="str">
            <v>13004</v>
          </cell>
          <cell r="E22" t="str">
            <v>Staff Advances</v>
          </cell>
        </row>
        <row r="23">
          <cell r="A23" t="str">
            <v>13010</v>
          </cell>
          <cell r="E23" t="str">
            <v>Staff Loan</v>
          </cell>
        </row>
        <row r="24">
          <cell r="A24" t="str">
            <v>13120</v>
          </cell>
          <cell r="E24" t="str">
            <v>Prepayments:Prepayments Other Prepaid Expenses</v>
          </cell>
        </row>
        <row r="25">
          <cell r="A25" t="str">
            <v>13130</v>
          </cell>
          <cell r="E25" t="str">
            <v>Prepayments:Prepayments Prepaid Insurance</v>
          </cell>
        </row>
        <row r="26">
          <cell r="A26" t="str">
            <v>13200</v>
          </cell>
          <cell r="E26" t="str">
            <v>Vendor Advances</v>
          </cell>
        </row>
        <row r="27">
          <cell r="A27" t="str">
            <v>13300</v>
          </cell>
          <cell r="E27" t="str">
            <v>Welfare Loan Account</v>
          </cell>
        </row>
        <row r="28">
          <cell r="A28" t="str">
            <v>14011</v>
          </cell>
          <cell r="E28" t="str">
            <v>Other Debtors - EVSL</v>
          </cell>
        </row>
        <row r="29">
          <cell r="A29" t="str">
            <v>14025</v>
          </cell>
          <cell r="E29" t="str">
            <v>Short-term debit</v>
          </cell>
        </row>
        <row r="30">
          <cell r="A30" t="str">
            <v>15010</v>
          </cell>
          <cell r="E30" t="str">
            <v>Property, plant and equipment</v>
          </cell>
        </row>
        <row r="31">
          <cell r="A31" t="str">
            <v>15100</v>
          </cell>
          <cell r="E31" t="str">
            <v>Motor Vehicles: Cost</v>
          </cell>
        </row>
        <row r="32">
          <cell r="A32" t="str">
            <v>15200</v>
          </cell>
          <cell r="E32" t="str">
            <v>Office &amp; Computer Equipment:Office &amp; Computer Equipment Cost</v>
          </cell>
        </row>
        <row r="33">
          <cell r="A33" t="str">
            <v>15300</v>
          </cell>
          <cell r="E33" t="str">
            <v>Plant &amp; Machinery:Plant &amp; Machinery Cost</v>
          </cell>
        </row>
        <row r="34">
          <cell r="A34" t="str">
            <v>15400</v>
          </cell>
          <cell r="E34" t="str">
            <v>Land</v>
          </cell>
        </row>
        <row r="35">
          <cell r="A35" t="str">
            <v>15405</v>
          </cell>
          <cell r="E35" t="str">
            <v>Leasehold Improvements</v>
          </cell>
        </row>
        <row r="36">
          <cell r="A36" t="str">
            <v>15410</v>
          </cell>
          <cell r="E36" t="str">
            <v>Building</v>
          </cell>
        </row>
        <row r="37">
          <cell r="A37" t="str">
            <v>15500</v>
          </cell>
          <cell r="E37" t="str">
            <v>Intangible Assets</v>
          </cell>
        </row>
        <row r="38">
          <cell r="A38" t="str">
            <v>15999</v>
          </cell>
          <cell r="E38" t="str">
            <v>Fixed Asset Clearing Account</v>
          </cell>
        </row>
        <row r="39">
          <cell r="A39" t="str">
            <v>16650</v>
          </cell>
          <cell r="E39" t="str">
            <v>Accumulated depreciation on property, plant and equipment</v>
          </cell>
        </row>
        <row r="40">
          <cell r="A40" t="str">
            <v>16929</v>
          </cell>
          <cell r="E40" t="str">
            <v>Goodwill</v>
          </cell>
        </row>
        <row r="41">
          <cell r="A41" t="str">
            <v>17000</v>
          </cell>
          <cell r="E41" t="str">
            <v>Tax Claimable</v>
          </cell>
        </row>
        <row r="42">
          <cell r="A42" t="str">
            <v>19020</v>
          </cell>
          <cell r="E42" t="str">
            <v>Assets held for sale</v>
          </cell>
        </row>
        <row r="43">
          <cell r="A43" t="str">
            <v>19030</v>
          </cell>
          <cell r="E43" t="str">
            <v>Deferred tax assets</v>
          </cell>
        </row>
        <row r="44">
          <cell r="A44" t="str">
            <v>20000</v>
          </cell>
          <cell r="E44" t="str">
            <v>Accounts Payable (A/P)</v>
          </cell>
        </row>
        <row r="45">
          <cell r="A45" t="str">
            <v>20005</v>
          </cell>
          <cell r="E45" t="str">
            <v>Accounts Payable (A/P) - USD</v>
          </cell>
        </row>
        <row r="46">
          <cell r="A46" t="str">
            <v>20020</v>
          </cell>
          <cell r="E46" t="str">
            <v>Dividends payable</v>
          </cell>
        </row>
        <row r="47">
          <cell r="A47" t="str">
            <v>20065</v>
          </cell>
          <cell r="E47" t="str">
            <v>Payroll liabilities</v>
          </cell>
        </row>
        <row r="48">
          <cell r="A48" t="str">
            <v>20070</v>
          </cell>
          <cell r="E48" t="str">
            <v>Accrued non-current liabilities</v>
          </cell>
        </row>
        <row r="49">
          <cell r="A49" t="str">
            <v>20080</v>
          </cell>
          <cell r="E49" t="str">
            <v>Long-term debt</v>
          </cell>
        </row>
        <row r="50">
          <cell r="A50" t="str">
            <v>20109</v>
          </cell>
          <cell r="E50" t="str">
            <v>Petty Cash</v>
          </cell>
        </row>
        <row r="51">
          <cell r="A51" t="str">
            <v>20130</v>
          </cell>
          <cell r="E51" t="str">
            <v>Accrued liabilities</v>
          </cell>
        </row>
        <row r="52">
          <cell r="A52" t="str">
            <v>21010</v>
          </cell>
          <cell r="E52" t="str">
            <v>Dividend disbursed</v>
          </cell>
        </row>
        <row r="53">
          <cell r="A53" t="str">
            <v>21020</v>
          </cell>
          <cell r="E53" t="str">
            <v>Equity in earnings of subsidiaries</v>
          </cell>
        </row>
        <row r="54">
          <cell r="A54" t="str">
            <v>21030</v>
          </cell>
          <cell r="E54" t="str">
            <v>Opening Balance</v>
          </cell>
        </row>
        <row r="55">
          <cell r="A55" t="str">
            <v>21040</v>
          </cell>
          <cell r="E55" t="str">
            <v>Other comprehensive income</v>
          </cell>
        </row>
        <row r="56">
          <cell r="A56" t="str">
            <v>22200</v>
          </cell>
          <cell r="E56" t="str">
            <v>Employee Prepayment</v>
          </cell>
        </row>
        <row r="57">
          <cell r="A57" t="str">
            <v>23005</v>
          </cell>
          <cell r="E57" t="str">
            <v>Accrued Levies</v>
          </cell>
        </row>
        <row r="58">
          <cell r="A58" t="str">
            <v>23010</v>
          </cell>
          <cell r="E58" t="str">
            <v>Accrued Expenses</v>
          </cell>
        </row>
        <row r="59">
          <cell r="A59" t="str">
            <v>23030</v>
          </cell>
          <cell r="E59" t="str">
            <v>Education Tax</v>
          </cell>
        </row>
        <row r="60">
          <cell r="A60" t="str">
            <v>23040</v>
          </cell>
          <cell r="E60" t="str">
            <v>Pension Payable</v>
          </cell>
        </row>
        <row r="61">
          <cell r="A61" t="str">
            <v>23400</v>
          </cell>
          <cell r="E61" t="str">
            <v>VAT Payable</v>
          </cell>
        </row>
        <row r="62">
          <cell r="A62" t="str">
            <v>23405</v>
          </cell>
          <cell r="E62" t="str">
            <v>VAT Payable:Input VAT &amp; VAT Remitted</v>
          </cell>
        </row>
        <row r="63">
          <cell r="A63" t="str">
            <v>23420</v>
          </cell>
          <cell r="E63" t="str">
            <v>Withholding Tax Payable</v>
          </cell>
        </row>
        <row r="64">
          <cell r="A64" t="str">
            <v>24010</v>
          </cell>
          <cell r="E64" t="str">
            <v>PAYE Payable</v>
          </cell>
        </row>
        <row r="65">
          <cell r="A65" t="str">
            <v>24100</v>
          </cell>
          <cell r="E65" t="str">
            <v>Income tax payable</v>
          </cell>
        </row>
        <row r="66">
          <cell r="A66" t="str">
            <v>24550</v>
          </cell>
          <cell r="E66" t="str">
            <v>Other Creditors Seamfix UK</v>
          </cell>
        </row>
        <row r="67">
          <cell r="A67" t="str">
            <v>26100</v>
          </cell>
          <cell r="E67" t="str">
            <v>Long-Term Investments</v>
          </cell>
        </row>
        <row r="68">
          <cell r="A68" t="str">
            <v>27001</v>
          </cell>
          <cell r="E68" t="str">
            <v>Translation Gain / Loss</v>
          </cell>
        </row>
        <row r="69">
          <cell r="A69" t="str">
            <v>30005</v>
          </cell>
          <cell r="E69" t="str">
            <v>Dividend Paid</v>
          </cell>
        </row>
        <row r="70">
          <cell r="A70" t="str">
            <v>30022</v>
          </cell>
          <cell r="E70" t="str">
            <v>Shareholders Fund</v>
          </cell>
        </row>
        <row r="71">
          <cell r="A71" t="str">
            <v>30040</v>
          </cell>
          <cell r="E71" t="str">
            <v>Share capital</v>
          </cell>
        </row>
        <row r="72">
          <cell r="A72" t="str">
            <v>32000</v>
          </cell>
          <cell r="E72" t="str">
            <v>Retained Earnings</v>
          </cell>
        </row>
        <row r="73">
          <cell r="A73" t="str">
            <v>33000</v>
          </cell>
          <cell r="E73" t="str">
            <v>Net Income</v>
          </cell>
        </row>
        <row r="74">
          <cell r="A74" t="str">
            <v>40000</v>
          </cell>
          <cell r="E74" t="str">
            <v>Sales</v>
          </cell>
        </row>
        <row r="75">
          <cell r="A75" t="str">
            <v>40005</v>
          </cell>
          <cell r="E75" t="str">
            <v>AutoTopUp Income</v>
          </cell>
        </row>
        <row r="76">
          <cell r="A76" t="str">
            <v>40010</v>
          </cell>
          <cell r="E76" t="str">
            <v>Billable Expense Income</v>
          </cell>
        </row>
        <row r="77">
          <cell r="A77" t="str">
            <v>40015</v>
          </cell>
          <cell r="E77" t="str">
            <v>BioRegistra Income</v>
          </cell>
        </row>
        <row r="78">
          <cell r="A78" t="str">
            <v>40020</v>
          </cell>
          <cell r="E78" t="str">
            <v>Ancillary Income</v>
          </cell>
        </row>
        <row r="79">
          <cell r="A79" t="str">
            <v>40025</v>
          </cell>
          <cell r="E79" t="str">
            <v>NIMC Income</v>
          </cell>
        </row>
        <row r="80">
          <cell r="A80" t="str">
            <v>40030</v>
          </cell>
          <cell r="E80" t="str">
            <v>NCC Income</v>
          </cell>
        </row>
        <row r="81">
          <cell r="A81" t="str">
            <v>40045</v>
          </cell>
          <cell r="E81" t="str">
            <v>iClocker Income</v>
          </cell>
        </row>
        <row r="82">
          <cell r="A82" t="str">
            <v>40050</v>
          </cell>
          <cell r="E82" t="str">
            <v>SRM Income</v>
          </cell>
        </row>
        <row r="83">
          <cell r="A83" t="str">
            <v>40051</v>
          </cell>
          <cell r="E83" t="str">
            <v>SAAS-P Income</v>
          </cell>
        </row>
        <row r="84">
          <cell r="A84" t="str">
            <v>40055</v>
          </cell>
          <cell r="E84" t="str">
            <v>iTranscript Income</v>
          </cell>
        </row>
        <row r="85">
          <cell r="A85" t="str">
            <v>40056</v>
          </cell>
          <cell r="E85" t="str">
            <v>Seamfix NextGen Income</v>
          </cell>
        </row>
        <row r="86">
          <cell r="A86" t="str">
            <v>40060</v>
          </cell>
          <cell r="E86" t="str">
            <v>Laspotech Transaction Income</v>
          </cell>
        </row>
        <row r="87">
          <cell r="A87" t="str">
            <v>40062</v>
          </cell>
          <cell r="E87" t="str">
            <v>SeamID Income</v>
          </cell>
        </row>
        <row r="88">
          <cell r="A88" t="str">
            <v>40065</v>
          </cell>
          <cell r="E88" t="str">
            <v>Loanpair Income</v>
          </cell>
        </row>
        <row r="89">
          <cell r="A89" t="str">
            <v>40070</v>
          </cell>
          <cell r="E89" t="str">
            <v>NIBSS Aggregator Income</v>
          </cell>
        </row>
        <row r="90">
          <cell r="A90" t="str">
            <v>40075</v>
          </cell>
          <cell r="E90" t="str">
            <v>Seamfixcare Income</v>
          </cell>
        </row>
        <row r="91">
          <cell r="A91" t="str">
            <v>40080</v>
          </cell>
          <cell r="E91" t="str">
            <v>Other</v>
          </cell>
        </row>
        <row r="92">
          <cell r="A92" t="str">
            <v>40087</v>
          </cell>
          <cell r="E92" t="str">
            <v>Royalties</v>
          </cell>
        </row>
        <row r="93">
          <cell r="A93" t="str">
            <v>40090</v>
          </cell>
          <cell r="E93" t="str">
            <v>Primepayroll Income</v>
          </cell>
        </row>
        <row r="94">
          <cell r="A94" t="str">
            <v>40095</v>
          </cell>
          <cell r="E94" t="str">
            <v>Hardware Supplies - Income</v>
          </cell>
        </row>
        <row r="95">
          <cell r="A95" t="str">
            <v>40100</v>
          </cell>
          <cell r="E95" t="str">
            <v>Sales - Hardware Supplies: Finger Print Scanner</v>
          </cell>
        </row>
        <row r="96">
          <cell r="A96" t="str">
            <v>40105</v>
          </cell>
          <cell r="E96" t="str">
            <v>Bundl Income</v>
          </cell>
        </row>
        <row r="97">
          <cell r="A97" t="str">
            <v>40110</v>
          </cell>
          <cell r="E97" t="str">
            <v>Skye Schools Income</v>
          </cell>
        </row>
        <row r="98">
          <cell r="A98" t="str">
            <v>40115</v>
          </cell>
          <cell r="E98" t="str">
            <v>Skye Schools Income: Lord's Gate School Income</v>
          </cell>
        </row>
        <row r="99">
          <cell r="A99" t="str">
            <v>40120</v>
          </cell>
          <cell r="E99" t="str">
            <v>Skye Schools Income: Methodist Boys High Sch Income</v>
          </cell>
        </row>
        <row r="100">
          <cell r="A100" t="str">
            <v>40125</v>
          </cell>
          <cell r="E100" t="str">
            <v>Training income</v>
          </cell>
        </row>
        <row r="101">
          <cell r="A101" t="str">
            <v>40130</v>
          </cell>
          <cell r="E101" t="str">
            <v>Unapplied Cash Payment Income</v>
          </cell>
        </row>
        <row r="102">
          <cell r="A102" t="str">
            <v>40135</v>
          </cell>
          <cell r="E102" t="str">
            <v>Uncategorized Income</v>
          </cell>
        </row>
        <row r="103">
          <cell r="A103" t="str">
            <v>40140</v>
          </cell>
          <cell r="E103" t="str">
            <v>UNICAL iTranscript Request Income</v>
          </cell>
        </row>
        <row r="104">
          <cell r="A104" t="str">
            <v>40145</v>
          </cell>
          <cell r="E104" t="str">
            <v>UNICAL iVerification Income</v>
          </cell>
        </row>
        <row r="105">
          <cell r="A105" t="str">
            <v>40150</v>
          </cell>
          <cell r="E105" t="str">
            <v>UNN iTranscript Request Income</v>
          </cell>
        </row>
        <row r="106">
          <cell r="A106" t="str">
            <v>40155</v>
          </cell>
          <cell r="E106" t="str">
            <v>Verified.ng Income</v>
          </cell>
        </row>
        <row r="107">
          <cell r="A107" t="str">
            <v>40160</v>
          </cell>
          <cell r="E107" t="str">
            <v>Yaraju Income</v>
          </cell>
        </row>
        <row r="108">
          <cell r="A108" t="str">
            <v>40200</v>
          </cell>
          <cell r="E108" t="str">
            <v>INC039 Accrued Income</v>
          </cell>
        </row>
        <row r="109">
          <cell r="A109" t="str">
            <v>40205</v>
          </cell>
          <cell r="E109" t="str">
            <v>INC040 iClocker Income</v>
          </cell>
        </row>
        <row r="110">
          <cell r="A110" t="str">
            <v>40500</v>
          </cell>
          <cell r="E110" t="str">
            <v>Other operating income (expenses)</v>
          </cell>
        </row>
        <row r="111">
          <cell r="A111" t="str">
            <v>40903</v>
          </cell>
          <cell r="E111" t="str">
            <v>Incomplete Records (Income)</v>
          </cell>
        </row>
        <row r="112">
          <cell r="A112" t="str">
            <v>41000</v>
          </cell>
          <cell r="E112" t="str">
            <v>Sales Returns and Allowances</v>
          </cell>
        </row>
        <row r="113">
          <cell r="A113" t="str">
            <v>43000</v>
          </cell>
          <cell r="E113" t="str">
            <v>Inter Branch Sales</v>
          </cell>
        </row>
        <row r="114">
          <cell r="A114" t="str">
            <v>45400</v>
          </cell>
          <cell r="E114" t="str">
            <v>Finance Charge Income</v>
          </cell>
        </row>
        <row r="115">
          <cell r="A115" t="str">
            <v>49000</v>
          </cell>
          <cell r="E115" t="str">
            <v>Discount Taken</v>
          </cell>
        </row>
        <row r="116">
          <cell r="A116" t="str">
            <v>49300</v>
          </cell>
          <cell r="E116" t="str">
            <v>Interest income</v>
          </cell>
        </row>
        <row r="117">
          <cell r="A117" t="str">
            <v>49305</v>
          </cell>
          <cell r="E117" t="str">
            <v>Proceeds from Sale of Assets</v>
          </cell>
        </row>
        <row r="118">
          <cell r="A118" t="str">
            <v>49400</v>
          </cell>
          <cell r="E118" t="str">
            <v>Other Income</v>
          </cell>
        </row>
        <row r="119">
          <cell r="A119" t="str">
            <v>49401</v>
          </cell>
          <cell r="E119" t="str">
            <v>Other Income</v>
          </cell>
        </row>
        <row r="120">
          <cell r="A120" t="str">
            <v>49405</v>
          </cell>
          <cell r="E120" t="str">
            <v>Biosmart Income</v>
          </cell>
        </row>
        <row r="121">
          <cell r="A121" t="str">
            <v>49410</v>
          </cell>
          <cell r="E121" t="str">
            <v>Dividend income</v>
          </cell>
        </row>
        <row r="122">
          <cell r="A122" t="str">
            <v>50000</v>
          </cell>
          <cell r="E122" t="str">
            <v>COS - Hardware Purchases</v>
          </cell>
        </row>
        <row r="123">
          <cell r="A123" t="str">
            <v>50005</v>
          </cell>
          <cell r="E123" t="str">
            <v>Hardware Purchases</v>
          </cell>
        </row>
        <row r="124">
          <cell r="A124" t="str">
            <v>50010</v>
          </cell>
          <cell r="E124" t="str">
            <v>Inventory Shrinkage</v>
          </cell>
        </row>
        <row r="125">
          <cell r="A125" t="str">
            <v>50015</v>
          </cell>
          <cell r="E125" t="str">
            <v>Merchant Account Fees</v>
          </cell>
        </row>
        <row r="126">
          <cell r="A126" t="str">
            <v>51000</v>
          </cell>
          <cell r="E126" t="str">
            <v>COGS - Direct Labor Costs</v>
          </cell>
        </row>
        <row r="127">
          <cell r="A127" t="str">
            <v>51010</v>
          </cell>
          <cell r="E127" t="str">
            <v>Staff Health Insurance</v>
          </cell>
        </row>
        <row r="128">
          <cell r="A128" t="str">
            <v>51020</v>
          </cell>
          <cell r="E128" t="str">
            <v>Amortisation expense</v>
          </cell>
        </row>
        <row r="129">
          <cell r="A129" t="str">
            <v>51050</v>
          </cell>
          <cell r="E129" t="str">
            <v>Business Development Expenses</v>
          </cell>
        </row>
        <row r="130">
          <cell r="A130" t="str">
            <v>51065</v>
          </cell>
          <cell r="E130" t="str">
            <v>Commissions and fees</v>
          </cell>
        </row>
        <row r="131">
          <cell r="A131" t="str">
            <v>51100</v>
          </cell>
          <cell r="E131" t="str">
            <v>Income tax expense</v>
          </cell>
        </row>
        <row r="132">
          <cell r="A132" t="str">
            <v>51110</v>
          </cell>
          <cell r="E132" t="str">
            <v>Insurance - General</v>
          </cell>
        </row>
        <row r="133">
          <cell r="A133" t="str">
            <v>51120</v>
          </cell>
          <cell r="E133" t="str">
            <v>Interest expense</v>
          </cell>
        </row>
        <row r="134">
          <cell r="A134" t="str">
            <v>51140</v>
          </cell>
          <cell r="E134" t="str">
            <v>Legal and professional fees</v>
          </cell>
        </row>
        <row r="135">
          <cell r="A135" t="str">
            <v>51150</v>
          </cell>
          <cell r="E135" t="str">
            <v>Marketing Expenses</v>
          </cell>
        </row>
        <row r="136">
          <cell r="A136" t="str">
            <v>51185</v>
          </cell>
          <cell r="E136" t="str">
            <v>Other general and administrative expenses</v>
          </cell>
        </row>
        <row r="137">
          <cell r="A137" t="str">
            <v>51190</v>
          </cell>
          <cell r="E137" t="str">
            <v>Other selling expenses</v>
          </cell>
        </row>
        <row r="138">
          <cell r="A138" t="str">
            <v>51200</v>
          </cell>
          <cell r="E138" t="str">
            <v>Commission A/C</v>
          </cell>
        </row>
        <row r="139">
          <cell r="A139" t="str">
            <v>51225</v>
          </cell>
          <cell r="E139" t="str">
            <v>Rent or lease payments</v>
          </cell>
        </row>
        <row r="140">
          <cell r="A140" t="str">
            <v>51235</v>
          </cell>
          <cell r="E140" t="str">
            <v>Payroll Expenses</v>
          </cell>
        </row>
        <row r="141">
          <cell r="A141" t="str">
            <v>51240</v>
          </cell>
          <cell r="E141" t="str">
            <v>Shipping and delivery expense</v>
          </cell>
        </row>
        <row r="142">
          <cell r="A142" t="str">
            <v>51250</v>
          </cell>
          <cell r="E142" t="str">
            <v>Staff Training</v>
          </cell>
        </row>
        <row r="143">
          <cell r="A143" t="str">
            <v>51265</v>
          </cell>
          <cell r="E143" t="str">
            <v>Stationery and printing</v>
          </cell>
        </row>
        <row r="144">
          <cell r="A144" t="str">
            <v>51295</v>
          </cell>
          <cell r="E144" t="str">
            <v>Travel expenses - general and admin expenses</v>
          </cell>
        </row>
        <row r="145">
          <cell r="A145" t="str">
            <v>51300</v>
          </cell>
          <cell r="E145" t="str">
            <v>Freight</v>
          </cell>
        </row>
        <row r="146">
          <cell r="A146" t="str">
            <v>51312</v>
          </cell>
          <cell r="E146" t="str">
            <v>Bank charges</v>
          </cell>
        </row>
        <row r="147">
          <cell r="A147" t="str">
            <v>51325</v>
          </cell>
          <cell r="E147" t="str">
            <v>Vehicle Maintenance Expenses</v>
          </cell>
        </row>
        <row r="148">
          <cell r="A148" t="str">
            <v>51335</v>
          </cell>
          <cell r="E148" t="str">
            <v>Wage expenses</v>
          </cell>
        </row>
        <row r="149">
          <cell r="A149" t="str">
            <v>51345</v>
          </cell>
          <cell r="E149" t="str">
            <v>Intercompany Transactions</v>
          </cell>
        </row>
        <row r="150">
          <cell r="A150" t="str">
            <v>51400</v>
          </cell>
          <cell r="E150" t="str">
            <v>COGS - Other</v>
          </cell>
        </row>
        <row r="151">
          <cell r="A151" t="str">
            <v>52000</v>
          </cell>
          <cell r="E151" t="str">
            <v>Physical Inventory Adjustments</v>
          </cell>
        </row>
        <row r="152">
          <cell r="A152" t="str">
            <v>52100</v>
          </cell>
          <cell r="E152" t="str">
            <v>Standard Cost Adjustments</v>
          </cell>
        </row>
        <row r="153">
          <cell r="A153" t="str">
            <v>52110</v>
          </cell>
          <cell r="E153" t="str">
            <v>Standard Cost Revaluation Account</v>
          </cell>
        </row>
        <row r="154">
          <cell r="A154" t="str">
            <v>52200</v>
          </cell>
          <cell r="E154" t="str">
            <v>Other Inventory Adjustments</v>
          </cell>
        </row>
        <row r="155">
          <cell r="A155" t="str">
            <v>52300</v>
          </cell>
          <cell r="E155" t="str">
            <v>Purchase Price Variance</v>
          </cell>
        </row>
        <row r="156">
          <cell r="A156" t="str">
            <v>52400</v>
          </cell>
          <cell r="E156" t="str">
            <v>Foreign Professional fees</v>
          </cell>
        </row>
        <row r="157">
          <cell r="A157" t="str">
            <v>52500</v>
          </cell>
          <cell r="E157" t="str">
            <v>Purchase Returns and Allowances</v>
          </cell>
        </row>
        <row r="158">
          <cell r="A158" t="str">
            <v>52600</v>
          </cell>
          <cell r="E158" t="str">
            <v>COS - Discount Allowed</v>
          </cell>
        </row>
        <row r="159">
          <cell r="A159" t="str">
            <v>53000</v>
          </cell>
          <cell r="E159" t="str">
            <v>Cost of Sales</v>
          </cell>
        </row>
        <row r="160">
          <cell r="A160" t="str">
            <v>53005</v>
          </cell>
          <cell r="E160" t="str">
            <v>COS - Accommodation</v>
          </cell>
        </row>
        <row r="161">
          <cell r="A161" t="str">
            <v>53010</v>
          </cell>
          <cell r="E161" t="str">
            <v>PROJECT EXPENSE:Advance Payment Bond (Insurance)</v>
          </cell>
        </row>
        <row r="162">
          <cell r="A162" t="str">
            <v>53015</v>
          </cell>
          <cell r="E162" t="str">
            <v>PROJECT EXPENSE:Clearing Charges</v>
          </cell>
        </row>
        <row r="163">
          <cell r="A163" t="str">
            <v>53020</v>
          </cell>
          <cell r="E163" t="str">
            <v>PROJECT EXPENSE: Communication</v>
          </cell>
        </row>
        <row r="164">
          <cell r="A164" t="str">
            <v>53025</v>
          </cell>
          <cell r="E164" t="str">
            <v>COS - Consultancy</v>
          </cell>
        </row>
        <row r="165">
          <cell r="A165" t="str">
            <v>53030</v>
          </cell>
          <cell r="E165" t="str">
            <v>COS - Equipment &amp; materials purchase</v>
          </cell>
        </row>
        <row r="166">
          <cell r="A166" t="str">
            <v>53035</v>
          </cell>
          <cell r="E166" t="str">
            <v>COS - Freight and Shipping</v>
          </cell>
        </row>
        <row r="167">
          <cell r="A167" t="str">
            <v>53040</v>
          </cell>
          <cell r="E167" t="str">
            <v>COS - Fuel &amp; Oil</v>
          </cell>
        </row>
        <row r="168">
          <cell r="A168" t="str">
            <v>53045</v>
          </cell>
          <cell r="E168" t="str">
            <v>COS - Hosting &amp; Storage</v>
          </cell>
        </row>
        <row r="169">
          <cell r="A169" t="str">
            <v>53055</v>
          </cell>
          <cell r="E169" t="str">
            <v>COS - Insurance</v>
          </cell>
        </row>
        <row r="170">
          <cell r="A170" t="str">
            <v>53060</v>
          </cell>
          <cell r="E170" t="str">
            <v>COS - Internet &amp; Communication</v>
          </cell>
        </row>
        <row r="171">
          <cell r="A171" t="str">
            <v>53065</v>
          </cell>
          <cell r="E171" t="str">
            <v>COS - Meals</v>
          </cell>
        </row>
        <row r="172">
          <cell r="A172" t="str">
            <v>53075</v>
          </cell>
          <cell r="E172" t="str">
            <v>COS - Printing</v>
          </cell>
        </row>
        <row r="173">
          <cell r="A173" t="str">
            <v>53080</v>
          </cell>
          <cell r="E173" t="str">
            <v>COS - Professional Services</v>
          </cell>
        </row>
        <row r="174">
          <cell r="A174" t="str">
            <v>53090</v>
          </cell>
          <cell r="E174" t="str">
            <v>COS - Repairs</v>
          </cell>
        </row>
        <row r="175">
          <cell r="A175" t="str">
            <v>53095</v>
          </cell>
          <cell r="E175" t="str">
            <v>COS - Sundry expenses</v>
          </cell>
        </row>
        <row r="176">
          <cell r="A176" t="str">
            <v>53105</v>
          </cell>
          <cell r="E176" t="str">
            <v>PROJECT EXPENSE TRAINING</v>
          </cell>
        </row>
        <row r="177">
          <cell r="A177" t="str">
            <v>53110</v>
          </cell>
          <cell r="E177" t="str">
            <v>COS - Travel &amp; Transportation</v>
          </cell>
        </row>
        <row r="178">
          <cell r="A178" t="str">
            <v>53120</v>
          </cell>
          <cell r="E178" t="str">
            <v>COS - Wages</v>
          </cell>
        </row>
        <row r="179">
          <cell r="A179" t="str">
            <v>53140</v>
          </cell>
          <cell r="E179" t="str">
            <v>COS - Software Expense/Licenses</v>
          </cell>
        </row>
        <row r="180">
          <cell r="A180" t="str">
            <v>57100</v>
          </cell>
          <cell r="E180" t="str">
            <v>Equipment rental</v>
          </cell>
        </row>
        <row r="181">
          <cell r="A181" t="str">
            <v>60005</v>
          </cell>
          <cell r="E181" t="str">
            <v>Registration</v>
          </cell>
        </row>
        <row r="182">
          <cell r="A182" t="str">
            <v>60010</v>
          </cell>
          <cell r="E182" t="str">
            <v>Rental Expense</v>
          </cell>
        </row>
        <row r="183">
          <cell r="A183" t="str">
            <v>60015</v>
          </cell>
          <cell r="E183" t="str">
            <v>Repairs and Maintenance</v>
          </cell>
        </row>
        <row r="184">
          <cell r="A184" t="str">
            <v>60020</v>
          </cell>
          <cell r="E184" t="str">
            <v>Repairs and Maintenance: Furniture &amp; Fittings</v>
          </cell>
        </row>
        <row r="185">
          <cell r="A185" t="str">
            <v>60025</v>
          </cell>
          <cell r="E185" t="str">
            <v>Repairs and Maintenance: Office &amp; Computer Equipment</v>
          </cell>
        </row>
        <row r="186">
          <cell r="A186" t="str">
            <v>60030</v>
          </cell>
          <cell r="E186" t="str">
            <v>Repairs and Maintenance: Plant &amp; Machinery</v>
          </cell>
        </row>
        <row r="187">
          <cell r="A187" t="str">
            <v>60035</v>
          </cell>
          <cell r="E187" t="str">
            <v>Fines &amp; Penalties</v>
          </cell>
        </row>
        <row r="188">
          <cell r="A188" t="str">
            <v>60040</v>
          </cell>
          <cell r="E188" t="str">
            <v>Printing and Reproduction</v>
          </cell>
        </row>
        <row r="189">
          <cell r="A189" t="str">
            <v>60045</v>
          </cell>
          <cell r="E189" t="str">
            <v>Internet Expense</v>
          </cell>
        </row>
        <row r="190">
          <cell r="A190" t="str">
            <v>60050</v>
          </cell>
          <cell r="E190" t="str">
            <v>Research &amp; Development</v>
          </cell>
        </row>
        <row r="191">
          <cell r="A191" t="str">
            <v>60060</v>
          </cell>
          <cell r="E191" t="str">
            <v>Software Tools</v>
          </cell>
        </row>
        <row r="192">
          <cell r="A192" t="str">
            <v>60070</v>
          </cell>
          <cell r="E192" t="str">
            <v>Staff Welfare: Gifts expense</v>
          </cell>
        </row>
        <row r="193">
          <cell r="A193" t="str">
            <v>60075</v>
          </cell>
          <cell r="E193" t="str">
            <v>Maintenance - Land</v>
          </cell>
        </row>
        <row r="194">
          <cell r="A194" t="str">
            <v>60080</v>
          </cell>
          <cell r="E194" t="str">
            <v>Staff Welfare: Medicals</v>
          </cell>
        </row>
        <row r="195">
          <cell r="A195" t="str">
            <v>60085</v>
          </cell>
          <cell r="E195" t="str">
            <v>Staff Welfare: Staff Insurance</v>
          </cell>
        </row>
        <row r="196">
          <cell r="A196" t="str">
            <v>60090</v>
          </cell>
          <cell r="E196" t="str">
            <v>Retreats</v>
          </cell>
        </row>
        <row r="197">
          <cell r="A197" t="str">
            <v>60095</v>
          </cell>
          <cell r="E197" t="str">
            <v>Suspense</v>
          </cell>
        </row>
        <row r="198">
          <cell r="A198" t="str">
            <v>60096</v>
          </cell>
          <cell r="E198" t="str">
            <v>Levies</v>
          </cell>
        </row>
        <row r="199">
          <cell r="A199" t="str">
            <v>60100</v>
          </cell>
          <cell r="E199" t="str">
            <v>Marketing &amp; Branding - Digital</v>
          </cell>
        </row>
        <row r="200">
          <cell r="A200" t="str">
            <v>60110</v>
          </cell>
          <cell r="E200" t="str">
            <v>Marketing &amp; Branding - Offline</v>
          </cell>
        </row>
        <row r="201">
          <cell r="A201" t="str">
            <v>60115</v>
          </cell>
          <cell r="E201" t="str">
            <v>Marketing &amp; Branding - Events</v>
          </cell>
        </row>
        <row r="202">
          <cell r="A202" t="str">
            <v>60120</v>
          </cell>
          <cell r="E202" t="str">
            <v>Marketing &amp; Branding - Printing</v>
          </cell>
        </row>
        <row r="203">
          <cell r="A203" t="str">
            <v>60125</v>
          </cell>
          <cell r="E203" t="str">
            <v>Marketing &amp; Branding - Professional Service &amp; Others</v>
          </cell>
        </row>
        <row r="204">
          <cell r="A204" t="str">
            <v>60200</v>
          </cell>
          <cell r="E204" t="str">
            <v>Business Development Expenses</v>
          </cell>
        </row>
        <row r="205">
          <cell r="A205" t="str">
            <v>60201</v>
          </cell>
          <cell r="E205" t="str">
            <v>Business Development Expenses: Accommodation</v>
          </cell>
        </row>
        <row r="206">
          <cell r="A206" t="str">
            <v>60202</v>
          </cell>
          <cell r="E206" t="str">
            <v>Business Development Expenses: Communication</v>
          </cell>
        </row>
        <row r="207">
          <cell r="A207" t="str">
            <v>60203</v>
          </cell>
          <cell r="E207" t="str">
            <v>Business Development Expenses: Gift</v>
          </cell>
        </row>
        <row r="208">
          <cell r="A208" t="str">
            <v>60204</v>
          </cell>
          <cell r="E208" t="str">
            <v>Business Development Expenses: Graphics Design</v>
          </cell>
        </row>
        <row r="209">
          <cell r="A209" t="str">
            <v>60205</v>
          </cell>
          <cell r="E209" t="str">
            <v>Business Development Expenses: Internet &amp; Communication</v>
          </cell>
        </row>
        <row r="210">
          <cell r="A210" t="str">
            <v>60206</v>
          </cell>
          <cell r="E210" t="str">
            <v>Business Development Expenses: Meals</v>
          </cell>
        </row>
        <row r="211">
          <cell r="A211" t="str">
            <v>60207</v>
          </cell>
          <cell r="E211" t="str">
            <v>Business Development Expenses: Other Living Expenses</v>
          </cell>
        </row>
        <row r="212">
          <cell r="A212" t="str">
            <v>60208</v>
          </cell>
          <cell r="E212" t="str">
            <v>Business Development Expenses: Periodicals &amp; Others</v>
          </cell>
        </row>
        <row r="213">
          <cell r="A213" t="str">
            <v>60209</v>
          </cell>
          <cell r="E213" t="str">
            <v>Business Development Expenses: Sales Incentive</v>
          </cell>
        </row>
        <row r="214">
          <cell r="A214" t="str">
            <v>60210</v>
          </cell>
          <cell r="E214" t="str">
            <v>Business Development Expenses: Transport &amp; Other Travel</v>
          </cell>
        </row>
        <row r="215">
          <cell r="A215" t="str">
            <v>60211</v>
          </cell>
          <cell r="E215" t="str">
            <v>Business Development Expenses:Sundry Expenses</v>
          </cell>
        </row>
        <row r="216">
          <cell r="A216" t="str">
            <v>60212</v>
          </cell>
          <cell r="E216" t="str">
            <v>Business Devt (SchoolOnline)</v>
          </cell>
        </row>
        <row r="217">
          <cell r="A217" t="str">
            <v>60213</v>
          </cell>
          <cell r="E217" t="str">
            <v>Business Licenses and Permits</v>
          </cell>
        </row>
        <row r="218">
          <cell r="A218" t="str">
            <v>60214</v>
          </cell>
          <cell r="E218" t="str">
            <v>Charitable Donations</v>
          </cell>
        </row>
        <row r="219">
          <cell r="A219" t="str">
            <v>60215</v>
          </cell>
          <cell r="E219" t="str">
            <v>Clearing charges</v>
          </cell>
        </row>
        <row r="220">
          <cell r="A220" t="str">
            <v>60216</v>
          </cell>
          <cell r="E220" t="str">
            <v>Consultancy expenses</v>
          </cell>
        </row>
        <row r="221">
          <cell r="A221" t="str">
            <v>60217</v>
          </cell>
          <cell r="E221" t="str">
            <v>Diesel</v>
          </cell>
        </row>
        <row r="222">
          <cell r="A222" t="str">
            <v>60218</v>
          </cell>
          <cell r="E222" t="str">
            <v>Business Development Expenses: Business Development PR</v>
          </cell>
        </row>
        <row r="223">
          <cell r="A223" t="str">
            <v>61000</v>
          </cell>
          <cell r="E223" t="str">
            <v>Advertising Expense</v>
          </cell>
        </row>
        <row r="224">
          <cell r="A224" t="str">
            <v>61100</v>
          </cell>
          <cell r="E224" t="str">
            <v>Bank Service Charges</v>
          </cell>
        </row>
        <row r="225">
          <cell r="A225" t="str">
            <v>61200</v>
          </cell>
          <cell r="E225" t="str">
            <v>Business License &amp; Fees</v>
          </cell>
        </row>
        <row r="226">
          <cell r="A226" t="str">
            <v>61300</v>
          </cell>
          <cell r="E226" t="str">
            <v>Motor Vehicle Expense</v>
          </cell>
        </row>
        <row r="227">
          <cell r="A227" t="str">
            <v>61310</v>
          </cell>
          <cell r="E227" t="str">
            <v>Motor Vehicle Expense: Fuel &amp; Oil</v>
          </cell>
        </row>
        <row r="228">
          <cell r="A228" t="str">
            <v>61315</v>
          </cell>
          <cell r="E228" t="str">
            <v>Motor Vehicle Expense:Servicing/Repairs</v>
          </cell>
        </row>
        <row r="229">
          <cell r="A229" t="str">
            <v>61320</v>
          </cell>
          <cell r="E229" t="str">
            <v>Motor Vehicle Expense: Tax/Insurance/Re</v>
          </cell>
        </row>
        <row r="230">
          <cell r="A230" t="str">
            <v>61500</v>
          </cell>
          <cell r="E230" t="str">
            <v>Freight &amp; Clearing</v>
          </cell>
        </row>
        <row r="231">
          <cell r="A231" t="str">
            <v>61600</v>
          </cell>
          <cell r="E231" t="str">
            <v>Dues and subscriptions</v>
          </cell>
        </row>
        <row r="232">
          <cell r="A232" t="str">
            <v>61700</v>
          </cell>
          <cell r="E232" t="str">
            <v>Insurance Expense</v>
          </cell>
        </row>
        <row r="233">
          <cell r="A233" t="str">
            <v>62100</v>
          </cell>
          <cell r="E233" t="str">
            <v>Marketing Expense</v>
          </cell>
        </row>
        <row r="234">
          <cell r="A234" t="str">
            <v>62101</v>
          </cell>
          <cell r="E234" t="str">
            <v>Sales Commission</v>
          </cell>
        </row>
        <row r="235">
          <cell r="A235" t="str">
            <v>62200</v>
          </cell>
          <cell r="E235" t="str">
            <v>Meals and Entertainment</v>
          </cell>
        </row>
        <row r="236">
          <cell r="A236" t="str">
            <v>62400</v>
          </cell>
          <cell r="E236" t="str">
            <v>Office Expense</v>
          </cell>
        </row>
        <row r="237">
          <cell r="A237" t="str">
            <v>62415</v>
          </cell>
          <cell r="E237" t="str">
            <v>Office Expense: Computer accessories &amp; Supplies</v>
          </cell>
        </row>
        <row r="238">
          <cell r="A238" t="str">
            <v>62420</v>
          </cell>
          <cell r="E238" t="str">
            <v>Office Expense: Other</v>
          </cell>
        </row>
        <row r="239">
          <cell r="A239" t="str">
            <v>62425</v>
          </cell>
          <cell r="E239" t="str">
            <v>Office Expense: Supplies</v>
          </cell>
        </row>
        <row r="240">
          <cell r="A240" t="str">
            <v>62435</v>
          </cell>
          <cell r="E240" t="str">
            <v>Office Expense: Stationery</v>
          </cell>
        </row>
        <row r="241">
          <cell r="A241" t="str">
            <v>62700</v>
          </cell>
          <cell r="E241" t="str">
            <v>Professional Fees - Others</v>
          </cell>
        </row>
        <row r="242">
          <cell r="A242" t="str">
            <v>62950</v>
          </cell>
          <cell r="E242" t="str">
            <v>Repairs</v>
          </cell>
        </row>
        <row r="243">
          <cell r="A243" t="str">
            <v>63000</v>
          </cell>
          <cell r="E243" t="str">
            <v>Supplies</v>
          </cell>
        </row>
        <row r="244">
          <cell r="A244" t="str">
            <v>63100</v>
          </cell>
          <cell r="E244" t="str">
            <v>Telephone</v>
          </cell>
        </row>
        <row r="245">
          <cell r="A245" t="str">
            <v>63110</v>
          </cell>
          <cell r="E245" t="str">
            <v>Staff Welfare: Staff Allowances</v>
          </cell>
        </row>
        <row r="246">
          <cell r="A246" t="str">
            <v>63120</v>
          </cell>
          <cell r="E246" t="str">
            <v>Training</v>
          </cell>
        </row>
        <row r="247">
          <cell r="A247" t="str">
            <v>63125</v>
          </cell>
          <cell r="E247" t="str">
            <v>Transportation</v>
          </cell>
        </row>
        <row r="248">
          <cell r="A248" t="str">
            <v>63200</v>
          </cell>
          <cell r="E248" t="str">
            <v>Travel</v>
          </cell>
        </row>
        <row r="249">
          <cell r="A249" t="str">
            <v>63300</v>
          </cell>
          <cell r="E249" t="str">
            <v>Utilities</v>
          </cell>
        </row>
        <row r="250">
          <cell r="A250" t="str">
            <v>63900</v>
          </cell>
          <cell r="E250" t="str">
            <v>Directors' expenses</v>
          </cell>
        </row>
        <row r="251">
          <cell r="A251" t="str">
            <v>63905</v>
          </cell>
          <cell r="E251" t="str">
            <v>Directors' expenses: Medical expenses</v>
          </cell>
        </row>
        <row r="252">
          <cell r="A252" t="str">
            <v>63907</v>
          </cell>
          <cell r="E252" t="str">
            <v>Directors' expenses: Allowances</v>
          </cell>
        </row>
        <row r="253">
          <cell r="A253" t="str">
            <v>63910</v>
          </cell>
          <cell r="E253" t="str">
            <v>Directors' expenses: Sundry Expense</v>
          </cell>
        </row>
        <row r="254">
          <cell r="A254" t="str">
            <v>64000</v>
          </cell>
          <cell r="E254" t="str">
            <v>Depreciation Expense</v>
          </cell>
        </row>
        <row r="255">
          <cell r="A255" t="str">
            <v>65000</v>
          </cell>
          <cell r="E255" t="str">
            <v>Staff Welfare: Employee Benefits</v>
          </cell>
        </row>
        <row r="256">
          <cell r="A256" t="str">
            <v>65010</v>
          </cell>
          <cell r="E256" t="str">
            <v>Payroll:Employees Pension Contribution</v>
          </cell>
        </row>
        <row r="257">
          <cell r="A257" t="str">
            <v>65015</v>
          </cell>
          <cell r="E257" t="str">
            <v>Payroll: Directors' PIT</v>
          </cell>
        </row>
        <row r="258">
          <cell r="A258" t="str">
            <v>65020</v>
          </cell>
          <cell r="E258" t="str">
            <v>Payroll: Directors' Salaries</v>
          </cell>
        </row>
        <row r="259">
          <cell r="A259" t="str">
            <v>65030</v>
          </cell>
          <cell r="E259" t="str">
            <v>Payroll: Staff PAYE &amp; Employee's Pension deductions</v>
          </cell>
        </row>
        <row r="260">
          <cell r="A260" t="str">
            <v>65035</v>
          </cell>
          <cell r="E260" t="str">
            <v>Payroll: Staff Salaries</v>
          </cell>
        </row>
        <row r="261">
          <cell r="A261" t="str">
            <v>65050</v>
          </cell>
          <cell r="E261" t="str">
            <v>Disposal Account</v>
          </cell>
        </row>
        <row r="262">
          <cell r="A262" t="str">
            <v>65095</v>
          </cell>
          <cell r="E262" t="str">
            <v>Hosting Expenses</v>
          </cell>
        </row>
        <row r="263">
          <cell r="A263" t="str">
            <v>65100</v>
          </cell>
          <cell r="E263" t="str">
            <v>Employer's Pension Contribution</v>
          </cell>
        </row>
        <row r="264">
          <cell r="A264" t="str">
            <v>65200</v>
          </cell>
          <cell r="E264" t="str">
            <v>Bonuses</v>
          </cell>
        </row>
        <row r="265">
          <cell r="A265" t="str">
            <v>65800</v>
          </cell>
          <cell r="E265" t="str">
            <v>Gift expense</v>
          </cell>
        </row>
        <row r="266">
          <cell r="A266" t="str">
            <v>66305</v>
          </cell>
          <cell r="E266" t="str">
            <v>Taxes: Company Income Tax</v>
          </cell>
        </row>
        <row r="267">
          <cell r="A267" t="str">
            <v>66310</v>
          </cell>
          <cell r="E267" t="str">
            <v>Taxes:Taxes Education Tax</v>
          </cell>
        </row>
        <row r="268">
          <cell r="A268" t="str">
            <v>67000</v>
          </cell>
          <cell r="E268" t="str">
            <v>Other Expense</v>
          </cell>
        </row>
        <row r="269">
          <cell r="A269" t="str">
            <v>67010</v>
          </cell>
          <cell r="E269" t="str">
            <v>Bad debt</v>
          </cell>
        </row>
        <row r="270">
          <cell r="A270" t="str">
            <v>67012</v>
          </cell>
          <cell r="E270" t="str">
            <v>Loanpair Expenses</v>
          </cell>
        </row>
        <row r="271">
          <cell r="A271" t="str">
            <v>67028</v>
          </cell>
          <cell r="E271" t="str">
            <v>Internet Expense: Staff internet</v>
          </cell>
        </row>
        <row r="272">
          <cell r="A272" t="str">
            <v>67040</v>
          </cell>
          <cell r="E272" t="str">
            <v>Deferred Tax Charge</v>
          </cell>
        </row>
        <row r="273">
          <cell r="A273" t="str">
            <v>67055</v>
          </cell>
          <cell r="E273" t="str">
            <v>Taxes - Other</v>
          </cell>
        </row>
        <row r="274">
          <cell r="A274" t="str">
            <v>67065</v>
          </cell>
          <cell r="E274" t="str">
            <v>Inventory Write-Down</v>
          </cell>
        </row>
        <row r="275">
          <cell r="A275" t="str">
            <v>67300</v>
          </cell>
          <cell r="E275" t="str">
            <v>Freight and delivery - COS</v>
          </cell>
        </row>
        <row r="276">
          <cell r="A276" t="str">
            <v>67890</v>
          </cell>
          <cell r="E276" t="str">
            <v>Unrealized Gain / Loss Currency</v>
          </cell>
        </row>
        <row r="277">
          <cell r="A277" t="str">
            <v>67920</v>
          </cell>
          <cell r="E277" t="str">
            <v>Exchange Gain or Loss</v>
          </cell>
        </row>
        <row r="278">
          <cell r="A278" t="str">
            <v>67940</v>
          </cell>
          <cell r="E278" t="str">
            <v>Rounding Gain / Loss</v>
          </cell>
        </row>
        <row r="279">
          <cell r="A279" t="str">
            <v>68500</v>
          </cell>
          <cell r="E279" t="str">
            <v>Professional Fees:Professional Fees Legal Practitioners' fee</v>
          </cell>
        </row>
        <row r="280">
          <cell r="A280" t="str">
            <v>68501</v>
          </cell>
          <cell r="E280" t="str">
            <v>Professional Fees:Professional Fees Auditors' Fees</v>
          </cell>
        </row>
        <row r="281">
          <cell r="A281" t="str">
            <v>68502</v>
          </cell>
          <cell r="E281" t="str">
            <v>EXP034C Professional Fees:Business Consulting Services</v>
          </cell>
        </row>
        <row r="282">
          <cell r="A282" t="str">
            <v>68503</v>
          </cell>
          <cell r="E282" t="str">
            <v>EXP034D Professional Fees:Tax Services</v>
          </cell>
        </row>
        <row r="283">
          <cell r="A283" t="str">
            <v>69600</v>
          </cell>
          <cell r="E283" t="str">
            <v>COS - Subcontracted Services</v>
          </cell>
        </row>
        <row r="284">
          <cell r="A284" t="str">
            <v>69901</v>
          </cell>
          <cell r="E284" t="str">
            <v>Amortization Expense</v>
          </cell>
        </row>
        <row r="285">
          <cell r="A285" t="str">
            <v>69902</v>
          </cell>
          <cell r="E285" t="str">
            <v>Staff Welfare: Utilities</v>
          </cell>
        </row>
        <row r="289">
          <cell r="E289" t="str">
            <v>BS</v>
          </cell>
        </row>
      </sheetData>
      <sheetData sheetId="4" refreshError="1"/>
      <sheetData sheetId="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10132</v>
          </cell>
          <cell r="H6">
            <v>36046.519999999997</v>
          </cell>
        </row>
        <row r="7">
          <cell r="A7" t="str">
            <v>10133</v>
          </cell>
          <cell r="H7">
            <v>204826.77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20980.17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-1646.8</v>
          </cell>
        </row>
        <row r="13">
          <cell r="A13" t="str">
            <v>17000</v>
          </cell>
          <cell r="H13">
            <v>992.26</v>
          </cell>
        </row>
        <row r="14">
          <cell r="A14" t="str">
            <v>20065</v>
          </cell>
          <cell r="H14">
            <v>0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23405</v>
          </cell>
          <cell r="H16">
            <v>82.5</v>
          </cell>
        </row>
        <row r="17">
          <cell r="A17" t="str">
            <v>24550</v>
          </cell>
          <cell r="H17">
            <v>-2076.29</v>
          </cell>
        </row>
        <row r="18">
          <cell r="A18" t="str">
            <v>30022</v>
          </cell>
          <cell r="H18">
            <v>-1653326.94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1125794.21</v>
          </cell>
        </row>
        <row r="21">
          <cell r="A21" t="str">
            <v>51312</v>
          </cell>
          <cell r="H21">
            <v>143.06</v>
          </cell>
        </row>
        <row r="22">
          <cell r="A22" t="str">
            <v>51345</v>
          </cell>
          <cell r="H22">
            <v>11478.75</v>
          </cell>
        </row>
        <row r="23">
          <cell r="A23" t="str">
            <v>60010</v>
          </cell>
          <cell r="H23">
            <v>785.71</v>
          </cell>
        </row>
        <row r="24">
          <cell r="A24" t="str">
            <v>60213</v>
          </cell>
          <cell r="H24">
            <v>1241.52</v>
          </cell>
        </row>
        <row r="25">
          <cell r="A25" t="str">
            <v>61600</v>
          </cell>
          <cell r="H25">
            <v>399.09</v>
          </cell>
        </row>
        <row r="26">
          <cell r="A26" t="str">
            <v>62700</v>
          </cell>
          <cell r="H26">
            <v>1650</v>
          </cell>
        </row>
        <row r="27">
          <cell r="A27" t="str">
            <v>64000</v>
          </cell>
          <cell r="H27">
            <v>35.799999999999997</v>
          </cell>
        </row>
        <row r="28">
          <cell r="A28" t="str">
            <v>65020</v>
          </cell>
          <cell r="H28">
            <v>55125</v>
          </cell>
        </row>
        <row r="29">
          <cell r="A29" t="str">
            <v>67920</v>
          </cell>
          <cell r="H29">
            <v>-12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10132</v>
          </cell>
          <cell r="H6">
            <v>36364.910000000003</v>
          </cell>
        </row>
        <row r="7">
          <cell r="A7" t="str">
            <v>10133</v>
          </cell>
          <cell r="H7">
            <v>22903.33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11530</v>
          </cell>
          <cell r="H9">
            <v>23007.4</v>
          </cell>
        </row>
        <row r="10">
          <cell r="A10" t="str">
            <v>15010</v>
          </cell>
          <cell r="H10">
            <v>2147.9899999999998</v>
          </cell>
        </row>
        <row r="11">
          <cell r="A11" t="str">
            <v>16650</v>
          </cell>
          <cell r="H11">
            <v>-1611</v>
          </cell>
        </row>
        <row r="12">
          <cell r="A12" t="str">
            <v>17000</v>
          </cell>
          <cell r="H12">
            <v>992.26</v>
          </cell>
        </row>
        <row r="13">
          <cell r="A13" t="str">
            <v>20065</v>
          </cell>
          <cell r="H13">
            <v>-52875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24550</v>
          </cell>
          <cell r="H15">
            <v>93296.11</v>
          </cell>
        </row>
        <row r="16">
          <cell r="A16" t="str">
            <v>30022</v>
          </cell>
          <cell r="H16">
            <v>-1445352.89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1125794.21</v>
          </cell>
        </row>
        <row r="19">
          <cell r="A19" t="str">
            <v>51312</v>
          </cell>
          <cell r="H19">
            <v>52.5</v>
          </cell>
        </row>
        <row r="20">
          <cell r="A20" t="str">
            <v>51345</v>
          </cell>
          <cell r="H20">
            <v>11230.32</v>
          </cell>
        </row>
        <row r="21">
          <cell r="A21" t="str">
            <v>60010</v>
          </cell>
          <cell r="H21">
            <v>785.71</v>
          </cell>
        </row>
        <row r="22">
          <cell r="A22" t="str">
            <v>60213</v>
          </cell>
          <cell r="H22">
            <v>1241.52</v>
          </cell>
        </row>
        <row r="23">
          <cell r="A23" t="str">
            <v>61600</v>
          </cell>
          <cell r="H23">
            <v>775.78</v>
          </cell>
        </row>
        <row r="24">
          <cell r="A24" t="str">
            <v>62700</v>
          </cell>
          <cell r="H24">
            <v>0</v>
          </cell>
        </row>
        <row r="25">
          <cell r="A25" t="str">
            <v>64000</v>
          </cell>
          <cell r="H25">
            <v>35.799999999999997</v>
          </cell>
        </row>
        <row r="26">
          <cell r="A26" t="str">
            <v>65020</v>
          </cell>
          <cell r="H26">
            <v>55125</v>
          </cell>
        </row>
        <row r="27">
          <cell r="A27" t="str">
            <v>67920</v>
          </cell>
          <cell r="H27">
            <v>0</v>
          </cell>
        </row>
        <row r="28">
          <cell r="H28" t="e">
            <v>#N/A</v>
          </cell>
        </row>
        <row r="29"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10132</v>
          </cell>
          <cell r="H6">
            <v>74693.19</v>
          </cell>
        </row>
        <row r="7">
          <cell r="A7" t="str">
            <v>10133</v>
          </cell>
          <cell r="H7">
            <v>22903.33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11530</v>
          </cell>
          <cell r="H9">
            <v>25034.63</v>
          </cell>
        </row>
        <row r="10">
          <cell r="A10" t="str">
            <v>13200</v>
          </cell>
          <cell r="H10">
            <v>0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-1575.2</v>
          </cell>
        </row>
        <row r="13">
          <cell r="A13" t="str">
            <v>17000</v>
          </cell>
          <cell r="H13">
            <v>992.26</v>
          </cell>
        </row>
        <row r="14">
          <cell r="A14" t="str">
            <v>20065</v>
          </cell>
          <cell r="H14">
            <v>-35250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93296.11</v>
          </cell>
        </row>
        <row r="17">
          <cell r="A17" t="str">
            <v>30022</v>
          </cell>
          <cell r="H17">
            <v>-1434122.57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1125794.21</v>
          </cell>
        </row>
        <row r="20">
          <cell r="A20" t="str">
            <v>51312</v>
          </cell>
          <cell r="H20">
            <v>52.5</v>
          </cell>
        </row>
        <row r="21">
          <cell r="A21" t="str">
            <v>51345</v>
          </cell>
          <cell r="H21">
            <v>11301.86</v>
          </cell>
        </row>
        <row r="22">
          <cell r="A22" t="str">
            <v>60010</v>
          </cell>
          <cell r="H22">
            <v>785.71</v>
          </cell>
        </row>
        <row r="23">
          <cell r="A23" t="str">
            <v>60213</v>
          </cell>
          <cell r="H23">
            <v>1241.52</v>
          </cell>
        </row>
        <row r="24">
          <cell r="A24" t="str">
            <v>61600</v>
          </cell>
          <cell r="H24">
            <v>0</v>
          </cell>
        </row>
        <row r="25">
          <cell r="A25" t="str">
            <v>62700</v>
          </cell>
          <cell r="H25">
            <v>1732.5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0</v>
          </cell>
        </row>
        <row r="29"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10132</v>
          </cell>
          <cell r="H6">
            <v>112928.64</v>
          </cell>
        </row>
        <row r="7">
          <cell r="A7" t="str">
            <v>10133</v>
          </cell>
          <cell r="H7">
            <v>22903.33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27061.86</v>
          </cell>
        </row>
        <row r="11">
          <cell r="A11" t="str">
            <v>13200</v>
          </cell>
          <cell r="H11">
            <v>1049.55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-1539.4</v>
          </cell>
        </row>
        <row r="14">
          <cell r="A14" t="str">
            <v>17000</v>
          </cell>
          <cell r="H14">
            <v>992.26</v>
          </cell>
        </row>
        <row r="15">
          <cell r="A15" t="str">
            <v>20065</v>
          </cell>
          <cell r="H15">
            <v>-17625</v>
          </cell>
        </row>
        <row r="16">
          <cell r="A16" t="str">
            <v>20130</v>
          </cell>
          <cell r="H16">
            <v>-2545</v>
          </cell>
        </row>
        <row r="17">
          <cell r="A17" t="str">
            <v>24550</v>
          </cell>
          <cell r="H17">
            <v>93296.11</v>
          </cell>
        </row>
        <row r="18">
          <cell r="A18" t="str">
            <v>30022</v>
          </cell>
          <cell r="H18">
            <v>-1421938.72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1125794.21</v>
          </cell>
        </row>
        <row r="21">
          <cell r="A21" t="str">
            <v>51312</v>
          </cell>
          <cell r="H21">
            <v>472.5</v>
          </cell>
        </row>
        <row r="22">
          <cell r="A22" t="str">
            <v>51345</v>
          </cell>
          <cell r="H22">
            <v>9769.51</v>
          </cell>
        </row>
        <row r="23">
          <cell r="A23" t="str">
            <v>60010</v>
          </cell>
          <cell r="H23">
            <v>785.71</v>
          </cell>
        </row>
        <row r="24">
          <cell r="A24" t="str">
            <v>60213</v>
          </cell>
          <cell r="H24">
            <v>1241.52</v>
          </cell>
        </row>
        <row r="25">
          <cell r="A25" t="str">
            <v>61600</v>
          </cell>
          <cell r="H25">
            <v>38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-16</v>
          </cell>
        </row>
        <row r="29"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10132</v>
          </cell>
          <cell r="H6">
            <v>4443.1400000000003</v>
          </cell>
        </row>
        <row r="7">
          <cell r="A7" t="str">
            <v>10133</v>
          </cell>
          <cell r="H7">
            <v>4233.33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29089.09</v>
          </cell>
        </row>
        <row r="11">
          <cell r="A11" t="str">
            <v>13200</v>
          </cell>
          <cell r="H11">
            <v>1049.55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-1503.6</v>
          </cell>
        </row>
        <row r="14">
          <cell r="A14" t="str">
            <v>17000</v>
          </cell>
          <cell r="H14">
            <v>992.26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93296.11</v>
          </cell>
        </row>
        <row r="17">
          <cell r="A17" t="str">
            <v>30022</v>
          </cell>
          <cell r="H17">
            <v>-1247019.21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49400</v>
          </cell>
          <cell r="H20">
            <v>-39857.160000000003</v>
          </cell>
        </row>
        <row r="21">
          <cell r="A21" t="str">
            <v>51050</v>
          </cell>
          <cell r="H21">
            <v>0</v>
          </cell>
        </row>
        <row r="22">
          <cell r="A22" t="str">
            <v>51140</v>
          </cell>
          <cell r="H22">
            <v>0</v>
          </cell>
        </row>
        <row r="23">
          <cell r="A23" t="str">
            <v>51312</v>
          </cell>
          <cell r="H23">
            <v>130.69999999999999</v>
          </cell>
        </row>
        <row r="24">
          <cell r="A24" t="str">
            <v>51345</v>
          </cell>
          <cell r="H24">
            <v>-783306.91999999993</v>
          </cell>
        </row>
        <row r="25">
          <cell r="A25" t="str">
            <v>60010</v>
          </cell>
          <cell r="H25">
            <v>785.71</v>
          </cell>
        </row>
        <row r="26">
          <cell r="A26" t="str">
            <v>60213</v>
          </cell>
          <cell r="H26">
            <v>1241.52</v>
          </cell>
        </row>
        <row r="27">
          <cell r="A27" t="str">
            <v>61100</v>
          </cell>
          <cell r="H27">
            <v>0</v>
          </cell>
        </row>
        <row r="28">
          <cell r="A28" t="str">
            <v>61600</v>
          </cell>
          <cell r="H28">
            <v>0</v>
          </cell>
        </row>
        <row r="29">
          <cell r="A29" t="str">
            <v>62400</v>
          </cell>
          <cell r="H29">
            <v>0</v>
          </cell>
        </row>
        <row r="30">
          <cell r="A30" t="str">
            <v>64000</v>
          </cell>
          <cell r="H30">
            <v>35.799999999999997</v>
          </cell>
        </row>
        <row r="31">
          <cell r="A31" t="str">
            <v>65020</v>
          </cell>
          <cell r="H31">
            <v>82687.5</v>
          </cell>
        </row>
        <row r="32">
          <cell r="A32" t="str">
            <v>67920</v>
          </cell>
          <cell r="H32">
            <v>-3</v>
          </cell>
        </row>
        <row r="33">
          <cell r="A33" t="str">
            <v>67940</v>
          </cell>
          <cell r="H33">
            <v>0</v>
          </cell>
        </row>
        <row r="34">
          <cell r="A34" t="str">
            <v>68500</v>
          </cell>
          <cell r="H34">
            <v>0</v>
          </cell>
        </row>
        <row r="35">
          <cell r="A35" t="str">
            <v>68501</v>
          </cell>
          <cell r="H35">
            <v>0</v>
          </cell>
        </row>
        <row r="36">
          <cell r="A36" t="str">
            <v>68503</v>
          </cell>
          <cell r="H36">
            <v>0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10132</v>
          </cell>
          <cell r="H6">
            <v>59793.34</v>
          </cell>
        </row>
        <row r="7">
          <cell r="A7" t="str">
            <v>10133</v>
          </cell>
          <cell r="H7">
            <v>31698.33</v>
          </cell>
        </row>
        <row r="8">
          <cell r="A8" t="str">
            <v>10134</v>
          </cell>
          <cell r="H8">
            <v>22.13</v>
          </cell>
        </row>
        <row r="9">
          <cell r="A9" t="str">
            <v>10500</v>
          </cell>
          <cell r="H9">
            <v>0</v>
          </cell>
        </row>
        <row r="10">
          <cell r="A10" t="str">
            <v>11530</v>
          </cell>
          <cell r="H10">
            <v>31116.32</v>
          </cell>
        </row>
        <row r="11">
          <cell r="A11" t="str">
            <v>13200</v>
          </cell>
          <cell r="H11">
            <v>1049.55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-1467.8</v>
          </cell>
        </row>
        <row r="14">
          <cell r="A14" t="str">
            <v>17000</v>
          </cell>
          <cell r="H14">
            <v>992.26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-2056216.02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51050</v>
          </cell>
          <cell r="H20">
            <v>0</v>
          </cell>
        </row>
        <row r="21">
          <cell r="A21" t="str">
            <v>51140</v>
          </cell>
          <cell r="H21">
            <v>0</v>
          </cell>
        </row>
        <row r="22">
          <cell r="A22" t="str">
            <v>51312</v>
          </cell>
          <cell r="H22">
            <v>175.43</v>
          </cell>
        </row>
        <row r="23">
          <cell r="A23" t="str">
            <v>51345</v>
          </cell>
          <cell r="H23">
            <v>10224.049999999999</v>
          </cell>
        </row>
        <row r="24">
          <cell r="A24" t="str">
            <v>60010</v>
          </cell>
          <cell r="H24">
            <v>785.71</v>
          </cell>
        </row>
        <row r="25">
          <cell r="A25" t="str">
            <v>60213</v>
          </cell>
          <cell r="H25">
            <v>1241.52</v>
          </cell>
        </row>
        <row r="26">
          <cell r="A26" t="str">
            <v>61100</v>
          </cell>
          <cell r="H26">
            <v>0</v>
          </cell>
        </row>
        <row r="27">
          <cell r="A27" t="str">
            <v>61600</v>
          </cell>
          <cell r="H27">
            <v>4655.41</v>
          </cell>
        </row>
        <row r="28">
          <cell r="A28" t="str">
            <v>62400</v>
          </cell>
          <cell r="H28">
            <v>0</v>
          </cell>
        </row>
        <row r="29">
          <cell r="A29" t="str">
            <v>64000</v>
          </cell>
          <cell r="H29">
            <v>35.799999999999997</v>
          </cell>
        </row>
        <row r="30">
          <cell r="A30" t="str">
            <v>65020</v>
          </cell>
          <cell r="H30">
            <v>55125</v>
          </cell>
        </row>
        <row r="31">
          <cell r="A31" t="str">
            <v>67920</v>
          </cell>
          <cell r="H31">
            <v>-8.4</v>
          </cell>
        </row>
        <row r="32">
          <cell r="A32" t="str">
            <v>68500</v>
          </cell>
          <cell r="H32">
            <v>0</v>
          </cell>
        </row>
        <row r="33">
          <cell r="A33" t="str">
            <v>68501</v>
          </cell>
          <cell r="H33">
            <v>0</v>
          </cell>
        </row>
        <row r="34">
          <cell r="A34" t="str">
            <v>68503</v>
          </cell>
          <cell r="H34">
            <v>0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0</v>
          </cell>
        </row>
        <row r="7">
          <cell r="A7" t="str">
            <v>10132</v>
          </cell>
          <cell r="H7">
            <v>42719</v>
          </cell>
        </row>
        <row r="8">
          <cell r="A8" t="str">
            <v>10133</v>
          </cell>
          <cell r="H8">
            <v>6892.87</v>
          </cell>
        </row>
        <row r="9">
          <cell r="A9" t="str">
            <v>10134</v>
          </cell>
          <cell r="H9">
            <v>22.13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33143.550000000003</v>
          </cell>
        </row>
        <row r="12">
          <cell r="A12" t="str">
            <v>13200</v>
          </cell>
          <cell r="H12">
            <v>1049.55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-1432</v>
          </cell>
        </row>
        <row r="15">
          <cell r="A15" t="str">
            <v>17000</v>
          </cell>
          <cell r="H15">
            <v>992.26</v>
          </cell>
        </row>
        <row r="16">
          <cell r="A16" t="str">
            <v>20130</v>
          </cell>
          <cell r="H16">
            <v>-2545</v>
          </cell>
        </row>
        <row r="17">
          <cell r="A17" t="str">
            <v>24550</v>
          </cell>
          <cell r="H17">
            <v>79328.84</v>
          </cell>
        </row>
        <row r="18">
          <cell r="A18" t="str">
            <v>30022</v>
          </cell>
          <cell r="H18">
            <v>-1944164.73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1101663.3999999999</v>
          </cell>
        </row>
        <row r="21">
          <cell r="A21" t="str">
            <v>51050</v>
          </cell>
          <cell r="H21">
            <v>0</v>
          </cell>
        </row>
        <row r="22">
          <cell r="A22" t="str">
            <v>51140</v>
          </cell>
          <cell r="H22">
            <v>0</v>
          </cell>
        </row>
        <row r="23">
          <cell r="A23" t="str">
            <v>51312</v>
          </cell>
          <cell r="H23">
            <v>55.65</v>
          </cell>
        </row>
        <row r="24">
          <cell r="A24" t="str">
            <v>51345</v>
          </cell>
          <cell r="H24">
            <v>9928.57</v>
          </cell>
        </row>
        <row r="25">
          <cell r="A25" t="str">
            <v>60010</v>
          </cell>
          <cell r="H25">
            <v>785.71</v>
          </cell>
        </row>
        <row r="26">
          <cell r="A26" t="str">
            <v>60213</v>
          </cell>
          <cell r="H26">
            <v>1241.52</v>
          </cell>
        </row>
        <row r="27">
          <cell r="A27" t="str">
            <v>61100</v>
          </cell>
          <cell r="H27">
            <v>0</v>
          </cell>
        </row>
        <row r="28">
          <cell r="A28" t="str">
            <v>61600</v>
          </cell>
          <cell r="H28">
            <v>227.06</v>
          </cell>
        </row>
        <row r="29">
          <cell r="A29" t="str">
            <v>62400</v>
          </cell>
          <cell r="H29">
            <v>0</v>
          </cell>
        </row>
        <row r="30">
          <cell r="A30" t="str">
            <v>64000</v>
          </cell>
          <cell r="H30">
            <v>35.799999999999997</v>
          </cell>
        </row>
        <row r="31">
          <cell r="A31" t="str">
            <v>65020</v>
          </cell>
          <cell r="H31">
            <v>55125</v>
          </cell>
        </row>
        <row r="32">
          <cell r="A32" t="str">
            <v>67920</v>
          </cell>
          <cell r="H32">
            <v>-8.4</v>
          </cell>
        </row>
        <row r="33">
          <cell r="A33" t="str">
            <v>68500</v>
          </cell>
          <cell r="H33">
            <v>0</v>
          </cell>
        </row>
        <row r="34">
          <cell r="A34" t="str">
            <v>68501</v>
          </cell>
          <cell r="H34">
            <v>0</v>
          </cell>
        </row>
        <row r="35">
          <cell r="A35" t="str">
            <v>68503</v>
          </cell>
          <cell r="H35">
            <v>4650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0</v>
          </cell>
        </row>
        <row r="7">
          <cell r="A7" t="str">
            <v>10131</v>
          </cell>
          <cell r="H7">
            <v>0</v>
          </cell>
        </row>
        <row r="8">
          <cell r="A8" t="str">
            <v>10132</v>
          </cell>
          <cell r="H8">
            <v>27148.36</v>
          </cell>
        </row>
        <row r="9">
          <cell r="A9" t="str">
            <v>10133</v>
          </cell>
          <cell r="H9">
            <v>83794.87</v>
          </cell>
        </row>
        <row r="10">
          <cell r="A10" t="str">
            <v>10134</v>
          </cell>
          <cell r="H10">
            <v>22.13</v>
          </cell>
        </row>
        <row r="11">
          <cell r="A11" t="str">
            <v>10500</v>
          </cell>
          <cell r="H11">
            <v>0</v>
          </cell>
        </row>
        <row r="12">
          <cell r="A12" t="str">
            <v>11530</v>
          </cell>
          <cell r="H12">
            <v>35170.78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-1396.2</v>
          </cell>
        </row>
        <row r="15">
          <cell r="A15" t="str">
            <v>17000</v>
          </cell>
          <cell r="H15">
            <v>759.76</v>
          </cell>
        </row>
        <row r="16">
          <cell r="A16" t="str">
            <v>20130</v>
          </cell>
          <cell r="H16">
            <v>-2545</v>
          </cell>
        </row>
        <row r="17">
          <cell r="A17" t="str">
            <v>24550</v>
          </cell>
          <cell r="H17">
            <v>79328.84</v>
          </cell>
        </row>
        <row r="18">
          <cell r="A18" t="str">
            <v>30022</v>
          </cell>
          <cell r="H18">
            <v>-1934236.16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1101663.3999999999</v>
          </cell>
        </row>
        <row r="21">
          <cell r="A21" t="str">
            <v>51050</v>
          </cell>
          <cell r="H21">
            <v>0</v>
          </cell>
        </row>
        <row r="22">
          <cell r="A22" t="str">
            <v>51140</v>
          </cell>
          <cell r="H22">
            <v>0</v>
          </cell>
        </row>
        <row r="23">
          <cell r="A23" t="str">
            <v>51312</v>
          </cell>
          <cell r="H23">
            <v>55.65</v>
          </cell>
        </row>
        <row r="24">
          <cell r="A24" t="str">
            <v>51345</v>
          </cell>
          <cell r="H24">
            <v>11302.819999999998</v>
          </cell>
        </row>
        <row r="25">
          <cell r="A25" t="str">
            <v>60010</v>
          </cell>
          <cell r="H25">
            <v>785.71</v>
          </cell>
        </row>
        <row r="26">
          <cell r="A26" t="str">
            <v>60213</v>
          </cell>
          <cell r="H26">
            <v>1241.52</v>
          </cell>
        </row>
        <row r="27">
          <cell r="A27" t="str">
            <v>61100</v>
          </cell>
          <cell r="H27">
            <v>945</v>
          </cell>
        </row>
        <row r="28">
          <cell r="A28" t="str">
            <v>61600</v>
          </cell>
          <cell r="H28">
            <v>0</v>
          </cell>
        </row>
        <row r="29">
          <cell r="A29" t="str">
            <v>62400</v>
          </cell>
          <cell r="H29">
            <v>0</v>
          </cell>
        </row>
        <row r="30">
          <cell r="A30" t="str">
            <v>64000</v>
          </cell>
          <cell r="H30">
            <v>35.799999999999997</v>
          </cell>
        </row>
        <row r="31">
          <cell r="A31" t="str">
            <v>65020</v>
          </cell>
          <cell r="H31">
            <v>55125</v>
          </cell>
        </row>
        <row r="32">
          <cell r="A32" t="str">
            <v>67920</v>
          </cell>
          <cell r="H32">
            <v>2143.08</v>
          </cell>
        </row>
        <row r="33">
          <cell r="A33" t="str">
            <v>68500</v>
          </cell>
          <cell r="H33">
            <v>1500</v>
          </cell>
        </row>
        <row r="34">
          <cell r="A34" t="str">
            <v>68501</v>
          </cell>
          <cell r="H34">
            <v>0</v>
          </cell>
        </row>
        <row r="35">
          <cell r="A35" t="str">
            <v>68503</v>
          </cell>
          <cell r="H35">
            <v>0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22012.18</v>
          </cell>
        </row>
        <row r="8">
          <cell r="A8" t="str">
            <v>10132</v>
          </cell>
          <cell r="H8">
            <v>59833</v>
          </cell>
        </row>
        <row r="9">
          <cell r="A9" t="str">
            <v>10133</v>
          </cell>
          <cell r="H9">
            <v>83794.87</v>
          </cell>
        </row>
        <row r="10">
          <cell r="A10" t="str">
            <v>10134</v>
          </cell>
          <cell r="H10">
            <v>22.13</v>
          </cell>
        </row>
        <row r="11">
          <cell r="A11" t="str">
            <v>11530</v>
          </cell>
          <cell r="H11">
            <v>37198.01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-1360.4</v>
          </cell>
        </row>
        <row r="14">
          <cell r="A14" t="str">
            <v>17000</v>
          </cell>
          <cell r="H14">
            <v>684.76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-1922933.34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51050</v>
          </cell>
          <cell r="H20">
            <v>0</v>
          </cell>
        </row>
        <row r="21">
          <cell r="A21" t="str">
            <v>51100</v>
          </cell>
          <cell r="H21">
            <v>0</v>
          </cell>
        </row>
        <row r="22">
          <cell r="A22" t="str">
            <v>51140</v>
          </cell>
          <cell r="H22">
            <v>950</v>
          </cell>
        </row>
        <row r="23">
          <cell r="A23" t="str">
            <v>51312</v>
          </cell>
          <cell r="H23">
            <v>55.65</v>
          </cell>
        </row>
        <row r="24">
          <cell r="A24" t="str">
            <v>51345</v>
          </cell>
          <cell r="H24">
            <v>9809.6200000000008</v>
          </cell>
        </row>
        <row r="25">
          <cell r="A25" t="str">
            <v>60010</v>
          </cell>
          <cell r="H25">
            <v>785.71</v>
          </cell>
        </row>
        <row r="26">
          <cell r="A26" t="str">
            <v>60213</v>
          </cell>
          <cell r="H26">
            <v>1241.52</v>
          </cell>
        </row>
        <row r="27">
          <cell r="A27" t="str">
            <v>61100</v>
          </cell>
          <cell r="H27">
            <v>110.89</v>
          </cell>
        </row>
        <row r="28">
          <cell r="A28" t="str">
            <v>61600</v>
          </cell>
          <cell r="H28">
            <v>0</v>
          </cell>
        </row>
        <row r="29">
          <cell r="A29" t="str">
            <v>62400</v>
          </cell>
          <cell r="H29">
            <v>0</v>
          </cell>
        </row>
        <row r="30">
          <cell r="A30" t="str">
            <v>64000</v>
          </cell>
          <cell r="H30">
            <v>35.799999999999997</v>
          </cell>
        </row>
        <row r="31">
          <cell r="A31" t="str">
            <v>65020</v>
          </cell>
          <cell r="H31">
            <v>55125</v>
          </cell>
        </row>
        <row r="32">
          <cell r="A32" t="str">
            <v>67920</v>
          </cell>
          <cell r="H32">
            <v>0</v>
          </cell>
        </row>
        <row r="33">
          <cell r="A33" t="str">
            <v>68501</v>
          </cell>
          <cell r="H33">
            <v>0</v>
          </cell>
        </row>
        <row r="34">
          <cell r="A34" t="str">
            <v>68503</v>
          </cell>
          <cell r="H34">
            <v>1650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22012.18</v>
          </cell>
        </row>
        <row r="8">
          <cell r="A8" t="str">
            <v>10132</v>
          </cell>
          <cell r="H8">
            <v>117743.65</v>
          </cell>
        </row>
        <row r="9">
          <cell r="A9" t="str">
            <v>10133</v>
          </cell>
          <cell r="H9">
            <v>83905.76</v>
          </cell>
        </row>
        <row r="10">
          <cell r="A10" t="str">
            <v>10134</v>
          </cell>
          <cell r="H10">
            <v>22.13</v>
          </cell>
        </row>
        <row r="11">
          <cell r="A11" t="str">
            <v>10500</v>
          </cell>
          <cell r="H11">
            <v>0</v>
          </cell>
        </row>
        <row r="12">
          <cell r="A12" t="str">
            <v>11530</v>
          </cell>
          <cell r="H12">
            <v>39225.24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-1324.6</v>
          </cell>
        </row>
        <row r="15">
          <cell r="A15" t="str">
            <v>17000</v>
          </cell>
          <cell r="H15">
            <v>554.76</v>
          </cell>
        </row>
        <row r="16">
          <cell r="A16" t="str">
            <v>20130</v>
          </cell>
          <cell r="H16">
            <v>-2545</v>
          </cell>
        </row>
        <row r="17">
          <cell r="A17" t="str">
            <v>24550</v>
          </cell>
          <cell r="H17">
            <v>79328.84</v>
          </cell>
        </row>
        <row r="18">
          <cell r="A18" t="str">
            <v>30022</v>
          </cell>
          <cell r="H18">
            <v>-1913123.72</v>
          </cell>
        </row>
        <row r="19">
          <cell r="A19" t="str">
            <v>30040</v>
          </cell>
          <cell r="H19">
            <v>-10000</v>
          </cell>
        </row>
        <row r="20">
          <cell r="A20" t="str">
            <v>32000</v>
          </cell>
          <cell r="H20">
            <v>1101663.3999999999</v>
          </cell>
        </row>
        <row r="21">
          <cell r="A21" t="str">
            <v>51050</v>
          </cell>
          <cell r="H21">
            <v>0</v>
          </cell>
        </row>
        <row r="22">
          <cell r="A22" t="str">
            <v>51312</v>
          </cell>
          <cell r="H22">
            <v>616.33999999999992</v>
          </cell>
        </row>
        <row r="23">
          <cell r="A23" t="str">
            <v>51345</v>
          </cell>
          <cell r="H23">
            <v>9293.11</v>
          </cell>
        </row>
        <row r="24">
          <cell r="A24" t="str">
            <v>60010</v>
          </cell>
          <cell r="H24">
            <v>750.03</v>
          </cell>
        </row>
        <row r="25">
          <cell r="A25" t="str">
            <v>61100</v>
          </cell>
          <cell r="H25">
            <v>0</v>
          </cell>
        </row>
        <row r="26">
          <cell r="A26" t="str">
            <v>61600</v>
          </cell>
          <cell r="H26">
            <v>445.31000000000006</v>
          </cell>
        </row>
        <row r="27">
          <cell r="A27" t="str">
            <v>62400</v>
          </cell>
          <cell r="H27">
            <v>0</v>
          </cell>
        </row>
        <row r="28">
          <cell r="A28" t="str">
            <v>64000</v>
          </cell>
          <cell r="H28">
            <v>35.799999999999997</v>
          </cell>
        </row>
        <row r="29">
          <cell r="A29" t="str">
            <v>65020</v>
          </cell>
          <cell r="H29">
            <v>55125</v>
          </cell>
        </row>
        <row r="30">
          <cell r="A30" t="str">
            <v>67920</v>
          </cell>
          <cell r="H30">
            <v>-21.09</v>
          </cell>
        </row>
        <row r="31">
          <cell r="A31" t="str">
            <v>68501</v>
          </cell>
          <cell r="H31">
            <v>0</v>
          </cell>
        </row>
        <row r="32">
          <cell r="A32" t="str">
            <v>68503</v>
          </cell>
          <cell r="H32">
            <v>0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</sheetData>
      <sheetData sheetId="1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22484.68</v>
          </cell>
        </row>
        <row r="8">
          <cell r="A8" t="str">
            <v>10132</v>
          </cell>
          <cell r="H8">
            <v>20055.939999999999</v>
          </cell>
        </row>
        <row r="9">
          <cell r="A9" t="str">
            <v>10133</v>
          </cell>
          <cell r="H9">
            <v>17890.009999999998</v>
          </cell>
        </row>
        <row r="10">
          <cell r="A10" t="str">
            <v>11530</v>
          </cell>
          <cell r="H10">
            <v>750.03</v>
          </cell>
        </row>
        <row r="11">
          <cell r="A11" t="str">
            <v>13120</v>
          </cell>
          <cell r="H11">
            <v>0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-1288.8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24550</v>
          </cell>
          <cell r="H15">
            <v>79328.84</v>
          </cell>
        </row>
        <row r="16">
          <cell r="A16" t="str">
            <v>30022</v>
          </cell>
          <cell r="H16">
            <v>-1644631.96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1101663.3999999999</v>
          </cell>
        </row>
        <row r="19">
          <cell r="A19" t="str">
            <v>51050</v>
          </cell>
          <cell r="H19">
            <v>3332.17</v>
          </cell>
        </row>
        <row r="20">
          <cell r="A20" t="str">
            <v>51312</v>
          </cell>
          <cell r="H20">
            <v>1005.38</v>
          </cell>
        </row>
        <row r="21">
          <cell r="A21" t="str">
            <v>51345</v>
          </cell>
          <cell r="H21">
            <v>9396.1200000000008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61100</v>
          </cell>
          <cell r="H23">
            <v>0</v>
          </cell>
        </row>
        <row r="24">
          <cell r="A24" t="str">
            <v>61600</v>
          </cell>
          <cell r="H24">
            <v>0</v>
          </cell>
        </row>
        <row r="25">
          <cell r="A25" t="str">
            <v>62400</v>
          </cell>
          <cell r="H25">
            <v>11.76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0</v>
          </cell>
        </row>
        <row r="29">
          <cell r="A29" t="str">
            <v>68501</v>
          </cell>
          <cell r="H29">
            <v>0</v>
          </cell>
        </row>
        <row r="30">
          <cell r="A30" t="str">
            <v>68503</v>
          </cell>
          <cell r="H30">
            <v>0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13357.18</v>
          </cell>
        </row>
        <row r="8">
          <cell r="A8" t="str">
            <v>10132</v>
          </cell>
          <cell r="H8">
            <v>88568.76</v>
          </cell>
        </row>
        <row r="9">
          <cell r="A9" t="str">
            <v>10133</v>
          </cell>
          <cell r="H9">
            <v>17967.240000000002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1500.03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-1253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-1635224.08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51312</v>
          </cell>
          <cell r="H20">
            <v>1196.95</v>
          </cell>
        </row>
        <row r="21">
          <cell r="A21" t="str">
            <v>51345</v>
          </cell>
          <cell r="H21">
            <v>9140.36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61100</v>
          </cell>
          <cell r="H23">
            <v>0</v>
          </cell>
        </row>
        <row r="24">
          <cell r="A24" t="str">
            <v>61600</v>
          </cell>
          <cell r="H24">
            <v>0</v>
          </cell>
        </row>
        <row r="25">
          <cell r="A25" t="str">
            <v>62400</v>
          </cell>
          <cell r="H25">
            <v>0</v>
          </cell>
        </row>
        <row r="26">
          <cell r="A26" t="str">
            <v>63907</v>
          </cell>
          <cell r="H26">
            <v>0</v>
          </cell>
        </row>
        <row r="27">
          <cell r="A27" t="str">
            <v>64000</v>
          </cell>
          <cell r="H27">
            <v>35.799999999999997</v>
          </cell>
        </row>
        <row r="28">
          <cell r="A28" t="str">
            <v>65020</v>
          </cell>
          <cell r="H28">
            <v>55125</v>
          </cell>
        </row>
        <row r="29">
          <cell r="A29" t="str">
            <v>65200</v>
          </cell>
          <cell r="H29">
            <v>0</v>
          </cell>
        </row>
        <row r="30">
          <cell r="A30" t="str">
            <v>67920</v>
          </cell>
          <cell r="H30">
            <v>0</v>
          </cell>
        </row>
        <row r="31">
          <cell r="A31" t="str">
            <v>68501</v>
          </cell>
          <cell r="H31">
            <v>0</v>
          </cell>
        </row>
        <row r="32">
          <cell r="A32" t="str">
            <v>68503</v>
          </cell>
          <cell r="H32">
            <v>1732.5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14492.18</v>
          </cell>
        </row>
        <row r="8">
          <cell r="A8" t="str">
            <v>10132</v>
          </cell>
          <cell r="H8">
            <v>76310.3</v>
          </cell>
        </row>
        <row r="9">
          <cell r="A9" t="str">
            <v>10133</v>
          </cell>
          <cell r="H9">
            <v>87304.3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2250.0300000000002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-1217.2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-1626242.87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51312</v>
          </cell>
          <cell r="H20">
            <v>140.87</v>
          </cell>
        </row>
        <row r="21">
          <cell r="A21" t="str">
            <v>51345</v>
          </cell>
          <cell r="H21">
            <v>8757.5400000000009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61100</v>
          </cell>
          <cell r="H23">
            <v>472.5</v>
          </cell>
        </row>
        <row r="24">
          <cell r="A24" t="str">
            <v>61600</v>
          </cell>
          <cell r="H24">
            <v>0</v>
          </cell>
        </row>
        <row r="25">
          <cell r="A25" t="str">
            <v>62400</v>
          </cell>
          <cell r="H25">
            <v>0</v>
          </cell>
        </row>
        <row r="26">
          <cell r="A26" t="str">
            <v>64000</v>
          </cell>
          <cell r="H26">
            <v>35.799999999999997</v>
          </cell>
        </row>
        <row r="27">
          <cell r="A27" t="str">
            <v>65020</v>
          </cell>
          <cell r="H27">
            <v>55125</v>
          </cell>
        </row>
        <row r="28">
          <cell r="A28" t="str">
            <v>67920</v>
          </cell>
          <cell r="H28">
            <v>0</v>
          </cell>
        </row>
        <row r="29">
          <cell r="A29" t="str">
            <v>68501</v>
          </cell>
          <cell r="H29">
            <v>0</v>
          </cell>
        </row>
        <row r="30">
          <cell r="A30" t="str">
            <v>68503</v>
          </cell>
          <cell r="H30">
            <v>0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</sheetData>
      <sheetData sheetId="18">
        <row r="1">
          <cell r="A1" t="str">
            <v>Company/Branch: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14964.68</v>
          </cell>
        </row>
        <row r="8">
          <cell r="A8" t="str">
            <v>10132</v>
          </cell>
          <cell r="H8">
            <v>21990.95</v>
          </cell>
        </row>
        <row r="9">
          <cell r="A9" t="str">
            <v>10133</v>
          </cell>
          <cell r="H9">
            <v>24399.52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3000.03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-1181.4000000000001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-1444995.33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51312</v>
          </cell>
          <cell r="H20">
            <v>39.9</v>
          </cell>
        </row>
        <row r="21">
          <cell r="A21" t="str">
            <v>51345</v>
          </cell>
          <cell r="H21">
            <v>9497.56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60200</v>
          </cell>
          <cell r="H23">
            <v>0</v>
          </cell>
        </row>
        <row r="24">
          <cell r="A24" t="str">
            <v>61100</v>
          </cell>
          <cell r="H24">
            <v>400</v>
          </cell>
        </row>
        <row r="25">
          <cell r="A25" t="str">
            <v>61600</v>
          </cell>
          <cell r="H25">
            <v>0</v>
          </cell>
        </row>
        <row r="26">
          <cell r="A26" t="str">
            <v>62400</v>
          </cell>
          <cell r="H26">
            <v>371.08</v>
          </cell>
        </row>
        <row r="27">
          <cell r="A27" t="str">
            <v>64000</v>
          </cell>
          <cell r="H27">
            <v>35.799999999999997</v>
          </cell>
        </row>
        <row r="28">
          <cell r="A28" t="str">
            <v>65020</v>
          </cell>
          <cell r="H28">
            <v>55125</v>
          </cell>
        </row>
        <row r="29">
          <cell r="A29" t="str">
            <v>67920</v>
          </cell>
          <cell r="H29">
            <v>0</v>
          </cell>
        </row>
        <row r="30">
          <cell r="A30" t="str">
            <v>68501</v>
          </cell>
          <cell r="H30">
            <v>0</v>
          </cell>
        </row>
        <row r="31">
          <cell r="A31" t="str">
            <v>68503</v>
          </cell>
          <cell r="H31">
            <v>0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</sheetData>
      <sheetData sheetId="1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15364.68</v>
          </cell>
        </row>
        <row r="8">
          <cell r="A8" t="str">
            <v>10132</v>
          </cell>
          <cell r="H8">
            <v>22776.93</v>
          </cell>
        </row>
        <row r="9">
          <cell r="A9" t="str">
            <v>10133</v>
          </cell>
          <cell r="H9">
            <v>79149.52</v>
          </cell>
        </row>
        <row r="10">
          <cell r="A10" t="str">
            <v>11530</v>
          </cell>
          <cell r="H10">
            <v>3750.03</v>
          </cell>
        </row>
        <row r="11">
          <cell r="A11" t="str">
            <v>13120</v>
          </cell>
          <cell r="H11">
            <v>0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-1145.5999999999999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24550</v>
          </cell>
          <cell r="H15">
            <v>79328.84</v>
          </cell>
        </row>
        <row r="16">
          <cell r="A16" t="str">
            <v>30022</v>
          </cell>
          <cell r="H16">
            <v>-1435497.77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1101663.3999999999</v>
          </cell>
        </row>
        <row r="19">
          <cell r="A19" t="str">
            <v>51312</v>
          </cell>
          <cell r="H19">
            <v>39.9</v>
          </cell>
        </row>
        <row r="20">
          <cell r="A20" t="str">
            <v>51345</v>
          </cell>
          <cell r="H20">
            <v>9081.01</v>
          </cell>
        </row>
        <row r="21">
          <cell r="A21" t="str">
            <v>60010</v>
          </cell>
          <cell r="H21">
            <v>750</v>
          </cell>
        </row>
        <row r="22">
          <cell r="A22" t="str">
            <v>61100</v>
          </cell>
          <cell r="H22">
            <v>872.5</v>
          </cell>
        </row>
        <row r="23">
          <cell r="A23" t="str">
            <v>61600</v>
          </cell>
          <cell r="H23">
            <v>111.94</v>
          </cell>
        </row>
        <row r="24">
          <cell r="A24" t="str">
            <v>64000</v>
          </cell>
          <cell r="H24">
            <v>35.799999999999997</v>
          </cell>
        </row>
        <row r="25">
          <cell r="A25" t="str">
            <v>65020</v>
          </cell>
          <cell r="H25">
            <v>55125</v>
          </cell>
        </row>
        <row r="26">
          <cell r="A26" t="str">
            <v>67920</v>
          </cell>
          <cell r="H26">
            <v>0</v>
          </cell>
        </row>
        <row r="27">
          <cell r="A27" t="str">
            <v>68501</v>
          </cell>
          <cell r="H27">
            <v>4600</v>
          </cell>
        </row>
        <row r="28">
          <cell r="A28" t="str">
            <v>68503</v>
          </cell>
          <cell r="H28">
            <v>0</v>
          </cell>
        </row>
        <row r="29"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</sheetData>
      <sheetData sheetId="2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16237.18</v>
          </cell>
        </row>
        <row r="8">
          <cell r="A8" t="str">
            <v>10132</v>
          </cell>
          <cell r="H8">
            <v>82653.77</v>
          </cell>
        </row>
        <row r="9">
          <cell r="A9" t="str">
            <v>10133</v>
          </cell>
          <cell r="H9">
            <v>79149.52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4500.03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-1109.8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-1426416.76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1101663.3999999999</v>
          </cell>
        </row>
        <row r="20">
          <cell r="A20" t="str">
            <v>51312</v>
          </cell>
          <cell r="H20">
            <v>39.9</v>
          </cell>
        </row>
        <row r="21">
          <cell r="A21" t="str">
            <v>51345</v>
          </cell>
          <cell r="H21">
            <v>8498.2199999999993</v>
          </cell>
        </row>
        <row r="22">
          <cell r="A22" t="str">
            <v>60010</v>
          </cell>
          <cell r="H22">
            <v>750</v>
          </cell>
        </row>
        <row r="23">
          <cell r="A23" t="str">
            <v>61100</v>
          </cell>
          <cell r="H23">
            <v>935.84000000000015</v>
          </cell>
        </row>
        <row r="24">
          <cell r="A24" t="str">
            <v>61600</v>
          </cell>
          <cell r="H24">
            <v>111.94</v>
          </cell>
        </row>
        <row r="25">
          <cell r="A25" t="str">
            <v>64000</v>
          </cell>
          <cell r="H25">
            <v>35.799999999999997</v>
          </cell>
        </row>
        <row r="26">
          <cell r="A26" t="str">
            <v>65020</v>
          </cell>
          <cell r="H26">
            <v>55125</v>
          </cell>
        </row>
        <row r="27">
          <cell r="A27" t="str">
            <v>67920</v>
          </cell>
          <cell r="H27">
            <v>1895.22</v>
          </cell>
        </row>
        <row r="28">
          <cell r="A28" t="str">
            <v>68503</v>
          </cell>
          <cell r="H28">
            <v>1852</v>
          </cell>
        </row>
        <row r="29"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</sheetData>
      <sheetData sheetId="2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5146.91</v>
          </cell>
        </row>
        <row r="7">
          <cell r="A7" t="str">
            <v>10131</v>
          </cell>
          <cell r="H7">
            <v>17109.68</v>
          </cell>
        </row>
        <row r="8">
          <cell r="A8" t="str">
            <v>10132</v>
          </cell>
          <cell r="H8">
            <v>12032.61</v>
          </cell>
        </row>
        <row r="9">
          <cell r="A9" t="str">
            <v>10133</v>
          </cell>
          <cell r="H9">
            <v>3338.08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5250.03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-1074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79328.84</v>
          </cell>
        </row>
        <row r="17">
          <cell r="A17" t="str">
            <v>30022</v>
          </cell>
          <cell r="H17">
            <v>-1212398.54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0</v>
          </cell>
        </row>
        <row r="21">
          <cell r="A21" t="str">
            <v>51140</v>
          </cell>
          <cell r="H21">
            <v>0</v>
          </cell>
        </row>
        <row r="22">
          <cell r="A22" t="str">
            <v>51225</v>
          </cell>
          <cell r="H22">
            <v>0</v>
          </cell>
        </row>
        <row r="23">
          <cell r="A23" t="str">
            <v>51235</v>
          </cell>
          <cell r="H23">
            <v>0</v>
          </cell>
        </row>
        <row r="24">
          <cell r="A24" t="str">
            <v>51240</v>
          </cell>
          <cell r="H24">
            <v>0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1335.55</v>
          </cell>
        </row>
        <row r="27">
          <cell r="A27" t="str">
            <v>51325</v>
          </cell>
          <cell r="H27">
            <v>0</v>
          </cell>
        </row>
        <row r="28">
          <cell r="A28" t="str">
            <v>51345</v>
          </cell>
          <cell r="H28">
            <v>-648101.20000000007</v>
          </cell>
        </row>
        <row r="29">
          <cell r="A29" t="str">
            <v>60010</v>
          </cell>
          <cell r="H29">
            <v>750</v>
          </cell>
        </row>
        <row r="30">
          <cell r="A30" t="str">
            <v>60045</v>
          </cell>
          <cell r="H30">
            <v>750</v>
          </cell>
        </row>
        <row r="31">
          <cell r="A31" t="str">
            <v>60200</v>
          </cell>
          <cell r="H31">
            <v>0</v>
          </cell>
        </row>
        <row r="32">
          <cell r="A32" t="str">
            <v>61300</v>
          </cell>
          <cell r="H32">
            <v>250</v>
          </cell>
        </row>
        <row r="33">
          <cell r="A33" t="str">
            <v>61600</v>
          </cell>
          <cell r="H33">
            <v>111.94</v>
          </cell>
        </row>
        <row r="34">
          <cell r="A34" t="str">
            <v>62400</v>
          </cell>
          <cell r="H34">
            <v>0</v>
          </cell>
        </row>
        <row r="35">
          <cell r="A35" t="str">
            <v>63100</v>
          </cell>
          <cell r="H35">
            <v>200</v>
          </cell>
        </row>
        <row r="36">
          <cell r="A36" t="str">
            <v>64000</v>
          </cell>
          <cell r="H36">
            <v>35.799999999999997</v>
          </cell>
        </row>
        <row r="37">
          <cell r="A37" t="str">
            <v>65020</v>
          </cell>
          <cell r="H37">
            <v>82687.5</v>
          </cell>
        </row>
        <row r="38">
          <cell r="A38" t="str">
            <v>67920</v>
          </cell>
          <cell r="H38">
            <v>-57.19</v>
          </cell>
        </row>
        <row r="39">
          <cell r="A39" t="str">
            <v>67940</v>
          </cell>
          <cell r="H39">
            <v>0.01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27066.83</v>
          </cell>
        </row>
        <row r="7">
          <cell r="A7" t="str">
            <v>10131</v>
          </cell>
          <cell r="H7">
            <v>23624.76</v>
          </cell>
        </row>
        <row r="8">
          <cell r="A8" t="str">
            <v>10132</v>
          </cell>
          <cell r="H8">
            <v>19657.599999999999</v>
          </cell>
        </row>
        <row r="9">
          <cell r="A9" t="str">
            <v>10133</v>
          </cell>
          <cell r="H9">
            <v>8525.6</v>
          </cell>
        </row>
        <row r="10">
          <cell r="A10" t="str">
            <v>10500</v>
          </cell>
          <cell r="H10">
            <v>0</v>
          </cell>
        </row>
        <row r="11">
          <cell r="A11" t="str">
            <v>11530</v>
          </cell>
          <cell r="H11">
            <v>6000.03</v>
          </cell>
        </row>
        <row r="12">
          <cell r="A12" t="str">
            <v>13120</v>
          </cell>
          <cell r="H12">
            <v>0</v>
          </cell>
        </row>
        <row r="13">
          <cell r="A13" t="str">
            <v>15010</v>
          </cell>
          <cell r="H13">
            <v>2147.9899999999998</v>
          </cell>
        </row>
        <row r="14">
          <cell r="A14" t="str">
            <v>16650</v>
          </cell>
          <cell r="H14">
            <v>-1038.2</v>
          </cell>
        </row>
        <row r="15">
          <cell r="A15" t="str">
            <v>20130</v>
          </cell>
          <cell r="H15">
            <v>-2545</v>
          </cell>
        </row>
        <row r="16">
          <cell r="A16" t="str">
            <v>24550</v>
          </cell>
          <cell r="H16">
            <v>38245.230000000003</v>
          </cell>
        </row>
        <row r="17">
          <cell r="A17" t="str">
            <v>30022</v>
          </cell>
          <cell r="H17">
            <v>-1775385.83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0</v>
          </cell>
        </row>
        <row r="21">
          <cell r="A21" t="str">
            <v>51140</v>
          </cell>
          <cell r="H21">
            <v>0</v>
          </cell>
        </row>
        <row r="22">
          <cell r="A22" t="str">
            <v>51225</v>
          </cell>
          <cell r="H22">
            <v>0</v>
          </cell>
        </row>
        <row r="23">
          <cell r="A23" t="str">
            <v>51235</v>
          </cell>
          <cell r="H23">
            <v>0</v>
          </cell>
        </row>
        <row r="24">
          <cell r="A24" t="str">
            <v>51240</v>
          </cell>
          <cell r="H24">
            <v>422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912.4</v>
          </cell>
        </row>
        <row r="27">
          <cell r="A27" t="str">
            <v>51325</v>
          </cell>
          <cell r="H27">
            <v>0</v>
          </cell>
        </row>
        <row r="28">
          <cell r="A28" t="str">
            <v>51345</v>
          </cell>
          <cell r="H28">
            <v>6098.76</v>
          </cell>
        </row>
        <row r="29">
          <cell r="A29" t="str">
            <v>60010</v>
          </cell>
          <cell r="H29">
            <v>750</v>
          </cell>
        </row>
        <row r="30">
          <cell r="A30" t="str">
            <v>60045</v>
          </cell>
          <cell r="H30">
            <v>750</v>
          </cell>
        </row>
        <row r="31">
          <cell r="A31" t="str">
            <v>60200</v>
          </cell>
          <cell r="H31">
            <v>485</v>
          </cell>
        </row>
        <row r="32">
          <cell r="A32" t="str">
            <v>61300</v>
          </cell>
          <cell r="H32">
            <v>250</v>
          </cell>
        </row>
        <row r="33">
          <cell r="A33" t="str">
            <v>61600</v>
          </cell>
          <cell r="H33">
            <v>111.94</v>
          </cell>
        </row>
        <row r="34">
          <cell r="A34" t="str">
            <v>62400</v>
          </cell>
          <cell r="H34">
            <v>0</v>
          </cell>
        </row>
        <row r="35">
          <cell r="A35" t="str">
            <v>63100</v>
          </cell>
          <cell r="H35">
            <v>200</v>
          </cell>
        </row>
        <row r="36">
          <cell r="A36" t="str">
            <v>64000</v>
          </cell>
          <cell r="H36">
            <v>35.799999999999997</v>
          </cell>
        </row>
        <row r="37">
          <cell r="A37" t="str">
            <v>65020</v>
          </cell>
          <cell r="H37">
            <v>55125</v>
          </cell>
        </row>
        <row r="38">
          <cell r="A38" t="str">
            <v>67920</v>
          </cell>
          <cell r="H38">
            <v>0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3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27066.83</v>
          </cell>
        </row>
        <row r="7">
          <cell r="A7" t="str">
            <v>10131</v>
          </cell>
          <cell r="H7">
            <v>24497.26</v>
          </cell>
        </row>
        <row r="8">
          <cell r="A8" t="str">
            <v>10132</v>
          </cell>
          <cell r="H8">
            <v>4041.44</v>
          </cell>
        </row>
        <row r="9">
          <cell r="A9" t="str">
            <v>10133</v>
          </cell>
          <cell r="H9">
            <v>81525.600000000006</v>
          </cell>
        </row>
        <row r="10">
          <cell r="A10" t="str">
            <v>11510</v>
          </cell>
          <cell r="H10">
            <v>0</v>
          </cell>
        </row>
        <row r="11">
          <cell r="A11" t="str">
            <v>11530</v>
          </cell>
          <cell r="H11">
            <v>6750.03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-1002.4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0</v>
          </cell>
        </row>
        <row r="16">
          <cell r="A16" t="str">
            <v>24550</v>
          </cell>
          <cell r="H16">
            <v>38245.230000000003</v>
          </cell>
        </row>
        <row r="17">
          <cell r="A17" t="str">
            <v>30022</v>
          </cell>
          <cell r="H17">
            <v>-1769287.07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0</v>
          </cell>
        </row>
        <row r="21">
          <cell r="A21" t="str">
            <v>51140</v>
          </cell>
          <cell r="H21">
            <v>9282.5</v>
          </cell>
        </row>
        <row r="22">
          <cell r="A22" t="str">
            <v>51225</v>
          </cell>
          <cell r="H22">
            <v>750</v>
          </cell>
        </row>
        <row r="23">
          <cell r="A23" t="str">
            <v>51235</v>
          </cell>
          <cell r="H23">
            <v>75000</v>
          </cell>
        </row>
        <row r="24">
          <cell r="A24" t="str">
            <v>51240</v>
          </cell>
          <cell r="H24">
            <v>0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1101.29</v>
          </cell>
        </row>
        <row r="27">
          <cell r="A27" t="str">
            <v>51325</v>
          </cell>
          <cell r="H27">
            <v>250</v>
          </cell>
        </row>
        <row r="28">
          <cell r="A28" t="str">
            <v>51345</v>
          </cell>
          <cell r="H28">
            <v>6245.24</v>
          </cell>
        </row>
        <row r="29">
          <cell r="A29" t="str">
            <v>60045</v>
          </cell>
          <cell r="H29">
            <v>750</v>
          </cell>
        </row>
        <row r="30">
          <cell r="A30" t="str">
            <v>60200</v>
          </cell>
          <cell r="H30">
            <v>0</v>
          </cell>
        </row>
        <row r="31">
          <cell r="A31" t="str">
            <v>61600</v>
          </cell>
          <cell r="H31">
            <v>637.22</v>
          </cell>
        </row>
        <row r="32">
          <cell r="A32" t="str">
            <v>62400</v>
          </cell>
          <cell r="H32">
            <v>0</v>
          </cell>
        </row>
        <row r="33">
          <cell r="A33" t="str">
            <v>63100</v>
          </cell>
          <cell r="H33">
            <v>200</v>
          </cell>
        </row>
        <row r="34">
          <cell r="A34" t="str">
            <v>64000</v>
          </cell>
          <cell r="H34">
            <v>35.799999999999997</v>
          </cell>
        </row>
        <row r="35">
          <cell r="A35" t="str">
            <v>67920</v>
          </cell>
          <cell r="H35">
            <v>-568.83000000000004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4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43364.68</v>
          </cell>
        </row>
        <row r="7">
          <cell r="A7" t="str">
            <v>10131</v>
          </cell>
          <cell r="H7">
            <v>64069.760000000002</v>
          </cell>
        </row>
        <row r="8">
          <cell r="A8" t="str">
            <v>10132</v>
          </cell>
          <cell r="H8">
            <v>2.11</v>
          </cell>
        </row>
        <row r="9">
          <cell r="A9" t="str">
            <v>10133</v>
          </cell>
          <cell r="H9">
            <v>95525.62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7500.03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-966.6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1.54</v>
          </cell>
        </row>
        <row r="16">
          <cell r="A16" t="str">
            <v>24550</v>
          </cell>
          <cell r="H16">
            <v>38245.230000000003</v>
          </cell>
        </row>
        <row r="17">
          <cell r="A17" t="str">
            <v>30022</v>
          </cell>
          <cell r="H17">
            <v>-1763041.83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0</v>
          </cell>
        </row>
        <row r="21">
          <cell r="A21" t="str">
            <v>51140</v>
          </cell>
          <cell r="H21">
            <v>0</v>
          </cell>
        </row>
        <row r="22">
          <cell r="A22" t="str">
            <v>51225</v>
          </cell>
          <cell r="H22">
            <v>750</v>
          </cell>
        </row>
        <row r="23">
          <cell r="A23" t="str">
            <v>51235</v>
          </cell>
          <cell r="H23">
            <v>37500</v>
          </cell>
        </row>
        <row r="24">
          <cell r="A24" t="str">
            <v>51240</v>
          </cell>
          <cell r="H24">
            <v>0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1149.5899999999999</v>
          </cell>
        </row>
        <row r="27">
          <cell r="A27" t="str">
            <v>51325</v>
          </cell>
          <cell r="H27">
            <v>250</v>
          </cell>
        </row>
        <row r="28">
          <cell r="A28" t="str">
            <v>51345</v>
          </cell>
          <cell r="H28">
            <v>6375.15</v>
          </cell>
        </row>
        <row r="29">
          <cell r="A29" t="str">
            <v>60045</v>
          </cell>
          <cell r="H29">
            <v>750</v>
          </cell>
        </row>
        <row r="30">
          <cell r="A30" t="str">
            <v>60200</v>
          </cell>
          <cell r="H30">
            <v>0</v>
          </cell>
        </row>
        <row r="31">
          <cell r="A31" t="str">
            <v>61600</v>
          </cell>
          <cell r="H31">
            <v>261.14</v>
          </cell>
        </row>
        <row r="32">
          <cell r="A32" t="str">
            <v>62400</v>
          </cell>
          <cell r="H32">
            <v>-300</v>
          </cell>
        </row>
        <row r="33">
          <cell r="A33" t="str">
            <v>63100</v>
          </cell>
          <cell r="H33">
            <v>200</v>
          </cell>
        </row>
        <row r="34">
          <cell r="A34" t="str">
            <v>64000</v>
          </cell>
          <cell r="H34">
            <v>35.799999999999997</v>
          </cell>
        </row>
        <row r="35">
          <cell r="A35" t="str">
            <v>67920</v>
          </cell>
          <cell r="H35">
            <v>0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5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43364.68</v>
          </cell>
        </row>
        <row r="7">
          <cell r="A7" t="str">
            <v>10131</v>
          </cell>
          <cell r="H7">
            <v>103379.76</v>
          </cell>
        </row>
        <row r="8">
          <cell r="A8" t="str">
            <v>10132</v>
          </cell>
          <cell r="H8">
            <v>8.58</v>
          </cell>
        </row>
        <row r="9">
          <cell r="A9" t="str">
            <v>10133</v>
          </cell>
          <cell r="H9">
            <v>249017.61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8250.0300000000007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-930.8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1.52</v>
          </cell>
        </row>
        <row r="16">
          <cell r="A16" t="str">
            <v>24550</v>
          </cell>
          <cell r="H16">
            <v>-114752.48</v>
          </cell>
        </row>
        <row r="17">
          <cell r="A17" t="str">
            <v>30022</v>
          </cell>
          <cell r="H17">
            <v>-1756666.68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51010</v>
          </cell>
          <cell r="H20">
            <v>27773.15</v>
          </cell>
        </row>
        <row r="21">
          <cell r="A21" t="str">
            <v>51140</v>
          </cell>
          <cell r="H21">
            <v>3853.5</v>
          </cell>
        </row>
        <row r="22">
          <cell r="A22" t="str">
            <v>51225</v>
          </cell>
          <cell r="H22">
            <v>750</v>
          </cell>
        </row>
        <row r="23">
          <cell r="A23" t="str">
            <v>51235</v>
          </cell>
          <cell r="H23">
            <v>56250</v>
          </cell>
        </row>
        <row r="24">
          <cell r="A24" t="str">
            <v>51240</v>
          </cell>
          <cell r="H24">
            <v>316</v>
          </cell>
        </row>
        <row r="25">
          <cell r="A25" t="str">
            <v>51265</v>
          </cell>
          <cell r="H25">
            <v>0</v>
          </cell>
        </row>
        <row r="26">
          <cell r="A26" t="str">
            <v>51312</v>
          </cell>
          <cell r="H26">
            <v>1471.4</v>
          </cell>
        </row>
        <row r="27">
          <cell r="A27" t="str">
            <v>51325</v>
          </cell>
          <cell r="H27">
            <v>250</v>
          </cell>
        </row>
        <row r="28">
          <cell r="A28" t="str">
            <v>51345</v>
          </cell>
          <cell r="H28">
            <v>6457.18</v>
          </cell>
        </row>
        <row r="29">
          <cell r="A29" t="str">
            <v>60045</v>
          </cell>
          <cell r="H29">
            <v>750</v>
          </cell>
        </row>
        <row r="30">
          <cell r="A30" t="str">
            <v>60200</v>
          </cell>
          <cell r="H30">
            <v>0</v>
          </cell>
        </row>
        <row r="31">
          <cell r="A31" t="str">
            <v>61600</v>
          </cell>
          <cell r="H31">
            <v>550.59</v>
          </cell>
        </row>
        <row r="32">
          <cell r="A32" t="str">
            <v>62400</v>
          </cell>
          <cell r="H32">
            <v>0</v>
          </cell>
        </row>
        <row r="33">
          <cell r="A33" t="str">
            <v>63100</v>
          </cell>
          <cell r="H33">
            <v>200</v>
          </cell>
        </row>
        <row r="34">
          <cell r="A34" t="str">
            <v>64000</v>
          </cell>
          <cell r="H34">
            <v>35.799999999999997</v>
          </cell>
        </row>
        <row r="35">
          <cell r="A35" t="str">
            <v>67920</v>
          </cell>
          <cell r="H35">
            <v>0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6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23522.38</v>
          </cell>
        </row>
        <row r="7">
          <cell r="A7" t="str">
            <v>10131</v>
          </cell>
          <cell r="H7">
            <v>26099.200000000001</v>
          </cell>
        </row>
        <row r="8">
          <cell r="A8" t="str">
            <v>10132</v>
          </cell>
          <cell r="H8">
            <v>832.67</v>
          </cell>
        </row>
        <row r="9">
          <cell r="A9" t="str">
            <v>10133</v>
          </cell>
          <cell r="H9">
            <v>8026.22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9000.0300000000007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-895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1.53</v>
          </cell>
        </row>
        <row r="16">
          <cell r="A16" t="str">
            <v>24550</v>
          </cell>
          <cell r="H16">
            <v>23788.21</v>
          </cell>
        </row>
        <row r="17">
          <cell r="A17" t="str">
            <v>30022</v>
          </cell>
          <cell r="H17">
            <v>-1460045.4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51140</v>
          </cell>
          <cell r="H20">
            <v>14175.91</v>
          </cell>
        </row>
        <row r="21">
          <cell r="A21" t="str">
            <v>51225</v>
          </cell>
          <cell r="H21">
            <v>919.14</v>
          </cell>
        </row>
        <row r="22">
          <cell r="A22" t="str">
            <v>51235</v>
          </cell>
          <cell r="H22">
            <v>131250</v>
          </cell>
        </row>
        <row r="23">
          <cell r="A23" t="str">
            <v>51240</v>
          </cell>
          <cell r="H23">
            <v>0</v>
          </cell>
        </row>
        <row r="24">
          <cell r="A24" t="str">
            <v>51265</v>
          </cell>
          <cell r="H24">
            <v>0</v>
          </cell>
        </row>
        <row r="25">
          <cell r="A25" t="str">
            <v>51312</v>
          </cell>
          <cell r="H25">
            <v>1891.37</v>
          </cell>
        </row>
        <row r="26">
          <cell r="A26" t="str">
            <v>51325</v>
          </cell>
          <cell r="H26">
            <v>500</v>
          </cell>
        </row>
        <row r="27">
          <cell r="A27" t="str">
            <v>51345</v>
          </cell>
          <cell r="H27">
            <v>6340.99</v>
          </cell>
        </row>
        <row r="28">
          <cell r="A28" t="str">
            <v>60045</v>
          </cell>
          <cell r="H28">
            <v>1500</v>
          </cell>
        </row>
        <row r="29">
          <cell r="A29" t="str">
            <v>60200</v>
          </cell>
          <cell r="H29">
            <v>0</v>
          </cell>
        </row>
        <row r="30">
          <cell r="A30" t="str">
            <v>61600</v>
          </cell>
          <cell r="H30">
            <v>107.43</v>
          </cell>
        </row>
        <row r="31">
          <cell r="A31" t="str">
            <v>62400</v>
          </cell>
          <cell r="H31">
            <v>0</v>
          </cell>
        </row>
        <row r="32">
          <cell r="A32" t="str">
            <v>63100</v>
          </cell>
          <cell r="H32">
            <v>400</v>
          </cell>
        </row>
        <row r="33">
          <cell r="A33" t="str">
            <v>64000</v>
          </cell>
          <cell r="H33">
            <v>35.799999999999997</v>
          </cell>
        </row>
        <row r="34">
          <cell r="A34" t="str">
            <v>67920</v>
          </cell>
          <cell r="H34">
            <v>0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</sheetData>
      <sheetData sheetId="27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80234.41</v>
          </cell>
        </row>
        <row r="7">
          <cell r="A7" t="str">
            <v>10131</v>
          </cell>
          <cell r="H7">
            <v>104319.2</v>
          </cell>
        </row>
        <row r="8">
          <cell r="A8" t="str">
            <v>10132</v>
          </cell>
          <cell r="H8">
            <v>0</v>
          </cell>
        </row>
        <row r="9">
          <cell r="A9" t="str">
            <v>10133</v>
          </cell>
          <cell r="H9">
            <v>8026.22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919.17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-859.2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24726.880000000001</v>
          </cell>
        </row>
        <row r="16">
          <cell r="A16" t="str">
            <v>24550</v>
          </cell>
          <cell r="H16">
            <v>23788.21</v>
          </cell>
        </row>
        <row r="17">
          <cell r="A17" t="str">
            <v>30022</v>
          </cell>
          <cell r="H17">
            <v>-1453704.41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51140</v>
          </cell>
          <cell r="H20">
            <v>0</v>
          </cell>
        </row>
        <row r="21">
          <cell r="A21" t="str">
            <v>51225</v>
          </cell>
          <cell r="H21">
            <v>919.14</v>
          </cell>
        </row>
        <row r="22">
          <cell r="A22" t="str">
            <v>51235</v>
          </cell>
          <cell r="H22">
            <v>0</v>
          </cell>
        </row>
        <row r="23">
          <cell r="A23" t="str">
            <v>51240</v>
          </cell>
          <cell r="H23">
            <v>0</v>
          </cell>
        </row>
        <row r="24">
          <cell r="A24" t="str">
            <v>51265</v>
          </cell>
          <cell r="H24">
            <v>0</v>
          </cell>
        </row>
        <row r="25">
          <cell r="A25" t="str">
            <v>51312</v>
          </cell>
          <cell r="H25">
            <v>438.48</v>
          </cell>
        </row>
        <row r="26">
          <cell r="A26" t="str">
            <v>51325</v>
          </cell>
          <cell r="H26">
            <v>0</v>
          </cell>
        </row>
        <row r="27">
          <cell r="A27" t="str">
            <v>51345</v>
          </cell>
          <cell r="H27">
            <v>6665.06</v>
          </cell>
        </row>
        <row r="28">
          <cell r="A28" t="str">
            <v>60045</v>
          </cell>
          <cell r="H28">
            <v>0</v>
          </cell>
        </row>
        <row r="29">
          <cell r="A29" t="str">
            <v>60200</v>
          </cell>
          <cell r="H29">
            <v>0</v>
          </cell>
        </row>
        <row r="30">
          <cell r="A30" t="str">
            <v>61600</v>
          </cell>
          <cell r="H30">
            <v>107.43</v>
          </cell>
        </row>
        <row r="31">
          <cell r="A31" t="str">
            <v>62400</v>
          </cell>
          <cell r="H31">
            <v>0</v>
          </cell>
        </row>
        <row r="32">
          <cell r="A32" t="str">
            <v>63100</v>
          </cell>
          <cell r="H32">
            <v>0</v>
          </cell>
        </row>
        <row r="33">
          <cell r="A33" t="str">
            <v>64000</v>
          </cell>
          <cell r="H33">
            <v>35.799999999999997</v>
          </cell>
        </row>
        <row r="34">
          <cell r="A34" t="str">
            <v>67920</v>
          </cell>
          <cell r="H34">
            <v>0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</sheetData>
      <sheetData sheetId="28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80234.41</v>
          </cell>
        </row>
        <row r="7">
          <cell r="A7" t="str">
            <v>10131</v>
          </cell>
          <cell r="H7">
            <v>104319.2</v>
          </cell>
        </row>
        <row r="8">
          <cell r="A8" t="str">
            <v>10132</v>
          </cell>
          <cell r="H8">
            <v>270.20999999999998</v>
          </cell>
        </row>
        <row r="9">
          <cell r="A9" t="str">
            <v>10133</v>
          </cell>
          <cell r="H9">
            <v>8026.22</v>
          </cell>
        </row>
        <row r="10">
          <cell r="A10" t="str">
            <v>11510</v>
          </cell>
          <cell r="H10">
            <v>20819.599999999999</v>
          </cell>
        </row>
        <row r="11">
          <cell r="A11" t="str">
            <v>11530</v>
          </cell>
          <cell r="H11">
            <v>1838.31</v>
          </cell>
        </row>
        <row r="12">
          <cell r="A12" t="str">
            <v>15010</v>
          </cell>
          <cell r="H12">
            <v>2147.9899999999998</v>
          </cell>
        </row>
        <row r="13">
          <cell r="A13" t="str">
            <v>16650</v>
          </cell>
          <cell r="H13">
            <v>-823.4</v>
          </cell>
        </row>
        <row r="14">
          <cell r="A14" t="str">
            <v>20130</v>
          </cell>
          <cell r="H14">
            <v>-2545</v>
          </cell>
        </row>
        <row r="15">
          <cell r="A15" t="str">
            <v>21030</v>
          </cell>
          <cell r="H15">
            <v>25002.58</v>
          </cell>
        </row>
        <row r="16">
          <cell r="A16" t="str">
            <v>24550</v>
          </cell>
          <cell r="H16">
            <v>23788.21</v>
          </cell>
        </row>
        <row r="17">
          <cell r="A17" t="str">
            <v>30022</v>
          </cell>
          <cell r="H17">
            <v>-1447039.35</v>
          </cell>
        </row>
        <row r="18">
          <cell r="A18" t="str">
            <v>30040</v>
          </cell>
          <cell r="H18">
            <v>-10000</v>
          </cell>
        </row>
        <row r="19">
          <cell r="A19" t="str">
            <v>32000</v>
          </cell>
          <cell r="H19">
            <v>780295.34</v>
          </cell>
        </row>
        <row r="20">
          <cell r="A20" t="str">
            <v>51140</v>
          </cell>
          <cell r="H20">
            <v>32016.45</v>
          </cell>
        </row>
        <row r="21">
          <cell r="A21" t="str">
            <v>51225</v>
          </cell>
          <cell r="H21">
            <v>106856.14</v>
          </cell>
        </row>
        <row r="22">
          <cell r="A22" t="str">
            <v>51235</v>
          </cell>
          <cell r="H22">
            <v>56250</v>
          </cell>
        </row>
        <row r="23">
          <cell r="A23" t="str">
            <v>51240</v>
          </cell>
          <cell r="H23">
            <v>0</v>
          </cell>
        </row>
        <row r="24">
          <cell r="A24" t="str">
            <v>51265</v>
          </cell>
          <cell r="H24">
            <v>0</v>
          </cell>
        </row>
        <row r="25">
          <cell r="A25" t="str">
            <v>51312</v>
          </cell>
          <cell r="H25">
            <v>793.95</v>
          </cell>
        </row>
        <row r="26">
          <cell r="A26" t="str">
            <v>51325</v>
          </cell>
          <cell r="H26">
            <v>250</v>
          </cell>
        </row>
        <row r="27">
          <cell r="A27" t="str">
            <v>51345</v>
          </cell>
          <cell r="H27">
            <v>7166.72</v>
          </cell>
        </row>
        <row r="28">
          <cell r="A28" t="str">
            <v>60045</v>
          </cell>
          <cell r="H28">
            <v>750</v>
          </cell>
        </row>
        <row r="29">
          <cell r="A29" t="str">
            <v>60200</v>
          </cell>
          <cell r="H29">
            <v>0</v>
          </cell>
        </row>
        <row r="30">
          <cell r="A30" t="str">
            <v>61600</v>
          </cell>
          <cell r="H30">
            <v>107.42</v>
          </cell>
        </row>
        <row r="31">
          <cell r="A31" t="str">
            <v>62400</v>
          </cell>
          <cell r="H31">
            <v>0</v>
          </cell>
        </row>
        <row r="32">
          <cell r="A32" t="str">
            <v>63100</v>
          </cell>
          <cell r="H32">
            <v>200</v>
          </cell>
        </row>
        <row r="33">
          <cell r="A33" t="str">
            <v>64000</v>
          </cell>
          <cell r="H33">
            <v>35.799999999999997</v>
          </cell>
        </row>
        <row r="34">
          <cell r="A34" t="str">
            <v>67920</v>
          </cell>
          <cell r="H34">
            <v>-1900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</sheetData>
      <sheetData sheetId="29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2684.78</v>
          </cell>
        </row>
        <row r="7">
          <cell r="A7" t="str">
            <v>10131</v>
          </cell>
          <cell r="H7">
            <v>81194.399999999994</v>
          </cell>
        </row>
        <row r="8">
          <cell r="A8" t="str">
            <v>10132</v>
          </cell>
          <cell r="H8">
            <v>164.08</v>
          </cell>
        </row>
        <row r="9">
          <cell r="A9" t="str">
            <v>10133</v>
          </cell>
          <cell r="H9">
            <v>1998.76</v>
          </cell>
        </row>
        <row r="10">
          <cell r="A10" t="str">
            <v>11530</v>
          </cell>
          <cell r="H10">
            <v>2757.45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-787.6</v>
          </cell>
        </row>
        <row r="13">
          <cell r="A13" t="str">
            <v>20130</v>
          </cell>
          <cell r="H13">
            <v>-2545</v>
          </cell>
        </row>
        <row r="14">
          <cell r="A14" t="str">
            <v>21030</v>
          </cell>
          <cell r="H14">
            <v>0.02</v>
          </cell>
        </row>
        <row r="15">
          <cell r="A15" t="str">
            <v>24550</v>
          </cell>
          <cell r="H15">
            <v>23788.21</v>
          </cell>
        </row>
        <row r="16">
          <cell r="A16" t="str">
            <v>30022</v>
          </cell>
          <cell r="H16">
            <v>-1092837.6299999999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780295.34</v>
          </cell>
        </row>
        <row r="19">
          <cell r="A19" t="str">
            <v>51140</v>
          </cell>
          <cell r="H19">
            <v>0</v>
          </cell>
        </row>
        <row r="20">
          <cell r="A20" t="str">
            <v>51225</v>
          </cell>
          <cell r="H20">
            <v>919.14</v>
          </cell>
        </row>
        <row r="21">
          <cell r="A21" t="str">
            <v>51235</v>
          </cell>
          <cell r="H21">
            <v>37500</v>
          </cell>
        </row>
        <row r="22">
          <cell r="A22" t="str">
            <v>51240</v>
          </cell>
          <cell r="H22">
            <v>0</v>
          </cell>
        </row>
        <row r="23">
          <cell r="A23" t="str">
            <v>51265</v>
          </cell>
          <cell r="H23">
            <v>0</v>
          </cell>
        </row>
        <row r="24">
          <cell r="A24" t="str">
            <v>51312</v>
          </cell>
          <cell r="H24">
            <v>855.74</v>
          </cell>
        </row>
        <row r="25">
          <cell r="A25" t="str">
            <v>51325</v>
          </cell>
          <cell r="H25">
            <v>500</v>
          </cell>
        </row>
        <row r="26">
          <cell r="A26" t="str">
            <v>51345</v>
          </cell>
          <cell r="H26">
            <v>6654.08</v>
          </cell>
        </row>
        <row r="27">
          <cell r="A27" t="str">
            <v>60045</v>
          </cell>
          <cell r="H27">
            <v>1500</v>
          </cell>
        </row>
        <row r="28">
          <cell r="A28" t="str">
            <v>60200</v>
          </cell>
          <cell r="H28">
            <v>0</v>
          </cell>
        </row>
        <row r="29">
          <cell r="A29" t="str">
            <v>61600</v>
          </cell>
          <cell r="H29">
            <v>107.42</v>
          </cell>
        </row>
        <row r="30">
          <cell r="A30" t="str">
            <v>62400</v>
          </cell>
          <cell r="H30">
            <v>0</v>
          </cell>
        </row>
        <row r="31">
          <cell r="A31" t="str">
            <v>63100</v>
          </cell>
          <cell r="H31">
            <v>400</v>
          </cell>
        </row>
        <row r="32">
          <cell r="A32" t="str">
            <v>64000</v>
          </cell>
          <cell r="H32">
            <v>35.799999999999997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</sheetData>
      <sheetData sheetId="30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1479.22</v>
          </cell>
        </row>
        <row r="7">
          <cell r="A7" t="str">
            <v>10131</v>
          </cell>
          <cell r="H7">
            <v>7.46</v>
          </cell>
        </row>
        <row r="8">
          <cell r="A8" t="str">
            <v>10132</v>
          </cell>
          <cell r="H8">
            <v>728.25</v>
          </cell>
        </row>
        <row r="9">
          <cell r="A9" t="str">
            <v>10133</v>
          </cell>
          <cell r="H9">
            <v>1998.76</v>
          </cell>
        </row>
        <row r="10">
          <cell r="A10" t="str">
            <v>11530</v>
          </cell>
          <cell r="H10">
            <v>3676.59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-751.8</v>
          </cell>
        </row>
        <row r="13">
          <cell r="A13" t="str">
            <v>20130</v>
          </cell>
          <cell r="H13">
            <v>-23365</v>
          </cell>
        </row>
        <row r="14">
          <cell r="A14" t="str">
            <v>21030</v>
          </cell>
          <cell r="H14">
            <v>0.02</v>
          </cell>
        </row>
        <row r="15">
          <cell r="A15" t="str">
            <v>24550</v>
          </cell>
          <cell r="H15">
            <v>23788.21</v>
          </cell>
        </row>
        <row r="16">
          <cell r="A16" t="str">
            <v>30022</v>
          </cell>
          <cell r="H16">
            <v>-942672.06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780295.34</v>
          </cell>
        </row>
        <row r="19">
          <cell r="A19" t="str">
            <v>51140</v>
          </cell>
          <cell r="H19">
            <v>0</v>
          </cell>
        </row>
        <row r="20">
          <cell r="A20" t="str">
            <v>51225</v>
          </cell>
          <cell r="H20">
            <v>919.14</v>
          </cell>
        </row>
        <row r="21">
          <cell r="A21" t="str">
            <v>51235</v>
          </cell>
          <cell r="H21">
            <v>37500</v>
          </cell>
        </row>
        <row r="22">
          <cell r="A22" t="str">
            <v>51240</v>
          </cell>
          <cell r="H22">
            <v>0</v>
          </cell>
        </row>
        <row r="23">
          <cell r="A23" t="str">
            <v>51265</v>
          </cell>
          <cell r="H23">
            <v>39.5</v>
          </cell>
        </row>
        <row r="24">
          <cell r="A24" t="str">
            <v>51312</v>
          </cell>
          <cell r="H24">
            <v>929.25</v>
          </cell>
        </row>
        <row r="25">
          <cell r="A25" t="str">
            <v>51325</v>
          </cell>
          <cell r="H25">
            <v>0</v>
          </cell>
        </row>
        <row r="26">
          <cell r="A26" t="str">
            <v>51345</v>
          </cell>
          <cell r="H26">
            <v>4339.92</v>
          </cell>
        </row>
        <row r="27">
          <cell r="A27" t="str">
            <v>60045</v>
          </cell>
          <cell r="H27">
            <v>0</v>
          </cell>
        </row>
        <row r="28">
          <cell r="A28" t="str">
            <v>60200</v>
          </cell>
          <cell r="H28">
            <v>13520</v>
          </cell>
        </row>
        <row r="29">
          <cell r="A29" t="str">
            <v>61600</v>
          </cell>
          <cell r="H29">
            <v>107.43</v>
          </cell>
        </row>
        <row r="30">
          <cell r="A30" t="str">
            <v>62400</v>
          </cell>
          <cell r="H30">
            <v>0</v>
          </cell>
        </row>
        <row r="31">
          <cell r="A31" t="str">
            <v>63100</v>
          </cell>
          <cell r="H31">
            <v>0</v>
          </cell>
        </row>
        <row r="32">
          <cell r="A32" t="str">
            <v>64000</v>
          </cell>
          <cell r="H32">
            <v>35.799999999999997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</sheetData>
      <sheetData sheetId="31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1653.99</v>
          </cell>
        </row>
        <row r="7">
          <cell r="A7" t="str">
            <v>10131</v>
          </cell>
          <cell r="H7">
            <v>1275.18</v>
          </cell>
        </row>
        <row r="8">
          <cell r="A8" t="str">
            <v>10132</v>
          </cell>
          <cell r="H8">
            <v>1331.93</v>
          </cell>
        </row>
        <row r="9">
          <cell r="A9" t="str">
            <v>10133</v>
          </cell>
          <cell r="H9">
            <v>1998.76</v>
          </cell>
        </row>
        <row r="10">
          <cell r="A10" t="str">
            <v>11530</v>
          </cell>
          <cell r="H10">
            <v>4595.7299999999996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-716</v>
          </cell>
        </row>
        <row r="13">
          <cell r="A13" t="str">
            <v>20130</v>
          </cell>
          <cell r="H13">
            <v>-9845</v>
          </cell>
        </row>
        <row r="14">
          <cell r="A14" t="str">
            <v>21030</v>
          </cell>
          <cell r="H14">
            <v>0.03</v>
          </cell>
        </row>
        <row r="15">
          <cell r="A15" t="str">
            <v>24550</v>
          </cell>
          <cell r="H15">
            <v>23788.21</v>
          </cell>
        </row>
        <row r="16">
          <cell r="A16" t="str">
            <v>30022</v>
          </cell>
          <cell r="H16">
            <v>-901802.14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780295.34</v>
          </cell>
        </row>
        <row r="19">
          <cell r="A19" t="str">
            <v>51140</v>
          </cell>
          <cell r="H19">
            <v>0</v>
          </cell>
        </row>
        <row r="20">
          <cell r="A20" t="str">
            <v>51225</v>
          </cell>
          <cell r="H20">
            <v>919.14</v>
          </cell>
        </row>
        <row r="21">
          <cell r="A21" t="str">
            <v>51235</v>
          </cell>
          <cell r="H21">
            <v>37500</v>
          </cell>
        </row>
        <row r="22">
          <cell r="A22" t="str">
            <v>51240</v>
          </cell>
          <cell r="H22">
            <v>315</v>
          </cell>
        </row>
        <row r="23">
          <cell r="A23" t="str">
            <v>51312</v>
          </cell>
          <cell r="H23">
            <v>929.25</v>
          </cell>
        </row>
        <row r="24">
          <cell r="A24" t="str">
            <v>51325</v>
          </cell>
          <cell r="H24">
            <v>500</v>
          </cell>
        </row>
        <row r="25">
          <cell r="A25" t="str">
            <v>51345</v>
          </cell>
          <cell r="H25">
            <v>3877.48</v>
          </cell>
        </row>
        <row r="26">
          <cell r="A26" t="str">
            <v>60045</v>
          </cell>
          <cell r="H26">
            <v>1500</v>
          </cell>
        </row>
        <row r="27">
          <cell r="A27" t="str">
            <v>60200</v>
          </cell>
          <cell r="H27">
            <v>7300</v>
          </cell>
        </row>
        <row r="28">
          <cell r="A28" t="str">
            <v>61600</v>
          </cell>
          <cell r="H28">
            <v>766.78</v>
          </cell>
        </row>
        <row r="29">
          <cell r="A29" t="str">
            <v>62400</v>
          </cell>
          <cell r="H29">
            <v>2000</v>
          </cell>
        </row>
        <row r="30">
          <cell r="A30" t="str">
            <v>63100</v>
          </cell>
          <cell r="H30">
            <v>400</v>
          </cell>
        </row>
        <row r="31">
          <cell r="A31" t="str">
            <v>64000</v>
          </cell>
          <cell r="H31">
            <v>35.799999999999997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</sheetData>
      <sheetData sheetId="32">
        <row r="1">
          <cell r="A1" t="str">
            <v>Trial Balance Summary</v>
          </cell>
        </row>
        <row r="2">
          <cell r="A2" t="str">
            <v>Company/Branch:</v>
          </cell>
        </row>
        <row r="3">
          <cell r="A3" t="str">
            <v>Ledger:</v>
          </cell>
        </row>
        <row r="5">
          <cell r="A5" t="str">
            <v>Account</v>
          </cell>
        </row>
        <row r="6">
          <cell r="A6" t="str">
            <v>10130</v>
          </cell>
          <cell r="H6">
            <v>1823.14</v>
          </cell>
        </row>
        <row r="7">
          <cell r="A7" t="str">
            <v>10131</v>
          </cell>
          <cell r="H7">
            <v>44248.54</v>
          </cell>
        </row>
        <row r="8">
          <cell r="A8" t="str">
            <v>10132</v>
          </cell>
          <cell r="H8">
            <v>2870.46</v>
          </cell>
        </row>
        <row r="9">
          <cell r="A9" t="str">
            <v>10133</v>
          </cell>
          <cell r="H9">
            <v>1998.76</v>
          </cell>
        </row>
        <row r="10">
          <cell r="A10" t="str">
            <v>11530</v>
          </cell>
          <cell r="H10">
            <v>5514.87</v>
          </cell>
        </row>
        <row r="11">
          <cell r="A11" t="str">
            <v>15010</v>
          </cell>
          <cell r="H11">
            <v>2147.9899999999998</v>
          </cell>
        </row>
        <row r="12">
          <cell r="A12" t="str">
            <v>16650</v>
          </cell>
          <cell r="H12">
            <v>-680.2</v>
          </cell>
        </row>
        <row r="13">
          <cell r="A13" t="str">
            <v>20130</v>
          </cell>
          <cell r="H13">
            <v>-40045</v>
          </cell>
        </row>
        <row r="14">
          <cell r="A14" t="str">
            <v>21030</v>
          </cell>
          <cell r="H14">
            <v>0.02</v>
          </cell>
        </row>
        <row r="15">
          <cell r="A15" t="str">
            <v>24550</v>
          </cell>
          <cell r="H15">
            <v>23788.21</v>
          </cell>
        </row>
        <row r="16">
          <cell r="A16" t="str">
            <v>30022</v>
          </cell>
          <cell r="H16">
            <v>-861194.66</v>
          </cell>
        </row>
        <row r="17">
          <cell r="A17" t="str">
            <v>30040</v>
          </cell>
          <cell r="H17">
            <v>-10000</v>
          </cell>
        </row>
        <row r="18">
          <cell r="A18" t="str">
            <v>32000</v>
          </cell>
          <cell r="H18">
            <v>780295.34</v>
          </cell>
        </row>
        <row r="19">
          <cell r="A19" t="str">
            <v>51140</v>
          </cell>
          <cell r="H19">
            <v>2697.45</v>
          </cell>
        </row>
        <row r="20">
          <cell r="A20" t="str">
            <v>51225</v>
          </cell>
          <cell r="H20">
            <v>919.14</v>
          </cell>
        </row>
        <row r="21">
          <cell r="A21" t="str">
            <v>51235</v>
          </cell>
          <cell r="H21">
            <v>37500</v>
          </cell>
        </row>
        <row r="22">
          <cell r="A22" t="str">
            <v>51312</v>
          </cell>
          <cell r="H22">
            <v>933.45</v>
          </cell>
        </row>
        <row r="23">
          <cell r="A23" t="str">
            <v>51345</v>
          </cell>
          <cell r="H23">
            <v>7039.27</v>
          </cell>
        </row>
        <row r="24">
          <cell r="A24" t="str">
            <v>61600</v>
          </cell>
          <cell r="H24">
            <v>107.42</v>
          </cell>
        </row>
        <row r="25">
          <cell r="A25" t="str">
            <v>64000</v>
          </cell>
          <cell r="H25">
            <v>35.799999999999997</v>
          </cell>
        </row>
        <row r="26">
          <cell r="H26" t="e">
            <v>#N/A</v>
          </cell>
        </row>
        <row r="27">
          <cell r="H27" t="e">
            <v>#N/A</v>
          </cell>
        </row>
        <row r="28">
          <cell r="H28" t="e">
            <v>#N/A</v>
          </cell>
        </row>
        <row r="29">
          <cell r="H29" t="e">
            <v>#N/A</v>
          </cell>
        </row>
        <row r="30">
          <cell r="H30" t="e">
            <v>#N/A</v>
          </cell>
        </row>
        <row r="31">
          <cell r="H31" t="e">
            <v>#N/A</v>
          </cell>
        </row>
        <row r="32">
          <cell r="H32" t="e">
            <v>#N/A</v>
          </cell>
        </row>
        <row r="33">
          <cell r="H33" t="e">
            <v>#N/A</v>
          </cell>
        </row>
        <row r="34">
          <cell r="H34" t="e">
            <v>#N/A</v>
          </cell>
        </row>
        <row r="35">
          <cell r="H35" t="e">
            <v>#N/A</v>
          </cell>
        </row>
        <row r="36">
          <cell r="H36" t="e">
            <v>#N/A</v>
          </cell>
        </row>
        <row r="37">
          <cell r="H37" t="e">
            <v>#N/A</v>
          </cell>
        </row>
        <row r="38">
          <cell r="H38" t="e">
            <v>#N/A</v>
          </cell>
        </row>
        <row r="39">
          <cell r="H39" t="e">
            <v>#N/A</v>
          </cell>
        </row>
        <row r="40">
          <cell r="H40" t="e">
            <v>#N/A</v>
          </cell>
        </row>
        <row r="41">
          <cell r="H41" t="e">
            <v>#N/A</v>
          </cell>
        </row>
        <row r="42">
          <cell r="H42" t="e">
            <v>#N/A</v>
          </cell>
        </row>
        <row r="43">
          <cell r="H43" t="e">
            <v>#N/A</v>
          </cell>
        </row>
        <row r="44">
          <cell r="H44" t="e">
            <v>#N/A</v>
          </cell>
        </row>
        <row r="45">
          <cell r="H45" t="e">
            <v>#N/A</v>
          </cell>
        </row>
        <row r="46">
          <cell r="H46" t="e">
            <v>#N/A</v>
          </cell>
        </row>
        <row r="47">
          <cell r="H47" t="e">
            <v>#N/A</v>
          </cell>
        </row>
        <row r="48">
          <cell r="H48" t="e">
            <v>#N/A</v>
          </cell>
        </row>
        <row r="49">
          <cell r="H49" t="e">
            <v>#N/A</v>
          </cell>
        </row>
        <row r="50">
          <cell r="H50" t="e">
            <v>#N/A</v>
          </cell>
        </row>
        <row r="51">
          <cell r="H51" t="e">
            <v>#N/A</v>
          </cell>
        </row>
        <row r="52">
          <cell r="H52" t="e">
            <v>#N/A</v>
          </cell>
        </row>
        <row r="53">
          <cell r="H53" t="e">
            <v>#N/A</v>
          </cell>
        </row>
        <row r="54">
          <cell r="H54" t="e">
            <v>#N/A</v>
          </cell>
        </row>
        <row r="55">
          <cell r="H55" t="e">
            <v>#N/A</v>
          </cell>
        </row>
        <row r="56">
          <cell r="H56" t="e">
            <v>#N/A</v>
          </cell>
        </row>
        <row r="57">
          <cell r="H57" t="e">
            <v>#N/A</v>
          </cell>
        </row>
        <row r="58">
          <cell r="H58" t="e">
            <v>#N/A</v>
          </cell>
        </row>
        <row r="59">
          <cell r="H59" t="e">
            <v>#N/A</v>
          </cell>
        </row>
        <row r="60">
          <cell r="H60" t="e">
            <v>#N/A</v>
          </cell>
        </row>
        <row r="61">
          <cell r="H61" t="e">
            <v>#N/A</v>
          </cell>
        </row>
        <row r="62">
          <cell r="H62" t="e">
            <v>#N/A</v>
          </cell>
        </row>
        <row r="63">
          <cell r="H63" t="e">
            <v>#N/A</v>
          </cell>
        </row>
        <row r="64">
          <cell r="H64" t="e">
            <v>#N/A</v>
          </cell>
        </row>
        <row r="65">
          <cell r="H65" t="e">
            <v>#N/A</v>
          </cell>
        </row>
        <row r="66">
          <cell r="H66" t="e">
            <v>#N/A</v>
          </cell>
        </row>
        <row r="67">
          <cell r="H67" t="e">
            <v>#N/A</v>
          </cell>
        </row>
        <row r="68">
          <cell r="H68" t="e">
            <v>#N/A</v>
          </cell>
        </row>
        <row r="69">
          <cell r="H69" t="e">
            <v>#N/A</v>
          </cell>
        </row>
        <row r="70">
          <cell r="H70" t="e">
            <v>#N/A</v>
          </cell>
        </row>
        <row r="71">
          <cell r="H71" t="e">
            <v>#N/A</v>
          </cell>
        </row>
        <row r="72">
          <cell r="H72" t="e">
            <v>#N/A</v>
          </cell>
        </row>
        <row r="73">
          <cell r="H73" t="e">
            <v>#N/A</v>
          </cell>
        </row>
        <row r="74">
          <cell r="H74" t="e">
            <v>#N/A</v>
          </cell>
        </row>
        <row r="75">
          <cell r="H75" t="e">
            <v>#N/A</v>
          </cell>
        </row>
        <row r="76">
          <cell r="H76" t="e">
            <v>#N/A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H79" t="e">
            <v>#N/A</v>
          </cell>
        </row>
        <row r="80">
          <cell r="H80" t="e">
            <v>#N/A</v>
          </cell>
        </row>
        <row r="81">
          <cell r="H81" t="e">
            <v>#N/A</v>
          </cell>
        </row>
        <row r="82">
          <cell r="H82" t="e">
            <v>#N/A</v>
          </cell>
        </row>
        <row r="83">
          <cell r="H83" t="e">
            <v>#N/A</v>
          </cell>
        </row>
        <row r="84">
          <cell r="H84" t="e">
            <v>#N/A</v>
          </cell>
        </row>
        <row r="85">
          <cell r="H85" t="e">
            <v>#N/A</v>
          </cell>
        </row>
        <row r="86">
          <cell r="H86" t="e">
            <v>#N/A</v>
          </cell>
        </row>
        <row r="87">
          <cell r="H87" t="e">
            <v>#N/A</v>
          </cell>
        </row>
        <row r="88">
          <cell r="H88" t="e">
            <v>#N/A</v>
          </cell>
        </row>
        <row r="89">
          <cell r="H89" t="e">
            <v>#N/A</v>
          </cell>
        </row>
        <row r="90">
          <cell r="H90" t="e">
            <v>#N/A</v>
          </cell>
        </row>
        <row r="91">
          <cell r="H91" t="e">
            <v>#N/A</v>
          </cell>
        </row>
        <row r="92">
          <cell r="H92" t="e">
            <v>#N/A</v>
          </cell>
        </row>
        <row r="93">
          <cell r="H93" t="e">
            <v>#N/A</v>
          </cell>
        </row>
        <row r="94">
          <cell r="H94" t="e">
            <v>#N/A</v>
          </cell>
        </row>
        <row r="95">
          <cell r="H95" t="e">
            <v>#N/A</v>
          </cell>
        </row>
        <row r="96">
          <cell r="H96" t="e">
            <v>#N/A</v>
          </cell>
        </row>
        <row r="97">
          <cell r="H97" t="e">
            <v>#N/A</v>
          </cell>
        </row>
        <row r="98">
          <cell r="H98" t="e">
            <v>#N/A</v>
          </cell>
        </row>
        <row r="99">
          <cell r="H99" t="e">
            <v>#N/A</v>
          </cell>
        </row>
        <row r="100">
          <cell r="H100" t="e">
            <v>#N/A</v>
          </cell>
        </row>
        <row r="101">
          <cell r="H101" t="e">
            <v>#N/A</v>
          </cell>
        </row>
        <row r="102">
          <cell r="H102" t="e">
            <v>#N/A</v>
          </cell>
        </row>
        <row r="103">
          <cell r="H103" t="e">
            <v>#N/A</v>
          </cell>
        </row>
        <row r="104">
          <cell r="H104" t="e">
            <v>#N/A</v>
          </cell>
        </row>
        <row r="105">
          <cell r="H105" t="e">
            <v>#N/A</v>
          </cell>
        </row>
        <row r="106">
          <cell r="H106" t="e">
            <v>#N/A</v>
          </cell>
        </row>
        <row r="107">
          <cell r="H107" t="e">
            <v>#N/A</v>
          </cell>
        </row>
        <row r="108">
          <cell r="H108" t="e">
            <v>#N/A</v>
          </cell>
        </row>
        <row r="109">
          <cell r="H109" t="e">
            <v>#N/A</v>
          </cell>
        </row>
        <row r="110">
          <cell r="H110" t="e">
            <v>#N/A</v>
          </cell>
        </row>
        <row r="111">
          <cell r="H111" t="e">
            <v>#N/A</v>
          </cell>
        </row>
        <row r="112">
          <cell r="H112" t="e">
            <v>#N/A</v>
          </cell>
        </row>
        <row r="113">
          <cell r="H113" t="e">
            <v>#N/A</v>
          </cell>
        </row>
        <row r="114">
          <cell r="H114" t="e">
            <v>#N/A</v>
          </cell>
        </row>
        <row r="115">
          <cell r="H115" t="e">
            <v>#N/A</v>
          </cell>
        </row>
        <row r="116">
          <cell r="H116" t="e">
            <v>#N/A</v>
          </cell>
        </row>
        <row r="117">
          <cell r="H117" t="e">
            <v>#N/A</v>
          </cell>
        </row>
        <row r="118">
          <cell r="H118" t="e">
            <v>#N/A</v>
          </cell>
        </row>
        <row r="119">
          <cell r="H119" t="e">
            <v>#N/A</v>
          </cell>
        </row>
        <row r="120">
          <cell r="H120" t="e">
            <v>#N/A</v>
          </cell>
        </row>
        <row r="121">
          <cell r="H121" t="e">
            <v>#N/A</v>
          </cell>
        </row>
        <row r="122">
          <cell r="H122" t="e">
            <v>#N/A</v>
          </cell>
        </row>
        <row r="123">
          <cell r="H123" t="e">
            <v>#N/A</v>
          </cell>
        </row>
        <row r="124">
          <cell r="H124" t="e">
            <v>#N/A</v>
          </cell>
        </row>
        <row r="125">
          <cell r="H125" t="e">
            <v>#N/A</v>
          </cell>
        </row>
        <row r="126">
          <cell r="H126" t="e">
            <v>#N/A</v>
          </cell>
        </row>
        <row r="127">
          <cell r="H127" t="e">
            <v>#N/A</v>
          </cell>
        </row>
        <row r="128">
          <cell r="H128" t="e">
            <v>#N/A</v>
          </cell>
        </row>
        <row r="129">
          <cell r="H129" t="e">
            <v>#N/A</v>
          </cell>
        </row>
        <row r="130">
          <cell r="H130" t="e">
            <v>#N/A</v>
          </cell>
        </row>
        <row r="131">
          <cell r="H131" t="e">
            <v>#N/A</v>
          </cell>
        </row>
        <row r="132">
          <cell r="H132" t="e">
            <v>#N/A</v>
          </cell>
        </row>
        <row r="133">
          <cell r="H133" t="e">
            <v>#N/A</v>
          </cell>
        </row>
        <row r="134">
          <cell r="H134" t="e">
            <v>#N/A</v>
          </cell>
        </row>
        <row r="135">
          <cell r="H135" t="e">
            <v>#N/A</v>
          </cell>
        </row>
        <row r="136">
          <cell r="H136" t="e">
            <v>#N/A</v>
          </cell>
        </row>
        <row r="137">
          <cell r="H137" t="e">
            <v>#N/A</v>
          </cell>
        </row>
        <row r="138">
          <cell r="H138" t="e">
            <v>#N/A</v>
          </cell>
        </row>
        <row r="139">
          <cell r="H139" t="e">
            <v>#N/A</v>
          </cell>
        </row>
        <row r="140">
          <cell r="H140" t="e">
            <v>#N/A</v>
          </cell>
        </row>
        <row r="141">
          <cell r="H141" t="e">
            <v>#N/A</v>
          </cell>
        </row>
        <row r="142">
          <cell r="H142" t="e">
            <v>#N/A</v>
          </cell>
        </row>
        <row r="143">
          <cell r="H143" t="e">
            <v>#N/A</v>
          </cell>
        </row>
        <row r="144">
          <cell r="H144" t="e">
            <v>#N/A</v>
          </cell>
        </row>
        <row r="145">
          <cell r="H145" t="e">
            <v>#N/A</v>
          </cell>
        </row>
        <row r="146">
          <cell r="H146" t="e">
            <v>#N/A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bolade/Downloads/Transactions%20for%20Period%20(2025-08-27)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yelola Bolade" refreshedDate="45896.847363541667" createdVersion="8" refreshedVersion="8" minRefreshableVersion="3" recordCount="82" xr:uid="{D6DC5E88-FC06-49D2-BA3F-3E8C66C97DD8}">
  <cacheSource type="worksheet">
    <worksheetSource ref="A4:K86" sheet="Sheet3" r:id="rId2"/>
  </cacheSource>
  <cacheFields count="11">
    <cacheField name="PERIOD" numFmtId="0">
      <sharedItems count="7">
        <s v="01-2025"/>
        <s v="02-2025"/>
        <s v="03-2025"/>
        <s v="04-2025"/>
        <s v="05-2025"/>
        <s v="06-2025"/>
        <s v="07-2025"/>
      </sharedItems>
    </cacheField>
    <cacheField name="DATE" numFmtId="177">
      <sharedItems containsSemiMixedTypes="0" containsNonDate="0" containsDate="1" containsString="0" minDate="2025-01-27T00:00:00" maxDate="2025-08-01T00:00:00"/>
    </cacheField>
    <cacheField name="GL" numFmtId="0">
      <sharedItems/>
    </cacheField>
    <cacheField name="CODE" numFmtId="0">
      <sharedItems/>
    </cacheField>
    <cacheField name="NAME" numFmtId="0">
      <sharedItems count="7">
        <s v=""/>
        <s v="CD"/>
        <s v="KM"/>
        <s v="TO"/>
        <s v="Platform"/>
        <s v="HA"/>
        <s v="CC"/>
      </sharedItems>
    </cacheField>
    <cacheField name="USD" numFmtId="0">
      <sharedItems containsString="0" containsBlank="1" containsNumber="1" minValue="606.66999999999996" maxValue="3000"/>
    </cacheField>
    <cacheField name="DES" numFmtId="0">
      <sharedItems/>
    </cacheField>
    <cacheField name="DR" numFmtId="176">
      <sharedItems containsSemiMixedTypes="0" containsString="0" containsNumber="1" minValue="0" maxValue="52585130.950000003"/>
    </cacheField>
    <cacheField name="CR" numFmtId="176">
      <sharedItems containsSemiMixedTypes="0" containsString="0" containsNumber="1" containsInteger="1" minValue="0" maxValue="3350000"/>
    </cacheField>
    <cacheField name="NET" numFmtId="176">
      <sharedItems containsSemiMixedTypes="0" containsString="0" containsNumber="1" minValue="-3350000" maxValue="52585130.950000003"/>
    </cacheField>
    <cacheField name="BAL" numFmtId="176">
      <sharedItems containsSemiMixedTypes="0" containsString="0" containsNumber="1" minValue="920132.03" maxValue="585422710.42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yelola Bolade" refreshedDate="45902.688059143518" createdVersion="8" refreshedVersion="8" minRefreshableVersion="3" recordCount="17" xr:uid="{CC0A7E65-5489-48E3-ACC1-1B7204F8E513}">
  <cacheSource type="worksheet">
    <worksheetSource ref="I3:K20" sheet="Analysis"/>
  </cacheSource>
  <cacheFields count="3">
    <cacheField name="Customer" numFmtId="0">
      <sharedItems/>
    </cacheField>
    <cacheField name="Closing Balance" numFmtId="0">
      <sharedItems containsSemiMixedTypes="0" containsString="0" containsNumber="1" minValue="0" maxValue="425553198"/>
    </cacheField>
    <cacheField name="Class" numFmtId="0">
      <sharedItems count="3">
        <s v="Telco"/>
        <s v="Public Sector"/>
        <s v="Oth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yelola Bolade" refreshedDate="45902.688683333334" createdVersion="8" refreshedVersion="8" minRefreshableVersion="3" recordCount="12" xr:uid="{ED7208CC-3E07-4270-8380-F4FDE34BC657}">
  <cacheSource type="worksheet">
    <worksheetSource ref="B16:E28" sheet="Analysis"/>
  </cacheSource>
  <cacheFields count="4">
    <cacheField name="Cusomer" numFmtId="0">
      <sharedItems/>
    </cacheField>
    <cacheField name="USD" numFmtId="0">
      <sharedItems containsString="0" containsBlank="1" containsNumber="1" containsInteger="1" minValue="936" maxValue="693000"/>
    </cacheField>
    <cacheField name="Naira" numFmtId="3">
      <sharedItems containsSemiMixedTypes="0" containsString="0" containsNumber="1" minValue="1432557.36" maxValue="1068252570"/>
    </cacheField>
    <cacheField name="Class" numFmtId="0">
      <sharedItems count="3">
        <s v="Telco"/>
        <s v="Public Sector"/>
        <s v="IA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x v="0"/>
    <d v="2025-01-27T00:00:00"/>
    <s v="GL"/>
    <s v="GL054727"/>
    <x v="0"/>
    <m/>
    <s v="Payroll Deductions for January 2025 (Staff Loan Repayments)"/>
    <n v="920132.03"/>
    <n v="0"/>
    <n v="920132.03"/>
    <n v="920132.03"/>
  </r>
  <r>
    <x v="0"/>
    <d v="2025-01-27T00:00:00"/>
    <s v="GL"/>
    <s v="GL054729"/>
    <x v="1"/>
    <n v="2500"/>
    <s v="Jan 2025 Salary for Christian Dahon  ($2,500 less deduction for staff loan) $2,351.25"/>
    <n v="3662071.88"/>
    <n v="0"/>
    <n v="3662071.88"/>
    <n v="4582203.91"/>
  </r>
  <r>
    <x v="0"/>
    <d v="2025-01-27T00:00:00"/>
    <s v="GL"/>
    <s v="GL054730"/>
    <x v="2"/>
    <n v="2800"/>
    <s v="Kalid Mawi January 2025 Salary $2,800"/>
    <n v="4361000"/>
    <n v="0"/>
    <n v="4361000"/>
    <n v="8943203.9100000001"/>
  </r>
  <r>
    <x v="0"/>
    <d v="2025-01-27T00:00:00"/>
    <s v="GL"/>
    <s v="GL054731"/>
    <x v="3"/>
    <n v="2800"/>
    <s v="Thomas Otieno Salary for January 2025 $2700"/>
    <n v="4205250"/>
    <n v="0"/>
    <n v="4205250"/>
    <n v="13148453.91"/>
  </r>
  <r>
    <x v="0"/>
    <d v="2025-01-27T00:00:00"/>
    <s v="GL"/>
    <s v="GL054863"/>
    <x v="0"/>
    <m/>
    <s v="Payment of January 2025 Salaries"/>
    <n v="48366334.509999998"/>
    <n v="0"/>
    <n v="48366334.509999998"/>
    <n v="61514788.420000002"/>
  </r>
  <r>
    <x v="0"/>
    <d v="2025-01-27T00:00:00"/>
    <s v="GL"/>
    <s v="GL054863"/>
    <x v="4"/>
    <m/>
    <s v="Payment of January 2025 Salaries - Platform"/>
    <n v="13670000"/>
    <n v="0"/>
    <n v="13670000"/>
    <n v="75184788.420000002"/>
  </r>
  <r>
    <x v="0"/>
    <d v="2025-01-31T00:00:00"/>
    <s v="GL"/>
    <s v="GL054844"/>
    <x v="0"/>
    <m/>
    <s v="Accrued Payroll for January 2025 (Net)"/>
    <n v="1500000"/>
    <n v="0"/>
    <n v="1500000"/>
    <n v="76684788.420000002"/>
  </r>
  <r>
    <x v="0"/>
    <d v="2025-01-31T00:00:00"/>
    <s v="GL"/>
    <s v="GL054879"/>
    <x v="5"/>
    <n v="606.66999999999996"/>
    <s v="January 2025 Salary for  HAKIM ABDEL KABORE  ($606.67) - Part payment"/>
    <n v="942613.51"/>
    <n v="0"/>
    <n v="942613.51"/>
    <n v="77627401.930000007"/>
  </r>
  <r>
    <x v="0"/>
    <d v="2025-01-31T00:00:00"/>
    <s v="GL"/>
    <s v="GL054880"/>
    <x v="0"/>
    <m/>
    <s v="Accrued January 2025 salary for   Hakim Abdel Kabore"/>
    <n v="143506.07"/>
    <n v="0"/>
    <n v="143506.07"/>
    <n v="77770908"/>
  </r>
  <r>
    <x v="0"/>
    <d v="2025-01-31T00:00:00"/>
    <s v="GL"/>
    <s v="GL054926"/>
    <x v="4"/>
    <m/>
    <s v="Payment in lieu resignation notice - Mercy Isaac (Platform)"/>
    <n v="500000"/>
    <n v="0"/>
    <n v="500000"/>
    <n v="78270908"/>
  </r>
  <r>
    <x v="1"/>
    <d v="2025-02-13T00:00:00"/>
    <s v="GL"/>
    <s v="GL054996"/>
    <x v="4"/>
    <m/>
    <s v="Payment in lieu of Notice -Mercy Isaac- Platform"/>
    <n v="500000"/>
    <n v="0"/>
    <n v="500000"/>
    <n v="78770908"/>
  </r>
  <r>
    <x v="1"/>
    <d v="2025-02-13T00:00:00"/>
    <s v="GL"/>
    <s v="GL055000"/>
    <x v="0"/>
    <m/>
    <s v="Payment of Exit salary for Anthony Paul"/>
    <n v="45000"/>
    <n v="0"/>
    <n v="45000"/>
    <n v="78815908"/>
  </r>
  <r>
    <x v="1"/>
    <d v="2025-02-13T00:00:00"/>
    <s v="GL"/>
    <s v="GL055191"/>
    <x v="4"/>
    <m/>
    <s v="Reversal: Payment in lieu of Notice -Mercy Isaac- Platform"/>
    <n v="0"/>
    <n v="500000"/>
    <n v="-500000"/>
    <n v="78315908"/>
  </r>
  <r>
    <x v="1"/>
    <d v="2025-02-17T00:00:00"/>
    <s v="GL"/>
    <s v="GL055003"/>
    <x v="0"/>
    <m/>
    <s v="Payment in lieu of Notice-Precious Ogunsemore"/>
    <n v="250000"/>
    <n v="0"/>
    <n v="250000"/>
    <n v="78565908"/>
  </r>
  <r>
    <x v="1"/>
    <d v="2025-02-17T00:00:00"/>
    <s v="GL"/>
    <s v="GL055192"/>
    <x v="0"/>
    <m/>
    <s v="Reversal- Payment in lieu of Notice-Precious Ogunsemore"/>
    <n v="0"/>
    <n v="250000"/>
    <n v="-250000"/>
    <n v="78315908"/>
  </r>
  <r>
    <x v="1"/>
    <d v="2025-02-27T00:00:00"/>
    <s v="GL"/>
    <s v="GL055006"/>
    <x v="0"/>
    <m/>
    <s v="Payment of staff Salaries for February 2025"/>
    <n v="50081833.329999998"/>
    <n v="0"/>
    <n v="50081833.329999998"/>
    <n v="128397741.33"/>
  </r>
  <r>
    <x v="1"/>
    <d v="2025-02-27T00:00:00"/>
    <s v="GL"/>
    <s v="GL055006"/>
    <x v="4"/>
    <m/>
    <s v="Payment of staff Salaries for February 2025 - Platform"/>
    <n v="13170000"/>
    <n v="0"/>
    <n v="13170000"/>
    <n v="141567741.33000001"/>
  </r>
  <r>
    <x v="1"/>
    <d v="2025-02-27T00:00:00"/>
    <s v="GL"/>
    <s v="GL055016"/>
    <x v="0"/>
    <m/>
    <s v="Payroll Deductions for February 2025 (Staff Loan Repayments - Lilian Wilfred)"/>
    <n v="2996560"/>
    <n v="0"/>
    <n v="2996560"/>
    <n v="144564301.33000001"/>
  </r>
  <r>
    <x v="1"/>
    <d v="2025-02-27T00:00:00"/>
    <s v="GL"/>
    <s v="GL055018"/>
    <x v="0"/>
    <m/>
    <s v="Reversal: Payroll Deductions for February 2025 (Staff Loan Repayments - Lilian Wilfred)"/>
    <n v="0"/>
    <n v="2996560"/>
    <n v="-2996560"/>
    <n v="141567741.33000001"/>
  </r>
  <r>
    <x v="1"/>
    <d v="2025-02-27T00:00:00"/>
    <s v="GL"/>
    <s v="GL055021"/>
    <x v="0"/>
    <m/>
    <s v="Payroll Deductions for February 2025 (Staff Loan Repayments)"/>
    <n v="925132.03"/>
    <n v="0"/>
    <n v="925132.03"/>
    <n v="142492873.36000001"/>
  </r>
  <r>
    <x v="1"/>
    <d v="2025-02-27T00:00:00"/>
    <s v="GL"/>
    <s v="GL055067"/>
    <x v="0"/>
    <m/>
    <s v="Accrued Payroll for February 2025 (Net)"/>
    <n v="500000"/>
    <n v="0"/>
    <n v="500000"/>
    <n v="142992873.36000001"/>
  </r>
  <r>
    <x v="1"/>
    <d v="2025-02-27T00:00:00"/>
    <s v="GL"/>
    <s v="GL055072"/>
    <x v="0"/>
    <m/>
    <s v="Accrued Payroll for February 2025 (Net) - Babajide Obisanya"/>
    <n v="500000"/>
    <n v="0"/>
    <n v="500000"/>
    <n v="143492873.36000001"/>
  </r>
  <r>
    <x v="1"/>
    <d v="2025-02-27T00:00:00"/>
    <s v="GL"/>
    <s v="GL055073"/>
    <x v="0"/>
    <m/>
    <s v="Reversal: Accrued Payroll for February 2025 (Net)"/>
    <n v="0"/>
    <n v="500000"/>
    <n v="-500000"/>
    <n v="142992873.36000001"/>
  </r>
  <r>
    <x v="1"/>
    <d v="2025-02-27T00:00:00"/>
    <s v="GL"/>
    <s v="GL055273"/>
    <x v="0"/>
    <m/>
    <s v="Payroll Deductions for February 2025 (Staff Loan Repayments) - Joseph Sani"/>
    <n v="70000"/>
    <n v="0"/>
    <n v="70000"/>
    <n v="143062873.36000001"/>
  </r>
  <r>
    <x v="1"/>
    <d v="2025-02-28T00:00:00"/>
    <s v="GL"/>
    <s v="GL055058"/>
    <x v="2"/>
    <n v="2800"/>
    <s v="KALID JAMIE MAWI-February 2025 Salary"/>
    <n v="4194708"/>
    <n v="0"/>
    <n v="4194708"/>
    <n v="147257581.36000001"/>
  </r>
  <r>
    <x v="1"/>
    <d v="2025-02-28T00:00:00"/>
    <s v="GL"/>
    <s v="GL055059"/>
    <x v="1"/>
    <n v="2500"/>
    <s v="Christian Dahon-February 2025 Salary ($2,500 less $148.75 staff loan repayment)"/>
    <n v="3522431.14"/>
    <n v="0"/>
    <n v="3522431.14"/>
    <n v="150780012.5"/>
  </r>
  <r>
    <x v="1"/>
    <d v="2025-02-28T00:00:00"/>
    <s v="GL"/>
    <s v="GL055060"/>
    <x v="3"/>
    <n v="2700"/>
    <s v="Thomas Otieno-February 2025 Salary $2700"/>
    <n v="4044897"/>
    <n v="0"/>
    <n v="4044897"/>
    <n v="154824909.5"/>
  </r>
  <r>
    <x v="1"/>
    <d v="2025-02-28T00:00:00"/>
    <s v="GL"/>
    <s v="GL055061"/>
    <x v="5"/>
    <n v="700"/>
    <s v="Hakim Abdel - February 2025 Salary $700"/>
    <n v="1048677"/>
    <n v="0"/>
    <n v="1048677"/>
    <n v="155873586.5"/>
  </r>
  <r>
    <x v="1"/>
    <d v="2025-02-28T00:00:00"/>
    <s v="GL"/>
    <s v="GL055062"/>
    <x v="6"/>
    <n v="1350"/>
    <s v="Charmaine Coetzee-February 2025 Salary $1,350"/>
    <n v="2022448.5"/>
    <n v="0"/>
    <n v="2022448.5"/>
    <n v="157896035"/>
  </r>
  <r>
    <x v="1"/>
    <d v="2025-02-28T00:00:00"/>
    <s v="GL"/>
    <s v="GL055065"/>
    <x v="0"/>
    <m/>
    <s v="Payment in lieu of exit notice - Babajide Obisanya"/>
    <n v="500000"/>
    <n v="0"/>
    <n v="500000"/>
    <n v="158396035"/>
  </r>
  <r>
    <x v="2"/>
    <d v="2025-03-27T00:00:00"/>
    <s v="GL"/>
    <s v="GL055462"/>
    <x v="0"/>
    <m/>
    <s v="Payroll Deductions for March 2025 (Staff Loan Repayments)"/>
    <n v="1101427.51"/>
    <n v="0"/>
    <n v="1101427.51"/>
    <n v="159497462.50999999"/>
  </r>
  <r>
    <x v="2"/>
    <d v="2025-03-27T00:00:00"/>
    <s v="GL"/>
    <s v="GL055467"/>
    <x v="0"/>
    <m/>
    <s v="Payment of staff Salaries for March 2025"/>
    <n v="52583121.149999999"/>
    <n v="0"/>
    <n v="52583121.149999999"/>
    <n v="212080583.66"/>
  </r>
  <r>
    <x v="2"/>
    <d v="2025-03-27T00:00:00"/>
    <s v="GL"/>
    <s v="GL055467"/>
    <x v="4"/>
    <m/>
    <s v="Payment of staff Salaries for March 2025 - Platform"/>
    <n v="13170000"/>
    <n v="0"/>
    <n v="13170000"/>
    <n v="225250583.66"/>
  </r>
  <r>
    <x v="2"/>
    <d v="2025-03-28T00:00:00"/>
    <s v="GL"/>
    <s v="GL055511"/>
    <x v="6"/>
    <n v="3000"/>
    <s v="March 2025 Salary-Charmaine Coetzee ($3,000)"/>
    <n v="4607220"/>
    <n v="0"/>
    <n v="4607220"/>
    <n v="229857803.66"/>
  </r>
  <r>
    <x v="2"/>
    <d v="2025-03-28T00:00:00"/>
    <s v="GL"/>
    <s v="GL055514"/>
    <x v="5"/>
    <n v="700"/>
    <s v="March 2025 Salary-Hakim Abdel ($700)"/>
    <n v="1075018"/>
    <n v="0"/>
    <n v="1075018"/>
    <n v="230932821.66"/>
  </r>
  <r>
    <x v="2"/>
    <d v="2025-03-28T00:00:00"/>
    <s v="GL"/>
    <s v="GL055515"/>
    <x v="2"/>
    <n v="2800"/>
    <s v="March 2025 Salary-Kalid Mawi ($2,800)"/>
    <n v="4300072"/>
    <n v="0"/>
    <n v="4300072"/>
    <n v="235232893.66"/>
  </r>
  <r>
    <x v="2"/>
    <d v="2025-03-28T00:00:00"/>
    <s v="GL"/>
    <s v="GL055566"/>
    <x v="1"/>
    <n v="2500"/>
    <s v="Christian Dahon- March 2025 Salary ($2,500 less $148.75 staff loan repayment)"/>
    <n v="3610908.68"/>
    <n v="0"/>
    <n v="3610908.68"/>
    <n v="238843802.34"/>
  </r>
  <r>
    <x v="2"/>
    <d v="2025-03-31T00:00:00"/>
    <s v="GL"/>
    <s v="GL055468"/>
    <x v="0"/>
    <m/>
    <s v="Accrued Payroll for March 2025"/>
    <n v="3350000"/>
    <n v="0"/>
    <n v="3350000"/>
    <n v="242193802.34"/>
  </r>
  <r>
    <x v="2"/>
    <d v="2025-03-31T00:00:00"/>
    <s v="GL"/>
    <s v="GL055724"/>
    <x v="3"/>
    <n v="2700"/>
    <s v="Accrued Salary for March 2025 - Thomas  Otieno"/>
    <n v="4146093"/>
    <n v="0"/>
    <n v="4146093"/>
    <n v="246339895.34"/>
  </r>
  <r>
    <x v="2"/>
    <d v="2025-03-31T00:00:00"/>
    <s v="GL"/>
    <s v="GL055756"/>
    <x v="0"/>
    <m/>
    <s v="Accrued Payroll for March 2025"/>
    <n v="1200000"/>
    <n v="0"/>
    <n v="1200000"/>
    <n v="247539895.34"/>
  </r>
  <r>
    <x v="2"/>
    <d v="2025-03-31T00:00:00"/>
    <s v="GL"/>
    <s v="GL055757"/>
    <x v="0"/>
    <m/>
    <s v="Reversal: Accrued Payroll for March 2025"/>
    <n v="0"/>
    <n v="3350000"/>
    <n v="-3350000"/>
    <n v="244189895.34"/>
  </r>
  <r>
    <x v="3"/>
    <d v="2025-04-25T00:00:00"/>
    <s v="GL"/>
    <s v="GL055887"/>
    <x v="3"/>
    <n v="2700"/>
    <s v="Payment of April 2025 Salary-Thomas Otieno $2,700"/>
    <n v="4348458"/>
    <n v="0"/>
    <n v="4348458"/>
    <n v="248538353.34"/>
  </r>
  <r>
    <x v="3"/>
    <d v="2025-04-25T00:00:00"/>
    <s v="GL"/>
    <s v="GL055889"/>
    <x v="6"/>
    <n v="3000"/>
    <s v="Payment of April 2025 Salary- Charmaine $3,000"/>
    <n v="4831620"/>
    <n v="0"/>
    <n v="4831620"/>
    <n v="253369973.34"/>
  </r>
  <r>
    <x v="3"/>
    <d v="2025-04-25T00:00:00"/>
    <s v="GL"/>
    <s v="GL055890"/>
    <x v="5"/>
    <n v="700"/>
    <s v="Payment of April 2025  Salary-Hakim Abdel - $700"/>
    <n v="1127378"/>
    <n v="0"/>
    <n v="1127378"/>
    <n v="254497351.34"/>
  </r>
  <r>
    <x v="3"/>
    <d v="2025-04-25T00:00:00"/>
    <s v="GL"/>
    <s v="GL055891"/>
    <x v="1"/>
    <n v="2500"/>
    <s v="Christian Dahon- April 2025 Salary ($2,500 less $148.75 staff loan repayment)"/>
    <n v="3786782.18"/>
    <n v="0"/>
    <n v="3786782.18"/>
    <n v="258284133.52000001"/>
  </r>
  <r>
    <x v="3"/>
    <d v="2025-04-25T00:00:00"/>
    <s v="GL"/>
    <s v="GL055892"/>
    <x v="2"/>
    <n v="2800"/>
    <s v="Payment of April 2025 Salary-Kalid Mawi - $2,800"/>
    <n v="4509512"/>
    <n v="0"/>
    <n v="4509512"/>
    <n v="262793645.52000001"/>
  </r>
  <r>
    <x v="3"/>
    <d v="2025-04-28T00:00:00"/>
    <s v="GL"/>
    <s v="GL055852"/>
    <x v="0"/>
    <m/>
    <s v="Payroll Deductions for April 2025 (Staff Loan Repayments)"/>
    <n v="1378840.37"/>
    <n v="0"/>
    <n v="1378840.37"/>
    <n v="264172485.88999999"/>
  </r>
  <r>
    <x v="3"/>
    <d v="2025-04-28T00:00:00"/>
    <s v="GL"/>
    <s v="GL055871"/>
    <x v="0"/>
    <m/>
    <s v="Payment of staff Salaries for April 2025"/>
    <n v="52442901.310000002"/>
    <n v="0"/>
    <n v="52442901.310000002"/>
    <n v="316615387.19999999"/>
  </r>
  <r>
    <x v="3"/>
    <d v="2025-04-28T00:00:00"/>
    <s v="GL"/>
    <s v="GL055871"/>
    <x v="4"/>
    <m/>
    <s v="Payment of staff Salaries for April 2025 - Platform"/>
    <n v="12083684.210000001"/>
    <n v="0"/>
    <n v="12083684.210000001"/>
    <n v="328699071.41000003"/>
  </r>
  <r>
    <x v="3"/>
    <d v="2025-04-30T00:00:00"/>
    <s v="GL"/>
    <s v="GL055952"/>
    <x v="0"/>
    <m/>
    <s v="Accrued Payroll for April 2025 - Platform"/>
    <n v="1200000"/>
    <n v="0"/>
    <n v="1200000"/>
    <n v="329899071.41000003"/>
  </r>
  <r>
    <x v="4"/>
    <d v="2025-05-16T00:00:00"/>
    <s v="GL"/>
    <s v="GL056382"/>
    <x v="0"/>
    <m/>
    <s v="Redundancy payment to happiness Cement"/>
    <n v="840000"/>
    <n v="0"/>
    <n v="840000"/>
    <n v="330739071.41000003"/>
  </r>
  <r>
    <x v="4"/>
    <d v="2025-05-28T00:00:00"/>
    <s v="GL"/>
    <s v="GL056336"/>
    <x v="5"/>
    <n v="700"/>
    <s v="Payment of May 2025  Salary-Hakim Abdel - $700"/>
    <n v="1107918"/>
    <n v="0"/>
    <n v="1107918"/>
    <n v="331846989.41000003"/>
  </r>
  <r>
    <x v="4"/>
    <d v="2025-05-28T00:00:00"/>
    <s v="GL"/>
    <s v="GL056337"/>
    <x v="6"/>
    <n v="3000"/>
    <s v="Payment of May 2025 Salary- Charmaine $3,000"/>
    <n v="4748220"/>
    <n v="0"/>
    <n v="4748220"/>
    <n v="336595209.41000003"/>
  </r>
  <r>
    <x v="4"/>
    <d v="2025-05-28T00:00:00"/>
    <s v="GL"/>
    <s v="GL056338"/>
    <x v="3"/>
    <n v="2700"/>
    <s v="Payment of May 2025 Salary-Thomas Otieno - $2,700"/>
    <n v="4273398"/>
    <n v="0"/>
    <n v="4273398"/>
    <n v="340868607.41000003"/>
  </r>
  <r>
    <x v="4"/>
    <d v="2025-05-28T00:00:00"/>
    <s v="GL"/>
    <s v="GL056339"/>
    <x v="1"/>
    <n v="2500"/>
    <s v="Christian Dahon - Payment of May 2025 Salary after deducting Loan repayment amount &amp; BTA Refund - $2,162.70"/>
    <n v="3721417.43"/>
    <n v="0"/>
    <n v="3721417.43"/>
    <n v="344590024.83999997"/>
  </r>
  <r>
    <x v="4"/>
    <d v="2025-05-28T00:00:00"/>
    <s v="GL"/>
    <s v="GL056340"/>
    <x v="2"/>
    <n v="2800"/>
    <s v="Payment of May 2025 Salary-Kalid Mawi - $2,800"/>
    <n v="4431672"/>
    <n v="0"/>
    <n v="4431672"/>
    <n v="349021696.83999997"/>
  </r>
  <r>
    <x v="4"/>
    <d v="2025-05-28T00:00:00"/>
    <s v="GL"/>
    <s v="GL056383"/>
    <x v="0"/>
    <m/>
    <s v="Payment of staff Salaries for May 2025"/>
    <n v="52585130.950000003"/>
    <n v="0"/>
    <n v="52585130.950000003"/>
    <n v="401606827.79000002"/>
  </r>
  <r>
    <x v="4"/>
    <d v="2025-05-28T00:00:00"/>
    <s v="GL"/>
    <s v="GL056383"/>
    <x v="4"/>
    <m/>
    <s v="Payment of staff Salaries for May 2025 - Platform"/>
    <n v="12615714.289999999"/>
    <n v="0"/>
    <n v="12615714.289999999"/>
    <n v="414222542.07999998"/>
  </r>
  <r>
    <x v="4"/>
    <d v="2025-05-31T00:00:00"/>
    <s v="GL"/>
    <s v="GL056378"/>
    <x v="0"/>
    <m/>
    <s v="Payroll Deductions for May 2025 (Staff Loan Repayments)"/>
    <n v="1298465.3700000001"/>
    <n v="0"/>
    <n v="1298465.3700000001"/>
    <n v="415521007.44999999"/>
  </r>
  <r>
    <x v="4"/>
    <d v="2025-05-31T00:00:00"/>
    <s v="GL"/>
    <s v="GL056388"/>
    <x v="0"/>
    <m/>
    <s v="Accrued Payroll for May 2025"/>
    <n v="600000"/>
    <n v="0"/>
    <n v="600000"/>
    <n v="416121007.44999999"/>
  </r>
  <r>
    <x v="5"/>
    <d v="2025-06-27T00:00:00"/>
    <s v="GL"/>
    <s v="GL056729"/>
    <x v="5"/>
    <n v="700"/>
    <s v="Payment of June 2025  Salary-Hakim Abdel - $700"/>
    <n v="1080415"/>
    <n v="0"/>
    <n v="1080415"/>
    <n v="417201422.44999999"/>
  </r>
  <r>
    <x v="5"/>
    <d v="2025-06-27T00:00:00"/>
    <s v="GL"/>
    <s v="GL056730"/>
    <x v="3"/>
    <n v="2700"/>
    <s v="Payment of June 2025 Salary-Thomas Otieno - $2,700"/>
    <n v="4167315"/>
    <n v="0"/>
    <n v="4167315"/>
    <n v="421368737.44999999"/>
  </r>
  <r>
    <x v="5"/>
    <d v="2025-06-27T00:00:00"/>
    <s v="GL"/>
    <s v="GL056731"/>
    <x v="6"/>
    <n v="3000"/>
    <s v="Payment of June 2025 Salary- Charmaine $3,000"/>
    <n v="4630350"/>
    <n v="0"/>
    <n v="4630350"/>
    <n v="425999087.44999999"/>
  </r>
  <r>
    <x v="5"/>
    <d v="2025-06-27T00:00:00"/>
    <s v="GL"/>
    <s v="GL056732"/>
    <x v="2"/>
    <n v="2800"/>
    <s v="Payment of June 2025 Salary-Kalid Mawi - ($2,800)"/>
    <n v="4321660"/>
    <n v="0"/>
    <n v="4321660"/>
    <n v="430320747.44999999"/>
  </r>
  <r>
    <x v="5"/>
    <d v="2025-06-27T00:00:00"/>
    <s v="GL"/>
    <s v="GL056733"/>
    <x v="1"/>
    <n v="2500"/>
    <s v="Christian Dahon - Payment of June 2025 Salary"/>
    <n v="3858625"/>
    <n v="0"/>
    <n v="3858625"/>
    <n v="434179372.44999999"/>
  </r>
  <r>
    <x v="5"/>
    <d v="2025-06-27T00:00:00"/>
    <s v="GL"/>
    <s v="GL056745"/>
    <x v="0"/>
    <m/>
    <s v="Payment of staff Salaries for June 2025"/>
    <n v="50826630.950000003"/>
    <n v="0"/>
    <n v="50826630.950000003"/>
    <n v="485006003.39999998"/>
  </r>
  <r>
    <x v="5"/>
    <d v="2025-06-27T00:00:00"/>
    <s v="GL"/>
    <s v="GL056745"/>
    <x v="4"/>
    <m/>
    <s v="Payment of staff Salaries for June 2025 - Platform"/>
    <n v="12057222.23"/>
    <n v="0"/>
    <n v="12057222.23"/>
    <n v="497063225.63"/>
  </r>
  <r>
    <x v="5"/>
    <d v="2025-06-27T00:00:00"/>
    <s v="GL"/>
    <s v="GL056747"/>
    <x v="0"/>
    <m/>
    <s v="Payment of June 2025  Salary - James Abaaji"/>
    <n v="731346"/>
    <n v="0"/>
    <n v="731346"/>
    <n v="497794571.63"/>
  </r>
  <r>
    <x v="5"/>
    <d v="2025-06-27T00:00:00"/>
    <s v="GL"/>
    <s v="GL056749"/>
    <x v="0"/>
    <m/>
    <s v="Payment for Frank's driver- DriversNg Recruitment Services Ltd"/>
    <n v="150000"/>
    <n v="0"/>
    <n v="150000"/>
    <n v="497944571.63"/>
  </r>
  <r>
    <x v="5"/>
    <d v="2025-06-30T00:00:00"/>
    <s v="GL"/>
    <s v="GL056827"/>
    <x v="0"/>
    <m/>
    <s v="Payroll Deductions for June 2025 (Staff Loan Repayments)"/>
    <n v="1078333.33"/>
    <n v="0"/>
    <n v="1078333.33"/>
    <n v="499022904.95999998"/>
  </r>
  <r>
    <x v="5"/>
    <d v="2025-06-30T00:00:00"/>
    <s v="GL"/>
    <s v="GL056942"/>
    <x v="0"/>
    <m/>
    <s v="Accrued Payroll for June 2025"/>
    <n v="2750000"/>
    <n v="0"/>
    <n v="2750000"/>
    <n v="501772904.95999998"/>
  </r>
  <r>
    <x v="6"/>
    <d v="2025-07-17T00:00:00"/>
    <s v="GL"/>
    <s v="GL057109"/>
    <x v="0"/>
    <m/>
    <s v="Payment of staff Salaries for July 2025"/>
    <n v="290909.09000000003"/>
    <n v="0"/>
    <n v="290909.09000000003"/>
    <n v="502063814.05000001"/>
  </r>
  <r>
    <x v="6"/>
    <d v="2025-07-25T00:00:00"/>
    <s v="GL"/>
    <s v="GL057081"/>
    <x v="5"/>
    <n v="700"/>
    <s v="Payment of July 2025  Salary - Hakim Abdel - $700"/>
    <n v="1069460"/>
    <n v="0"/>
    <n v="1069460"/>
    <n v="503133274.05000001"/>
  </r>
  <r>
    <x v="6"/>
    <d v="2025-07-25T00:00:00"/>
    <s v="GL"/>
    <s v="GL057087"/>
    <x v="3"/>
    <n v="2700"/>
    <s v="Payment of July 2025 Salary -Thomas Otieno - $2,700"/>
    <n v="4125060"/>
    <n v="0"/>
    <n v="4125060"/>
    <n v="507258334.05000001"/>
  </r>
  <r>
    <x v="6"/>
    <d v="2025-07-25T00:00:00"/>
    <s v="GL"/>
    <s v="GL057090"/>
    <x v="6"/>
    <n v="3000"/>
    <s v="Payment of July 2025 Salary - Charmaine ($3,000)"/>
    <n v="4583400"/>
    <n v="0"/>
    <n v="4583400"/>
    <n v="511841734.05000001"/>
  </r>
  <r>
    <x v="6"/>
    <d v="2025-07-25T00:00:00"/>
    <s v="GL"/>
    <s v="GL057091"/>
    <x v="2"/>
    <n v="2800"/>
    <s v="Payment of July 2025 Salary-Kalid Mawi - ($2,800)"/>
    <n v="4277840"/>
    <n v="0"/>
    <n v="4277840"/>
    <n v="516119574.05000001"/>
  </r>
  <r>
    <x v="6"/>
    <d v="2025-07-25T00:00:00"/>
    <s v="GL"/>
    <s v="GL057095"/>
    <x v="1"/>
    <n v="2500"/>
    <s v="Christian Dahon - Payment of June 2025 Salary"/>
    <n v="3819500"/>
    <n v="0"/>
    <n v="3819500"/>
    <n v="519939074.05000001"/>
  </r>
  <r>
    <x v="6"/>
    <d v="2025-07-25T00:00:00"/>
    <s v="GL"/>
    <s v="GL057103"/>
    <x v="4"/>
    <m/>
    <s v="Payment of staff Salaries for July 2025 - Platform"/>
    <n v="12935454.550000001"/>
    <n v="0"/>
    <n v="12935454.550000001"/>
    <n v="532874528.60000002"/>
  </r>
  <r>
    <x v="6"/>
    <d v="2025-07-25T00:00:00"/>
    <s v="GL"/>
    <s v="GL057103"/>
    <x v="0"/>
    <m/>
    <s v="Payment of staff Salaries for July 2025"/>
    <n v="50939848.5"/>
    <n v="0"/>
    <n v="50939848.5"/>
    <n v="583814377.10000002"/>
  </r>
  <r>
    <x v="6"/>
    <d v="2025-07-25T00:00:00"/>
    <s v="GL"/>
    <s v="GL057104"/>
    <x v="0"/>
    <m/>
    <s v="Payroll Deductions for July 2025 (Staff Loan Repayments)"/>
    <n v="798333.33"/>
    <n v="0"/>
    <n v="798333.33"/>
    <n v="584612710.42999995"/>
  </r>
  <r>
    <x v="6"/>
    <d v="2025-07-31T00:00:00"/>
    <s v="GL"/>
    <s v="GL057101"/>
    <x v="0"/>
    <m/>
    <s v="Accrued Payroll for July 2025"/>
    <n v="40000"/>
    <n v="0"/>
    <n v="40000"/>
    <n v="584652710.42999995"/>
  </r>
  <r>
    <x v="6"/>
    <d v="2025-07-31T00:00:00"/>
    <s v="GL"/>
    <s v="GL057208"/>
    <x v="0"/>
    <m/>
    <s v="Accrued Salary for July 2025 - James Abaaji"/>
    <n v="770000"/>
    <n v="0"/>
    <n v="770000"/>
    <n v="585422710.429999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GLO AGENTS"/>
    <n v="3000"/>
    <x v="0"/>
  </r>
  <r>
    <s v="NIN Agents"/>
    <n v="16000"/>
    <x v="1"/>
  </r>
  <r>
    <s v="NIMC"/>
    <n v="56722.77"/>
    <x v="1"/>
  </r>
  <r>
    <s v="Mafab"/>
    <n v="34340000"/>
    <x v="0"/>
  </r>
  <r>
    <s v="Mafab"/>
    <n v="2494186.04"/>
    <x v="0"/>
  </r>
  <r>
    <s v="Rose of Sharon"/>
    <n v="0.04"/>
    <x v="2"/>
  </r>
  <r>
    <s v="MTN"/>
    <n v="0"/>
    <x v="0"/>
  </r>
  <r>
    <s v="UNN"/>
    <n v="836265"/>
    <x v="1"/>
  </r>
  <r>
    <s v="UNN"/>
    <n v="308338"/>
    <x v="1"/>
  </r>
  <r>
    <s v="Globacom"/>
    <n v="425553198"/>
    <x v="0"/>
  </r>
  <r>
    <s v="MTN N"/>
    <n v="72240000.069999993"/>
    <x v="0"/>
  </r>
  <r>
    <s v="Nextgen"/>
    <n v="498700"/>
    <x v="2"/>
  </r>
  <r>
    <s v="MTN N"/>
    <n v="38400000"/>
    <x v="0"/>
  </r>
  <r>
    <s v="MTN N"/>
    <n v="85800000"/>
    <x v="0"/>
  </r>
  <r>
    <s v="MTN N"/>
    <n v="14733000.01"/>
    <x v="0"/>
  </r>
  <r>
    <s v="Globacom"/>
    <n v="138043487.94"/>
    <x v="0"/>
  </r>
  <r>
    <s v="Globacom"/>
    <n v="14514650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Orange Liberia"/>
    <n v="223125"/>
    <n v="341495043.75"/>
    <x v="0"/>
  </r>
  <r>
    <s v="MTN CIV"/>
    <n v="108415"/>
    <n v="165930241.65000001"/>
    <x v="0"/>
  </r>
  <r>
    <s v="MTN CIV"/>
    <n v="35400"/>
    <n v="54180054"/>
    <x v="0"/>
  </r>
  <r>
    <s v="MTN Nigeria AMC"/>
    <m/>
    <n v="234524856"/>
    <x v="0"/>
  </r>
  <r>
    <s v="NIMC 1000 license balance"/>
    <m/>
    <n v="19000000"/>
    <x v="1"/>
  </r>
  <r>
    <s v="NIMC Support"/>
    <m/>
    <n v="140000000"/>
    <x v="1"/>
  </r>
  <r>
    <s v="GLO 16k Licenses"/>
    <n v="688000"/>
    <n v="1060545120"/>
    <x v="0"/>
  </r>
  <r>
    <s v="NIMC Upgrade and enhancement Bal"/>
    <m/>
    <n v="50693210"/>
    <x v="1"/>
  </r>
  <r>
    <s v="Glo Biosmart X Balance"/>
    <m/>
    <n v="156735000"/>
    <x v="0"/>
  </r>
  <r>
    <s v="ADF"/>
    <m/>
    <n v="250135984"/>
    <x v="0"/>
  </r>
  <r>
    <s v="NIMC 7 k Licenses"/>
    <n v="693000"/>
    <n v="1068252570"/>
    <x v="1"/>
  </r>
  <r>
    <s v="NG Ride"/>
    <n v="936"/>
    <n v="1432557.3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2DF70-0E97-4045-BBB3-C931B2BBA1D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5:T34" firstHeaderRow="1" firstDataRow="2" firstDataCol="1"/>
  <pivotFields count="11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77" showAll="0"/>
    <pivotField showAll="0"/>
    <pivotField showAll="0"/>
    <pivotField axis="axisRow" showAll="0">
      <items count="8">
        <item x="0"/>
        <item x="6"/>
        <item x="1"/>
        <item x="5"/>
        <item x="2"/>
        <item x="3"/>
        <item x="4"/>
        <item t="default"/>
      </items>
    </pivotField>
    <pivotField showAll="0"/>
    <pivotField showAll="0"/>
    <pivotField numFmtId="176" showAll="0"/>
    <pivotField numFmtId="176" showAll="0"/>
    <pivotField dataField="1" numFmtId="176" showAll="0"/>
    <pivotField numFmtId="176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NET" fld="9" baseField="0" baseItem="0" numFmtId="176"/>
  </dataFields>
  <formats count="13"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field="0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4" type="button" dataOnly="0" labelOnly="1" outline="0" axis="axisRow" fieldPosition="0"/>
    </format>
    <format dxfId="51">
      <pivotArea dataOnly="0" labelOnly="1" fieldPosition="0">
        <references count="1">
          <reference field="4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1">
          <reference field="0" count="0"/>
        </references>
      </pivotArea>
    </format>
    <format dxfId="48">
      <pivotArea dataOnly="0" labelOnly="1" grandCol="1" outline="0" fieldPosition="0"/>
    </format>
    <format dxfId="47">
      <pivotArea grandCol="1" outline="0" collapsedLevelsAreSubtotals="1" fieldPosition="0"/>
    </format>
    <format dxfId="46">
      <pivotArea type="topRight" dataOnly="0" labelOnly="1" outline="0" offset="G1" fieldPosition="0"/>
    </format>
    <format dxfId="4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519B8-6589-4679-8117-D6EEBFA04D3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5:K34" firstHeaderRow="1" firstDataRow="2" firstDataCol="1"/>
  <pivotFields count="11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77" showAll="0"/>
    <pivotField showAll="0"/>
    <pivotField showAll="0"/>
    <pivotField axis="axisRow" showAll="0">
      <items count="8">
        <item x="0"/>
        <item x="6"/>
        <item x="1"/>
        <item x="5"/>
        <item x="2"/>
        <item x="3"/>
        <item x="4"/>
        <item t="default"/>
      </items>
    </pivotField>
    <pivotField showAll="0"/>
    <pivotField showAll="0"/>
    <pivotField numFmtId="176" showAll="0"/>
    <pivotField numFmtId="176" showAll="0"/>
    <pivotField dataField="1" numFmtId="176" showAll="0"/>
    <pivotField numFmtId="176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NET" fld="9" baseField="0" baseItem="0" numFmtId="176"/>
  </dataFields>
  <formats count="13"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0" type="button" dataOnly="0" labelOnly="1" outline="0" axis="axisCol" fieldPosition="0"/>
    </format>
    <format dxfId="40">
      <pivotArea type="topRight" dataOnly="0" labelOnly="1" outline="0" fieldPosition="0"/>
    </format>
    <format dxfId="39">
      <pivotArea field="4" type="button" dataOnly="0" labelOnly="1" outline="0" axis="axisRow" fieldPosition="0"/>
    </format>
    <format dxfId="38">
      <pivotArea dataOnly="0" labelOnly="1" fieldPosition="0">
        <references count="1">
          <reference field="4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1">
          <reference field="0" count="0"/>
        </references>
      </pivotArea>
    </format>
    <format dxfId="35">
      <pivotArea dataOnly="0" labelOnly="1" grandCol="1" outline="0" fieldPosition="0"/>
    </format>
    <format dxfId="34">
      <pivotArea grandCol="1" outline="0" collapsedLevelsAreSubtotals="1" fieldPosition="0"/>
    </format>
    <format dxfId="33">
      <pivotArea type="topRight" dataOnly="0" labelOnly="1" outline="0" offset="G1" fieldPosition="0"/>
    </format>
    <format dxfId="3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1A10F-4FE0-487D-87D8-026CF41BAEB2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2:N16" firstHeaderRow="1" firstDataRow="1" firstDataCol="1"/>
  <pivotFields count="4">
    <pivotField showAll="0"/>
    <pivotField showAll="0"/>
    <pivotField dataField="1" numFmtId="3" showAll="0"/>
    <pivotField axis="axisRow" showAll="0">
      <items count="4">
        <item x="1"/>
        <item x="0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aira" fld="2" baseField="0" baseItem="0" numFmtId="168"/>
  </dataFields>
  <formats count="2">
    <format dxfId="29">
      <pivotArea outline="0" collapsedLevelsAreSubtotals="1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59AA3-B383-468B-8F0C-B4E01A98F36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5:N9" firstHeaderRow="1" firstDataRow="1" firstDataCol="1"/>
  <pivotFields count="3">
    <pivotField showAll="0"/>
    <pivotField dataField="1" showAll="0"/>
    <pivotField axis="axisRow" showAll="0">
      <items count="4">
        <item x="2"/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losing Balance" fld="1" baseField="0" baseItem="0" numFmtId="168"/>
  </dataFields>
  <formats count="2">
    <format dxfId="31">
      <pivotArea outline="0" collapsedLevelsAreSubtotals="1" fieldPosition="0"/>
    </format>
    <format dxfId="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270A6-2EA2-4B52-88D9-D376698E763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5:K34" firstHeaderRow="1" firstDataRow="2" firstDataCol="1"/>
  <pivotFields count="11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77" showAll="0"/>
    <pivotField showAll="0"/>
    <pivotField showAll="0"/>
    <pivotField axis="axisRow" showAll="0">
      <items count="8">
        <item x="0"/>
        <item x="6"/>
        <item x="1"/>
        <item x="5"/>
        <item x="2"/>
        <item x="3"/>
        <item x="4"/>
        <item t="default"/>
      </items>
    </pivotField>
    <pivotField showAll="0"/>
    <pivotField showAll="0"/>
    <pivotField numFmtId="176" showAll="0"/>
    <pivotField numFmtId="176" showAll="0"/>
    <pivotField dataField="1" numFmtId="176" showAll="0"/>
    <pivotField numFmtId="176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NET" fld="9" baseField="0" baseItem="0" numFmtId="176"/>
  </dataFields>
  <formats count="13"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0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4" type="button" dataOnly="0" labelOnly="1" outline="0" axis="axisRow" fieldPosition="0"/>
    </format>
    <format dxfId="21">
      <pivotArea dataOnly="0" labelOnly="1" fieldPosition="0">
        <references count="1">
          <reference field="4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Col="1" outline="0" fieldPosition="0"/>
    </format>
    <format dxfId="17">
      <pivotArea grandCol="1" outline="0" collapsedLevelsAreSubtotals="1" fieldPosition="0"/>
    </format>
    <format dxfId="16">
      <pivotArea type="topRight" dataOnly="0" labelOnly="1" outline="0" offset="G1" fieldPosition="0"/>
    </format>
    <format dxfId="1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6485AA-ED05-CC4A-BB3A-8DB3FBCCF174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docs.google.com/spreadsheets/d/1cI-ocjsVNSd3-V3Bwg6u7-6gzqIe7YYEJkxtDQqSWkQ/edit?usp=sharing" TargetMode="Externa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javascript:50318939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D349-0A68-4A84-B2B9-6A4B80095267}">
  <sheetPr codeName="Sheet1">
    <tabColor theme="7"/>
  </sheetPr>
  <dimension ref="B1:BQ186"/>
  <sheetViews>
    <sheetView showGridLines="0" topLeftCell="H4" zoomScale="125" zoomScaleNormal="140" workbookViewId="0">
      <selection activeCell="P11" sqref="P11"/>
    </sheetView>
  </sheetViews>
  <sheetFormatPr baseColWidth="10" defaultColWidth="8.6640625" defaultRowHeight="13" outlineLevelRow="1" outlineLevelCol="1" x14ac:dyDescent="0.2"/>
  <cols>
    <col min="1" max="1" width="7.1640625" style="83" customWidth="1"/>
    <col min="2" max="2" width="14.83203125" style="83" hidden="1" customWidth="1" outlineLevel="1"/>
    <col min="3" max="3" width="27.6640625" style="104" customWidth="1" collapsed="1"/>
    <col min="4" max="4" width="17" style="83" bestFit="1" customWidth="1"/>
    <col min="5" max="5" width="14.6640625" style="83" customWidth="1"/>
    <col min="6" max="8" width="11.6640625" style="83" customWidth="1"/>
    <col min="9" max="10" width="4" style="83" customWidth="1"/>
    <col min="11" max="11" width="24.83203125" style="104" customWidth="1"/>
    <col min="12" max="12" width="17" style="83" customWidth="1"/>
    <col min="13" max="13" width="15.6640625" style="83" customWidth="1"/>
    <col min="14" max="14" width="14.83203125" style="83" bestFit="1" customWidth="1"/>
    <col min="15" max="15" width="12.5" style="83" customWidth="1"/>
    <col min="16" max="16" width="11.33203125" style="83" customWidth="1"/>
    <col min="17" max="17" width="14.83203125" style="83" bestFit="1" customWidth="1"/>
    <col min="18" max="18" width="11.33203125" style="83" customWidth="1"/>
    <col min="19" max="20" width="10.6640625" style="83" bestFit="1" customWidth="1"/>
    <col min="21" max="21" width="26.5" style="104" hidden="1" customWidth="1" outlineLevel="1"/>
    <col min="22" max="22" width="14.83203125" style="83" hidden="1" customWidth="1" outlineLevel="1"/>
    <col min="23" max="23" width="14.5" style="83" hidden="1" customWidth="1" outlineLevel="1"/>
    <col min="24" max="24" width="17" style="83" hidden="1" customWidth="1" outlineLevel="1"/>
    <col min="25" max="25" width="12.83203125" style="83" hidden="1" customWidth="1" outlineLevel="1"/>
    <col min="26" max="26" width="13.6640625" style="83" hidden="1" customWidth="1" outlineLevel="1"/>
    <col min="27" max="28" width="14.5" style="83" hidden="1" customWidth="1" outlineLevel="1"/>
    <col min="29" max="29" width="9.1640625" style="83" hidden="1" customWidth="1" outlineLevel="1"/>
    <col min="30" max="30" width="11.5" style="83" hidden="1" customWidth="1" outlineLevel="1"/>
    <col min="31" max="31" width="16.5" style="83" hidden="1" customWidth="1" outlineLevel="1"/>
    <col min="32" max="32" width="30.83203125" style="83" hidden="1" customWidth="1" outlineLevel="1"/>
    <col min="33" max="35" width="13" style="83" hidden="1" customWidth="1" outlineLevel="1"/>
    <col min="36" max="39" width="0" style="83" hidden="1" customWidth="1" outlineLevel="1"/>
    <col min="40" max="40" width="7.6640625" style="83" hidden="1" customWidth="1" outlineLevel="1"/>
    <col min="41" max="41" width="12.5" style="83" hidden="1" customWidth="1" outlineLevel="1"/>
    <col min="42" max="43" width="11.1640625" style="83" hidden="1" customWidth="1" outlineLevel="1"/>
    <col min="44" max="44" width="35.5" style="83" hidden="1" customWidth="1" outlineLevel="1"/>
    <col min="45" max="49" width="0" style="83" hidden="1" customWidth="1" outlineLevel="1"/>
    <col min="50" max="50" width="13.83203125" style="83" hidden="1" customWidth="1" outlineLevel="1"/>
    <col min="51" max="51" width="11.33203125" style="83" hidden="1" customWidth="1" outlineLevel="1"/>
    <col min="52" max="54" width="0" style="83" hidden="1" customWidth="1" outlineLevel="1"/>
    <col min="55" max="55" width="28.83203125" style="83" hidden="1" customWidth="1" outlineLevel="1"/>
    <col min="56" max="56" width="12.5" style="83" hidden="1" customWidth="1" outlineLevel="1"/>
    <col min="57" max="57" width="11.33203125" style="83" hidden="1" customWidth="1" outlineLevel="1"/>
    <col min="58" max="58" width="10" style="83" hidden="1" customWidth="1" outlineLevel="1"/>
    <col min="59" max="59" width="9.83203125" style="83" hidden="1" customWidth="1" outlineLevel="1"/>
    <col min="60" max="61" width="14.6640625" style="83" hidden="1" customWidth="1" outlineLevel="1"/>
    <col min="62" max="62" width="12" style="83" hidden="1" customWidth="1" outlineLevel="1"/>
    <col min="63" max="63" width="10.83203125" style="83" hidden="1" customWidth="1" outlineLevel="1"/>
    <col min="64" max="66" width="0" style="83" hidden="1" customWidth="1" outlineLevel="1"/>
    <col min="67" max="67" width="10.33203125" style="83" hidden="1" customWidth="1" outlineLevel="1"/>
    <col min="68" max="68" width="0" style="83" hidden="1" customWidth="1" outlineLevel="1"/>
    <col min="69" max="69" width="9.5" style="83" bestFit="1" customWidth="1" collapsed="1"/>
    <col min="70" max="16384" width="8.6640625" style="83"/>
  </cols>
  <sheetData>
    <row r="1" spans="2:69" ht="14" thickBot="1" x14ac:dyDescent="0.25"/>
    <row r="2" spans="2:69" ht="16" thickBot="1" x14ac:dyDescent="0.25">
      <c r="C2" s="112">
        <v>46142</v>
      </c>
      <c r="L2" s="378">
        <v>3423953280.02</v>
      </c>
      <c r="M2" s="39">
        <v>2286812.7599999998</v>
      </c>
      <c r="P2" s="83">
        <f>8000000/12</f>
        <v>666666.66666666663</v>
      </c>
      <c r="X2" s="115"/>
      <c r="AA2" s="83">
        <v>622.9486675418899</v>
      </c>
    </row>
    <row r="3" spans="2:69" ht="14.5" customHeight="1" thickBot="1" x14ac:dyDescent="0.25">
      <c r="B3" s="84"/>
      <c r="D3" s="196">
        <f>-D12/D8</f>
        <v>0.44573318352857899</v>
      </c>
      <c r="F3" s="83">
        <f>INDEX('FX Rate'!$B$3:$ZZ$8,5,MATCH(Summary!F$6,'FX Rate'!$B$3:$ZZ$3))</f>
        <v>1374.55</v>
      </c>
      <c r="G3" s="83">
        <f>INDEX('FX Rate'!$B$3:$ZZ$8,5,MATCH(Summary!G$6,'FX Rate'!$B$3:$ZZ$3))</f>
        <v>1601.9</v>
      </c>
      <c r="L3" s="196">
        <f>-L12/L8</f>
        <v>0.55254625163584004</v>
      </c>
      <c r="M3" s="114">
        <f>M2-N8</f>
        <v>562255.83281626692</v>
      </c>
      <c r="N3" s="83">
        <f>C_RATE</f>
        <v>1374.55</v>
      </c>
      <c r="O3" s="83">
        <f>G3</f>
        <v>1601.9</v>
      </c>
      <c r="AA3" s="114">
        <f>N8-AA2</f>
        <v>1723933.978516191</v>
      </c>
    </row>
    <row r="4" spans="2:69" ht="30" thickBot="1" x14ac:dyDescent="0.25">
      <c r="C4" s="428" t="s">
        <v>1221</v>
      </c>
      <c r="D4" s="429"/>
      <c r="E4" s="429"/>
      <c r="F4" s="429"/>
      <c r="G4" s="429"/>
      <c r="H4" s="430"/>
      <c r="K4" s="428" t="s">
        <v>1249</v>
      </c>
      <c r="L4" s="429"/>
      <c r="M4" s="429"/>
      <c r="N4" s="429"/>
      <c r="O4" s="429"/>
      <c r="P4" s="430"/>
      <c r="Q4" s="395"/>
      <c r="R4" s="395" t="s">
        <v>1449</v>
      </c>
      <c r="U4" s="422" t="s">
        <v>1443</v>
      </c>
      <c r="V4" s="423"/>
      <c r="W4" s="423"/>
      <c r="X4" s="423"/>
      <c r="Y4" s="423"/>
      <c r="Z4" s="423"/>
      <c r="AA4" s="423"/>
      <c r="AB4" s="424"/>
      <c r="AF4" s="126" t="s">
        <v>22</v>
      </c>
      <c r="AG4" s="218" t="s">
        <v>1330</v>
      </c>
      <c r="AH4" s="218" t="s">
        <v>1383</v>
      </c>
      <c r="AI4" s="172" t="s">
        <v>1297</v>
      </c>
      <c r="AN4" s="242"/>
      <c r="AO4" s="243" t="s">
        <v>1472</v>
      </c>
      <c r="AP4" s="243" t="s">
        <v>1445</v>
      </c>
      <c r="AQ4" s="243" t="s">
        <v>1452</v>
      </c>
      <c r="AR4" s="244"/>
      <c r="AS4" s="206"/>
      <c r="AX4" s="258" t="s">
        <v>1463</v>
      </c>
      <c r="AY4" s="258" t="s">
        <v>3</v>
      </c>
      <c r="BC4" s="422" t="s">
        <v>1641</v>
      </c>
      <c r="BD4" s="423"/>
      <c r="BE4" s="423"/>
      <c r="BF4" s="423"/>
      <c r="BG4" s="423"/>
      <c r="BH4" s="423"/>
      <c r="BI4" s="423"/>
      <c r="BJ4" s="424"/>
    </row>
    <row r="5" spans="2:69" ht="12" customHeight="1" thickBot="1" x14ac:dyDescent="0.25">
      <c r="C5" s="420" t="s">
        <v>1684</v>
      </c>
      <c r="D5" s="85" t="s">
        <v>0</v>
      </c>
      <c r="E5" s="85" t="s">
        <v>0</v>
      </c>
      <c r="F5" s="85" t="str">
        <f>D5</f>
        <v>YTD</v>
      </c>
      <c r="G5" s="85" t="str">
        <f>E5</f>
        <v>YTD</v>
      </c>
      <c r="H5" s="417" t="s">
        <v>1</v>
      </c>
      <c r="K5" s="420" t="s">
        <v>1684</v>
      </c>
      <c r="L5" s="85" t="s">
        <v>0</v>
      </c>
      <c r="M5" s="85" t="s">
        <v>0</v>
      </c>
      <c r="N5" s="85" t="str">
        <f>L5</f>
        <v>YTD</v>
      </c>
      <c r="O5" s="85" t="str">
        <f>M5</f>
        <v>YTD</v>
      </c>
      <c r="P5" s="417" t="s">
        <v>1</v>
      </c>
      <c r="Q5" s="85"/>
      <c r="R5" s="396"/>
      <c r="U5" s="144"/>
      <c r="V5" s="90" t="s">
        <v>1292</v>
      </c>
      <c r="W5" s="90" t="s">
        <v>1293</v>
      </c>
      <c r="X5" s="90" t="s">
        <v>1649</v>
      </c>
      <c r="Y5" s="90" t="s">
        <v>1295</v>
      </c>
      <c r="Z5" s="167" t="s">
        <v>1330</v>
      </c>
      <c r="AA5" s="90" t="s">
        <v>1383</v>
      </c>
      <c r="AB5" s="170" t="s">
        <v>1297</v>
      </c>
      <c r="AF5" s="105" t="s">
        <v>23</v>
      </c>
      <c r="AG5" s="238">
        <f>Z9</f>
        <v>0.44375507333215491</v>
      </c>
      <c r="AH5" s="238">
        <f>AA9</f>
        <v>-113.2978801371676</v>
      </c>
      <c r="AI5" s="172">
        <f>AB9</f>
        <v>0.42815558990733316</v>
      </c>
      <c r="AN5" s="203" t="s">
        <v>1446</v>
      </c>
      <c r="AO5" s="275">
        <f>AB6</f>
        <v>1076068.818099305</v>
      </c>
      <c r="AP5" s="245">
        <f>AQ5-AO5</f>
        <v>5062293.181900695</v>
      </c>
      <c r="AQ5" s="245">
        <v>6138362</v>
      </c>
      <c r="AR5" s="212" t="s">
        <v>1447</v>
      </c>
      <c r="AS5" s="206"/>
      <c r="AX5" s="254" t="s">
        <v>1446</v>
      </c>
      <c r="AY5" s="255">
        <f>Z6</f>
        <v>1075921.2369812664</v>
      </c>
      <c r="BC5" s="144"/>
      <c r="BD5" s="90" t="s">
        <v>1292</v>
      </c>
      <c r="BE5" s="90" t="s">
        <v>1293</v>
      </c>
      <c r="BF5" s="90" t="s">
        <v>1649</v>
      </c>
      <c r="BG5" s="90" t="s">
        <v>1295</v>
      </c>
      <c r="BH5" s="167" t="s">
        <v>1330</v>
      </c>
      <c r="BI5" s="90" t="s">
        <v>1383</v>
      </c>
      <c r="BJ5" s="170" t="s">
        <v>1297</v>
      </c>
    </row>
    <row r="6" spans="2:69" ht="30" thickBot="1" x14ac:dyDescent="0.25">
      <c r="C6" s="421"/>
      <c r="D6" s="86">
        <f>C2</f>
        <v>46142</v>
      </c>
      <c r="E6" s="86">
        <f>EOMONTH(D6,-12)</f>
        <v>45777</v>
      </c>
      <c r="F6" s="86">
        <f>D6</f>
        <v>46142</v>
      </c>
      <c r="G6" s="86">
        <f>E6</f>
        <v>45777</v>
      </c>
      <c r="H6" s="418"/>
      <c r="K6" s="421"/>
      <c r="L6" s="86">
        <f>$C$2</f>
        <v>46142</v>
      </c>
      <c r="M6" s="86">
        <f>EOMONTH(L6,-12)</f>
        <v>45777</v>
      </c>
      <c r="N6" s="86">
        <f>L6</f>
        <v>46142</v>
      </c>
      <c r="O6" s="86">
        <f>M6</f>
        <v>45777</v>
      </c>
      <c r="P6" s="418"/>
      <c r="Q6" s="86"/>
      <c r="R6" s="397"/>
      <c r="S6" s="115">
        <f>R8/12*4</f>
        <v>1666666.6666666667</v>
      </c>
      <c r="T6" s="115">
        <f>R9/12*4</f>
        <v>2666666.6666666665</v>
      </c>
      <c r="U6" s="145" t="s">
        <v>1311</v>
      </c>
      <c r="V6" s="87">
        <f>N25</f>
        <v>805513.65612018481</v>
      </c>
      <c r="W6" s="87">
        <f>N24</f>
        <v>265137.42817649414</v>
      </c>
      <c r="X6" s="87">
        <f>N23</f>
        <v>4661.0738587901496</v>
      </c>
      <c r="Y6" s="87">
        <f>N26</f>
        <v>609.0788257975338</v>
      </c>
      <c r="Z6" s="168">
        <f>SUM(V6:Y6)</f>
        <v>1075921.2369812664</v>
      </c>
      <c r="AA6" s="87">
        <f>L27/C_RATE</f>
        <v>147.58111803863085</v>
      </c>
      <c r="AB6" s="171">
        <f>Z6+AA6</f>
        <v>1076068.818099305</v>
      </c>
      <c r="AC6" s="114">
        <f>N8</f>
        <v>1724556.9271837329</v>
      </c>
      <c r="AD6" s="114">
        <f>AB6-AC6</f>
        <v>-648488.10908442782</v>
      </c>
      <c r="AE6" s="115">
        <f t="shared" ref="AE6:AE11" si="0">Z6*C_RATE</f>
        <v>1478907536.2925997</v>
      </c>
      <c r="AF6" s="105" t="s">
        <v>24</v>
      </c>
      <c r="AG6" s="238">
        <f>Z20</f>
        <v>0</v>
      </c>
      <c r="AH6" s="238">
        <f>AA20</f>
        <v>0</v>
      </c>
      <c r="AI6" s="172">
        <f>AB20</f>
        <v>0</v>
      </c>
      <c r="AN6" s="203" t="s">
        <v>1448</v>
      </c>
      <c r="AO6" s="275">
        <f>AO7-AO5</f>
        <v>-1076068.818099305</v>
      </c>
      <c r="AP6" s="245">
        <f>AQ6-AO6</f>
        <v>-4141046.181900695</v>
      </c>
      <c r="AQ6" s="245">
        <v>-5217115</v>
      </c>
      <c r="AR6" s="212" t="s">
        <v>1453</v>
      </c>
      <c r="AS6" s="206"/>
      <c r="AX6" s="254" t="s">
        <v>6</v>
      </c>
      <c r="AY6" s="255">
        <f>Z7</f>
        <v>-598475.7295650217</v>
      </c>
      <c r="BC6" s="145" t="s">
        <v>1311</v>
      </c>
      <c r="BD6" s="87">
        <f t="shared" ref="BD6:BG7" si="1">V6*C_RATE</f>
        <v>1107218796.02</v>
      </c>
      <c r="BE6" s="87">
        <f t="shared" si="1"/>
        <v>364444651.90000004</v>
      </c>
      <c r="BF6" s="87">
        <f t="shared" si="1"/>
        <v>6406879.0725999996</v>
      </c>
      <c r="BG6" s="87">
        <f t="shared" si="1"/>
        <v>837209.3</v>
      </c>
      <c r="BH6" s="168">
        <f>SUM(BD6:BG6)</f>
        <v>1478907536.2925999</v>
      </c>
      <c r="BI6" s="87">
        <f>AA6*C_RATE</f>
        <v>202857.62580000004</v>
      </c>
      <c r="BJ6" s="171">
        <f>BH6+BI6</f>
        <v>1479110393.9183998</v>
      </c>
    </row>
    <row r="7" spans="2:69" ht="16" thickBot="1" x14ac:dyDescent="0.25">
      <c r="C7" s="105"/>
      <c r="D7" s="86" t="s">
        <v>2</v>
      </c>
      <c r="E7" s="86" t="s">
        <v>2</v>
      </c>
      <c r="F7" s="86" t="s">
        <v>3</v>
      </c>
      <c r="G7" s="86" t="s">
        <v>3</v>
      </c>
      <c r="H7" s="419"/>
      <c r="K7" s="105"/>
      <c r="L7" s="86" t="s">
        <v>2</v>
      </c>
      <c r="M7" s="86" t="s">
        <v>2</v>
      </c>
      <c r="N7" s="86" t="s">
        <v>3</v>
      </c>
      <c r="O7" s="86" t="s">
        <v>3</v>
      </c>
      <c r="P7" s="419"/>
      <c r="Q7" s="86"/>
      <c r="R7" s="397"/>
      <c r="S7" s="122">
        <f>N8/S6</f>
        <v>1.0347341563102397</v>
      </c>
      <c r="T7" s="122">
        <f>N8/T6</f>
        <v>0.64670884769389991</v>
      </c>
      <c r="U7" s="145" t="s">
        <v>1312</v>
      </c>
      <c r="V7" s="87">
        <f>'Segment Report'!Z5</f>
        <v>-157852.81343041122</v>
      </c>
      <c r="W7" s="87">
        <f>'Segment Report'!AA5</f>
        <v>-351581.98945260403</v>
      </c>
      <c r="X7" s="87">
        <f>'Segment Report'!AB5</f>
        <v>-54815.183871649264</v>
      </c>
      <c r="Y7" s="87">
        <f>'Segment Report'!AC5</f>
        <v>-34225.742810357224</v>
      </c>
      <c r="Z7" s="168">
        <f>SUM(V7:Y7)</f>
        <v>-598475.7295650217</v>
      </c>
      <c r="AA7" s="87">
        <f>'Segment Report'!X5</f>
        <v>-16868.208940088611</v>
      </c>
      <c r="AB7" s="171">
        <f>Z7+AA7</f>
        <v>-615343.93850511033</v>
      </c>
      <c r="AC7" s="114">
        <f>N9</f>
        <v>-375233.14985180605</v>
      </c>
      <c r="AD7" s="114">
        <f>AB7-AC7</f>
        <v>-240110.78865330428</v>
      </c>
      <c r="AE7" s="115">
        <f t="shared" si="0"/>
        <v>-822634814.07360053</v>
      </c>
      <c r="AF7" s="105" t="s">
        <v>1437</v>
      </c>
      <c r="AG7" s="238">
        <f>Z16</f>
        <v>-1.3364953234150956</v>
      </c>
      <c r="AH7" s="238">
        <f>AA16</f>
        <v>-11219.183632165919</v>
      </c>
      <c r="AI7" s="172">
        <f>AB16</f>
        <v>-2.875005123713843</v>
      </c>
      <c r="AN7" s="203" t="s">
        <v>12</v>
      </c>
      <c r="AO7" s="275">
        <f>AB21</f>
        <v>0</v>
      </c>
      <c r="AP7" s="245">
        <f>AQ7-AO7</f>
        <v>921247</v>
      </c>
      <c r="AQ7" s="245">
        <v>921247</v>
      </c>
      <c r="AR7" s="212"/>
      <c r="AS7" s="206"/>
      <c r="AX7" s="253" t="s">
        <v>7</v>
      </c>
      <c r="AY7" s="256">
        <f>AY5+AY6</f>
        <v>477445.50741624471</v>
      </c>
      <c r="BC7" s="145" t="s">
        <v>1312</v>
      </c>
      <c r="BD7" s="87">
        <f t="shared" si="1"/>
        <v>-216976584.70077172</v>
      </c>
      <c r="BE7" s="87">
        <f t="shared" si="1"/>
        <v>-483267023.60207683</v>
      </c>
      <c r="BF7" s="87">
        <f t="shared" si="1"/>
        <v>-75346210.990775496</v>
      </c>
      <c r="BG7" s="87">
        <f t="shared" si="1"/>
        <v>-47044994.779976517</v>
      </c>
      <c r="BH7" s="168">
        <f>SUM(BD7:BG7)</f>
        <v>-822634814.07360053</v>
      </c>
      <c r="BI7" s="87">
        <f>AA7*C_RATE</f>
        <v>-23186196.598598801</v>
      </c>
      <c r="BJ7" s="171">
        <f>BH7+BI7</f>
        <v>-845821010.67219937</v>
      </c>
    </row>
    <row r="8" spans="2:69" ht="30" thickBot="1" x14ac:dyDescent="0.25">
      <c r="B8" s="83" t="s">
        <v>4</v>
      </c>
      <c r="C8" s="105" t="str">
        <f>PROPER(PL_NG!C19)</f>
        <v>Total Revenue</v>
      </c>
      <c r="D8" s="87">
        <f>SUMIFS(
    INDEX(NG!C:AL, MATCH($B8, NG!$B:$B, 0), ),
    NG!$C$3:$AL$3, "&gt;="&amp;DATE(YEAR($C$2),1,1),
    NG!$C$3:$AL$3, "&lt;="&amp;$C$2
)</f>
        <v>2363679952.9700003</v>
      </c>
      <c r="E8" s="87">
        <f>SUMIFS(
    INDEX(NG!C:AL, MATCH($B8, NG!$B:$B, 0), ),
    NG!$C$3:$AL$3, "&gt;="&amp;DATE(YEAR($C$2)-1,1,1),
    NG!$C$3:$AL$3, "&lt;="&amp;EDATE($C$2,-12)
)</f>
        <v>875420541.82999992</v>
      </c>
      <c r="F8" s="87">
        <f>D8/$F$3</f>
        <v>1719602.7448765053</v>
      </c>
      <c r="G8" s="87">
        <f>E8/$G$3</f>
        <v>546488.88309507456</v>
      </c>
      <c r="H8" s="88">
        <f t="shared" ref="H8:H19" si="2">IFERROR(D8/E8-1,0)</f>
        <v>1.7000508213217245</v>
      </c>
      <c r="K8" s="105" t="s">
        <v>1247</v>
      </c>
      <c r="L8" s="87">
        <f>SUMIFS(
    INDEX(Group!C:AL, MATCH($B8, Group!$B:$B, 0), ),
    Group!$C$3:$AL$3, "&gt;="&amp;DATE(YEAR($C$2),1,1),
    Group!$C$3:$AL$3, "&lt;="&amp;$C$2
)</f>
        <v>2370489724.2603998</v>
      </c>
      <c r="M8" s="87">
        <f>SUMIFS(
    INDEX(Group!C:AL, MATCH($B8, Group!$B:$B, 0), ),
    Group!$C$3:$AL$3, "&gt;="&amp;DATE(YEAR($C$2)-1,1,1),
    Group!$C$3:$AL$3, "&lt;="&amp;EDATE($C$2,-12)
)</f>
        <v>931607899.75790215</v>
      </c>
      <c r="N8" s="87">
        <f>L8/$F$3</f>
        <v>1724556.9271837329</v>
      </c>
      <c r="O8" s="87">
        <f>M8/$G$3</f>
        <v>581564.32970716152</v>
      </c>
      <c r="P8" s="88">
        <f>IFERROR(L8/M8-1,0)</f>
        <v>1.5445144087726406</v>
      </c>
      <c r="Q8" s="87">
        <f>L8-M8</f>
        <v>1438881824.5024977</v>
      </c>
      <c r="R8" s="136">
        <f>5000000</f>
        <v>5000000</v>
      </c>
      <c r="S8" s="122">
        <f>N8/R8</f>
        <v>0.3449113854367466</v>
      </c>
      <c r="T8" s="114">
        <f>R8-N8</f>
        <v>3275443.0728162671</v>
      </c>
      <c r="U8" s="144" t="s">
        <v>1313</v>
      </c>
      <c r="V8" s="90">
        <f>V6+V7</f>
        <v>647660.84268977353</v>
      </c>
      <c r="W8" s="90">
        <f t="shared" ref="W8:AB8" si="3">W6+W7</f>
        <v>-86444.561276109889</v>
      </c>
      <c r="X8" s="90">
        <f t="shared" si="3"/>
        <v>-50154.110012859113</v>
      </c>
      <c r="Y8" s="90">
        <f t="shared" si="3"/>
        <v>-33616.663984559687</v>
      </c>
      <c r="Z8" s="167">
        <f t="shared" si="3"/>
        <v>477445.50741624471</v>
      </c>
      <c r="AA8" s="90">
        <f t="shared" si="3"/>
        <v>-16720.627822049981</v>
      </c>
      <c r="AB8" s="170">
        <f t="shared" si="3"/>
        <v>460724.8795941947</v>
      </c>
      <c r="AC8" s="114"/>
      <c r="AD8" s="114"/>
      <c r="AE8" s="115">
        <f t="shared" si="0"/>
        <v>656272722.21899915</v>
      </c>
      <c r="AF8" s="105" t="s">
        <v>1223</v>
      </c>
      <c r="AG8" s="277">
        <f>-'Segment Report'!Y7</f>
        <v>254958.18219641081</v>
      </c>
      <c r="AH8" s="277">
        <f>-'Segment Report'!X7</f>
        <v>397957.54297211702</v>
      </c>
      <c r="AI8" s="170">
        <f>AG8+AH8</f>
        <v>652915.7251685278</v>
      </c>
      <c r="AN8" s="203" t="s">
        <v>24</v>
      </c>
      <c r="AO8" s="246">
        <f>AO7/AO5</f>
        <v>0</v>
      </c>
      <c r="AP8" s="246">
        <f>AP7/AP5</f>
        <v>0.18198215055851574</v>
      </c>
      <c r="AQ8" s="246">
        <f>AQ7/AQ5</f>
        <v>0.15008026571257935</v>
      </c>
      <c r="AR8" s="212"/>
      <c r="AS8" s="206"/>
      <c r="AX8" s="253" t="s">
        <v>1459</v>
      </c>
      <c r="AY8" s="257">
        <f>AY7/AY5</f>
        <v>0.44375507333215491</v>
      </c>
      <c r="BC8" s="144" t="s">
        <v>1313</v>
      </c>
      <c r="BD8" s="90">
        <f>BD6+BD7</f>
        <v>890242211.31922829</v>
      </c>
      <c r="BE8" s="90">
        <f t="shared" ref="BE8:BJ8" si="4">BE6+BE7</f>
        <v>-118822371.70207679</v>
      </c>
      <c r="BF8" s="90">
        <f t="shared" si="4"/>
        <v>-68939331.918175489</v>
      </c>
      <c r="BG8" s="90">
        <f t="shared" si="4"/>
        <v>-46207785.47997652</v>
      </c>
      <c r="BH8" s="167">
        <f t="shared" si="4"/>
        <v>656272722.21899939</v>
      </c>
      <c r="BI8" s="90">
        <f t="shared" si="4"/>
        <v>-22983338.972798802</v>
      </c>
      <c r="BJ8" s="170">
        <f t="shared" si="4"/>
        <v>633289383.24620044</v>
      </c>
      <c r="BN8" s="83">
        <v>510</v>
      </c>
      <c r="BO8" s="118">
        <v>81600000</v>
      </c>
      <c r="BQ8" s="115">
        <f>T8/8</f>
        <v>409430.38410203339</v>
      </c>
    </row>
    <row r="9" spans="2:69" ht="14" x14ac:dyDescent="0.2">
      <c r="B9" s="83" t="s">
        <v>5</v>
      </c>
      <c r="C9" s="105" t="s">
        <v>6</v>
      </c>
      <c r="D9" s="87">
        <f>SUMIFS(
    INDEX(NG!C:AL, MATCH($B9, NG!$B:$B, 0), ),
    NG!$C$3:$AL$3, "&gt;="&amp;DATE(YEAR($C$2),1,1),
    NG!$C$3:$AL$3, "&lt;="&amp;$C$2
)</f>
        <v>-505258465.07999998</v>
      </c>
      <c r="E9" s="87">
        <f>SUMIFS(
    INDEX(NG!C:AL, MATCH($B9, NG!$B:$B, 0), ),
    NG!$C$3:$AL$3, "&gt;="&amp;DATE(YEAR($C$2)-1,1,1),
    NG!$C$3:$AL$3, "&lt;="&amp;EDATE($C$2,-12)
)</f>
        <v>-238596986.20999998</v>
      </c>
      <c r="F9" s="87">
        <f>D9/$F$3</f>
        <v>-367581.00111309154</v>
      </c>
      <c r="G9" s="87">
        <f>E9/$G$3</f>
        <v>-148946.24271802232</v>
      </c>
      <c r="H9" s="89">
        <f t="shared" si="2"/>
        <v>1.1176229972800211</v>
      </c>
      <c r="K9" s="105" t="s">
        <v>6</v>
      </c>
      <c r="L9" s="87">
        <f>SUMIFS(
    INDEX(Group!C:AL, MATCH($B9, Group!$B:$B, 0), ),
    Group!$C$3:$AL$3, "&gt;="&amp;DATE(YEAR($C$2),1,1),
    Group!$C$3:$AL$3, "&lt;="&amp;$C$2
)</f>
        <v>-515776726.12879997</v>
      </c>
      <c r="M9" s="87">
        <f>SUMIFS(
    INDEX(Group!C:AL, MATCH($B9, Group!$B:$B, 0), ),
    Group!$C$3:$AL$3, "&gt;="&amp;DATE(YEAR($C$2)-1,1,1),
    Group!$C$3:$AL$3, "&lt;="&amp;EDATE($C$2,-12)
)</f>
        <v>-258400614.90089932</v>
      </c>
      <c r="N9" s="87">
        <f>L9/$F$3</f>
        <v>-375233.14985180605</v>
      </c>
      <c r="O9" s="87">
        <f>M9/$G$3</f>
        <v>-161308.83007734522</v>
      </c>
      <c r="P9" s="89">
        <f t="shared" ref="P9:P19" si="5">IFERROR(L9/M9-1,0)</f>
        <v>0.99603521193867284</v>
      </c>
      <c r="Q9" s="87">
        <f t="shared" ref="Q9:Q19" si="6">L9-M9</f>
        <v>-257376111.22790065</v>
      </c>
      <c r="R9" s="136">
        <f>8000000</f>
        <v>8000000</v>
      </c>
      <c r="S9" s="122">
        <f>N8/R9</f>
        <v>0.21556961589796661</v>
      </c>
      <c r="T9" s="114">
        <f>R9-N8</f>
        <v>6275443.0728162676</v>
      </c>
      <c r="U9" s="144" t="s">
        <v>1314</v>
      </c>
      <c r="V9" s="150">
        <f>IFERROR(V8/V6,"")</f>
        <v>0.80403459056085924</v>
      </c>
      <c r="W9" s="150">
        <f t="shared" ref="W9:AB9" si="7">IFERROR(W8/W6,"")</f>
        <v>-0.32603680993151335</v>
      </c>
      <c r="X9" s="150">
        <f t="shared" si="7"/>
        <v>-10.760204951113423</v>
      </c>
      <c r="Y9" s="150">
        <f t="shared" si="7"/>
        <v>-55.192632809951483</v>
      </c>
      <c r="Z9" s="169">
        <f>IFERROR(Z8/Z6,"")</f>
        <v>0.44375507333215491</v>
      </c>
      <c r="AA9" s="150">
        <f>IFERROR(AA8/AA6,"n/a")</f>
        <v>-113.2978801371676</v>
      </c>
      <c r="AB9" s="172">
        <f t="shared" si="7"/>
        <v>0.42815558990733316</v>
      </c>
      <c r="AC9" s="196"/>
      <c r="AD9" s="196"/>
      <c r="AE9" s="115">
        <f t="shared" si="0"/>
        <v>609.96353604871354</v>
      </c>
      <c r="AF9" s="105" t="s">
        <v>1224</v>
      </c>
      <c r="AG9" s="238">
        <f>AG8/Z6</f>
        <v>0.23696732942250684</v>
      </c>
      <c r="AH9" s="238">
        <f>IFERROR(AH8/AA6,"n/a")</f>
        <v>2696.5342739031671</v>
      </c>
      <c r="AI9" s="172">
        <f>AI8/AB6</f>
        <v>0.60676019431711981</v>
      </c>
      <c r="AN9" s="206"/>
      <c r="AO9" s="206"/>
      <c r="AP9" s="206"/>
      <c r="AQ9" s="206"/>
      <c r="AR9" s="206"/>
      <c r="AS9" s="206"/>
      <c r="AX9" s="254" t="s">
        <v>1458</v>
      </c>
      <c r="AY9" s="255">
        <f>Z10</f>
        <v>-134423.63481677644</v>
      </c>
      <c r="BC9" s="144" t="s">
        <v>1314</v>
      </c>
      <c r="BD9" s="150">
        <f>IFERROR(BD8/BD6,"")</f>
        <v>0.80403459056085935</v>
      </c>
      <c r="BE9" s="150">
        <f>IFERROR(BE8/BE6,"")</f>
        <v>-0.32603680993151318</v>
      </c>
      <c r="BF9" s="150">
        <f>IFERROR(BF8/BF6,"")</f>
        <v>-10.760204951113423</v>
      </c>
      <c r="BG9" s="150">
        <f>IFERROR(BG8/BG6,"")</f>
        <v>-55.192632809951483</v>
      </c>
      <c r="BH9" s="169">
        <f>IFERROR(BH8/BH6,"")</f>
        <v>0.44375507333215503</v>
      </c>
      <c r="BI9" s="150">
        <f>IFERROR(BI8/BI6,"n/a")</f>
        <v>-113.2978801371676</v>
      </c>
      <c r="BJ9" s="172">
        <f>IFERROR(BJ8/BJ6,"")</f>
        <v>0.42815558990733321</v>
      </c>
      <c r="BO9" s="83">
        <f>BO8/BN8</f>
        <v>160000</v>
      </c>
      <c r="BQ9" s="115">
        <f>T9/8</f>
        <v>784430.38410203345</v>
      </c>
    </row>
    <row r="10" spans="2:69" ht="15" x14ac:dyDescent="0.2">
      <c r="C10" s="106" t="s">
        <v>7</v>
      </c>
      <c r="D10" s="90">
        <f>D8+D9</f>
        <v>1858421487.8900003</v>
      </c>
      <c r="E10" s="90">
        <f>E8+E9</f>
        <v>636823555.61999989</v>
      </c>
      <c r="F10" s="90">
        <f>F8+F9</f>
        <v>1352021.7437634137</v>
      </c>
      <c r="G10" s="90">
        <f>G8+G9</f>
        <v>397542.64037705224</v>
      </c>
      <c r="H10" s="88">
        <f t="shared" si="2"/>
        <v>1.9182675035955206</v>
      </c>
      <c r="K10" s="106" t="s">
        <v>7</v>
      </c>
      <c r="L10" s="90">
        <f>L8+L9</f>
        <v>1854712998.1315999</v>
      </c>
      <c r="M10" s="90">
        <f>M8+M9</f>
        <v>673207284.85700285</v>
      </c>
      <c r="N10" s="90">
        <f>N8+N9</f>
        <v>1349323.7773319269</v>
      </c>
      <c r="O10" s="90">
        <f>O8+O9</f>
        <v>420255.49962981627</v>
      </c>
      <c r="P10" s="88">
        <f t="shared" si="5"/>
        <v>1.7550400000878819</v>
      </c>
      <c r="Q10" s="90">
        <f t="shared" si="6"/>
        <v>1181505713.2745972</v>
      </c>
      <c r="R10" s="130"/>
      <c r="U10" s="145" t="s">
        <v>819</v>
      </c>
      <c r="V10" s="87">
        <f>'Segment Report'!Z6</f>
        <v>-100639.40540297325</v>
      </c>
      <c r="W10" s="87">
        <f>'Segment Report'!AA6</f>
        <v>-33125.78616019724</v>
      </c>
      <c r="X10" s="87">
        <f>'Segment Report'!AB6</f>
        <v>-582.34605723182631</v>
      </c>
      <c r="Y10" s="87">
        <f>'Segment Report'!AC6</f>
        <v>-76.097196374109885</v>
      </c>
      <c r="Z10" s="168">
        <f>SUM(V10:Y10)</f>
        <v>-134423.63481677644</v>
      </c>
      <c r="AA10" s="87">
        <f>'Segment Report'!X6</f>
        <v>187121.9787838929</v>
      </c>
      <c r="AB10" s="171">
        <f>Z10+AA10</f>
        <v>52698.343967116467</v>
      </c>
      <c r="AC10" s="114">
        <f>N11</f>
        <v>52698.343967116503</v>
      </c>
      <c r="AD10" s="114">
        <f>AB10-AC10</f>
        <v>0</v>
      </c>
      <c r="AE10" s="115">
        <f t="shared" si="0"/>
        <v>-184772007.23740005</v>
      </c>
      <c r="AF10" s="105" t="s">
        <v>1246</v>
      </c>
      <c r="AG10" s="103">
        <f>L71-AH10</f>
        <v>-8</v>
      </c>
      <c r="AH10" s="103">
        <v>8</v>
      </c>
      <c r="AI10" s="170">
        <f>AG10+AH10</f>
        <v>0</v>
      </c>
      <c r="AN10" s="206"/>
      <c r="AO10" s="206"/>
      <c r="AP10" s="206" t="s">
        <v>1449</v>
      </c>
      <c r="AQ10" s="247">
        <v>0.15</v>
      </c>
      <c r="AR10" s="206"/>
      <c r="AS10" s="206"/>
      <c r="AX10" s="254" t="s">
        <v>28</v>
      </c>
      <c r="AY10" s="255">
        <f>SUM('Segment Report'!Y7:Y15,'Segment Report'!Y16)</f>
        <v>-448237.53852704988</v>
      </c>
      <c r="BC10" s="145" t="s">
        <v>819</v>
      </c>
      <c r="BD10" s="87">
        <f t="shared" ref="BD10:BG11" si="8">V10*C_RATE</f>
        <v>-138333894.69665688</v>
      </c>
      <c r="BE10" s="87">
        <f t="shared" si="8"/>
        <v>-45533049.366499111</v>
      </c>
      <c r="BF10" s="87">
        <f t="shared" si="8"/>
        <v>-800463.77296800679</v>
      </c>
      <c r="BG10" s="87">
        <f t="shared" si="8"/>
        <v>-104599.40127603273</v>
      </c>
      <c r="BH10" s="168">
        <f>SUM(BD10:BG10)</f>
        <v>-184772007.23740003</v>
      </c>
      <c r="BI10" s="87">
        <f>AA10*C_RATE</f>
        <v>257208515.93739998</v>
      </c>
      <c r="BJ10" s="171">
        <f>BH10+BI10</f>
        <v>72436508.699999958</v>
      </c>
    </row>
    <row r="11" spans="2:69" ht="13.5" customHeight="1" x14ac:dyDescent="0.2">
      <c r="B11" s="83" t="s">
        <v>8</v>
      </c>
      <c r="C11" s="105" t="s">
        <v>9</v>
      </c>
      <c r="D11" s="87">
        <f>SUMIFS(
    INDEX(NG!C:AL, MATCH($B11, NG!$B:$B, 0), ),
    NG!$C$3:$AL$3, "&gt;="&amp;DATE(YEAR($C$2),1,1),
    NG!$C$3:$AL$3, "&lt;="&amp;$C$2
)</f>
        <v>72436508.699999988</v>
      </c>
      <c r="E11" s="87">
        <f>SUMIFS(
    INDEX(NG!C:AL, MATCH($B11, NG!$B:$B, 0), ),
    NG!$C$3:$AL$3, "&gt;="&amp;DATE(YEAR($C$2)-1,1,1),
    NG!$C$3:$AL$3, "&lt;="&amp;EDATE($C$2,-12)
)</f>
        <v>128254629.78999999</v>
      </c>
      <c r="F11" s="87">
        <f>D11/$F$3</f>
        <v>52698.343967116503</v>
      </c>
      <c r="G11" s="87">
        <f>E11/$G$3</f>
        <v>80064.06753854797</v>
      </c>
      <c r="H11" s="88">
        <f t="shared" si="2"/>
        <v>-0.43521330326550234</v>
      </c>
      <c r="K11" s="105" t="s">
        <v>9</v>
      </c>
      <c r="L11" s="87">
        <f>SUMIFS(
    INDEX(Group!C:AL, MATCH($B11, Group!$B:$B, 0), ),
    Group!$C$3:$AL$3, "&gt;="&amp;DATE(YEAR($C$2),1,1),
    Group!$C$3:$AL$3, "&lt;="&amp;$C$2
)</f>
        <v>72436508.699999988</v>
      </c>
      <c r="M11" s="87">
        <f>SUMIFS(
    INDEX(Group!C:AL, MATCH($B11, Group!$B:$B, 0), ),
    Group!$C$3:$AL$3, "&gt;="&amp;DATE(YEAR($C$2)-1,1,1),
    Group!$C$3:$AL$3, "&lt;="&amp;EDATE($C$2,-12)
)</f>
        <v>128258284.3267</v>
      </c>
      <c r="N11" s="87">
        <f>L11/$F$3</f>
        <v>52698.343967116503</v>
      </c>
      <c r="O11" s="87">
        <f>M11/$G$3</f>
        <v>80066.348914851114</v>
      </c>
      <c r="P11" s="88">
        <f t="shared" si="5"/>
        <v>-0.43522939605609079</v>
      </c>
      <c r="Q11" s="87">
        <f t="shared" si="6"/>
        <v>-55821775.626700014</v>
      </c>
      <c r="R11" s="130"/>
      <c r="U11" s="145" t="s">
        <v>28</v>
      </c>
      <c r="V11" s="87">
        <f>-'Segment Report'!E16/C_RATE</f>
        <v>-768980.96104179556</v>
      </c>
      <c r="W11" s="87">
        <f>-'Segment Report'!F16/C_RATE</f>
        <v>-893225.64984904148</v>
      </c>
      <c r="X11" s="87">
        <f>-'Segment Report'!G16/C_RATE</f>
        <v>-41120.556545778622</v>
      </c>
      <c r="Y11" s="87">
        <f>-'Segment Report'!H16/C_RATE</f>
        <v>-27127.99025135499</v>
      </c>
      <c r="Z11" s="168">
        <f>SUM(V11:Y11)</f>
        <v>-1730455.1576879704</v>
      </c>
      <c r="AA11" s="87">
        <f>-'Segment Report'!I16/C_RATE</f>
        <v>-1621394.7677421703</v>
      </c>
      <c r="AB11" s="171">
        <f>Z11+AA11</f>
        <v>-3351849.9254301405</v>
      </c>
      <c r="AC11" s="114">
        <f>N12</f>
        <v>-952897.46584799397</v>
      </c>
      <c r="AD11" s="114">
        <f>AB11-AC11</f>
        <v>-2398952.4595821463</v>
      </c>
      <c r="AE11" s="115">
        <f t="shared" si="0"/>
        <v>-2378597136.9999995</v>
      </c>
      <c r="AF11" s="105" t="s">
        <v>1242</v>
      </c>
      <c r="AG11" s="103">
        <f>Z6/AG10/MONTH(C2)</f>
        <v>-33622.538655664575</v>
      </c>
      <c r="AH11" s="103" t="s">
        <v>1435</v>
      </c>
      <c r="AI11" s="239" t="e">
        <f>AB6/AI10/MONTH(C2)</f>
        <v>#DIV/0!</v>
      </c>
      <c r="AN11" s="206" t="s">
        <v>1450</v>
      </c>
      <c r="AO11" s="207">
        <v>6560351823</v>
      </c>
      <c r="AP11" s="206"/>
      <c r="AQ11" s="206"/>
      <c r="AR11" s="206"/>
      <c r="AS11" s="206"/>
      <c r="AX11" s="253" t="s">
        <v>12</v>
      </c>
      <c r="AY11" s="256">
        <f>AY7+AY9+AY10</f>
        <v>-105215.66592758161</v>
      </c>
      <c r="BC11" s="145" t="s">
        <v>28</v>
      </c>
      <c r="BD11" s="87">
        <f t="shared" si="8"/>
        <v>-1057002780</v>
      </c>
      <c r="BE11" s="87">
        <f t="shared" si="8"/>
        <v>-1227783317</v>
      </c>
      <c r="BF11" s="87">
        <f t="shared" si="8"/>
        <v>-56522261</v>
      </c>
      <c r="BG11" s="87">
        <f t="shared" si="8"/>
        <v>-37288779</v>
      </c>
      <c r="BH11" s="168">
        <f>SUM(BD11:BG11)</f>
        <v>-2378597137</v>
      </c>
      <c r="BI11" s="87">
        <f>AA11*C_RATE</f>
        <v>-2228688178</v>
      </c>
      <c r="BJ11" s="171">
        <f>BH11+BI11</f>
        <v>-4607285315</v>
      </c>
    </row>
    <row r="12" spans="2:69" ht="15" x14ac:dyDescent="0.2">
      <c r="B12" s="83" t="s">
        <v>10</v>
      </c>
      <c r="C12" s="105" t="s">
        <v>11</v>
      </c>
      <c r="D12" s="87">
        <f>SUMIFS(
    INDEX(NG!C:AL, MATCH($B12, NG!$B:$B, 0), ),
    NG!$C$3:$AL$3, "&gt;="&amp;DATE(YEAR($C$2),1,1),
    NG!$C$3:$AL$3, "&lt;="&amp;$C$2
)</f>
        <v>-1053570590.2800001</v>
      </c>
      <c r="E12" s="87">
        <f>SUMIFS(
    INDEX(NG!C:AL, MATCH($B12, NG!$B:$B, 0), ),
    NG!$C$3:$AL$3, "&gt;="&amp;DATE(YEAR($C$2)-1,1,1),
    NG!$C$3:$AL$3, "&lt;="&amp;EDATE($C$2,-12)
)</f>
        <v>-699730417.06999993</v>
      </c>
      <c r="F12" s="87">
        <f>D12/$F$3</f>
        <v>-766484.00587828748</v>
      </c>
      <c r="G12" s="87">
        <f>E12/$G$3</f>
        <v>-436812.79547412443</v>
      </c>
      <c r="H12" s="89">
        <f t="shared" si="2"/>
        <v>0.50568070871014115</v>
      </c>
      <c r="K12" s="105" t="s">
        <v>11</v>
      </c>
      <c r="L12" s="87">
        <f>SUMIFS(
    INDEX(Group!C:AL, MATCH($B12, Group!$B:$B, 0), ),
    Group!$C$3:$AL$3, "&gt;="&amp;DATE(YEAR($C$2),1,1),
    Group!$C$3:$AL$3, "&lt;="&amp;$C$2
)</f>
        <v>-1309805211.68136</v>
      </c>
      <c r="M12" s="87">
        <f>SUMIFS(
    INDEX(Group!C:AL, MATCH($B12, Group!$B:$B, 0), ),
    Group!$C$3:$AL$3, "&gt;="&amp;DATE(YEAR($C$2)-1,1,1),
    Group!$C$3:$AL$3, "&lt;="&amp;EDATE($C$2,-12)
)</f>
        <v>-1045414566.1237516</v>
      </c>
      <c r="N12" s="87">
        <f>L12/$F$3</f>
        <v>-952897.46584799397</v>
      </c>
      <c r="O12" s="87">
        <f>M12/$G$3</f>
        <v>-652609.13048489392</v>
      </c>
      <c r="P12" s="89">
        <f t="shared" si="5"/>
        <v>0.25290507146646246</v>
      </c>
      <c r="Q12" s="87">
        <f t="shared" si="6"/>
        <v>-264390645.55760837</v>
      </c>
      <c r="R12" s="136">
        <f>L12+PL_NG!AB38+PL_NG!AB39+PL_NG!AB28+PL_NG!AB34+PL_NG!AB30</f>
        <v>-1377145323.91136</v>
      </c>
      <c r="S12" s="115">
        <f>R12/N3</f>
        <v>-1001888.1262313921</v>
      </c>
      <c r="U12" s="144" t="s">
        <v>12</v>
      </c>
      <c r="V12" s="90">
        <f>V8+V10+V11</f>
        <v>-221959.52375499532</v>
      </c>
      <c r="W12" s="90">
        <f t="shared" ref="W12:AB12" si="9">W8+W10+W11</f>
        <v>-1012795.9972853486</v>
      </c>
      <c r="X12" s="90">
        <f t="shared" si="9"/>
        <v>-91857.012615869564</v>
      </c>
      <c r="Y12" s="90">
        <f t="shared" si="9"/>
        <v>-60820.751432288787</v>
      </c>
      <c r="Z12" s="167">
        <f t="shared" si="9"/>
        <v>-1387433.2850885021</v>
      </c>
      <c r="AA12" s="90">
        <f t="shared" si="9"/>
        <v>-1450993.4167803274</v>
      </c>
      <c r="AB12" s="170">
        <f t="shared" si="9"/>
        <v>-2838426.7018688293</v>
      </c>
      <c r="AF12" s="105"/>
      <c r="AG12" s="103"/>
      <c r="AH12" s="103"/>
      <c r="AI12" s="172"/>
      <c r="AN12" s="206" t="s">
        <v>1451</v>
      </c>
      <c r="AO12" s="207">
        <v>833331500</v>
      </c>
      <c r="AP12" s="206"/>
      <c r="AQ12" s="206"/>
      <c r="AR12" s="206"/>
      <c r="AS12" s="206"/>
      <c r="AX12" s="253" t="s">
        <v>24</v>
      </c>
      <c r="AY12" s="257">
        <f>AY11/AY5</f>
        <v>-9.7791234442762082E-2</v>
      </c>
      <c r="BC12" s="144" t="s">
        <v>12</v>
      </c>
      <c r="BD12" s="90">
        <f t="shared" ref="BD12:BJ12" si="10">BD8+BD10+BD11</f>
        <v>-305094463.37742853</v>
      </c>
      <c r="BE12" s="90">
        <f t="shared" si="10"/>
        <v>-1392138738.0685759</v>
      </c>
      <c r="BF12" s="90">
        <f t="shared" si="10"/>
        <v>-126262056.6911435</v>
      </c>
      <c r="BG12" s="90">
        <f t="shared" si="10"/>
        <v>-83601163.881252557</v>
      </c>
      <c r="BH12" s="167">
        <f t="shared" si="10"/>
        <v>-1907096422.0184007</v>
      </c>
      <c r="BI12" s="90">
        <f t="shared" si="10"/>
        <v>-1994463001.0353987</v>
      </c>
      <c r="BJ12" s="170">
        <f t="shared" si="10"/>
        <v>-3901559423.0537996</v>
      </c>
    </row>
    <row r="13" spans="2:69" ht="14" x14ac:dyDescent="0.2">
      <c r="C13" s="106" t="s">
        <v>12</v>
      </c>
      <c r="D13" s="90">
        <f>D10+D11+D12</f>
        <v>877287406.3100003</v>
      </c>
      <c r="E13" s="90">
        <f>E10+E11+E12</f>
        <v>65347768.339999914</v>
      </c>
      <c r="F13" s="90">
        <f>F10+F11+F12</f>
        <v>638236.0818522427</v>
      </c>
      <c r="G13" s="90">
        <f>G10+G11+G12</f>
        <v>40793.912441475783</v>
      </c>
      <c r="H13" s="88">
        <f t="shared" si="2"/>
        <v>12.424902312586019</v>
      </c>
      <c r="K13" s="106" t="s">
        <v>12</v>
      </c>
      <c r="L13" s="90">
        <f>L10+L11+L12</f>
        <v>617344295.15023994</v>
      </c>
      <c r="M13" s="90">
        <f>M10+M11+M12</f>
        <v>-243948996.94004881</v>
      </c>
      <c r="N13" s="90">
        <f>N10+N11+N12</f>
        <v>449124.65545104933</v>
      </c>
      <c r="O13" s="90">
        <f>O10+O11+O12</f>
        <v>-152287.28194022656</v>
      </c>
      <c r="P13" s="89">
        <f t="shared" si="5"/>
        <v>-3.5306285448755261</v>
      </c>
      <c r="Q13" s="90">
        <f t="shared" si="6"/>
        <v>861293292.09028876</v>
      </c>
      <c r="R13" s="398"/>
      <c r="U13" s="144" t="s">
        <v>24</v>
      </c>
      <c r="V13" s="150">
        <f>V12/V6</f>
        <v>-0.2755502927462205</v>
      </c>
      <c r="W13" s="150">
        <f t="shared" ref="W13:AB13" si="11">W12/W6</f>
        <v>-3.8198907044205024</v>
      </c>
      <c r="X13" s="150">
        <f t="shared" si="11"/>
        <v>-19.70726390499901</v>
      </c>
      <c r="Y13" s="150">
        <f t="shared" si="11"/>
        <v>-99.856946024432062</v>
      </c>
      <c r="Z13" s="169">
        <f t="shared" si="11"/>
        <v>-1.2895305319757897</v>
      </c>
      <c r="AA13" s="150">
        <f t="shared" si="11"/>
        <v>-9831.83645756441</v>
      </c>
      <c r="AB13" s="172">
        <f t="shared" si="11"/>
        <v>-2.637774326443576</v>
      </c>
      <c r="AF13" s="107" t="s">
        <v>26</v>
      </c>
      <c r="AG13" s="91"/>
      <c r="AH13" s="91"/>
      <c r="AI13" s="172"/>
      <c r="AN13" s="206"/>
      <c r="AO13" s="207">
        <v>5727020323</v>
      </c>
      <c r="AP13" s="206"/>
      <c r="AQ13" s="206"/>
      <c r="AR13" s="206"/>
      <c r="AS13" s="206"/>
      <c r="AX13" s="254" t="s">
        <v>1460</v>
      </c>
      <c r="AY13" s="255">
        <f>'Segment Report'!Y17+'Segment Report'!Y18+'Segment Report'!Y19+'Segment Report'!Y20</f>
        <v>-35392.781456622215</v>
      </c>
      <c r="BC13" s="144" t="s">
        <v>24</v>
      </c>
      <c r="BD13" s="150">
        <f t="shared" ref="BD13:BJ13" si="12">BD12/BD6</f>
        <v>-0.27555029274622028</v>
      </c>
      <c r="BE13" s="150">
        <f t="shared" si="12"/>
        <v>-3.8198907044205024</v>
      </c>
      <c r="BF13" s="150">
        <f t="shared" si="12"/>
        <v>-19.70726390499901</v>
      </c>
      <c r="BG13" s="150">
        <f t="shared" si="12"/>
        <v>-99.856946024432062</v>
      </c>
      <c r="BH13" s="169">
        <f t="shared" si="12"/>
        <v>-1.2895305319757895</v>
      </c>
      <c r="BI13" s="150">
        <f t="shared" si="12"/>
        <v>-9831.8364575644082</v>
      </c>
      <c r="BJ13" s="172">
        <f t="shared" si="12"/>
        <v>-2.637774326443576</v>
      </c>
    </row>
    <row r="14" spans="2:69" ht="14" x14ac:dyDescent="0.2">
      <c r="B14" s="83" t="s">
        <v>13</v>
      </c>
      <c r="C14" s="105" t="s">
        <v>14</v>
      </c>
      <c r="D14" s="87">
        <f>SUMIFS(
    INDEX(NG!C:AL, MATCH($B14, NG!$B:$B, 0), ),
    NG!$C$3:$AL$3, "&gt;="&amp;DATE(YEAR($C$2),1,1),
    NG!$C$3:$AL$3, "&lt;="&amp;$C$2
)</f>
        <v>-48860521.390000001</v>
      </c>
      <c r="E14" s="87">
        <f>SUMIFS(
    INDEX(NG!C:AL, MATCH($B14, NG!$B:$B, 0), ),
    NG!$C$3:$AL$3, "&gt;="&amp;DATE(YEAR($C$2)-1,1,1),
    NG!$C$3:$AL$3, "&lt;="&amp;EDATE($C$2,-12)
)</f>
        <v>-19017580.039999999</v>
      </c>
      <c r="F14" s="87">
        <f>D14/$F$3</f>
        <v>-35546.558066276237</v>
      </c>
      <c r="G14" s="87">
        <f>E14/$G$3</f>
        <v>-11871.88965603346</v>
      </c>
      <c r="H14" s="89">
        <f t="shared" si="2"/>
        <v>1.569229170442866</v>
      </c>
      <c r="K14" s="105" t="s">
        <v>14</v>
      </c>
      <c r="L14" s="87">
        <f>SUMIFS(
    INDEX(Group!C:AL, MATCH($B14, Group!$B:$B, 0), ),
    Group!$C$3:$AL$3, "&gt;="&amp;DATE(YEAR($C$2),1,1),
    Group!$C$3:$AL$3, "&lt;="&amp;$C$2
)</f>
        <v>-49839068.611200005</v>
      </c>
      <c r="M14" s="87">
        <f>SUMIFS(
    INDEX(Group!C:AL, MATCH($B14, Group!$B:$B, 0), ),
    Group!$C$3:$AL$3, "&gt;="&amp;DATE(YEAR($C$2)-1,1,1),
    Group!$C$3:$AL$3, "&lt;="&amp;EDATE($C$2,-12)
)</f>
        <v>-20067918.697999958</v>
      </c>
      <c r="N14" s="87">
        <f>L14/$F$3</f>
        <v>-36258.461759266676</v>
      </c>
      <c r="O14" s="87">
        <f>M14/$G$3</f>
        <v>-12527.572693676233</v>
      </c>
      <c r="P14" s="89">
        <f t="shared" si="5"/>
        <v>1.4835195598120072</v>
      </c>
      <c r="Q14" s="87">
        <f t="shared" si="6"/>
        <v>-29771149.913200047</v>
      </c>
      <c r="R14" s="398"/>
      <c r="U14" s="145" t="s">
        <v>1702</v>
      </c>
      <c r="V14" s="87">
        <f>-'Segment Report'!E21/C_RATE</f>
        <v>-21474.354516023428</v>
      </c>
      <c r="W14" s="87">
        <f>-'Segment Report'!F21/C_RATE</f>
        <v>-22845.713142482997</v>
      </c>
      <c r="X14" s="87">
        <f>-'Segment Report'!G21/C_RATE</f>
        <v>-5541.433923829617</v>
      </c>
      <c r="Y14" s="87">
        <f>-'Segment Report'!H21/C_RATE</f>
        <v>-668.91491760939948</v>
      </c>
      <c r="Z14" s="168">
        <f>SUM(V14:Y14)</f>
        <v>-50530.416499945437</v>
      </c>
      <c r="AA14" s="87">
        <f>-'Segment Report'!I21/C_RATE</f>
        <v>-204746.24713542615</v>
      </c>
      <c r="AB14" s="171">
        <f>Z14+AA14</f>
        <v>-255276.6636353716</v>
      </c>
      <c r="AC14" s="114">
        <f>N14+N16+N18</f>
        <v>-36258.461759266676</v>
      </c>
      <c r="AD14" s="114">
        <f>AB14-AC14</f>
        <v>-219018.20187610493</v>
      </c>
      <c r="AF14" s="106" t="s">
        <v>27</v>
      </c>
      <c r="AG14" s="91"/>
      <c r="AH14" s="91"/>
      <c r="AI14" s="172"/>
      <c r="AN14" s="206"/>
      <c r="AO14" s="248">
        <v>3694851.82</v>
      </c>
      <c r="AP14" s="206"/>
      <c r="AQ14" s="206"/>
      <c r="AR14" s="206"/>
      <c r="AS14" s="206"/>
      <c r="AX14" s="253" t="s">
        <v>1461</v>
      </c>
      <c r="AY14" s="256">
        <f>AY11+AY13</f>
        <v>-140608.44738420381</v>
      </c>
      <c r="BC14" s="145" t="s">
        <v>1674</v>
      </c>
      <c r="BD14" s="87">
        <f>V14*C_RATE</f>
        <v>-29517574.000000004</v>
      </c>
      <c r="BE14" s="87">
        <f>W14*C_RATE</f>
        <v>-31402575.000000004</v>
      </c>
      <c r="BF14" s="87">
        <f>X14*C_RATE</f>
        <v>-7616978</v>
      </c>
      <c r="BG14" s="87">
        <f>Y14*C_RATE</f>
        <v>-919457</v>
      </c>
      <c r="BH14" s="168">
        <f>SUM(BD14:BG14)</f>
        <v>-69456584</v>
      </c>
      <c r="BI14" s="87">
        <f>AA14*C_RATE</f>
        <v>-281433954</v>
      </c>
      <c r="BJ14" s="171">
        <f>BH14+BI14</f>
        <v>-350890538</v>
      </c>
      <c r="BK14" s="114">
        <f>L14+L16+L18</f>
        <v>-49839068.611200005</v>
      </c>
    </row>
    <row r="15" spans="2:69" x14ac:dyDescent="0.2">
      <c r="C15" s="106" t="s">
        <v>15</v>
      </c>
      <c r="D15" s="90">
        <f>D13+D14</f>
        <v>828426884.92000031</v>
      </c>
      <c r="E15" s="90">
        <f>E13+E14</f>
        <v>46330188.299999915</v>
      </c>
      <c r="F15" s="90">
        <f>F13+F14</f>
        <v>602689.52378596645</v>
      </c>
      <c r="G15" s="90">
        <f>G13+G14</f>
        <v>28922.022785442321</v>
      </c>
      <c r="H15" s="88">
        <f t="shared" si="2"/>
        <v>16.880930669992591</v>
      </c>
      <c r="K15" s="106" t="s">
        <v>15</v>
      </c>
      <c r="L15" s="90">
        <f>L13+L14</f>
        <v>567505226.53903997</v>
      </c>
      <c r="M15" s="90">
        <f>M13+M14</f>
        <v>-264016915.63804877</v>
      </c>
      <c r="N15" s="90">
        <f>N13+N14</f>
        <v>412866.19369178265</v>
      </c>
      <c r="O15" s="90">
        <f>O13+O14</f>
        <v>-164814.85463390278</v>
      </c>
      <c r="P15" s="89">
        <f t="shared" si="5"/>
        <v>-3.1495032815134292</v>
      </c>
      <c r="Q15" s="90">
        <f t="shared" si="6"/>
        <v>831522142.17708874</v>
      </c>
      <c r="R15" s="398"/>
      <c r="U15" s="144" t="s">
        <v>1315</v>
      </c>
      <c r="V15" s="90">
        <f t="shared" ref="V15:AB15" si="13">V12+V14</f>
        <v>-243433.87827101874</v>
      </c>
      <c r="W15" s="90">
        <f t="shared" si="13"/>
        <v>-1035641.7104278316</v>
      </c>
      <c r="X15" s="90">
        <f t="shared" si="13"/>
        <v>-97398.446539699187</v>
      </c>
      <c r="Y15" s="90">
        <f t="shared" si="13"/>
        <v>-61489.666349898187</v>
      </c>
      <c r="Z15" s="167">
        <f t="shared" si="13"/>
        <v>-1437963.7015884474</v>
      </c>
      <c r="AA15" s="90">
        <f t="shared" si="13"/>
        <v>-1655739.6639157536</v>
      </c>
      <c r="AB15" s="167">
        <f t="shared" si="13"/>
        <v>-3093703.365504201</v>
      </c>
      <c r="AC15" s="114"/>
      <c r="AD15" s="114"/>
      <c r="AE15" s="115">
        <f>Z15*C_RATE</f>
        <v>-1976553006.0184004</v>
      </c>
      <c r="AF15" s="105" t="s">
        <v>6</v>
      </c>
      <c r="AG15" s="93">
        <f>-Z9</f>
        <v>-0.44375507333215491</v>
      </c>
      <c r="AH15" s="93">
        <f>AA9</f>
        <v>-113.2978801371676</v>
      </c>
      <c r="AI15" s="172">
        <f>AB9</f>
        <v>0.42815558990733316</v>
      </c>
      <c r="AX15" s="253" t="s">
        <v>1462</v>
      </c>
      <c r="AY15" s="257">
        <f>AY14/AY5</f>
        <v>-0.13068656194454506</v>
      </c>
      <c r="BC15" s="144" t="s">
        <v>1315</v>
      </c>
      <c r="BD15" s="90">
        <f t="shared" ref="BD15:BJ15" si="14">BD12+BD14</f>
        <v>-334612037.37742853</v>
      </c>
      <c r="BE15" s="90">
        <f t="shared" si="14"/>
        <v>-1423541313.0685759</v>
      </c>
      <c r="BF15" s="90">
        <f t="shared" si="14"/>
        <v>-133879034.6911435</v>
      </c>
      <c r="BG15" s="90">
        <f t="shared" si="14"/>
        <v>-84520620.881252557</v>
      </c>
      <c r="BH15" s="167">
        <f t="shared" si="14"/>
        <v>-1976553006.0184007</v>
      </c>
      <c r="BI15" s="90">
        <f t="shared" si="14"/>
        <v>-2275896955.0353985</v>
      </c>
      <c r="BJ15" s="167">
        <f t="shared" si="14"/>
        <v>-4252449961.0537996</v>
      </c>
    </row>
    <row r="16" spans="2:69" x14ac:dyDescent="0.2">
      <c r="B16" s="83" t="s">
        <v>16</v>
      </c>
      <c r="C16" s="105" t="s">
        <v>17</v>
      </c>
      <c r="D16" s="87">
        <f>SUMIFS(
    INDEX(NG!C:AL, MATCH($B16, NG!$B:$B, 0), ),
    NG!$C$3:$AL$3, "&gt;="&amp;DATE(YEAR($C$2),1,1),
    NG!$C$3:$AL$3, "&lt;="&amp;$C$2
)</f>
        <v>0</v>
      </c>
      <c r="E16" s="87">
        <f>SUMIFS(
    INDEX(NG!C:AL, MATCH($B16, NG!$B:$B, 0), ),
    NG!$C$3:$AL$3, "&gt;="&amp;DATE(YEAR($C$2)-1,1,1),
    NG!$C$3:$AL$3, "&lt;="&amp;EDATE($C$2,-12)
)</f>
        <v>0</v>
      </c>
      <c r="F16" s="87">
        <f>D16/$F$3</f>
        <v>0</v>
      </c>
      <c r="G16" s="87">
        <f>E16/$G$3</f>
        <v>0</v>
      </c>
      <c r="H16" s="89">
        <f t="shared" si="2"/>
        <v>0</v>
      </c>
      <c r="K16" s="105" t="s">
        <v>17</v>
      </c>
      <c r="L16" s="87">
        <f>SUMIFS(
    INDEX(Group!C:AL, MATCH($B16, Group!$B:$B, 0), ),
    Group!$C$3:$AL$3, "&gt;="&amp;DATE(YEAR($C$2),1,1),
    Group!$C$3:$AL$3, "&lt;="&amp;$C$2
)</f>
        <v>0</v>
      </c>
      <c r="M16" s="87">
        <f>SUMIFS(
    INDEX(Group!C:AL, MATCH($B16, Group!$B:$B, 0), ),
    Group!$C$3:$AL$3, "&gt;="&amp;DATE(YEAR($C$2)-1,1,1),
    Group!$C$3:$AL$3, "&lt;="&amp;EDATE($C$2,-12)
)</f>
        <v>0</v>
      </c>
      <c r="N16" s="87">
        <f>L16/$F$3</f>
        <v>0</v>
      </c>
      <c r="O16" s="87">
        <f>M16/$G$3</f>
        <v>0</v>
      </c>
      <c r="P16" s="89">
        <f t="shared" si="5"/>
        <v>0</v>
      </c>
      <c r="Q16" s="87">
        <f t="shared" si="6"/>
        <v>0</v>
      </c>
      <c r="R16" s="398"/>
      <c r="U16" s="144" t="s">
        <v>1316</v>
      </c>
      <c r="V16" s="150">
        <f>IFERROR(V15/V6,"")</f>
        <v>-0.30220949877316261</v>
      </c>
      <c r="W16" s="150">
        <f>IFERROR(W15/W6,"")</f>
        <v>-3.9060562575059588</v>
      </c>
      <c r="X16" s="150">
        <f>IFERROR(X15/X6,"")</f>
        <v>-20.896138849209393</v>
      </c>
      <c r="Y16" s="150">
        <f>IFERROR(Y15/Y6,"")</f>
        <v>-100.95518633303828</v>
      </c>
      <c r="Z16" s="169">
        <f>IFERROR(Z15/Z6,"")</f>
        <v>-1.3364953234150956</v>
      </c>
      <c r="AA16" s="150">
        <f>IFERROR(AA15/AA6,"n/a")</f>
        <v>-11219.183632165919</v>
      </c>
      <c r="AB16" s="172">
        <f>IFERROR(AB15/AB6,"")</f>
        <v>-2.875005123713843</v>
      </c>
      <c r="AC16" s="196"/>
      <c r="AD16" s="196"/>
      <c r="AE16" s="115">
        <f>Z16*C_RATE</f>
        <v>-1837.0796468002195</v>
      </c>
      <c r="AF16" s="105" t="s">
        <v>28</v>
      </c>
      <c r="AG16" s="93">
        <f>'Segment Report'!Y21/Summary!Z6</f>
        <v>-0.44950346118327705</v>
      </c>
      <c r="AH16" s="93" t="s">
        <v>1435</v>
      </c>
      <c r="AI16" s="172">
        <f>'Segment Report'!W21/Summary!AB6</f>
        <v>-0.91923110396827423</v>
      </c>
      <c r="BC16" s="144" t="s">
        <v>1316</v>
      </c>
      <c r="BD16" s="150">
        <f>IFERROR(BD15/BD6,"")</f>
        <v>-0.30220949877316239</v>
      </c>
      <c r="BE16" s="150">
        <f>IFERROR(BE15/BE6,"")</f>
        <v>-3.9060562575059583</v>
      </c>
      <c r="BF16" s="150">
        <f>IFERROR(BF15/BF6,"")</f>
        <v>-20.896138849209393</v>
      </c>
      <c r="BG16" s="150">
        <f>IFERROR(BG15/BG6,"")</f>
        <v>-100.95518633303828</v>
      </c>
      <c r="BH16" s="169">
        <f>IFERROR(BH15/BH6,"")</f>
        <v>-1.3364953234150956</v>
      </c>
      <c r="BI16" s="150">
        <f>IFERROR(BI15/BI6,"n/a")</f>
        <v>-11219.183632165916</v>
      </c>
      <c r="BJ16" s="172">
        <f>IFERROR(BJ15/BJ6,"")</f>
        <v>-2.8750051237138425</v>
      </c>
    </row>
    <row r="17" spans="2:62" x14ac:dyDescent="0.2">
      <c r="C17" s="106" t="s">
        <v>18</v>
      </c>
      <c r="D17" s="90">
        <f>D15+D16</f>
        <v>828426884.92000031</v>
      </c>
      <c r="E17" s="90">
        <f>E15+E16</f>
        <v>46330188.299999915</v>
      </c>
      <c r="F17" s="90">
        <f>F15+F16</f>
        <v>602689.52378596645</v>
      </c>
      <c r="G17" s="90">
        <f>G15+G16</f>
        <v>28922.022785442321</v>
      </c>
      <c r="H17" s="88">
        <f t="shared" si="2"/>
        <v>16.880930669992591</v>
      </c>
      <c r="K17" s="106" t="s">
        <v>18</v>
      </c>
      <c r="L17" s="90">
        <f>L15+L16</f>
        <v>567505226.53903997</v>
      </c>
      <c r="M17" s="90">
        <f>M15+M16</f>
        <v>-264016915.63804877</v>
      </c>
      <c r="N17" s="90">
        <f>N15+N16</f>
        <v>412866.19369178265</v>
      </c>
      <c r="O17" s="90">
        <f>O15+O16</f>
        <v>-164814.85463390278</v>
      </c>
      <c r="P17" s="89">
        <f t="shared" si="5"/>
        <v>-3.1495032815134292</v>
      </c>
      <c r="Q17" s="90">
        <f t="shared" si="6"/>
        <v>831522142.17708874</v>
      </c>
      <c r="R17" s="398"/>
      <c r="U17" s="156" t="s">
        <v>1317</v>
      </c>
      <c r="V17" s="335">
        <f>100%-V16</f>
        <v>1.3022094987731627</v>
      </c>
      <c r="W17" s="335">
        <f t="shared" ref="W17:AB17" si="15">100%-W16</f>
        <v>4.9060562575059592</v>
      </c>
      <c r="X17" s="335">
        <f t="shared" si="15"/>
        <v>21.896138849209393</v>
      </c>
      <c r="Y17" s="335">
        <f t="shared" si="15"/>
        <v>101.95518633303828</v>
      </c>
      <c r="Z17" s="336">
        <f t="shared" si="15"/>
        <v>2.3364953234150958</v>
      </c>
      <c r="AA17" s="335">
        <f t="shared" si="15"/>
        <v>11220.183632165919</v>
      </c>
      <c r="AB17" s="227">
        <f t="shared" si="15"/>
        <v>3.875005123713843</v>
      </c>
      <c r="AC17" s="196"/>
      <c r="AD17" s="196"/>
      <c r="AE17" s="115">
        <f>Z17*C_RATE</f>
        <v>3211.6296468002197</v>
      </c>
      <c r="AF17" s="108" t="s">
        <v>29</v>
      </c>
      <c r="AG17" s="96">
        <f>Z17</f>
        <v>2.3364953234150958</v>
      </c>
      <c r="AH17" s="96" t="s">
        <v>1435</v>
      </c>
      <c r="AI17" s="172">
        <f>AB17</f>
        <v>3.875005123713843</v>
      </c>
      <c r="BC17" s="156" t="s">
        <v>1317</v>
      </c>
      <c r="BD17" s="335">
        <f t="shared" ref="BD17:BJ17" si="16">100%-BD16</f>
        <v>1.3022094987731623</v>
      </c>
      <c r="BE17" s="335">
        <f t="shared" si="16"/>
        <v>4.9060562575059583</v>
      </c>
      <c r="BF17" s="335">
        <f t="shared" si="16"/>
        <v>21.896138849209393</v>
      </c>
      <c r="BG17" s="335">
        <f t="shared" si="16"/>
        <v>101.95518633303828</v>
      </c>
      <c r="BH17" s="336">
        <f t="shared" si="16"/>
        <v>2.3364953234150958</v>
      </c>
      <c r="BI17" s="335">
        <f t="shared" si="16"/>
        <v>11220.183632165916</v>
      </c>
      <c r="BJ17" s="227">
        <f t="shared" si="16"/>
        <v>3.8750051237138425</v>
      </c>
    </row>
    <row r="18" spans="2:62" x14ac:dyDescent="0.2">
      <c r="B18" s="83" t="s">
        <v>19</v>
      </c>
      <c r="C18" s="105" t="s">
        <v>20</v>
      </c>
      <c r="D18" s="87">
        <f>SUMIFS(
    INDEX(NG!C:AL, MATCH($B18, NG!$B:$B, 0), ),
    NG!$C$3:$AL$3, "&gt;="&amp;DATE(YEAR($C$2),1,1),
    NG!$C$3:$AL$3, "&lt;="&amp;$C$2
)</f>
        <v>0</v>
      </c>
      <c r="E18" s="87">
        <f>SUMIFS(
    INDEX(NG!C:AL, MATCH($B18, NG!$B:$B, 0), ),
    NG!$C$3:$AL$3, "&gt;="&amp;DATE(YEAR($C$2)-1,1,1),
    NG!$C$3:$AL$3, "&lt;="&amp;EDATE($C$2,-12)
)</f>
        <v>0</v>
      </c>
      <c r="F18" s="87">
        <f>D18/$F$3</f>
        <v>0</v>
      </c>
      <c r="G18" s="87">
        <f>E18/$G$3</f>
        <v>0</v>
      </c>
      <c r="H18" s="88">
        <f t="shared" si="2"/>
        <v>0</v>
      </c>
      <c r="K18" s="105" t="s">
        <v>20</v>
      </c>
      <c r="L18" s="87">
        <f>SUMIFS(
    INDEX(Group!C:AL, MATCH($B18, Group!$B:$B, 0), ),
    Group!$C$3:$AL$3, "&gt;="&amp;DATE(YEAR($C$2),1,1),
    Group!$C$3:$AL$3, "&lt;="&amp;$C$2
)</f>
        <v>0</v>
      </c>
      <c r="M18" s="87">
        <f>SUMIFS(
    INDEX(Group!C:AL, MATCH($B18, Group!$B:$B, 0), ),
    Group!$C$3:$AL$3, "&gt;="&amp;DATE(YEAR($C$2)-1,1,1),
    Group!$C$3:$AL$3, "&lt;="&amp;EDATE($C$2,-12)
)</f>
        <v>0</v>
      </c>
      <c r="N18" s="87">
        <f>L18/$F$3</f>
        <v>0</v>
      </c>
      <c r="O18" s="87">
        <f>M18/$G$3</f>
        <v>0</v>
      </c>
      <c r="P18" s="88">
        <f t="shared" si="5"/>
        <v>0</v>
      </c>
      <c r="Q18" s="87">
        <f t="shared" si="6"/>
        <v>0</v>
      </c>
      <c r="R18" s="130"/>
      <c r="U18" s="147" t="s">
        <v>1673</v>
      </c>
      <c r="Z18" s="114">
        <f>(Z11+Z14)*C_RATE</f>
        <v>-2448053720.9999995</v>
      </c>
      <c r="AA18" s="114">
        <f>(AA11+AA14)*C_RATE</f>
        <v>-2510122132</v>
      </c>
      <c r="BC18" s="147" t="s">
        <v>1673</v>
      </c>
      <c r="BH18" s="114">
        <f>(BH11+BH14)</f>
        <v>-2448053721</v>
      </c>
      <c r="BI18" s="114">
        <f>(BI11+BI14)</f>
        <v>-2510122132</v>
      </c>
    </row>
    <row r="19" spans="2:62" x14ac:dyDescent="0.2">
      <c r="C19" s="123" t="s">
        <v>21</v>
      </c>
      <c r="D19" s="124">
        <f>D17+D18</f>
        <v>828426884.92000031</v>
      </c>
      <c r="E19" s="124">
        <f>E17+E18</f>
        <v>46330188.299999915</v>
      </c>
      <c r="F19" s="124">
        <f>F17+F18</f>
        <v>602689.52378596645</v>
      </c>
      <c r="G19" s="124">
        <f>G17+G18</f>
        <v>28922.022785442321</v>
      </c>
      <c r="H19" s="125">
        <f t="shared" si="2"/>
        <v>16.880930669992591</v>
      </c>
      <c r="I19" s="115"/>
      <c r="K19" s="123" t="s">
        <v>21</v>
      </c>
      <c r="L19" s="124">
        <f>L17+L18</f>
        <v>567505226.53903997</v>
      </c>
      <c r="M19" s="124">
        <f>M17+M18</f>
        <v>-264016915.63804877</v>
      </c>
      <c r="N19" s="124">
        <f>N17+N18</f>
        <v>412866.19369178265</v>
      </c>
      <c r="O19" s="124">
        <f>O17+O18</f>
        <v>-164814.85463390278</v>
      </c>
      <c r="P19" s="361">
        <f t="shared" si="5"/>
        <v>-3.1495032815134292</v>
      </c>
      <c r="Q19" s="124">
        <f t="shared" si="6"/>
        <v>831522142.17708874</v>
      </c>
      <c r="R19" s="399"/>
      <c r="U19" s="147"/>
    </row>
    <row r="20" spans="2:62" x14ac:dyDescent="0.2">
      <c r="C20" s="113"/>
      <c r="D20" s="114">
        <f>D12+D16+D14+D18</f>
        <v>-1102431111.6700001</v>
      </c>
      <c r="E20" s="129"/>
      <c r="F20" s="129"/>
      <c r="G20" s="129"/>
      <c r="H20" s="130"/>
      <c r="I20" s="115"/>
      <c r="K20" s="113"/>
      <c r="L20" s="114">
        <f>L12+L16+L14+L18</f>
        <v>-1359644280.2925601</v>
      </c>
      <c r="N20" s="129"/>
      <c r="O20" s="129"/>
      <c r="P20" s="130"/>
      <c r="Q20" s="129"/>
      <c r="R20" s="130"/>
      <c r="U20" s="129">
        <f>L12+L14+L16+L18</f>
        <v>-1359644280.2925601</v>
      </c>
      <c r="V20" s="129"/>
      <c r="W20" s="147"/>
      <c r="X20" s="147"/>
      <c r="Y20" s="147"/>
      <c r="Z20" s="147"/>
      <c r="AA20" s="147"/>
      <c r="AB20" s="147"/>
    </row>
    <row r="21" spans="2:62" hidden="1" outlineLevel="1" x14ac:dyDescent="0.2">
      <c r="C21" s="113"/>
      <c r="D21" s="129"/>
      <c r="E21" s="129"/>
      <c r="F21" s="129"/>
      <c r="G21" s="129"/>
      <c r="H21" s="130"/>
      <c r="I21" s="115"/>
      <c r="K21" s="113"/>
      <c r="N21" s="129"/>
      <c r="O21" s="129"/>
      <c r="P21" s="130"/>
      <c r="Q21" s="129"/>
      <c r="R21" s="130"/>
      <c r="U21" s="339">
        <f>L13/L8</f>
        <v>0.26042901128493745</v>
      </c>
      <c r="V21" s="129">
        <f>M16+M18</f>
        <v>0</v>
      </c>
      <c r="W21" s="147"/>
      <c r="X21" s="147"/>
      <c r="Y21" s="147"/>
      <c r="Z21" s="147"/>
      <c r="AA21" s="147"/>
      <c r="AB21" s="147"/>
      <c r="AD21" s="115">
        <f>AD11*C_RATE</f>
        <v>-3297480103.3186388</v>
      </c>
      <c r="AE21" s="115">
        <f>Z21*C_RATE</f>
        <v>0</v>
      </c>
      <c r="AF21" s="126" t="s">
        <v>22</v>
      </c>
      <c r="AG21" s="218" t="s">
        <v>1330</v>
      </c>
      <c r="AH21" s="218" t="s">
        <v>1383</v>
      </c>
      <c r="AI21" s="172" t="s">
        <v>1297</v>
      </c>
    </row>
    <row r="22" spans="2:62" hidden="1" outlineLevel="1" collapsed="1" x14ac:dyDescent="0.2">
      <c r="C22" s="126" t="s">
        <v>1304</v>
      </c>
      <c r="D22" s="230" t="str">
        <f>D7</f>
        <v>NGN</v>
      </c>
      <c r="E22" s="218" t="str">
        <f>E7</f>
        <v>NGN</v>
      </c>
      <c r="F22" s="218" t="str">
        <f>F7</f>
        <v>USD</v>
      </c>
      <c r="G22" s="218" t="str">
        <f>G7</f>
        <v>USD</v>
      </c>
      <c r="H22" s="128"/>
      <c r="K22" s="126" t="s">
        <v>1304</v>
      </c>
      <c r="L22" s="230" t="str">
        <f>D22</f>
        <v>NGN</v>
      </c>
      <c r="M22" s="230" t="str">
        <f>E22</f>
        <v>NGN</v>
      </c>
      <c r="N22" s="230" t="str">
        <f>F22</f>
        <v>USD</v>
      </c>
      <c r="O22" s="230" t="str">
        <f>G22</f>
        <v>USD</v>
      </c>
      <c r="P22" s="128"/>
      <c r="Q22" s="230"/>
      <c r="U22" s="147"/>
      <c r="V22" s="147"/>
      <c r="W22" s="147"/>
      <c r="X22" s="147"/>
      <c r="Y22" s="147"/>
      <c r="Z22" s="147"/>
      <c r="AA22" s="147"/>
      <c r="AB22" s="147"/>
      <c r="AF22" s="237" t="s">
        <v>1444</v>
      </c>
      <c r="AG22" s="228">
        <f>(W30+W29)/W34</f>
        <v>0.97912995877465703</v>
      </c>
      <c r="AH22" s="229" t="s">
        <v>1435</v>
      </c>
      <c r="AI22" s="226">
        <f>(AA30+AA29)/AA34</f>
        <v>2.1085440509214202</v>
      </c>
    </row>
    <row r="23" spans="2:62" hidden="1" outlineLevel="1" x14ac:dyDescent="0.2">
      <c r="B23" s="120" t="s">
        <v>1648</v>
      </c>
      <c r="C23" s="105" t="s">
        <v>1308</v>
      </c>
      <c r="D23" s="87">
        <f>SUMIFS(
    INDEX(NG!C:AL, MATCH($B23, NG!$B:$B, 0), ),
    NG!$C$3:$AL$3, "&gt;="&amp;DATE(YEAR($C$2),1,1),
    NG!$C$3:$AL$3, "&lt;="&amp;$C$2
)</f>
        <v>0</v>
      </c>
      <c r="E23" s="87">
        <f>SUMIFS(
    INDEX(NG!C:AL, MATCH($B23, NG!$B:$B, 0), ),
    NG!$C$3:$AL$3, "&gt;="&amp;DATE(YEAR($C$2)-1,1,1),
    NG!$C$3:$AL$3, "&lt;="&amp;EDATE($C$2,-12)
)</f>
        <v>29039114</v>
      </c>
      <c r="F23" s="87">
        <f>D23/$F$3</f>
        <v>0</v>
      </c>
      <c r="G23" s="87">
        <f>E23/$G$3</f>
        <v>18127.919345776889</v>
      </c>
      <c r="H23" s="88">
        <f t="shared" ref="H23:H28" si="17">IFERROR(D23/E23-1,0)</f>
        <v>-1</v>
      </c>
      <c r="I23" s="196">
        <f>D23/$D$28</f>
        <v>0</v>
      </c>
      <c r="K23" s="105" t="s">
        <v>1308</v>
      </c>
      <c r="L23" s="87">
        <f>SUMIFS(
    INDEX(Group!C:AL, MATCH($B23, Group!$B:$B, 0), ),
    Group!$C$3:$AL$3, "&gt;="&amp;DATE(YEAR($C$2),1,1),
    Group!$C$3:$AL$3, "&lt;="&amp;$C$2
)</f>
        <v>6406879.0725999996</v>
      </c>
      <c r="M23" s="87">
        <f>SUMIFS(
    INDEX(Group!C:AL, MATCH($B23, Group!$B:$B, 0), ),
    Group!$C$3:$AL$3, "&gt;="&amp;DATE(YEAR($C$2)-1,1,1),
    Group!$C$3:$AL$3, "&lt;="&amp;EDATE($C$2,-12)
)</f>
        <v>34044053.796799824</v>
      </c>
      <c r="N23" s="87">
        <f t="shared" ref="N23:N28" si="18">L23/$F$3</f>
        <v>4661.0738587901496</v>
      </c>
      <c r="O23" s="87">
        <f t="shared" ref="O23:O28" si="19">M23/$G$3</f>
        <v>21252.29652088134</v>
      </c>
      <c r="P23" s="88">
        <f t="shared" ref="P23:P28" si="20">IFERROR(L23/M23-1,0)</f>
        <v>-0.81180622287695203</v>
      </c>
      <c r="Q23" s="87"/>
      <c r="R23" s="130"/>
      <c r="S23" s="196">
        <f>N23/$N$28</f>
        <v>4.331575992530993E-3</v>
      </c>
      <c r="T23" s="196">
        <f>O23/$O$28</f>
        <v>3.6543328757614867E-2</v>
      </c>
      <c r="U23" s="147"/>
      <c r="V23" s="147"/>
      <c r="W23" s="147"/>
      <c r="X23" s="147"/>
      <c r="Y23" s="147"/>
      <c r="Z23" s="147"/>
      <c r="AA23" s="147"/>
      <c r="AB23" s="147"/>
      <c r="AF23" s="105" t="s">
        <v>1438</v>
      </c>
      <c r="AG23" s="228">
        <f>Z6/W31</f>
        <v>0.52779645957600929</v>
      </c>
      <c r="AH23" s="229" t="s">
        <v>1435</v>
      </c>
      <c r="AI23" s="226">
        <f>AB6/AA31</f>
        <v>0.23124477774148514</v>
      </c>
    </row>
    <row r="24" spans="2:62" hidden="1" outlineLevel="1" x14ac:dyDescent="0.2">
      <c r="B24" s="120" t="s">
        <v>1280</v>
      </c>
      <c r="C24" s="105" t="s">
        <v>1291</v>
      </c>
      <c r="D24" s="87">
        <f>SUMIFS(
    INDEX(NG!C:AL, MATCH($B24, NG!$B:$B, 0), ),
    NG!$C$3:$AL$3, "&gt;="&amp;DATE(YEAR($C$2),1,1),
    NG!$C$3:$AL$3, "&lt;="&amp;$C$2
)</f>
        <v>364444651.90000004</v>
      </c>
      <c r="E24" s="87">
        <f>SUMIFS(
    INDEX(NG!C:AL, MATCH($B24, NG!$B:$B, 0), ),
    NG!$C$3:$AL$3, "&gt;="&amp;DATE(YEAR($C$2)-1,1,1),
    NG!$C$3:$AL$3, "&lt;="&amp;EDATE($C$2,-12)
)</f>
        <v>399567769</v>
      </c>
      <c r="F24" s="87">
        <f>D24/$F$3</f>
        <v>265137.42817649414</v>
      </c>
      <c r="G24" s="87">
        <f>E24/$G$3</f>
        <v>249433.65316187026</v>
      </c>
      <c r="H24" s="88">
        <f t="shared" si="17"/>
        <v>-8.7902778514650337E-2</v>
      </c>
      <c r="I24" s="196">
        <f>D24/$D$28</f>
        <v>0.24750050202901194</v>
      </c>
      <c r="K24" s="105" t="s">
        <v>1291</v>
      </c>
      <c r="L24" s="87">
        <f>SUMIFS(
    INDEX(Group!C:AL, MATCH($B24, Group!$B:$B, 0), ),
    Group!$C$3:$AL$3, "&gt;="&amp;DATE(YEAR($C$2),1,1),
    Group!$C$3:$AL$3, "&lt;="&amp;$C$2
)</f>
        <v>364444651.90000004</v>
      </c>
      <c r="M24" s="87">
        <f>SUMIFS(
    INDEX(Group!C:AL, MATCH($B24, Group!$B:$B, 0), ),
    Group!$C$3:$AL$3, "&gt;="&amp;DATE(YEAR($C$2)-1,1,1),
    Group!$C$3:$AL$3, "&lt;="&amp;EDATE($C$2,-12)
)</f>
        <v>399567769</v>
      </c>
      <c r="N24" s="87">
        <f t="shared" si="18"/>
        <v>265137.42817649414</v>
      </c>
      <c r="O24" s="87">
        <f t="shared" si="19"/>
        <v>249433.65316187026</v>
      </c>
      <c r="P24" s="88">
        <f t="shared" si="20"/>
        <v>-8.7902778514650337E-2</v>
      </c>
      <c r="Q24" s="87"/>
      <c r="R24" s="130"/>
      <c r="S24" s="196">
        <f>N24/$N$28</f>
        <v>0.24639449049812159</v>
      </c>
      <c r="T24" s="196">
        <f>O24/$O$28</f>
        <v>0.42890122400424219</v>
      </c>
      <c r="U24" s="147"/>
      <c r="V24" s="147"/>
      <c r="W24" s="147"/>
      <c r="X24" s="147"/>
      <c r="Y24" s="147"/>
      <c r="Z24" s="147"/>
      <c r="AA24" s="147"/>
      <c r="AB24" s="147"/>
      <c r="AF24" s="105" t="s">
        <v>1236</v>
      </c>
      <c r="AG24" s="221">
        <f>Z6/'Segment Report'!S57</f>
        <v>2.4888134060547951</v>
      </c>
      <c r="AH24" s="222" t="s">
        <v>1435</v>
      </c>
      <c r="AI24" s="223">
        <f>AG24</f>
        <v>2.4888134060547951</v>
      </c>
    </row>
    <row r="25" spans="2:62" hidden="1" outlineLevel="1" x14ac:dyDescent="0.2">
      <c r="B25" s="120" t="s">
        <v>1281</v>
      </c>
      <c r="C25" s="105" t="s">
        <v>1290</v>
      </c>
      <c r="D25" s="87">
        <f>SUMIFS(
    INDEX(NG!C:AL, MATCH($B25, NG!$B:$B, 0), ),
    NG!$C$3:$AL$3, "&gt;="&amp;DATE(YEAR($C$2),1,1),
    NG!$C$3:$AL$3, "&lt;="&amp;$C$2
)</f>
        <v>1107218796.02</v>
      </c>
      <c r="E25" s="87">
        <f>SUMIFS(
    INDEX(NG!C:AL, MATCH($B25, NG!$B:$B, 0), ),
    NG!$C$3:$AL$3, "&gt;="&amp;DATE(YEAR($C$2)-1,1,1),
    NG!$C$3:$AL$3, "&lt;="&amp;EDATE($C$2,-12)
)</f>
        <v>428038702</v>
      </c>
      <c r="F25" s="87">
        <f>D25/$F$3</f>
        <v>805513.65612018481</v>
      </c>
      <c r="G25" s="87">
        <f>E25/$G$3</f>
        <v>267206.88057931204</v>
      </c>
      <c r="H25" s="88">
        <f t="shared" si="17"/>
        <v>1.5867258984913004</v>
      </c>
      <c r="I25" s="196">
        <f>D25/$D$28</f>
        <v>0.75193093503290376</v>
      </c>
      <c r="K25" s="105" t="s">
        <v>1290</v>
      </c>
      <c r="L25" s="87">
        <f>SUMIFS(
    INDEX(Group!C:AL, MATCH($B25, Group!$B:$B, 0), ),
    Group!$C$3:$AL$3, "&gt;="&amp;DATE(YEAR($C$2),1,1),
    Group!$C$3:$AL$3, "&lt;="&amp;$C$2
)</f>
        <v>1107218796.02</v>
      </c>
      <c r="M25" s="87">
        <f>SUMIFS(
    INDEX(Group!C:AL, MATCH($B25, Group!$B:$B, 0), ),
    Group!$C$3:$AL$3, "&gt;="&amp;DATE(YEAR($C$2)-1,1,1),
    Group!$C$3:$AL$3, "&lt;="&amp;EDATE($C$2,-12)
)</f>
        <v>479221120.13110226</v>
      </c>
      <c r="N25" s="87">
        <f t="shared" si="18"/>
        <v>805513.65612018481</v>
      </c>
      <c r="O25" s="87">
        <f t="shared" si="19"/>
        <v>299157.95001629455</v>
      </c>
      <c r="P25" s="88">
        <f t="shared" si="20"/>
        <v>1.3104549225983488</v>
      </c>
      <c r="Q25" s="87"/>
      <c r="R25" s="130"/>
      <c r="S25" s="196">
        <f>N25/$N$28</f>
        <v>0.74857076292108293</v>
      </c>
      <c r="T25" s="196">
        <f>O25/$O$28</f>
        <v>0.51440216388653148</v>
      </c>
      <c r="U25" s="428" t="s">
        <v>1318</v>
      </c>
      <c r="V25" s="423"/>
      <c r="W25" s="423"/>
      <c r="X25" s="423"/>
      <c r="Y25" s="423"/>
      <c r="Z25" s="423"/>
      <c r="AA25" s="424"/>
      <c r="AF25" s="105" t="s">
        <v>1237</v>
      </c>
      <c r="AG25" s="224">
        <f>(D$6-DATE(2025,1,1))/AG24</f>
        <v>194.4701835913142</v>
      </c>
      <c r="AH25" s="222" t="s">
        <v>1435</v>
      </c>
      <c r="AI25" s="225">
        <f>(F$6-DATE(2025,1,1))/AI24</f>
        <v>194.4701835913142</v>
      </c>
    </row>
    <row r="26" spans="2:62" hidden="1" outlineLevel="1" x14ac:dyDescent="0.2">
      <c r="B26" s="120" t="s">
        <v>75</v>
      </c>
      <c r="C26" s="105" t="s">
        <v>1309</v>
      </c>
      <c r="D26" s="87">
        <f>SUMIFS(
    INDEX(NG!C:AL, MATCH($B26, NG!$B:$B, 0), ),
    NG!$C$3:$AL$3, "&gt;="&amp;DATE(YEAR($C$2),1,1),
    NG!$C$3:$AL$3, "&lt;="&amp;$C$2
)</f>
        <v>837209.3</v>
      </c>
      <c r="E26" s="87">
        <f>SUMIFS(
    INDEX(NG!C:AL, MATCH($B26, NG!$B:$B, 0), ),
    NG!$C$3:$AL$3, "&gt;="&amp;DATE(YEAR($C$2)-1,1,1),
    NG!$C$3:$AL$3, "&lt;="&amp;EDATE($C$2,-12)
)</f>
        <v>18774958</v>
      </c>
      <c r="F26" s="87">
        <f>D26/$F$3</f>
        <v>609.0788257975338</v>
      </c>
      <c r="G26" s="87">
        <f>E26/$G$3</f>
        <v>11720.430738498033</v>
      </c>
      <c r="H26" s="88">
        <f t="shared" si="17"/>
        <v>-0.95540819319009929</v>
      </c>
      <c r="I26" s="196">
        <f>D26/$D$28</f>
        <v>5.6856293808425524E-4</v>
      </c>
      <c r="K26" s="105" t="s">
        <v>1309</v>
      </c>
      <c r="L26" s="87">
        <f>SUMIFS(
    INDEX(Group!C:AL, MATCH($B26, Group!$B:$B, 0), ),
    Group!$C$3:$AL$3, "&gt;="&amp;DATE(YEAR($C$2),1,1),
    Group!$C$3:$AL$3, "&lt;="&amp;$C$2
)</f>
        <v>837209.3</v>
      </c>
      <c r="M26" s="87">
        <f>SUMIFS(
    INDEX(Group!C:AL, MATCH($B26, Group!$B:$B, 0), ),
    Group!$C$3:$AL$3, "&gt;="&amp;DATE(YEAR($C$2)-1,1,1),
    Group!$C$3:$AL$3, "&lt;="&amp;EDATE($C$2,-12)
)</f>
        <v>18774958</v>
      </c>
      <c r="N26" s="87">
        <f t="shared" si="18"/>
        <v>609.0788257975338</v>
      </c>
      <c r="O26" s="87">
        <f t="shared" si="19"/>
        <v>11720.430738498033</v>
      </c>
      <c r="P26" s="88">
        <f t="shared" si="20"/>
        <v>-0.95540819319009929</v>
      </c>
      <c r="Q26" s="87"/>
      <c r="R26" s="130"/>
      <c r="S26" s="122">
        <f>N26/$N$28</f>
        <v>5.6602218701343773E-4</v>
      </c>
      <c r="T26" s="122">
        <f>O26/$O$28</f>
        <v>2.0153283351611474E-2</v>
      </c>
      <c r="U26" s="173"/>
      <c r="V26" s="431" t="s">
        <v>1354</v>
      </c>
      <c r="W26" s="432"/>
      <c r="X26" s="431" t="s">
        <v>1355</v>
      </c>
      <c r="Y26" s="432"/>
      <c r="Z26" s="431" t="s">
        <v>1347</v>
      </c>
      <c r="AA26" s="432"/>
      <c r="AF26" s="105" t="s">
        <v>1238</v>
      </c>
      <c r="AG26" s="221">
        <f>Z6/(W29+W30-W34)</f>
        <v>-36.483476395630802</v>
      </c>
      <c r="AH26" s="222" t="s">
        <v>1435</v>
      </c>
      <c r="AI26" s="226">
        <f>AB6/(AA29+AA30-AA34)</f>
        <v>0.68676204493792481</v>
      </c>
    </row>
    <row r="27" spans="2:62" hidden="1" outlineLevel="1" x14ac:dyDescent="0.2">
      <c r="B27" s="83" t="s">
        <v>1439</v>
      </c>
      <c r="C27" s="105" t="s">
        <v>1439</v>
      </c>
      <c r="D27" s="87">
        <f>SUMIFS(
    INDEX(NG!C:AL, MATCH($B27, NG!$B:$B, 0), ),
    NG!$C$3:$AL$3, "&gt;="&amp;DATE(YEAR($C$2),1,1),
    NG!$C$3:$AL$3, "&lt;="&amp;$C$2
)</f>
        <v>0</v>
      </c>
      <c r="E27" s="87">
        <f>SUMIFS(
    INDEX(NG!C:AL, MATCH($B27, NG!$B:$B, 0), ),
    NG!$C$3:$AL$3, "&gt;="&amp;DATE(YEAR($C$2)-1,1,1),
    NG!$C$3:$AL$3, "&lt;="&amp;EDATE($C$2,-12)
)</f>
        <v>0</v>
      </c>
      <c r="F27" s="87">
        <f>D27/$F$3</f>
        <v>0</v>
      </c>
      <c r="G27" s="87">
        <f>E27/$G$3</f>
        <v>0</v>
      </c>
      <c r="H27" s="88">
        <f>IFERROR(D27/E27-1,0)</f>
        <v>0</v>
      </c>
      <c r="K27" s="105" t="s">
        <v>1439</v>
      </c>
      <c r="L27" s="87">
        <f>SUMIFS(
    INDEX(Group!C:AL, MATCH($B27, Group!$B:$B, 0), ),
    Group!$C$3:$AL$3, "&gt;="&amp;DATE(YEAR($C$2),1,1),
    Group!$C$3:$AL$3, "&lt;="&amp;$C$2
)</f>
        <v>202857.62580000004</v>
      </c>
      <c r="M27" s="87">
        <f>SUMIFS(
    INDEX(Group!C:AL, MATCH($B27, Group!$B:$B, 0), ),
    Group!$C$3:$AL$3, "&gt;="&amp;DATE(YEAR($C$2)-1,1,1),
    Group!$C$3:$AL$3, "&lt;="&amp;EDATE($C$2,-12)
)</f>
        <v>0</v>
      </c>
      <c r="N27" s="87">
        <f>L27/$F$3</f>
        <v>147.58111803863085</v>
      </c>
      <c r="O27" s="87">
        <f>M27/$G$3</f>
        <v>0</v>
      </c>
      <c r="P27" s="88">
        <f>IFERROR(L27/M27-1,0)</f>
        <v>0</v>
      </c>
      <c r="Q27" s="87"/>
      <c r="R27" s="130"/>
      <c r="S27" s="122">
        <f>N27/$N$28</f>
        <v>1.3714840125123978E-4</v>
      </c>
      <c r="T27" s="122">
        <f>O27/$O$28</f>
        <v>0</v>
      </c>
      <c r="U27" s="144" t="s">
        <v>1319</v>
      </c>
      <c r="V27" s="188" t="s">
        <v>2</v>
      </c>
      <c r="W27" s="188" t="s">
        <v>3</v>
      </c>
      <c r="X27" s="188" t="s">
        <v>2</v>
      </c>
      <c r="Y27" s="188" t="s">
        <v>3</v>
      </c>
      <c r="Z27" s="188" t="s">
        <v>2</v>
      </c>
      <c r="AA27" s="189" t="s">
        <v>3</v>
      </c>
      <c r="AF27" s="105" t="s">
        <v>1239</v>
      </c>
      <c r="AG27" s="228">
        <f>-Z7/'Segment Report'!S67</f>
        <v>2.3589476992443736</v>
      </c>
      <c r="AH27" s="222" t="s">
        <v>1435</v>
      </c>
      <c r="AI27" s="226">
        <f>-AB7/'Segment Report'!T67</f>
        <v>2.4254353121982293</v>
      </c>
    </row>
    <row r="28" spans="2:62" hidden="1" outlineLevel="1" x14ac:dyDescent="0.2">
      <c r="B28" s="83" t="s">
        <v>1286</v>
      </c>
      <c r="C28" s="106" t="s">
        <v>1286</v>
      </c>
      <c r="D28" s="90">
        <f>SUM(D23:D27)</f>
        <v>1472500657.22</v>
      </c>
      <c r="E28" s="90">
        <f>SUM(E23:E27)</f>
        <v>875420543</v>
      </c>
      <c r="F28" s="90">
        <f>SUM(F23:F27)</f>
        <v>1071260.1631224763</v>
      </c>
      <c r="G28" s="90">
        <f>SUM(G23:G27)</f>
        <v>546488.88382545719</v>
      </c>
      <c r="H28" s="99">
        <f t="shared" si="17"/>
        <v>0.68204946639000674</v>
      </c>
      <c r="K28" s="106" t="s">
        <v>1286</v>
      </c>
      <c r="L28" s="90">
        <f>SUM(L23:L27)</f>
        <v>1479110393.9183998</v>
      </c>
      <c r="M28" s="90">
        <f>SUM(M23:M27)</f>
        <v>931607900.9279021</v>
      </c>
      <c r="N28" s="90">
        <f t="shared" si="18"/>
        <v>1076068.818099305</v>
      </c>
      <c r="O28" s="90">
        <f t="shared" si="19"/>
        <v>581564.33043754415</v>
      </c>
      <c r="P28" s="99">
        <f t="shared" si="20"/>
        <v>0.5876962748439265</v>
      </c>
      <c r="Q28" s="90"/>
      <c r="R28" s="138"/>
      <c r="U28" s="145" t="s">
        <v>1320</v>
      </c>
      <c r="V28" s="141">
        <f>SUM('Segment Report'!Q63:Q65)</f>
        <v>900254561.72104335</v>
      </c>
      <c r="W28" s="141">
        <f>V28/C_RATE</f>
        <v>654944.93595798139</v>
      </c>
      <c r="X28" s="141">
        <f>SUM('Segment Report'!P63:P65)</f>
        <v>1399438542.73</v>
      </c>
      <c r="Y28" s="141">
        <f>X28/C_RATE</f>
        <v>1018106.6841730021</v>
      </c>
      <c r="Z28" s="141">
        <f t="shared" ref="Z28:AA30" si="21">V28+X28</f>
        <v>2299693104.4510431</v>
      </c>
      <c r="AA28" s="148">
        <f t="shared" si="21"/>
        <v>1673051.6201309836</v>
      </c>
      <c r="AF28" s="105" t="s">
        <v>1240</v>
      </c>
      <c r="AG28" s="224">
        <f>(D$6-DATE(2025,1,1))/AG27</f>
        <v>205.17623182363752</v>
      </c>
      <c r="AH28" s="222" t="s">
        <v>1435</v>
      </c>
      <c r="AI28" s="225">
        <f>(F$6-DATE(2025,1,1))/AI27</f>
        <v>199.55180728416929</v>
      </c>
    </row>
    <row r="29" spans="2:62" hidden="1" outlineLevel="1" x14ac:dyDescent="0.2">
      <c r="C29" s="113"/>
      <c r="D29" s="129">
        <f>D8-D28</f>
        <v>891179295.75000024</v>
      </c>
      <c r="E29" s="129">
        <f>E8-E28</f>
        <v>-1.1700000762939453</v>
      </c>
      <c r="F29" s="129"/>
      <c r="G29" s="129"/>
      <c r="H29" s="130"/>
      <c r="I29" s="115"/>
      <c r="K29" s="113"/>
      <c r="L29" s="129">
        <f>L8-L28</f>
        <v>891379330.34200001</v>
      </c>
      <c r="M29" s="129">
        <f>M8-M28</f>
        <v>-1.1699999570846558</v>
      </c>
      <c r="N29" s="129"/>
      <c r="O29" s="129"/>
      <c r="P29" s="130"/>
      <c r="Q29" s="129"/>
      <c r="R29" s="130"/>
      <c r="U29" s="145" t="s">
        <v>1393</v>
      </c>
      <c r="V29" s="141">
        <f>'Segment Report'!Q56</f>
        <v>448520827.9005003</v>
      </c>
      <c r="W29" s="141">
        <f>V29/C_RATE</f>
        <v>326303.75606598548</v>
      </c>
      <c r="X29" s="141">
        <f>'Segment Report'!P56</f>
        <v>2194817547.0078201</v>
      </c>
      <c r="Y29" s="141">
        <f>X29/C_RATE</f>
        <v>1596753.5171567569</v>
      </c>
      <c r="Z29" s="141">
        <f t="shared" si="21"/>
        <v>2643338374.9083204</v>
      </c>
      <c r="AA29" s="148">
        <f t="shared" si="21"/>
        <v>1923057.2732227424</v>
      </c>
      <c r="AF29" s="105" t="s">
        <v>67</v>
      </c>
      <c r="AG29" s="238">
        <f>Z15/W31</f>
        <v>-0.70539749993838108</v>
      </c>
      <c r="AH29" s="238">
        <f>AA15/Y31</f>
        <v>-0.63320389482915562</v>
      </c>
      <c r="AI29" s="172">
        <f>AB15/AA31</f>
        <v>-0.66482992083883852</v>
      </c>
    </row>
    <row r="30" spans="2:62" hidden="1" outlineLevel="1" x14ac:dyDescent="0.2">
      <c r="C30" s="113"/>
      <c r="D30" s="129"/>
      <c r="E30" s="129"/>
      <c r="F30" s="129"/>
      <c r="G30" s="129"/>
      <c r="H30" s="130"/>
      <c r="I30" s="115"/>
      <c r="K30" s="113"/>
      <c r="L30" s="129"/>
      <c r="M30" s="129"/>
      <c r="N30" s="129"/>
      <c r="O30" s="129"/>
      <c r="P30" s="130"/>
      <c r="Q30" s="129"/>
      <c r="R30" s="130"/>
      <c r="U30" s="145" t="s">
        <v>1321</v>
      </c>
      <c r="V30" s="141">
        <f>SUM('Segment Report'!Q57:Q62)</f>
        <v>1453266021.3432801</v>
      </c>
      <c r="W30" s="141">
        <f>V30/C_RATE</f>
        <v>1057266.7573702522</v>
      </c>
      <c r="X30" s="141">
        <f>SUM('Segment Report'!P57:P62)</f>
        <v>0</v>
      </c>
      <c r="Y30" s="141">
        <f>X30/C_RATE</f>
        <v>0</v>
      </c>
      <c r="Z30" s="141">
        <f t="shared" si="21"/>
        <v>1453266021.3432801</v>
      </c>
      <c r="AA30" s="148">
        <f t="shared" si="21"/>
        <v>1057266.7573702522</v>
      </c>
      <c r="AF30" s="108" t="s">
        <v>66</v>
      </c>
      <c r="AG30" s="240">
        <f>Z15/W39</f>
        <v>-3.0353926162051952</v>
      </c>
      <c r="AH30" s="240">
        <f>AA15/Y39</f>
        <v>-0.6204054787659159</v>
      </c>
      <c r="AI30" s="227">
        <f>AB15/AA39</f>
        <v>-0.98446112804597585</v>
      </c>
    </row>
    <row r="31" spans="2:62" hidden="1" outlineLevel="1" collapsed="1" x14ac:dyDescent="0.2">
      <c r="C31" s="126" t="s">
        <v>1283</v>
      </c>
      <c r="D31" s="230" t="s">
        <v>2</v>
      </c>
      <c r="E31" s="218" t="s">
        <v>2</v>
      </c>
      <c r="F31" s="218" t="s">
        <v>3</v>
      </c>
      <c r="G31" s="218" t="s">
        <v>3</v>
      </c>
      <c r="H31" s="128"/>
      <c r="K31" s="126" t="s">
        <v>1283</v>
      </c>
      <c r="L31" s="218" t="s">
        <v>2</v>
      </c>
      <c r="M31" s="218" t="s">
        <v>2</v>
      </c>
      <c r="N31" s="218" t="s">
        <v>3</v>
      </c>
      <c r="O31" s="218" t="s">
        <v>3</v>
      </c>
      <c r="P31" s="128"/>
      <c r="Q31" s="218"/>
      <c r="U31" s="144" t="s">
        <v>1322</v>
      </c>
      <c r="V31" s="140">
        <f t="shared" ref="V31:AA31" si="22">SUM(V28:V30)</f>
        <v>2802041410.9648237</v>
      </c>
      <c r="W31" s="140">
        <f t="shared" si="22"/>
        <v>2038515.4493942191</v>
      </c>
      <c r="X31" s="140">
        <f t="shared" si="22"/>
        <v>3594256089.7378201</v>
      </c>
      <c r="Y31" s="140">
        <f t="shared" si="22"/>
        <v>2614860.2013297593</v>
      </c>
      <c r="Z31" s="140">
        <f t="shared" si="22"/>
        <v>6396297500.7026434</v>
      </c>
      <c r="AA31" s="149">
        <f t="shared" si="22"/>
        <v>4653375.6507239779</v>
      </c>
    </row>
    <row r="32" spans="2:62" hidden="1" outlineLevel="1" x14ac:dyDescent="0.2">
      <c r="B32" s="83" t="s">
        <v>69</v>
      </c>
      <c r="C32" s="105" t="s">
        <v>69</v>
      </c>
      <c r="D32" s="87">
        <f>SUMIFS(
    INDEX(NG!C:AL, MATCH($B32, NG!$B:$B, 0), ),
    NG!$C$3:$AL$3, "&gt;="&amp;DATE(YEAR($C$2),1,1),
    NG!$C$3:$AL$3, "&lt;="&amp;$C$2
)</f>
        <v>74230520</v>
      </c>
      <c r="E32" s="87">
        <f>SUMIFS(
    INDEX(NG!C:AL, MATCH($B32, NG!$B:$B, 0), ),
    NG!$C$3:$AL$3, "&gt;="&amp;DATE(YEAR($C$2)-1,1,1),
    NG!$C$3:$AL$3, "&lt;="&amp;EDATE($C$2,-12)
)</f>
        <v>389369302.55000001</v>
      </c>
      <c r="F32" s="87">
        <f t="shared" ref="F32:F38" si="23">D32/$F$3</f>
        <v>54003.506602160705</v>
      </c>
      <c r="G32" s="87">
        <f t="shared" ref="G32:G38" si="24">E32/$G$3</f>
        <v>243067.17182720519</v>
      </c>
      <c r="H32" s="88">
        <f t="shared" ref="H32:H47" si="25">IFERROR(D32/E32-1,0)</f>
        <v>-0.80935703068048659</v>
      </c>
      <c r="K32" s="105" t="s">
        <v>69</v>
      </c>
      <c r="L32" s="87">
        <f>SUMIFS(
    INDEX(Group!C:AL, MATCH($B32, Group!$B:$B, 0), ),
    Group!$C$3:$AL$3, "&gt;="&amp;DATE(YEAR($C$2),1,1),
    Group!$C$3:$AL$3, "&lt;="&amp;$C$2
)</f>
        <v>74230520</v>
      </c>
      <c r="M32" s="87">
        <f>SUMIFS(
    INDEX(Group!C:AL, MATCH($B32, Group!$B:$B, 0), ),
    Group!$C$3:$AL$3, "&gt;="&amp;DATE(YEAR($C$2)-1,1,1),
    Group!$C$3:$AL$3, "&lt;="&amp;EDATE($C$2,-12)
)</f>
        <v>389369302.55000001</v>
      </c>
      <c r="N32" s="87">
        <f t="shared" ref="N32:N38" si="26">L32/$F$3</f>
        <v>54003.506602160705</v>
      </c>
      <c r="O32" s="87">
        <f t="shared" ref="O32:O38" si="27">M32/$G$3</f>
        <v>243067.17182720519</v>
      </c>
      <c r="P32" s="88">
        <f t="shared" ref="P32:P47" si="28">IFERROR(L32/M32-1,0)</f>
        <v>-0.80935703068048659</v>
      </c>
      <c r="Q32" s="87"/>
      <c r="R32" s="130"/>
      <c r="U32" s="145"/>
      <c r="V32" s="141"/>
      <c r="W32" s="141"/>
      <c r="X32" s="141"/>
      <c r="Y32" s="141"/>
      <c r="Z32" s="141"/>
      <c r="AA32" s="148"/>
    </row>
    <row r="33" spans="2:35" hidden="1" outlineLevel="1" x14ac:dyDescent="0.2">
      <c r="B33" s="83" t="s">
        <v>70</v>
      </c>
      <c r="C33" s="105" t="s">
        <v>70</v>
      </c>
      <c r="D33" s="87">
        <f>SUMIFS(
    INDEX(NG!C:AL, MATCH($B33, NG!$B:$B, 0), ),
    NG!$C$3:$AL$3, "&gt;="&amp;DATE(YEAR($C$2),1,1),
    NG!$C$3:$AL$3, "&lt;="&amp;$C$2
)</f>
        <v>210061356.42000002</v>
      </c>
      <c r="E33" s="87">
        <f>SUMIFS(
    INDEX(NG!C:AL, MATCH($B33, NG!$B:$B, 0), ),
    NG!$C$3:$AL$3, "&gt;="&amp;DATE(YEAR($C$2)-1,1,1),
    NG!$C$3:$AL$3, "&lt;="&amp;EDATE($C$2,-12)
)</f>
        <v>113530466</v>
      </c>
      <c r="F33" s="87">
        <f t="shared" si="23"/>
        <v>152821.91002146158</v>
      </c>
      <c r="G33" s="87">
        <f t="shared" si="24"/>
        <v>70872.380298395656</v>
      </c>
      <c r="H33" s="88">
        <f t="shared" si="25"/>
        <v>0.8502641962202464</v>
      </c>
      <c r="K33" s="105" t="s">
        <v>70</v>
      </c>
      <c r="L33" s="87">
        <f>SUMIFS(
    INDEX(Group!C:AL, MATCH($B33, Group!$B:$B, 0), ),
    Group!$C$3:$AL$3, "&gt;="&amp;DATE(YEAR($C$2),1,1),
    Group!$C$3:$AL$3, "&lt;="&amp;$C$2
)</f>
        <v>210061356.42000002</v>
      </c>
      <c r="M33" s="87">
        <f>SUMIFS(
    INDEX(Group!C:AL, MATCH($B33, Group!$B:$B, 0), ),
    Group!$C$3:$AL$3, "&gt;="&amp;DATE(YEAR($C$2)-1,1,1),
    Group!$C$3:$AL$3, "&lt;="&amp;EDATE($C$2,-12)
)</f>
        <v>113530466</v>
      </c>
      <c r="N33" s="87">
        <f t="shared" si="26"/>
        <v>152821.91002146158</v>
      </c>
      <c r="O33" s="87">
        <f t="shared" si="27"/>
        <v>70872.380298395656</v>
      </c>
      <c r="P33" s="88">
        <f t="shared" si="28"/>
        <v>0.8502641962202464</v>
      </c>
      <c r="Q33" s="87"/>
      <c r="R33" s="130"/>
      <c r="U33" s="145" t="s">
        <v>1394</v>
      </c>
      <c r="V33" s="141">
        <f>'Segment Report'!Q66</f>
        <v>21499460.77</v>
      </c>
      <c r="W33" s="141">
        <f>V33/C_RATE</f>
        <v>15641.090371394275</v>
      </c>
      <c r="X33" s="141">
        <f>'Segment Report'!P66</f>
        <v>0</v>
      </c>
      <c r="Y33" s="141">
        <f>X33/C_RATE</f>
        <v>0</v>
      </c>
      <c r="Z33" s="141">
        <f>V33+X33</f>
        <v>21499460.77</v>
      </c>
      <c r="AA33" s="148">
        <f>W33+Y33</f>
        <v>15641.090371394275</v>
      </c>
    </row>
    <row r="34" spans="2:35" hidden="1" outlineLevel="1" x14ac:dyDescent="0.2">
      <c r="B34" s="83" t="s">
        <v>71</v>
      </c>
      <c r="C34" s="105" t="s">
        <v>71</v>
      </c>
      <c r="D34" s="87">
        <f>SUMIFS(
    INDEX(NG!C:AL, MATCH($B34, NG!$B:$B, 0), ),
    NG!$C$3:$AL$3, "&gt;="&amp;DATE(YEAR($C$2),1,1),
    NG!$C$3:$AL$3, "&lt;="&amp;$C$2
)</f>
        <v>31897726.709999997</v>
      </c>
      <c r="E34" s="87">
        <f>SUMIFS(
    INDEX(NG!C:AL, MATCH($B34, NG!$B:$B, 0), ),
    NG!$C$3:$AL$3, "&gt;="&amp;DATE(YEAR($C$2)-1,1,1),
    NG!$C$3:$AL$3, "&lt;="&amp;EDATE($C$2,-12)
)</f>
        <v>128106870.34</v>
      </c>
      <c r="F34" s="87">
        <f t="shared" si="23"/>
        <v>23205.941369902877</v>
      </c>
      <c r="G34" s="87">
        <f t="shared" si="24"/>
        <v>79971.827417441789</v>
      </c>
      <c r="H34" s="88">
        <f t="shared" si="25"/>
        <v>-0.75100690052498864</v>
      </c>
      <c r="K34" s="105" t="s">
        <v>71</v>
      </c>
      <c r="L34" s="87">
        <f>SUMIFS(
    INDEX(Group!C:AL, MATCH($B34, Group!$B:$B, 0), ),
    Group!$C$3:$AL$3, "&gt;="&amp;DATE(YEAR($C$2),1,1),
    Group!$C$3:$AL$3, "&lt;="&amp;$C$2
)</f>
        <v>31897726.709999997</v>
      </c>
      <c r="M34" s="87">
        <f>SUMIFS(
    INDEX(Group!C:AL, MATCH($B34, Group!$B:$B, 0), ),
    Group!$C$3:$AL$3, "&gt;="&amp;DATE(YEAR($C$2)-1,1,1),
    Group!$C$3:$AL$3, "&lt;="&amp;EDATE($C$2,-12)
)</f>
        <v>128106870.34</v>
      </c>
      <c r="N34" s="87">
        <f t="shared" si="26"/>
        <v>23205.941369902877</v>
      </c>
      <c r="O34" s="87">
        <f t="shared" si="27"/>
        <v>79971.827417441789</v>
      </c>
      <c r="P34" s="88">
        <f t="shared" si="28"/>
        <v>-0.75100690052498864</v>
      </c>
      <c r="Q34" s="87"/>
      <c r="R34" s="130"/>
      <c r="U34" s="145" t="s">
        <v>1323</v>
      </c>
      <c r="V34" s="141">
        <f>SUM('Segment Report'!Q67:Q70)</f>
        <v>1942323214.8098016</v>
      </c>
      <c r="W34" s="141">
        <f>V34/C_RATE</f>
        <v>1413061.1580588568</v>
      </c>
      <c r="X34" s="141">
        <f>SUM('Segment Report'!P67:P70)</f>
        <v>536074.5</v>
      </c>
      <c r="Y34" s="141">
        <f>X34/C_RATE</f>
        <v>390</v>
      </c>
      <c r="Z34" s="141">
        <f>V34+X34</f>
        <v>1942859289.3098016</v>
      </c>
      <c r="AA34" s="148">
        <f>W34+Y34</f>
        <v>1413451.1580588568</v>
      </c>
    </row>
    <row r="35" spans="2:35" hidden="1" outlineLevel="1" x14ac:dyDescent="0.2">
      <c r="B35" s="83" t="s">
        <v>72</v>
      </c>
      <c r="C35" s="105" t="s">
        <v>72</v>
      </c>
      <c r="D35" s="87">
        <f>SUMIFS(
    INDEX(NG!C:AL, MATCH($B35, NG!$B:$B, 0), ),
    NG!$C$3:$AL$3, "&gt;="&amp;DATE(YEAR($C$2),1,1),
    NG!$C$3:$AL$3, "&lt;="&amp;$C$2
)</f>
        <v>1043459144.96</v>
      </c>
      <c r="E35" s="87">
        <f>SUMIFS(
    INDEX(NG!C:AL, MATCH($B35, NG!$B:$B, 0), ),
    NG!$C$3:$AL$3, "&gt;="&amp;DATE(YEAR($C$2)-1,1,1),
    NG!$C$3:$AL$3, "&lt;="&amp;EDATE($C$2,-12)
)</f>
        <v>196599832.81999999</v>
      </c>
      <c r="F35" s="87">
        <f t="shared" si="23"/>
        <v>759127.8199847223</v>
      </c>
      <c r="G35" s="87">
        <f t="shared" si="24"/>
        <v>122729.15464136336</v>
      </c>
      <c r="H35" s="88">
        <f t="shared" si="25"/>
        <v>4.3075281397383236</v>
      </c>
      <c r="K35" s="105" t="s">
        <v>72</v>
      </c>
      <c r="L35" s="87">
        <f>SUMIFS(
    INDEX(Group!C:AL, MATCH($B35, Group!$B:$B, 0), ),
    Group!$C$3:$AL$3, "&gt;="&amp;DATE(YEAR($C$2),1,1),
    Group!$C$3:$AL$3, "&lt;="&amp;$C$2
)</f>
        <v>1043459144.96</v>
      </c>
      <c r="M35" s="87">
        <f>SUMIFS(
    INDEX(Group!C:AL, MATCH($B35, Group!$B:$B, 0), ),
    Group!$C$3:$AL$3, "&gt;="&amp;DATE(YEAR($C$2)-1,1,1),
    Group!$C$3:$AL$3, "&lt;="&amp;EDATE($C$2,-12)
)</f>
        <v>196599832.81999999</v>
      </c>
      <c r="N35" s="87">
        <f t="shared" si="26"/>
        <v>759127.8199847223</v>
      </c>
      <c r="O35" s="87">
        <f t="shared" si="27"/>
        <v>122729.15464136336</v>
      </c>
      <c r="P35" s="88">
        <f t="shared" si="28"/>
        <v>4.3075281397383236</v>
      </c>
      <c r="Q35" s="87"/>
      <c r="R35" s="130">
        <f>L35/L8</f>
        <v>0.44018716229008864</v>
      </c>
      <c r="U35" s="144" t="s">
        <v>60</v>
      </c>
      <c r="V35" s="140">
        <f t="shared" ref="V35:AA35" si="29">SUM(V33:V34)</f>
        <v>1963822675.5798016</v>
      </c>
      <c r="W35" s="140">
        <f t="shared" si="29"/>
        <v>1428702.2484302511</v>
      </c>
      <c r="X35" s="140">
        <f t="shared" si="29"/>
        <v>536074.5</v>
      </c>
      <c r="Y35" s="140">
        <f t="shared" si="29"/>
        <v>390</v>
      </c>
      <c r="Z35" s="140">
        <f t="shared" si="29"/>
        <v>1964358750.0798016</v>
      </c>
      <c r="AA35" s="149">
        <f t="shared" si="29"/>
        <v>1429092.2484302511</v>
      </c>
    </row>
    <row r="36" spans="2:35" hidden="1" outlineLevel="1" x14ac:dyDescent="0.2">
      <c r="B36" s="83" t="s">
        <v>1284</v>
      </c>
      <c r="C36" s="105" t="s">
        <v>1284</v>
      </c>
      <c r="D36" s="87">
        <f>SUMIFS(
    INDEX(NG!C:AL, MATCH($B36, NG!$B:$B, 0), ),
    NG!$C$3:$AL$3, "&gt;="&amp;DATE(YEAR($C$2),1,1),
    NG!$C$3:$AL$3, "&lt;="&amp;$C$2
)</f>
        <v>44042973.960000001</v>
      </c>
      <c r="E36" s="87">
        <f>SUMIFS(
    INDEX(NG!C:AL, MATCH($B36, NG!$B:$B, 0), ),
    NG!$C$3:$AL$3, "&gt;="&amp;DATE(YEAR($C$2)-1,1,1),
    NG!$C$3:$AL$3, "&lt;="&amp;EDATE($C$2,-12)
)</f>
        <v>0</v>
      </c>
      <c r="F36" s="87">
        <f t="shared" si="23"/>
        <v>32041.74017678513</v>
      </c>
      <c r="G36" s="87">
        <f t="shared" si="24"/>
        <v>0</v>
      </c>
      <c r="H36" s="88">
        <f t="shared" si="25"/>
        <v>0</v>
      </c>
      <c r="K36" s="105" t="s">
        <v>1284</v>
      </c>
      <c r="L36" s="87">
        <f>SUMIFS(
    INDEX(Group!C:AL, MATCH($B36, Group!$B:$B, 0), ),
    Group!$C$3:$AL$3, "&gt;="&amp;DATE(YEAR($C$2),1,1),
    Group!$C$3:$AL$3, "&lt;="&amp;$C$2
)</f>
        <v>44042973.960000001</v>
      </c>
      <c r="M36" s="87">
        <f>SUMIFS(
    INDEX(Group!C:AL, MATCH($B36, Group!$B:$B, 0), ),
    Group!$C$3:$AL$3, "&gt;="&amp;DATE(YEAR($C$2)-1,1,1),
    Group!$C$3:$AL$3, "&lt;="&amp;EDATE($C$2,-12)
)</f>
        <v>0</v>
      </c>
      <c r="N36" s="87">
        <f t="shared" si="26"/>
        <v>32041.74017678513</v>
      </c>
      <c r="O36" s="87">
        <f t="shared" si="27"/>
        <v>0</v>
      </c>
      <c r="P36" s="88">
        <f t="shared" si="28"/>
        <v>0</v>
      </c>
      <c r="Q36" s="87"/>
      <c r="R36" s="130"/>
      <c r="U36" s="145"/>
      <c r="V36" s="141"/>
      <c r="W36" s="141"/>
      <c r="X36" s="141"/>
      <c r="Y36" s="141"/>
      <c r="Z36" s="141"/>
      <c r="AA36" s="148"/>
    </row>
    <row r="37" spans="2:35" hidden="1" outlineLevel="1" x14ac:dyDescent="0.2">
      <c r="B37" s="83" t="s">
        <v>73</v>
      </c>
      <c r="C37" s="105" t="s">
        <v>73</v>
      </c>
      <c r="D37" s="87">
        <f>SUMIFS(
    INDEX(NG!C:AL, MATCH($B37, NG!$B:$B, 0), ),
    NG!$C$3:$AL$3, "&gt;="&amp;DATE(YEAR($C$2),1,1),
    NG!$C$3:$AL$3, "&lt;="&amp;$C$2
)</f>
        <v>35992740.979999997</v>
      </c>
      <c r="E37" s="87">
        <f>SUMIFS(
    INDEX(NG!C:AL, MATCH($B37, NG!$B:$B, 0), ),
    NG!$C$3:$AL$3, "&gt;="&amp;DATE(YEAR($C$2)-1,1,1),
    NG!$C$3:$AL$3, "&lt;="&amp;EDATE($C$2,-12)
)</f>
        <v>0</v>
      </c>
      <c r="F37" s="87">
        <f t="shared" si="23"/>
        <v>26185.108566439925</v>
      </c>
      <c r="G37" s="87">
        <f t="shared" si="24"/>
        <v>0</v>
      </c>
      <c r="H37" s="88">
        <f t="shared" si="25"/>
        <v>0</v>
      </c>
      <c r="K37" s="105" t="s">
        <v>73</v>
      </c>
      <c r="L37" s="87">
        <f>SUMIFS(
    INDEX(Group!C:AL, MATCH($B37, Group!$B:$B, 0), ),
    Group!$C$3:$AL$3, "&gt;="&amp;DATE(YEAR($C$2),1,1),
    Group!$C$3:$AL$3, "&lt;="&amp;$C$2
)</f>
        <v>35992740.979999997</v>
      </c>
      <c r="M37" s="87">
        <f>SUMIFS(
    INDEX(Group!C:AL, MATCH($B37, Group!$B:$B, 0), ),
    Group!$C$3:$AL$3, "&gt;="&amp;DATE(YEAR($C$2)-1,1,1),
    Group!$C$3:$AL$3, "&lt;="&amp;EDATE($C$2,-12)
)</f>
        <v>0</v>
      </c>
      <c r="N37" s="87">
        <f t="shared" si="26"/>
        <v>26185.108566439925</v>
      </c>
      <c r="O37" s="87">
        <f t="shared" si="27"/>
        <v>0</v>
      </c>
      <c r="P37" s="88">
        <f t="shared" si="28"/>
        <v>0</v>
      </c>
      <c r="Q37" s="87"/>
      <c r="R37" s="130"/>
      <c r="U37" s="145" t="s">
        <v>1324</v>
      </c>
      <c r="V37" s="141">
        <f>SUM('Segment Report'!Q71)</f>
        <v>217024041.35999966</v>
      </c>
      <c r="W37" s="141">
        <f>V37/C_RATE</f>
        <v>157887.33866356238</v>
      </c>
      <c r="X37" s="141">
        <f>SUM('Segment Report'!P71)</f>
        <v>6489017168</v>
      </c>
      <c r="Y37" s="141">
        <f>X37/C_RATE</f>
        <v>4720830.2120694043</v>
      </c>
      <c r="Z37" s="141">
        <f>V37+X37</f>
        <v>6706041209.3599997</v>
      </c>
      <c r="AA37" s="148">
        <f>W37+Y37</f>
        <v>4878717.5507329665</v>
      </c>
    </row>
    <row r="38" spans="2:35" ht="14.5" hidden="1" customHeight="1" outlineLevel="1" x14ac:dyDescent="0.2">
      <c r="B38" s="83" t="s">
        <v>74</v>
      </c>
      <c r="C38" s="105" t="s">
        <v>74</v>
      </c>
      <c r="D38" s="87">
        <f>SUMIFS(
    INDEX(NG!C:AL, MATCH($B38, NG!$B:$B, 0), ),
    NG!$C$3:$AL$3, "&gt;="&amp;DATE(YEAR($C$2),1,1),
    NG!$C$3:$AL$3, "&lt;="&amp;$C$2
)</f>
        <v>0</v>
      </c>
      <c r="E38" s="87">
        <f>SUMIFS(
    INDEX(NG!C:AL, MATCH($B38, NG!$B:$B, 0), ),
    NG!$C$3:$AL$3, "&gt;="&amp;DATE(YEAR($C$2)-1,1,1),
    NG!$C$3:$AL$3, "&lt;="&amp;EDATE($C$2,-12)
)</f>
        <v>6942928.7999999998</v>
      </c>
      <c r="F38" s="87">
        <f t="shared" si="23"/>
        <v>0</v>
      </c>
      <c r="G38" s="87">
        <f t="shared" si="24"/>
        <v>4334.1836569074221</v>
      </c>
      <c r="H38" s="88">
        <f t="shared" si="25"/>
        <v>-1</v>
      </c>
      <c r="K38" s="105" t="s">
        <v>74</v>
      </c>
      <c r="L38" s="87">
        <f>SUMIFS(
    INDEX(Group!C:AL, MATCH($B38, Group!$B:$B, 0), ),
    Group!$C$3:$AL$3, "&gt;="&amp;DATE(YEAR($C$2),1,1),
    Group!$C$3:$AL$3, "&lt;="&amp;$C$2
)</f>
        <v>0</v>
      </c>
      <c r="M38" s="87">
        <f>SUMIFS(
    INDEX(Group!C:AL, MATCH($B38, Group!$B:$B, 0), ),
    Group!$C$3:$AL$3, "&gt;="&amp;DATE(YEAR($C$2)-1,1,1),
    Group!$C$3:$AL$3, "&lt;="&amp;EDATE($C$2,-12)
)</f>
        <v>6942928.7999999998</v>
      </c>
      <c r="N38" s="87">
        <f t="shared" si="26"/>
        <v>0</v>
      </c>
      <c r="O38" s="87">
        <f t="shared" si="27"/>
        <v>4334.1836569074221</v>
      </c>
      <c r="P38" s="88">
        <f t="shared" si="28"/>
        <v>-1</v>
      </c>
      <c r="Q38" s="87"/>
      <c r="R38" s="130"/>
      <c r="U38" s="145" t="s">
        <v>63</v>
      </c>
      <c r="V38" s="141">
        <f>SUM('Segment Report'!Q72)</f>
        <v>434144771.35506153</v>
      </c>
      <c r="W38" s="141">
        <f>V38/C_RATE</f>
        <v>315845.0193554702</v>
      </c>
      <c r="X38" s="141">
        <f>SUM('Segment Report'!P72)</f>
        <v>-2820614755.4962997</v>
      </c>
      <c r="Y38" s="141">
        <f>X38/C_RATE</f>
        <v>-2052027.7585364664</v>
      </c>
      <c r="Z38" s="141">
        <f>V38+X38</f>
        <v>-2386469984.1412382</v>
      </c>
      <c r="AA38" s="148">
        <f>W38+Y38</f>
        <v>-1736182.7391809961</v>
      </c>
    </row>
    <row r="39" spans="2:35" ht="14.5" hidden="1" customHeight="1" outlineLevel="1" x14ac:dyDescent="0.2">
      <c r="B39" s="83" t="s">
        <v>1310</v>
      </c>
      <c r="C39" s="105" t="s">
        <v>1310</v>
      </c>
      <c r="D39" s="87">
        <f>SUMIFS(
    INDEX(NG!C:AL, MATCH($B39, NG!$B:$B, 0), ),
    NG!$C$3:$AL$3, "&gt;="&amp;DATE(YEAR($C$2),1,1),
    NG!$C$3:$AL$3, "&lt;="&amp;$C$2
)</f>
        <v>8930232.5600000005</v>
      </c>
      <c r="E39" s="87">
        <f>SUMIFS(
    INDEX(NG!C:AL, MATCH($B39, NG!$B:$B, 0), ),
    NG!$C$3:$AL$3, "&gt;="&amp;DATE(YEAR($C$2)-1,1,1),
    NG!$C$3:$AL$3, "&lt;="&amp;EDATE($C$2,-12)
)</f>
        <v>40871141.874899998</v>
      </c>
      <c r="F39" s="87">
        <f>D39/$F$3</f>
        <v>6496.8408279073155</v>
      </c>
      <c r="G39" s="87">
        <f>E39/$G$3</f>
        <v>25514.165600162305</v>
      </c>
      <c r="H39" s="88">
        <f>IFERROR(D39/E39-1,0)</f>
        <v>-0.78150273884360733</v>
      </c>
      <c r="K39" s="105" t="s">
        <v>1310</v>
      </c>
      <c r="L39" s="87">
        <f>SUMIFS(
    INDEX(Group!C:AL, MATCH($B39, Group!$B:$B, 0), ),
    Group!$C$3:$AL$3, "&gt;="&amp;DATE(YEAR($C$2),1,1),
    Group!$C$3:$AL$3, "&lt;="&amp;$C$2
)</f>
        <v>8930232.5600000005</v>
      </c>
      <c r="M39" s="87">
        <f>SUMIFS(
    INDEX(Group!C:AL, MATCH($B39, Group!$B:$B, 0), ),
    Group!$C$3:$AL$3, "&gt;="&amp;DATE(YEAR($C$2)-1,1,1),
    Group!$C$3:$AL$3, "&lt;="&amp;EDATE($C$2,-12)
)</f>
        <v>40871141.874899998</v>
      </c>
      <c r="N39" s="87">
        <f t="shared" ref="N39:N44" si="30">L39/$F$3</f>
        <v>6496.8408279073155</v>
      </c>
      <c r="O39" s="87">
        <f t="shared" ref="O39:O44" si="31">M39/$G$3</f>
        <v>25514.165600162305</v>
      </c>
      <c r="P39" s="88">
        <f t="shared" ref="P39:P44" si="32">IFERROR(L39/M39-1,0)</f>
        <v>-0.78150273884360733</v>
      </c>
      <c r="Q39" s="87"/>
      <c r="R39" s="130"/>
      <c r="U39" s="144" t="s">
        <v>1325</v>
      </c>
      <c r="V39" s="140">
        <f>V37+V38</f>
        <v>651168812.71506119</v>
      </c>
      <c r="W39" s="140">
        <f>V39/C_RATE</f>
        <v>473732.35801903257</v>
      </c>
      <c r="X39" s="140">
        <f>X37+X38</f>
        <v>3668402412.5037003</v>
      </c>
      <c r="Y39" s="140">
        <f>X39/C_RATE</f>
        <v>2668802.4535329384</v>
      </c>
      <c r="Z39" s="140">
        <f>Z37+Z38</f>
        <v>4319571225.2187614</v>
      </c>
      <c r="AA39" s="149">
        <f>AA37+AA38</f>
        <v>3142534.8115519704</v>
      </c>
    </row>
    <row r="40" spans="2:35" ht="14.5" hidden="1" customHeight="1" outlineLevel="1" x14ac:dyDescent="0.2">
      <c r="B40" s="83" t="s">
        <v>1378</v>
      </c>
      <c r="C40" s="105" t="s">
        <v>1378</v>
      </c>
      <c r="D40" s="87">
        <f>SUMIFS(
    INDEX(NG!C:AL, MATCH($B40, NG!$B:$B, 0), ),
    NG!$C$3:$AL$3, "&gt;="&amp;DATE(YEAR($C$2),1,1),
    NG!$C$3:$AL$3, "&lt;="&amp;$C$2
)</f>
        <v>23885961.630000003</v>
      </c>
      <c r="E40" s="87">
        <f>SUMIFS(
    INDEX(NG!C:AL, MATCH($B40, NG!$B:$B, 0), ),
    NG!$C$3:$AL$3, "&gt;="&amp;DATE(YEAR($C$2)-1,1,1),
    NG!$C$3:$AL$3, "&lt;="&amp;EDATE($C$2,-12)
)</f>
        <v>0</v>
      </c>
      <c r="F40" s="87">
        <f>D40/$F$3</f>
        <v>17377.295573096653</v>
      </c>
      <c r="G40" s="87">
        <f>E40/$G$3</f>
        <v>0</v>
      </c>
      <c r="H40" s="88">
        <f>IFERROR(D40/E40-1,0)</f>
        <v>0</v>
      </c>
      <c r="K40" s="105" t="s">
        <v>1378</v>
      </c>
      <c r="L40" s="87">
        <f>SUMIFS(
    INDEX(Group!C:AL, MATCH($B40, Group!$B:$B, 0), ),
    Group!$C$3:$AL$3, "&gt;="&amp;DATE(YEAR($C$2),1,1),
    Group!$C$3:$AL$3, "&lt;="&amp;$C$2
)+869175</f>
        <v>24755136.630000003</v>
      </c>
      <c r="M40" s="87">
        <f>SUMIFS(
    INDEX(Group!C:AL, MATCH($B40, Group!$B:$B, 0), ),
    Group!$C$3:$AL$3, "&gt;="&amp;DATE(YEAR($C$2)-1,1,1),
    Group!$C$3:$AL$3, "&lt;="&amp;EDATE($C$2,-12)
)</f>
        <v>0</v>
      </c>
      <c r="N40" s="87">
        <f>L40/$F$3</f>
        <v>18009.629791568153</v>
      </c>
      <c r="O40" s="87">
        <f>M40/$G$3</f>
        <v>0</v>
      </c>
      <c r="P40" s="88">
        <f>IFERROR(L40/M40-1,0)</f>
        <v>0</v>
      </c>
      <c r="Q40" s="87"/>
      <c r="R40" s="130"/>
      <c r="U40" s="344"/>
      <c r="V40" s="345"/>
      <c r="W40" s="345"/>
      <c r="X40" s="345"/>
      <c r="Y40" s="345"/>
      <c r="Z40" s="345"/>
      <c r="AA40" s="346"/>
    </row>
    <row r="41" spans="2:35" ht="14.5" hidden="1" customHeight="1" outlineLevel="1" x14ac:dyDescent="0.2">
      <c r="B41" s="83" t="s">
        <v>1439</v>
      </c>
      <c r="C41" s="105" t="s">
        <v>1439</v>
      </c>
      <c r="D41" s="87">
        <f>SUMIFS(
    INDEX(NG!C:AL, MATCH($B41, NG!$B:$B, 0), ),
    NG!$C$3:$AL$3, "&gt;="&amp;DATE(YEAR($C$2),1,1),
    NG!$C$3:$AL$3, "&lt;="&amp;$C$2
)</f>
        <v>0</v>
      </c>
      <c r="E41" s="87">
        <f>SUMIFS(
    INDEX(NG!C:AL, MATCH($B41, NG!$B:$B, 0), ),
    NG!$C$3:$AL$3, "&gt;="&amp;DATE(YEAR($C$2)-1,1,1),
    NG!$C$3:$AL$3, "&lt;="&amp;EDATE($C$2,-12)
)</f>
        <v>0</v>
      </c>
      <c r="F41" s="87">
        <f>D41/$F$3</f>
        <v>0</v>
      </c>
      <c r="G41" s="87">
        <f>E41/$G$3</f>
        <v>0</v>
      </c>
      <c r="H41" s="88">
        <f>IFERROR(D41/E41-1,0)</f>
        <v>0</v>
      </c>
      <c r="K41" s="105" t="s">
        <v>1439</v>
      </c>
      <c r="L41" s="87">
        <f>SUMIFS(
    INDEX(Group!C:AL, MATCH($B41, Group!$B:$B, 0), ),
    Group!$C$3:$AL$3, "&gt;="&amp;DATE(YEAR($C$2),1,1),
    Group!$C$3:$AL$3, "&lt;="&amp;$C$2
)</f>
        <v>202857.62580000004</v>
      </c>
      <c r="M41" s="87">
        <f>SUMIFS(
    INDEX(Group!C:AL, MATCH($B41, Group!$B:$B, 0), ),
    Group!$C$3:$AL$3, "&gt;="&amp;DATE(YEAR($C$2)-1,1,1),
    Group!$C$3:$AL$3, "&lt;="&amp;EDATE($C$2,-12)
)</f>
        <v>0</v>
      </c>
      <c r="N41" s="87">
        <f>L41/$F$3</f>
        <v>147.58111803863085</v>
      </c>
      <c r="O41" s="87">
        <f>M41/$G$3</f>
        <v>0</v>
      </c>
      <c r="P41" s="88">
        <f>IFERROR(L41/M41-1,0)</f>
        <v>0</v>
      </c>
      <c r="Q41" s="87"/>
      <c r="R41" s="130"/>
      <c r="U41" s="344"/>
      <c r="V41" s="345"/>
      <c r="W41" s="345"/>
      <c r="X41" s="345"/>
      <c r="Y41" s="345"/>
      <c r="Z41" s="345"/>
      <c r="AA41" s="346"/>
    </row>
    <row r="42" spans="2:35" ht="14.5" hidden="1" customHeight="1" outlineLevel="1" x14ac:dyDescent="0.2">
      <c r="B42" s="83" t="s">
        <v>1678</v>
      </c>
      <c r="C42" s="105" t="s">
        <v>1678</v>
      </c>
      <c r="D42" s="87">
        <f>SUMIFS(
    INDEX(NG!C:AL, MATCH($B42, NG!$B:$B, 0), ),
    NG!$C$3:$AL$3, "&gt;="&amp;DATE(YEAR($C$2),1,1),
    NG!$C$3:$AL$3, "&lt;="&amp;$C$2
)</f>
        <v>0</v>
      </c>
      <c r="E42" s="87">
        <f>SUMIFS(
    INDEX(NG!C:AL, MATCH($B42, NG!$B:$B, 0), ),
    NG!$C$3:$AL$3, "&gt;="&amp;DATE(YEAR($C$2)-1,1,1),
    NG!$C$3:$AL$3, "&lt;="&amp;EDATE($C$2,-12)
)</f>
        <v>0</v>
      </c>
      <c r="F42" s="87">
        <f>D42/$F$3</f>
        <v>0</v>
      </c>
      <c r="G42" s="87">
        <f>E42/$G$3</f>
        <v>0</v>
      </c>
      <c r="H42" s="88">
        <f>IFERROR(D42/E42-1,0)</f>
        <v>0</v>
      </c>
      <c r="K42" s="105" t="s">
        <v>1678</v>
      </c>
      <c r="L42" s="87">
        <f>SUMIFS(
    INDEX(Group!C:AL, MATCH($B42, Group!$B:$B, 0), ),
    Group!$C$3:$AL$3, "&gt;="&amp;DATE(YEAR($C$2),1,1),
    Group!$C$3:$AL$3, "&lt;="&amp;$C$2
)</f>
        <v>0</v>
      </c>
      <c r="M42" s="87">
        <f>SUMIFS(
    INDEX(Group!C:AL, MATCH($B42, Group!$B:$B, 0), ),
    Group!$C$3:$AL$3, "&gt;="&amp;DATE(YEAR($C$2)-1,1,1),
    Group!$C$3:$AL$3, "&lt;="&amp;EDATE($C$2,-12)
)</f>
        <v>0</v>
      </c>
      <c r="N42" s="87">
        <f>L42/$F$3</f>
        <v>0</v>
      </c>
      <c r="O42" s="87">
        <f>M42/$G$3</f>
        <v>0</v>
      </c>
      <c r="P42" s="88">
        <f>IFERROR(L42/M42-1,0)</f>
        <v>0</v>
      </c>
      <c r="Q42" s="87"/>
      <c r="R42" s="130"/>
      <c r="U42" s="344"/>
      <c r="V42" s="345"/>
      <c r="W42" s="345"/>
      <c r="X42" s="345"/>
      <c r="Y42" s="345"/>
      <c r="Z42" s="345"/>
      <c r="AA42" s="346"/>
    </row>
    <row r="43" spans="2:35" ht="14.5" hidden="1" customHeight="1" outlineLevel="1" x14ac:dyDescent="0.2">
      <c r="B43" s="83" t="s">
        <v>1441</v>
      </c>
      <c r="C43" s="105"/>
      <c r="D43" s="87"/>
      <c r="E43" s="87"/>
      <c r="F43" s="87"/>
      <c r="G43" s="87"/>
      <c r="H43" s="88"/>
      <c r="K43" s="105" t="s">
        <v>1441</v>
      </c>
      <c r="L43" s="87">
        <f>SUMIFS(
    INDEX(Group!C:AL, MATCH($B43, Group!$B:$B, 0), ),
    Group!$C$3:$AL$3, "&gt;="&amp;DATE(YEAR($C$2),1,1),
    Group!$C$3:$AL$3, "&lt;="&amp;$C$2
)</f>
        <v>0</v>
      </c>
      <c r="M43" s="87">
        <f>SUMIFS(
    INDEX(Group!C:AL, MATCH($B43, Group!$B:$B, 0), ),
    Group!$C$3:$AL$3, "&gt;="&amp;DATE(YEAR($C$2)-1,1,1),
    Group!$C$3:$AL$3, "&lt;="&amp;EDATE($C$2,-12)
)</f>
        <v>51182418.131102264</v>
      </c>
      <c r="N43" s="87">
        <f t="shared" si="30"/>
        <v>0</v>
      </c>
      <c r="O43" s="87">
        <f t="shared" si="31"/>
        <v>31951.069436982496</v>
      </c>
      <c r="P43" s="88">
        <f t="shared" si="32"/>
        <v>-1</v>
      </c>
      <c r="Q43" s="87"/>
      <c r="R43" s="130"/>
      <c r="U43" s="156" t="s">
        <v>1326</v>
      </c>
      <c r="V43" s="174">
        <f t="shared" ref="V43:AA43" si="33">V35+V39</f>
        <v>2614991488.2948627</v>
      </c>
      <c r="W43" s="174">
        <f t="shared" si="33"/>
        <v>1902434.6064492837</v>
      </c>
      <c r="X43" s="174">
        <f t="shared" si="33"/>
        <v>3668938487.0037003</v>
      </c>
      <c r="Y43" s="174">
        <f t="shared" si="33"/>
        <v>2669192.4535329384</v>
      </c>
      <c r="Z43" s="174">
        <f t="shared" si="33"/>
        <v>6283929975.298563</v>
      </c>
      <c r="AA43" s="175">
        <f t="shared" si="33"/>
        <v>4571627.0599822216</v>
      </c>
    </row>
    <row r="44" spans="2:35" ht="14.5" hidden="1" customHeight="1" outlineLevel="1" x14ac:dyDescent="0.2">
      <c r="B44" s="83" t="s">
        <v>1440</v>
      </c>
      <c r="C44" s="105"/>
      <c r="D44" s="87"/>
      <c r="E44" s="87"/>
      <c r="F44" s="87"/>
      <c r="G44" s="87"/>
      <c r="H44" s="88"/>
      <c r="K44" s="105" t="s">
        <v>1440</v>
      </c>
      <c r="L44" s="87">
        <f>SUMIFS(
    INDEX(Group!C:AL, MATCH($B44, Group!$B:$B, 0), ),
    Group!$C$3:$AL$3, "&gt;="&amp;DATE(YEAR($C$2),1,1),
    Group!$C$3:$AL$3, "&lt;="&amp;$C$2
)</f>
        <v>6406879.0725999996</v>
      </c>
      <c r="M44" s="87">
        <f>SUMIFS(
    INDEX(Group!C:AL, MATCH($B44, Group!$B:$B, 0), ),
    Group!$C$3:$AL$3, "&gt;="&amp;DATE(YEAR($C$2)-1,1,1),
    Group!$C$3:$AL$3, "&lt;="&amp;EDATE($C$2,-12)
)</f>
        <v>5004939.7967998236</v>
      </c>
      <c r="N44" s="87">
        <f t="shared" si="30"/>
        <v>4661.0738587901496</v>
      </c>
      <c r="O44" s="87">
        <f t="shared" si="31"/>
        <v>3124.3771751044533</v>
      </c>
      <c r="P44" s="88">
        <f t="shared" si="32"/>
        <v>0.28011111676040157</v>
      </c>
      <c r="Q44" s="87"/>
      <c r="R44" s="130"/>
      <c r="S44" s="114">
        <f>N35+N43</f>
        <v>759127.8199847223</v>
      </c>
    </row>
    <row r="45" spans="2:35" ht="14.5" hidden="1" customHeight="1" outlineLevel="1" x14ac:dyDescent="0.2">
      <c r="B45" s="83" t="s">
        <v>1378</v>
      </c>
      <c r="C45" s="105"/>
      <c r="D45" s="87"/>
      <c r="E45" s="87"/>
      <c r="F45" s="87"/>
      <c r="G45" s="87"/>
      <c r="H45" s="88"/>
      <c r="K45" s="105"/>
      <c r="L45" s="87"/>
      <c r="M45" s="87"/>
      <c r="N45" s="87"/>
      <c r="O45" s="87"/>
      <c r="P45" s="88"/>
      <c r="Q45" s="87"/>
      <c r="R45" s="130"/>
      <c r="U45" s="145" t="s">
        <v>1454</v>
      </c>
      <c r="V45" s="141">
        <f>BS_NG!W194+BS_NG!W195+BS_NG!W196</f>
        <v>1413485892.2699997</v>
      </c>
      <c r="W45" s="141">
        <f>V45/C_RATE</f>
        <v>1028326.2829798842</v>
      </c>
      <c r="X45" s="141"/>
      <c r="Y45" s="141"/>
      <c r="Z45" s="141"/>
      <c r="AA45" s="148"/>
    </row>
    <row r="46" spans="2:35" hidden="1" outlineLevel="1" x14ac:dyDescent="0.2">
      <c r="B46" s="83" t="s">
        <v>1439</v>
      </c>
      <c r="C46" s="105"/>
      <c r="D46" s="94"/>
      <c r="E46" s="94"/>
      <c r="F46" s="95"/>
      <c r="G46" s="95"/>
      <c r="H46" s="88"/>
      <c r="K46" s="105"/>
      <c r="L46" s="87"/>
      <c r="M46" s="87"/>
      <c r="N46" s="87"/>
      <c r="O46" s="87"/>
      <c r="P46" s="88"/>
      <c r="Q46" s="87"/>
      <c r="R46" s="130"/>
    </row>
    <row r="47" spans="2:35" s="98" customFormat="1" hidden="1" outlineLevel="1" x14ac:dyDescent="0.2">
      <c r="C47" s="106" t="s">
        <v>1286</v>
      </c>
      <c r="D47" s="132">
        <f>SUM(D32:D46)</f>
        <v>1472500657.2200003</v>
      </c>
      <c r="E47" s="132">
        <f>SUM(E32:E46)</f>
        <v>875420542.38489997</v>
      </c>
      <c r="F47" s="132">
        <f>SUM(F32:F46)</f>
        <v>1071260.1631224765</v>
      </c>
      <c r="G47" s="132">
        <f>SUM(G32:G46)</f>
        <v>546488.88344147569</v>
      </c>
      <c r="H47" s="99">
        <f t="shared" si="25"/>
        <v>0.68204946757187179</v>
      </c>
      <c r="K47" s="106" t="s">
        <v>1286</v>
      </c>
      <c r="L47" s="132">
        <f>SUM(L32:L46)</f>
        <v>1479979568.9184</v>
      </c>
      <c r="M47" s="132">
        <f>SUM(M32:M46)</f>
        <v>931607900.31280196</v>
      </c>
      <c r="N47" s="132">
        <f>SUM(N32:N46)</f>
        <v>1076701.1523177768</v>
      </c>
      <c r="O47" s="132">
        <f>SUM(O32:O46)</f>
        <v>581564.33005356265</v>
      </c>
      <c r="P47" s="99">
        <f t="shared" si="28"/>
        <v>0.58862925960747403</v>
      </c>
      <c r="Q47" s="132"/>
      <c r="R47" s="138"/>
      <c r="U47" s="104"/>
      <c r="V47" s="83"/>
      <c r="W47" s="83"/>
      <c r="X47" s="83"/>
      <c r="Y47" s="83"/>
      <c r="Z47" s="83"/>
      <c r="AA47" s="83"/>
      <c r="AF47" s="83"/>
      <c r="AG47" s="83"/>
      <c r="AH47" s="83"/>
      <c r="AI47" s="83"/>
    </row>
    <row r="48" spans="2:35" s="98" customFormat="1" hidden="1" outlineLevel="1" x14ac:dyDescent="0.2">
      <c r="C48" s="113"/>
      <c r="D48" s="137">
        <f>D8-D47</f>
        <v>891179295.75</v>
      </c>
      <c r="E48" s="137">
        <f>E8-E47</f>
        <v>-0.55490005016326904</v>
      </c>
      <c r="F48" s="137"/>
      <c r="G48" s="137"/>
      <c r="H48" s="138"/>
      <c r="K48" s="104" t="s">
        <v>1397</v>
      </c>
      <c r="L48" s="137">
        <f>L8-L47</f>
        <v>890510155.34199977</v>
      </c>
      <c r="M48" s="137">
        <f>M8-M47</f>
        <v>-0.55489981174468994</v>
      </c>
      <c r="N48" s="137"/>
      <c r="O48" s="137"/>
      <c r="P48" s="138"/>
      <c r="Q48" s="137"/>
      <c r="R48" s="138"/>
      <c r="U48" s="104"/>
      <c r="V48" s="114">
        <f>V31-V43</f>
        <v>187049922.66996098</v>
      </c>
      <c r="W48" s="83"/>
      <c r="X48" s="114">
        <f>X31-X43</f>
        <v>-74682397.265880108</v>
      </c>
      <c r="Y48" s="83"/>
      <c r="Z48" s="114">
        <f>Z31-Z43</f>
        <v>112367525.40408039</v>
      </c>
      <c r="AA48" s="83"/>
      <c r="AF48" s="83"/>
      <c r="AG48" s="83"/>
      <c r="AH48" s="83"/>
      <c r="AI48" s="83"/>
    </row>
    <row r="49" spans="2:35" hidden="1" outlineLevel="1" x14ac:dyDescent="0.2"/>
    <row r="50" spans="2:35" hidden="1" outlineLevel="1" x14ac:dyDescent="0.2">
      <c r="C50" s="126" t="s">
        <v>1298</v>
      </c>
      <c r="D50" s="218" t="s">
        <v>2</v>
      </c>
      <c r="E50" s="218" t="s">
        <v>2</v>
      </c>
      <c r="F50" s="218" t="s">
        <v>3</v>
      </c>
      <c r="G50" s="218" t="s">
        <v>3</v>
      </c>
      <c r="H50" s="128"/>
      <c r="K50" s="126" t="s">
        <v>1298</v>
      </c>
      <c r="L50" s="218" t="s">
        <v>2</v>
      </c>
      <c r="M50" s="218" t="s">
        <v>2</v>
      </c>
      <c r="N50" s="218" t="s">
        <v>3</v>
      </c>
      <c r="O50" s="218" t="s">
        <v>3</v>
      </c>
      <c r="P50" s="128"/>
      <c r="Q50" s="218"/>
      <c r="U50" s="113"/>
      <c r="V50" s="98"/>
      <c r="W50" s="98"/>
      <c r="X50" s="98"/>
      <c r="Y50" s="98"/>
      <c r="Z50" s="98"/>
      <c r="AA50" s="98"/>
    </row>
    <row r="51" spans="2:35" hidden="1" outlineLevel="1" x14ac:dyDescent="0.2">
      <c r="C51" s="105" t="s">
        <v>1299</v>
      </c>
      <c r="D51" s="87">
        <f>D32+D33+D34+D35+D38+D39+D41</f>
        <v>1368578980.6500001</v>
      </c>
      <c r="E51" s="87">
        <f>E32+E33+E34+E35+E38+E39</f>
        <v>875420542.38489997</v>
      </c>
      <c r="F51" s="87">
        <f>D51/$F$3</f>
        <v>995656.01880615484</v>
      </c>
      <c r="G51" s="87">
        <f>E51/$G$3</f>
        <v>546488.88344147569</v>
      </c>
      <c r="H51" s="88">
        <f>IFERROR(D51/E51-1,0)</f>
        <v>0.56333889186743691</v>
      </c>
      <c r="K51" s="105" t="s">
        <v>1299</v>
      </c>
      <c r="L51" s="87">
        <f>L32+L33+L34+L35+L38+L39+L41</f>
        <v>1368781838.2758</v>
      </c>
      <c r="M51" s="87">
        <f>M32+M33+M34+M35+M38+M39</f>
        <v>875420542.38489997</v>
      </c>
      <c r="N51" s="276">
        <f>N32+N33+N34+N35+N38+N39</f>
        <v>995656.01880615472</v>
      </c>
      <c r="O51" s="87">
        <f>O32+O33+O34+O35+O38+O39</f>
        <v>546488.88344147569</v>
      </c>
      <c r="P51" s="88">
        <f>IFERROR(L51/M51-1,0)</f>
        <v>0.5635706177819868</v>
      </c>
      <c r="Q51" s="276"/>
      <c r="R51" s="130"/>
      <c r="S51" s="122">
        <f>N51/N56</f>
        <v>0.94059016339146384</v>
      </c>
      <c r="T51" s="196">
        <f>O51/O56</f>
        <v>0.93968776144015487</v>
      </c>
      <c r="U51" s="113"/>
      <c r="V51" s="98"/>
      <c r="W51" s="98"/>
      <c r="X51" s="98"/>
      <c r="Y51" s="98"/>
      <c r="Z51" s="98"/>
      <c r="AA51" s="98"/>
    </row>
    <row r="52" spans="2:35" hidden="1" outlineLevel="1" x14ac:dyDescent="0.2">
      <c r="C52" s="105" t="s">
        <v>1300</v>
      </c>
      <c r="D52" s="87">
        <f>D36</f>
        <v>44042973.960000001</v>
      </c>
      <c r="E52" s="87">
        <f>E36</f>
        <v>0</v>
      </c>
      <c r="F52" s="87">
        <f>D52/$F$3</f>
        <v>32041.74017678513</v>
      </c>
      <c r="G52" s="87">
        <f>E52/$G$3</f>
        <v>0</v>
      </c>
      <c r="H52" s="88">
        <f>IFERROR(D52/E52-1,0)</f>
        <v>0</v>
      </c>
      <c r="K52" s="105" t="s">
        <v>1300</v>
      </c>
      <c r="L52" s="87">
        <f>L36</f>
        <v>44042973.960000001</v>
      </c>
      <c r="M52" s="87">
        <f>M36</f>
        <v>0</v>
      </c>
      <c r="N52" s="276">
        <f>L52/$F$3</f>
        <v>32041.74017678513</v>
      </c>
      <c r="O52" s="87">
        <f>M52/$G$3</f>
        <v>0</v>
      </c>
      <c r="P52" s="88">
        <f>IFERROR(L52/M52-1,0)</f>
        <v>0</v>
      </c>
      <c r="Q52" s="276"/>
      <c r="R52" s="130"/>
      <c r="S52" s="122">
        <f>N52/N56</f>
        <v>3.0269636359318574E-2</v>
      </c>
      <c r="T52" s="196">
        <f>O52/O56</f>
        <v>0</v>
      </c>
      <c r="U52" s="113"/>
      <c r="V52" s="98"/>
      <c r="W52" s="98"/>
      <c r="X52" s="98"/>
      <c r="Y52" s="98"/>
      <c r="Z52" s="98"/>
      <c r="AA52" s="98"/>
      <c r="AF52" s="98"/>
      <c r="AG52" s="98"/>
      <c r="AH52" s="98"/>
      <c r="AI52" s="98"/>
    </row>
    <row r="53" spans="2:35" hidden="1" outlineLevel="1" x14ac:dyDescent="0.2">
      <c r="C53" s="105" t="s">
        <v>1301</v>
      </c>
      <c r="D53" s="87">
        <f>D37+D42</f>
        <v>35992740.979999997</v>
      </c>
      <c r="E53" s="87">
        <f>E37</f>
        <v>0</v>
      </c>
      <c r="F53" s="87">
        <f>D53/$F$3</f>
        <v>26185.108566439925</v>
      </c>
      <c r="G53" s="87">
        <f>E53/$G$3</f>
        <v>0</v>
      </c>
      <c r="H53" s="88">
        <f>IFERROR(D53/E53-1,0)</f>
        <v>0</v>
      </c>
      <c r="K53" s="105" t="s">
        <v>1301</v>
      </c>
      <c r="L53" s="87">
        <f>L37+L42</f>
        <v>35992740.979999997</v>
      </c>
      <c r="M53" s="87">
        <f>M37</f>
        <v>0</v>
      </c>
      <c r="N53" s="276">
        <f>L53/$F$3</f>
        <v>26185.108566439925</v>
      </c>
      <c r="O53" s="87">
        <f>M53/$G$3</f>
        <v>0</v>
      </c>
      <c r="P53" s="88">
        <f>IFERROR(L53/M53-1,0)</f>
        <v>0</v>
      </c>
      <c r="Q53" s="276"/>
      <c r="R53" s="130"/>
      <c r="S53" s="122">
        <f>N53/N56</f>
        <v>2.473691222643639E-2</v>
      </c>
      <c r="T53" s="196">
        <f>O53/O56</f>
        <v>0</v>
      </c>
      <c r="U53" s="113"/>
      <c r="V53" s="98"/>
      <c r="W53" s="98"/>
      <c r="X53" s="98"/>
      <c r="Y53" s="98"/>
      <c r="Z53" s="98"/>
      <c r="AA53" s="98"/>
      <c r="AF53" s="98"/>
      <c r="AG53" s="98"/>
      <c r="AH53" s="98"/>
      <c r="AI53" s="98"/>
    </row>
    <row r="54" spans="2:35" hidden="1" outlineLevel="1" x14ac:dyDescent="0.2">
      <c r="C54" s="105" t="s">
        <v>1703</v>
      </c>
      <c r="D54" s="87">
        <f>D40</f>
        <v>23885961.630000003</v>
      </c>
      <c r="E54" s="87"/>
      <c r="F54" s="87"/>
      <c r="G54" s="87"/>
      <c r="H54" s="88"/>
      <c r="K54" s="105" t="s">
        <v>1302</v>
      </c>
      <c r="L54" s="87">
        <f>SUM(L43:L46)</f>
        <v>6406879.0725999996</v>
      </c>
      <c r="M54" s="87">
        <f>SUM(M43:M46)</f>
        <v>56187357.927902088</v>
      </c>
      <c r="N54" s="276">
        <f>SUM(N43:N46)</f>
        <v>4661.0738587901496</v>
      </c>
      <c r="O54" s="87">
        <f>SUM(O43:O46)</f>
        <v>35075.446612086947</v>
      </c>
      <c r="P54" s="88">
        <f>IFERROR(L54/M54-1,0)</f>
        <v>-0.88597294286695039</v>
      </c>
      <c r="Q54" s="276"/>
      <c r="R54" s="130"/>
      <c r="S54" s="197">
        <f>N54/N56</f>
        <v>4.4032880227811537E-3</v>
      </c>
      <c r="T54" s="116">
        <f>O54/O56</f>
        <v>6.031223855984507E-2</v>
      </c>
      <c r="V54" s="86" t="s">
        <v>2</v>
      </c>
      <c r="W54" s="86" t="s">
        <v>3</v>
      </c>
    </row>
    <row r="55" spans="2:35" hidden="1" outlineLevel="1" x14ac:dyDescent="0.2">
      <c r="C55" s="105"/>
      <c r="D55" s="87"/>
      <c r="E55" s="87"/>
      <c r="F55" s="87"/>
      <c r="G55" s="87"/>
      <c r="H55" s="88"/>
      <c r="K55" s="105" t="s">
        <v>1703</v>
      </c>
      <c r="L55" s="87">
        <f>L40</f>
        <v>24755136.630000003</v>
      </c>
      <c r="M55" s="87"/>
      <c r="N55" s="276"/>
      <c r="O55" s="87"/>
      <c r="P55" s="88"/>
      <c r="Q55" s="276"/>
      <c r="R55" s="130"/>
      <c r="S55" s="197"/>
      <c r="T55" s="116"/>
      <c r="V55" s="86"/>
      <c r="W55" s="86"/>
    </row>
    <row r="56" spans="2:35" s="98" customFormat="1" hidden="1" outlineLevel="1" x14ac:dyDescent="0.2">
      <c r="C56" s="106" t="s">
        <v>1286</v>
      </c>
      <c r="D56" s="90">
        <f>SUM(D51:D54)</f>
        <v>1472500657.2200003</v>
      </c>
      <c r="E56" s="90">
        <f>SUM(E51:E54)</f>
        <v>875420542.38489997</v>
      </c>
      <c r="F56" s="90">
        <f>SUM(F51:F54)</f>
        <v>1053882.8675493798</v>
      </c>
      <c r="G56" s="90">
        <f>SUM(G51:G54)</f>
        <v>546488.88344147569</v>
      </c>
      <c r="H56" s="99">
        <f>IFERROR(D56/E56-1,0)</f>
        <v>0.68204946757187179</v>
      </c>
      <c r="K56" s="106" t="s">
        <v>1286</v>
      </c>
      <c r="L56" s="90">
        <f>SUM(L51:L55)</f>
        <v>1479979568.9184</v>
      </c>
      <c r="M56" s="90">
        <f>SUM(M51:M55)</f>
        <v>931607900.31280208</v>
      </c>
      <c r="N56" s="90">
        <f>SUM(N51:N55)</f>
        <v>1058543.9414081699</v>
      </c>
      <c r="O56" s="90">
        <f>SUM(O51:O55)</f>
        <v>581564.33005356265</v>
      </c>
      <c r="P56" s="99">
        <f>IFERROR(L56/M56-1,0)</f>
        <v>0.58862925960747381</v>
      </c>
      <c r="Q56" s="90"/>
      <c r="R56" s="138"/>
      <c r="U56" s="105" t="s">
        <v>1247</v>
      </c>
      <c r="V56" s="87">
        <v>2840246060.5572023</v>
      </c>
      <c r="W56" s="87">
        <v>1953522.6118241171</v>
      </c>
      <c r="X56" s="83"/>
      <c r="Y56" s="83"/>
      <c r="Z56" s="83"/>
      <c r="AA56" s="83"/>
      <c r="AF56" s="83"/>
      <c r="AG56" s="83"/>
      <c r="AH56" s="83"/>
      <c r="AI56" s="83"/>
    </row>
    <row r="57" spans="2:35" hidden="1" outlineLevel="1" x14ac:dyDescent="0.2">
      <c r="D57" s="136"/>
      <c r="E57" s="136"/>
      <c r="F57" s="136"/>
      <c r="G57" s="136"/>
      <c r="H57" s="130"/>
      <c r="L57" s="136"/>
      <c r="M57" s="136"/>
      <c r="N57" s="136"/>
      <c r="O57" s="136"/>
      <c r="P57" s="130"/>
      <c r="Q57" s="136"/>
      <c r="R57" s="130"/>
      <c r="U57" s="105" t="s">
        <v>12</v>
      </c>
      <c r="V57" s="87">
        <v>-1303403804.1411681</v>
      </c>
      <c r="W57" s="87">
        <v>-896481.76581849507</v>
      </c>
    </row>
    <row r="58" spans="2:35" hidden="1" outlineLevel="1" x14ac:dyDescent="0.2">
      <c r="U58" s="105" t="s">
        <v>24</v>
      </c>
      <c r="V58" s="238">
        <v>-0.45890524143019673</v>
      </c>
      <c r="W58" s="238">
        <v>-0.45890524143019673</v>
      </c>
    </row>
    <row r="59" spans="2:35" hidden="1" outlineLevel="1" collapsed="1" x14ac:dyDescent="0.2">
      <c r="C59" s="126" t="s">
        <v>1287</v>
      </c>
      <c r="D59" s="218" t="s">
        <v>2</v>
      </c>
      <c r="E59" s="218" t="s">
        <v>2</v>
      </c>
      <c r="F59" s="218" t="s">
        <v>3</v>
      </c>
      <c r="G59" s="218" t="s">
        <v>3</v>
      </c>
      <c r="H59" s="128"/>
      <c r="K59" s="126" t="s">
        <v>1287</v>
      </c>
      <c r="L59" s="218" t="s">
        <v>2</v>
      </c>
      <c r="M59" s="218" t="s">
        <v>2</v>
      </c>
      <c r="N59" s="218" t="s">
        <v>3</v>
      </c>
      <c r="O59" s="218" t="s">
        <v>3</v>
      </c>
      <c r="P59" s="128"/>
      <c r="Q59" s="218"/>
      <c r="U59" s="105" t="s">
        <v>1277</v>
      </c>
      <c r="V59" s="87">
        <v>1559144907.01</v>
      </c>
      <c r="W59" s="87">
        <v>1072380.619852673</v>
      </c>
    </row>
    <row r="60" spans="2:35" hidden="1" outlineLevel="1" x14ac:dyDescent="0.2">
      <c r="B60" s="83" t="s">
        <v>1282</v>
      </c>
      <c r="C60" s="105" t="s">
        <v>1277</v>
      </c>
      <c r="D60" s="87">
        <f>SUMIFS(
    INDEX(NG!C:AL, MATCH($B60, NG!$B:$B, 0), ),
    NG!$C$3:$AL$3, "&gt;="&amp;DATE(YEAR($C$2),1,1),
    NG!$C$3:$AL$3, "&lt;="&amp;$C$2
)</f>
        <v>362443122.75999999</v>
      </c>
      <c r="E60" s="87">
        <f>SUMIFS(
    INDEX(NG!C:AL, MATCH($B60, NG!$B:$B, 0), ),
    NG!$C$3:$AL$3, "&gt;="&amp;DATE(YEAR($C$2)-1,1,1),
    NG!$C$3:$AL$3, "&lt;="&amp;EDATE($C$2,-12)
)</f>
        <v>696513994.03999996</v>
      </c>
      <c r="F60" s="87">
        <f>D60/$F$3</f>
        <v>263681.29406714923</v>
      </c>
      <c r="G60" s="87">
        <f>E60/$G$3</f>
        <v>434804.9154379174</v>
      </c>
      <c r="H60" s="88">
        <f>IFERROR(D60/E60-1,0)</f>
        <v>-0.47963267664197806</v>
      </c>
      <c r="K60" s="105" t="s">
        <v>1277</v>
      </c>
      <c r="L60" s="87">
        <f>SUMIFS(
    INDEX(Group!C:AL, MATCH($B60, Group!$B:$B, 0), ),
    Group!$C$3:$AL$3, "&gt;="&amp;DATE(YEAR($C$2),1,1),
    Group!$C$3:$AL$3, "&lt;="&amp;$C$2
)</f>
        <v>362443122.75999999</v>
      </c>
      <c r="M60" s="87">
        <f>SUMIFS(
    INDEX(Group!C:AL, MATCH($B60, Group!$B:$B, 0), ),
    Group!$C$3:$AL$3, "&gt;="&amp;DATE(YEAR($C$2)-1,1,1),
    Group!$C$3:$AL$3, "&lt;="&amp;EDATE($C$2,-12)
)</f>
        <v>696513994.03999996</v>
      </c>
      <c r="N60" s="87">
        <f>L60/$F$3</f>
        <v>263681.29406714923</v>
      </c>
      <c r="O60" s="87">
        <f>M60/$G$3</f>
        <v>434804.9154379174</v>
      </c>
      <c r="P60" s="88">
        <f>IFERROR(L60/M60-1,0)</f>
        <v>-0.47963267664197806</v>
      </c>
      <c r="Q60" s="87"/>
      <c r="R60" s="130"/>
      <c r="U60" s="105" t="s">
        <v>1288</v>
      </c>
      <c r="V60" s="133">
        <v>0.54894712421645797</v>
      </c>
      <c r="W60" s="133">
        <v>0.54894712421645797</v>
      </c>
    </row>
    <row r="61" spans="2:35" hidden="1" outlineLevel="1" x14ac:dyDescent="0.2">
      <c r="C61" s="105" t="s">
        <v>1288</v>
      </c>
      <c r="D61" s="133">
        <f>D60/D8</f>
        <v>0.15333849335422278</v>
      </c>
      <c r="E61" s="133">
        <f>E60/E8</f>
        <v>0.7956335963787079</v>
      </c>
      <c r="F61" s="133">
        <f>F60/F8</f>
        <v>0.15333849335422275</v>
      </c>
      <c r="G61" s="133">
        <f>G60/G8</f>
        <v>0.79563359637870779</v>
      </c>
      <c r="H61" s="88">
        <f>F61-G61</f>
        <v>-0.642295103024485</v>
      </c>
      <c r="K61" s="105" t="s">
        <v>1288</v>
      </c>
      <c r="L61" s="133">
        <f>L60/L8</f>
        <v>0.15289799363002232</v>
      </c>
      <c r="M61" s="133">
        <f>M60/M8</f>
        <v>0.74764715307910523</v>
      </c>
      <c r="N61" s="133">
        <f>N60/N8</f>
        <v>0.15289799363002229</v>
      </c>
      <c r="O61" s="133">
        <f>O60/O8</f>
        <v>0.74764715307910523</v>
      </c>
      <c r="P61" s="88">
        <f>N61-O61</f>
        <v>-0.59474915944908291</v>
      </c>
      <c r="Q61" s="133"/>
      <c r="R61" s="130"/>
      <c r="U61" s="109" t="s">
        <v>1675</v>
      </c>
      <c r="V61" s="87">
        <f>(L12+L11+L9+L16-V64-V65)/11</f>
        <v>-238027086.52365091</v>
      </c>
      <c r="W61" s="87">
        <f>V61/C_RATE</f>
        <v>-173167.28130926553</v>
      </c>
      <c r="AF61" s="98"/>
      <c r="AG61" s="98"/>
      <c r="AH61" s="98"/>
      <c r="AI61" s="98"/>
    </row>
    <row r="62" spans="2:35" hidden="1" outlineLevel="1" x14ac:dyDescent="0.2">
      <c r="D62" s="135"/>
      <c r="E62" s="135"/>
      <c r="F62" s="135"/>
      <c r="G62" s="135"/>
      <c r="H62" s="130"/>
      <c r="L62" s="135"/>
      <c r="M62" s="135"/>
      <c r="N62" s="135"/>
      <c r="O62" s="135"/>
      <c r="P62" s="130"/>
      <c r="Q62" s="135"/>
      <c r="R62" s="130"/>
      <c r="U62" s="109" t="s">
        <v>1677</v>
      </c>
      <c r="V62" s="87">
        <f>V61+(V56/11)</f>
        <v>20177100.799731106</v>
      </c>
      <c r="W62" s="87">
        <f>V62/C_RATE</f>
        <v>14679.059182809724</v>
      </c>
    </row>
    <row r="63" spans="2:35" hidden="1" outlineLevel="1" x14ac:dyDescent="0.2"/>
    <row r="64" spans="2:35" collapsed="1" x14ac:dyDescent="0.2">
      <c r="C64" s="126" t="s">
        <v>22</v>
      </c>
      <c r="D64" s="127"/>
      <c r="E64" s="127"/>
      <c r="F64" s="127"/>
      <c r="G64" s="127"/>
      <c r="H64" s="128"/>
      <c r="K64" s="126" t="s">
        <v>22</v>
      </c>
      <c r="L64" s="127"/>
      <c r="M64" s="127"/>
      <c r="N64" s="127"/>
      <c r="O64" s="127"/>
      <c r="P64" s="128"/>
      <c r="Q64" s="127"/>
      <c r="U64" s="104" t="s">
        <v>1676</v>
      </c>
      <c r="V64" s="118">
        <v>835749888.25</v>
      </c>
    </row>
    <row r="65" spans="2:27" x14ac:dyDescent="0.2">
      <c r="C65" s="105" t="s">
        <v>23</v>
      </c>
      <c r="D65" s="93">
        <f>D10/D8</f>
        <v>0.78624074530685306</v>
      </c>
      <c r="E65" s="93">
        <f>E10/E8</f>
        <v>0.72744872343156208</v>
      </c>
      <c r="F65" s="93">
        <f>F10/F8</f>
        <v>0.78624074530685295</v>
      </c>
      <c r="G65" s="93">
        <f>G10/G8</f>
        <v>0.72744872343156219</v>
      </c>
      <c r="H65" s="88">
        <f>D65-E65</f>
        <v>5.8792021875290978E-2</v>
      </c>
      <c r="K65" s="105" t="s">
        <v>23</v>
      </c>
      <c r="L65" s="93">
        <f>L10/L8</f>
        <v>0.78241764946282399</v>
      </c>
      <c r="M65" s="93">
        <f>M10/M8</f>
        <v>0.72262942921796813</v>
      </c>
      <c r="N65" s="238">
        <f>N10/N8</f>
        <v>0.78241764946282399</v>
      </c>
      <c r="O65" s="238">
        <f>O10/O8</f>
        <v>0.72262942921796802</v>
      </c>
      <c r="P65" s="416">
        <f>L65-M65</f>
        <v>5.9788220244855861E-2</v>
      </c>
      <c r="Q65" s="238"/>
      <c r="R65" s="130">
        <f>P65*100</f>
        <v>5.9788220244855861</v>
      </c>
      <c r="U65" s="104" t="s">
        <v>1451</v>
      </c>
      <c r="V65" s="118">
        <v>29402634.399999999</v>
      </c>
    </row>
    <row r="66" spans="2:27" x14ac:dyDescent="0.2">
      <c r="C66" s="105" t="s">
        <v>24</v>
      </c>
      <c r="D66" s="93">
        <f>D13/D8</f>
        <v>0.37115321184142341</v>
      </c>
      <c r="E66" s="93">
        <f>E13/E8</f>
        <v>7.4647286895273654E-2</v>
      </c>
      <c r="F66" s="93">
        <f>F13/F8</f>
        <v>0.37115321184142336</v>
      </c>
      <c r="G66" s="93">
        <f>G13/G8</f>
        <v>7.4647286895273821E-2</v>
      </c>
      <c r="H66" s="88">
        <f>D66-E66</f>
        <v>0.29650592494614975</v>
      </c>
      <c r="K66" s="105" t="s">
        <v>24</v>
      </c>
      <c r="L66" s="93">
        <f>L13/L8</f>
        <v>0.26042901128493745</v>
      </c>
      <c r="M66" s="93">
        <f>M13/M8</f>
        <v>-0.26185801666499831</v>
      </c>
      <c r="N66" s="238">
        <f>N13/N8</f>
        <v>0.2604290112849374</v>
      </c>
      <c r="O66" s="238">
        <f>O13/O8</f>
        <v>-0.26185801666499847</v>
      </c>
      <c r="P66" s="88">
        <f>L66-M66</f>
        <v>0.52228702794993576</v>
      </c>
      <c r="Q66" s="238"/>
      <c r="R66" s="130"/>
    </row>
    <row r="67" spans="2:27" x14ac:dyDescent="0.2">
      <c r="C67" s="105" t="s">
        <v>25</v>
      </c>
      <c r="D67" s="93">
        <f>D19/D8</f>
        <v>0.35048183400594024</v>
      </c>
      <c r="E67" s="93">
        <f>E19/E8</f>
        <v>5.2923350648306909E-2</v>
      </c>
      <c r="F67" s="93">
        <f>F19/F8</f>
        <v>0.35048183400594018</v>
      </c>
      <c r="G67" s="93">
        <f>G19/G8</f>
        <v>5.2923350648307069E-2</v>
      </c>
      <c r="H67" s="88">
        <f>D67-E67</f>
        <v>0.29755848335763335</v>
      </c>
      <c r="K67" s="105" t="s">
        <v>25</v>
      </c>
      <c r="L67" s="93">
        <f>L19/L8</f>
        <v>0.2394042128641175</v>
      </c>
      <c r="M67" s="93">
        <f>M19/M8</f>
        <v>-0.28339918082130811</v>
      </c>
      <c r="N67" s="238">
        <f>N19/N8</f>
        <v>0.23940421286411745</v>
      </c>
      <c r="O67" s="238">
        <f>O19/O8</f>
        <v>-0.28339918082130822</v>
      </c>
      <c r="P67" s="88">
        <f>L67-M67</f>
        <v>0.52280339368542561</v>
      </c>
      <c r="Q67" s="238"/>
      <c r="R67" s="130"/>
    </row>
    <row r="68" spans="2:27" x14ac:dyDescent="0.2">
      <c r="C68" s="105" t="s">
        <v>1714</v>
      </c>
      <c r="D68" s="93">
        <f>-D12/D8</f>
        <v>0.44573318352857899</v>
      </c>
      <c r="E68" s="93">
        <f t="shared" ref="E68:G68" si="34">-E12/E8</f>
        <v>0.79930774254767523</v>
      </c>
      <c r="F68" s="93">
        <f t="shared" si="34"/>
        <v>0.44573318352857894</v>
      </c>
      <c r="G68" s="93">
        <f t="shared" si="34"/>
        <v>0.79930774254767523</v>
      </c>
      <c r="H68" s="88">
        <f>G68-F68</f>
        <v>0.35357455901909629</v>
      </c>
      <c r="K68" s="105" t="s">
        <v>1714</v>
      </c>
      <c r="L68" s="93">
        <f>-L12/L8</f>
        <v>0.55254625163584004</v>
      </c>
      <c r="M68" s="93">
        <f t="shared" ref="M68:O68" si="35">-M12/M8</f>
        <v>1.1221615514374927</v>
      </c>
      <c r="N68" s="93">
        <f t="shared" si="35"/>
        <v>0.55254625163584004</v>
      </c>
      <c r="O68" s="93">
        <f t="shared" si="35"/>
        <v>1.1221615514374927</v>
      </c>
      <c r="P68" s="88">
        <f>O68-N68</f>
        <v>0.56961529980165271</v>
      </c>
      <c r="Q68" s="93"/>
      <c r="R68" s="130"/>
    </row>
    <row r="69" spans="2:27" ht="18" customHeight="1" x14ac:dyDescent="0.2">
      <c r="B69" s="1" t="s">
        <v>1715</v>
      </c>
      <c r="C69" s="105" t="s">
        <v>1223</v>
      </c>
      <c r="D69" s="87">
        <f>-SUMIFS(
    INDEX(NG!C:AL, MATCH($B69, NG!$B:$B, 0), ),
    NG!$C$3:$AL$3, "&gt;="&amp;DATE(YEAR($C$2),1,1),
    NG!$C$3:$AL$3, "&lt;="&amp;$C$2
)</f>
        <v>697290673.06999993</v>
      </c>
      <c r="E69" s="87">
        <f>-SUMIFS(
    INDEX(NG!C:AL, MATCH($B69, NG!$B:$B, 0), ),
    NG!$C$3:$AL$3, "&gt;="&amp;DATE(YEAR($C$2)-1,1,1),
    NG!$C$3:$AL$3, "&lt;="&amp;EDATE($C$2,-12)
)</f>
        <v>716440919.19999993</v>
      </c>
      <c r="F69" s="87">
        <f>D69/$F$3</f>
        <v>507286.51054526935</v>
      </c>
      <c r="G69" s="87">
        <f>E69/$G$3</f>
        <v>447244.47168986819</v>
      </c>
      <c r="H69" s="89">
        <f>D69/E69-1</f>
        <v>-2.6729693428711121E-2</v>
      </c>
      <c r="K69" s="105" t="s">
        <v>1223</v>
      </c>
      <c r="L69" s="87">
        <f>-SUMIFS(
    INDEX(Group!C:AL, MATCH($B69, Group!$B:$B, 0), ),
    Group!$C$3:$AL$3, "&gt;="&amp;DATE(YEAR($C$2),1,1),
    Group!$C$3:$AL$3, "&lt;="&amp;$C$2
)</f>
        <v>912562804.35222006</v>
      </c>
      <c r="M69" s="87">
        <f>-SUMIFS(
    INDEX(Group!C:AL, MATCH($B69, Group!$B:$B, 0), ),
    Group!$C$3:$AL$3, "&gt;="&amp;DATE(YEAR($C$2)-1,1,1),
    Group!$C$3:$AL$3, "&lt;="&amp;EDATE($C$2,-12)
)</f>
        <v>985247266.31364155</v>
      </c>
      <c r="N69" s="87">
        <f>L69/$F$3</f>
        <v>663899.31566856068</v>
      </c>
      <c r="O69" s="87">
        <f>M69/$G$3</f>
        <v>615049.17055599065</v>
      </c>
      <c r="P69" s="89">
        <f>L69/M69-1</f>
        <v>-7.3772812619287476E-2</v>
      </c>
      <c r="Q69" s="87"/>
      <c r="R69" s="398"/>
    </row>
    <row r="70" spans="2:27" x14ac:dyDescent="0.2">
      <c r="C70" s="105" t="s">
        <v>1224</v>
      </c>
      <c r="D70" s="93">
        <f>D69/D8</f>
        <v>0.29500215212886305</v>
      </c>
      <c r="E70" s="93">
        <f>E69/E8</f>
        <v>0.81839628494704364</v>
      </c>
      <c r="F70" s="93">
        <f>F69/F8</f>
        <v>0.2950021521288631</v>
      </c>
      <c r="G70" s="93">
        <f>G69/G8</f>
        <v>0.81839628494704353</v>
      </c>
      <c r="H70" s="89">
        <f>D70-E70</f>
        <v>-0.52339413281818059</v>
      </c>
      <c r="K70" s="105" t="s">
        <v>1224</v>
      </c>
      <c r="L70" s="93">
        <f>L69/L8</f>
        <v>0.38496804901229531</v>
      </c>
      <c r="M70" s="93">
        <f>M69/M8</f>
        <v>1.0575771916164287</v>
      </c>
      <c r="N70" s="93">
        <f>N69/N8</f>
        <v>0.38496804901229531</v>
      </c>
      <c r="O70" s="93">
        <f>O69/O8</f>
        <v>1.0575771916164287</v>
      </c>
      <c r="P70" s="89">
        <f>L70-M70</f>
        <v>-0.6726091426041334</v>
      </c>
      <c r="Q70" s="93"/>
      <c r="R70" s="398"/>
    </row>
    <row r="71" spans="2:27" hidden="1" x14ac:dyDescent="0.2">
      <c r="B71" s="83" t="s">
        <v>78</v>
      </c>
      <c r="C71" s="105" t="s">
        <v>1246</v>
      </c>
      <c r="D71" s="94">
        <f>L71-6-2</f>
        <v>-8</v>
      </c>
      <c r="E71" s="94">
        <v>160</v>
      </c>
      <c r="F71" s="95">
        <f>D71</f>
        <v>-8</v>
      </c>
      <c r="G71" s="95">
        <f>E71</f>
        <v>160</v>
      </c>
      <c r="H71" s="88">
        <f>IFERROR(D71/E71-1,0)</f>
        <v>-1.05</v>
      </c>
      <c r="K71" s="105" t="s">
        <v>1246</v>
      </c>
      <c r="L71" s="87">
        <f>SUMIFS(INDEX(Group!$C:$AL, MATCH(Summary!$B71, Group!$B:$B, 0), ),Group!$C$3:$AL$3, Summary!$C$2)</f>
        <v>0</v>
      </c>
      <c r="M71" s="87">
        <f>L71</f>
        <v>0</v>
      </c>
      <c r="N71" s="87">
        <f>L71</f>
        <v>0</v>
      </c>
      <c r="O71" s="87">
        <f>M71</f>
        <v>0</v>
      </c>
      <c r="P71" s="88">
        <f>IFERROR(L71/M71-1,0)</f>
        <v>0</v>
      </c>
      <c r="Q71" s="87"/>
      <c r="R71" s="130"/>
    </row>
    <row r="72" spans="2:27" hidden="1" x14ac:dyDescent="0.2">
      <c r="C72" s="105" t="s">
        <v>1242</v>
      </c>
      <c r="D72" s="94">
        <f>D8/D71/MONTH(D6)</f>
        <v>-73864998.530312508</v>
      </c>
      <c r="E72" s="94">
        <f>E8/E71/MONTH(E6)</f>
        <v>1367844.596609375</v>
      </c>
      <c r="F72" s="87">
        <f>D72/$F$3</f>
        <v>-53737.585777390792</v>
      </c>
      <c r="G72" s="87">
        <f>E72/$G$3</f>
        <v>853.888879836054</v>
      </c>
      <c r="H72" s="88">
        <f>IFERROR(D72/E72-1,0)</f>
        <v>-55.001016426434482</v>
      </c>
      <c r="K72" s="105" t="s">
        <v>1242</v>
      </c>
      <c r="L72" s="94" t="e">
        <f>L8/L71/MONTH(L6)</f>
        <v>#DIV/0!</v>
      </c>
      <c r="M72" s="94" t="e">
        <f>M8/M71/MONTH(M6)</f>
        <v>#DIV/0!</v>
      </c>
      <c r="N72" s="87" t="e">
        <f>L72/$F$3</f>
        <v>#DIV/0!</v>
      </c>
      <c r="O72" s="87" t="e">
        <f>M72/$G$3</f>
        <v>#DIV/0!</v>
      </c>
      <c r="P72" s="88">
        <f>IFERROR(L72/M72-1,0)</f>
        <v>0</v>
      </c>
      <c r="Q72" s="87"/>
      <c r="R72" s="130"/>
    </row>
    <row r="73" spans="2:27" ht="14" x14ac:dyDescent="0.2">
      <c r="B73" s="412" t="s">
        <v>1716</v>
      </c>
      <c r="C73" s="105" t="s">
        <v>1082</v>
      </c>
      <c r="D73" s="87">
        <f>-SUMIFS(
    INDEX(NG!C:AL, MATCH($B73, NG!$B:$B, 0), ),
    NG!$C$3:$AL$3, "&gt;="&amp;DATE(YEAR($C$2),1,1),
    NG!$C$3:$AL$3, "&lt;="&amp;$C$2
)</f>
        <v>109161931.17999999</v>
      </c>
      <c r="E73" s="87">
        <f>-SUMIFS(
    INDEX(NG!C:AL, MATCH($B73, NG!$B:$B, 0), ),
    NG!$C$3:$AL$3, "&gt;="&amp;DATE(YEAR($C$2)-1,1,1),
    NG!$C$3:$AL$3, "&lt;="&amp;EDATE($C$2,-12)
)</f>
        <v>270152061.5</v>
      </c>
      <c r="F73" s="87">
        <f>D73/$F$3</f>
        <v>79416.486253683019</v>
      </c>
      <c r="G73" s="87">
        <f>E73/$G$3</f>
        <v>168644.77276983581</v>
      </c>
      <c r="H73" s="89">
        <f>D73/E73-1</f>
        <v>-0.59592412297768083</v>
      </c>
      <c r="K73" s="105" t="s">
        <v>1082</v>
      </c>
      <c r="L73" s="87">
        <f>-SUMIFS(
    INDEX(Group!C:AL, MATCH($B73, Group!$B:$B, 0), ),
    Group!$C$3:$AL$3, "&gt;="&amp;DATE(YEAR($C$2),1,1),
    Group!$C$3:$AL$3, "&lt;="&amp;$C$2
)</f>
        <v>112489699.559</v>
      </c>
      <c r="M73" s="87">
        <f>-SUMIFS(
    INDEX(Group!C:AL, MATCH($B73, Group!$B:$B, 0), ),
    Group!$C$3:$AL$3, "&gt;="&amp;DATE(YEAR($C$2)-1,1,1),
    Group!$C$3:$AL$3, "&lt;="&amp;EDATE($C$2,-12)
)</f>
        <v>317842338.03270018</v>
      </c>
      <c r="N73" s="87">
        <f>L73/$F$3</f>
        <v>81837.473761594709</v>
      </c>
      <c r="O73" s="87">
        <f>M73/$G$3</f>
        <v>198415.84245751929</v>
      </c>
      <c r="P73" s="89">
        <f>L73/M73-1</f>
        <v>-0.64608333724430733</v>
      </c>
      <c r="Q73" s="87"/>
      <c r="R73" s="130"/>
    </row>
    <row r="74" spans="2:27" x14ac:dyDescent="0.2">
      <c r="C74" s="105" t="s">
        <v>1717</v>
      </c>
      <c r="D74" s="93">
        <f>D73/D8</f>
        <v>4.6183042269676289E-2</v>
      </c>
      <c r="E74" s="93">
        <f t="shared" ref="E74:G74" si="36">E73/E8</f>
        <v>0.30859689553922015</v>
      </c>
      <c r="F74" s="93">
        <f t="shared" si="36"/>
        <v>4.6183042269676289E-2</v>
      </c>
      <c r="G74" s="93">
        <f t="shared" si="36"/>
        <v>0.30859689553922015</v>
      </c>
      <c r="H74" s="88"/>
      <c r="K74" s="105" t="s">
        <v>1717</v>
      </c>
      <c r="L74" s="93">
        <f>L73/L8</f>
        <v>4.7454202567402876E-2</v>
      </c>
      <c r="M74" s="93">
        <f t="shared" ref="M74" si="37">M73/M8</f>
        <v>0.34117608718785897</v>
      </c>
      <c r="N74" s="93">
        <f t="shared" ref="N74" si="38">N73/N8</f>
        <v>4.7454202567402876E-2</v>
      </c>
      <c r="O74" s="93">
        <f t="shared" ref="O74" si="39">O73/O8</f>
        <v>0.34117608718785897</v>
      </c>
      <c r="P74" s="88"/>
      <c r="Q74" s="93"/>
      <c r="R74" s="130"/>
    </row>
    <row r="75" spans="2:27" x14ac:dyDescent="0.2">
      <c r="C75" s="105"/>
      <c r="D75" s="91"/>
      <c r="E75" s="91"/>
      <c r="F75" s="91"/>
      <c r="G75" s="91"/>
      <c r="H75" s="92"/>
      <c r="K75" s="105"/>
      <c r="L75" s="91"/>
      <c r="M75" s="91"/>
      <c r="N75" s="91"/>
      <c r="O75" s="91"/>
      <c r="P75" s="92"/>
      <c r="Q75" s="91"/>
      <c r="V75" s="118"/>
      <c r="W75" s="118"/>
    </row>
    <row r="76" spans="2:27" x14ac:dyDescent="0.2">
      <c r="C76" s="107" t="s">
        <v>26</v>
      </c>
      <c r="D76" s="91"/>
      <c r="E76" s="91"/>
      <c r="F76" s="91"/>
      <c r="G76" s="91"/>
      <c r="H76" s="92"/>
      <c r="K76" s="107" t="s">
        <v>26</v>
      </c>
      <c r="L76" s="91"/>
      <c r="M76" s="91"/>
      <c r="N76" s="91"/>
      <c r="O76" s="91"/>
      <c r="P76" s="92"/>
      <c r="Q76" s="91"/>
      <c r="W76" s="118"/>
    </row>
    <row r="77" spans="2:27" x14ac:dyDescent="0.2">
      <c r="C77" s="106" t="s">
        <v>27</v>
      </c>
      <c r="D77" s="91"/>
      <c r="E77" s="91"/>
      <c r="F77" s="91"/>
      <c r="G77" s="91"/>
      <c r="H77" s="92"/>
      <c r="K77" s="106" t="s">
        <v>27</v>
      </c>
      <c r="L77" s="91"/>
      <c r="M77" s="91"/>
      <c r="N77" s="91"/>
      <c r="O77" s="91"/>
      <c r="P77" s="92"/>
      <c r="Q77" s="91"/>
      <c r="Y77" s="217"/>
      <c r="AA77" s="217"/>
    </row>
    <row r="78" spans="2:27" x14ac:dyDescent="0.2">
      <c r="C78" s="105" t="s">
        <v>6</v>
      </c>
      <c r="D78" s="93">
        <f>-D9/D8</f>
        <v>0.21375925469314699</v>
      </c>
      <c r="E78" s="93">
        <f>-E9/E8</f>
        <v>0.27255127656843781</v>
      </c>
      <c r="F78" s="93">
        <f>-F9/F8</f>
        <v>0.21375925469314697</v>
      </c>
      <c r="G78" s="93">
        <f>-G9/G8</f>
        <v>0.27255127656843775</v>
      </c>
      <c r="H78" s="89">
        <f>D78-E78</f>
        <v>-5.8792021875290812E-2</v>
      </c>
      <c r="K78" s="105" t="s">
        <v>6</v>
      </c>
      <c r="L78" s="93">
        <f>-L9/L8</f>
        <v>0.21758235053717601</v>
      </c>
      <c r="M78" s="93">
        <f>-M9/M8</f>
        <v>0.27737057078203192</v>
      </c>
      <c r="N78" s="93">
        <f>-N9/N8</f>
        <v>0.21758235053717598</v>
      </c>
      <c r="O78" s="93">
        <f>-O9/O8</f>
        <v>0.27737057078203198</v>
      </c>
      <c r="P78" s="89">
        <f>L78-M78</f>
        <v>-5.9788220244855916E-2</v>
      </c>
      <c r="Q78" s="93"/>
      <c r="R78" s="398"/>
      <c r="Y78" s="217"/>
      <c r="AA78" s="217"/>
    </row>
    <row r="79" spans="2:27" x14ac:dyDescent="0.2">
      <c r="C79" s="105" t="s">
        <v>28</v>
      </c>
      <c r="D79" s="93">
        <f>-D12/D8</f>
        <v>0.44573318352857899</v>
      </c>
      <c r="E79" s="93">
        <f>-E12/E8</f>
        <v>0.79930774254767523</v>
      </c>
      <c r="F79" s="93">
        <f>-F12/F8</f>
        <v>0.44573318352857894</v>
      </c>
      <c r="G79" s="93">
        <f>-G12/G8</f>
        <v>0.79930774254767523</v>
      </c>
      <c r="H79" s="89">
        <f>D79-E79</f>
        <v>-0.35357455901909624</v>
      </c>
      <c r="K79" s="105" t="s">
        <v>28</v>
      </c>
      <c r="L79" s="93">
        <f>-L12/L8</f>
        <v>0.55254625163584004</v>
      </c>
      <c r="M79" s="93">
        <f>-M12/M8</f>
        <v>1.1221615514374927</v>
      </c>
      <c r="N79" s="93">
        <f>-N12/N8</f>
        <v>0.55254625163584004</v>
      </c>
      <c r="O79" s="93">
        <f>-O12/O8</f>
        <v>1.1221615514374927</v>
      </c>
      <c r="P79" s="89">
        <f>L79-M79</f>
        <v>-0.56961529980165271</v>
      </c>
      <c r="Q79" s="93"/>
      <c r="R79" s="398"/>
    </row>
    <row r="80" spans="2:27" x14ac:dyDescent="0.2">
      <c r="C80" s="108" t="s">
        <v>29</v>
      </c>
      <c r="D80" s="96">
        <f>-SUM(D9,D11,D12,D14,D16,D18)/D8</f>
        <v>0.64951816599405987</v>
      </c>
      <c r="E80" s="96">
        <f>-SUM(E9,E11,E12,E14,E16,E18)/E8</f>
        <v>0.94707664935169289</v>
      </c>
      <c r="F80" s="96">
        <f>-SUM(F9,F11,F12,F14,F16,F18)/F8</f>
        <v>0.64951816599405965</v>
      </c>
      <c r="G80" s="96">
        <f>-SUM(G9,G11,G12,G14,G16,G18)/G8</f>
        <v>0.947076649351693</v>
      </c>
      <c r="H80" s="134">
        <f>D80-E80</f>
        <v>-0.29755848335763302</v>
      </c>
      <c r="K80" s="108" t="s">
        <v>29</v>
      </c>
      <c r="L80" s="96">
        <f>-SUM(L9,L11,L12,L14,L16,L18)/L8</f>
        <v>0.7605957871358825</v>
      </c>
      <c r="M80" s="96">
        <f>-SUM(M9,M11,M12,M14,M16,M18)/M8</f>
        <v>1.2833991808213079</v>
      </c>
      <c r="N80" s="96">
        <f>-SUM(N9,N11,N12,N14,N16,N18)/N8</f>
        <v>0.76059578713588261</v>
      </c>
      <c r="O80" s="96">
        <f>-SUM(O9,O11,O12,O14,O16,O18)/O8</f>
        <v>1.2833991808213081</v>
      </c>
      <c r="P80" s="134">
        <f>L80-M80</f>
        <v>-0.52280339368542539</v>
      </c>
      <c r="Q80" s="96"/>
      <c r="R80" s="398"/>
    </row>
    <row r="81" spans="2:20" x14ac:dyDescent="0.2">
      <c r="D81" s="116"/>
      <c r="E81" s="116"/>
      <c r="F81" s="116"/>
      <c r="G81" s="116"/>
      <c r="L81" s="115">
        <f>BS_NG!AE48+BS_NG!AE46</f>
        <v>1917619781.52</v>
      </c>
      <c r="M81" s="115">
        <f>L81/C_RATE</f>
        <v>1395089.1430068023</v>
      </c>
      <c r="N81" s="116"/>
      <c r="O81" s="116"/>
      <c r="Q81" s="116"/>
    </row>
    <row r="82" spans="2:20" x14ac:dyDescent="0.2">
      <c r="D82" s="115">
        <v>2379042709.27</v>
      </c>
      <c r="E82" s="115">
        <f>D82-D87</f>
        <v>-79616628.200000286</v>
      </c>
      <c r="L82" s="115">
        <f>L81-L87</f>
        <v>-725718593.38832045</v>
      </c>
      <c r="M82" s="115">
        <f>L82/C_RATE</f>
        <v>-527968.13021594007</v>
      </c>
    </row>
    <row r="83" spans="2:20" x14ac:dyDescent="0.2">
      <c r="C83" s="425" t="s">
        <v>1222</v>
      </c>
      <c r="D83" s="426"/>
      <c r="E83" s="426"/>
      <c r="F83" s="426"/>
      <c r="G83" s="426"/>
      <c r="H83" s="427"/>
      <c r="K83" s="425" t="s">
        <v>1250</v>
      </c>
      <c r="L83" s="426"/>
      <c r="M83" s="426"/>
      <c r="N83" s="426"/>
      <c r="O83" s="426"/>
      <c r="P83" s="427"/>
      <c r="Q83" s="400"/>
      <c r="R83" s="400"/>
    </row>
    <row r="84" spans="2:20" x14ac:dyDescent="0.2">
      <c r="C84" s="109"/>
      <c r="D84" s="85" t="str">
        <f>D5</f>
        <v>YTD</v>
      </c>
      <c r="E84" s="85" t="str">
        <f>E5</f>
        <v>YTD</v>
      </c>
      <c r="F84" s="85" t="str">
        <f>F5</f>
        <v>YTD</v>
      </c>
      <c r="G84" s="85" t="str">
        <f>G5</f>
        <v>YTD</v>
      </c>
      <c r="H84" s="417" t="str">
        <f>H5</f>
        <v>Variance 
(%)</v>
      </c>
      <c r="K84" s="109"/>
      <c r="L84" s="85" t="str">
        <f>L5</f>
        <v>YTD</v>
      </c>
      <c r="M84" s="85" t="str">
        <f>M5</f>
        <v>YTD</v>
      </c>
      <c r="N84" s="85" t="str">
        <f>N5</f>
        <v>YTD</v>
      </c>
      <c r="O84" s="85" t="str">
        <f>O5</f>
        <v>YTD</v>
      </c>
      <c r="P84" s="417" t="str">
        <f>P5</f>
        <v>Variance 
(%)</v>
      </c>
      <c r="Q84" s="85"/>
      <c r="R84" s="396"/>
    </row>
    <row r="85" spans="2:20" x14ac:dyDescent="0.2">
      <c r="C85" s="420" t="s">
        <v>30</v>
      </c>
      <c r="D85" s="86">
        <f>D6</f>
        <v>46142</v>
      </c>
      <c r="E85" s="86">
        <f>EOMONTH(D85,-4)</f>
        <v>46022</v>
      </c>
      <c r="F85" s="86">
        <f>F6</f>
        <v>46142</v>
      </c>
      <c r="G85" s="86">
        <f>E85</f>
        <v>46022</v>
      </c>
      <c r="H85" s="418"/>
      <c r="K85" s="420" t="s">
        <v>30</v>
      </c>
      <c r="L85" s="86">
        <f>L6</f>
        <v>46142</v>
      </c>
      <c r="M85" s="86">
        <f>E85</f>
        <v>46022</v>
      </c>
      <c r="N85" s="86">
        <f>N6</f>
        <v>46142</v>
      </c>
      <c r="O85" s="86">
        <f>M85</f>
        <v>46022</v>
      </c>
      <c r="P85" s="418"/>
      <c r="Q85" s="86"/>
      <c r="R85" s="397"/>
    </row>
    <row r="86" spans="2:20" x14ac:dyDescent="0.2">
      <c r="C86" s="421"/>
      <c r="D86" s="86" t="str">
        <f>D7</f>
        <v>NGN</v>
      </c>
      <c r="E86" s="86" t="str">
        <f>E7</f>
        <v>NGN</v>
      </c>
      <c r="F86" s="86" t="str">
        <f>F7</f>
        <v>USD</v>
      </c>
      <c r="G86" s="86" t="str">
        <f>G7</f>
        <v>USD</v>
      </c>
      <c r="H86" s="419"/>
      <c r="K86" s="421"/>
      <c r="L86" s="86" t="str">
        <f>L7</f>
        <v>NGN</v>
      </c>
      <c r="M86" s="86" t="str">
        <f>M7</f>
        <v>NGN</v>
      </c>
      <c r="N86" s="86" t="str">
        <f>N7</f>
        <v>USD</v>
      </c>
      <c r="O86" s="86" t="str">
        <f>O7</f>
        <v>USD</v>
      </c>
      <c r="P86" s="419"/>
      <c r="Q86" s="86"/>
      <c r="R86" s="397"/>
    </row>
    <row r="87" spans="2:20" x14ac:dyDescent="0.2">
      <c r="B87" s="83" t="s">
        <v>31</v>
      </c>
      <c r="C87" s="109" t="s">
        <v>1243</v>
      </c>
      <c r="D87" s="87">
        <f>SUMIFS(INDEX(NG!$C:$AL, MATCH(Summary!$B87, NG!$B:$B, 0), ),NG!$C$3:$AL$3, Summary!$C$2)</f>
        <v>2458659337.4700003</v>
      </c>
      <c r="E87" s="87">
        <f>SUMIFS(INDEX(NG!$C:$AL,MATCH(Summary!$B87,NG!$B:$B,0),),NG!$C$3:$AL$3,$E$85)</f>
        <v>2378903541.9099998</v>
      </c>
      <c r="F87" s="87">
        <f t="shared" ref="F87:F93" si="40">D87/$F$3</f>
        <v>1788701.27494089</v>
      </c>
      <c r="G87" s="87">
        <f t="shared" ref="G87:G93" si="41">E87/$G$3</f>
        <v>1485051.2153754914</v>
      </c>
      <c r="H87" s="88">
        <f t="shared" ref="H87:H94" si="42">IFERROR(D87/E87-1,0)</f>
        <v>3.3526283918163813E-2</v>
      </c>
      <c r="K87" s="109" t="s">
        <v>1243</v>
      </c>
      <c r="L87" s="87">
        <f>SUMIFS(INDEX(Group!$C:$AL, MATCH(Summary!$B87, Group!$B:$B, 0), ),Group!$C$3:$AL$3, Summary!$C$2)</f>
        <v>2643338374.9083204</v>
      </c>
      <c r="M87" s="87">
        <f>SUMIFS(INDEX(Group!$C:$AL, MATCH(Summary!$B87, Group!$B:$B, 0), ),Group!$C$3:$AL$3, Summary!$M$85)</f>
        <v>2489375193.7731996</v>
      </c>
      <c r="N87" s="87">
        <f t="shared" ref="N87:N93" si="43">L87/$F$3</f>
        <v>1923057.2732227424</v>
      </c>
      <c r="O87" s="87">
        <f t="shared" ref="O87:O93" si="44">M87/$G$3</f>
        <v>1554014.1043593229</v>
      </c>
      <c r="P87" s="88">
        <f>IFERROR(L87/M87-1,0)</f>
        <v>6.1848122179507747E-2</v>
      </c>
      <c r="Q87" s="87"/>
      <c r="R87" s="130"/>
      <c r="T87" s="341">
        <v>3802839</v>
      </c>
    </row>
    <row r="88" spans="2:20" x14ac:dyDescent="0.2">
      <c r="B88" s="83" t="s">
        <v>32</v>
      </c>
      <c r="C88" s="109" t="s">
        <v>33</v>
      </c>
      <c r="D88" s="87">
        <f>SUMIFS(INDEX(NG!$C:$AL, MATCH(Summary!$B88, NG!$B:$B, 0), ),NG!$C$3:$AL$3, Summary!$C$2)</f>
        <v>573307915.97000003</v>
      </c>
      <c r="E88" s="87">
        <f>SUMIFS(INDEX(NG!$C:$AL,MATCH(Summary!$B88,NG!$B:$B,0),),NG!$C$3:$AL$3,$E$85)</f>
        <v>215046153.13999999</v>
      </c>
      <c r="F88" s="87">
        <f t="shared" si="40"/>
        <v>417087.71304790664</v>
      </c>
      <c r="G88" s="87">
        <f t="shared" si="41"/>
        <v>134244.43045133902</v>
      </c>
      <c r="H88" s="88">
        <f t="shared" si="42"/>
        <v>1.6659761525553232</v>
      </c>
      <c r="K88" s="109" t="s">
        <v>33</v>
      </c>
      <c r="L88" s="87">
        <f>SUMIFS(INDEX(Group!$C:$AL, MATCH(Summary!$B88, Group!$B:$B, 0), ),Group!$C$3:$AL$3, Summary!$C$2)</f>
        <v>594221942.35000002</v>
      </c>
      <c r="M88" s="87">
        <f>SUMIFS(INDEX(Group!$C:$AL, MATCH(Summary!$B88, Group!$B:$B, 0), ),Group!$C$3:$AL$3, Summary!$M$85)</f>
        <v>238772588.51249999</v>
      </c>
      <c r="N88" s="87">
        <f t="shared" si="43"/>
        <v>432302.8935651668</v>
      </c>
      <c r="O88" s="87">
        <f t="shared" si="44"/>
        <v>149055.86398183406</v>
      </c>
      <c r="P88" s="88">
        <f t="shared" ref="P88:P94" si="45">IFERROR(L88/M88-1,0)</f>
        <v>1.4886522613498907</v>
      </c>
      <c r="Q88" s="87"/>
      <c r="R88" s="130"/>
      <c r="T88" s="114">
        <f>N87-T87</f>
        <v>-1879781.7267772576</v>
      </c>
    </row>
    <row r="89" spans="2:20" x14ac:dyDescent="0.2">
      <c r="B89" s="83" t="s">
        <v>34</v>
      </c>
      <c r="C89" s="109" t="s">
        <v>35</v>
      </c>
      <c r="D89" s="87">
        <f>SUMIFS(INDEX(NG!$C:$AL, MATCH(Summary!$B89, NG!$B:$B, 0), ),NG!$C$3:$AL$3, Summary!$C$2)</f>
        <v>45773937.899999999</v>
      </c>
      <c r="E89" s="87">
        <f>SUMIFS(INDEX(NG!$C:$AL,MATCH(Summary!$B89,NG!$B:$B,0),),NG!$C$3:$AL$3,$E$85)</f>
        <v>55425069.600000001</v>
      </c>
      <c r="F89" s="87">
        <f t="shared" si="40"/>
        <v>33301.03517514823</v>
      </c>
      <c r="G89" s="87">
        <f t="shared" si="41"/>
        <v>34599.581496972343</v>
      </c>
      <c r="H89" s="88">
        <f t="shared" si="42"/>
        <v>-0.17412935643837246</v>
      </c>
      <c r="K89" s="109" t="s">
        <v>35</v>
      </c>
      <c r="L89" s="87">
        <f>SUMIFS(INDEX(Group!$C:$AL, MATCH(Summary!$B89, Group!$B:$B, 0), ),Group!$C$3:$AL$3, Summary!$C$2)</f>
        <v>49239580.067000002</v>
      </c>
      <c r="M89" s="87">
        <f>SUMIFS(INDEX(Group!$C:$AL, MATCH(Summary!$B89, Group!$B:$B, 0), ),Group!$C$3:$AL$3, Summary!$M$85)</f>
        <v>59078743.077500001</v>
      </c>
      <c r="N89" s="87">
        <f t="shared" si="43"/>
        <v>35822.327355861918</v>
      </c>
      <c r="O89" s="87">
        <f t="shared" si="44"/>
        <v>36880.41892596292</v>
      </c>
      <c r="P89" s="88">
        <f t="shared" si="45"/>
        <v>-0.16654320146237545</v>
      </c>
      <c r="Q89" s="87"/>
      <c r="R89" s="130"/>
    </row>
    <row r="90" spans="2:20" x14ac:dyDescent="0.2">
      <c r="B90" s="83" t="s">
        <v>36</v>
      </c>
      <c r="C90" s="109" t="s">
        <v>37</v>
      </c>
      <c r="D90" s="87">
        <f>SUMIFS(INDEX(NG!$C:$AL, MATCH(Summary!$B90, NG!$B:$B, 0), ),NG!$C$3:$AL$3, Summary!$C$2)</f>
        <v>218955544.52999997</v>
      </c>
      <c r="E90" s="87">
        <f>SUMIFS(INDEX(NG!$C:$AL,MATCH(Summary!$B90,NG!$B:$B,0),),NG!$C$3:$AL$3,$E$85)</f>
        <v>340935812.06000006</v>
      </c>
      <c r="F90" s="87">
        <f t="shared" si="40"/>
        <v>159292.52812193081</v>
      </c>
      <c r="G90" s="87">
        <f t="shared" si="41"/>
        <v>212832.14436606533</v>
      </c>
      <c r="H90" s="88">
        <f t="shared" si="42"/>
        <v>-0.35778074116934722</v>
      </c>
      <c r="K90" s="109" t="s">
        <v>37</v>
      </c>
      <c r="L90" s="87">
        <f>SUMIFS(INDEX(Group!$C:$AL, MATCH(Summary!$B90, Group!$B:$B, 0), ),Group!$C$3:$AL$3, Summary!$C$2)</f>
        <v>227604675.26331997</v>
      </c>
      <c r="M90" s="87">
        <f>SUMIFS(INDEX(Group!$C:$AL, MATCH(Summary!$B90, Group!$B:$B, 0), ),Group!$C$3:$AL$3, Summary!$M$85)</f>
        <v>353413658.07033008</v>
      </c>
      <c r="N90" s="87">
        <f t="shared" si="43"/>
        <v>165584.86432892218</v>
      </c>
      <c r="O90" s="87">
        <f t="shared" si="44"/>
        <v>220621.54820546231</v>
      </c>
      <c r="P90" s="88">
        <f t="shared" si="45"/>
        <v>-0.35598223196561873</v>
      </c>
      <c r="Q90" s="87"/>
      <c r="R90" s="130"/>
    </row>
    <row r="91" spans="2:20" x14ac:dyDescent="0.2">
      <c r="B91" s="83" t="s">
        <v>38</v>
      </c>
      <c r="C91" s="109" t="s">
        <v>39</v>
      </c>
      <c r="D91" s="87">
        <f>SUMIFS(INDEX(NG!$C:$AL, MATCH(Summary!$B91, NG!$B:$B, 0), ),NG!$C$3:$AL$3, Summary!$C$2)</f>
        <v>7688792.6900000004</v>
      </c>
      <c r="E91" s="87">
        <f>SUMIFS(INDEX(NG!$C:$AL,MATCH(Summary!$B91,NG!$B:$B,0),),NG!$C$3:$AL$3,$E$85)</f>
        <v>402004.23</v>
      </c>
      <c r="F91" s="87">
        <f t="shared" si="40"/>
        <v>5593.6798879633343</v>
      </c>
      <c r="G91" s="87">
        <f t="shared" si="41"/>
        <v>250.95463512079402</v>
      </c>
      <c r="H91" s="88">
        <f t="shared" si="42"/>
        <v>18.126148722365436</v>
      </c>
      <c r="K91" s="109" t="s">
        <v>39</v>
      </c>
      <c r="L91" s="87">
        <f>SUMIFS(INDEX(Group!$C:$AL, MATCH(Summary!$B91, Group!$B:$B, 0), ),Group!$C$3:$AL$3, Summary!$C$2)</f>
        <v>9543892.6900000013</v>
      </c>
      <c r="M91" s="87">
        <f>SUMIFS(INDEX(Group!$C:$AL, MATCH(Summary!$B91, Group!$B:$B, 0), ),Group!$C$3:$AL$3, Summary!$M$85)</f>
        <v>402004.23</v>
      </c>
      <c r="N91" s="87">
        <f t="shared" si="43"/>
        <v>6943.2852133425495</v>
      </c>
      <c r="O91" s="87">
        <f t="shared" si="44"/>
        <v>250.95463512079402</v>
      </c>
      <c r="P91" s="88">
        <f t="shared" si="45"/>
        <v>22.740776782373661</v>
      </c>
      <c r="Q91" s="87"/>
      <c r="R91" s="130"/>
    </row>
    <row r="92" spans="2:20" x14ac:dyDescent="0.2">
      <c r="B92" s="83" t="s">
        <v>40</v>
      </c>
      <c r="C92" s="109" t="s">
        <v>41</v>
      </c>
      <c r="D92" s="87">
        <f>SUMIFS(INDEX(NG!$C:$AL, MATCH(Summary!$B92, NG!$B:$B, 0), ),NG!$C$3:$AL$3, Summary!$C$2)</f>
        <v>572284631.25</v>
      </c>
      <c r="E92" s="87">
        <f>SUMIFS(INDEX(NG!$C:$AL,MATCH(Summary!$B92,NG!$B:$B,0),),NG!$C$3:$AL$3,$E$85)</f>
        <v>564583490.31999993</v>
      </c>
      <c r="F92" s="87">
        <f t="shared" si="40"/>
        <v>416343.26234040235</v>
      </c>
      <c r="G92" s="87">
        <f t="shared" si="41"/>
        <v>352446.15164492157</v>
      </c>
      <c r="H92" s="88">
        <f t="shared" si="42"/>
        <v>1.3640393426373798E-2</v>
      </c>
      <c r="K92" s="109" t="s">
        <v>41</v>
      </c>
      <c r="L92" s="87">
        <f>SUMIFS(INDEX(Group!$C:$AL, MATCH(Summary!$B92, Group!$B:$B, 0), ),Group!$C$3:$AL$3, Summary!$C$2)</f>
        <v>572655930.97296</v>
      </c>
      <c r="M92" s="87">
        <f>SUMIFS(INDEX(Group!$C:$AL, MATCH(Summary!$B92, Group!$B:$B, 0), ),Group!$C$3:$AL$3, Summary!$M$85)</f>
        <v>565389264.09296989</v>
      </c>
      <c r="N92" s="87">
        <f t="shared" si="43"/>
        <v>416613.38690695865</v>
      </c>
      <c r="O92" s="87">
        <f t="shared" si="44"/>
        <v>352949.16292713018</v>
      </c>
      <c r="P92" s="88">
        <f t="shared" si="45"/>
        <v>1.2852502411144551E-2</v>
      </c>
      <c r="Q92" s="87"/>
      <c r="R92" s="130"/>
    </row>
    <row r="93" spans="2:20" x14ac:dyDescent="0.2">
      <c r="B93" s="83" t="s">
        <v>42</v>
      </c>
      <c r="C93" s="109" t="s">
        <v>43</v>
      </c>
      <c r="D93" s="87">
        <f>SUMIFS(INDEX(NG!$C:$AL, MATCH(Summary!$B93, NG!$B:$B, 0), ),NG!$C$3:$AL$3, Summary!$C$2)</f>
        <v>-1089905843.3899999</v>
      </c>
      <c r="E93" s="87">
        <f>SUMIFS(INDEX(NG!$C:$AL,MATCH(Summary!$B93,NG!$B:$B,0),),NG!$C$3:$AL$3,$E$85)</f>
        <v>-1184527506.54</v>
      </c>
      <c r="F93" s="87">
        <f t="shared" si="40"/>
        <v>-792918.2957258739</v>
      </c>
      <c r="G93" s="87">
        <f t="shared" si="41"/>
        <v>-739451.59282102494</v>
      </c>
      <c r="H93" s="88">
        <f t="shared" si="42"/>
        <v>-7.9881355753729677E-2</v>
      </c>
      <c r="K93" s="109" t="s">
        <v>43</v>
      </c>
      <c r="L93" s="87">
        <f>SUMIFS(INDEX(Group!$C:$AL, MATCH(Summary!$B93, Group!$B:$B, 0), ),Group!$C$3:$AL$3, Summary!$C$2)</f>
        <v>-1089905843.3899999</v>
      </c>
      <c r="M93" s="87">
        <f>SUMIFS(INDEX(Group!$C:$AL, MATCH(Summary!$B93, Group!$B:$B, 0), ),Group!$C$3:$AL$3, Summary!$M$85)</f>
        <v>-1184527506.54</v>
      </c>
      <c r="N93" s="87">
        <f t="shared" si="43"/>
        <v>-792918.2957258739</v>
      </c>
      <c r="O93" s="87">
        <f t="shared" si="44"/>
        <v>-739451.59282102494</v>
      </c>
      <c r="P93" s="88">
        <f t="shared" si="45"/>
        <v>-7.9881355753729677E-2</v>
      </c>
      <c r="Q93" s="87"/>
      <c r="R93" s="130"/>
    </row>
    <row r="94" spans="2:20" x14ac:dyDescent="0.2">
      <c r="C94" s="110" t="s">
        <v>44</v>
      </c>
      <c r="D94" s="90">
        <f>SUM(D87:D93)</f>
        <v>2786764316.420001</v>
      </c>
      <c r="E94" s="90">
        <f>SUM(E87:E93)</f>
        <v>2370768564.7199993</v>
      </c>
      <c r="F94" s="90">
        <f>SUM(F87:F93)</f>
        <v>2027401.1977883677</v>
      </c>
      <c r="G94" s="90">
        <f>SUM(G87:G93)</f>
        <v>1479972.8851488857</v>
      </c>
      <c r="H94" s="88">
        <f t="shared" si="42"/>
        <v>0.17546873106491234</v>
      </c>
      <c r="K94" s="110" t="s">
        <v>44</v>
      </c>
      <c r="L94" s="90">
        <f>SUM(L87:L93)</f>
        <v>3006698552.8616004</v>
      </c>
      <c r="M94" s="90">
        <f>SUM(M87:M93)</f>
        <v>2521903945.2164993</v>
      </c>
      <c r="N94" s="90">
        <f>SUM(N87:N93)</f>
        <v>2187405.7348671211</v>
      </c>
      <c r="O94" s="90">
        <f>SUM(O87:O93)</f>
        <v>1574320.4602138083</v>
      </c>
      <c r="P94" s="88">
        <f t="shared" si="45"/>
        <v>0.19223357359214677</v>
      </c>
      <c r="Q94" s="90"/>
      <c r="R94" s="130"/>
    </row>
    <row r="95" spans="2:20" x14ac:dyDescent="0.2">
      <c r="C95" s="109"/>
      <c r="D95" s="87"/>
      <c r="E95" s="87"/>
      <c r="F95" s="87"/>
      <c r="G95" s="87"/>
      <c r="H95" s="88"/>
      <c r="K95" s="109"/>
      <c r="L95" s="87"/>
      <c r="M95" s="87"/>
      <c r="N95" s="87"/>
      <c r="O95" s="87"/>
      <c r="P95" s="88"/>
      <c r="Q95" s="87"/>
      <c r="R95" s="130"/>
    </row>
    <row r="96" spans="2:20" x14ac:dyDescent="0.2">
      <c r="B96" s="83" t="s">
        <v>45</v>
      </c>
      <c r="C96" s="109" t="s">
        <v>46</v>
      </c>
      <c r="D96" s="87">
        <f>SUMIFS(INDEX(NG!$C:$AL, MATCH(Summary!$B96, NG!$B:$B, 0), ),NG!$C$3:$AL$3, Summary!$C$2)</f>
        <v>334516283.69000018</v>
      </c>
      <c r="E96" s="87">
        <f>SUMIFS(INDEX(NG!$C:$AL,MATCH(Summary!$B96,NG!$B:$B,0),),NG!$C$3:$AL$3,$E$85)</f>
        <v>326300872.89000016</v>
      </c>
      <c r="F96" s="87">
        <f>D96/$F$3</f>
        <v>243364.21642719448</v>
      </c>
      <c r="G96" s="87">
        <f>E96/$G$3</f>
        <v>203696.15637056006</v>
      </c>
      <c r="H96" s="88">
        <f>IFERROR(D96/E96-1,0)</f>
        <v>2.5177409815785312E-2</v>
      </c>
      <c r="K96" s="109" t="s">
        <v>46</v>
      </c>
      <c r="L96" s="87">
        <f>SUMIFS(INDEX(Group!$C:$AL, MATCH(Summary!$B96, Group!$B:$B, 0), ),Group!$C$3:$AL$3, Summary!$C$2)</f>
        <v>338320734.00424021</v>
      </c>
      <c r="M96" s="87">
        <f>SUMIFS(INDEX(Group!$C:$AL, MATCH(Summary!$B96, Group!$B:$B, 0), ),Group!$C$3:$AL$3, Summary!$M$85)</f>
        <v>331343689.99893022</v>
      </c>
      <c r="N96" s="87">
        <f>L96/$F$3</f>
        <v>246131.99520151337</v>
      </c>
      <c r="O96" s="87">
        <f>M96/$G$3</f>
        <v>206844.17878702178</v>
      </c>
      <c r="P96" s="88">
        <f>IFERROR(L96/M96-1,0)</f>
        <v>2.1056818692797519E-2</v>
      </c>
      <c r="Q96" s="87"/>
      <c r="R96" s="130"/>
    </row>
    <row r="97" spans="2:35" x14ac:dyDescent="0.2">
      <c r="B97" s="83" t="s">
        <v>47</v>
      </c>
      <c r="C97" s="109" t="s">
        <v>48</v>
      </c>
      <c r="D97" s="87">
        <f>SUMIFS(INDEX(NG!$C:$AL, MATCH(Summary!$B97, NG!$B:$B, 0), ),NG!$C$3:$AL$3, Summary!$C$2)</f>
        <v>2425515971.3800001</v>
      </c>
      <c r="E97" s="87">
        <f>SUMIFS(INDEX(NG!$C:$AL,MATCH(Summary!$B97,NG!$B:$B,0),),NG!$C$3:$AL$3,$E$85)</f>
        <v>2348801350.21</v>
      </c>
      <c r="F97" s="87">
        <f>D97/$F$3</f>
        <v>1764589.1174420721</v>
      </c>
      <c r="G97" s="87">
        <f>E97/$G$3</f>
        <v>1466259.6605343653</v>
      </c>
      <c r="H97" s="88">
        <f>IFERROR(D97/E97-1,0)</f>
        <v>3.2661178929900281E-2</v>
      </c>
      <c r="K97" s="109" t="s">
        <v>48</v>
      </c>
      <c r="L97" s="87">
        <f>SUMIFS(INDEX(Group!$C:$AL, MATCH(Summary!$B97, Group!$B:$B, 0), ),Group!$C$3:$AL$3, Summary!$C$2)</f>
        <v>2425515971.3800001</v>
      </c>
      <c r="M97" s="87">
        <f>SUMIFS(INDEX(Group!$C:$AL, MATCH(Summary!$B97, Group!$B:$B, 0), ),Group!$C$3:$AL$3, Summary!$M$85)</f>
        <v>2348801350.21</v>
      </c>
      <c r="N97" s="87">
        <f>L97/$F$3</f>
        <v>1764589.1174420721</v>
      </c>
      <c r="O97" s="87">
        <f>M97/$G$3</f>
        <v>1466259.6605343653</v>
      </c>
      <c r="P97" s="88">
        <f>IFERROR(L97/M97-1,0)</f>
        <v>3.2661178929900281E-2</v>
      </c>
      <c r="Q97" s="87"/>
      <c r="R97" s="130"/>
    </row>
    <row r="98" spans="2:35" x14ac:dyDescent="0.2">
      <c r="B98" s="83" t="s">
        <v>49</v>
      </c>
      <c r="C98" s="109" t="s">
        <v>50</v>
      </c>
      <c r="D98" s="87">
        <f>SUMIFS(INDEX(NG!$C:$AL, MATCH(Summary!$B98, NG!$B:$B, 0), ),NG!$C$3:$AL$3, Summary!$C$2)</f>
        <v>2738957454.1300001</v>
      </c>
      <c r="E98" s="87">
        <f>SUMIFS(INDEX(NG!$C:$AL,MATCH(Summary!$B98,NG!$B:$B,0),),NG!$C$3:$AL$3,$E$85)</f>
        <v>2555385600.1900001</v>
      </c>
      <c r="F98" s="87">
        <f>D98/$F$3</f>
        <v>1992621.1881197484</v>
      </c>
      <c r="G98" s="87">
        <f>E98/$G$3</f>
        <v>1595221.6743804233</v>
      </c>
      <c r="H98" s="88">
        <f>IFERROR(D98/E98-1,0)</f>
        <v>7.1837242068809815E-2</v>
      </c>
      <c r="K98" s="109" t="s">
        <v>50</v>
      </c>
      <c r="L98" s="87">
        <f>SUMIFS(INDEX(Group!$C:$AL, MATCH(Summary!$B98, Group!$B:$B, 0), ),Group!$C$3:$AL$3, Summary!$C$2)</f>
        <v>2738957454.1300001</v>
      </c>
      <c r="M98" s="87">
        <f>SUMIFS(INDEX(Group!$C:$AL, MATCH(Summary!$B98, Group!$B:$B, 0), ),Group!$C$3:$AL$3, Summary!$M$85)</f>
        <v>2555385600.1900001</v>
      </c>
      <c r="N98" s="87">
        <f>L98/$F$3</f>
        <v>1992621.1881197484</v>
      </c>
      <c r="O98" s="87">
        <f>M98/$G$3</f>
        <v>1595221.6743804233</v>
      </c>
      <c r="P98" s="88">
        <f>IFERROR(L98/M98-1,0)</f>
        <v>7.1837242068809815E-2</v>
      </c>
      <c r="Q98" s="87"/>
      <c r="R98" s="130"/>
    </row>
    <row r="99" spans="2:35" s="98" customFormat="1" x14ac:dyDescent="0.2">
      <c r="C99" s="110" t="s">
        <v>51</v>
      </c>
      <c r="D99" s="90">
        <f>SUM(D96:D98)</f>
        <v>5498989709.2000008</v>
      </c>
      <c r="E99" s="90">
        <f>SUM(E96:E98)</f>
        <v>5230487823.2900009</v>
      </c>
      <c r="F99" s="90">
        <f>SUM(F96:F98)</f>
        <v>4000574.5219890149</v>
      </c>
      <c r="G99" s="90">
        <f>SUM(G96:G98)</f>
        <v>3265177.4912853483</v>
      </c>
      <c r="H99" s="99">
        <f>IFERROR(D99/E99-1,0)</f>
        <v>5.1334004586423232E-2</v>
      </c>
      <c r="K99" s="110" t="s">
        <v>51</v>
      </c>
      <c r="L99" s="90">
        <f>SUM(L96:L98)</f>
        <v>5502794159.5142403</v>
      </c>
      <c r="M99" s="90">
        <f>SUM(M96:M98)</f>
        <v>5235530640.3989296</v>
      </c>
      <c r="N99" s="90">
        <f>SUM(N96:N98)</f>
        <v>4003342.3007633341</v>
      </c>
      <c r="O99" s="90">
        <f>SUM(O96:O98)</f>
        <v>3268325.5137018105</v>
      </c>
      <c r="P99" s="99">
        <f>IFERROR(L99/M99-1,0)</f>
        <v>5.1048028838380777E-2</v>
      </c>
      <c r="Q99" s="90"/>
      <c r="R99" s="138"/>
      <c r="U99" s="104"/>
      <c r="V99" s="83"/>
      <c r="W99" s="83"/>
      <c r="X99" s="83"/>
      <c r="Y99" s="83"/>
      <c r="Z99" s="83"/>
      <c r="AA99" s="83"/>
      <c r="AF99" s="83"/>
      <c r="AG99" s="83"/>
      <c r="AH99" s="83"/>
      <c r="AI99" s="83"/>
    </row>
    <row r="100" spans="2:35" x14ac:dyDescent="0.2">
      <c r="C100" s="110" t="s">
        <v>52</v>
      </c>
      <c r="D100" s="90">
        <f>D94+D99</f>
        <v>8285754025.6200018</v>
      </c>
      <c r="E100" s="90">
        <f>E94+E99</f>
        <v>7601256388.0100002</v>
      </c>
      <c r="F100" s="90">
        <f>F94+F99</f>
        <v>6027975.7197773829</v>
      </c>
      <c r="G100" s="90">
        <f>G94+G99</f>
        <v>4745150.376434234</v>
      </c>
      <c r="H100" s="88">
        <f>IFERROR(D100/E100-1,0)</f>
        <v>9.0050591990254114E-2</v>
      </c>
      <c r="K100" s="110" t="s">
        <v>52</v>
      </c>
      <c r="L100" s="90">
        <f>L94+L99</f>
        <v>8509492712.3758411</v>
      </c>
      <c r="M100" s="90">
        <f>M94+M99</f>
        <v>7757434585.6154289</v>
      </c>
      <c r="N100" s="90">
        <f>N94+N99</f>
        <v>6190748.0356304552</v>
      </c>
      <c r="O100" s="90">
        <f>O94+O99</f>
        <v>4842645.9739156188</v>
      </c>
      <c r="P100" s="88">
        <f>IFERROR(L100/M100-1,0)</f>
        <v>9.6946757134755535E-2</v>
      </c>
      <c r="Q100" s="90"/>
      <c r="R100" s="130"/>
      <c r="U100" s="113"/>
      <c r="V100" s="98"/>
      <c r="W100" s="98"/>
      <c r="X100" s="98"/>
      <c r="Y100" s="98"/>
      <c r="Z100" s="98"/>
      <c r="AA100" s="98"/>
    </row>
    <row r="101" spans="2:35" x14ac:dyDescent="0.2">
      <c r="C101" s="109"/>
      <c r="D101" s="87"/>
      <c r="E101" s="87"/>
      <c r="F101" s="87"/>
      <c r="G101" s="87"/>
      <c r="H101" s="88"/>
      <c r="K101" s="109"/>
      <c r="L101" s="87"/>
      <c r="M101" s="87"/>
      <c r="N101" s="87"/>
      <c r="O101" s="87"/>
      <c r="P101" s="88"/>
      <c r="Q101" s="87"/>
      <c r="R101" s="130"/>
    </row>
    <row r="102" spans="2:35" x14ac:dyDescent="0.2">
      <c r="B102" s="83" t="s">
        <v>54</v>
      </c>
      <c r="C102" s="109" t="s">
        <v>56</v>
      </c>
      <c r="D102" s="87">
        <f>SUMIFS(INDEX(NG!$C:$AL, MATCH(Summary!$B102, NG!$B:$B, 0), ),NG!$C$3:$AL$3, Summary!$C$2)</f>
        <v>348729568.84000003</v>
      </c>
      <c r="E102" s="87">
        <f>SUMIFS(INDEX(NG!$C:$AL,MATCH(Summary!$B102,NG!$B:$B,0),),NG!$C$3:$AL$3,$E$85)</f>
        <v>326598228.82999998</v>
      </c>
      <c r="F102" s="87">
        <f>D102/$F$3</f>
        <v>253704.53518606094</v>
      </c>
      <c r="G102" s="87">
        <f>E102/$G$3</f>
        <v>203881.78340096134</v>
      </c>
      <c r="H102" s="88">
        <f>IFERROR(D102/E102-1,0)</f>
        <v>6.7763196663016112E-2</v>
      </c>
      <c r="K102" s="109" t="s">
        <v>56</v>
      </c>
      <c r="L102" s="87">
        <f>SUMIFS(INDEX(Group!$C:$AL, MATCH(Summary!$B102, Group!$B:$B, 0), ),Group!$C$3:$AL$3, Summary!$C$2)</f>
        <v>348729568.84000003</v>
      </c>
      <c r="M102" s="87">
        <f>SUMIFS(INDEX(Group!$C:$AL, MATCH(Summary!$B102, Group!$B:$B, 0), ),Group!$C$3:$AL$3, Summary!$M$85)</f>
        <v>326598228.82999998</v>
      </c>
      <c r="N102" s="87">
        <f>L102/$F$3</f>
        <v>253704.53518606094</v>
      </c>
      <c r="O102" s="87">
        <f>M102/$G$3</f>
        <v>203881.78340096134</v>
      </c>
      <c r="P102" s="88">
        <f>IFERROR(L102/M102-1,0)</f>
        <v>6.7763196663016112E-2</v>
      </c>
      <c r="Q102" s="87"/>
      <c r="R102" s="130"/>
    </row>
    <row r="103" spans="2:35" x14ac:dyDescent="0.2">
      <c r="B103" s="83" t="s">
        <v>55</v>
      </c>
      <c r="C103" s="109" t="s">
        <v>58</v>
      </c>
      <c r="D103" s="87">
        <f>SUMIFS(INDEX(NG!$C:$AL, MATCH(Summary!$B103, NG!$B:$B, 0), ),NG!$C$3:$AL$3, Summary!$C$2)</f>
        <v>79280689.140000001</v>
      </c>
      <c r="E103" s="87">
        <f>SUMIFS(INDEX(NG!$C:$AL,MATCH(Summary!$B103,NG!$B:$B,0),),NG!$C$3:$AL$3,$E$85)</f>
        <v>30487662.549999997</v>
      </c>
      <c r="F103" s="87">
        <f>D103/$F$3</f>
        <v>57677.559303044633</v>
      </c>
      <c r="G103" s="87">
        <f>E103/$G$3</f>
        <v>19032.18837006055</v>
      </c>
      <c r="H103" s="88">
        <f>IFERROR(D103/E103-1,0)</f>
        <v>1.6004187434828454</v>
      </c>
      <c r="K103" s="109" t="s">
        <v>58</v>
      </c>
      <c r="L103" s="87">
        <f>SUMIFS(INDEX(Group!$C:$AL, MATCH(Summary!$B103, Group!$B:$B, 0), ),Group!$C$3:$AL$3, Summary!$C$2)</f>
        <v>88400694.658000007</v>
      </c>
      <c r="M103" s="87">
        <f>SUMIFS(INDEX(Group!$C:$AL, MATCH(Summary!$B103, Group!$B:$B, 0), ),Group!$C$3:$AL$3, Summary!$M$85)</f>
        <v>36449101.469999991</v>
      </c>
      <c r="N103" s="87">
        <f>L103/$F$3</f>
        <v>64312.462011567426</v>
      </c>
      <c r="O103" s="87">
        <f>M103/$G$3</f>
        <v>22753.668437480486</v>
      </c>
      <c r="P103" s="88">
        <f>IFERROR(L103/M103-1,0)</f>
        <v>1.425318899308385</v>
      </c>
      <c r="Q103" s="87"/>
      <c r="R103" s="130"/>
    </row>
    <row r="104" spans="2:35" x14ac:dyDescent="0.2">
      <c r="B104" s="83" t="s">
        <v>753</v>
      </c>
      <c r="C104" s="109" t="s">
        <v>1251</v>
      </c>
      <c r="D104" s="87">
        <f>SUMIFS(INDEX(NG!$C:$AL, MATCH(Summary!$B104, NG!$B:$B, 0), ),NG!$C$3:$AL$3, Summary!$C$2)</f>
        <v>0</v>
      </c>
      <c r="E104" s="87">
        <f>SUMIFS(INDEX(NG!$C:$AL,MATCH(Summary!$B104,NG!$B:$B,0),),NG!$C$3:$AL$3,$E$85)</f>
        <v>0</v>
      </c>
      <c r="F104" s="87">
        <f>D104/$F$3</f>
        <v>0</v>
      </c>
      <c r="G104" s="87">
        <f>E104/$G$3</f>
        <v>0</v>
      </c>
      <c r="H104" s="88">
        <f>IFERROR(D104/E104-1,0)</f>
        <v>0</v>
      </c>
      <c r="K104" s="109" t="s">
        <v>1251</v>
      </c>
      <c r="L104" s="87">
        <f>SUMIFS(INDEX(Group!$C:$AL, MATCH(Summary!$B104, Group!$B:$B, 0), ),Group!$C$3:$AL$3, Summary!$C$2)</f>
        <v>414594986.86084002</v>
      </c>
      <c r="M104" s="87">
        <f>SUMIFS(INDEX(Group!$C:$AL, MATCH(Summary!$B104, Group!$B:$B, 0), ),Group!$C$3:$AL$3, Summary!$M$85)</f>
        <v>374359193.74543005</v>
      </c>
      <c r="N104" s="87">
        <f>L104/$F$3</f>
        <v>301622.33957356226</v>
      </c>
      <c r="O104" s="87">
        <f>M104/$G$3</f>
        <v>233696.98092604408</v>
      </c>
      <c r="P104" s="88">
        <f>IFERROR(L104/M104-1,0)</f>
        <v>0.10747911040424696</v>
      </c>
      <c r="Q104" s="87"/>
      <c r="R104" s="130"/>
      <c r="AF104" s="98"/>
      <c r="AG104" s="98"/>
      <c r="AH104" s="98"/>
      <c r="AI104" s="98"/>
    </row>
    <row r="105" spans="2:35" x14ac:dyDescent="0.2">
      <c r="B105" s="83" t="s">
        <v>57</v>
      </c>
      <c r="C105" s="109" t="s">
        <v>59</v>
      </c>
      <c r="D105" s="87">
        <f>SUMIFS(INDEX(NG!$C:$AL, MATCH(Summary!$B105, NG!$B:$B, 0), ),NG!$C$3:$AL$3, Summary!$C$2)</f>
        <v>1029069708.7499999</v>
      </c>
      <c r="E105" s="87">
        <f>SUMIFS(INDEX(NG!$C:$AL,MATCH(Summary!$B105,NG!$B:$B,0),),NG!$C$3:$AL$3,$E$85)</f>
        <v>1197173658.9799998</v>
      </c>
      <c r="F105" s="87">
        <f>D105/$F$3</f>
        <v>748659.34942344762</v>
      </c>
      <c r="G105" s="87">
        <f>E105/$G$3</f>
        <v>747346.06341219787</v>
      </c>
      <c r="H105" s="88">
        <f>IFERROR(D105/E105-1,0)</f>
        <v>-0.14041734795035965</v>
      </c>
      <c r="K105" s="109" t="s">
        <v>59</v>
      </c>
      <c r="L105" s="87">
        <f>SUMIFS(INDEX(Group!$C:$AL, MATCH(Summary!$B105, Group!$B:$B, 0), ),Group!$C$3:$AL$3, Summary!$C$2)</f>
        <v>1144974867.3539999</v>
      </c>
      <c r="M105" s="87">
        <f>SUMIFS(INDEX(Group!$C:$AL, MATCH(Summary!$B105, Group!$B:$B, 0), ),Group!$C$3:$AL$3, Summary!$M$85)</f>
        <v>1286813010.8524997</v>
      </c>
      <c r="N105" s="87">
        <f>L105/$F$3</f>
        <v>832981.60660143313</v>
      </c>
      <c r="O105" s="87">
        <f>M105/$G$3</f>
        <v>803304.20803576976</v>
      </c>
      <c r="P105" s="88">
        <f>IFERROR(L105/M105-1,0)</f>
        <v>-0.11022436228285692</v>
      </c>
      <c r="Q105" s="87"/>
      <c r="R105" s="130"/>
    </row>
    <row r="106" spans="2:35" x14ac:dyDescent="0.2">
      <c r="C106" s="110" t="s">
        <v>1244</v>
      </c>
      <c r="D106" s="90">
        <f>SUM(D102:D105)</f>
        <v>1457079966.73</v>
      </c>
      <c r="E106" s="90">
        <f>SUM(E102:E105)</f>
        <v>1554259550.3599997</v>
      </c>
      <c r="F106" s="90">
        <f>SUM(F102:F105)</f>
        <v>1060041.4439125531</v>
      </c>
      <c r="G106" s="90">
        <f>SUM(G102:G105)</f>
        <v>970260.0351832197</v>
      </c>
      <c r="H106" s="88">
        <f>IFERROR(D106/E106-1,0)</f>
        <v>-6.2524681677195271E-2</v>
      </c>
      <c r="K106" s="110" t="s">
        <v>1244</v>
      </c>
      <c r="L106" s="90">
        <f>SUM(L102:L105)</f>
        <v>1996700117.7128398</v>
      </c>
      <c r="M106" s="90">
        <f>SUM(M102:M105)</f>
        <v>2024219534.8979297</v>
      </c>
      <c r="N106" s="90">
        <f>SUM(N102:N105)</f>
        <v>1452620.9433726238</v>
      </c>
      <c r="O106" s="90">
        <f>SUM(O102:O105)</f>
        <v>1263636.6408002558</v>
      </c>
      <c r="P106" s="88">
        <f>IFERROR(L106/M106-1,0)</f>
        <v>-1.3595075391107492E-2</v>
      </c>
      <c r="Q106" s="90"/>
      <c r="R106" s="130"/>
    </row>
    <row r="107" spans="2:35" x14ac:dyDescent="0.2">
      <c r="C107" s="110"/>
      <c r="D107" s="90"/>
      <c r="E107" s="90"/>
      <c r="F107" s="90"/>
      <c r="G107" s="90"/>
      <c r="H107" s="88"/>
      <c r="K107" s="110"/>
      <c r="L107" s="90"/>
      <c r="M107" s="90"/>
      <c r="N107" s="90"/>
      <c r="O107" s="90"/>
      <c r="P107" s="88"/>
      <c r="Q107" s="90"/>
      <c r="R107" s="130"/>
    </row>
    <row r="108" spans="2:35" x14ac:dyDescent="0.2">
      <c r="B108" s="83" t="s">
        <v>53</v>
      </c>
      <c r="C108" s="110" t="s">
        <v>1245</v>
      </c>
      <c r="D108" s="90">
        <f>SUMIFS(INDEX(NG!$C:$AL, MATCH(Summary!$B108, NG!$B:$B, 0), ),NG!$C$3:$AL$3, Summary!$C$2)</f>
        <v>21499460.77</v>
      </c>
      <c r="E108" s="411">
        <f>SUMIFS(INDEX(NG!$C:$AL,MATCH(Summary!$B108,NG!$B:$B,0),),NG!$C$3:$AL$3,$E$85)</f>
        <v>32949171.219999999</v>
      </c>
      <c r="F108" s="90">
        <f>D108/$F$3</f>
        <v>15641.090371394275</v>
      </c>
      <c r="G108" s="90">
        <f>E108/$G$3</f>
        <v>20568.806554716273</v>
      </c>
      <c r="H108" s="99">
        <f>IFERROR(D108/E108-1,0)</f>
        <v>-0.34749615926758348</v>
      </c>
      <c r="K108" s="110" t="s">
        <v>1245</v>
      </c>
      <c r="L108" s="90">
        <f>SUMIFS(INDEX(Group!$C:$AL, MATCH(Summary!$B108, Group!$B:$B, 0), ),Group!$C$3:$AL$3, Summary!$C$2)</f>
        <v>21499460.77</v>
      </c>
      <c r="M108" s="411">
        <f>SUMIFS(INDEX(Group!$C:$AL, MATCH(Summary!$B108, Group!$B:$B, 0), ),Group!$C$3:$AL$3, Summary!$M$85)</f>
        <v>32949171.219999999</v>
      </c>
      <c r="N108" s="90">
        <f>L108/$F$3</f>
        <v>15641.090371394275</v>
      </c>
      <c r="O108" s="90">
        <f>M108/$G$3</f>
        <v>20568.806554716273</v>
      </c>
      <c r="P108" s="99">
        <f>IFERROR(L108/M108-1,0)</f>
        <v>-0.34749615926758348</v>
      </c>
      <c r="Q108" s="90"/>
      <c r="R108" s="138"/>
    </row>
    <row r="109" spans="2:35" x14ac:dyDescent="0.2">
      <c r="C109" s="109"/>
      <c r="D109" s="87"/>
      <c r="E109" s="87"/>
      <c r="F109" s="87"/>
      <c r="G109" s="87"/>
      <c r="H109" s="88"/>
      <c r="K109" s="109"/>
      <c r="L109" s="87"/>
      <c r="M109" s="87"/>
      <c r="N109" s="87"/>
      <c r="O109" s="87"/>
      <c r="P109" s="88"/>
      <c r="Q109" s="87"/>
      <c r="R109" s="130"/>
    </row>
    <row r="110" spans="2:35" x14ac:dyDescent="0.2">
      <c r="B110" s="83" t="s">
        <v>61</v>
      </c>
      <c r="C110" s="109" t="s">
        <v>1252</v>
      </c>
      <c r="D110" s="87">
        <f>SUMIFS(INDEX(NG!$C:$AL, MATCH(Summary!$B110, NG!$B:$B, 0), ),NG!$C$3:$AL$3, Summary!$C$2)</f>
        <v>6706041209.3599997</v>
      </c>
      <c r="E110" s="87">
        <f>SUMIFS(INDEX(NG!$C:$AL,MATCH(Summary!$B110,NG!$B:$B,0),),NG!$C$3:$AL$3,$E$85)</f>
        <v>6706041209.3599997</v>
      </c>
      <c r="F110" s="87">
        <f>D110/$F$3</f>
        <v>4878717.5507329674</v>
      </c>
      <c r="G110" s="87">
        <f>E110/$G$3</f>
        <v>4186304.5192334098</v>
      </c>
      <c r="H110" s="88">
        <f>IFERROR(D110/E110-1,0)</f>
        <v>0</v>
      </c>
      <c r="K110" s="109" t="s">
        <v>1252</v>
      </c>
      <c r="L110" s="87">
        <f>SUMIFS(INDEX(Group!$C:$AL, MATCH(Summary!$B110, Group!$B:$B, 0), ),Group!$C$3:$AL$3, Summary!$C$2)</f>
        <v>8877793989.2042389</v>
      </c>
      <c r="M110" s="87">
        <f>SUMIFS(INDEX(Group!$C:$AL, MATCH(Summary!$B110, Group!$B:$B, 0), ),Group!$C$3:$AL$3, Summary!$M$85)</f>
        <v>8740970826.7692699</v>
      </c>
      <c r="N110" s="87">
        <f>L110/$F$3</f>
        <v>6458691.2001776863</v>
      </c>
      <c r="O110" s="87">
        <f>M110/$G$3</f>
        <v>5456627.0221419996</v>
      </c>
      <c r="P110" s="88">
        <f>IFERROR(L110/M110-1,0)</f>
        <v>1.5653085354769392E-2</v>
      </c>
      <c r="Q110" s="87"/>
      <c r="R110" s="130"/>
    </row>
    <row r="111" spans="2:35" x14ac:dyDescent="0.2">
      <c r="B111" s="83" t="s">
        <v>62</v>
      </c>
      <c r="C111" s="109" t="s">
        <v>63</v>
      </c>
      <c r="D111" s="87">
        <f>SUMIFS(INDEX(NG!$C:$AL, MATCH(Summary!$B111, NG!$B:$B, 0), ),NG!$C$3:$AL$3, Summary!$C$2)</f>
        <v>101133388.76000166</v>
      </c>
      <c r="E111" s="87">
        <f>SUMIFS(INDEX(NG!$C:$AL,MATCH(Summary!$B111,NG!$B:$B,0),),NG!$C$3:$AL$3,$E$85)</f>
        <v>-691993542.92999661</v>
      </c>
      <c r="F111" s="87">
        <f>D111/$F$3</f>
        <v>73575.634760468267</v>
      </c>
      <c r="G111" s="87">
        <f>E111/$G$3</f>
        <v>-431982.98453711002</v>
      </c>
      <c r="H111" s="88">
        <f>IFERROR(D111/E111-1,0)</f>
        <v>-1.1461478792587989</v>
      </c>
      <c r="K111" s="109" t="s">
        <v>63</v>
      </c>
      <c r="L111" s="87">
        <f>SUMIFS(INDEX(Group!$C:$AL, MATCH(Summary!$B111, Group!$B:$B, 0), ),Group!$C$3:$AL$3, Summary!$C$2)</f>
        <v>-2386469984.1412382</v>
      </c>
      <c r="M111" s="87">
        <f>SUMIFS(INDEX(Group!$C:$AL, MATCH(Summary!$B111, Group!$B:$B, 0), ),Group!$C$3:$AL$3, Summary!$M$85)</f>
        <v>-3040704947.2717667</v>
      </c>
      <c r="N111" s="87">
        <f>L111/$F$3</f>
        <v>-1736182.7391809961</v>
      </c>
      <c r="O111" s="87">
        <f>M111/$G$3</f>
        <v>-1898186.4955813512</v>
      </c>
      <c r="P111" s="88">
        <f>IFERROR(L111/M111-1,0)</f>
        <v>-0.21515897611753887</v>
      </c>
      <c r="Q111" s="87"/>
      <c r="R111" s="130"/>
    </row>
    <row r="112" spans="2:35" x14ac:dyDescent="0.2">
      <c r="C112" s="110" t="s">
        <v>64</v>
      </c>
      <c r="D112" s="90">
        <f>D110+D111</f>
        <v>6807174598.1200008</v>
      </c>
      <c r="E112" s="90">
        <f>E110+E111</f>
        <v>6014047666.4300032</v>
      </c>
      <c r="F112" s="90">
        <f>F110+F111</f>
        <v>4952293.1854934357</v>
      </c>
      <c r="G112" s="90">
        <f>G110+G111</f>
        <v>3754321.5346962996</v>
      </c>
      <c r="H112" s="88">
        <f>IFERROR(D112/E112-1,0)</f>
        <v>0.13187905644931575</v>
      </c>
      <c r="K112" s="110" t="s">
        <v>64</v>
      </c>
      <c r="L112" s="90">
        <f>L110+L111</f>
        <v>6491324005.0630007</v>
      </c>
      <c r="M112" s="90">
        <f>M110+M111</f>
        <v>5700265879.4975033</v>
      </c>
      <c r="N112" s="90">
        <f>N110+N111</f>
        <v>4722508.4609966902</v>
      </c>
      <c r="O112" s="90">
        <f>O110+O111</f>
        <v>3558440.5265606483</v>
      </c>
      <c r="P112" s="88">
        <f>IFERROR(L112/M112-1,0)</f>
        <v>0.13877565402883141</v>
      </c>
      <c r="Q112" s="90"/>
      <c r="R112" s="130"/>
    </row>
    <row r="113" spans="3:18" x14ac:dyDescent="0.2">
      <c r="C113" s="109"/>
      <c r="D113" s="87"/>
      <c r="E113" s="87"/>
      <c r="F113" s="87"/>
      <c r="G113" s="87"/>
      <c r="H113" s="88">
        <f>IFERROR(D113/E113-1,0)</f>
        <v>0</v>
      </c>
      <c r="K113" s="109"/>
      <c r="L113" s="87"/>
      <c r="M113" s="87"/>
      <c r="N113" s="87"/>
      <c r="O113" s="87"/>
      <c r="P113" s="88">
        <f>IFERROR(L113/M113-1,0)</f>
        <v>0</v>
      </c>
      <c r="Q113" s="87"/>
      <c r="R113" s="130"/>
    </row>
    <row r="114" spans="3:18" x14ac:dyDescent="0.2">
      <c r="C114" s="110" t="s">
        <v>65</v>
      </c>
      <c r="D114" s="90">
        <f>D106+D108+D112</f>
        <v>8285754025.6200008</v>
      </c>
      <c r="E114" s="90">
        <f>E106+E108+E112</f>
        <v>7601256388.0100031</v>
      </c>
      <c r="F114" s="90">
        <f>F106+F108+F112</f>
        <v>6027975.7197773829</v>
      </c>
      <c r="G114" s="90">
        <f>G106+G108+G112</f>
        <v>4745150.3764342358</v>
      </c>
      <c r="H114" s="88">
        <f>IFERROR(D114/E114-1,0)</f>
        <v>9.005059199025367E-2</v>
      </c>
      <c r="K114" s="110" t="s">
        <v>65</v>
      </c>
      <c r="L114" s="90">
        <f>L106+L108+L112</f>
        <v>8509523583.5458403</v>
      </c>
      <c r="M114" s="90">
        <f>M106+M108+M112</f>
        <v>7757434585.6154327</v>
      </c>
      <c r="N114" s="90">
        <f>N106+N108+N112</f>
        <v>6190770.4947407078</v>
      </c>
      <c r="O114" s="90">
        <f>O106+O108+O112</f>
        <v>4842645.9739156207</v>
      </c>
      <c r="P114" s="88">
        <f>IFERROR(L114/M114-1,0)</f>
        <v>9.6950736693932615E-2</v>
      </c>
      <c r="Q114" s="90"/>
      <c r="R114" s="130"/>
    </row>
    <row r="115" spans="3:18" x14ac:dyDescent="0.2">
      <c r="C115" s="109"/>
      <c r="D115" s="90">
        <f>D100-D114</f>
        <v>0</v>
      </c>
      <c r="E115" s="90">
        <f>E100-E114</f>
        <v>0</v>
      </c>
      <c r="F115" s="90"/>
      <c r="G115" s="90"/>
      <c r="H115" s="88"/>
      <c r="K115" s="109"/>
      <c r="L115" s="90">
        <f>L100-L114</f>
        <v>-30871.16999912262</v>
      </c>
      <c r="M115" s="90">
        <f>M100-M114</f>
        <v>0</v>
      </c>
      <c r="N115" s="90"/>
      <c r="O115" s="90"/>
      <c r="P115" s="88"/>
      <c r="Q115" s="90"/>
      <c r="R115" s="130"/>
    </row>
    <row r="116" spans="3:18" x14ac:dyDescent="0.2">
      <c r="C116" s="107" t="s">
        <v>22</v>
      </c>
      <c r="D116" s="91"/>
      <c r="E116" s="91"/>
      <c r="F116" s="91"/>
      <c r="G116" s="91"/>
      <c r="H116" s="92"/>
      <c r="K116" s="107" t="s">
        <v>22</v>
      </c>
      <c r="L116" s="91"/>
      <c r="M116" s="91"/>
      <c r="N116" s="91"/>
      <c r="O116" s="91"/>
      <c r="P116" s="92"/>
      <c r="Q116" s="91"/>
    </row>
    <row r="117" spans="3:18" x14ac:dyDescent="0.2">
      <c r="C117" s="111" t="s">
        <v>1225</v>
      </c>
      <c r="D117" s="100"/>
      <c r="E117" s="101"/>
      <c r="F117" s="93"/>
      <c r="G117" s="93"/>
      <c r="H117" s="92"/>
      <c r="K117" s="111" t="s">
        <v>1225</v>
      </c>
      <c r="L117" s="100"/>
      <c r="M117" s="101"/>
      <c r="N117" s="93"/>
      <c r="O117" s="93"/>
      <c r="P117" s="92"/>
      <c r="Q117" s="93"/>
    </row>
    <row r="118" spans="3:18" x14ac:dyDescent="0.2">
      <c r="C118" s="105" t="s">
        <v>1226</v>
      </c>
      <c r="D118" s="102">
        <f>D94/SUM(D102:D105)</f>
        <v>1.9125678617859925</v>
      </c>
      <c r="E118" s="102">
        <f>E94/SUM(E102:E105)</f>
        <v>1.5253363340575123</v>
      </c>
      <c r="F118" s="102"/>
      <c r="G118" s="102"/>
      <c r="H118" s="92"/>
      <c r="K118" s="105" t="s">
        <v>1226</v>
      </c>
      <c r="L118" s="102">
        <f>L94/SUM(L102:L105)</f>
        <v>1.5058338135952452</v>
      </c>
      <c r="M118" s="102">
        <f>M94/SUM(M102:M105)</f>
        <v>1.245864839133501</v>
      </c>
      <c r="N118" s="102"/>
      <c r="O118" s="102"/>
      <c r="P118" s="92"/>
      <c r="Q118" s="102"/>
    </row>
    <row r="119" spans="3:18" x14ac:dyDescent="0.2">
      <c r="C119" s="105" t="s">
        <v>1227</v>
      </c>
      <c r="D119" s="102">
        <f>SUM(D88+D92+D87)/SUM(D102:D105)</f>
        <v>2.4736129567265377</v>
      </c>
      <c r="E119" s="102">
        <f>SUM(E88+E92+E87)/SUM(E102:E105)</f>
        <v>2.0321787211398612</v>
      </c>
      <c r="F119" s="93"/>
      <c r="G119" s="93"/>
      <c r="H119" s="92"/>
      <c r="K119" s="105" t="s">
        <v>1227</v>
      </c>
      <c r="L119" s="102">
        <f>SUM(L88+L92+L87)/SUM(L102:L105)</f>
        <v>1.9082566352506498</v>
      </c>
      <c r="M119" s="102">
        <f>SUM(M88+M92+M87)/SUM(M102:M105)</f>
        <v>1.6270651426870775</v>
      </c>
      <c r="N119" s="93"/>
      <c r="O119" s="93"/>
      <c r="P119" s="92"/>
      <c r="Q119" s="93"/>
    </row>
    <row r="120" spans="3:18" x14ac:dyDescent="0.2">
      <c r="C120" s="105" t="s">
        <v>1228</v>
      </c>
      <c r="D120" s="102">
        <f>D87/D106</f>
        <v>1.6873880594129362</v>
      </c>
      <c r="E120" s="102">
        <f>E87/E106</f>
        <v>1.5305703229290082</v>
      </c>
      <c r="F120" s="93"/>
      <c r="G120" s="93"/>
      <c r="H120" s="92"/>
      <c r="K120" s="105" t="s">
        <v>1228</v>
      </c>
      <c r="L120" s="102">
        <f>L87/L106</f>
        <v>1.3238534677586864</v>
      </c>
      <c r="M120" s="102">
        <f>M87/M106</f>
        <v>1.2297950646438778</v>
      </c>
      <c r="N120" s="93"/>
      <c r="O120" s="93"/>
      <c r="P120" s="92"/>
      <c r="Q120" s="93"/>
    </row>
    <row r="121" spans="3:18" x14ac:dyDescent="0.2">
      <c r="C121" s="105" t="s">
        <v>1229</v>
      </c>
      <c r="D121" s="93"/>
      <c r="E121" s="93"/>
      <c r="F121" s="93"/>
      <c r="G121" s="93"/>
      <c r="H121" s="92"/>
      <c r="K121" s="105" t="s">
        <v>1229</v>
      </c>
      <c r="L121" s="93"/>
      <c r="M121" s="93"/>
      <c r="N121" s="93"/>
      <c r="O121" s="93"/>
      <c r="P121" s="92"/>
      <c r="Q121" s="93"/>
    </row>
    <row r="122" spans="3:18" x14ac:dyDescent="0.2">
      <c r="C122" s="105"/>
      <c r="D122" s="93"/>
      <c r="E122" s="93"/>
      <c r="F122" s="93"/>
      <c r="G122" s="93"/>
      <c r="H122" s="92"/>
      <c r="K122" s="105"/>
      <c r="L122" s="93"/>
      <c r="M122" s="93"/>
      <c r="N122" s="93"/>
      <c r="O122" s="93"/>
      <c r="P122" s="92"/>
      <c r="Q122" s="93"/>
    </row>
    <row r="123" spans="3:18" x14ac:dyDescent="0.2">
      <c r="C123" s="111" t="s">
        <v>1230</v>
      </c>
      <c r="D123" s="100"/>
      <c r="E123" s="101"/>
      <c r="F123" s="93"/>
      <c r="G123" s="93"/>
      <c r="H123" s="92"/>
      <c r="K123" s="111" t="s">
        <v>1230</v>
      </c>
      <c r="L123" s="100"/>
      <c r="M123" s="101"/>
      <c r="N123" s="93"/>
      <c r="O123" s="93"/>
      <c r="P123" s="92"/>
      <c r="Q123" s="93"/>
    </row>
    <row r="124" spans="3:18" x14ac:dyDescent="0.2">
      <c r="C124" s="105" t="s">
        <v>1231</v>
      </c>
      <c r="D124" s="93">
        <f>(D106+D108)/D100</f>
        <v>0.17844838537665395</v>
      </c>
      <c r="E124" s="93">
        <f>(E106+E108)/E100</f>
        <v>0.20880873378822168</v>
      </c>
      <c r="F124" s="93"/>
      <c r="G124" s="93"/>
      <c r="H124" s="92"/>
      <c r="K124" s="105" t="s">
        <v>1231</v>
      </c>
      <c r="L124" s="93">
        <f>(L106+L108)/L100</f>
        <v>0.23717037509740821</v>
      </c>
      <c r="M124" s="93">
        <f>(M106+M108)/M100</f>
        <v>0.26518672937732884</v>
      </c>
      <c r="N124" s="93"/>
      <c r="O124" s="93"/>
      <c r="P124" s="92"/>
      <c r="Q124" s="93"/>
    </row>
    <row r="125" spans="3:18" x14ac:dyDescent="0.2">
      <c r="C125" s="105" t="s">
        <v>1232</v>
      </c>
      <c r="D125" s="93">
        <f>(D106+D108)/D112</f>
        <v>0.21720897652725885</v>
      </c>
      <c r="E125" s="93">
        <f>(E106+E108)/E112</f>
        <v>0.26391688420424214</v>
      </c>
      <c r="F125" s="93"/>
      <c r="G125" s="93"/>
      <c r="H125" s="92"/>
      <c r="K125" s="105" t="s">
        <v>1232</v>
      </c>
      <c r="L125" s="93">
        <f>(L106+L108)/L112</f>
        <v>0.31090723200824921</v>
      </c>
      <c r="M125" s="93">
        <f>(M106+M108)/M112</f>
        <v>0.36088995664519347</v>
      </c>
      <c r="N125" s="93"/>
      <c r="O125" s="93"/>
      <c r="P125" s="92"/>
      <c r="Q125" s="93"/>
    </row>
    <row r="126" spans="3:18" x14ac:dyDescent="0.2">
      <c r="C126" s="105" t="s">
        <v>1233</v>
      </c>
      <c r="D126" s="93">
        <f>D100/D112</f>
        <v>1.2172089765272589</v>
      </c>
      <c r="E126" s="93">
        <f>E100/E112</f>
        <v>1.2639168842042416</v>
      </c>
      <c r="F126" s="93"/>
      <c r="G126" s="93"/>
      <c r="H126" s="92"/>
      <c r="K126" s="105" t="s">
        <v>1233</v>
      </c>
      <c r="L126" s="93">
        <f>L100/L112</f>
        <v>1.3109024762496435</v>
      </c>
      <c r="M126" s="93">
        <f>M100/M112</f>
        <v>1.3608899566451929</v>
      </c>
      <c r="N126" s="93"/>
      <c r="O126" s="93"/>
      <c r="P126" s="92"/>
      <c r="Q126" s="93"/>
    </row>
    <row r="127" spans="3:18" x14ac:dyDescent="0.2">
      <c r="C127" s="105"/>
      <c r="D127" s="93"/>
      <c r="E127" s="93"/>
      <c r="F127" s="93"/>
      <c r="G127" s="93"/>
      <c r="H127" s="92"/>
      <c r="K127" s="105"/>
      <c r="L127" s="93"/>
      <c r="M127" s="93"/>
      <c r="N127" s="93"/>
      <c r="O127" s="93"/>
      <c r="P127" s="92"/>
      <c r="Q127" s="93"/>
    </row>
    <row r="128" spans="3:18" x14ac:dyDescent="0.2">
      <c r="C128" s="111" t="s">
        <v>1234</v>
      </c>
      <c r="D128" s="100"/>
      <c r="E128" s="101"/>
      <c r="F128" s="93"/>
      <c r="G128" s="93"/>
      <c r="H128" s="92"/>
      <c r="K128" s="111" t="s">
        <v>1234</v>
      </c>
      <c r="L128" s="100"/>
      <c r="M128" s="101"/>
      <c r="N128" s="93"/>
      <c r="O128" s="93"/>
      <c r="P128" s="92"/>
      <c r="Q128" s="93"/>
    </row>
    <row r="129" spans="3:18" x14ac:dyDescent="0.2">
      <c r="C129" s="105" t="s">
        <v>1235</v>
      </c>
      <c r="D129" s="93">
        <f>D8/D100</f>
        <v>0.28527035024952146</v>
      </c>
      <c r="E129" s="93">
        <f>E8/E100</f>
        <v>0.11516787451227967</v>
      </c>
      <c r="F129" s="93"/>
      <c r="G129" s="93"/>
      <c r="H129" s="92"/>
      <c r="K129" s="105" t="s">
        <v>1235</v>
      </c>
      <c r="L129" s="93">
        <f>L8/L100</f>
        <v>0.27857003988179707</v>
      </c>
      <c r="M129" s="93">
        <f>M8/M100</f>
        <v>0.12009226626098503</v>
      </c>
      <c r="N129" s="93"/>
      <c r="O129" s="93"/>
      <c r="P129" s="92"/>
      <c r="Q129" s="93"/>
    </row>
    <row r="130" spans="3:18" x14ac:dyDescent="0.2">
      <c r="C130" s="105" t="s">
        <v>1236</v>
      </c>
      <c r="D130" s="103">
        <f>D8/D88</f>
        <v>4.1228803704389918</v>
      </c>
      <c r="E130" s="103">
        <f>E8/E88</f>
        <v>4.0708495783232221</v>
      </c>
      <c r="F130" s="93"/>
      <c r="G130" s="93"/>
      <c r="H130" s="92"/>
      <c r="K130" s="105" t="s">
        <v>1236</v>
      </c>
      <c r="L130" s="103">
        <f>L8/L88</f>
        <v>3.9892329032578338</v>
      </c>
      <c r="M130" s="103">
        <f>M8/M88</f>
        <v>3.9016534752234824</v>
      </c>
      <c r="N130" s="93"/>
      <c r="O130" s="93"/>
      <c r="P130" s="92"/>
      <c r="Q130" s="93"/>
    </row>
    <row r="131" spans="3:18" x14ac:dyDescent="0.2">
      <c r="C131" s="105" t="s">
        <v>1237</v>
      </c>
      <c r="D131" s="102">
        <f>(D$6-DATE(2025,1,1))/D130</f>
        <v>117.39365601540972</v>
      </c>
      <c r="E131" s="102">
        <f>(E$6-DATE(2024,1,1))/E130</f>
        <v>119.13974974230585</v>
      </c>
      <c r="F131" s="93"/>
      <c r="G131" s="93"/>
      <c r="H131" s="92"/>
      <c r="K131" s="105" t="s">
        <v>1237</v>
      </c>
      <c r="L131" s="102">
        <f>(L$6-DATE(2025,1,1))/L130</f>
        <v>121.32658376620181</v>
      </c>
      <c r="M131" s="102">
        <f>(M$6-DATE(2024,1,1))/M130</f>
        <v>124.30627247649657</v>
      </c>
      <c r="N131" s="93"/>
      <c r="O131" s="93"/>
      <c r="P131" s="92"/>
      <c r="Q131" s="93"/>
    </row>
    <row r="132" spans="3:18" x14ac:dyDescent="0.2">
      <c r="C132" s="105" t="s">
        <v>1238</v>
      </c>
      <c r="D132" s="93">
        <f>D8/(D99-D106)</f>
        <v>0.58479285871573206</v>
      </c>
      <c r="E132" s="93">
        <f>E8/(E99-E106)</f>
        <v>0.23813008247506853</v>
      </c>
      <c r="F132" s="93"/>
      <c r="G132" s="93"/>
      <c r="H132" s="92"/>
      <c r="K132" s="105" t="s">
        <v>1238</v>
      </c>
      <c r="L132" s="93">
        <f>L8/(L99-L106)</f>
        <v>0.6761055738945505</v>
      </c>
      <c r="M132" s="93">
        <f>M8/(M99-M106)</f>
        <v>0.29010203905876664</v>
      </c>
      <c r="N132" s="93"/>
      <c r="O132" s="93"/>
      <c r="P132" s="92"/>
      <c r="Q132" s="93"/>
    </row>
    <row r="133" spans="3:18" x14ac:dyDescent="0.2">
      <c r="C133" s="105" t="s">
        <v>1239</v>
      </c>
      <c r="D133" s="93">
        <f>(-D9)/D102</f>
        <v>1.4488546720046462</v>
      </c>
      <c r="E133" s="93">
        <f>(-E9)/E102</f>
        <v>0.73055199063615817</v>
      </c>
      <c r="F133" s="93"/>
      <c r="G133" s="93"/>
      <c r="H133" s="92"/>
      <c r="K133" s="105" t="s">
        <v>1239</v>
      </c>
      <c r="L133" s="93">
        <f>(-L9)/L102</f>
        <v>1.4790163273061669</v>
      </c>
      <c r="M133" s="93">
        <f>(-M9)/M102</f>
        <v>0.79118804724259939</v>
      </c>
      <c r="N133" s="93"/>
      <c r="O133" s="93"/>
      <c r="P133" s="92"/>
      <c r="Q133" s="93"/>
    </row>
    <row r="134" spans="3:18" x14ac:dyDescent="0.2">
      <c r="C134" s="105" t="s">
        <v>1240</v>
      </c>
      <c r="D134" s="102">
        <f>(D$6-DATE(2025,1,1))/D133</f>
        <v>334.05696882651034</v>
      </c>
      <c r="E134" s="102">
        <f>(E$6-DATE(2024,1,1))/E133</f>
        <v>663.88156656402555</v>
      </c>
      <c r="F134" s="93"/>
      <c r="G134" s="93"/>
      <c r="H134" s="92"/>
      <c r="K134" s="105" t="s">
        <v>1240</v>
      </c>
      <c r="L134" s="102">
        <f>(L$6-DATE(2025,1,1))/L133</f>
        <v>327.24452804489465</v>
      </c>
      <c r="M134" s="102">
        <f>(M$6-DATE(2024,1,1))/M133</f>
        <v>613.00218284425887</v>
      </c>
      <c r="N134" s="93"/>
      <c r="O134" s="93"/>
      <c r="P134" s="92"/>
      <c r="Q134" s="93"/>
    </row>
    <row r="135" spans="3:18" x14ac:dyDescent="0.2">
      <c r="C135" s="105" t="s">
        <v>1241</v>
      </c>
      <c r="D135" s="93">
        <f>D8/D100</f>
        <v>0.28527035024952146</v>
      </c>
      <c r="E135" s="93">
        <f>E8/E100</f>
        <v>0.11516787451227967</v>
      </c>
      <c r="F135" s="93"/>
      <c r="G135" s="93"/>
      <c r="H135" s="92"/>
      <c r="K135" s="105" t="s">
        <v>1241</v>
      </c>
      <c r="L135" s="93">
        <f>L8/L100</f>
        <v>0.27857003988179707</v>
      </c>
      <c r="M135" s="93">
        <f>M8/M100</f>
        <v>0.12009226626098503</v>
      </c>
      <c r="N135" s="93"/>
      <c r="O135" s="93"/>
      <c r="P135" s="92"/>
      <c r="Q135" s="93"/>
    </row>
    <row r="136" spans="3:18" x14ac:dyDescent="0.2">
      <c r="C136" s="193"/>
      <c r="D136" s="194"/>
      <c r="E136" s="194"/>
      <c r="F136" s="194"/>
      <c r="G136" s="194"/>
      <c r="H136" s="195"/>
      <c r="K136" s="193"/>
      <c r="L136" s="194"/>
      <c r="M136" s="194"/>
      <c r="N136" s="194"/>
      <c r="O136" s="194"/>
      <c r="P136" s="195"/>
      <c r="Q136" s="194"/>
    </row>
    <row r="137" spans="3:18" x14ac:dyDescent="0.2">
      <c r="C137" s="193"/>
      <c r="D137" s="194"/>
      <c r="E137" s="194"/>
      <c r="F137" s="194"/>
      <c r="G137" s="194"/>
      <c r="H137" s="195"/>
      <c r="K137" s="193"/>
      <c r="L137" s="194"/>
      <c r="M137" s="194"/>
      <c r="N137" s="194"/>
      <c r="O137" s="194"/>
      <c r="P137" s="195"/>
      <c r="Q137" s="194"/>
    </row>
    <row r="138" spans="3:18" x14ac:dyDescent="0.2">
      <c r="C138" s="193" t="s">
        <v>67</v>
      </c>
      <c r="D138" s="194">
        <f>D15/D100</f>
        <v>9.9982075542969215E-2</v>
      </c>
      <c r="E138" s="194">
        <f>E15/E100</f>
        <v>6.0950698062335849E-3</v>
      </c>
      <c r="F138" s="194"/>
      <c r="G138" s="194"/>
      <c r="H138" s="195"/>
      <c r="K138" s="193" t="s">
        <v>67</v>
      </c>
      <c r="L138" s="194">
        <f>L15/L100</f>
        <v>6.6690841125427461E-2</v>
      </c>
      <c r="M138" s="194">
        <f>M15/M100</f>
        <v>-3.4034049881337569E-2</v>
      </c>
      <c r="N138" s="194"/>
      <c r="O138" s="194"/>
      <c r="P138" s="195"/>
      <c r="Q138" s="194"/>
    </row>
    <row r="139" spans="3:18" x14ac:dyDescent="0.2">
      <c r="C139" s="193" t="s">
        <v>66</v>
      </c>
      <c r="D139" s="194">
        <f>D19/D112</f>
        <v>0.12169907984272865</v>
      </c>
      <c r="E139" s="194">
        <f>E19/E112</f>
        <v>7.7036616385021042E-3</v>
      </c>
      <c r="F139" s="194"/>
      <c r="G139" s="194"/>
      <c r="H139" s="195"/>
      <c r="K139" s="193" t="s">
        <v>66</v>
      </c>
      <c r="L139" s="194">
        <f>L19/L112</f>
        <v>8.7425188774494414E-2</v>
      </c>
      <c r="M139" s="194">
        <f>M19/M112</f>
        <v>-4.6316596667473814E-2</v>
      </c>
      <c r="N139" s="194"/>
      <c r="O139" s="194"/>
      <c r="P139" s="195"/>
      <c r="Q139" s="194"/>
    </row>
    <row r="140" spans="3:18" x14ac:dyDescent="0.2">
      <c r="C140" s="108"/>
      <c r="D140" s="96"/>
      <c r="E140" s="96"/>
      <c r="F140" s="96"/>
      <c r="G140" s="96"/>
      <c r="H140" s="97"/>
      <c r="K140" s="108"/>
      <c r="L140" s="96"/>
      <c r="M140" s="96"/>
      <c r="N140" s="96"/>
      <c r="O140" s="96"/>
      <c r="P140" s="97"/>
      <c r="Q140" s="96"/>
    </row>
    <row r="143" spans="3:18" hidden="1" outlineLevel="1" x14ac:dyDescent="0.2">
      <c r="C143" s="425" t="s">
        <v>1253</v>
      </c>
      <c r="D143" s="426"/>
      <c r="E143" s="426"/>
      <c r="F143" s="426"/>
      <c r="G143" s="426"/>
      <c r="H143" s="427"/>
      <c r="K143" s="425" t="s">
        <v>1303</v>
      </c>
      <c r="L143" s="426"/>
      <c r="M143" s="426"/>
      <c r="N143" s="426"/>
      <c r="O143" s="426"/>
      <c r="P143" s="427"/>
      <c r="Q143" s="400"/>
      <c r="R143" s="400"/>
    </row>
    <row r="144" spans="3:18" ht="12" hidden="1" customHeight="1" outlineLevel="1" x14ac:dyDescent="0.2">
      <c r="C144" s="109"/>
      <c r="D144" s="85" t="str">
        <f t="shared" ref="D144:G146" si="46">D5</f>
        <v>YTD</v>
      </c>
      <c r="E144" s="85" t="str">
        <f t="shared" si="46"/>
        <v>YTD</v>
      </c>
      <c r="F144" s="85" t="str">
        <f t="shared" si="46"/>
        <v>YTD</v>
      </c>
      <c r="G144" s="85" t="str">
        <f t="shared" si="46"/>
        <v>YTD</v>
      </c>
      <c r="H144" s="417"/>
      <c r="K144" s="109"/>
      <c r="L144" s="85" t="str">
        <f t="shared" ref="L144:O146" si="47">L5</f>
        <v>YTD</v>
      </c>
      <c r="M144" s="85" t="str">
        <f t="shared" si="47"/>
        <v>YTD</v>
      </c>
      <c r="N144" s="85" t="str">
        <f t="shared" si="47"/>
        <v>YTD</v>
      </c>
      <c r="O144" s="85" t="str">
        <f t="shared" si="47"/>
        <v>YTD</v>
      </c>
      <c r="P144" s="417"/>
      <c r="Q144" s="85"/>
      <c r="R144" s="396"/>
    </row>
    <row r="145" spans="3:35" hidden="1" outlineLevel="1" x14ac:dyDescent="0.2">
      <c r="C145" s="420" t="s">
        <v>1254</v>
      </c>
      <c r="D145" s="86">
        <f t="shared" si="46"/>
        <v>46142</v>
      </c>
      <c r="E145" s="86">
        <f t="shared" si="46"/>
        <v>45777</v>
      </c>
      <c r="F145" s="86">
        <f t="shared" si="46"/>
        <v>46142</v>
      </c>
      <c r="G145" s="86">
        <f t="shared" si="46"/>
        <v>45777</v>
      </c>
      <c r="H145" s="418"/>
      <c r="K145" s="420" t="s">
        <v>1254</v>
      </c>
      <c r="L145" s="86">
        <f t="shared" si="47"/>
        <v>46142</v>
      </c>
      <c r="M145" s="86">
        <f t="shared" si="47"/>
        <v>45777</v>
      </c>
      <c r="N145" s="86">
        <f t="shared" si="47"/>
        <v>46142</v>
      </c>
      <c r="O145" s="86">
        <f t="shared" si="47"/>
        <v>45777</v>
      </c>
      <c r="P145" s="418"/>
      <c r="Q145" s="86"/>
      <c r="R145" s="397"/>
    </row>
    <row r="146" spans="3:35" hidden="1" outlineLevel="1" x14ac:dyDescent="0.2">
      <c r="C146" s="421"/>
      <c r="D146" s="86" t="str">
        <f t="shared" si="46"/>
        <v>NGN</v>
      </c>
      <c r="E146" s="86" t="str">
        <f t="shared" si="46"/>
        <v>NGN</v>
      </c>
      <c r="F146" s="86" t="str">
        <f t="shared" si="46"/>
        <v>USD</v>
      </c>
      <c r="G146" s="86" t="str">
        <f t="shared" si="46"/>
        <v>USD</v>
      </c>
      <c r="H146" s="419"/>
      <c r="K146" s="421"/>
      <c r="L146" s="86" t="str">
        <f t="shared" si="47"/>
        <v>NGN</v>
      </c>
      <c r="M146" s="86" t="str">
        <f t="shared" si="47"/>
        <v>NGN</v>
      </c>
      <c r="N146" s="86" t="str">
        <f t="shared" si="47"/>
        <v>USD</v>
      </c>
      <c r="O146" s="86" t="str">
        <f t="shared" si="47"/>
        <v>USD</v>
      </c>
      <c r="P146" s="419"/>
      <c r="Q146" s="86"/>
      <c r="R146" s="397"/>
    </row>
    <row r="147" spans="3:35" hidden="1" outlineLevel="1" x14ac:dyDescent="0.2">
      <c r="C147" s="110" t="s">
        <v>1262</v>
      </c>
      <c r="D147" s="87"/>
      <c r="E147" s="87"/>
      <c r="F147" s="87"/>
      <c r="G147" s="87"/>
      <c r="H147" s="88"/>
      <c r="K147" s="110" t="s">
        <v>1262</v>
      </c>
      <c r="L147" s="87"/>
      <c r="M147" s="87"/>
      <c r="N147" s="87"/>
      <c r="O147" s="87"/>
      <c r="P147" s="88"/>
      <c r="Q147" s="87"/>
      <c r="R147" s="130"/>
    </row>
    <row r="148" spans="3:35" hidden="1" outlineLevel="1" x14ac:dyDescent="0.2">
      <c r="C148" s="109" t="s">
        <v>295</v>
      </c>
      <c r="D148" s="87">
        <f>D19</f>
        <v>828426884.92000031</v>
      </c>
      <c r="E148" s="87">
        <f>E19</f>
        <v>46330188.299999915</v>
      </c>
      <c r="F148" s="87">
        <f>D148/$F$3</f>
        <v>602689.52378596656</v>
      </c>
      <c r="G148" s="87">
        <f>E148/$G$3</f>
        <v>28922.022785442234</v>
      </c>
      <c r="H148" s="88"/>
      <c r="I148" s="115"/>
      <c r="K148" s="109" t="s">
        <v>295</v>
      </c>
      <c r="L148" s="87">
        <f>L19</f>
        <v>567505226.53903997</v>
      </c>
      <c r="M148" s="87">
        <f>M19</f>
        <v>-264016915.63804877</v>
      </c>
      <c r="N148" s="87">
        <f>L148/$F$3</f>
        <v>412866.19369178277</v>
      </c>
      <c r="O148" s="87">
        <f>M148/$G$3</f>
        <v>-164814.85463390272</v>
      </c>
      <c r="P148" s="88"/>
      <c r="Q148" s="87"/>
      <c r="R148" s="130"/>
    </row>
    <row r="149" spans="3:35" hidden="1" outlineLevel="1" x14ac:dyDescent="0.2">
      <c r="C149" s="109" t="s">
        <v>14</v>
      </c>
      <c r="D149" s="87">
        <f>-D14</f>
        <v>48860521.390000001</v>
      </c>
      <c r="E149" s="87">
        <f>-E14</f>
        <v>19017580.039999999</v>
      </c>
      <c r="F149" s="87">
        <f>D149/$F$3</f>
        <v>35546.558066276237</v>
      </c>
      <c r="G149" s="87">
        <f>E149/$G$3</f>
        <v>11871.88965603346</v>
      </c>
      <c r="H149" s="88"/>
      <c r="I149" s="115"/>
      <c r="K149" s="109" t="s">
        <v>14</v>
      </c>
      <c r="L149" s="87">
        <f>-L14</f>
        <v>49839068.611200005</v>
      </c>
      <c r="M149" s="87">
        <f>-M14</f>
        <v>20067918.697999958</v>
      </c>
      <c r="N149" s="87">
        <f>L149/$F$3</f>
        <v>36258.461759266676</v>
      </c>
      <c r="O149" s="87">
        <f>M149/$G$3</f>
        <v>12527.572693676233</v>
      </c>
      <c r="P149" s="88"/>
      <c r="Q149" s="87"/>
      <c r="R149" s="130"/>
    </row>
    <row r="150" spans="3:35" hidden="1" outlineLevel="1" x14ac:dyDescent="0.2">
      <c r="C150" s="109" t="s">
        <v>1255</v>
      </c>
      <c r="D150" s="87"/>
      <c r="E150" s="87"/>
      <c r="F150" s="87"/>
      <c r="G150" s="87"/>
      <c r="H150" s="88"/>
      <c r="I150" s="115"/>
      <c r="K150" s="109" t="s">
        <v>1255</v>
      </c>
      <c r="L150" s="87"/>
      <c r="M150" s="87"/>
      <c r="N150" s="87"/>
      <c r="O150" s="87"/>
      <c r="P150" s="88"/>
      <c r="Q150" s="87"/>
      <c r="R150" s="130"/>
    </row>
    <row r="151" spans="3:35" hidden="1" outlineLevel="1" x14ac:dyDescent="0.2">
      <c r="C151" s="109" t="s">
        <v>1256</v>
      </c>
      <c r="D151" s="87">
        <v>1168082077.3699999</v>
      </c>
      <c r="E151" s="87">
        <v>-272661667.62</v>
      </c>
      <c r="F151" s="87">
        <f>D151/$F$3</f>
        <v>849792.35194791015</v>
      </c>
      <c r="G151" s="87">
        <f>E151/$G$3</f>
        <v>-170211.41620575567</v>
      </c>
      <c r="H151" s="88"/>
      <c r="I151" s="115"/>
      <c r="K151" s="109" t="s">
        <v>1256</v>
      </c>
      <c r="L151" s="87">
        <f>D151</f>
        <v>1168082077.3699999</v>
      </c>
      <c r="M151" s="87">
        <f t="shared" ref="L151:M154" si="48">E151</f>
        <v>-272661667.62</v>
      </c>
      <c r="N151" s="87">
        <f>L151/$F$3</f>
        <v>849792.35194791015</v>
      </c>
      <c r="O151" s="87">
        <f>M151/$G$3</f>
        <v>-170211.41620575567</v>
      </c>
      <c r="P151" s="88"/>
      <c r="Q151" s="87"/>
      <c r="R151" s="130"/>
    </row>
    <row r="152" spans="3:35" hidden="1" outlineLevel="1" x14ac:dyDescent="0.2">
      <c r="C152" s="109" t="s">
        <v>1257</v>
      </c>
      <c r="D152" s="87">
        <v>-750539827.25999999</v>
      </c>
      <c r="E152" s="87">
        <v>204540496.97</v>
      </c>
      <c r="F152" s="87">
        <f>D152/$F$3</f>
        <v>-546025.84646611614</v>
      </c>
      <c r="G152" s="87">
        <f>E152/$G$3</f>
        <v>127686.18326362444</v>
      </c>
      <c r="H152" s="88"/>
      <c r="I152" s="115"/>
      <c r="K152" s="109" t="s">
        <v>1257</v>
      </c>
      <c r="L152" s="87">
        <f t="shared" si="48"/>
        <v>-750539827.25999999</v>
      </c>
      <c r="M152" s="87">
        <f t="shared" si="48"/>
        <v>204540496.97</v>
      </c>
      <c r="N152" s="87">
        <f>L152/$F$3</f>
        <v>-546025.84646611614</v>
      </c>
      <c r="O152" s="87">
        <f>M152/$G$3</f>
        <v>127686.18326362444</v>
      </c>
      <c r="P152" s="88"/>
      <c r="Q152" s="87"/>
      <c r="R152" s="130"/>
    </row>
    <row r="153" spans="3:35" hidden="1" outlineLevel="1" x14ac:dyDescent="0.2">
      <c r="C153" s="109" t="s">
        <v>1258</v>
      </c>
      <c r="D153" s="87">
        <v>-24560565.82</v>
      </c>
      <c r="E153" s="87">
        <v>100308095.88</v>
      </c>
      <c r="F153" s="87">
        <f>D153/$F$3</f>
        <v>-17868.077421701648</v>
      </c>
      <c r="G153" s="87">
        <f>E153/$G$3</f>
        <v>62618.200811536291</v>
      </c>
      <c r="H153" s="88"/>
      <c r="I153" s="115"/>
      <c r="K153" s="109" t="s">
        <v>1258</v>
      </c>
      <c r="L153" s="87">
        <f t="shared" si="48"/>
        <v>-24560565.82</v>
      </c>
      <c r="M153" s="87">
        <f t="shared" si="48"/>
        <v>100308095.88</v>
      </c>
      <c r="N153" s="87">
        <f>L153/$F$3</f>
        <v>-17868.077421701648</v>
      </c>
      <c r="O153" s="87">
        <f>M153/$G$3</f>
        <v>62618.200811536291</v>
      </c>
      <c r="P153" s="88"/>
      <c r="Q153" s="87"/>
      <c r="R153" s="130"/>
    </row>
    <row r="154" spans="3:35" hidden="1" outlineLevel="1" x14ac:dyDescent="0.2">
      <c r="C154" s="109" t="s">
        <v>1259</v>
      </c>
      <c r="D154" s="87">
        <v>37777286.490000002</v>
      </c>
      <c r="E154" s="87">
        <v>0</v>
      </c>
      <c r="F154" s="87">
        <f>D154/$F$3</f>
        <v>27483.384736822962</v>
      </c>
      <c r="G154" s="87">
        <f>E154/$G$3</f>
        <v>0</v>
      </c>
      <c r="H154" s="88"/>
      <c r="I154" s="115"/>
      <c r="K154" s="109" t="s">
        <v>1259</v>
      </c>
      <c r="L154" s="87">
        <f t="shared" si="48"/>
        <v>37777286.490000002</v>
      </c>
      <c r="M154" s="87">
        <f t="shared" si="48"/>
        <v>0</v>
      </c>
      <c r="N154" s="87">
        <f>L154/$F$3</f>
        <v>27483.384736822962</v>
      </c>
      <c r="O154" s="87">
        <f>M154/$G$3</f>
        <v>0</v>
      </c>
      <c r="P154" s="88"/>
      <c r="Q154" s="87"/>
      <c r="R154" s="130"/>
    </row>
    <row r="155" spans="3:35" hidden="1" outlineLevel="1" x14ac:dyDescent="0.2">
      <c r="C155" s="109" t="s">
        <v>1260</v>
      </c>
      <c r="D155" s="374">
        <v>71692106.450000793</v>
      </c>
      <c r="E155" s="87">
        <v>-334472631.54000002</v>
      </c>
      <c r="F155" s="87">
        <f>D155/$F$3</f>
        <v>52156.783274526788</v>
      </c>
      <c r="G155" s="87">
        <f>E155/$G$3</f>
        <v>-208797.44774330483</v>
      </c>
      <c r="H155" s="88"/>
      <c r="I155" s="115"/>
      <c r="K155" s="109" t="s">
        <v>1260</v>
      </c>
      <c r="L155" s="87">
        <f>605187944.419619+D161</f>
        <v>-450650146.73038101</v>
      </c>
      <c r="M155" s="87">
        <f>368384408.559809+E161</f>
        <v>-366141246.44019097</v>
      </c>
      <c r="N155" s="87">
        <f>L155/$F$3</f>
        <v>-327852.85855762323</v>
      </c>
      <c r="O155" s="87">
        <f>M155/$G$3</f>
        <v>-228566.85588375738</v>
      </c>
      <c r="P155" s="88"/>
      <c r="Q155" s="87"/>
      <c r="R155" s="130"/>
    </row>
    <row r="156" spans="3:35" s="98" customFormat="1" hidden="1" outlineLevel="1" x14ac:dyDescent="0.2">
      <c r="C156" s="110" t="s">
        <v>1261</v>
      </c>
      <c r="D156" s="90">
        <f>SUM(D148:D155)</f>
        <v>1379738483.5400012</v>
      </c>
      <c r="E156" s="90">
        <f>SUM(E148:E155)</f>
        <v>-236937937.97000012</v>
      </c>
      <c r="F156" s="90">
        <f>SUM(F148:F155)</f>
        <v>1003774.6779236849</v>
      </c>
      <c r="G156" s="90">
        <f>SUM(G148:G155)</f>
        <v>-147910.56743242408</v>
      </c>
      <c r="H156" s="99"/>
      <c r="I156" s="115"/>
      <c r="K156" s="110" t="s">
        <v>1261</v>
      </c>
      <c r="L156" s="90">
        <f>SUM(L148:L155)</f>
        <v>597453119.19985878</v>
      </c>
      <c r="M156" s="90">
        <f>SUM(M148:M155)</f>
        <v>-577903318.15023971</v>
      </c>
      <c r="N156" s="90">
        <f>SUM(N148:N155)</f>
        <v>434653.60969034163</v>
      </c>
      <c r="O156" s="90">
        <f>SUM(O148:O155)</f>
        <v>-360761.16995457886</v>
      </c>
      <c r="P156" s="99"/>
      <c r="Q156" s="90"/>
      <c r="R156" s="138"/>
      <c r="U156" s="104"/>
      <c r="V156" s="83"/>
      <c r="W156" s="83"/>
      <c r="X156" s="83"/>
      <c r="Y156" s="83"/>
      <c r="Z156" s="83"/>
      <c r="AA156" s="83"/>
      <c r="AF156" s="83"/>
      <c r="AG156" s="83"/>
      <c r="AH156" s="83"/>
      <c r="AI156" s="83"/>
    </row>
    <row r="157" spans="3:35" hidden="1" outlineLevel="1" x14ac:dyDescent="0.2">
      <c r="C157" s="109"/>
      <c r="D157" s="87"/>
      <c r="E157" s="87"/>
      <c r="F157" s="87"/>
      <c r="G157" s="87"/>
      <c r="H157" s="88"/>
      <c r="I157" s="115"/>
      <c r="K157" s="109"/>
      <c r="L157" s="87"/>
      <c r="M157" s="87"/>
      <c r="N157" s="87"/>
      <c r="O157" s="87"/>
      <c r="P157" s="88"/>
      <c r="Q157" s="87"/>
      <c r="R157" s="130"/>
      <c r="U157" s="113"/>
      <c r="V157" s="98"/>
      <c r="W157" s="98"/>
      <c r="X157" s="98"/>
      <c r="Y157" s="98"/>
      <c r="Z157" s="98"/>
      <c r="AA157" s="98"/>
    </row>
    <row r="158" spans="3:35" hidden="1" outlineLevel="1" x14ac:dyDescent="0.2">
      <c r="C158" s="110" t="s">
        <v>1263</v>
      </c>
      <c r="D158" s="87"/>
      <c r="E158" s="87"/>
      <c r="F158" s="87"/>
      <c r="G158" s="87"/>
      <c r="H158" s="88"/>
      <c r="I158" s="115"/>
      <c r="K158" s="110" t="s">
        <v>1263</v>
      </c>
      <c r="L158" s="87"/>
      <c r="M158" s="87"/>
      <c r="N158" s="87"/>
      <c r="O158" s="87"/>
      <c r="P158" s="88"/>
      <c r="Q158" s="87"/>
      <c r="R158" s="130"/>
    </row>
    <row r="159" spans="3:35" hidden="1" outlineLevel="1" x14ac:dyDescent="0.2">
      <c r="C159" s="109" t="s">
        <v>1264</v>
      </c>
      <c r="D159" s="375">
        <v>-1348783064.0599999</v>
      </c>
      <c r="E159" s="375">
        <v>-735206457.21000004</v>
      </c>
      <c r="F159" s="87">
        <f>D159/$F$3</f>
        <v>-981254.27526099444</v>
      </c>
      <c r="G159" s="87">
        <f>E159/$G$3</f>
        <v>-458959.02191772271</v>
      </c>
      <c r="H159" s="88"/>
      <c r="I159" s="115"/>
      <c r="K159" s="109" t="s">
        <v>1264</v>
      </c>
      <c r="L159" s="87">
        <f>D159</f>
        <v>-1348783064.0599999</v>
      </c>
      <c r="M159" s="87">
        <f>E159</f>
        <v>-735206457.21000004</v>
      </c>
      <c r="N159" s="87">
        <f>L159/$F$3</f>
        <v>-981254.27526099444</v>
      </c>
      <c r="O159" s="87">
        <f>M159/$G$3</f>
        <v>-458959.02191772271</v>
      </c>
      <c r="P159" s="88"/>
      <c r="Q159" s="87"/>
      <c r="R159" s="130"/>
    </row>
    <row r="160" spans="3:35" hidden="1" outlineLevel="1" x14ac:dyDescent="0.2">
      <c r="C160" s="109" t="s">
        <v>1265</v>
      </c>
      <c r="D160" s="87">
        <v>0</v>
      </c>
      <c r="E160" s="87">
        <v>0</v>
      </c>
      <c r="F160" s="87">
        <f>D160/$F$3</f>
        <v>0</v>
      </c>
      <c r="G160" s="87">
        <f>E160/$G$3</f>
        <v>0</v>
      </c>
      <c r="H160" s="88"/>
      <c r="I160" s="115"/>
      <c r="K160" s="109" t="s">
        <v>1265</v>
      </c>
      <c r="L160" s="87">
        <f>D160</f>
        <v>0</v>
      </c>
      <c r="M160" s="87">
        <f>E160</f>
        <v>0</v>
      </c>
      <c r="N160" s="87">
        <f>L160/$F$3</f>
        <v>0</v>
      </c>
      <c r="O160" s="87">
        <f>M160/$G$3</f>
        <v>0</v>
      </c>
      <c r="P160" s="88"/>
      <c r="Q160" s="87"/>
      <c r="R160" s="130"/>
    </row>
    <row r="161" spans="3:35" hidden="1" outlineLevel="1" x14ac:dyDescent="0.2">
      <c r="C161" s="109" t="s">
        <v>1266</v>
      </c>
      <c r="D161" s="375">
        <v>-1055838091.15</v>
      </c>
      <c r="E161" s="375">
        <v>-734525655</v>
      </c>
      <c r="F161" s="87">
        <f>D161/$F$3</f>
        <v>-768133.6372994798</v>
      </c>
      <c r="G161" s="87">
        <f>E161/$G$3</f>
        <v>-458534.02522005117</v>
      </c>
      <c r="H161" s="88"/>
      <c r="I161" s="115"/>
      <c r="K161" s="109" t="s">
        <v>1266</v>
      </c>
      <c r="L161" s="87">
        <v>0</v>
      </c>
      <c r="M161" s="87">
        <v>0</v>
      </c>
      <c r="N161" s="87">
        <f>L161/$F$3</f>
        <v>0</v>
      </c>
      <c r="O161" s="87">
        <f>M161/$G$3</f>
        <v>0</v>
      </c>
      <c r="P161" s="88"/>
      <c r="Q161" s="87"/>
      <c r="R161" s="130"/>
      <c r="AF161" s="98"/>
      <c r="AG161" s="98"/>
      <c r="AH161" s="98"/>
      <c r="AI161" s="98"/>
    </row>
    <row r="162" spans="3:35" s="98" customFormat="1" hidden="1" outlineLevel="1" x14ac:dyDescent="0.2">
      <c r="C162" s="110" t="s">
        <v>1267</v>
      </c>
      <c r="D162" s="90">
        <f>SUM(D159:D161)</f>
        <v>-2404621155.21</v>
      </c>
      <c r="E162" s="90">
        <f>SUM(E159:E161)</f>
        <v>-1469732112.21</v>
      </c>
      <c r="F162" s="90">
        <f>SUM(F159:F161)</f>
        <v>-1749387.9125604741</v>
      </c>
      <c r="G162" s="90">
        <f>SUM(G159:G161)</f>
        <v>-917493.04713777383</v>
      </c>
      <c r="H162" s="99"/>
      <c r="I162" s="115"/>
      <c r="K162" s="110" t="s">
        <v>1267</v>
      </c>
      <c r="L162" s="90">
        <f>SUM(L159:L161)</f>
        <v>-1348783064.0599999</v>
      </c>
      <c r="M162" s="90">
        <f>SUM(M159:M161)</f>
        <v>-735206457.21000004</v>
      </c>
      <c r="N162" s="90">
        <f>SUM(N159:N161)</f>
        <v>-981254.27526099444</v>
      </c>
      <c r="O162" s="90">
        <f>SUM(O159:O161)</f>
        <v>-458959.02191772271</v>
      </c>
      <c r="P162" s="99"/>
      <c r="Q162" s="90"/>
      <c r="R162" s="138"/>
      <c r="U162" s="104"/>
      <c r="V162" s="83"/>
      <c r="W162" s="83"/>
      <c r="X162" s="83"/>
      <c r="Y162" s="83"/>
      <c r="Z162" s="83"/>
      <c r="AA162" s="83"/>
      <c r="AF162" s="83"/>
      <c r="AG162" s="83"/>
      <c r="AH162" s="83"/>
      <c r="AI162" s="83"/>
    </row>
    <row r="163" spans="3:35" hidden="1" outlineLevel="1" x14ac:dyDescent="0.2">
      <c r="C163" s="109"/>
      <c r="D163" s="87"/>
      <c r="E163" s="87"/>
      <c r="F163" s="87"/>
      <c r="G163" s="87"/>
      <c r="H163" s="88"/>
      <c r="I163" s="115"/>
      <c r="K163" s="109"/>
      <c r="L163" s="87"/>
      <c r="M163" s="87"/>
      <c r="N163" s="87"/>
      <c r="O163" s="87"/>
      <c r="P163" s="88"/>
      <c r="Q163" s="87"/>
      <c r="R163" s="130"/>
      <c r="U163" s="113"/>
      <c r="V163" s="98"/>
      <c r="W163" s="98"/>
      <c r="X163" s="98"/>
      <c r="Y163" s="98"/>
      <c r="Z163" s="98"/>
      <c r="AA163" s="98"/>
    </row>
    <row r="164" spans="3:35" hidden="1" outlineLevel="1" x14ac:dyDescent="0.2">
      <c r="C164" s="110" t="s">
        <v>1268</v>
      </c>
      <c r="D164" s="87"/>
      <c r="E164" s="87"/>
      <c r="F164" s="87"/>
      <c r="G164" s="87"/>
      <c r="H164" s="88"/>
      <c r="I164" s="115"/>
      <c r="K164" s="110" t="s">
        <v>1268</v>
      </c>
      <c r="L164" s="87"/>
      <c r="M164" s="87"/>
      <c r="N164" s="87"/>
      <c r="O164" s="87"/>
      <c r="P164" s="88"/>
      <c r="Q164" s="87"/>
      <c r="R164" s="130"/>
    </row>
    <row r="165" spans="3:35" hidden="1" outlineLevel="1" x14ac:dyDescent="0.2">
      <c r="C165" s="109" t="s">
        <v>1269</v>
      </c>
      <c r="D165" s="87">
        <v>0</v>
      </c>
      <c r="E165" s="87">
        <v>0</v>
      </c>
      <c r="F165" s="87">
        <f>D165/$F$3</f>
        <v>0</v>
      </c>
      <c r="G165" s="87">
        <f>E165/$G$3</f>
        <v>0</v>
      </c>
      <c r="H165" s="88"/>
      <c r="I165" s="115"/>
      <c r="K165" s="109" t="s">
        <v>1269</v>
      </c>
      <c r="L165" s="87">
        <f t="shared" ref="L165:M167" si="49">D165</f>
        <v>0</v>
      </c>
      <c r="M165" s="87">
        <f t="shared" si="49"/>
        <v>0</v>
      </c>
      <c r="N165" s="87">
        <f>L165/$F$3</f>
        <v>0</v>
      </c>
      <c r="O165" s="87">
        <f>M165/$G$3</f>
        <v>0</v>
      </c>
      <c r="P165" s="88"/>
      <c r="Q165" s="87"/>
      <c r="R165" s="130"/>
    </row>
    <row r="166" spans="3:35" hidden="1" outlineLevel="1" x14ac:dyDescent="0.2">
      <c r="C166" s="109" t="s">
        <v>1270</v>
      </c>
      <c r="D166" s="87">
        <v>0</v>
      </c>
      <c r="E166" s="87">
        <v>7093873967.5</v>
      </c>
      <c r="F166" s="87">
        <f>D166/$F$3</f>
        <v>0</v>
      </c>
      <c r="G166" s="87">
        <f>E166/$G$3</f>
        <v>4428412.4898557961</v>
      </c>
      <c r="H166" s="88"/>
      <c r="I166" s="115"/>
      <c r="K166" s="109" t="s">
        <v>1270</v>
      </c>
      <c r="L166" s="87">
        <f t="shared" si="49"/>
        <v>0</v>
      </c>
      <c r="M166" s="87">
        <f t="shared" si="49"/>
        <v>7093873967.5</v>
      </c>
      <c r="N166" s="87">
        <f>L166/$F$3</f>
        <v>0</v>
      </c>
      <c r="O166" s="87">
        <f>M166/$G$3</f>
        <v>4428412.4898557961</v>
      </c>
      <c r="P166" s="88"/>
      <c r="Q166" s="87"/>
      <c r="R166" s="130"/>
    </row>
    <row r="167" spans="3:35" hidden="1" outlineLevel="1" x14ac:dyDescent="0.2">
      <c r="C167" s="109" t="s">
        <v>1271</v>
      </c>
      <c r="D167" s="87">
        <v>0</v>
      </c>
      <c r="E167" s="87">
        <v>0</v>
      </c>
      <c r="F167" s="87">
        <f>D167/$F$3</f>
        <v>0</v>
      </c>
      <c r="G167" s="87">
        <f>E167/$G$3</f>
        <v>0</v>
      </c>
      <c r="H167" s="88"/>
      <c r="I167" s="115"/>
      <c r="K167" s="109" t="s">
        <v>1271</v>
      </c>
      <c r="L167" s="87">
        <f t="shared" si="49"/>
        <v>0</v>
      </c>
      <c r="M167" s="87">
        <f t="shared" si="49"/>
        <v>0</v>
      </c>
      <c r="N167" s="87">
        <f>L167/$F$3</f>
        <v>0</v>
      </c>
      <c r="O167" s="87">
        <f>M167/$G$3</f>
        <v>0</v>
      </c>
      <c r="P167" s="88"/>
      <c r="Q167" s="87"/>
      <c r="R167" s="130"/>
      <c r="AF167" s="98"/>
      <c r="AG167" s="98"/>
      <c r="AH167" s="98"/>
      <c r="AI167" s="98"/>
    </row>
    <row r="168" spans="3:35" hidden="1" outlineLevel="1" x14ac:dyDescent="0.2">
      <c r="C168" s="110" t="s">
        <v>1273</v>
      </c>
      <c r="D168" s="90">
        <f>SUM(D165:D167)</f>
        <v>0</v>
      </c>
      <c r="E168" s="90">
        <f>SUM(E165:E167)</f>
        <v>7093873967.5</v>
      </c>
      <c r="F168" s="90">
        <f>SUM(F165:F167)</f>
        <v>0</v>
      </c>
      <c r="G168" s="90">
        <f>SUM(G165:G167)</f>
        <v>4428412.4898557961</v>
      </c>
      <c r="H168" s="88"/>
      <c r="I168" s="115"/>
      <c r="K168" s="110" t="s">
        <v>1273</v>
      </c>
      <c r="L168" s="90">
        <f>SUM(L165:L167)</f>
        <v>0</v>
      </c>
      <c r="M168" s="90">
        <f>SUM(M165:M167)</f>
        <v>7093873967.5</v>
      </c>
      <c r="N168" s="90">
        <f>SUM(N165:N167)</f>
        <v>0</v>
      </c>
      <c r="O168" s="90">
        <f>SUM(O165:O167)</f>
        <v>4428412.4898557961</v>
      </c>
      <c r="P168" s="88"/>
      <c r="Q168" s="90"/>
      <c r="R168" s="130"/>
    </row>
    <row r="169" spans="3:35" hidden="1" outlineLevel="1" x14ac:dyDescent="0.2">
      <c r="C169" s="109"/>
      <c r="D169" s="87"/>
      <c r="E169" s="87"/>
      <c r="F169" s="87"/>
      <c r="G169" s="87"/>
      <c r="H169" s="88"/>
      <c r="I169" s="115"/>
      <c r="K169" s="109"/>
      <c r="L169" s="87"/>
      <c r="M169" s="87"/>
      <c r="N169" s="87"/>
      <c r="O169" s="87"/>
      <c r="P169" s="88"/>
      <c r="Q169" s="87"/>
      <c r="R169" s="130"/>
    </row>
    <row r="170" spans="3:35" hidden="1" outlineLevel="1" x14ac:dyDescent="0.2">
      <c r="C170" s="109"/>
      <c r="D170" s="87"/>
      <c r="E170" s="87"/>
      <c r="F170" s="87"/>
      <c r="G170" s="87"/>
      <c r="H170" s="88"/>
      <c r="I170" s="115"/>
      <c r="K170" s="109"/>
      <c r="L170" s="87"/>
      <c r="M170" s="87"/>
      <c r="N170" s="87"/>
      <c r="O170" s="87"/>
      <c r="P170" s="88"/>
      <c r="Q170" s="87"/>
      <c r="R170" s="130"/>
    </row>
    <row r="171" spans="3:35" hidden="1" outlineLevel="1" x14ac:dyDescent="0.2">
      <c r="C171" s="109" t="s">
        <v>1272</v>
      </c>
      <c r="D171" s="87">
        <v>-213262200</v>
      </c>
      <c r="E171" s="87">
        <v>391594600</v>
      </c>
      <c r="F171" s="87">
        <f>D171/$F$3</f>
        <v>-155150.55836455568</v>
      </c>
      <c r="G171" s="87">
        <f>E171/$F$3</f>
        <v>284889.3092284748</v>
      </c>
      <c r="H171" s="88"/>
      <c r="I171" s="115"/>
      <c r="K171" s="109" t="s">
        <v>1272</v>
      </c>
      <c r="L171" s="87">
        <f>D171</f>
        <v>-213262200</v>
      </c>
      <c r="M171" s="87">
        <f>E171</f>
        <v>391594600</v>
      </c>
      <c r="N171" s="87">
        <f>L171/$F$3</f>
        <v>-155150.55836455568</v>
      </c>
      <c r="O171" s="87">
        <f>M171/$F$3</f>
        <v>284889.3092284748</v>
      </c>
      <c r="P171" s="88"/>
      <c r="Q171" s="87"/>
      <c r="R171" s="130"/>
    </row>
    <row r="172" spans="3:35" hidden="1" outlineLevel="1" x14ac:dyDescent="0.2">
      <c r="C172" s="109"/>
      <c r="D172" s="87"/>
      <c r="E172" s="87"/>
      <c r="F172" s="87"/>
      <c r="G172" s="87"/>
      <c r="H172" s="88"/>
      <c r="I172" s="115"/>
      <c r="K172" s="109"/>
      <c r="L172" s="87"/>
      <c r="M172" s="87"/>
      <c r="N172" s="87"/>
      <c r="O172" s="87"/>
      <c r="P172" s="88"/>
      <c r="Q172" s="87"/>
      <c r="R172" s="130"/>
    </row>
    <row r="173" spans="3:35" hidden="1" outlineLevel="1" x14ac:dyDescent="0.2">
      <c r="C173" s="109" t="s">
        <v>1274</v>
      </c>
      <c r="D173" s="87">
        <f>D156+D162+D168+D171</f>
        <v>-1238144871.6699989</v>
      </c>
      <c r="E173" s="87">
        <f>E156+E162+E168+E171</f>
        <v>5778798517.3199997</v>
      </c>
      <c r="F173" s="87">
        <f>F156+F162+F168+F171</f>
        <v>-900763.79300134489</v>
      </c>
      <c r="G173" s="87">
        <f>G156+G162+G168+G171</f>
        <v>3647898.1845140732</v>
      </c>
      <c r="H173" s="88"/>
      <c r="I173" s="115"/>
      <c r="K173" s="109" t="s">
        <v>1274</v>
      </c>
      <c r="L173" s="87">
        <f>L156+L162+L168+L171</f>
        <v>-964592144.86014116</v>
      </c>
      <c r="M173" s="87">
        <f>M156+M162+M168+M171</f>
        <v>6172358792.13976</v>
      </c>
      <c r="N173" s="87">
        <f>N156+N162+N168+N171</f>
        <v>-701751.22393520852</v>
      </c>
      <c r="O173" s="87">
        <f>O156+O162+O168+O171</f>
        <v>3893581.6072119693</v>
      </c>
      <c r="P173" s="88"/>
      <c r="Q173" s="87"/>
      <c r="R173" s="130"/>
    </row>
    <row r="174" spans="3:35" hidden="1" outlineLevel="1" x14ac:dyDescent="0.2">
      <c r="C174" s="109" t="s">
        <v>1275</v>
      </c>
      <c r="D174" s="87">
        <v>5871087408.5299997</v>
      </c>
      <c r="E174" s="87">
        <v>107910705.31</v>
      </c>
      <c r="F174" s="87">
        <f>D174/$F$3</f>
        <v>4271279.6249899967</v>
      </c>
      <c r="G174" s="87">
        <f>E174/$G$3</f>
        <v>67364.195836194514</v>
      </c>
      <c r="H174" s="88"/>
      <c r="I174" s="115"/>
      <c r="K174" s="109" t="s">
        <v>1275</v>
      </c>
      <c r="L174" s="87">
        <f>D174</f>
        <v>5871087408.5299997</v>
      </c>
      <c r="M174" s="87">
        <f>E174</f>
        <v>107910705.31</v>
      </c>
      <c r="N174" s="87">
        <f>L174/$F$3</f>
        <v>4271279.6249899967</v>
      </c>
      <c r="O174" s="87">
        <f>M174/$G$3</f>
        <v>67364.195836194514</v>
      </c>
      <c r="P174" s="88"/>
      <c r="Q174" s="87"/>
      <c r="R174" s="130"/>
    </row>
    <row r="175" spans="3:35" hidden="1" outlineLevel="1" x14ac:dyDescent="0.2">
      <c r="C175" s="110" t="s">
        <v>1276</v>
      </c>
      <c r="D175" s="90">
        <f>D173+D174</f>
        <v>4632942536.8600006</v>
      </c>
      <c r="E175" s="90">
        <f>E173+E174</f>
        <v>5886709222.6300001</v>
      </c>
      <c r="F175" s="90">
        <f>F173+F174</f>
        <v>3370515.8319886518</v>
      </c>
      <c r="G175" s="90">
        <f>G173+G174</f>
        <v>3715262.3803502675</v>
      </c>
      <c r="H175" s="99"/>
      <c r="I175" s="115"/>
      <c r="K175" s="110" t="s">
        <v>1276</v>
      </c>
      <c r="L175" s="90">
        <f>L173+L174</f>
        <v>4906495263.6698589</v>
      </c>
      <c r="M175" s="90">
        <f>M173+M174</f>
        <v>6280269497.4497604</v>
      </c>
      <c r="N175" s="90">
        <f>N173+N174</f>
        <v>3569528.4010547884</v>
      </c>
      <c r="O175" s="90">
        <f>O173+O174</f>
        <v>3960945.8030481637</v>
      </c>
      <c r="P175" s="99"/>
      <c r="Q175" s="90"/>
      <c r="R175" s="138"/>
    </row>
    <row r="176" spans="3:35" hidden="1" outlineLevel="1" x14ac:dyDescent="0.2">
      <c r="D176" s="114">
        <f>D175-D87</f>
        <v>2174283199.3900003</v>
      </c>
      <c r="E176" s="114">
        <f>E175-E87</f>
        <v>3507805680.7200003</v>
      </c>
      <c r="F176" s="114">
        <f>F175-F87</f>
        <v>1581814.5570477617</v>
      </c>
      <c r="G176" s="114">
        <f>G175-G87</f>
        <v>2230211.1649747761</v>
      </c>
      <c r="L176" s="114">
        <f>L175-L87</f>
        <v>2263156888.7615385</v>
      </c>
      <c r="M176" s="114">
        <f>M175-M87</f>
        <v>3790894303.6765609</v>
      </c>
    </row>
    <row r="177" spans="2:18" hidden="1" outlineLevel="1" x14ac:dyDescent="0.2">
      <c r="C177" s="109" t="s">
        <v>1396</v>
      </c>
      <c r="D177" s="87">
        <f>-(D173)/(MONTH(D6))</f>
        <v>309536217.91749972</v>
      </c>
      <c r="E177" s="87">
        <f>-(E156+E162)/(MONTH(E6))</f>
        <v>426667512.54500002</v>
      </c>
      <c r="F177" s="87">
        <f>-F173/(MONTH(F6))</f>
        <v>225190.94825033622</v>
      </c>
      <c r="G177" s="87">
        <f>-G162/(MONTH(G6))</f>
        <v>229373.26178444346</v>
      </c>
      <c r="H177" s="88"/>
      <c r="K177" s="109" t="s">
        <v>1396</v>
      </c>
      <c r="L177" s="87">
        <f>-(L173)/(MONTH(L6))</f>
        <v>241148036.21503529</v>
      </c>
      <c r="M177" s="87">
        <f>-(M156+M162)/(MONTH(M6))</f>
        <v>328277443.84005994</v>
      </c>
      <c r="N177" s="87">
        <f>-N173/(MONTH(N6))</f>
        <v>175437.80598380213</v>
      </c>
      <c r="O177" s="87">
        <f>-O162/(MONTH(O6))</f>
        <v>114739.75547943068</v>
      </c>
      <c r="P177" s="88"/>
      <c r="Q177" s="87"/>
      <c r="R177" s="130"/>
    </row>
    <row r="178" spans="2:18" hidden="1" outlineLevel="1" x14ac:dyDescent="0.2">
      <c r="C178" s="109" t="s">
        <v>1395</v>
      </c>
      <c r="D178" s="87" t="str">
        <f ca="1">IFERROR(INT((D175/D177)) &amp; " month " &amp; ROUND(((D175/D177)-INT(D175/D177)) * DAY(EOMONTH(TODAY(), INT(D175/D177))), 0) &amp; " days","N/A")</f>
        <v>14 month 30 days</v>
      </c>
      <c r="E178" s="87" t="str">
        <f ca="1">IFERROR(INT((E175/E177)) &amp; " month " &amp; ROUND(((E175/E177)-INT(E175/E177)) * DAY(EOMONTH(TODAY(), INT(E175/E177))), 0) &amp; " days","N/A")</f>
        <v>13 month 24 days</v>
      </c>
      <c r="F178" s="87" t="str">
        <f ca="1">IFERROR(INT((F175/F177)) &amp; " month " &amp; ROUND(((F175/F177)-INT(F175/F177)) * DAY(EOMONTH(TODAY(), INT(F175/F177))), 0) &amp; " days","N/A")</f>
        <v>14 month 30 days</v>
      </c>
      <c r="G178" s="87" t="str">
        <f ca="1">IFERROR(INT((G175/G177)) &amp; " month " &amp; ROUND(((G175/G177)-INT(G175/G177)) * DAY(EOMONTH(TODAY(), INT(G175/G177))), 0) &amp; " days","N/A")</f>
        <v>16 month 6 days</v>
      </c>
      <c r="H178" s="88"/>
      <c r="K178" s="109" t="s">
        <v>1395</v>
      </c>
      <c r="L178" s="87" t="str">
        <f ca="1">IFERROR(INT((L175/L177)) &amp; " month " &amp; ROUND(((L175/L177)-INT(L175/L177)) * DAY(EOMONTH(TODAY(), INT(L175/L177))), 0) &amp; " days","N/A")</f>
        <v>20 month 11 days</v>
      </c>
      <c r="M178" s="87" t="str">
        <f ca="1">IFERROR(INT((M175/M177)) &amp; " month " &amp; ROUND(((M175/M177)-INT(M175/M177)) * DAY(EOMONTH(TODAY(), INT(M175/M177))), 0) &amp; " days","N/A")</f>
        <v>19 month 4 days</v>
      </c>
      <c r="N178" s="87" t="str">
        <f ca="1">IFERROR(INT((N175/N177)) &amp; " month " &amp; ROUND(((N175/N177)-INT(N175/N177)) * DAY(EOMONTH(TODAY(), INT(N175/N177))), 0) &amp; " days","N/A")</f>
        <v>20 month 11 days</v>
      </c>
      <c r="O178" s="87" t="str">
        <f ca="1">IFERROR(INT((O175/O177)) &amp; " month " &amp; ROUND(((O175/O177)-INT(O175/O177)) * DAY(EOMONTH(TODAY(), INT(O175/O177))), 0) &amp; " days","N/A")</f>
        <v>34 month 16 days</v>
      </c>
      <c r="P178" s="88"/>
      <c r="Q178" s="87"/>
      <c r="R178" s="130"/>
    </row>
    <row r="179" spans="2:18" collapsed="1" x14ac:dyDescent="0.2"/>
    <row r="182" spans="2:18" x14ac:dyDescent="0.2">
      <c r="C182" s="235"/>
    </row>
    <row r="183" spans="2:18" ht="14" x14ac:dyDescent="0.2">
      <c r="D183" s="404"/>
      <c r="E183" s="404"/>
      <c r="F183" s="392"/>
    </row>
    <row r="184" spans="2:18" ht="14" x14ac:dyDescent="0.2">
      <c r="B184" s="118"/>
      <c r="C184" s="235"/>
      <c r="F184" s="392"/>
    </row>
    <row r="185" spans="2:18" x14ac:dyDescent="0.2">
      <c r="E185" s="405"/>
      <c r="F185" s="118"/>
    </row>
    <row r="186" spans="2:18" x14ac:dyDescent="0.2">
      <c r="F186" s="118"/>
    </row>
  </sheetData>
  <mergeCells count="24">
    <mergeCell ref="H5:H7"/>
    <mergeCell ref="BC4:BJ4"/>
    <mergeCell ref="C143:H143"/>
    <mergeCell ref="H84:H86"/>
    <mergeCell ref="C85:C86"/>
    <mergeCell ref="C83:H83"/>
    <mergeCell ref="X26:Y26"/>
    <mergeCell ref="Z26:AA26"/>
    <mergeCell ref="H144:H146"/>
    <mergeCell ref="C145:C146"/>
    <mergeCell ref="U4:AB4"/>
    <mergeCell ref="K143:P143"/>
    <mergeCell ref="P144:P146"/>
    <mergeCell ref="K145:K146"/>
    <mergeCell ref="U25:AA25"/>
    <mergeCell ref="K4:P4"/>
    <mergeCell ref="K5:K6"/>
    <mergeCell ref="P5:P7"/>
    <mergeCell ref="K83:P83"/>
    <mergeCell ref="P84:P86"/>
    <mergeCell ref="K85:K86"/>
    <mergeCell ref="V26:W26"/>
    <mergeCell ref="C4:H4"/>
    <mergeCell ref="C5:C6"/>
  </mergeCells>
  <pageMargins left="0.7" right="0.7" top="0.75" bottom="0.75" header="0.3" footer="0.3"/>
  <pageSetup orientation="portrait" r:id="rId1"/>
  <ignoredErrors>
    <ignoredError sqref="D10:G10 D13:E13 D15:G15 G17 D16:G16 F14:G14 F18:G18 L10:M10 M13 L15:M15 L17:M17 L16:M16 E18 L18:M18 F13:G13 N10:O10 N13:O13 N15:O15 N17:O17 N16:O16 N18:O18 AH9:AI9 AA9 D17:F17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F8FB404-8706-4867-A4AB-4AF8EB6E9E0C}">
          <x14:formula1>
            <xm:f>PL_NG!$D$3:$AM$3</xm:f>
          </x14:formula1>
          <xm:sqref>B3 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3CAC-A3D4-4C02-AEF9-607CCCF61603}">
  <sheetPr codeName="Sheet2"/>
  <dimension ref="A2:AN123"/>
  <sheetViews>
    <sheetView showGridLines="0" zoomScale="140" zoomScaleNormal="140" workbookViewId="0">
      <pane xSplit="2" ySplit="3" topLeftCell="X66" activePane="bottomRight" state="frozen"/>
      <selection activeCell="L13" sqref="L13"/>
      <selection pane="topRight" activeCell="L13" sqref="L13"/>
      <selection pane="bottomLeft" activeCell="L13" sqref="L13"/>
      <selection pane="bottomRight" activeCell="AC85" sqref="AC85"/>
    </sheetView>
  </sheetViews>
  <sheetFormatPr baseColWidth="10" defaultColWidth="8.6640625" defaultRowHeight="11" x14ac:dyDescent="0.15"/>
  <cols>
    <col min="1" max="1" width="4.1640625" style="259" customWidth="1"/>
    <col min="2" max="2" width="33.83203125" style="259" bestFit="1" customWidth="1"/>
    <col min="3" max="3" width="14.1640625" style="259" bestFit="1" customWidth="1"/>
    <col min="4" max="4" width="15.1640625" style="259" bestFit="1" customWidth="1"/>
    <col min="5" max="5" width="14.1640625" style="259" bestFit="1" customWidth="1"/>
    <col min="6" max="8" width="14.83203125" style="259" bestFit="1" customWidth="1"/>
    <col min="9" max="9" width="15.1640625" style="259" bestFit="1" customWidth="1"/>
    <col min="10" max="10" width="14.83203125" style="259" bestFit="1" customWidth="1"/>
    <col min="11" max="11" width="14.1640625" style="259" bestFit="1" customWidth="1"/>
    <col min="12" max="12" width="14.83203125" style="259" bestFit="1" customWidth="1"/>
    <col min="13" max="13" width="15.1640625" style="259" bestFit="1" customWidth="1"/>
    <col min="14" max="14" width="14.83203125" style="259" bestFit="1" customWidth="1"/>
    <col min="15" max="15" width="15.1640625" style="259" bestFit="1" customWidth="1"/>
    <col min="16" max="16" width="14.83203125" style="259" bestFit="1" customWidth="1"/>
    <col min="17" max="17" width="15.1640625" style="259" bestFit="1" customWidth="1"/>
    <col min="18" max="19" width="14.83203125" style="259" bestFit="1" customWidth="1"/>
    <col min="20" max="22" width="14.5" style="259" bestFit="1" customWidth="1"/>
    <col min="23" max="23" width="15.1640625" style="259" bestFit="1" customWidth="1"/>
    <col min="24" max="24" width="14.83203125" style="259" bestFit="1" customWidth="1"/>
    <col min="25" max="25" width="15.1640625" style="259" bestFit="1" customWidth="1"/>
    <col min="26" max="26" width="11.33203125" style="259" bestFit="1" customWidth="1"/>
    <col min="27" max="28" width="13.6640625" style="259" bestFit="1" customWidth="1"/>
    <col min="29" max="29" width="11.5" style="259" customWidth="1"/>
    <col min="30" max="16384" width="8.6640625" style="259"/>
  </cols>
  <sheetData>
    <row r="2" spans="1:38" x14ac:dyDescent="0.15">
      <c r="U2" s="259">
        <f>IF(U$3&lt;=Summary!$C$2,_xlfn.XLOOKUP(NG!$B4,PL_NG!$C:$C,PL_NG!V:V),0)</f>
        <v>209164534.53</v>
      </c>
      <c r="V2" s="259">
        <f>IF(V$3&lt;=Summary!$C$2,_xlfn.XLOOKUP(NG!$B4,PL_NG!$C:$C,PL_NG!W:W),0)</f>
        <v>183988509.75</v>
      </c>
      <c r="W2" s="259">
        <f>IF(W$3&lt;=Summary!$C$2,_xlfn.XLOOKUP(NG!$B4,PL_NG!$C:$C,PL_NG!X:X),0)</f>
        <v>401196208.59000003</v>
      </c>
    </row>
    <row r="3" spans="1:38" x14ac:dyDescent="0.15">
      <c r="C3" s="260">
        <v>45322</v>
      </c>
      <c r="D3" s="260">
        <f t="shared" ref="D3:AL3" si="0">EOMONTH(C3,1)</f>
        <v>45351</v>
      </c>
      <c r="E3" s="260">
        <f t="shared" si="0"/>
        <v>45382</v>
      </c>
      <c r="F3" s="260">
        <f t="shared" si="0"/>
        <v>45412</v>
      </c>
      <c r="G3" s="260">
        <f t="shared" si="0"/>
        <v>45443</v>
      </c>
      <c r="H3" s="260">
        <f t="shared" si="0"/>
        <v>45473</v>
      </c>
      <c r="I3" s="260">
        <f t="shared" si="0"/>
        <v>45504</v>
      </c>
      <c r="J3" s="260">
        <f t="shared" si="0"/>
        <v>45535</v>
      </c>
      <c r="K3" s="260">
        <f t="shared" si="0"/>
        <v>45565</v>
      </c>
      <c r="L3" s="260">
        <f t="shared" si="0"/>
        <v>45596</v>
      </c>
      <c r="M3" s="260">
        <f t="shared" si="0"/>
        <v>45626</v>
      </c>
      <c r="N3" s="260">
        <f t="shared" si="0"/>
        <v>45657</v>
      </c>
      <c r="O3" s="260">
        <f>EOMONTH(N3,1)</f>
        <v>45688</v>
      </c>
      <c r="P3" s="260">
        <f t="shared" si="0"/>
        <v>45716</v>
      </c>
      <c r="Q3" s="260">
        <f t="shared" si="0"/>
        <v>45747</v>
      </c>
      <c r="R3" s="260">
        <f t="shared" si="0"/>
        <v>45777</v>
      </c>
      <c r="S3" s="260">
        <f t="shared" si="0"/>
        <v>45808</v>
      </c>
      <c r="T3" s="260">
        <f t="shared" si="0"/>
        <v>45838</v>
      </c>
      <c r="U3" s="260">
        <f t="shared" si="0"/>
        <v>45869</v>
      </c>
      <c r="V3" s="260">
        <f t="shared" si="0"/>
        <v>45900</v>
      </c>
      <c r="W3" s="260">
        <f t="shared" si="0"/>
        <v>45930</v>
      </c>
      <c r="X3" s="260">
        <f t="shared" si="0"/>
        <v>45961</v>
      </c>
      <c r="Y3" s="260">
        <f t="shared" si="0"/>
        <v>45991</v>
      </c>
      <c r="Z3" s="260">
        <f t="shared" si="0"/>
        <v>46022</v>
      </c>
      <c r="AA3" s="260">
        <f t="shared" si="0"/>
        <v>46053</v>
      </c>
      <c r="AB3" s="260">
        <f t="shared" si="0"/>
        <v>46081</v>
      </c>
      <c r="AC3" s="260">
        <f t="shared" si="0"/>
        <v>46112</v>
      </c>
      <c r="AD3" s="260">
        <f t="shared" si="0"/>
        <v>46142</v>
      </c>
      <c r="AE3" s="260">
        <f t="shared" si="0"/>
        <v>46173</v>
      </c>
      <c r="AF3" s="260">
        <f t="shared" si="0"/>
        <v>46203</v>
      </c>
      <c r="AG3" s="260">
        <f t="shared" si="0"/>
        <v>46234</v>
      </c>
      <c r="AH3" s="260">
        <f t="shared" si="0"/>
        <v>46265</v>
      </c>
      <c r="AI3" s="260">
        <f t="shared" si="0"/>
        <v>46295</v>
      </c>
      <c r="AJ3" s="260">
        <f t="shared" si="0"/>
        <v>46326</v>
      </c>
      <c r="AK3" s="260">
        <f t="shared" si="0"/>
        <v>46356</v>
      </c>
      <c r="AL3" s="260">
        <f t="shared" si="0"/>
        <v>46387</v>
      </c>
    </row>
    <row r="4" spans="1:38" x14ac:dyDescent="0.15">
      <c r="B4" s="259" t="s">
        <v>4</v>
      </c>
      <c r="C4" s="261">
        <f>IF(C$3&lt;=Summary!$C$2,_xlfn.XLOOKUP(NG!$B4,PL_NG!$C:$C,PL_NG!D:D),0)</f>
        <v>175170980.94</v>
      </c>
      <c r="D4" s="261">
        <f>IF(D$3&lt;=Summary!$C$2,_xlfn.XLOOKUP(NG!$B4,PL_NG!$C:$C,PL_NG!E:E),0)</f>
        <v>518489389.88</v>
      </c>
      <c r="E4" s="261">
        <f>IF(E$3&lt;=Summary!$C$2,_xlfn.XLOOKUP(NG!$B4,PL_NG!$C:$C,PL_NG!F:F),0)</f>
        <v>527014242.30000001</v>
      </c>
      <c r="F4" s="261">
        <f>IF(F$3&lt;=Summary!$C$2,_xlfn.XLOOKUP(NG!$B4,PL_NG!$C:$C,PL_NG!G:G),0)</f>
        <v>541839856.02999997</v>
      </c>
      <c r="G4" s="261">
        <f>IF(G$3&lt;=Summary!$C$2,_xlfn.XLOOKUP(NG!$B4,PL_NG!$C:$C,PL_NG!H:H),0)</f>
        <v>206727801.47000003</v>
      </c>
      <c r="H4" s="261">
        <f>IF(H$3&lt;=Summary!$C$2,_xlfn.XLOOKUP(NG!$B4,PL_NG!$C:$C,PL_NG!I:I),0)</f>
        <v>219439945.21000004</v>
      </c>
      <c r="I4" s="261">
        <f>IF(I$3&lt;=Summary!$C$2,_xlfn.XLOOKUP(NG!$B4,PL_NG!$C:$C,PL_NG!J:J),0)</f>
        <v>213838825.13</v>
      </c>
      <c r="J4" s="261">
        <f>IF(J$3&lt;=Summary!$C$2,_xlfn.XLOOKUP(NG!$B4,PL_NG!$C:$C,PL_NG!K:K),0)</f>
        <v>313204442.85000002</v>
      </c>
      <c r="K4" s="261">
        <f>IF(K$3&lt;=Summary!$C$2,_xlfn.XLOOKUP(NG!$B4,PL_NG!$C:$C,PL_NG!L:L),0)</f>
        <v>121820223.69000001</v>
      </c>
      <c r="L4" s="261">
        <f>IF(L$3&lt;=Summary!$C$2,_xlfn.XLOOKUP(NG!$B4,PL_NG!$C:$C,PL_NG!M:M),0)</f>
        <v>173377722.23000002</v>
      </c>
      <c r="M4" s="261">
        <f>IF(M$3&lt;=Summary!$C$2,_xlfn.XLOOKUP(NG!$B4,PL_NG!$C:$C,PL_NG!N:N),0)</f>
        <v>226991894.45999998</v>
      </c>
      <c r="N4" s="261">
        <f>IF(N$3&lt;=Summary!$C$2,_xlfn.XLOOKUP(NG!$B4,PL_NG!$C:$C,PL_NG!O:O),0)</f>
        <v>592258002.88999999</v>
      </c>
      <c r="O4" s="261">
        <f>IF(O$3&lt;=Summary!$C$2,_xlfn.XLOOKUP(NG!$B4,PL_NG!$C:$C,PL_NG!P:P),0)</f>
        <v>213268613.94999999</v>
      </c>
      <c r="P4" s="261">
        <f>IF(P$3&lt;=Summary!$C$2,_xlfn.XLOOKUP(NG!$B4,PL_NG!$C:$C,PL_NG!Q:Q),0)</f>
        <v>197048675.79000002</v>
      </c>
      <c r="Q4" s="261">
        <f>IF(Q$3&lt;=Summary!$C$2,_xlfn.XLOOKUP(NG!$B4,PL_NG!$C:$C,PL_NG!R:R),0)</f>
        <v>222403034.55000001</v>
      </c>
      <c r="R4" s="261">
        <f>IF(R$3&lt;=Summary!$C$2,_xlfn.XLOOKUP(NG!$B4,PL_NG!$C:$C,PL_NG!S:S),0)</f>
        <v>242700217.54000002</v>
      </c>
      <c r="S4" s="261">
        <f>IF(S$3&lt;=Summary!$C$2,_xlfn.XLOOKUP(NG!$B4,PL_NG!$C:$C,PL_NG!T:T),0)</f>
        <v>174492162.43000001</v>
      </c>
      <c r="T4" s="261">
        <f>IF(T$3&lt;=Summary!$C$2,_xlfn.XLOOKUP(NG!$B4,PL_NG!$C:$C,PL_NG!U:U),0)</f>
        <v>119740942.55000001</v>
      </c>
      <c r="U4" s="261">
        <f>IF(U$3&lt;=Summary!$C$2,_xlfn.XLOOKUP(NG!$B4,PL_NG!$C:$C,PL_NG!V:V),0)</f>
        <v>209164534.53</v>
      </c>
      <c r="V4" s="261">
        <f>IF(V$3&lt;=Summary!$C$2,_xlfn.XLOOKUP(NG!$B4,PL_NG!$C:$C,PL_NG!W:W),0)</f>
        <v>183988509.75</v>
      </c>
      <c r="W4" s="261">
        <f>IF(W$3&lt;=Summary!$C$2,_xlfn.XLOOKUP(NG!$B4,PL_NG!$C:$C,PL_NG!X:X),0)</f>
        <v>401196208.59000003</v>
      </c>
      <c r="X4" s="261">
        <f>IF(X$3&lt;=Summary!$C$2,_xlfn.XLOOKUP(NG!$B4,PL_NG!$C:$C,PL_NG!Y:Y),0)</f>
        <v>755003168.23000002</v>
      </c>
      <c r="Y4" s="261">
        <f>IF(Y$3&lt;=Summary!$C$2,_xlfn.XLOOKUP(NG!$B4,PL_NG!$C:$C,PL_NG!Z:Z),0)</f>
        <v>322667122.22000003</v>
      </c>
      <c r="Z4" s="261">
        <f>IF(Z$3&lt;=Summary!$C$2,_xlfn.XLOOKUP(NG!$B4,PL_NG!$C:$C,PL_NG!AA:AA),0)</f>
        <v>312136747.44999999</v>
      </c>
      <c r="AA4" s="261">
        <f>IF(AA$3&lt;=Summary!$C$2,_xlfn.XLOOKUP(NG!$B4,PL_NG!$C:$C,PL_NG!AB:AB),0)</f>
        <v>712939766.75000012</v>
      </c>
      <c r="AB4" s="261">
        <f>IF(AB$3&lt;=Summary!$C$2,_xlfn.XLOOKUP(NG!$B4,PL_NG!$C:$C,PL_NG!AC:AC),0)</f>
        <v>757193181.21000004</v>
      </c>
      <c r="AC4" s="261">
        <f>IF(AC$3&lt;=Summary!$C$2,_xlfn.XLOOKUP(NG!$B4,PL_NG!$C:$C,PL_NG!AD:AD),0)</f>
        <v>549117528.5</v>
      </c>
      <c r="AD4" s="261">
        <f>IF(AD$3&lt;=Summary!$C$2,_xlfn.XLOOKUP(NG!$B4,PL_NG!$C:$C,PL_NG!AE:AE),0)</f>
        <v>344429476.50999999</v>
      </c>
      <c r="AE4" s="261">
        <f>IF(AE$3&lt;=Summary!$C$2,_xlfn.XLOOKUP(NG!$B4,PL_NG!$C:$C,PL_NG!AF:AF),0)</f>
        <v>0</v>
      </c>
      <c r="AF4" s="261">
        <f>IF(AF$3&lt;=Summary!$C$2,_xlfn.XLOOKUP(NG!$B4,PL_NG!$C:$C,PL_NG!AG:AG),0)</f>
        <v>0</v>
      </c>
      <c r="AG4" s="261">
        <f>IF(AG$3&lt;=Summary!$C$2,_xlfn.XLOOKUP(NG!$B4,PL_NG!$C:$C,PL_NG!AH:AH),0)</f>
        <v>0</v>
      </c>
      <c r="AH4" s="261">
        <f>IF(AH$3&lt;=Summary!$C$2,_xlfn.XLOOKUP(NG!$B4,PL_NG!$C:$C,PL_NG!AI:AI),0)</f>
        <v>0</v>
      </c>
      <c r="AI4" s="261">
        <f>IF(AI$3&lt;=Summary!$C$2,_xlfn.XLOOKUP(NG!$B4,PL_NG!$C:$C,PL_NG!AJ:AJ),0)</f>
        <v>0</v>
      </c>
      <c r="AJ4" s="261">
        <f>IF(AJ$3&lt;=Summary!$C$2,_xlfn.XLOOKUP(NG!$B4,PL_NG!$C:$C,PL_NG!AK:AK),0)</f>
        <v>0</v>
      </c>
      <c r="AK4" s="261">
        <f>IF(AK$3&lt;=Summary!$C$2,_xlfn.XLOOKUP(NG!$B4,PL_NG!$C:$C,PL_NG!AL:AL),0)</f>
        <v>0</v>
      </c>
      <c r="AL4" s="261">
        <f>IF(AL$3&lt;=Summary!$C$2,_xlfn.XLOOKUP(NG!$B4,PL_NG!$C:$C,PL_NG!AM:AM),0)</f>
        <v>0</v>
      </c>
    </row>
    <row r="5" spans="1:38" x14ac:dyDescent="0.15">
      <c r="B5" s="259" t="s">
        <v>5</v>
      </c>
      <c r="C5" s="261">
        <f>IF(C$3&lt;=Summary!$C$2,_xlfn.XLOOKUP(NG!$B5,PL_NG!$C:$C,PL_NG!D:D),0)</f>
        <v>-83261121.61999999</v>
      </c>
      <c r="D5" s="261">
        <f>IF(D$3&lt;=Summary!$C$2,_xlfn.XLOOKUP(NG!$B5,PL_NG!$C:$C,PL_NG!E:E),0)</f>
        <v>-102071948.38999999</v>
      </c>
      <c r="E5" s="261">
        <f>IF(E$3&lt;=Summary!$C$2,_xlfn.XLOOKUP(NG!$B5,PL_NG!$C:$C,PL_NG!F:F),0)</f>
        <v>-130348597.16</v>
      </c>
      <c r="F5" s="261">
        <f>IF(F$3&lt;=Summary!$C$2,_xlfn.XLOOKUP(NG!$B5,PL_NG!$C:$C,PL_NG!G:G),0)</f>
        <v>-155089891.16</v>
      </c>
      <c r="G5" s="261">
        <f>IF(G$3&lt;=Summary!$C$2,_xlfn.XLOOKUP(NG!$B5,PL_NG!$C:$C,PL_NG!H:H),0)</f>
        <v>-183657574.89999998</v>
      </c>
      <c r="H5" s="261">
        <f>IF(H$3&lt;=Summary!$C$2,_xlfn.XLOOKUP(NG!$B5,PL_NG!$C:$C,PL_NG!I:I),0)</f>
        <v>-73738084.620000005</v>
      </c>
      <c r="I5" s="261">
        <f>IF(I$3&lt;=Summary!$C$2,_xlfn.XLOOKUP(NG!$B5,PL_NG!$C:$C,PL_NG!J:J),0)</f>
        <v>-63584963.950000003</v>
      </c>
      <c r="J5" s="261">
        <f>IF(J$3&lt;=Summary!$C$2,_xlfn.XLOOKUP(NG!$B5,PL_NG!$C:$C,PL_NG!K:K),0)</f>
        <v>-156670293.06999999</v>
      </c>
      <c r="K5" s="261">
        <f>IF(K$3&lt;=Summary!$C$2,_xlfn.XLOOKUP(NG!$B5,PL_NG!$C:$C,PL_NG!L:L),0)</f>
        <v>-80126589.230000004</v>
      </c>
      <c r="L5" s="261">
        <f>IF(L$3&lt;=Summary!$C$2,_xlfn.XLOOKUP(NG!$B5,PL_NG!$C:$C,PL_NG!M:M),0)</f>
        <v>-78233709.25</v>
      </c>
      <c r="M5" s="261">
        <f>IF(M$3&lt;=Summary!$C$2,_xlfn.XLOOKUP(NG!$B5,PL_NG!$C:$C,PL_NG!N:N),0)</f>
        <v>-87318732.950000003</v>
      </c>
      <c r="N5" s="261">
        <f>IF(N$3&lt;=Summary!$C$2,_xlfn.XLOOKUP(NG!$B5,PL_NG!$C:$C,PL_NG!O:O),0)</f>
        <v>-104040015.03000002</v>
      </c>
      <c r="O5" s="261">
        <f>IF(O$3&lt;=Summary!$C$2,_xlfn.XLOOKUP(NG!$B5,PL_NG!$C:$C,PL_NG!P:P),0)</f>
        <v>-72177217.609999999</v>
      </c>
      <c r="P5" s="261">
        <f>IF(P$3&lt;=Summary!$C$2,_xlfn.XLOOKUP(NG!$B5,PL_NG!$C:$C,PL_NG!Q:Q),0)</f>
        <v>-52445967.090000004</v>
      </c>
      <c r="Q5" s="261">
        <f>IF(Q$3&lt;=Summary!$C$2,_xlfn.XLOOKUP(NG!$B5,PL_NG!$C:$C,PL_NG!R:R),0)</f>
        <v>-56447542.559999995</v>
      </c>
      <c r="R5" s="261">
        <f>IF(R$3&lt;=Summary!$C$2,_xlfn.XLOOKUP(NG!$B5,PL_NG!$C:$C,PL_NG!S:S),0)</f>
        <v>-57526258.950000003</v>
      </c>
      <c r="S5" s="261">
        <f>IF(S$3&lt;=Summary!$C$2,_xlfn.XLOOKUP(NG!$B5,PL_NG!$C:$C,PL_NG!T:T),0)</f>
        <v>-67775465.159999996</v>
      </c>
      <c r="T5" s="261">
        <f>IF(T$3&lt;=Summary!$C$2,_xlfn.XLOOKUP(NG!$B5,PL_NG!$C:$C,PL_NG!U:U),0)</f>
        <v>-62498336.920000002</v>
      </c>
      <c r="U5" s="261">
        <f>IF(U$3&lt;=Summary!$C$2,_xlfn.XLOOKUP(NG!$B5,PL_NG!$C:$C,PL_NG!V:V),0)</f>
        <v>-103719625.97999999</v>
      </c>
      <c r="V5" s="261">
        <f>IF(V$3&lt;=Summary!$C$2,_xlfn.XLOOKUP(NG!$B5,PL_NG!$C:$C,PL_NG!W:W),0)</f>
        <v>9725952.2300000004</v>
      </c>
      <c r="W5" s="261">
        <f>IF(W$3&lt;=Summary!$C$2,_xlfn.XLOOKUP(NG!$B5,PL_NG!$C:$C,PL_NG!X:X),0)</f>
        <v>-107422455.05</v>
      </c>
      <c r="X5" s="261">
        <f>IF(X$3&lt;=Summary!$C$2,_xlfn.XLOOKUP(NG!$B5,PL_NG!$C:$C,PL_NG!Y:Y),0)</f>
        <v>-75931736.739999995</v>
      </c>
      <c r="Y5" s="261">
        <f>IF(Y$3&lt;=Summary!$C$2,_xlfn.XLOOKUP(NG!$B5,PL_NG!$C:$C,PL_NG!Z:Z),0)</f>
        <v>-62873576.390000001</v>
      </c>
      <c r="Z5" s="261">
        <f>IF(Z$3&lt;=Summary!$C$2,_xlfn.XLOOKUP(NG!$B5,PL_NG!$C:$C,PL_NG!AA:AA),0)</f>
        <v>-146722931.73000002</v>
      </c>
      <c r="AA5" s="261">
        <f>IF(AA$3&lt;=Summary!$C$2,_xlfn.XLOOKUP(NG!$B5,PL_NG!$C:$C,PL_NG!AB:AB),0)</f>
        <v>-152002363.90000001</v>
      </c>
      <c r="AB5" s="261">
        <f>IF(AB$3&lt;=Summary!$C$2,_xlfn.XLOOKUP(NG!$B5,PL_NG!$C:$C,PL_NG!AC:AC),0)</f>
        <v>-140383568.25999999</v>
      </c>
      <c r="AC5" s="261">
        <f>IF(AC$3&lt;=Summary!$C$2,_xlfn.XLOOKUP(NG!$B5,PL_NG!$C:$C,PL_NG!AD:AD),0)</f>
        <v>-141729009.59</v>
      </c>
      <c r="AD5" s="261">
        <f>IF(AD$3&lt;=Summary!$C$2,_xlfn.XLOOKUP(NG!$B5,PL_NG!$C:$C,PL_NG!AE:AE),0)</f>
        <v>-71143523.329999998</v>
      </c>
      <c r="AE5" s="261">
        <f>IF(AE$3&lt;=Summary!$C$2,_xlfn.XLOOKUP(NG!$B5,PL_NG!$C:$C,PL_NG!AF:AF),0)</f>
        <v>0</v>
      </c>
      <c r="AF5" s="261">
        <f>IF(AF$3&lt;=Summary!$C$2,_xlfn.XLOOKUP(NG!$B5,PL_NG!$C:$C,PL_NG!AG:AG),0)</f>
        <v>0</v>
      </c>
      <c r="AG5" s="261">
        <f>IF(AG$3&lt;=Summary!$C$2,_xlfn.XLOOKUP(NG!$B5,PL_NG!$C:$C,PL_NG!AH:AH),0)</f>
        <v>0</v>
      </c>
      <c r="AH5" s="261">
        <f>IF(AH$3&lt;=Summary!$C$2,_xlfn.XLOOKUP(NG!$B5,PL_NG!$C:$C,PL_NG!AI:AI),0)</f>
        <v>0</v>
      </c>
      <c r="AI5" s="261">
        <f>IF(AI$3&lt;=Summary!$C$2,_xlfn.XLOOKUP(NG!$B5,PL_NG!$C:$C,PL_NG!AJ:AJ),0)</f>
        <v>0</v>
      </c>
      <c r="AJ5" s="261">
        <f>IF(AJ$3&lt;=Summary!$C$2,_xlfn.XLOOKUP(NG!$B5,PL_NG!$C:$C,PL_NG!AK:AK),0)</f>
        <v>0</v>
      </c>
      <c r="AK5" s="261">
        <f>IF(AK$3&lt;=Summary!$C$2,_xlfn.XLOOKUP(NG!$B5,PL_NG!$C:$C,PL_NG!AL:AL),0)</f>
        <v>0</v>
      </c>
      <c r="AL5" s="261">
        <f>IF(AL$3&lt;=Summary!$C$2,_xlfn.XLOOKUP(NG!$B5,PL_NG!$C:$C,PL_NG!AM:AM),0)</f>
        <v>0</v>
      </c>
    </row>
    <row r="6" spans="1:38" x14ac:dyDescent="0.15">
      <c r="A6" s="265">
        <v>380495092.04000002</v>
      </c>
      <c r="B6" s="259" t="s">
        <v>8</v>
      </c>
      <c r="C6" s="261">
        <f>IF(C$3&lt;=Summary!$C$2,_xlfn.XLOOKUP(NG!$B6,PL_NG!$C:$C,PL_NG!D:D),0)</f>
        <v>54873.979999999996</v>
      </c>
      <c r="D6" s="261">
        <f>IF(D$3&lt;=Summary!$C$2,_xlfn.XLOOKUP(NG!$B6,PL_NG!$C:$C,PL_NG!E:E),0)</f>
        <v>28793.589999999851</v>
      </c>
      <c r="E6" s="261">
        <f>IF(E$3&lt;=Summary!$C$2,_xlfn.XLOOKUP(NG!$B6,PL_NG!$C:$C,PL_NG!F:F),0)</f>
        <v>36275.65</v>
      </c>
      <c r="F6" s="261">
        <f>IF(F$3&lt;=Summary!$C$2,_xlfn.XLOOKUP(NG!$B6,PL_NG!$C:$C,PL_NG!G:G),0)</f>
        <v>308917.01999999996</v>
      </c>
      <c r="G6" s="261">
        <f>IF(G$3&lt;=Summary!$C$2,_xlfn.XLOOKUP(NG!$B6,PL_NG!$C:$C,PL_NG!H:H),0)</f>
        <v>9570381.1099999994</v>
      </c>
      <c r="H6" s="261">
        <f>IF(H$3&lt;=Summary!$C$2,_xlfn.XLOOKUP(NG!$B6,PL_NG!$C:$C,PL_NG!I:I),0)</f>
        <v>33173690.379999999</v>
      </c>
      <c r="I6" s="261">
        <f>IF(I$3&lt;=Summary!$C$2,_xlfn.XLOOKUP(NG!$B6,PL_NG!$C:$C,PL_NG!J:J),0)</f>
        <v>31628524.27</v>
      </c>
      <c r="J6" s="261">
        <f>IF(J$3&lt;=Summary!$C$2,_xlfn.XLOOKUP(NG!$B6,PL_NG!$C:$C,PL_NG!K:K),0)</f>
        <v>33151884.989999998</v>
      </c>
      <c r="K6" s="261">
        <f>IF(K$3&lt;=Summary!$C$2,_xlfn.XLOOKUP(NG!$B6,PL_NG!$C:$C,PL_NG!L:L),0)</f>
        <v>2841292.959999999</v>
      </c>
      <c r="L6" s="261">
        <f>IF(L$3&lt;=Summary!$C$2,_xlfn.XLOOKUP(NG!$B6,PL_NG!$C:$C,PL_NG!M:M),0)</f>
        <v>77487951.570000008</v>
      </c>
      <c r="M6" s="261">
        <f>IF(M$3&lt;=Summary!$C$2,_xlfn.XLOOKUP(NG!$B6,PL_NG!$C:$C,PL_NG!N:N),0)</f>
        <v>41107532.490000002</v>
      </c>
      <c r="N6" s="261">
        <f>IF(N$3&lt;=Summary!$C$2,_xlfn.XLOOKUP(NG!$B6,PL_NG!$C:$C,PL_NG!O:O),0)</f>
        <v>43432413.009999998</v>
      </c>
      <c r="O6" s="261">
        <f>IF(O$3&lt;=Summary!$C$2,_xlfn.XLOOKUP(NG!$B6,PL_NG!$C:$C,PL_NG!P:P),0)</f>
        <v>39006804.149999999</v>
      </c>
      <c r="P6" s="261">
        <f>IF(P$3&lt;=Summary!$C$2,_xlfn.XLOOKUP(NG!$B6,PL_NG!$C:$C,PL_NG!Q:Q),0)</f>
        <v>31301634.100000001</v>
      </c>
      <c r="Q6" s="261">
        <f>IF(Q$3&lt;=Summary!$C$2,_xlfn.XLOOKUP(NG!$B6,PL_NG!$C:$C,PL_NG!R:R),0)</f>
        <v>28246672.029999997</v>
      </c>
      <c r="R6" s="261">
        <f>IF(R$3&lt;=Summary!$C$2,_xlfn.XLOOKUP(NG!$B6,PL_NG!$C:$C,PL_NG!S:S),0)</f>
        <v>29699519.509999998</v>
      </c>
      <c r="S6" s="261">
        <f>IF(S$3&lt;=Summary!$C$2,_xlfn.XLOOKUP(NG!$B6,PL_NG!$C:$C,PL_NG!T:T),0)</f>
        <v>23109999.489999998</v>
      </c>
      <c r="T6" s="261">
        <f>IF(T$3&lt;=Summary!$C$2,_xlfn.XLOOKUP(NG!$B6,PL_NG!$C:$C,PL_NG!U:U),0)</f>
        <v>21501586.259999998</v>
      </c>
      <c r="U6" s="261">
        <f>IF(U$3&lt;=Summary!$C$2,_xlfn.XLOOKUP(NG!$B6,PL_NG!$C:$C,PL_NG!V:V),0)</f>
        <v>21339893.5</v>
      </c>
      <c r="V6" s="261">
        <f>IF(V$3&lt;=Summary!$C$2,_xlfn.XLOOKUP(NG!$B6,PL_NG!$C:$C,PL_NG!W:W),0)</f>
        <v>31930751.150000002</v>
      </c>
      <c r="W6" s="261">
        <f>IF(W$3&lt;=Summary!$C$2,_xlfn.XLOOKUP(NG!$B6,PL_NG!$C:$C,PL_NG!X:X),0)</f>
        <v>15620183.770000001</v>
      </c>
      <c r="X6" s="261">
        <f>IF(X$3&lt;=Summary!$C$2,_xlfn.XLOOKUP(NG!$B6,PL_NG!$C:$C,PL_NG!Y:Y),0)</f>
        <v>16531444.33</v>
      </c>
      <c r="Y6" s="261">
        <f>IF(Y$3&lt;=Summary!$C$2,_xlfn.XLOOKUP(NG!$B6,PL_NG!$C:$C,PL_NG!Z:Z),0)</f>
        <v>16189960.02</v>
      </c>
      <c r="Z6" s="261">
        <f>IF(Z$3&lt;=Summary!$C$2,_xlfn.XLOOKUP(NG!$B6,PL_NG!$C:$C,PL_NG!AA:AA),0)</f>
        <v>135065371.03999999</v>
      </c>
      <c r="AA6" s="261">
        <f>IF(AA$3&lt;=Summary!$C$2,_xlfn.XLOOKUP(NG!$B6,PL_NG!$C:$C,PL_NG!AB:AB),0)</f>
        <v>5399535.4300000006</v>
      </c>
      <c r="AB6" s="261">
        <f>IF(AB$3&lt;=Summary!$C$2,_xlfn.XLOOKUP(NG!$B6,PL_NG!$C:$C,PL_NG!AC:AC),0)</f>
        <v>22316486.700000003</v>
      </c>
      <c r="AC6" s="261">
        <f>IF(AC$3&lt;=Summary!$C$2,_xlfn.XLOOKUP(NG!$B6,PL_NG!$C:$C,PL_NG!AD:AD),0)</f>
        <v>-18478033.149999999</v>
      </c>
      <c r="AD6" s="261">
        <f>IF(AD$3&lt;=Summary!$C$2,_xlfn.XLOOKUP(NG!$B6,PL_NG!$C:$C,PL_NG!AE:AE),0)</f>
        <v>63198519.719999991</v>
      </c>
      <c r="AE6" s="261">
        <f>IF(AE$3&lt;=Summary!$C$2,_xlfn.XLOOKUP(NG!$B6,PL_NG!$C:$C,PL_NG!AF:AF),0)</f>
        <v>0</v>
      </c>
      <c r="AF6" s="261">
        <f>IF(AF$3&lt;=Summary!$C$2,_xlfn.XLOOKUP(NG!$B6,PL_NG!$C:$C,PL_NG!AG:AG),0)</f>
        <v>0</v>
      </c>
      <c r="AG6" s="261">
        <f>IF(AG$3&lt;=Summary!$C$2,_xlfn.XLOOKUP(NG!$B6,PL_NG!$C:$C,PL_NG!AH:AH),0)</f>
        <v>0</v>
      </c>
      <c r="AH6" s="261">
        <f>IF(AH$3&lt;=Summary!$C$2,_xlfn.XLOOKUP(NG!$B6,PL_NG!$C:$C,PL_NG!AI:AI),0)</f>
        <v>0</v>
      </c>
      <c r="AI6" s="261">
        <f>IF(AI$3&lt;=Summary!$C$2,_xlfn.XLOOKUP(NG!$B6,PL_NG!$C:$C,PL_NG!AJ:AJ),0)</f>
        <v>0</v>
      </c>
      <c r="AJ6" s="261">
        <f>IF(AJ$3&lt;=Summary!$C$2,_xlfn.XLOOKUP(NG!$B6,PL_NG!$C:$C,PL_NG!AK:AK),0)</f>
        <v>0</v>
      </c>
      <c r="AK6" s="261">
        <f>IF(AK$3&lt;=Summary!$C$2,_xlfn.XLOOKUP(NG!$B6,PL_NG!$C:$C,PL_NG!AL:AL),0)</f>
        <v>0</v>
      </c>
      <c r="AL6" s="261">
        <f>IF(AL$3&lt;=Summary!$C$2,_xlfn.XLOOKUP(NG!$B6,PL_NG!$C:$C,PL_NG!AM:AM),0)</f>
        <v>0</v>
      </c>
    </row>
    <row r="7" spans="1:38" x14ac:dyDescent="0.15">
      <c r="A7" s="265">
        <v>13716118.890000001</v>
      </c>
      <c r="B7" s="259" t="s">
        <v>10</v>
      </c>
      <c r="C7" s="261">
        <f>IF(C$3&lt;=Summary!$C$2,_xlfn.XLOOKUP(NG!$B7,PL_NG!$C:$C,PL_NG!D:D),0)</f>
        <v>-107544656.88999999</v>
      </c>
      <c r="D7" s="261">
        <f>IF(D$3&lt;=Summary!$C$2,_xlfn.XLOOKUP(NG!$B7,PL_NG!$C:$C,PL_NG!E:E),0)</f>
        <v>-98190212.019999996</v>
      </c>
      <c r="E7" s="261">
        <f>IF(E$3&lt;=Summary!$C$2,_xlfn.XLOOKUP(NG!$B7,PL_NG!$C:$C,PL_NG!F:F),0)</f>
        <v>-130647419.29000001</v>
      </c>
      <c r="F7" s="261">
        <f>IF(F$3&lt;=Summary!$C$2,_xlfn.XLOOKUP(NG!$B7,PL_NG!$C:$C,PL_NG!G:G),0)</f>
        <v>-140492099.21000001</v>
      </c>
      <c r="G7" s="261">
        <f>IF(G$3&lt;=Summary!$C$2,_xlfn.XLOOKUP(NG!$B7,PL_NG!$C:$C,PL_NG!H:H),0)</f>
        <v>-236797297.31999999</v>
      </c>
      <c r="H7" s="261">
        <f>IF(H$3&lt;=Summary!$C$2,_xlfn.XLOOKUP(NG!$B7,PL_NG!$C:$C,PL_NG!I:I),0)</f>
        <v>-264730279.87</v>
      </c>
      <c r="I7" s="261">
        <f>IF(I$3&lt;=Summary!$C$2,_xlfn.XLOOKUP(NG!$B7,PL_NG!$C:$C,PL_NG!J:J),0)</f>
        <v>-218257872.74999997</v>
      </c>
      <c r="J7" s="261">
        <f>IF(J$3&lt;=Summary!$C$2,_xlfn.XLOOKUP(NG!$B7,PL_NG!$C:$C,PL_NG!K:K),0)</f>
        <v>-108621235.02</v>
      </c>
      <c r="K7" s="261">
        <f>IF(K$3&lt;=Summary!$C$2,_xlfn.XLOOKUP(NG!$B7,PL_NG!$C:$C,PL_NG!L:L),0)</f>
        <v>-61752846.639999986</v>
      </c>
      <c r="L7" s="261">
        <f>IF(L$3&lt;=Summary!$C$2,_xlfn.XLOOKUP(NG!$B7,PL_NG!$C:$C,PL_NG!M:M),0)</f>
        <v>-435698653.44</v>
      </c>
      <c r="M7" s="261">
        <f>IF(M$3&lt;=Summary!$C$2,_xlfn.XLOOKUP(NG!$B7,PL_NG!$C:$C,PL_NG!N:N),0)</f>
        <v>-410784296.5999999</v>
      </c>
      <c r="N7" s="261">
        <f>IF(N$3&lt;=Summary!$C$2,_xlfn.XLOOKUP(NG!$B7,PL_NG!$C:$C,PL_NG!O:O),0)</f>
        <v>-523025432.40999997</v>
      </c>
      <c r="O7" s="261">
        <f>IF(O$3&lt;=Summary!$C$2,_xlfn.XLOOKUP(NG!$B7,PL_NG!$C:$C,PL_NG!P:P),0)</f>
        <v>-192830258.64999995</v>
      </c>
      <c r="P7" s="261">
        <f>IF(P$3&lt;=Summary!$C$2,_xlfn.XLOOKUP(NG!$B7,PL_NG!$C:$C,PL_NG!Q:Q),0)</f>
        <v>-219324310.40000001</v>
      </c>
      <c r="Q7" s="261">
        <f>IF(Q$3&lt;=Summary!$C$2,_xlfn.XLOOKUP(NG!$B7,PL_NG!$C:$C,PL_NG!R:R),0)</f>
        <v>-190667812.42999995</v>
      </c>
      <c r="R7" s="261">
        <f>IF(R$3&lt;=Summary!$C$2,_xlfn.XLOOKUP(NG!$B7,PL_NG!$C:$C,PL_NG!S:S),0)</f>
        <v>-96908035.590000048</v>
      </c>
      <c r="S7" s="261">
        <f>IF(S$3&lt;=Summary!$C$2,_xlfn.XLOOKUP(NG!$B7,PL_NG!$C:$C,PL_NG!T:T),0)</f>
        <v>-391449552.38999987</v>
      </c>
      <c r="T7" s="261">
        <f>IF(T$3&lt;=Summary!$C$2,_xlfn.XLOOKUP(NG!$B7,PL_NG!$C:$C,PL_NG!U:U),0)</f>
        <v>-322461720.42999995</v>
      </c>
      <c r="U7" s="261">
        <f>IF(U$3&lt;=Summary!$C$2,_xlfn.XLOOKUP(NG!$B7,PL_NG!$C:$C,PL_NG!V:V),0)</f>
        <v>-283510072.44999999</v>
      </c>
      <c r="V7" s="261">
        <f>IF(V$3&lt;=Summary!$C$2,_xlfn.XLOOKUP(NG!$B7,PL_NG!$C:$C,PL_NG!W:W),0)</f>
        <v>-256993233.74999997</v>
      </c>
      <c r="W7" s="261">
        <f>IF(W$3&lt;=Summary!$C$2,_xlfn.XLOOKUP(NG!$B7,PL_NG!$C:$C,PL_NG!X:X),0)</f>
        <v>-438384885.07999992</v>
      </c>
      <c r="X7" s="261">
        <f>IF(X$3&lt;=Summary!$C$2,_xlfn.XLOOKUP(NG!$B7,PL_NG!$C:$C,PL_NG!Y:Y),0)</f>
        <v>-325832441.13</v>
      </c>
      <c r="Y7" s="261">
        <f>IF(Y$3&lt;=Summary!$C$2,_xlfn.XLOOKUP(NG!$B7,PL_NG!$C:$C,PL_NG!Z:Z),0)</f>
        <v>-305770447.52999997</v>
      </c>
      <c r="Z7" s="261">
        <f>IF(Z$3&lt;=Summary!$C$2,_xlfn.XLOOKUP(NG!$B7,PL_NG!$C:$C,PL_NG!AA:AA),0)</f>
        <v>-1035176940.5499998</v>
      </c>
      <c r="AA7" s="261">
        <f>IF(AA$3&lt;=Summary!$C$2,_xlfn.XLOOKUP(NG!$B7,PL_NG!$C:$C,PL_NG!AB:AB),0)</f>
        <v>-296906335.61999995</v>
      </c>
      <c r="AB7" s="261">
        <f>IF(AB$3&lt;=Summary!$C$2,_xlfn.XLOOKUP(NG!$B7,PL_NG!$C:$C,PL_NG!AC:AC),0)</f>
        <v>-275636218.04000008</v>
      </c>
      <c r="AC7" s="261">
        <f>IF(AC$3&lt;=Summary!$C$2,_xlfn.XLOOKUP(NG!$B7,PL_NG!$C:$C,PL_NG!AD:AD),0)</f>
        <v>-241944459.25999999</v>
      </c>
      <c r="AD7" s="261">
        <f>IF(AD$3&lt;=Summary!$C$2,_xlfn.XLOOKUP(NG!$B7,PL_NG!$C:$C,PL_NG!AE:AE),0)</f>
        <v>-239083577.35999998</v>
      </c>
      <c r="AE7" s="261">
        <f>IF(AE$3&lt;=Summary!$C$2,_xlfn.XLOOKUP(NG!$B7,PL_NG!$C:$C,PL_NG!AF:AF),0)</f>
        <v>0</v>
      </c>
      <c r="AF7" s="261">
        <f>IF(AF$3&lt;=Summary!$C$2,_xlfn.XLOOKUP(NG!$B7,PL_NG!$C:$C,PL_NG!AG:AG),0)</f>
        <v>0</v>
      </c>
      <c r="AG7" s="261">
        <f>IF(AG$3&lt;=Summary!$C$2,_xlfn.XLOOKUP(NG!$B7,PL_NG!$C:$C,PL_NG!AH:AH),0)</f>
        <v>0</v>
      </c>
      <c r="AH7" s="261">
        <f>IF(AH$3&lt;=Summary!$C$2,_xlfn.XLOOKUP(NG!$B7,PL_NG!$C:$C,PL_NG!AI:AI),0)</f>
        <v>0</v>
      </c>
      <c r="AI7" s="261">
        <f>IF(AI$3&lt;=Summary!$C$2,_xlfn.XLOOKUP(NG!$B7,PL_NG!$C:$C,PL_NG!AJ:AJ),0)</f>
        <v>0</v>
      </c>
      <c r="AJ7" s="261">
        <f>IF(AJ$3&lt;=Summary!$C$2,_xlfn.XLOOKUP(NG!$B7,PL_NG!$C:$C,PL_NG!AK:AK),0)</f>
        <v>0</v>
      </c>
      <c r="AK7" s="261">
        <f>IF(AK$3&lt;=Summary!$C$2,_xlfn.XLOOKUP(NG!$B7,PL_NG!$C:$C,PL_NG!AL:AL),0)</f>
        <v>0</v>
      </c>
      <c r="AL7" s="261">
        <f>IF(AL$3&lt;=Summary!$C$2,_xlfn.XLOOKUP(NG!$B7,PL_NG!$C:$C,PL_NG!AM:AM),0)</f>
        <v>0</v>
      </c>
    </row>
    <row r="8" spans="1:38" x14ac:dyDescent="0.15">
      <c r="A8" s="265">
        <f>A6+A7</f>
        <v>394211210.93000001</v>
      </c>
      <c r="B8" s="259" t="s">
        <v>13</v>
      </c>
      <c r="C8" s="261">
        <f>IF(C$3&lt;=Summary!$C$2,_xlfn.XLOOKUP(NG!$B8,PL_NG!$C:$C,PL_NG!D:D),0)</f>
        <v>-2883128.57</v>
      </c>
      <c r="D8" s="261">
        <f>IF(D$3&lt;=Summary!$C$2,_xlfn.XLOOKUP(NG!$B8,PL_NG!$C:$C,PL_NG!E:E),0)</f>
        <v>-3092261.82</v>
      </c>
      <c r="E8" s="261">
        <f>IF(E$3&lt;=Summary!$C$2,_xlfn.XLOOKUP(NG!$B8,PL_NG!$C:$C,PL_NG!F:F),0)</f>
        <v>-2791403.98</v>
      </c>
      <c r="F8" s="261">
        <f>IF(F$3&lt;=Summary!$C$2,_xlfn.XLOOKUP(NG!$B8,PL_NG!$C:$C,PL_NG!G:G),0)</f>
        <v>-2466666.5499999998</v>
      </c>
      <c r="G8" s="261">
        <f>IF(G$3&lt;=Summary!$C$2,_xlfn.XLOOKUP(NG!$B8,PL_NG!$C:$C,PL_NG!H:H),0)</f>
        <v>-2852194.03</v>
      </c>
      <c r="H8" s="261">
        <f>IF(H$3&lt;=Summary!$C$2,_xlfn.XLOOKUP(NG!$B8,PL_NG!$C:$C,PL_NG!I:I),0)</f>
        <v>-3230819.9499999997</v>
      </c>
      <c r="I8" s="261">
        <f>IF(I$3&lt;=Summary!$C$2,_xlfn.XLOOKUP(NG!$B8,PL_NG!$C:$C,PL_NG!J:J),0)</f>
        <v>-3043818.66</v>
      </c>
      <c r="J8" s="261">
        <f>IF(J$3&lt;=Summary!$C$2,_xlfn.XLOOKUP(NG!$B8,PL_NG!$C:$C,PL_NG!K:K),0)</f>
        <v>-4240446.2299999995</v>
      </c>
      <c r="K8" s="261">
        <f>IF(K$3&lt;=Summary!$C$2,_xlfn.XLOOKUP(NG!$B8,PL_NG!$C:$C,PL_NG!L:L),0)</f>
        <v>-4195644.66</v>
      </c>
      <c r="L8" s="261">
        <f>IF(L$3&lt;=Summary!$C$2,_xlfn.XLOOKUP(NG!$B8,PL_NG!$C:$C,PL_NG!M:M),0)</f>
        <v>-4361665.9000000004</v>
      </c>
      <c r="M8" s="261">
        <f>IF(M$3&lt;=Summary!$C$2,_xlfn.XLOOKUP(NG!$B8,PL_NG!$C:$C,PL_NG!N:N),0)</f>
        <v>-4486868.4000000004</v>
      </c>
      <c r="N8" s="261">
        <f>IF(N$3&lt;=Summary!$C$2,_xlfn.XLOOKUP(NG!$B8,PL_NG!$C:$C,PL_NG!O:O),0)</f>
        <v>-4477281.84</v>
      </c>
      <c r="O8" s="261">
        <f>IF(O$3&lt;=Summary!$C$2,_xlfn.XLOOKUP(NG!$B8,PL_NG!$C:$C,PL_NG!P:P),0)</f>
        <v>-4543051.03</v>
      </c>
      <c r="P8" s="261">
        <f>IF(P$3&lt;=Summary!$C$2,_xlfn.XLOOKUP(NG!$B8,PL_NG!$C:$C,PL_NG!Q:Q),0)</f>
        <v>-4808597.72</v>
      </c>
      <c r="Q8" s="261">
        <f>IF(Q$3&lt;=Summary!$C$2,_xlfn.XLOOKUP(NG!$B8,PL_NG!$C:$C,PL_NG!R:R),0)</f>
        <v>-4836131.74</v>
      </c>
      <c r="R8" s="261">
        <f>IF(R$3&lt;=Summary!$C$2,_xlfn.XLOOKUP(NG!$B8,PL_NG!$C:$C,PL_NG!S:S),0)</f>
        <v>-4829799.55</v>
      </c>
      <c r="S8" s="261">
        <f>IF(S$3&lt;=Summary!$C$2,_xlfn.XLOOKUP(NG!$B8,PL_NG!$C:$C,PL_NG!T:T),0)</f>
        <v>-4837481.21</v>
      </c>
      <c r="T8" s="261">
        <f>IF(T$3&lt;=Summary!$C$2,_xlfn.XLOOKUP(NG!$B8,PL_NG!$C:$C,PL_NG!U:U),0)</f>
        <v>-4837481.21</v>
      </c>
      <c r="U8" s="261">
        <f>IF(U$3&lt;=Summary!$C$2,_xlfn.XLOOKUP(NG!$B8,PL_NG!$C:$C,PL_NG!V:V),0)</f>
        <v>-7470963.8200000003</v>
      </c>
      <c r="V8" s="261">
        <f>IF(V$3&lt;=Summary!$C$2,_xlfn.XLOOKUP(NG!$B8,PL_NG!$C:$C,PL_NG!W:W),0)</f>
        <v>-6389594.8700000001</v>
      </c>
      <c r="W8" s="261">
        <f>IF(W$3&lt;=Summary!$C$2,_xlfn.XLOOKUP(NG!$B8,PL_NG!$C:$C,PL_NG!X:X),0)</f>
        <v>-6356357.0999999996</v>
      </c>
      <c r="X8" s="261">
        <f>IF(X$3&lt;=Summary!$C$2,_xlfn.XLOOKUP(NG!$B8,PL_NG!$C:$C,PL_NG!Y:Y),0)</f>
        <v>-6349940.4299999997</v>
      </c>
      <c r="Y8" s="261">
        <f>IF(Y$3&lt;=Summary!$C$2,_xlfn.XLOOKUP(NG!$B8,PL_NG!$C:$C,PL_NG!Z:Z),0)</f>
        <v>-6565088.7699999996</v>
      </c>
      <c r="Z8" s="261">
        <f>IF(Z$3&lt;=Summary!$C$2,_xlfn.XLOOKUP(NG!$B8,PL_NG!$C:$C,PL_NG!AA:AA),0)</f>
        <v>-6608072.0999999996</v>
      </c>
      <c r="AA8" s="261">
        <f>IF(AA$3&lt;=Summary!$C$2,_xlfn.XLOOKUP(NG!$B8,PL_NG!$C:$C,PL_NG!AB:AB),0)</f>
        <v>-12176015.15</v>
      </c>
      <c r="AB8" s="261">
        <f>IF(AB$3&lt;=Summary!$C$2,_xlfn.XLOOKUP(NG!$B8,PL_NG!$C:$C,PL_NG!AC:AC),0)</f>
        <v>-12299363.050000001</v>
      </c>
      <c r="AC8" s="261">
        <f>IF(AC$3&lt;=Summary!$C$2,_xlfn.XLOOKUP(NG!$B8,PL_NG!$C:$C,PL_NG!AD:AD),0)</f>
        <v>-12082019.51</v>
      </c>
      <c r="AD8" s="261">
        <f>IF(AD$3&lt;=Summary!$C$2,_xlfn.XLOOKUP(NG!$B8,PL_NG!$C:$C,PL_NG!AE:AE),0)</f>
        <v>-12303123.68</v>
      </c>
      <c r="AE8" s="261">
        <f>IF(AE$3&lt;=Summary!$C$2,_xlfn.XLOOKUP(NG!$B8,PL_NG!$C:$C,PL_NG!AF:AF),0)</f>
        <v>0</v>
      </c>
      <c r="AF8" s="261">
        <f>IF(AF$3&lt;=Summary!$C$2,_xlfn.XLOOKUP(NG!$B8,PL_NG!$C:$C,PL_NG!AG:AG),0)</f>
        <v>0</v>
      </c>
      <c r="AG8" s="261">
        <f>IF(AG$3&lt;=Summary!$C$2,_xlfn.XLOOKUP(NG!$B8,PL_NG!$C:$C,PL_NG!AH:AH),0)</f>
        <v>0</v>
      </c>
      <c r="AH8" s="261">
        <f>IF(AH$3&lt;=Summary!$C$2,_xlfn.XLOOKUP(NG!$B8,PL_NG!$C:$C,PL_NG!AI:AI),0)</f>
        <v>0</v>
      </c>
      <c r="AI8" s="261">
        <f>IF(AI$3&lt;=Summary!$C$2,_xlfn.XLOOKUP(NG!$B8,PL_NG!$C:$C,PL_NG!AJ:AJ),0)</f>
        <v>0</v>
      </c>
      <c r="AJ8" s="261">
        <f>IF(AJ$3&lt;=Summary!$C$2,_xlfn.XLOOKUP(NG!$B8,PL_NG!$C:$C,PL_NG!AK:AK),0)</f>
        <v>0</v>
      </c>
      <c r="AK8" s="261">
        <f>IF(AK$3&lt;=Summary!$C$2,_xlfn.XLOOKUP(NG!$B8,PL_NG!$C:$C,PL_NG!AL:AL),0)</f>
        <v>0</v>
      </c>
      <c r="AL8" s="261">
        <f>IF(AL$3&lt;=Summary!$C$2,_xlfn.XLOOKUP(NG!$B8,PL_NG!$C:$C,PL_NG!AM:AM),0)</f>
        <v>0</v>
      </c>
    </row>
    <row r="9" spans="1:38" x14ac:dyDescent="0.15">
      <c r="A9" s="265">
        <v>454533790.82999998</v>
      </c>
      <c r="B9" s="259" t="s">
        <v>16</v>
      </c>
      <c r="C9" s="261">
        <f>IF(C$3&lt;=Summary!$C$2,_xlfn.XLOOKUP(NG!$B9,PL_NG!$C:$C,PL_NG!D:D),0)</f>
        <v>0</v>
      </c>
      <c r="D9" s="261">
        <f>IF(D$3&lt;=Summary!$C$2,_xlfn.XLOOKUP(NG!$B9,PL_NG!$C:$C,PL_NG!E:E),0)</f>
        <v>-321442.59999999998</v>
      </c>
      <c r="E9" s="261">
        <f>IF(E$3&lt;=Summary!$C$2,_xlfn.XLOOKUP(NG!$B9,PL_NG!$C:$C,PL_NG!F:F),0)</f>
        <v>-1014508.47</v>
      </c>
      <c r="F9" s="261">
        <f>IF(F$3&lt;=Summary!$C$2,_xlfn.XLOOKUP(NG!$B9,PL_NG!$C:$C,PL_NG!G:G),0)</f>
        <v>0</v>
      </c>
      <c r="G9" s="261">
        <f>IF(G$3&lt;=Summary!$C$2,_xlfn.XLOOKUP(NG!$B9,PL_NG!$C:$C,PL_NG!H:H),0)</f>
        <v>0</v>
      </c>
      <c r="H9" s="261">
        <f>IF(H$3&lt;=Summary!$C$2,_xlfn.XLOOKUP(NG!$B9,PL_NG!$C:$C,PL_NG!I:I),0)</f>
        <v>0</v>
      </c>
      <c r="I9" s="261">
        <f>IF(I$3&lt;=Summary!$C$2,_xlfn.XLOOKUP(NG!$B9,PL_NG!$C:$C,PL_NG!J:J),0)</f>
        <v>0</v>
      </c>
      <c r="J9" s="261">
        <f>IF(J$3&lt;=Summary!$C$2,_xlfn.XLOOKUP(NG!$B9,PL_NG!$C:$C,PL_NG!K:K),0)</f>
        <v>0</v>
      </c>
      <c r="K9" s="261">
        <f>IF(K$3&lt;=Summary!$C$2,_xlfn.XLOOKUP(NG!$B9,PL_NG!$C:$C,PL_NG!L:L),0)</f>
        <v>0</v>
      </c>
      <c r="L9" s="261">
        <f>IF(L$3&lt;=Summary!$C$2,_xlfn.XLOOKUP(NG!$B9,PL_NG!$C:$C,PL_NG!M:M),0)</f>
        <v>0</v>
      </c>
      <c r="M9" s="261">
        <f>IF(M$3&lt;=Summary!$C$2,_xlfn.XLOOKUP(NG!$B9,PL_NG!$C:$C,PL_NG!N:N),0)</f>
        <v>0</v>
      </c>
      <c r="N9" s="261">
        <f>IF(N$3&lt;=Summary!$C$2,_xlfn.XLOOKUP(NG!$B9,PL_NG!$C:$C,PL_NG!O:O),0)</f>
        <v>0</v>
      </c>
      <c r="O9" s="261">
        <f>IF(O$3&lt;=Summary!$C$2,_xlfn.XLOOKUP(NG!$B9,PL_NG!$C:$C,PL_NG!P:P),0)</f>
        <v>0</v>
      </c>
      <c r="P9" s="261">
        <f>IF(P$3&lt;=Summary!$C$2,_xlfn.XLOOKUP(NG!$B9,PL_NG!$C:$C,PL_NG!Q:Q),0)</f>
        <v>0</v>
      </c>
      <c r="Q9" s="261">
        <f>IF(Q$3&lt;=Summary!$C$2,_xlfn.XLOOKUP(NG!$B9,PL_NG!$C:$C,PL_NG!R:R),0)</f>
        <v>0</v>
      </c>
      <c r="R9" s="261">
        <f>IF(R$3&lt;=Summary!$C$2,_xlfn.XLOOKUP(NG!$B9,PL_NG!$C:$C,PL_NG!S:S),0)</f>
        <v>0</v>
      </c>
      <c r="S9" s="261">
        <f>IF(S$3&lt;=Summary!$C$2,_xlfn.XLOOKUP(NG!$B9,PL_NG!$C:$C,PL_NG!T:T),0)</f>
        <v>-144180000</v>
      </c>
      <c r="T9" s="261">
        <f>IF(T$3&lt;=Summary!$C$2,_xlfn.XLOOKUP(NG!$B9,PL_NG!$C:$C,PL_NG!U:U),0)</f>
        <v>0</v>
      </c>
      <c r="U9" s="261">
        <f>IF(U$3&lt;=Summary!$C$2,_xlfn.XLOOKUP(NG!$B9,PL_NG!$C:$C,PL_NG!V:V),0)</f>
        <v>0</v>
      </c>
      <c r="V9" s="261">
        <f>IF(V$3&lt;=Summary!$C$2,_xlfn.XLOOKUP(NG!$B9,PL_NG!$C:$C,PL_NG!W:W),0)</f>
        <v>0</v>
      </c>
      <c r="W9" s="261">
        <f>IF(W$3&lt;=Summary!$C$2,_xlfn.XLOOKUP(NG!$B9,PL_NG!$C:$C,PL_NG!X:X),0)</f>
        <v>0</v>
      </c>
      <c r="X9" s="261">
        <f>IF(X$3&lt;=Summary!$C$2,_xlfn.XLOOKUP(NG!$B9,PL_NG!$C:$C,PL_NG!Y:Y),0)</f>
        <v>-134088144</v>
      </c>
      <c r="Y9" s="261">
        <f>IF(Y$3&lt;=Summary!$C$2,_xlfn.XLOOKUP(NG!$B9,PL_NG!$C:$C,PL_NG!Z:Z),0)</f>
        <v>0</v>
      </c>
      <c r="Z9" s="261">
        <f>IF(Z$3&lt;=Summary!$C$2,_xlfn.XLOOKUP(NG!$B9,PL_NG!$C:$C,PL_NG!AA:AA),0)</f>
        <v>0</v>
      </c>
      <c r="AA9" s="261">
        <f>IF(AA$3&lt;=Summary!$C$2,_xlfn.XLOOKUP(NG!$B9,PL_NG!$C:$C,PL_NG!AB:AB),0)</f>
        <v>0</v>
      </c>
      <c r="AB9" s="261">
        <f>IF(AB$3&lt;=Summary!$C$2,_xlfn.XLOOKUP(NG!$B9,PL_NG!$C:$C,PL_NG!AC:AC),0)</f>
        <v>0</v>
      </c>
      <c r="AC9" s="261">
        <f>IF(AC$3&lt;=Summary!$C$2,_xlfn.XLOOKUP(NG!$B9,PL_NG!$C:$C,PL_NG!AD:AD),0)</f>
        <v>0</v>
      </c>
      <c r="AD9" s="261">
        <f>IF(AD$3&lt;=Summary!$C$2,_xlfn.XLOOKUP(NG!$B9,PL_NG!$C:$C,PL_NG!AE:AE),0)</f>
        <v>0</v>
      </c>
      <c r="AE9" s="261">
        <f>IF(AE$3&lt;=Summary!$C$2,_xlfn.XLOOKUP(NG!$B9,PL_NG!$C:$C,PL_NG!AF:AF),0)</f>
        <v>0</v>
      </c>
      <c r="AF9" s="261">
        <f>IF(AF$3&lt;=Summary!$C$2,_xlfn.XLOOKUP(NG!$B9,PL_NG!$C:$C,PL_NG!AG:AG),0)</f>
        <v>0</v>
      </c>
      <c r="AG9" s="261">
        <f>IF(AG$3&lt;=Summary!$C$2,_xlfn.XLOOKUP(NG!$B9,PL_NG!$C:$C,PL_NG!AH:AH),0)</f>
        <v>0</v>
      </c>
      <c r="AH9" s="261">
        <f>IF(AH$3&lt;=Summary!$C$2,_xlfn.XLOOKUP(NG!$B9,PL_NG!$C:$C,PL_NG!AI:AI),0)</f>
        <v>0</v>
      </c>
      <c r="AI9" s="261">
        <f>IF(AI$3&lt;=Summary!$C$2,_xlfn.XLOOKUP(NG!$B9,PL_NG!$C:$C,PL_NG!AJ:AJ),0)</f>
        <v>0</v>
      </c>
      <c r="AJ9" s="261">
        <f>IF(AJ$3&lt;=Summary!$C$2,_xlfn.XLOOKUP(NG!$B9,PL_NG!$C:$C,PL_NG!AK:AK),0)</f>
        <v>0</v>
      </c>
      <c r="AK9" s="261">
        <f>IF(AK$3&lt;=Summary!$C$2,_xlfn.XLOOKUP(NG!$B9,PL_NG!$C:$C,PL_NG!AL:AL),0)</f>
        <v>0</v>
      </c>
      <c r="AL9" s="261">
        <f>IF(AL$3&lt;=Summary!$C$2,_xlfn.XLOOKUP(NG!$B9,PL_NG!$C:$C,PL_NG!AM:AM),0)</f>
        <v>0</v>
      </c>
    </row>
    <row r="10" spans="1:38" x14ac:dyDescent="0.15">
      <c r="B10" s="259" t="s">
        <v>19</v>
      </c>
      <c r="C10" s="261">
        <f>IF(C$3&lt;=Summary!$C$2,_xlfn.XLOOKUP(NG!$B10,PL_NG!$C:$C,PL_NG!D:D),0)</f>
        <v>0</v>
      </c>
      <c r="D10" s="261">
        <f>IF(D$3&lt;=Summary!$C$2,_xlfn.XLOOKUP(NG!$B10,PL_NG!$C:$C,PL_NG!E:E),0)</f>
        <v>0</v>
      </c>
      <c r="E10" s="261">
        <f>IF(E$3&lt;=Summary!$C$2,_xlfn.XLOOKUP(NG!$B10,PL_NG!$C:$C,PL_NG!F:F),0)</f>
        <v>0</v>
      </c>
      <c r="F10" s="261">
        <f>IF(F$3&lt;=Summary!$C$2,_xlfn.XLOOKUP(NG!$B10,PL_NG!$C:$C,PL_NG!G:G),0)</f>
        <v>0</v>
      </c>
      <c r="G10" s="261">
        <f>IF(G$3&lt;=Summary!$C$2,_xlfn.XLOOKUP(NG!$B10,PL_NG!$C:$C,PL_NG!H:H),0)</f>
        <v>0</v>
      </c>
      <c r="H10" s="261">
        <f>IF(H$3&lt;=Summary!$C$2,_xlfn.XLOOKUP(NG!$B10,PL_NG!$C:$C,PL_NG!I:I),0)</f>
        <v>0</v>
      </c>
      <c r="I10" s="261">
        <f>IF(I$3&lt;=Summary!$C$2,_xlfn.XLOOKUP(NG!$B10,PL_NG!$C:$C,PL_NG!J:J),0)</f>
        <v>0</v>
      </c>
      <c r="J10" s="261">
        <f>IF(J$3&lt;=Summary!$C$2,_xlfn.XLOOKUP(NG!$B10,PL_NG!$C:$C,PL_NG!K:K),0)</f>
        <v>0</v>
      </c>
      <c r="K10" s="261">
        <f>IF(K$3&lt;=Summary!$C$2,_xlfn.XLOOKUP(NG!$B10,PL_NG!$C:$C,PL_NG!L:L),0)</f>
        <v>0</v>
      </c>
      <c r="L10" s="261">
        <f>IF(L$3&lt;=Summary!$C$2,_xlfn.XLOOKUP(NG!$B10,PL_NG!$C:$C,PL_NG!M:M),0)</f>
        <v>0</v>
      </c>
      <c r="M10" s="261">
        <f>IF(M$3&lt;=Summary!$C$2,_xlfn.XLOOKUP(NG!$B10,PL_NG!$C:$C,PL_NG!N:N),0)</f>
        <v>0</v>
      </c>
      <c r="N10" s="261">
        <f>IF(N$3&lt;=Summary!$C$2,_xlfn.XLOOKUP(NG!$B10,PL_NG!$C:$C,PL_NG!O:O),0)</f>
        <v>-17250130</v>
      </c>
      <c r="O10" s="261">
        <f>IF(O$3&lt;=Summary!$C$2,_xlfn.XLOOKUP(NG!$B10,PL_NG!$C:$C,PL_NG!P:P),0)</f>
        <v>0</v>
      </c>
      <c r="P10" s="261">
        <f>IF(P$3&lt;=Summary!$C$2,_xlfn.XLOOKUP(NG!$B10,PL_NG!$C:$C,PL_NG!Q:Q),0)</f>
        <v>0</v>
      </c>
      <c r="Q10" s="261">
        <f>IF(Q$3&lt;=Summary!$C$2,_xlfn.XLOOKUP(NG!$B10,PL_NG!$C:$C,PL_NG!R:R),0)</f>
        <v>0</v>
      </c>
      <c r="R10" s="261">
        <f>IF(R$3&lt;=Summary!$C$2,_xlfn.XLOOKUP(NG!$B10,PL_NG!$C:$C,PL_NG!S:S),0)</f>
        <v>0</v>
      </c>
      <c r="S10" s="261">
        <f>IF(S$3&lt;=Summary!$C$2,_xlfn.XLOOKUP(NG!$B10,PL_NG!$C:$C,PL_NG!T:T),0)</f>
        <v>0</v>
      </c>
      <c r="T10" s="261">
        <f>IF(T$3&lt;=Summary!$C$2,_xlfn.XLOOKUP(NG!$B10,PL_NG!$C:$C,PL_NG!U:U),0)</f>
        <v>0</v>
      </c>
      <c r="U10" s="261">
        <f>IF(U$3&lt;=Summary!$C$2,_xlfn.XLOOKUP(NG!$B10,PL_NG!$C:$C,PL_NG!V:V),0)</f>
        <v>0</v>
      </c>
      <c r="V10" s="261">
        <f>IF(V$3&lt;=Summary!$C$2,_xlfn.XLOOKUP(NG!$B10,PL_NG!$C:$C,PL_NG!W:W),0)</f>
        <v>0</v>
      </c>
      <c r="W10" s="261">
        <f>IF(W$3&lt;=Summary!$C$2,_xlfn.XLOOKUP(NG!$B10,PL_NG!$C:$C,PL_NG!X:X),0)</f>
        <v>0</v>
      </c>
      <c r="X10" s="261">
        <f>IF(X$3&lt;=Summary!$C$2,_xlfn.XLOOKUP(NG!$B10,PL_NG!$C:$C,PL_NG!Y:Y),0)</f>
        <v>0</v>
      </c>
      <c r="Y10" s="261">
        <f>IF(Y$3&lt;=Summary!$C$2,_xlfn.XLOOKUP(NG!$B10,PL_NG!$C:$C,PL_NG!Z:Z),0)</f>
        <v>0</v>
      </c>
      <c r="Z10" s="261">
        <f>IF(Z$3&lt;=Summary!$C$2,_xlfn.XLOOKUP(NG!$B10,PL_NG!$C:$C,PL_NG!AA:AA),0)</f>
        <v>0</v>
      </c>
      <c r="AA10" s="261">
        <f>IF(AA$3&lt;=Summary!$C$2,_xlfn.XLOOKUP(NG!$B10,PL_NG!$C:$C,PL_NG!AB:AB),0)</f>
        <v>0</v>
      </c>
      <c r="AB10" s="261">
        <f>IF(AB$3&lt;=Summary!$C$2,_xlfn.XLOOKUP(NG!$B10,PL_NG!$C:$C,PL_NG!AC:AC),0)</f>
        <v>0</v>
      </c>
      <c r="AC10" s="261">
        <f>IF(AC$3&lt;=Summary!$C$2,_xlfn.XLOOKUP(NG!$B10,PL_NG!$C:$C,PL_NG!AD:AD),0)</f>
        <v>0</v>
      </c>
      <c r="AD10" s="261">
        <f>IF(AD$3&lt;=Summary!$C$2,_xlfn.XLOOKUP(NG!$B10,PL_NG!$C:$C,PL_NG!AE:AE),0)</f>
        <v>0</v>
      </c>
      <c r="AE10" s="261">
        <f>IF(AE$3&lt;=Summary!$C$2,_xlfn.XLOOKUP(NG!$B10,PL_NG!$C:$C,PL_NG!AF:AF),0)</f>
        <v>0</v>
      </c>
      <c r="AF10" s="261">
        <f>IF(AF$3&lt;=Summary!$C$2,_xlfn.XLOOKUP(NG!$B10,PL_NG!$C:$C,PL_NG!AG:AG),0)</f>
        <v>0</v>
      </c>
      <c r="AG10" s="261">
        <f>IF(AG$3&lt;=Summary!$C$2,_xlfn.XLOOKUP(NG!$B10,PL_NG!$C:$C,PL_NG!AH:AH),0)</f>
        <v>0</v>
      </c>
      <c r="AH10" s="261">
        <f>IF(AH$3&lt;=Summary!$C$2,_xlfn.XLOOKUP(NG!$B10,PL_NG!$C:$C,PL_NG!AI:AI),0)</f>
        <v>0</v>
      </c>
      <c r="AI10" s="261">
        <f>IF(AI$3&lt;=Summary!$C$2,_xlfn.XLOOKUP(NG!$B10,PL_NG!$C:$C,PL_NG!AJ:AJ),0)</f>
        <v>0</v>
      </c>
      <c r="AJ10" s="261">
        <f>IF(AJ$3&lt;=Summary!$C$2,_xlfn.XLOOKUP(NG!$B10,PL_NG!$C:$C,PL_NG!AK:AK),0)</f>
        <v>0</v>
      </c>
      <c r="AK10" s="261">
        <f>IF(AK$3&lt;=Summary!$C$2,_xlfn.XLOOKUP(NG!$B10,PL_NG!$C:$C,PL_NG!AL:AL),0)</f>
        <v>0</v>
      </c>
      <c r="AL10" s="261">
        <f>IF(AL$3&lt;=Summary!$C$2,_xlfn.XLOOKUP(NG!$B10,PL_NG!$C:$C,PL_NG!AM:AM),0)</f>
        <v>0</v>
      </c>
    </row>
    <row r="12" spans="1:38" x14ac:dyDescent="0.15">
      <c r="A12" s="265">
        <f>A7+A9</f>
        <v>468249909.71999997</v>
      </c>
    </row>
    <row r="13" spans="1:38" x14ac:dyDescent="0.15">
      <c r="B13" s="259" t="s">
        <v>125</v>
      </c>
      <c r="C13" s="261">
        <f>IF(C$3&lt;=Summary!$C$2,_xlfn.XLOOKUP(NG!$B13,PL_NG!$C:$C,PL_NG!D:D),0)</f>
        <v>-51864749.889999993</v>
      </c>
      <c r="D13" s="261">
        <f>IF(D$3&lt;=Summary!$C$2,_xlfn.XLOOKUP(NG!$B13,PL_NG!$C:$C,PL_NG!E:E),0)</f>
        <v>-61847009.759999998</v>
      </c>
      <c r="E13" s="261">
        <f>IF(E$3&lt;=Summary!$C$2,_xlfn.XLOOKUP(NG!$B13,PL_NG!$C:$C,PL_NG!F:F),0)</f>
        <v>-71658409</v>
      </c>
      <c r="F13" s="261">
        <f>IF(F$3&lt;=Summary!$C$2,_xlfn.XLOOKUP(NG!$B13,PL_NG!$C:$C,PL_NG!G:G),0)</f>
        <v>-89289691.349999994</v>
      </c>
      <c r="G13" s="261">
        <f>IF(G$3&lt;=Summary!$C$2,_xlfn.XLOOKUP(NG!$B13,PL_NG!$C:$C,PL_NG!H:H),0)</f>
        <v>-114420638.27</v>
      </c>
      <c r="H13" s="261">
        <f>IF(H$3&lt;=Summary!$C$2,_xlfn.XLOOKUP(NG!$B13,PL_NG!$C:$C,PL_NG!I:I),0)</f>
        <v>-89891456.200000003</v>
      </c>
      <c r="I13" s="261">
        <f>IF(I$3&lt;=Summary!$C$2,_xlfn.XLOOKUP(NG!$B13,PL_NG!$C:$C,PL_NG!J:J),0)</f>
        <v>-89441102.090000004</v>
      </c>
      <c r="J13" s="261">
        <f>IF(J$3&lt;=Summary!$C$2,_xlfn.XLOOKUP(NG!$B13,PL_NG!$C:$C,PL_NG!K:K),0)</f>
        <v>-94662025.539999992</v>
      </c>
      <c r="K13" s="261">
        <f>IF(K$3&lt;=Summary!$C$2,_xlfn.XLOOKUP(NG!$B13,PL_NG!$C:$C,PL_NG!L:L),0)</f>
        <v>-130421686.41999999</v>
      </c>
      <c r="L13" s="261">
        <f>IF(L$3&lt;=Summary!$C$2,_xlfn.XLOOKUP(NG!$B13,PL_NG!$C:$C,PL_NG!M:M),0)</f>
        <v>-183811037.75999999</v>
      </c>
      <c r="M13" s="261">
        <f>IF(M$3&lt;=Summary!$C$2,_xlfn.XLOOKUP(NG!$B13,PL_NG!$C:$C,PL_NG!N:N),0)</f>
        <v>-181580118.44</v>
      </c>
      <c r="N13" s="261">
        <f>IF(N$3&lt;=Summary!$C$2,_xlfn.XLOOKUP(NG!$B13,PL_NG!$C:$C,PL_NG!O:O),0)</f>
        <v>-624617760.07000005</v>
      </c>
      <c r="O13" s="261">
        <f>IF(O$3&lt;=Summary!$C$2,_xlfn.XLOOKUP(NG!$B13,PL_NG!$C:$C,PL_NG!P:P),0)</f>
        <v>-129819280.61999999</v>
      </c>
      <c r="P13" s="261">
        <f>IF(P$3&lt;=Summary!$C$2,_xlfn.XLOOKUP(NG!$B13,PL_NG!$C:$C,PL_NG!Q:Q),0)</f>
        <v>-128889307.76000001</v>
      </c>
      <c r="Q13" s="261">
        <f>IF(Q$3&lt;=Summary!$C$2,_xlfn.XLOOKUP(NG!$B13,PL_NG!$C:$C,PL_NG!R:R),0)</f>
        <v>-149313232.47999999</v>
      </c>
      <c r="R13" s="261">
        <f>IF(R$3&lt;=Summary!$C$2,_xlfn.XLOOKUP(NG!$B13,PL_NG!$C:$C,PL_NG!S:S),0)</f>
        <v>-148237458.17999998</v>
      </c>
      <c r="S13" s="261">
        <f>IF(S$3&lt;=Summary!$C$2,_xlfn.XLOOKUP(NG!$B13,PL_NG!$C:$C,PL_NG!T:T),0)</f>
        <v>-190346957.96999994</v>
      </c>
      <c r="T13" s="261">
        <f>IF(T$3&lt;=Summary!$C$2,_xlfn.XLOOKUP(NG!$B13,PL_NG!$C:$C,PL_NG!U:U),0)</f>
        <v>-142244236.25</v>
      </c>
      <c r="U13" s="261">
        <f>IF(U$3&lt;=Summary!$C$2,_xlfn.XLOOKUP(NG!$B13,PL_NG!$C:$C,PL_NG!V:V),0)</f>
        <v>-161620112.06</v>
      </c>
      <c r="V13" s="261">
        <f>IF(V$3&lt;=Summary!$C$2,_xlfn.XLOOKUP(NG!$B13,PL_NG!$C:$C,PL_NG!W:W),0)</f>
        <v>-130507209.08000001</v>
      </c>
      <c r="W13" s="261">
        <f>IF(W$3&lt;=Summary!$C$2,_xlfn.XLOOKUP(NG!$B13,PL_NG!$C:$C,PL_NG!X:X),0)</f>
        <v>-196108149.28</v>
      </c>
      <c r="X13" s="261">
        <f>IF(X$3&lt;=Summary!$C$2,_xlfn.XLOOKUP(NG!$B13,PL_NG!$C:$C,PL_NG!Y:Y),0)</f>
        <v>-165393413.38999996</v>
      </c>
      <c r="Y13" s="261">
        <f>IF(Y$3&lt;=Summary!$C$2,_xlfn.XLOOKUP(NG!$B13,PL_NG!$C:$C,PL_NG!Z:Z),0)</f>
        <v>-166739645.57999995</v>
      </c>
      <c r="Z13" s="261">
        <f>IF(Z$3&lt;=Summary!$C$2,_xlfn.XLOOKUP(NG!$B13,PL_NG!$C:$C,PL_NG!AA:AA),0)</f>
        <v>-851981036.82000005</v>
      </c>
      <c r="AA13" s="261">
        <f>IF(AA$3&lt;=Summary!$C$2,_xlfn.XLOOKUP(NG!$B13,PL_NG!$C:$C,PL_NG!AB:AB),0)</f>
        <v>-144939255.05999997</v>
      </c>
      <c r="AB13" s="261">
        <f>IF(AB$3&lt;=Summary!$C$2,_xlfn.XLOOKUP(NG!$B13,PL_NG!$C:$C,PL_NG!AC:AC),0)</f>
        <v>-135892129.49000001</v>
      </c>
      <c r="AC13" s="261">
        <f>IF(AC$3&lt;=Summary!$C$2,_xlfn.XLOOKUP(NG!$B13,PL_NG!$C:$C,PL_NG!AD:AD),0)</f>
        <v>-139549112.92999998</v>
      </c>
      <c r="AD13" s="261">
        <f>IF(AD$3&lt;=Summary!$C$2,_xlfn.XLOOKUP(NG!$B13,PL_NG!$C:$C,PL_NG!AE:AE),0)</f>
        <v>-139375735.59999999</v>
      </c>
      <c r="AE13" s="261">
        <f>IF(AE$3&lt;=Summary!$C$2,_xlfn.XLOOKUP(NG!$B13,PL_NG!$C:$C,PL_NG!AF:AF),0)</f>
        <v>0</v>
      </c>
      <c r="AF13" s="261">
        <f>IF(AF$3&lt;=Summary!$C$2,_xlfn.XLOOKUP(NG!$B13,PL_NG!$C:$C,PL_NG!AG:AG),0)</f>
        <v>0</v>
      </c>
      <c r="AG13" s="261">
        <f>IF(AG$3&lt;=Summary!$C$2,_xlfn.XLOOKUP(NG!$B13,PL_NG!$C:$C,PL_NG!AH:AH),0)</f>
        <v>0</v>
      </c>
      <c r="AH13" s="261">
        <f>IF(AH$3&lt;=Summary!$C$2,_xlfn.XLOOKUP(NG!$B13,PL_NG!$C:$C,PL_NG!AI:AI),0)</f>
        <v>0</v>
      </c>
      <c r="AI13" s="261">
        <f>IF(AI$3&lt;=Summary!$C$2,_xlfn.XLOOKUP(NG!$B13,PL_NG!$C:$C,PL_NG!AJ:AJ),0)</f>
        <v>0</v>
      </c>
      <c r="AJ13" s="261">
        <f>IF(AJ$3&lt;=Summary!$C$2,_xlfn.XLOOKUP(NG!$B13,PL_NG!$C:$C,PL_NG!AK:AK),0)</f>
        <v>0</v>
      </c>
      <c r="AK13" s="261">
        <f>IF(AK$3&lt;=Summary!$C$2,_xlfn.XLOOKUP(NG!$B13,PL_NG!$C:$C,PL_NG!AL:AL),0)</f>
        <v>0</v>
      </c>
      <c r="AL13" s="261">
        <f>IF(AL$3&lt;=Summary!$C$2,_xlfn.XLOOKUP(NG!$B13,PL_NG!$C:$C,PL_NG!AM:AM),0)</f>
        <v>0</v>
      </c>
    </row>
    <row r="15" spans="1:38" x14ac:dyDescent="0.15">
      <c r="B15" s="259" t="s">
        <v>1289</v>
      </c>
      <c r="C15" s="262">
        <f t="shared" ref="C15:AL15" si="1">C4-C31</f>
        <v>0</v>
      </c>
      <c r="D15" s="262">
        <f t="shared" si="1"/>
        <v>0</v>
      </c>
      <c r="E15" s="262">
        <f t="shared" si="1"/>
        <v>0</v>
      </c>
      <c r="F15" s="262">
        <f t="shared" si="1"/>
        <v>-0.34000003337860107</v>
      </c>
      <c r="G15" s="262">
        <f t="shared" si="1"/>
        <v>0</v>
      </c>
      <c r="H15" s="262">
        <f t="shared" si="1"/>
        <v>-0.13999995589256287</v>
      </c>
      <c r="I15" s="262">
        <f t="shared" si="1"/>
        <v>0</v>
      </c>
      <c r="J15" s="262">
        <f t="shared" si="1"/>
        <v>0</v>
      </c>
      <c r="K15" s="262">
        <f t="shared" si="1"/>
        <v>6.3600000143051147</v>
      </c>
      <c r="L15" s="262">
        <f t="shared" si="1"/>
        <v>0</v>
      </c>
      <c r="M15" s="262">
        <f t="shared" si="1"/>
        <v>0</v>
      </c>
      <c r="N15" s="262">
        <f t="shared" si="1"/>
        <v>0</v>
      </c>
      <c r="O15" s="262">
        <f t="shared" si="1"/>
        <v>0.19310000538825989</v>
      </c>
      <c r="P15" s="262">
        <f t="shared" si="1"/>
        <v>0</v>
      </c>
      <c r="Q15" s="262">
        <f t="shared" si="1"/>
        <v>-0.28799998760223389</v>
      </c>
      <c r="R15" s="262">
        <f t="shared" si="1"/>
        <v>-0.45999997854232788</v>
      </c>
      <c r="S15" s="262">
        <f t="shared" si="1"/>
        <v>0.43000000715255737</v>
      </c>
      <c r="T15" s="262">
        <f t="shared" si="1"/>
        <v>-0.44999998807907104</v>
      </c>
      <c r="U15" s="262">
        <f t="shared" si="1"/>
        <v>0</v>
      </c>
      <c r="V15" s="262">
        <f t="shared" si="1"/>
        <v>-9.9999904632568359E-3</v>
      </c>
      <c r="W15" s="262">
        <f t="shared" si="1"/>
        <v>0</v>
      </c>
      <c r="X15" s="262">
        <f t="shared" si="1"/>
        <v>0</v>
      </c>
      <c r="Y15" s="262">
        <f t="shared" si="1"/>
        <v>0.4100000262260437</v>
      </c>
      <c r="Z15" s="262">
        <f>Z4-Z31</f>
        <v>0</v>
      </c>
      <c r="AA15" s="262">
        <f t="shared" si="1"/>
        <v>0</v>
      </c>
      <c r="AB15" s="262">
        <f t="shared" si="1"/>
        <v>-2367709.2599999905</v>
      </c>
      <c r="AC15" s="262">
        <f t="shared" si="1"/>
        <v>549117528.5</v>
      </c>
      <c r="AD15" s="262">
        <f t="shared" si="1"/>
        <v>344429476.50999999</v>
      </c>
      <c r="AE15" s="262">
        <f t="shared" si="1"/>
        <v>0</v>
      </c>
      <c r="AF15" s="262">
        <f t="shared" si="1"/>
        <v>0</v>
      </c>
      <c r="AG15" s="262">
        <f t="shared" si="1"/>
        <v>0</v>
      </c>
      <c r="AH15" s="262">
        <f t="shared" si="1"/>
        <v>0</v>
      </c>
      <c r="AI15" s="262">
        <f t="shared" si="1"/>
        <v>0</v>
      </c>
      <c r="AJ15" s="262">
        <f t="shared" si="1"/>
        <v>0</v>
      </c>
      <c r="AK15" s="262">
        <f t="shared" si="1"/>
        <v>0</v>
      </c>
      <c r="AL15" s="262">
        <f t="shared" si="1"/>
        <v>0</v>
      </c>
    </row>
    <row r="16" spans="1:38" x14ac:dyDescent="0.15">
      <c r="X16" s="262">
        <f>SUM(O32:X32,O21:X21)</f>
        <v>1025411981.2043023</v>
      </c>
      <c r="Y16" s="318">
        <f>X16/C_RATE</f>
        <v>745998.31305103656</v>
      </c>
    </row>
    <row r="17" spans="2:38" x14ac:dyDescent="0.15">
      <c r="B17" s="263" t="s">
        <v>68</v>
      </c>
      <c r="X17" s="262">
        <f>SUM(O28:X28)</f>
        <v>71836015.094900012</v>
      </c>
      <c r="Y17" s="318">
        <f>X17/C_RATE</f>
        <v>52261.478371030527</v>
      </c>
      <c r="Z17" s="318"/>
    </row>
    <row r="18" spans="2:38" ht="13" x14ac:dyDescent="0.15">
      <c r="B18" s="259" t="s">
        <v>69</v>
      </c>
      <c r="C18" s="264">
        <v>124715096.65000001</v>
      </c>
      <c r="D18" s="264">
        <v>489056513.85000002</v>
      </c>
      <c r="E18" s="264">
        <v>224553901</v>
      </c>
      <c r="F18" s="264">
        <v>284263128.02999997</v>
      </c>
      <c r="G18" s="264">
        <v>73213175.030000001</v>
      </c>
      <c r="H18" s="264">
        <v>108464080.23999999</v>
      </c>
      <c r="I18" s="264">
        <v>113602491.08</v>
      </c>
      <c r="J18" s="264">
        <v>178612503.06</v>
      </c>
      <c r="K18" s="264">
        <v>50610980.039999999</v>
      </c>
      <c r="L18" s="264">
        <v>109633791.59</v>
      </c>
      <c r="M18" s="264">
        <v>100648629.01000001</v>
      </c>
      <c r="N18" s="264">
        <v>90783811.510000005</v>
      </c>
      <c r="O18" s="264">
        <v>104307661.55</v>
      </c>
      <c r="P18" s="264">
        <v>104307662</v>
      </c>
      <c r="Q18" s="264">
        <v>104307662</v>
      </c>
      <c r="R18" s="264">
        <v>76446317</v>
      </c>
      <c r="S18" s="264">
        <v>50613317</v>
      </c>
      <c r="T18" s="264">
        <v>50613317</v>
      </c>
      <c r="U18" s="264">
        <v>50613317.340000004</v>
      </c>
      <c r="V18" s="264">
        <v>50613317.340000004</v>
      </c>
      <c r="W18" s="265">
        <v>50613317.340000004</v>
      </c>
      <c r="X18" s="265">
        <v>50613317.340000004</v>
      </c>
      <c r="Y18" s="265">
        <v>93705345.420000002</v>
      </c>
      <c r="Z18" s="265">
        <v>63173577.340000004</v>
      </c>
      <c r="AA18" s="392">
        <v>63173577.340000004</v>
      </c>
      <c r="AB18" s="392">
        <v>11056942.66</v>
      </c>
    </row>
    <row r="19" spans="2:38" ht="13" x14ac:dyDescent="0.15">
      <c r="B19" s="259" t="s">
        <v>70</v>
      </c>
      <c r="C19" s="264">
        <v>0</v>
      </c>
      <c r="D19" s="264">
        <v>11605135.140000001</v>
      </c>
      <c r="E19" s="264">
        <v>77090000</v>
      </c>
      <c r="F19" s="264">
        <v>0</v>
      </c>
      <c r="G19" s="264">
        <v>0</v>
      </c>
      <c r="H19" s="264">
        <v>0</v>
      </c>
      <c r="I19" s="264">
        <v>60750000</v>
      </c>
      <c r="J19" s="264">
        <v>89276753.030000001</v>
      </c>
      <c r="K19" s="264">
        <v>20250000</v>
      </c>
      <c r="L19" s="264">
        <v>20250000</v>
      </c>
      <c r="M19" s="264">
        <v>20250000</v>
      </c>
      <c r="N19" s="264">
        <v>20250000</v>
      </c>
      <c r="O19" s="264">
        <v>20250000</v>
      </c>
      <c r="P19" s="264">
        <v>20250000</v>
      </c>
      <c r="Q19" s="264">
        <v>34939455</v>
      </c>
      <c r="R19" s="264">
        <v>38091011</v>
      </c>
      <c r="S19" s="264">
        <v>38091011</v>
      </c>
      <c r="T19" s="264">
        <v>38091011</v>
      </c>
      <c r="U19" s="264">
        <v>38091011.090000004</v>
      </c>
      <c r="V19" s="264">
        <v>49342677.759999998</v>
      </c>
      <c r="W19" s="265">
        <v>126056322.64</v>
      </c>
      <c r="X19" s="265">
        <v>97419684.549999997</v>
      </c>
      <c r="Y19" s="265">
        <v>97419684.549999997</v>
      </c>
      <c r="Z19" s="265">
        <v>97419684.549999997</v>
      </c>
      <c r="AA19" s="392">
        <v>112641671.87</v>
      </c>
      <c r="AB19" s="392">
        <v>97419684.549999997</v>
      </c>
    </row>
    <row r="20" spans="2:38" ht="13" x14ac:dyDescent="0.15">
      <c r="B20" s="259" t="s">
        <v>71</v>
      </c>
      <c r="C20" s="264">
        <v>8878855.9199999999</v>
      </c>
      <c r="D20" s="264">
        <v>16609333.439999999</v>
      </c>
      <c r="E20" s="264">
        <v>12845296.859999999</v>
      </c>
      <c r="F20" s="264">
        <v>20538677.789999999</v>
      </c>
      <c r="G20" s="264">
        <v>42505481.729999997</v>
      </c>
      <c r="H20" s="264">
        <v>22862550.16</v>
      </c>
      <c r="I20" s="264">
        <v>28714968.140000001</v>
      </c>
      <c r="J20" s="264">
        <v>15427407.32</v>
      </c>
      <c r="K20" s="264">
        <v>11248085.59</v>
      </c>
      <c r="L20" s="264">
        <v>12735470.869999999</v>
      </c>
      <c r="M20" s="264">
        <v>13413174.060000001</v>
      </c>
      <c r="N20" s="264">
        <v>10387589.07</v>
      </c>
      <c r="O20" s="264">
        <v>25835047.34</v>
      </c>
      <c r="P20" s="264">
        <v>35006935</v>
      </c>
      <c r="Q20" s="264">
        <v>29632231</v>
      </c>
      <c r="R20" s="264">
        <v>37632657</v>
      </c>
      <c r="S20" s="264">
        <v>27231754</v>
      </c>
      <c r="T20" s="264">
        <v>14311033</v>
      </c>
      <c r="U20" s="264">
        <v>16657932.09</v>
      </c>
      <c r="V20" s="264">
        <v>18560059.719999999</v>
      </c>
      <c r="W20" s="265">
        <v>17620242.739999998</v>
      </c>
      <c r="X20" s="265">
        <v>16933828.82</v>
      </c>
      <c r="Y20" s="265">
        <v>13792951.130000001</v>
      </c>
      <c r="Z20" s="265">
        <v>9825049.3599999994</v>
      </c>
      <c r="AA20" s="392">
        <v>3257006.63</v>
      </c>
      <c r="AB20" s="392">
        <v>28640720.079999998</v>
      </c>
    </row>
    <row r="21" spans="2:38" ht="13" x14ac:dyDescent="0.15">
      <c r="B21" s="259" t="s">
        <v>72</v>
      </c>
      <c r="C21" s="264">
        <v>40971906.979999997</v>
      </c>
      <c r="D21" s="264">
        <v>0</v>
      </c>
      <c r="E21" s="264">
        <v>0</v>
      </c>
      <c r="F21" s="264">
        <v>0</v>
      </c>
      <c r="G21" s="264">
        <v>0</v>
      </c>
      <c r="H21" s="264">
        <v>0</v>
      </c>
      <c r="I21" s="264">
        <v>0</v>
      </c>
      <c r="J21" s="264">
        <v>0</v>
      </c>
      <c r="K21" s="264">
        <v>0</v>
      </c>
      <c r="L21" s="264">
        <v>0</v>
      </c>
      <c r="M21" s="264">
        <v>29287869.77</v>
      </c>
      <c r="N21" s="264">
        <v>454533790.82999992</v>
      </c>
      <c r="O21" s="264">
        <v>34023295.82</v>
      </c>
      <c r="P21" s="264">
        <v>36595467</v>
      </c>
      <c r="Q21" s="264">
        <v>44660140</v>
      </c>
      <c r="R21" s="264">
        <v>81320930</v>
      </c>
      <c r="S21" s="264">
        <v>43579335</v>
      </c>
      <c r="T21" s="264">
        <v>16725582</v>
      </c>
      <c r="U21" s="264">
        <v>43646511.629999995</v>
      </c>
      <c r="V21" s="264">
        <v>24709344.559999999</v>
      </c>
      <c r="W21" s="265">
        <v>178854010.55000001</v>
      </c>
      <c r="X21" s="265">
        <v>469376996.01999998</v>
      </c>
      <c r="Y21" s="340">
        <v>74257388.959999993</v>
      </c>
      <c r="Z21" s="340">
        <v>70085310.25</v>
      </c>
      <c r="AA21" s="392">
        <v>492194002.49000001</v>
      </c>
      <c r="AB21" s="392">
        <v>551265142.47000003</v>
      </c>
    </row>
    <row r="22" spans="2:38" ht="13" x14ac:dyDescent="0.15">
      <c r="B22" s="259" t="s">
        <v>1284</v>
      </c>
      <c r="C22" s="264">
        <v>0</v>
      </c>
      <c r="D22" s="264">
        <v>0</v>
      </c>
      <c r="E22" s="264">
        <v>0</v>
      </c>
      <c r="F22" s="264">
        <v>0</v>
      </c>
      <c r="G22" s="264">
        <v>0</v>
      </c>
      <c r="H22" s="264">
        <v>0</v>
      </c>
      <c r="I22" s="264">
        <v>0</v>
      </c>
      <c r="J22" s="264">
        <v>0</v>
      </c>
      <c r="K22" s="264">
        <v>0</v>
      </c>
      <c r="L22" s="264">
        <v>0</v>
      </c>
      <c r="M22" s="264">
        <v>0</v>
      </c>
      <c r="N22" s="264">
        <v>0</v>
      </c>
      <c r="O22" s="264"/>
      <c r="P22" s="264"/>
      <c r="Q22" s="264"/>
      <c r="R22" s="264"/>
      <c r="S22" s="264"/>
      <c r="T22" s="264"/>
      <c r="U22" s="264">
        <v>20915224.899999999</v>
      </c>
      <c r="V22" s="264">
        <v>40763110.380000003</v>
      </c>
      <c r="W22" s="265">
        <v>18546764.84</v>
      </c>
      <c r="X22" s="265">
        <v>18118639.5</v>
      </c>
      <c r="Y22" s="265">
        <v>18090639.48</v>
      </c>
      <c r="Z22" s="265">
        <v>18120764.489999998</v>
      </c>
      <c r="AA22" s="392">
        <v>27079335.390000001</v>
      </c>
      <c r="AB22" s="392">
        <v>16963638.57</v>
      </c>
    </row>
    <row r="23" spans="2:38" ht="13" x14ac:dyDescent="0.15">
      <c r="B23" s="259" t="s">
        <v>73</v>
      </c>
      <c r="C23" s="264">
        <v>0</v>
      </c>
      <c r="D23" s="264">
        <v>0</v>
      </c>
      <c r="E23" s="264">
        <v>0</v>
      </c>
      <c r="F23" s="264">
        <v>219580272.65000001</v>
      </c>
      <c r="G23" s="264">
        <v>0</v>
      </c>
      <c r="H23" s="264">
        <v>73508890.560000002</v>
      </c>
      <c r="I23" s="264">
        <v>0</v>
      </c>
      <c r="J23" s="264">
        <v>0</v>
      </c>
      <c r="K23" s="264">
        <v>5485724.9100000001</v>
      </c>
      <c r="L23" s="264">
        <v>0</v>
      </c>
      <c r="M23" s="264">
        <v>0</v>
      </c>
      <c r="N23" s="264">
        <v>0</v>
      </c>
      <c r="O23" s="264"/>
      <c r="P23" s="264"/>
      <c r="Q23" s="264"/>
      <c r="R23" s="264"/>
      <c r="S23" s="264"/>
      <c r="T23" s="264"/>
      <c r="U23" s="264">
        <v>25241328.050000001</v>
      </c>
      <c r="V23" s="264"/>
      <c r="W23" s="265">
        <v>7003252.7999999998</v>
      </c>
      <c r="X23" s="259">
        <f>77212642.61+3420796.4</f>
        <v>80633439.010000005</v>
      </c>
      <c r="Y23" s="265">
        <v>3415510</v>
      </c>
      <c r="Z23" s="265">
        <v>3421197.6</v>
      </c>
      <c r="AA23" s="321">
        <v>0</v>
      </c>
      <c r="AB23" s="392">
        <v>35992740.979999997</v>
      </c>
    </row>
    <row r="24" spans="2:38" x14ac:dyDescent="0.15">
      <c r="B24" s="259" t="s">
        <v>74</v>
      </c>
      <c r="C24" s="264">
        <v>287016.74</v>
      </c>
      <c r="D24" s="264">
        <v>359151.63</v>
      </c>
      <c r="E24" s="264">
        <v>2011322</v>
      </c>
      <c r="F24" s="264">
        <v>5504050.3099999996</v>
      </c>
      <c r="G24" s="264">
        <v>6745063.9900000002</v>
      </c>
      <c r="H24" s="264">
        <v>7782409.6200000001</v>
      </c>
      <c r="I24" s="264">
        <v>580358.16</v>
      </c>
      <c r="J24" s="264">
        <v>14243305.65</v>
      </c>
      <c r="K24" s="264">
        <v>10393353.07</v>
      </c>
      <c r="L24" s="264">
        <v>9483034.2300000004</v>
      </c>
      <c r="M24" s="264">
        <v>8765688.2899999991</v>
      </c>
      <c r="N24" s="264">
        <v>10247311.41</v>
      </c>
      <c r="O24" s="264">
        <v>6185881.7999999998</v>
      </c>
      <c r="P24" s="264">
        <v>0</v>
      </c>
      <c r="Q24" s="264">
        <v>757047</v>
      </c>
      <c r="R24" s="264">
        <v>0</v>
      </c>
      <c r="S24" s="264">
        <v>0</v>
      </c>
      <c r="T24" s="264">
        <v>0</v>
      </c>
      <c r="U24" s="264"/>
      <c r="V24" s="264"/>
      <c r="Z24" s="259">
        <v>35503907.899999999</v>
      </c>
    </row>
    <row r="25" spans="2:38" ht="13" x14ac:dyDescent="0.15">
      <c r="B25" s="259" t="s">
        <v>1378</v>
      </c>
      <c r="C25" s="264"/>
      <c r="D25" s="264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264"/>
      <c r="U25" s="264"/>
      <c r="V25" s="264"/>
      <c r="X25" s="265">
        <f>22420641.88-X26</f>
        <v>22241091.879999999</v>
      </c>
      <c r="Y25" s="265">
        <f>20363235.64-Y26</f>
        <v>20303248.640000001</v>
      </c>
      <c r="Z25" s="265">
        <v>12065628.039999999</v>
      </c>
      <c r="AA25" s="392">
        <v>13756963.73</v>
      </c>
      <c r="AB25" s="392">
        <v>10128997.9</v>
      </c>
    </row>
    <row r="26" spans="2:38" x14ac:dyDescent="0.15">
      <c r="B26" s="259" t="s">
        <v>1681</v>
      </c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264"/>
      <c r="S26" s="264"/>
      <c r="T26" s="264"/>
      <c r="U26" s="264"/>
      <c r="V26" s="264"/>
      <c r="X26" s="265">
        <v>179550</v>
      </c>
      <c r="Y26" s="259">
        <v>59987</v>
      </c>
    </row>
    <row r="27" spans="2:38" x14ac:dyDescent="0.15">
      <c r="B27" s="259" t="s">
        <v>1678</v>
      </c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X27" s="265"/>
      <c r="Y27" s="265">
        <v>1447250</v>
      </c>
      <c r="Z27" s="265"/>
    </row>
    <row r="28" spans="2:38" ht="13" x14ac:dyDescent="0.15">
      <c r="B28" s="259" t="s">
        <v>1310</v>
      </c>
      <c r="C28" s="264">
        <v>318104.64999997616</v>
      </c>
      <c r="D28" s="264">
        <v>859255.82000005245</v>
      </c>
      <c r="E28" s="264">
        <v>210513722.44</v>
      </c>
      <c r="F28" s="264">
        <v>11953727.59</v>
      </c>
      <c r="G28" s="264">
        <v>84264080.720000029</v>
      </c>
      <c r="H28" s="264">
        <v>6822014.7700000098</v>
      </c>
      <c r="I28" s="264">
        <v>10191007.75000003</v>
      </c>
      <c r="J28" s="264">
        <v>15644473.789999962</v>
      </c>
      <c r="K28" s="264">
        <v>23832073.720000014</v>
      </c>
      <c r="L28" s="264">
        <v>21275425.539999992</v>
      </c>
      <c r="M28" s="264">
        <v>54626533.329999983</v>
      </c>
      <c r="N28" s="264">
        <v>6055500.0700000525</v>
      </c>
      <c r="O28" s="264">
        <v>22666727.2469</v>
      </c>
      <c r="P28" s="264">
        <v>888611.79</v>
      </c>
      <c r="Q28" s="264">
        <v>8106499.8380000005</v>
      </c>
      <c r="R28" s="264">
        <v>9209303</v>
      </c>
      <c r="S28" s="264">
        <v>14976745</v>
      </c>
      <c r="T28" s="264">
        <v>0</v>
      </c>
      <c r="U28" s="264">
        <v>13999209.43</v>
      </c>
      <c r="V28" s="264"/>
      <c r="W28" s="259">
        <v>2502297.6800000072</v>
      </c>
      <c r="X28" s="265">
        <v>-513378.88999998569</v>
      </c>
      <c r="Y28" s="259">
        <v>175116.62999999523</v>
      </c>
      <c r="Z28" s="262">
        <v>2521627.9199999571</v>
      </c>
      <c r="AA28" s="392">
        <v>837209.3</v>
      </c>
      <c r="AB28" s="392">
        <v>8093023.2599999998</v>
      </c>
    </row>
    <row r="29" spans="2:38" x14ac:dyDescent="0.15"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4"/>
      <c r="R29" s="264"/>
      <c r="S29" s="264"/>
      <c r="T29" s="264"/>
      <c r="U29" s="264"/>
      <c r="V29" s="264"/>
      <c r="X29" s="265"/>
    </row>
    <row r="30" spans="2:38" x14ac:dyDescent="0.15"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X30" s="265"/>
    </row>
    <row r="31" spans="2:38" s="263" customFormat="1" x14ac:dyDescent="0.15">
      <c r="B31" s="263" t="s">
        <v>1248</v>
      </c>
      <c r="C31" s="266">
        <f t="shared" ref="C31:AL31" si="2">SUM(C18:C28)</f>
        <v>175170980.94</v>
      </c>
      <c r="D31" s="266">
        <f t="shared" si="2"/>
        <v>518489389.88000005</v>
      </c>
      <c r="E31" s="266">
        <f t="shared" si="2"/>
        <v>527014242.30000001</v>
      </c>
      <c r="F31" s="266">
        <f t="shared" si="2"/>
        <v>541839856.37</v>
      </c>
      <c r="G31" s="266">
        <f t="shared" si="2"/>
        <v>206727801.47000003</v>
      </c>
      <c r="H31" s="266">
        <f t="shared" si="2"/>
        <v>219439945.34999999</v>
      </c>
      <c r="I31" s="266">
        <f t="shared" si="2"/>
        <v>213838825.13</v>
      </c>
      <c r="J31" s="266">
        <f t="shared" si="2"/>
        <v>313204442.84999996</v>
      </c>
      <c r="K31" s="266">
        <f t="shared" si="2"/>
        <v>121820217.33</v>
      </c>
      <c r="L31" s="266">
        <f t="shared" si="2"/>
        <v>173377722.22999999</v>
      </c>
      <c r="M31" s="266">
        <f t="shared" si="2"/>
        <v>226991894.45999998</v>
      </c>
      <c r="N31" s="266">
        <f t="shared" si="2"/>
        <v>592258002.88999999</v>
      </c>
      <c r="O31" s="266">
        <f t="shared" si="2"/>
        <v>213268613.75689998</v>
      </c>
      <c r="P31" s="266">
        <f t="shared" si="2"/>
        <v>197048675.78999999</v>
      </c>
      <c r="Q31" s="266">
        <f t="shared" si="2"/>
        <v>222403034.838</v>
      </c>
      <c r="R31" s="266">
        <f t="shared" si="2"/>
        <v>242700218</v>
      </c>
      <c r="S31" s="266">
        <f t="shared" si="2"/>
        <v>174492162</v>
      </c>
      <c r="T31" s="266">
        <f t="shared" si="2"/>
        <v>119740943</v>
      </c>
      <c r="U31" s="266">
        <f t="shared" si="2"/>
        <v>209164534.53000003</v>
      </c>
      <c r="V31" s="266">
        <f t="shared" si="2"/>
        <v>183988509.75999999</v>
      </c>
      <c r="W31" s="266">
        <f t="shared" si="2"/>
        <v>401196208.59000003</v>
      </c>
      <c r="X31" s="266">
        <f t="shared" si="2"/>
        <v>755003168.23000002</v>
      </c>
      <c r="Y31" s="266">
        <f t="shared" si="2"/>
        <v>322667121.81</v>
      </c>
      <c r="Z31" s="266">
        <f>SUM(Z18:Z28)</f>
        <v>312136747.44999999</v>
      </c>
      <c r="AA31" s="266">
        <f t="shared" si="2"/>
        <v>712939766.75</v>
      </c>
      <c r="AB31" s="266">
        <f t="shared" si="2"/>
        <v>759560890.47000003</v>
      </c>
      <c r="AC31" s="266">
        <f t="shared" si="2"/>
        <v>0</v>
      </c>
      <c r="AD31" s="266">
        <f t="shared" si="2"/>
        <v>0</v>
      </c>
      <c r="AE31" s="266">
        <f t="shared" si="2"/>
        <v>0</v>
      </c>
      <c r="AF31" s="266">
        <f t="shared" si="2"/>
        <v>0</v>
      </c>
      <c r="AG31" s="266">
        <f t="shared" si="2"/>
        <v>0</v>
      </c>
      <c r="AH31" s="266">
        <f t="shared" si="2"/>
        <v>0</v>
      </c>
      <c r="AI31" s="266">
        <f t="shared" si="2"/>
        <v>0</v>
      </c>
      <c r="AJ31" s="266">
        <f t="shared" si="2"/>
        <v>0</v>
      </c>
      <c r="AK31" s="266">
        <f t="shared" si="2"/>
        <v>0</v>
      </c>
      <c r="AL31" s="266">
        <f t="shared" si="2"/>
        <v>0</v>
      </c>
    </row>
    <row r="32" spans="2:38" s="263" customFormat="1" x14ac:dyDescent="0.15">
      <c r="B32" s="259" t="s">
        <v>1441</v>
      </c>
      <c r="C32" s="264">
        <f>PL_UK!D11-SUM(Group!C31:C33)</f>
        <v>21737164.465800002</v>
      </c>
      <c r="D32" s="264">
        <f>PL_UK!E11-SUM(Group!D31:D33)</f>
        <v>36431173.665600002</v>
      </c>
      <c r="E32" s="264">
        <f>PL_UK!F11-SUM(Group!E31:E33)</f>
        <v>34515318.294600002</v>
      </c>
      <c r="F32" s="264">
        <f>PL_UK!G11-SUM(Group!F31:F33)</f>
        <v>24276553.319400001</v>
      </c>
      <c r="G32" s="264">
        <f>PL_UK!H11-SUM(Group!G31:G33)</f>
        <v>23585130.005199999</v>
      </c>
      <c r="H32" s="264">
        <f>PL_UK!I11-SUM(Group!H31:H33)</f>
        <v>21654607.059799999</v>
      </c>
      <c r="I32" s="264">
        <f>PL_UK!J11-SUM(Group!I31:I33)</f>
        <v>7095997.0469999993</v>
      </c>
      <c r="J32" s="264">
        <f>PL_UK!K11-SUM(Group!J31:J33)</f>
        <v>45135912.194400005</v>
      </c>
      <c r="K32" s="264">
        <f>PL_UK!L11-SUM(Group!K31:K33)</f>
        <v>25705928.792999998</v>
      </c>
      <c r="L32" s="264">
        <f>PL_UK!M11-SUM(Group!L31:L33)</f>
        <v>19548237.112100001</v>
      </c>
      <c r="M32" s="264">
        <f>PL_UK!N11-SUM(Group!M31:M33)</f>
        <v>17469314.037</v>
      </c>
      <c r="N32" s="264">
        <f>PL_UK!O11-SUM(Group!N31:N33)</f>
        <v>8369047.1023999993</v>
      </c>
      <c r="O32" s="264">
        <f>PL_UK!P11-SUM(Group!O31:O33)</f>
        <v>22378450.247099999</v>
      </c>
      <c r="P32" s="264">
        <f>PL_UK!Q11-SUM(Group!P31:P33)</f>
        <v>18256846.654002257</v>
      </c>
      <c r="Q32" s="264">
        <f>PL_UK!R11-SUM(Group!Q31:Q33)</f>
        <v>10547121.23</v>
      </c>
      <c r="R32" s="264">
        <f>PL_UK!S11-SUM(Group!R31:R33)</f>
        <v>0</v>
      </c>
      <c r="S32" s="264">
        <f>PL_UK!T11-SUM(Group!S31:S33)</f>
        <v>1090372.5414999996</v>
      </c>
      <c r="T32" s="264">
        <f>PL_UK!U11-SUM(Group!T31:T33)</f>
        <v>-352422.04829999997</v>
      </c>
      <c r="U32" s="264">
        <f>PL_UK!V11-SUM(Group!U31:U33)</f>
        <v>0</v>
      </c>
      <c r="V32" s="264">
        <f>PL_UK!W11-SUM(Group!V31:V33)</f>
        <v>0</v>
      </c>
      <c r="W32" s="264">
        <f>PL_UK!X11-SUM(Group!W31:W33)</f>
        <v>0</v>
      </c>
      <c r="X32" s="264">
        <f>PL_UK!Y11-SUM(Group!X31:X33)</f>
        <v>0</v>
      </c>
      <c r="Y32" s="264">
        <f>PL_UK!Z11-SUM(Group!Y31:Y33)</f>
        <v>0</v>
      </c>
      <c r="Z32" s="264">
        <f>PL_UK!AA11-SUM(Group!Z31:Z33)</f>
        <v>0</v>
      </c>
      <c r="AA32" s="264">
        <f>PL_UK!AB11-SUM(Group!AA31:AA33)</f>
        <v>0</v>
      </c>
      <c r="AB32" s="264">
        <f>PL_UK!AC11-SUM(Group!AB31:AB33)</f>
        <v>0</v>
      </c>
      <c r="AC32" s="264">
        <f>PL_UK!AD11-SUM(Group!AC31:AC33)</f>
        <v>0</v>
      </c>
      <c r="AD32" s="264">
        <f>PL_UK!AE11-SUM(Group!AD31:AD33)</f>
        <v>0</v>
      </c>
      <c r="AE32" s="264">
        <f>PL_UK!AF11-SUM(Group!AE31:AE33)</f>
        <v>0</v>
      </c>
      <c r="AF32" s="264">
        <f>PL_UK!AG11-SUM(Group!AF31:AF33)</f>
        <v>0</v>
      </c>
      <c r="AG32" s="264">
        <f>PL_UK!AH11-SUM(Group!AG31:AG33)</f>
        <v>0</v>
      </c>
      <c r="AH32" s="264">
        <f>PL_UK!AI11-SUM(Group!AH31:AH33)</f>
        <v>0</v>
      </c>
      <c r="AI32" s="264">
        <f>PL_UK!AJ11-SUM(Group!AI31:AI33)</f>
        <v>0</v>
      </c>
      <c r="AJ32" s="264">
        <f>PL_UK!AK11-SUM(Group!AJ31:AJ33)</f>
        <v>0</v>
      </c>
      <c r="AK32" s="264">
        <f>PL_UK!AL11-SUM(Group!AK31:AK33)</f>
        <v>0</v>
      </c>
      <c r="AL32" s="264">
        <f>PL_UK!AM11-SUM(Group!AL31:AL33)</f>
        <v>0</v>
      </c>
    </row>
    <row r="33" spans="1:38" s="263" customFormat="1" x14ac:dyDescent="0.15">
      <c r="B33" s="259" t="s">
        <v>1440</v>
      </c>
      <c r="C33" s="264">
        <f>PL_UK!D9</f>
        <v>1550706.1246000002</v>
      </c>
      <c r="D33" s="264">
        <f>PL_UK!E9</f>
        <v>2826992.5655999999</v>
      </c>
      <c r="E33" s="264">
        <f>PL_UK!F9</f>
        <v>2029039.9602000001</v>
      </c>
      <c r="F33" s="264">
        <f>PL_UK!G9</f>
        <v>1704868.2899999998</v>
      </c>
      <c r="G33" s="264">
        <f>PL_UK!H9</f>
        <v>2042263.38</v>
      </c>
      <c r="H33" s="264">
        <f>PL_UK!I9</f>
        <v>2718067.7927000001</v>
      </c>
      <c r="I33" s="264">
        <f>PL_UK!J9</f>
        <v>0</v>
      </c>
      <c r="J33" s="264">
        <f>PL_UK!K9</f>
        <v>1788631.8312000001</v>
      </c>
      <c r="K33" s="264">
        <f>PL_UK!L9</f>
        <v>3750267.3062999998</v>
      </c>
      <c r="L33" s="264">
        <f>PL_UK!M9</f>
        <v>2441824.6033000001</v>
      </c>
      <c r="M33" s="264">
        <f>PL_UK!N9</f>
        <v>2053638.2159999998</v>
      </c>
      <c r="N33" s="264">
        <f>PL_UK!O9</f>
        <v>2149266.3903999999</v>
      </c>
      <c r="O33" s="264">
        <f>PL_UK!P9</f>
        <v>879767.52599999995</v>
      </c>
      <c r="P33" s="264">
        <f>PL_UK!Q9</f>
        <v>1094715.9699998235</v>
      </c>
      <c r="Q33" s="264">
        <f>PL_UK!R9</f>
        <v>1189267.4720000001</v>
      </c>
      <c r="R33" s="264">
        <f>PL_UK!S9</f>
        <v>1841188.8288</v>
      </c>
      <c r="S33" s="264">
        <f>PL_UK!T9</f>
        <v>1244205.8255</v>
      </c>
      <c r="T33" s="264">
        <f>PL_UK!U9</f>
        <v>805197.7919999999</v>
      </c>
      <c r="U33" s="264">
        <f>PL_UK!V9</f>
        <v>1658214.5134000001</v>
      </c>
      <c r="V33" s="264">
        <f>PL_UK!W9</f>
        <v>2470636.7238000003</v>
      </c>
      <c r="W33" s="264">
        <f>PL_UK!X9</f>
        <v>1738784.1255000001</v>
      </c>
      <c r="X33" s="264">
        <f>PL_UK!Y9</f>
        <v>1609972.585</v>
      </c>
      <c r="Y33" s="264">
        <f>PL_UK!Z9</f>
        <v>1967128.0204</v>
      </c>
      <c r="Z33" s="264">
        <f>PL_UK!AA9</f>
        <v>985502.42499999993</v>
      </c>
      <c r="AA33" s="264">
        <f>PL_UK!AB9</f>
        <v>939347.7402</v>
      </c>
      <c r="AB33" s="264">
        <f>PL_UK!AC9</f>
        <v>2137312.4904</v>
      </c>
      <c r="AC33" s="264">
        <f>PL_UK!AD9</f>
        <v>1815047.3659999999</v>
      </c>
      <c r="AD33" s="264">
        <f>PL_UK!AE9</f>
        <v>1515171.476</v>
      </c>
      <c r="AE33" s="264">
        <f>PL_UK!AF9</f>
        <v>0</v>
      </c>
      <c r="AF33" s="264">
        <f>PL_UK!AG9</f>
        <v>0</v>
      </c>
      <c r="AG33" s="264">
        <f>PL_UK!AH9</f>
        <v>0</v>
      </c>
      <c r="AH33" s="264">
        <f>PL_UK!AI9</f>
        <v>0</v>
      </c>
      <c r="AI33" s="264">
        <f>PL_UK!AJ9</f>
        <v>0</v>
      </c>
      <c r="AJ33" s="264">
        <f>PL_UK!AK9</f>
        <v>0</v>
      </c>
      <c r="AK33" s="264">
        <f>PL_UK!AL9</f>
        <v>0</v>
      </c>
      <c r="AL33" s="264">
        <f>PL_UK!AM9</f>
        <v>0</v>
      </c>
    </row>
    <row r="34" spans="1:38" s="263" customFormat="1" x14ac:dyDescent="0.15">
      <c r="B34" s="259" t="s">
        <v>1378</v>
      </c>
      <c r="C34" s="264">
        <f>PL_UK!D7</f>
        <v>0</v>
      </c>
      <c r="D34" s="264">
        <f>PL_UK!E7</f>
        <v>0</v>
      </c>
      <c r="E34" s="264">
        <f>PL_UK!F7</f>
        <v>0</v>
      </c>
      <c r="F34" s="264">
        <f>PL_UK!G7</f>
        <v>0</v>
      </c>
      <c r="G34" s="264">
        <f>PL_UK!H7</f>
        <v>0</v>
      </c>
      <c r="H34" s="264">
        <f>PL_UK!I7</f>
        <v>0</v>
      </c>
      <c r="I34" s="264">
        <f>PL_UK!J7</f>
        <v>0</v>
      </c>
      <c r="J34" s="264">
        <f>PL_UK!K7</f>
        <v>0</v>
      </c>
      <c r="K34" s="264">
        <f>PL_UK!L7</f>
        <v>0</v>
      </c>
      <c r="L34" s="264">
        <f>PL_UK!M7</f>
        <v>0</v>
      </c>
      <c r="M34" s="264">
        <f>PL_UK!N7</f>
        <v>0</v>
      </c>
      <c r="N34" s="264">
        <f>PL_UK!O7</f>
        <v>0</v>
      </c>
      <c r="O34" s="264">
        <f>PL_UK!P7</f>
        <v>0</v>
      </c>
      <c r="P34" s="264">
        <f>PL_UK!Q7</f>
        <v>0</v>
      </c>
      <c r="Q34" s="264">
        <f>PL_UK!R7</f>
        <v>0</v>
      </c>
      <c r="R34" s="264">
        <f>PL_UK!S7</f>
        <v>0</v>
      </c>
      <c r="S34" s="264">
        <f>PL_UK!T7</f>
        <v>0</v>
      </c>
      <c r="T34" s="264">
        <f>PL_UK!U7</f>
        <v>0</v>
      </c>
      <c r="U34" s="264">
        <f>PL_UK!V7</f>
        <v>1318019.8689999999</v>
      </c>
      <c r="V34" s="264">
        <f>PL_UK!W7</f>
        <v>7638597.3300000001</v>
      </c>
      <c r="W34" s="264">
        <f>PL_UK!X7</f>
        <v>4147910.4375</v>
      </c>
      <c r="X34" s="264">
        <f>PL_UK!Y7</f>
        <v>-12235352.415000001</v>
      </c>
      <c r="Y34" s="264">
        <f>PL_UK!Z7</f>
        <v>0</v>
      </c>
      <c r="Z34" s="264">
        <f>PL_UK!AA7</f>
        <v>0</v>
      </c>
      <c r="AA34" s="264">
        <f>PL_UK!AB7</f>
        <v>0</v>
      </c>
      <c r="AB34" s="264">
        <f>PL_UK!AC7</f>
        <v>0</v>
      </c>
      <c r="AC34" s="264">
        <f>PL_UK!AD7</f>
        <v>0</v>
      </c>
      <c r="AD34" s="264">
        <f>PL_UK!AE7</f>
        <v>0</v>
      </c>
      <c r="AE34" s="264">
        <f>PL_UK!AF7</f>
        <v>0</v>
      </c>
      <c r="AF34" s="264">
        <f>PL_UK!AG7</f>
        <v>0</v>
      </c>
      <c r="AG34" s="264">
        <f>PL_UK!AH7</f>
        <v>0</v>
      </c>
      <c r="AH34" s="264">
        <f>PL_UK!AI7</f>
        <v>0</v>
      </c>
      <c r="AI34" s="264">
        <f>PL_UK!AJ7</f>
        <v>0</v>
      </c>
      <c r="AJ34" s="264">
        <f>PL_UK!AK7</f>
        <v>0</v>
      </c>
      <c r="AK34" s="264">
        <f>PL_UK!AL7</f>
        <v>0</v>
      </c>
      <c r="AL34" s="264">
        <f>PL_UK!AM7</f>
        <v>0</v>
      </c>
    </row>
    <row r="35" spans="1:38" s="263" customFormat="1" x14ac:dyDescent="0.15">
      <c r="B35" s="259" t="s">
        <v>1679</v>
      </c>
      <c r="C35" s="264">
        <f>PL_UK!D8</f>
        <v>0</v>
      </c>
      <c r="D35" s="264">
        <f>PL_UK!E8</f>
        <v>0</v>
      </c>
      <c r="E35" s="264">
        <f>PL_UK!F8</f>
        <v>0</v>
      </c>
      <c r="F35" s="264">
        <f>PL_UK!G8</f>
        <v>0</v>
      </c>
      <c r="G35" s="264">
        <f>PL_UK!H8</f>
        <v>0</v>
      </c>
      <c r="H35" s="264">
        <f>PL_UK!I8</f>
        <v>0</v>
      </c>
      <c r="I35" s="264">
        <f>PL_UK!J8</f>
        <v>0</v>
      </c>
      <c r="J35" s="264">
        <f>PL_UK!K8</f>
        <v>0</v>
      </c>
      <c r="K35" s="264">
        <f>PL_UK!L8</f>
        <v>0</v>
      </c>
      <c r="L35" s="264">
        <f>PL_UK!M8</f>
        <v>0</v>
      </c>
      <c r="M35" s="264">
        <f>PL_UK!N8</f>
        <v>0</v>
      </c>
      <c r="N35" s="264">
        <f>PL_UK!O8</f>
        <v>0</v>
      </c>
      <c r="O35" s="264">
        <f>PL_UK!P8</f>
        <v>0</v>
      </c>
      <c r="P35" s="264">
        <f>PL_UK!Q8</f>
        <v>0</v>
      </c>
      <c r="Q35" s="264">
        <f>PL_UK!R8</f>
        <v>0</v>
      </c>
      <c r="R35" s="264">
        <f>PL_UK!S8</f>
        <v>0</v>
      </c>
      <c r="S35" s="264">
        <f>PL_UK!T8</f>
        <v>0</v>
      </c>
      <c r="T35" s="264">
        <f>PL_UK!U8</f>
        <v>0</v>
      </c>
      <c r="U35" s="264">
        <f>PL_UK!V8</f>
        <v>0</v>
      </c>
      <c r="V35" s="264">
        <f>PL_UK!W8</f>
        <v>403356.97289999999</v>
      </c>
      <c r="W35" s="264">
        <f>PL_UK!X8</f>
        <v>170699.59350000002</v>
      </c>
      <c r="X35" s="264">
        <f>PL_UK!Y8</f>
        <v>-15984.189000000009</v>
      </c>
      <c r="Y35" s="264">
        <f>PL_UK!Z8</f>
        <v>103953.14170000001</v>
      </c>
      <c r="Z35" s="264">
        <f>PL_UK!AA8</f>
        <v>106216.7825</v>
      </c>
      <c r="AA35" s="264">
        <f>PL_UK!AB8</f>
        <v>103528.98060000001</v>
      </c>
      <c r="AB35" s="264">
        <f>PL_UK!AC8</f>
        <v>99328.645200000014</v>
      </c>
      <c r="AC35" s="264">
        <f>PL_UK!AD8</f>
        <v>99284.111000000004</v>
      </c>
      <c r="AD35" s="264">
        <f>PL_UK!AE8</f>
        <v>100750.481</v>
      </c>
      <c r="AE35" s="264">
        <f>PL_UK!AF8</f>
        <v>0</v>
      </c>
      <c r="AF35" s="264">
        <f>PL_UK!AG8</f>
        <v>0</v>
      </c>
      <c r="AG35" s="264">
        <f>PL_UK!AH8</f>
        <v>0</v>
      </c>
      <c r="AH35" s="264">
        <f>PL_UK!AI8</f>
        <v>0</v>
      </c>
      <c r="AI35" s="264">
        <f>PL_UK!AJ8</f>
        <v>0</v>
      </c>
      <c r="AJ35" s="264">
        <f>PL_UK!AK8</f>
        <v>0</v>
      </c>
      <c r="AK35" s="264">
        <f>PL_UK!AL8</f>
        <v>0</v>
      </c>
      <c r="AL35" s="264">
        <f>PL_UK!AM8</f>
        <v>0</v>
      </c>
    </row>
    <row r="36" spans="1:38" x14ac:dyDescent="0.15">
      <c r="B36" s="263" t="s">
        <v>1247</v>
      </c>
      <c r="C36" s="266">
        <f t="shared" ref="C36:U36" si="3">SUM(C31:C35)</f>
        <v>198458851.53039998</v>
      </c>
      <c r="D36" s="266">
        <f t="shared" si="3"/>
        <v>557747556.11120009</v>
      </c>
      <c r="E36" s="266">
        <f t="shared" si="3"/>
        <v>563558600.55479991</v>
      </c>
      <c r="F36" s="266">
        <f t="shared" si="3"/>
        <v>567821277.97939992</v>
      </c>
      <c r="G36" s="266">
        <f t="shared" si="3"/>
        <v>232355194.85520002</v>
      </c>
      <c r="H36" s="266">
        <f t="shared" si="3"/>
        <v>243812620.20249999</v>
      </c>
      <c r="I36" s="266">
        <f t="shared" si="3"/>
        <v>220934822.17699999</v>
      </c>
      <c r="J36" s="266">
        <f t="shared" si="3"/>
        <v>360128986.87559998</v>
      </c>
      <c r="K36" s="266">
        <f t="shared" si="3"/>
        <v>151276413.42930001</v>
      </c>
      <c r="L36" s="266">
        <f t="shared" si="3"/>
        <v>195367783.9454</v>
      </c>
      <c r="M36" s="266">
        <f t="shared" si="3"/>
        <v>246514846.71299997</v>
      </c>
      <c r="N36" s="266">
        <f t="shared" si="3"/>
        <v>602776316.38279998</v>
      </c>
      <c r="O36" s="266">
        <f t="shared" si="3"/>
        <v>236526831.52999997</v>
      </c>
      <c r="P36" s="266">
        <f t="shared" si="3"/>
        <v>216400238.41400206</v>
      </c>
      <c r="Q36" s="266">
        <f t="shared" si="3"/>
        <v>234139423.53999999</v>
      </c>
      <c r="R36" s="266">
        <f t="shared" si="3"/>
        <v>244541406.82879999</v>
      </c>
      <c r="S36" s="266">
        <f t="shared" si="3"/>
        <v>176826740.36700001</v>
      </c>
      <c r="T36" s="266">
        <f t="shared" si="3"/>
        <v>120193718.7437</v>
      </c>
      <c r="U36" s="266">
        <f t="shared" si="3"/>
        <v>212140768.91240001</v>
      </c>
      <c r="V36" s="266">
        <f>SUM(V31:V35)</f>
        <v>194501100.78670001</v>
      </c>
      <c r="W36" s="266">
        <f t="shared" ref="W36:AL36" si="4">SUM(W31:W35)</f>
        <v>407253602.74650007</v>
      </c>
      <c r="X36" s="266">
        <f t="shared" si="4"/>
        <v>744361804.21100008</v>
      </c>
      <c r="Y36" s="266">
        <f t="shared" si="4"/>
        <v>324738202.97210002</v>
      </c>
      <c r="Z36" s="266">
        <f t="shared" si="4"/>
        <v>313228466.65750003</v>
      </c>
      <c r="AA36" s="266">
        <f t="shared" si="4"/>
        <v>713982643.47080004</v>
      </c>
      <c r="AB36" s="266">
        <f t="shared" si="4"/>
        <v>761797531.6056</v>
      </c>
      <c r="AC36" s="266">
        <f t="shared" si="4"/>
        <v>1914331.477</v>
      </c>
      <c r="AD36" s="266">
        <f t="shared" si="4"/>
        <v>1615921.9569999999</v>
      </c>
      <c r="AE36" s="266">
        <f t="shared" si="4"/>
        <v>0</v>
      </c>
      <c r="AF36" s="266">
        <f t="shared" si="4"/>
        <v>0</v>
      </c>
      <c r="AG36" s="266">
        <f t="shared" si="4"/>
        <v>0</v>
      </c>
      <c r="AH36" s="266">
        <f t="shared" si="4"/>
        <v>0</v>
      </c>
      <c r="AI36" s="266">
        <f t="shared" si="4"/>
        <v>0</v>
      </c>
      <c r="AJ36" s="266">
        <f t="shared" si="4"/>
        <v>0</v>
      </c>
      <c r="AK36" s="266">
        <f t="shared" si="4"/>
        <v>0</v>
      </c>
      <c r="AL36" s="266">
        <f t="shared" si="4"/>
        <v>0</v>
      </c>
    </row>
    <row r="38" spans="1:38" x14ac:dyDescent="0.15">
      <c r="B38" s="263" t="s">
        <v>1277</v>
      </c>
    </row>
    <row r="39" spans="1:38" s="83" customFormat="1" ht="13" x14ac:dyDescent="0.2">
      <c r="A39" s="83" t="s">
        <v>1278</v>
      </c>
      <c r="B39" s="83" t="s">
        <v>1279</v>
      </c>
      <c r="C39" s="84">
        <f t="shared" ref="C39:AL39" si="5">C3</f>
        <v>45322</v>
      </c>
      <c r="D39" s="84">
        <f t="shared" si="5"/>
        <v>45351</v>
      </c>
      <c r="E39" s="84">
        <f t="shared" si="5"/>
        <v>45382</v>
      </c>
      <c r="F39" s="84">
        <f t="shared" si="5"/>
        <v>45412</v>
      </c>
      <c r="G39" s="84">
        <f t="shared" si="5"/>
        <v>45443</v>
      </c>
      <c r="H39" s="84">
        <f t="shared" si="5"/>
        <v>45473</v>
      </c>
      <c r="I39" s="84">
        <f t="shared" si="5"/>
        <v>45504</v>
      </c>
      <c r="J39" s="84">
        <f t="shared" si="5"/>
        <v>45535</v>
      </c>
      <c r="K39" s="84">
        <f t="shared" si="5"/>
        <v>45565</v>
      </c>
      <c r="L39" s="84">
        <f t="shared" si="5"/>
        <v>45596</v>
      </c>
      <c r="M39" s="84">
        <f t="shared" si="5"/>
        <v>45626</v>
      </c>
      <c r="N39" s="84">
        <f t="shared" si="5"/>
        <v>45657</v>
      </c>
      <c r="O39" s="84">
        <f t="shared" si="5"/>
        <v>45688</v>
      </c>
      <c r="P39" s="84">
        <f t="shared" si="5"/>
        <v>45716</v>
      </c>
      <c r="Q39" s="84">
        <f t="shared" si="5"/>
        <v>45747</v>
      </c>
      <c r="R39" s="84">
        <f t="shared" si="5"/>
        <v>45777</v>
      </c>
      <c r="S39" s="84">
        <f t="shared" si="5"/>
        <v>45808</v>
      </c>
      <c r="T39" s="84">
        <f t="shared" si="5"/>
        <v>45838</v>
      </c>
      <c r="U39" s="84">
        <f t="shared" si="5"/>
        <v>45869</v>
      </c>
      <c r="V39" s="84">
        <f t="shared" si="5"/>
        <v>45900</v>
      </c>
      <c r="W39" s="84">
        <f t="shared" si="5"/>
        <v>45930</v>
      </c>
      <c r="X39" s="84">
        <f t="shared" si="5"/>
        <v>45961</v>
      </c>
      <c r="Y39" s="84">
        <f t="shared" si="5"/>
        <v>45991</v>
      </c>
      <c r="Z39" s="84">
        <f t="shared" si="5"/>
        <v>46022</v>
      </c>
      <c r="AA39" s="84">
        <f t="shared" si="5"/>
        <v>46053</v>
      </c>
      <c r="AB39" s="84">
        <f t="shared" si="5"/>
        <v>46081</v>
      </c>
      <c r="AC39" s="84">
        <f t="shared" si="5"/>
        <v>46112</v>
      </c>
      <c r="AD39" s="84">
        <f t="shared" si="5"/>
        <v>46142</v>
      </c>
      <c r="AE39" s="84">
        <f t="shared" si="5"/>
        <v>46173</v>
      </c>
      <c r="AF39" s="84">
        <f t="shared" si="5"/>
        <v>46203</v>
      </c>
      <c r="AG39" s="84">
        <f t="shared" si="5"/>
        <v>46234</v>
      </c>
      <c r="AH39" s="84">
        <f t="shared" si="5"/>
        <v>46265</v>
      </c>
      <c r="AI39" s="84">
        <f t="shared" si="5"/>
        <v>46295</v>
      </c>
      <c r="AJ39" s="84">
        <f t="shared" si="5"/>
        <v>46326</v>
      </c>
      <c r="AK39" s="84">
        <f t="shared" si="5"/>
        <v>46356</v>
      </c>
      <c r="AL39" s="84">
        <f t="shared" si="5"/>
        <v>46387</v>
      </c>
    </row>
    <row r="40" spans="1:38" s="1" customFormat="1" ht="14" x14ac:dyDescent="0.2">
      <c r="A40" s="1">
        <v>1</v>
      </c>
      <c r="B40" s="83" t="s">
        <v>1647</v>
      </c>
      <c r="C40" s="5">
        <v>1837847.84</v>
      </c>
      <c r="D40" s="5">
        <v>3185380.35</v>
      </c>
      <c r="E40" s="5">
        <v>4039975.55</v>
      </c>
      <c r="F40" s="5">
        <v>7549221.71</v>
      </c>
      <c r="G40" s="5">
        <v>8787327.3699999992</v>
      </c>
      <c r="H40" s="5">
        <v>10500477.41</v>
      </c>
      <c r="I40" s="5">
        <v>2674670.4</v>
      </c>
      <c r="J40" s="5">
        <v>16325943.68</v>
      </c>
      <c r="K40" s="5">
        <v>12198994.02</v>
      </c>
      <c r="L40" s="5">
        <v>11905698.34</v>
      </c>
      <c r="M40" s="5">
        <v>10640304.67</v>
      </c>
      <c r="N40" s="5">
        <v>12348783.4</v>
      </c>
      <c r="O40" s="5">
        <v>7059630.54</v>
      </c>
      <c r="P40" s="5">
        <v>1094715.97</v>
      </c>
      <c r="Q40" s="5">
        <v>1946966.59</v>
      </c>
      <c r="R40" s="5">
        <v>1819954</v>
      </c>
      <c r="S40" s="5">
        <v>1234892.97</v>
      </c>
      <c r="T40" s="5">
        <v>791656.54</v>
      </c>
      <c r="U40" s="5">
        <v>1658214.51</v>
      </c>
      <c r="V40" s="5">
        <v>21681058.780000001</v>
      </c>
      <c r="W40" s="5">
        <v>3558623.41</v>
      </c>
      <c r="X40" s="5">
        <v>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38" s="1" customFormat="1" ht="14" x14ac:dyDescent="0.2">
      <c r="A41" s="1">
        <v>2</v>
      </c>
      <c r="B41" s="83" t="s">
        <v>1305</v>
      </c>
      <c r="C41" s="5">
        <v>26844760</v>
      </c>
      <c r="D41" s="5">
        <v>26844760</v>
      </c>
      <c r="E41" s="5">
        <v>26844760</v>
      </c>
      <c r="F41" s="5">
        <v>47095107.030000001</v>
      </c>
      <c r="G41" s="5">
        <v>47095107.030000001</v>
      </c>
      <c r="H41" s="5">
        <v>82631080.239999995</v>
      </c>
      <c r="I41" s="5">
        <v>115075046.81999999</v>
      </c>
      <c r="J41" s="5">
        <v>121410663.26000001</v>
      </c>
      <c r="K41" s="5">
        <v>97992855.040000007</v>
      </c>
      <c r="L41" s="5">
        <v>95065629.010000005</v>
      </c>
      <c r="M41" s="5">
        <v>95065629.010000005</v>
      </c>
      <c r="N41" s="5">
        <v>84088531.390000001</v>
      </c>
      <c r="O41" s="5">
        <v>98724661.549999997</v>
      </c>
      <c r="P41" s="5">
        <v>98724661.549999997</v>
      </c>
      <c r="Q41" s="5">
        <v>113414116.79000001</v>
      </c>
      <c r="R41" s="5">
        <v>88704328.430000007</v>
      </c>
      <c r="S41" s="5">
        <v>88704328.430000007</v>
      </c>
      <c r="T41" s="5">
        <v>88704328.430000007</v>
      </c>
      <c r="U41" s="5">
        <v>110333652.88</v>
      </c>
      <c r="V41" s="5">
        <v>99955995.099999994</v>
      </c>
      <c r="W41" s="5">
        <v>183672893</v>
      </c>
      <c r="X41" s="5">
        <v>125395480.95</v>
      </c>
      <c r="Y41" s="5">
        <v>175429977.78999999</v>
      </c>
      <c r="Z41" s="5">
        <v>137956142.15000001</v>
      </c>
      <c r="AA41" s="392">
        <v>179042269.69</v>
      </c>
      <c r="AB41" s="392">
        <v>127734225.27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 s="1" customFormat="1" ht="14" x14ac:dyDescent="0.2">
      <c r="A42" s="1">
        <v>3</v>
      </c>
      <c r="B42" s="83" t="s">
        <v>1306</v>
      </c>
      <c r="C42" s="5">
        <v>27967144.059999999</v>
      </c>
      <c r="D42" s="5">
        <v>53091001.32</v>
      </c>
      <c r="E42" s="5">
        <v>48486368.579999998</v>
      </c>
      <c r="F42" s="5">
        <v>45652376.759999998</v>
      </c>
      <c r="G42" s="5">
        <v>92591447.530000001</v>
      </c>
      <c r="H42" s="5">
        <v>70521449.579999998</v>
      </c>
      <c r="I42" s="5">
        <v>83366194.459999993</v>
      </c>
      <c r="J42" s="5">
        <v>68617372.650000006</v>
      </c>
      <c r="K42" s="5">
        <v>57643328.359999999</v>
      </c>
      <c r="L42" s="5">
        <v>58227840.219999999</v>
      </c>
      <c r="M42" s="5">
        <v>84480505.120000005</v>
      </c>
      <c r="N42" s="5">
        <v>46936587.329999998</v>
      </c>
      <c r="O42" s="5">
        <v>73893399.170000002</v>
      </c>
      <c r="P42" s="5">
        <v>79096781.730000004</v>
      </c>
      <c r="Q42" s="5">
        <v>66018139.600000001</v>
      </c>
      <c r="R42" s="5">
        <v>63465656.549999997</v>
      </c>
      <c r="S42" s="5">
        <v>28313965.399999999</v>
      </c>
      <c r="T42" s="5">
        <v>13964537.460000001</v>
      </c>
      <c r="U42" s="5">
        <v>17975951.960000001</v>
      </c>
      <c r="V42" s="5">
        <v>26144649.329999998</v>
      </c>
      <c r="W42" s="5">
        <v>21768153.18</v>
      </c>
      <c r="X42" s="5">
        <f>Group!X40-Group!X32</f>
        <v>39611312.835000001</v>
      </c>
      <c r="Y42" s="5">
        <v>33992246.68</v>
      </c>
      <c r="Z42" s="5">
        <v>9825049.3599999994</v>
      </c>
      <c r="AA42" s="392">
        <v>16954228.170000002</v>
      </c>
      <c r="AB42" s="392">
        <v>38712399.630000003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1:38" s="1" customFormat="1" ht="14" x14ac:dyDescent="0.2">
      <c r="A43" s="1">
        <v>4</v>
      </c>
      <c r="B43" s="83" t="s">
        <v>1307</v>
      </c>
      <c r="C43" s="5">
        <v>318104.65000000002</v>
      </c>
      <c r="D43" s="5">
        <v>282511.63</v>
      </c>
      <c r="E43" s="5">
        <v>0</v>
      </c>
      <c r="F43" s="5">
        <v>293333.33</v>
      </c>
      <c r="G43" s="5">
        <v>963798.45</v>
      </c>
      <c r="H43" s="5">
        <v>384775.19</v>
      </c>
      <c r="I43" s="5">
        <v>386356.59</v>
      </c>
      <c r="J43" s="5">
        <v>754217.05</v>
      </c>
      <c r="K43" s="5">
        <v>525891.47</v>
      </c>
      <c r="L43" s="5">
        <v>479379.84</v>
      </c>
      <c r="M43" s="5">
        <v>293333.33</v>
      </c>
      <c r="N43" s="5">
        <v>653600.77</v>
      </c>
      <c r="O43" s="5">
        <v>570542.63</v>
      </c>
      <c r="P43" s="5">
        <v>571612.4</v>
      </c>
      <c r="Q43" s="5">
        <v>1129756.77</v>
      </c>
      <c r="R43" s="5">
        <v>279069.77</v>
      </c>
      <c r="S43" s="5">
        <v>0</v>
      </c>
      <c r="T43" s="5">
        <v>0</v>
      </c>
      <c r="U43" s="5">
        <v>45720.93</v>
      </c>
      <c r="V43" s="5">
        <v>0</v>
      </c>
      <c r="W43" s="5">
        <v>-46511.63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38" s="4" customFormat="1" ht="14" x14ac:dyDescent="0.2">
      <c r="B44" s="98" t="s">
        <v>1282</v>
      </c>
      <c r="C44" s="269">
        <f t="shared" ref="C44:U44" si="6">SUM(C40:C43)</f>
        <v>56967856.549999997</v>
      </c>
      <c r="D44" s="269">
        <f t="shared" si="6"/>
        <v>83403653.299999997</v>
      </c>
      <c r="E44" s="269">
        <f t="shared" si="6"/>
        <v>79371104.129999995</v>
      </c>
      <c r="F44" s="269">
        <f t="shared" si="6"/>
        <v>100590038.83</v>
      </c>
      <c r="G44" s="269">
        <f t="shared" si="6"/>
        <v>149437680.38</v>
      </c>
      <c r="H44" s="269">
        <f t="shared" si="6"/>
        <v>164037782.41999999</v>
      </c>
      <c r="I44" s="269">
        <f t="shared" si="6"/>
        <v>201502268.27000001</v>
      </c>
      <c r="J44" s="269">
        <f t="shared" si="6"/>
        <v>207108196.64000002</v>
      </c>
      <c r="K44" s="269">
        <f t="shared" si="6"/>
        <v>168361068.89000002</v>
      </c>
      <c r="L44" s="269">
        <f t="shared" si="6"/>
        <v>165678547.41</v>
      </c>
      <c r="M44" s="269">
        <f t="shared" si="6"/>
        <v>190479772.13000003</v>
      </c>
      <c r="N44" s="269">
        <f t="shared" si="6"/>
        <v>144027502.89000002</v>
      </c>
      <c r="O44" s="269">
        <f t="shared" si="6"/>
        <v>180248233.88999999</v>
      </c>
      <c r="P44" s="269">
        <f t="shared" si="6"/>
        <v>179487771.65000001</v>
      </c>
      <c r="Q44" s="269">
        <f t="shared" si="6"/>
        <v>182508979.75000003</v>
      </c>
      <c r="R44" s="269">
        <f t="shared" si="6"/>
        <v>154269008.75000003</v>
      </c>
      <c r="S44" s="269">
        <f t="shared" si="6"/>
        <v>118253186.80000001</v>
      </c>
      <c r="T44" s="269">
        <f t="shared" si="6"/>
        <v>103460522.43000001</v>
      </c>
      <c r="U44" s="269">
        <f t="shared" si="6"/>
        <v>130013540.28</v>
      </c>
      <c r="V44" s="269">
        <f>SUM(V40:V43)</f>
        <v>147781703.20999998</v>
      </c>
      <c r="W44" s="269">
        <f>SUM(W40:W43)</f>
        <v>208953157.96000001</v>
      </c>
      <c r="X44" s="269">
        <f t="shared" ref="X44:AL44" si="7">SUM(X40:X43)</f>
        <v>165006793.785</v>
      </c>
      <c r="Y44" s="269">
        <f t="shared" si="7"/>
        <v>209422224.47</v>
      </c>
      <c r="Z44" s="269">
        <f>SUM(Z40:Z43)</f>
        <v>147781191.50999999</v>
      </c>
      <c r="AA44" s="269">
        <f>SUM(AA40:AA43)</f>
        <v>195996497.86000001</v>
      </c>
      <c r="AB44" s="269">
        <f t="shared" si="7"/>
        <v>166446624.90000001</v>
      </c>
      <c r="AC44" s="269">
        <f t="shared" si="7"/>
        <v>0</v>
      </c>
      <c r="AD44" s="269">
        <f t="shared" si="7"/>
        <v>0</v>
      </c>
      <c r="AE44" s="269">
        <f t="shared" si="7"/>
        <v>0</v>
      </c>
      <c r="AF44" s="269">
        <f t="shared" si="7"/>
        <v>0</v>
      </c>
      <c r="AG44" s="269">
        <f t="shared" si="7"/>
        <v>0</v>
      </c>
      <c r="AH44" s="269">
        <f t="shared" si="7"/>
        <v>0</v>
      </c>
      <c r="AI44" s="269">
        <f t="shared" si="7"/>
        <v>0</v>
      </c>
      <c r="AJ44" s="269">
        <f t="shared" si="7"/>
        <v>0</v>
      </c>
      <c r="AK44" s="269">
        <f t="shared" si="7"/>
        <v>0</v>
      </c>
      <c r="AL44" s="269">
        <f t="shared" si="7"/>
        <v>0</v>
      </c>
    </row>
    <row r="45" spans="1:38" s="4" customFormat="1" ht="14" x14ac:dyDescent="0.2">
      <c r="B45" s="4" t="s">
        <v>1247</v>
      </c>
      <c r="C45" s="269">
        <f t="shared" ref="C45:T45" si="8">C36</f>
        <v>198458851.53039998</v>
      </c>
      <c r="D45" s="269">
        <f t="shared" si="8"/>
        <v>557747556.11120009</v>
      </c>
      <c r="E45" s="269">
        <f t="shared" si="8"/>
        <v>563558600.55479991</v>
      </c>
      <c r="F45" s="269">
        <f t="shared" si="8"/>
        <v>567821277.97939992</v>
      </c>
      <c r="G45" s="269">
        <f t="shared" si="8"/>
        <v>232355194.85520002</v>
      </c>
      <c r="H45" s="269">
        <f t="shared" si="8"/>
        <v>243812620.20249999</v>
      </c>
      <c r="I45" s="269">
        <f t="shared" si="8"/>
        <v>220934822.17699999</v>
      </c>
      <c r="J45" s="269">
        <f t="shared" si="8"/>
        <v>360128986.87559998</v>
      </c>
      <c r="K45" s="269">
        <f t="shared" si="8"/>
        <v>151276413.42930001</v>
      </c>
      <c r="L45" s="269">
        <f t="shared" si="8"/>
        <v>195367783.9454</v>
      </c>
      <c r="M45" s="269">
        <f t="shared" si="8"/>
        <v>246514846.71299997</v>
      </c>
      <c r="N45" s="269">
        <f t="shared" si="8"/>
        <v>602776316.38279998</v>
      </c>
      <c r="O45" s="269">
        <f t="shared" si="8"/>
        <v>236526831.52999997</v>
      </c>
      <c r="P45" s="269">
        <f t="shared" si="8"/>
        <v>216400238.41400206</v>
      </c>
      <c r="Q45" s="269">
        <f t="shared" si="8"/>
        <v>234139423.53999999</v>
      </c>
      <c r="R45" s="269">
        <f t="shared" si="8"/>
        <v>244541406.82879999</v>
      </c>
      <c r="S45" s="269">
        <f t="shared" si="8"/>
        <v>176826740.36700001</v>
      </c>
      <c r="T45" s="269">
        <f t="shared" si="8"/>
        <v>120193718.7437</v>
      </c>
      <c r="U45" s="269">
        <f>U36</f>
        <v>212140768.91240001</v>
      </c>
      <c r="V45" s="269">
        <f>V36</f>
        <v>194501100.78670001</v>
      </c>
      <c r="W45" s="269">
        <f>W36</f>
        <v>407253602.74650007</v>
      </c>
      <c r="X45" s="269">
        <f t="shared" ref="X45:AL45" si="9">X36</f>
        <v>744361804.21100008</v>
      </c>
      <c r="Y45" s="269">
        <f t="shared" si="9"/>
        <v>324738202.97210002</v>
      </c>
      <c r="Z45" s="269">
        <f t="shared" si="9"/>
        <v>313228466.65750003</v>
      </c>
      <c r="AA45" s="269">
        <f t="shared" si="9"/>
        <v>713982643.47080004</v>
      </c>
      <c r="AB45" s="269">
        <f t="shared" si="9"/>
        <v>761797531.6056</v>
      </c>
      <c r="AC45" s="269">
        <f t="shared" si="9"/>
        <v>1914331.477</v>
      </c>
      <c r="AD45" s="269">
        <f t="shared" si="9"/>
        <v>1615921.9569999999</v>
      </c>
      <c r="AE45" s="269">
        <f t="shared" si="9"/>
        <v>0</v>
      </c>
      <c r="AF45" s="269">
        <f t="shared" si="9"/>
        <v>0</v>
      </c>
      <c r="AG45" s="269">
        <f t="shared" si="9"/>
        <v>0</v>
      </c>
      <c r="AH45" s="269">
        <f t="shared" si="9"/>
        <v>0</v>
      </c>
      <c r="AI45" s="269">
        <f t="shared" si="9"/>
        <v>0</v>
      </c>
      <c r="AJ45" s="269">
        <f t="shared" si="9"/>
        <v>0</v>
      </c>
      <c r="AK45" s="269">
        <f t="shared" si="9"/>
        <v>0</v>
      </c>
      <c r="AL45" s="269">
        <f t="shared" si="9"/>
        <v>0</v>
      </c>
    </row>
    <row r="46" spans="1:38" s="270" customFormat="1" ht="14" x14ac:dyDescent="0.2">
      <c r="B46" s="270" t="s">
        <v>1277</v>
      </c>
      <c r="C46" s="271">
        <f>C44/C45</f>
        <v>0.28705122553464762</v>
      </c>
      <c r="D46" s="271">
        <f t="shared" ref="D46:AL46" si="10">D44/D45</f>
        <v>0.1495365643222496</v>
      </c>
      <c r="E46" s="271">
        <f t="shared" si="10"/>
        <v>0.14083913199419271</v>
      </c>
      <c r="F46" s="271">
        <f t="shared" si="10"/>
        <v>0.17715087956539965</v>
      </c>
      <c r="G46" s="271">
        <f t="shared" si="10"/>
        <v>0.64314327240726044</v>
      </c>
      <c r="H46" s="271">
        <f t="shared" si="10"/>
        <v>0.67280267232991242</v>
      </c>
      <c r="I46" s="271">
        <f t="shared" si="10"/>
        <v>0.91204395162555341</v>
      </c>
      <c r="J46" s="271">
        <f t="shared" si="10"/>
        <v>0.57509449166207161</v>
      </c>
      <c r="K46" s="271">
        <f t="shared" si="10"/>
        <v>1.1129366771290135</v>
      </c>
      <c r="L46" s="271">
        <f t="shared" si="10"/>
        <v>0.84803412345764573</v>
      </c>
      <c r="M46" s="271">
        <f t="shared" si="10"/>
        <v>0.77269087306438111</v>
      </c>
      <c r="N46" s="271">
        <f t="shared" si="10"/>
        <v>0.23894021542567326</v>
      </c>
      <c r="O46" s="271">
        <f t="shared" si="10"/>
        <v>0.76206252256475238</v>
      </c>
      <c r="P46" s="271">
        <f t="shared" si="10"/>
        <v>0.82942501803817947</v>
      </c>
      <c r="Q46" s="271">
        <f t="shared" si="10"/>
        <v>0.7794884645678668</v>
      </c>
      <c r="R46" s="271">
        <f t="shared" si="10"/>
        <v>0.63085025456650623</v>
      </c>
      <c r="S46" s="271">
        <f t="shared" si="10"/>
        <v>0.66875172021249796</v>
      </c>
      <c r="T46" s="271">
        <f t="shared" si="10"/>
        <v>0.86078144108860044</v>
      </c>
      <c r="U46" s="271">
        <f t="shared" si="10"/>
        <v>0.61286447176821035</v>
      </c>
      <c r="V46" s="271">
        <f t="shared" si="10"/>
        <v>0.75979880120095078</v>
      </c>
      <c r="W46" s="271">
        <f t="shared" si="10"/>
        <v>0.51307872183531156</v>
      </c>
      <c r="X46" s="271">
        <f t="shared" si="10"/>
        <v>0.22167552506257621</v>
      </c>
      <c r="Y46" s="271">
        <f t="shared" si="10"/>
        <v>0.64489555757008543</v>
      </c>
      <c r="Z46" s="271">
        <f t="shared" si="10"/>
        <v>0.47180000300416974</v>
      </c>
      <c r="AA46" s="271">
        <f t="shared" si="10"/>
        <v>0.27451157202817317</v>
      </c>
      <c r="AB46" s="271">
        <f t="shared" si="10"/>
        <v>0.21849194568691938</v>
      </c>
      <c r="AC46" s="271">
        <f t="shared" si="10"/>
        <v>0</v>
      </c>
      <c r="AD46" s="271">
        <f t="shared" si="10"/>
        <v>0</v>
      </c>
      <c r="AE46" s="271" t="e">
        <f t="shared" si="10"/>
        <v>#DIV/0!</v>
      </c>
      <c r="AF46" s="271" t="e">
        <f t="shared" si="10"/>
        <v>#DIV/0!</v>
      </c>
      <c r="AG46" s="271" t="e">
        <f t="shared" si="10"/>
        <v>#DIV/0!</v>
      </c>
      <c r="AH46" s="271" t="e">
        <f t="shared" si="10"/>
        <v>#DIV/0!</v>
      </c>
      <c r="AI46" s="271" t="e">
        <f t="shared" si="10"/>
        <v>#DIV/0!</v>
      </c>
      <c r="AJ46" s="271" t="e">
        <f t="shared" si="10"/>
        <v>#DIV/0!</v>
      </c>
      <c r="AK46" s="271" t="e">
        <f t="shared" si="10"/>
        <v>#DIV/0!</v>
      </c>
      <c r="AL46" s="271" t="e">
        <f t="shared" si="10"/>
        <v>#DIV/0!</v>
      </c>
    </row>
    <row r="47" spans="1:38" x14ac:dyDescent="0.15">
      <c r="C47" s="268"/>
      <c r="D47" s="268"/>
      <c r="E47" s="268"/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</row>
    <row r="48" spans="1:38" ht="13" x14ac:dyDescent="0.15">
      <c r="B48" s="264" t="s">
        <v>1648</v>
      </c>
      <c r="C48" s="264">
        <v>64801682.240000002</v>
      </c>
      <c r="D48" s="264">
        <v>409150419.13</v>
      </c>
      <c r="E48" s="264">
        <v>203769463</v>
      </c>
      <c r="F48" s="264">
        <v>242672071.31</v>
      </c>
      <c r="G48" s="264">
        <v>16202777.220000001</v>
      </c>
      <c r="H48" s="264">
        <v>7782409.6200000001</v>
      </c>
      <c r="I48" s="264">
        <v>580358.16</v>
      </c>
      <c r="J48" s="264">
        <v>14243305.65</v>
      </c>
      <c r="K48" s="264">
        <v>-42571521.93</v>
      </c>
      <c r="L48" s="264">
        <v>9199126.2300000004</v>
      </c>
      <c r="M48" s="264">
        <v>51922181</v>
      </c>
      <c r="N48" s="264">
        <v>15612001</v>
      </c>
      <c r="O48" s="264">
        <v>28282067</v>
      </c>
      <c r="P48" s="264">
        <v>0</v>
      </c>
      <c r="Q48" s="264">
        <v>757047</v>
      </c>
      <c r="R48" s="264">
        <v>0</v>
      </c>
      <c r="S48" s="264">
        <v>0</v>
      </c>
      <c r="T48" s="264">
        <v>0</v>
      </c>
      <c r="U48" s="264">
        <v>0</v>
      </c>
      <c r="V48" s="264"/>
      <c r="W48" s="264">
        <v>1711600</v>
      </c>
      <c r="X48" s="379">
        <v>-453529</v>
      </c>
      <c r="Y48" s="321">
        <v>0</v>
      </c>
      <c r="Z48" s="379">
        <v>35565201</v>
      </c>
      <c r="AA48" s="392"/>
      <c r="AB48" s="392"/>
    </row>
    <row r="49" spans="2:40" ht="13" x14ac:dyDescent="0.15">
      <c r="B49" s="264" t="s">
        <v>1280</v>
      </c>
      <c r="C49" s="264">
        <v>60200431.149999999</v>
      </c>
      <c r="D49" s="264">
        <v>91870381.489999995</v>
      </c>
      <c r="E49" s="264">
        <v>299729712</v>
      </c>
      <c r="F49" s="264">
        <v>266675379.68000001</v>
      </c>
      <c r="G49" s="264">
        <v>47095107.030000001</v>
      </c>
      <c r="H49" s="264">
        <v>156139970.80000001</v>
      </c>
      <c r="I49" s="264">
        <v>148519491.08000001</v>
      </c>
      <c r="J49" s="264">
        <v>249160466.31999999</v>
      </c>
      <c r="K49" s="264">
        <v>116403366.84999999</v>
      </c>
      <c r="L49" s="264">
        <v>104367954.59</v>
      </c>
      <c r="M49" s="264">
        <v>95065629</v>
      </c>
      <c r="N49" s="264">
        <v>111033812</v>
      </c>
      <c r="O49" s="264">
        <v>98724662</v>
      </c>
      <c r="P49" s="264">
        <v>98724662</v>
      </c>
      <c r="Q49" s="264">
        <v>113414117</v>
      </c>
      <c r="R49" s="264">
        <v>88704328</v>
      </c>
      <c r="S49" s="264">
        <v>88704328</v>
      </c>
      <c r="T49" s="264">
        <v>88704328</v>
      </c>
      <c r="U49" s="264">
        <v>134860881</v>
      </c>
      <c r="V49" s="264">
        <f>99955995+40763110</f>
        <v>140719105</v>
      </c>
      <c r="W49" s="264">
        <v>202219658</v>
      </c>
      <c r="X49" s="379">
        <v>246785080</v>
      </c>
      <c r="Y49" s="379">
        <v>212631179</v>
      </c>
      <c r="Z49" s="379">
        <v>182135224</v>
      </c>
      <c r="AA49" s="265">
        <v>202954326.79000002</v>
      </c>
      <c r="AB49" s="265">
        <v>161490325.11000001</v>
      </c>
    </row>
    <row r="50" spans="2:40" ht="13" x14ac:dyDescent="0.15">
      <c r="B50" s="264" t="s">
        <v>1281</v>
      </c>
      <c r="C50" s="264">
        <v>49850762.899999999</v>
      </c>
      <c r="D50" s="264">
        <v>17186077.629999999</v>
      </c>
      <c r="E50" s="264">
        <v>23515064.300000001</v>
      </c>
      <c r="F50" s="264">
        <v>32199077.050000001</v>
      </c>
      <c r="G50" s="264">
        <v>142466118.77000001</v>
      </c>
      <c r="H50" s="264">
        <v>55132795.740000002</v>
      </c>
      <c r="I50" s="264">
        <v>64352619.299999997</v>
      </c>
      <c r="J50" s="264">
        <v>49046453.829999998</v>
      </c>
      <c r="K50" s="264">
        <v>47462480.939999998</v>
      </c>
      <c r="L50" s="264">
        <v>59331261.57</v>
      </c>
      <c r="M50" s="264">
        <v>79710751</v>
      </c>
      <c r="N50" s="264">
        <v>464921379.89999998</v>
      </c>
      <c r="O50" s="264">
        <v>85691343</v>
      </c>
      <c r="P50" s="264">
        <v>97435402</v>
      </c>
      <c r="Q50" s="264">
        <v>100125370</v>
      </c>
      <c r="R50" s="264">
        <v>144786587</v>
      </c>
      <c r="S50" s="264">
        <v>70811090</v>
      </c>
      <c r="T50" s="264">
        <v>31036614</v>
      </c>
      <c r="U50" s="264">
        <v>59746304</v>
      </c>
      <c r="V50" s="264">
        <v>43269404</v>
      </c>
      <c r="W50" s="264">
        <v>196474253</v>
      </c>
      <c r="X50" s="379">
        <v>508492067</v>
      </c>
      <c r="Y50" s="379">
        <v>109696886</v>
      </c>
      <c r="Z50" s="379">
        <v>94147253</v>
      </c>
      <c r="AA50" s="392">
        <v>509148230.66000003</v>
      </c>
      <c r="AB50" s="392">
        <v>598070565.36000001</v>
      </c>
    </row>
    <row r="51" spans="2:40" ht="13" x14ac:dyDescent="0.15">
      <c r="B51" s="264" t="s">
        <v>75</v>
      </c>
      <c r="C51" s="264">
        <v>318104.65000000002</v>
      </c>
      <c r="D51" s="264">
        <v>282511.63</v>
      </c>
      <c r="E51" s="264">
        <v>0</v>
      </c>
      <c r="F51" s="264">
        <v>293333.33</v>
      </c>
      <c r="G51" s="264">
        <v>963798.45</v>
      </c>
      <c r="H51" s="264">
        <v>384775.19</v>
      </c>
      <c r="I51" s="264">
        <v>386356.59</v>
      </c>
      <c r="J51" s="264">
        <v>754217.05</v>
      </c>
      <c r="K51" s="264">
        <v>525891.47</v>
      </c>
      <c r="L51" s="264">
        <v>479379.84</v>
      </c>
      <c r="M51" s="264">
        <v>293333</v>
      </c>
      <c r="N51" s="264">
        <v>690810</v>
      </c>
      <c r="O51" s="264">
        <v>570543</v>
      </c>
      <c r="P51" s="264">
        <v>888612</v>
      </c>
      <c r="Q51" s="264">
        <v>8106501</v>
      </c>
      <c r="R51" s="264">
        <v>9209302</v>
      </c>
      <c r="S51" s="264">
        <v>14976744</v>
      </c>
      <c r="T51" s="264">
        <v>0</v>
      </c>
      <c r="U51" s="264">
        <v>14557349</v>
      </c>
      <c r="V51" s="264">
        <v>0</v>
      </c>
      <c r="W51" s="264">
        <v>790698</v>
      </c>
      <c r="X51" s="321">
        <v>0</v>
      </c>
      <c r="Y51" s="379">
        <v>279070</v>
      </c>
      <c r="Z51" s="379">
        <v>289070</v>
      </c>
      <c r="AA51" s="392">
        <v>837209.3</v>
      </c>
    </row>
    <row r="52" spans="2:40" ht="13" x14ac:dyDescent="0.15">
      <c r="B52" s="264" t="s">
        <v>1439</v>
      </c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379">
        <v>179550</v>
      </c>
      <c r="Y52" s="379">
        <v>59987</v>
      </c>
      <c r="Z52" s="321"/>
      <c r="AA52" s="265"/>
      <c r="AB52" s="265"/>
    </row>
    <row r="53" spans="2:40" s="263" customFormat="1" x14ac:dyDescent="0.15">
      <c r="B53" s="266" t="s">
        <v>1286</v>
      </c>
      <c r="C53" s="266">
        <f t="shared" ref="C53:AB53" si="11">SUM(C48:C51)</f>
        <v>175170980.94</v>
      </c>
      <c r="D53" s="266">
        <f t="shared" si="11"/>
        <v>518489389.88</v>
      </c>
      <c r="E53" s="266">
        <f t="shared" si="11"/>
        <v>527014239.30000001</v>
      </c>
      <c r="F53" s="266">
        <f t="shared" si="11"/>
        <v>541839861.37</v>
      </c>
      <c r="G53" s="266">
        <f t="shared" si="11"/>
        <v>206727801.47</v>
      </c>
      <c r="H53" s="266">
        <f t="shared" si="11"/>
        <v>219439951.35000002</v>
      </c>
      <c r="I53" s="266">
        <f t="shared" si="11"/>
        <v>213838825.13000003</v>
      </c>
      <c r="J53" s="266">
        <f t="shared" si="11"/>
        <v>313204442.85000002</v>
      </c>
      <c r="K53" s="266">
        <f t="shared" si="11"/>
        <v>121820217.32999998</v>
      </c>
      <c r="L53" s="266">
        <f t="shared" si="11"/>
        <v>173377722.23000002</v>
      </c>
      <c r="M53" s="266">
        <f t="shared" si="11"/>
        <v>226991894</v>
      </c>
      <c r="N53" s="266">
        <f t="shared" si="11"/>
        <v>592258002.89999998</v>
      </c>
      <c r="O53" s="266">
        <f t="shared" si="11"/>
        <v>213268615</v>
      </c>
      <c r="P53" s="266">
        <f t="shared" si="11"/>
        <v>197048676</v>
      </c>
      <c r="Q53" s="266">
        <f t="shared" si="11"/>
        <v>222403035</v>
      </c>
      <c r="R53" s="266">
        <f t="shared" si="11"/>
        <v>242700217</v>
      </c>
      <c r="S53" s="266">
        <f t="shared" si="11"/>
        <v>174492162</v>
      </c>
      <c r="T53" s="266">
        <f t="shared" si="11"/>
        <v>119740942</v>
      </c>
      <c r="U53" s="266">
        <f t="shared" si="11"/>
        <v>209164534</v>
      </c>
      <c r="V53" s="266">
        <f t="shared" si="11"/>
        <v>183988509</v>
      </c>
      <c r="W53" s="266">
        <f t="shared" si="11"/>
        <v>401196209</v>
      </c>
      <c r="X53" s="266">
        <f>SUM(X48:X52)</f>
        <v>755003168</v>
      </c>
      <c r="Y53" s="266">
        <f>SUM(Y48:Y52)</f>
        <v>322667122</v>
      </c>
      <c r="Z53" s="266">
        <f t="shared" si="11"/>
        <v>312136748</v>
      </c>
      <c r="AA53" s="266">
        <f>SUM(AA48:AA51)</f>
        <v>712939766.75</v>
      </c>
      <c r="AB53" s="266">
        <f t="shared" si="11"/>
        <v>759560890.47000003</v>
      </c>
    </row>
    <row r="54" spans="2:40" x14ac:dyDescent="0.15">
      <c r="C54" s="268"/>
      <c r="D54" s="268"/>
      <c r="E54" s="268"/>
      <c r="F54" s="268"/>
      <c r="G54" s="268"/>
      <c r="H54" s="262">
        <f t="shared" ref="H54:X54" si="12">H53-H4</f>
        <v>6.1399999856948853</v>
      </c>
      <c r="I54" s="262">
        <f t="shared" si="12"/>
        <v>0</v>
      </c>
      <c r="J54" s="262">
        <f t="shared" si="12"/>
        <v>0</v>
      </c>
      <c r="K54" s="262">
        <f t="shared" si="12"/>
        <v>-6.3600000292062759</v>
      </c>
      <c r="L54" s="262">
        <f t="shared" si="12"/>
        <v>0</v>
      </c>
      <c r="M54" s="262">
        <f t="shared" si="12"/>
        <v>-0.45999997854232788</v>
      </c>
      <c r="N54" s="262">
        <f t="shared" si="12"/>
        <v>9.9999904632568359E-3</v>
      </c>
      <c r="O54" s="262">
        <f t="shared" si="12"/>
        <v>1.050000011920929</v>
      </c>
      <c r="P54" s="262">
        <f t="shared" si="12"/>
        <v>0.20999997854232788</v>
      </c>
      <c r="Q54" s="262">
        <f t="shared" si="12"/>
        <v>0.44999998807907104</v>
      </c>
      <c r="R54" s="262">
        <f t="shared" si="12"/>
        <v>-0.54000002145767212</v>
      </c>
      <c r="S54" s="262">
        <f t="shared" si="12"/>
        <v>-0.43000000715255737</v>
      </c>
      <c r="T54" s="262">
        <f t="shared" si="12"/>
        <v>-0.55000001192092896</v>
      </c>
      <c r="U54" s="262">
        <f t="shared" si="12"/>
        <v>-0.5300000011920929</v>
      </c>
      <c r="V54" s="262">
        <f t="shared" si="12"/>
        <v>-0.75</v>
      </c>
      <c r="W54" s="262">
        <f t="shared" si="12"/>
        <v>0.40999996662139893</v>
      </c>
      <c r="X54" s="262">
        <f t="shared" si="12"/>
        <v>-0.23000001907348633</v>
      </c>
      <c r="Y54" s="262">
        <f>Y53-Y4</f>
        <v>-0.22000002861022949</v>
      </c>
      <c r="Z54" s="262">
        <f t="shared" ref="Z54:AN54" si="13">Z53-Z4</f>
        <v>0.55000001192092896</v>
      </c>
      <c r="AA54" s="262">
        <f>AA53-AA4</f>
        <v>0</v>
      </c>
      <c r="AB54" s="262">
        <f t="shared" si="13"/>
        <v>2367709.2599999905</v>
      </c>
      <c r="AC54" s="262">
        <f t="shared" si="13"/>
        <v>-549117528.5</v>
      </c>
      <c r="AD54" s="262">
        <f t="shared" si="13"/>
        <v>-344429476.50999999</v>
      </c>
      <c r="AE54" s="262">
        <f t="shared" si="13"/>
        <v>0</v>
      </c>
      <c r="AF54" s="262">
        <f t="shared" si="13"/>
        <v>0</v>
      </c>
      <c r="AG54" s="262">
        <f t="shared" si="13"/>
        <v>0</v>
      </c>
      <c r="AH54" s="262">
        <f t="shared" si="13"/>
        <v>0</v>
      </c>
      <c r="AI54" s="262">
        <f t="shared" si="13"/>
        <v>0</v>
      </c>
      <c r="AJ54" s="262">
        <f t="shared" si="13"/>
        <v>0</v>
      </c>
      <c r="AK54" s="262">
        <f t="shared" si="13"/>
        <v>0</v>
      </c>
      <c r="AL54" s="262">
        <f t="shared" si="13"/>
        <v>0</v>
      </c>
      <c r="AM54" s="262">
        <f t="shared" si="13"/>
        <v>0</v>
      </c>
      <c r="AN54" s="262">
        <f t="shared" si="13"/>
        <v>0</v>
      </c>
    </row>
    <row r="56" spans="2:40" x14ac:dyDescent="0.15">
      <c r="B56" s="263" t="s">
        <v>1285</v>
      </c>
    </row>
    <row r="57" spans="2:40" x14ac:dyDescent="0.15">
      <c r="B57" s="259" t="s">
        <v>31</v>
      </c>
      <c r="C57" s="261">
        <f>IF(C$3&lt;=Summary!$C$2,_xlfn.XLOOKUP(NG!$B57,BS_NG!$C:$C,BS_NG!D:D),0)</f>
        <v>111008304.24000001</v>
      </c>
      <c r="D57" s="261">
        <f>IF(D$3&lt;=Summary!$C$2,_xlfn.XLOOKUP(NG!$B57,BS_NG!$C:$C,BS_NG!E:E),0)</f>
        <v>100159906.03</v>
      </c>
      <c r="E57" s="261">
        <f>IF(E$3&lt;=Summary!$C$2,_xlfn.XLOOKUP(NG!$B57,BS_NG!$C:$C,BS_NG!F:F),0)</f>
        <v>7088880324.0100012</v>
      </c>
      <c r="F57" s="261">
        <f>IF(F$3&lt;=Summary!$C$2,_xlfn.XLOOKUP(NG!$B57,BS_NG!$C:$C,BS_NG!G:G),0)</f>
        <v>5924100171.5299997</v>
      </c>
      <c r="G57" s="261">
        <f>IF(G$3&lt;=Summary!$C$2,_xlfn.XLOOKUP(NG!$B57,BS_NG!$C:$C,BS_NG!H:H),0)</f>
        <v>5723119603.4099998</v>
      </c>
      <c r="H57" s="261">
        <f>IF(H$3&lt;=Summary!$C$2,_xlfn.XLOOKUP(NG!$B57,BS_NG!$C:$C,BS_NG!I:I),0)</f>
        <v>7287637732.1000004</v>
      </c>
      <c r="I57" s="261">
        <f>IF(I$3&lt;=Summary!$C$2,_xlfn.XLOOKUP(NG!$B57,BS_NG!$C:$C,BS_NG!J:J),0)</f>
        <v>7017708979.8899994</v>
      </c>
      <c r="J57" s="261">
        <f>IF(J$3&lt;=Summary!$C$2,_xlfn.XLOOKUP(NG!$B57,BS_NG!$C:$C,BS_NG!K:K),0)</f>
        <v>6936530482.6800003</v>
      </c>
      <c r="K57" s="261">
        <f>IF(K$3&lt;=Summary!$C$2,_xlfn.XLOOKUP(NG!$B57,BS_NG!$C:$C,BS_NG!L:L),0)</f>
        <v>6974473192.3400002</v>
      </c>
      <c r="L57" s="261">
        <f>IF(L$3&lt;=Summary!$C$2,_xlfn.XLOOKUP(NG!$B57,BS_NG!$C:$C,BS_NG!M:M),0)</f>
        <v>6432942785.1599998</v>
      </c>
      <c r="M57" s="261">
        <f>IF(M$3&lt;=Summary!$C$2,_xlfn.XLOOKUP(NG!$B57,BS_NG!$C:$C,BS_NG!N:N),0)</f>
        <v>6609097653.0900002</v>
      </c>
      <c r="N57" s="261">
        <f>IF(N$3&lt;=Summary!$C$2,_xlfn.XLOOKUP(NG!$B57,BS_NG!$C:$C,BS_NG!O:O),0)</f>
        <v>5871087408.5300007</v>
      </c>
      <c r="O57" s="261">
        <f>IF(O$3&lt;=Summary!$C$2,_xlfn.XLOOKUP(NG!$B57,BS_NG!$C:$C,BS_NG!P:P),0)</f>
        <v>5426350629.3799992</v>
      </c>
      <c r="P57" s="261">
        <f>IF(P$3&lt;=Summary!$C$2,_xlfn.XLOOKUP(NG!$B57,BS_NG!$C:$C,BS_NG!Q:Q),0)</f>
        <v>4929259296.3999996</v>
      </c>
      <c r="Q57" s="261">
        <f>IF(Q$3&lt;=Summary!$C$2,_xlfn.XLOOKUP(NG!$B57,BS_NG!$C:$C,BS_NG!R:R),0)</f>
        <v>5687263985.5499992</v>
      </c>
      <c r="R57" s="261">
        <f>IF(R$3&lt;=Summary!$C$2,_xlfn.XLOOKUP(NG!$B57,BS_NG!$C:$C,BS_NG!S:S),0)</f>
        <v>5046671217.46</v>
      </c>
      <c r="S57" s="261">
        <f>IF(S$3&lt;=Summary!$C$2,_xlfn.XLOOKUP(NG!$B57,BS_NG!$C:$C,BS_NG!T:T),0)</f>
        <v>4269848283.0900002</v>
      </c>
      <c r="T57" s="261">
        <f>IF(T$3&lt;=Summary!$C$2,_xlfn.XLOOKUP(NG!$B57,BS_NG!$C:$C,BS_NG!U:U),0)</f>
        <v>4328626886.8599997</v>
      </c>
      <c r="U57" s="261">
        <f>IF(U$3&lt;=Summary!$C$2,_xlfn.XLOOKUP(NG!$B57,BS_NG!$C:$C,BS_NG!V:V),0)</f>
        <v>3708311870.0500002</v>
      </c>
      <c r="V57" s="261">
        <f>IF(V$3&lt;=Summary!$C$2,_xlfn.XLOOKUP(NG!$B57,BS_NG!$C:$C,BS_NG!W:W),0)</f>
        <v>3747734244.54</v>
      </c>
      <c r="W57" s="261">
        <f>IF(W$3&lt;=Summary!$C$2,_xlfn.XLOOKUP(NG!$B57,BS_NG!$C:$C,BS_NG!X:X),0)</f>
        <v>3309235331.0600004</v>
      </c>
      <c r="X57" s="261">
        <f>IF(X$3&lt;=Summary!$C$2,_xlfn.XLOOKUP(NG!$B57,BS_NG!$C:$C,BS_NG!Y:Y),0)</f>
        <v>3317831621.2999997</v>
      </c>
      <c r="Y57" s="261">
        <f>IF(Y$3&lt;=Summary!$C$2,_xlfn.XLOOKUP(NG!$B57,BS_NG!$C:$C,BS_NG!Z:Z),0)</f>
        <v>2866497553.3100004</v>
      </c>
      <c r="Z57" s="261">
        <f>IF(Z$3&lt;=Summary!$C$2,_xlfn.XLOOKUP(NG!$B57,BS_NG!$C:$C,BS_NG!AA:AA),0)</f>
        <v>2378903541.9099998</v>
      </c>
      <c r="AA57" s="261">
        <f>IF(AA$3&lt;=Summary!$C$2,_xlfn.XLOOKUP(NG!$B57,BS_NG!$C:$C,BS_NG!AB:AB),0)</f>
        <v>2351081974.21</v>
      </c>
      <c r="AB57" s="261">
        <f>IF(AB$3&lt;=Summary!$C$2,_xlfn.XLOOKUP(NG!$B57,BS_NG!$C:$C,BS_NG!AC:AC),0)</f>
        <v>2499288491.1999998</v>
      </c>
      <c r="AC57" s="261">
        <f>IF(AC$3&lt;=Summary!$C$2,_xlfn.XLOOKUP(NG!$B57,BS_NG!$C:$C,BS_NG!AD:AD),0)</f>
        <v>2709729523</v>
      </c>
      <c r="AD57" s="261">
        <f>IF(AD$3&lt;=Summary!$C$2,_xlfn.XLOOKUP(NG!$B57,BS_NG!$C:$C,BS_NG!AE:AE),0)</f>
        <v>2458659337.4700003</v>
      </c>
      <c r="AE57" s="261">
        <f>IF(AE$3&lt;=Summary!$C$2,_xlfn.XLOOKUP(NG!$B57,BS_NG!$C:$C,BS_NG!AF:AF),0)</f>
        <v>0</v>
      </c>
      <c r="AF57" s="261">
        <f>IF(AF$3&lt;=Summary!$C$2,_xlfn.XLOOKUP(NG!$B57,BS_NG!$C:$C,BS_NG!AG:AG),0)</f>
        <v>0</v>
      </c>
      <c r="AG57" s="261">
        <f>IF(AG$3&lt;=Summary!$C$2,_xlfn.XLOOKUP(NG!$B57,BS_NG!$C:$C,BS_NG!AH:AH),0)</f>
        <v>0</v>
      </c>
      <c r="AH57" s="261">
        <f>IF(AH$3&lt;=Summary!$C$2,_xlfn.XLOOKUP(NG!$B57,BS_NG!$C:$C,BS_NG!AI:AI),0)</f>
        <v>0</v>
      </c>
      <c r="AI57" s="261">
        <f>IF(AI$3&lt;=Summary!$C$2,_xlfn.XLOOKUP(NG!$B57,BS_NG!$C:$C,BS_NG!AJ:AJ),0)</f>
        <v>0</v>
      </c>
      <c r="AJ57" s="261">
        <f>IF(AJ$3&lt;=Summary!$C$2,_xlfn.XLOOKUP(NG!$B57,BS_NG!$C:$C,BS_NG!AK:AK),0)</f>
        <v>0</v>
      </c>
      <c r="AK57" s="261">
        <f>IF(AK$3&lt;=Summary!$C$2,_xlfn.XLOOKUP(NG!$B57,BS_NG!$C:$C,BS_NG!AL:AL),0)</f>
        <v>0</v>
      </c>
      <c r="AL57" s="261">
        <f>IF(AL$3&lt;=Summary!$C$2,_xlfn.XLOOKUP(NG!$B57,BS_NG!$C:$C,BS_NG!AM:AM),0)</f>
        <v>0</v>
      </c>
    </row>
    <row r="58" spans="2:40" x14ac:dyDescent="0.15">
      <c r="B58" s="259" t="s">
        <v>32</v>
      </c>
      <c r="C58" s="261">
        <f>IF(C$3&lt;=Summary!$C$2,_xlfn.XLOOKUP(NG!$B58,BS_NG!$C:$C,BS_NG!D:D),0)</f>
        <v>156264272.31999999</v>
      </c>
      <c r="D58" s="261">
        <f>IF(D$3&lt;=Summary!$C$2,_xlfn.XLOOKUP(NG!$B58,BS_NG!$C:$C,BS_NG!E:E),0)</f>
        <v>564863684.07000005</v>
      </c>
      <c r="E58" s="261">
        <f>IF(E$3&lt;=Summary!$C$2,_xlfn.XLOOKUP(NG!$B58,BS_NG!$C:$C,BS_NG!F:F),0)</f>
        <v>855022952.01999998</v>
      </c>
      <c r="F58" s="261">
        <f>IF(F$3&lt;=Summary!$C$2,_xlfn.XLOOKUP(NG!$B58,BS_NG!$C:$C,BS_NG!G:G),0)</f>
        <v>845955586.53999996</v>
      </c>
      <c r="G58" s="261">
        <f>IF(G$3&lt;=Summary!$C$2,_xlfn.XLOOKUP(NG!$B58,BS_NG!$C:$C,BS_NG!H:H),0)</f>
        <v>677613947.49000001</v>
      </c>
      <c r="H58" s="261">
        <f>IF(H$3&lt;=Summary!$C$2,_xlfn.XLOOKUP(NG!$B58,BS_NG!$C:$C,BS_NG!I:I),0)</f>
        <v>641845991.34000003</v>
      </c>
      <c r="I58" s="261">
        <f>IF(I$3&lt;=Summary!$C$2,_xlfn.XLOOKUP(NG!$B58,BS_NG!$C:$C,BS_NG!J:J),0)</f>
        <v>680846040.74000001</v>
      </c>
      <c r="J58" s="261">
        <f>IF(J$3&lt;=Summary!$C$2,_xlfn.XLOOKUP(NG!$B58,BS_NG!$C:$C,BS_NG!K:K),0)</f>
        <v>503058169.26999998</v>
      </c>
      <c r="K58" s="261">
        <f>IF(K$3&lt;=Summary!$C$2,_xlfn.XLOOKUP(NG!$B58,BS_NG!$C:$C,BS_NG!L:L),0)</f>
        <v>384273723.79000002</v>
      </c>
      <c r="L58" s="261">
        <f>IF(L$3&lt;=Summary!$C$2,_xlfn.XLOOKUP(NG!$B58,BS_NG!$C:$C,BS_NG!M:M),0)</f>
        <v>261318604.97</v>
      </c>
      <c r="M58" s="261">
        <f>IF(M$3&lt;=Summary!$C$2,_xlfn.XLOOKUP(NG!$B58,BS_NG!$C:$C,BS_NG!N:N),0)</f>
        <v>226024768.34999999</v>
      </c>
      <c r="N58" s="261">
        <f>IF(N$3&lt;=Summary!$C$2,_xlfn.XLOOKUP(NG!$B58,BS_NG!$C:$C,BS_NG!O:O),0)</f>
        <v>1302620817.1600001</v>
      </c>
      <c r="O58" s="261">
        <f>IF(O$3&lt;=Summary!$C$2,_xlfn.XLOOKUP(NG!$B58,BS_NG!$C:$C,BS_NG!P:P),0)</f>
        <v>1236827968.52</v>
      </c>
      <c r="P58" s="261">
        <f>IF(P$3&lt;=Summary!$C$2,_xlfn.XLOOKUP(NG!$B58,BS_NG!$C:$C,BS_NG!Q:Q),0)</f>
        <v>1273270111.49</v>
      </c>
      <c r="Q58" s="261">
        <f>IF(Q$3&lt;=Summary!$C$2,_xlfn.XLOOKUP(NG!$B58,BS_NG!$C:$C,BS_NG!R:R),0)</f>
        <v>518778937.31</v>
      </c>
      <c r="R58" s="261">
        <f>IF(R$3&lt;=Summary!$C$2,_xlfn.XLOOKUP(NG!$B58,BS_NG!$C:$C,BS_NG!S:S),0)</f>
        <v>438828428.83999997</v>
      </c>
      <c r="S58" s="261">
        <f>IF(S$3&lt;=Summary!$C$2,_xlfn.XLOOKUP(NG!$B58,BS_NG!$C:$C,BS_NG!T:T),0)</f>
        <v>490025471.18000001</v>
      </c>
      <c r="T58" s="261">
        <f>IF(T$3&lt;=Summary!$C$2,_xlfn.XLOOKUP(NG!$B58,BS_NG!$C:$C,BS_NG!U:U),0)</f>
        <v>83560599.980000004</v>
      </c>
      <c r="U58" s="261">
        <f>IF(U$3&lt;=Summary!$C$2,_xlfn.XLOOKUP(NG!$B58,BS_NG!$C:$C,BS_NG!V:V),0)</f>
        <v>85682880.909999996</v>
      </c>
      <c r="V58" s="261">
        <f>IF(V$3&lt;=Summary!$C$2,_xlfn.XLOOKUP(NG!$B58,BS_NG!$C:$C,BS_NG!W:W),0)</f>
        <v>132495694.84</v>
      </c>
      <c r="W58" s="261">
        <f>IF(W$3&lt;=Summary!$C$2,_xlfn.XLOOKUP(NG!$B58,BS_NG!$C:$C,BS_NG!X:X),0)</f>
        <v>145474271.58000001</v>
      </c>
      <c r="X58" s="261">
        <f>IF(X$3&lt;=Summary!$C$2,_xlfn.XLOOKUP(NG!$B58,BS_NG!$C:$C,BS_NG!Y:Y),0)</f>
        <v>175308641.75999999</v>
      </c>
      <c r="Y58" s="261">
        <f>IF(Y$3&lt;=Summary!$C$2,_xlfn.XLOOKUP(NG!$B58,BS_NG!$C:$C,BS_NG!Z:Z),0)</f>
        <v>172662378.19999999</v>
      </c>
      <c r="Z58" s="261">
        <f>IF(Z$3&lt;=Summary!$C$2,_xlfn.XLOOKUP(NG!$B58,BS_NG!$C:$C,BS_NG!AA:AA),0)</f>
        <v>215046153.13999999</v>
      </c>
      <c r="AA58" s="261">
        <f>IF(AA$3&lt;=Summary!$C$2,_xlfn.XLOOKUP(NG!$B58,BS_NG!$C:$C,BS_NG!AB:AB),0)</f>
        <v>470028366.91000003</v>
      </c>
      <c r="AB58" s="261">
        <f>IF(AB$3&lt;=Summary!$C$2,_xlfn.XLOOKUP(NG!$B58,BS_NG!$C:$C,BS_NG!AC:AC),0)</f>
        <v>738813643.82000005</v>
      </c>
      <c r="AC58" s="261">
        <f>IF(AC$3&lt;=Summary!$C$2,_xlfn.XLOOKUP(NG!$B58,BS_NG!$C:$C,BS_NG!AD:AD),0)</f>
        <v>701404828.05999994</v>
      </c>
      <c r="AD58" s="261">
        <f>IF(AD$3&lt;=Summary!$C$2,_xlfn.XLOOKUP(NG!$B58,BS_NG!$C:$C,BS_NG!AE:AE),0)</f>
        <v>573307915.97000003</v>
      </c>
      <c r="AE58" s="261">
        <f>IF(AE$3&lt;=Summary!$C$2,_xlfn.XLOOKUP(NG!$B58,BS_NG!$C:$C,BS_NG!AF:AF),0)</f>
        <v>0</v>
      </c>
      <c r="AF58" s="261">
        <f>IF(AF$3&lt;=Summary!$C$2,_xlfn.XLOOKUP(NG!$B58,BS_NG!$C:$C,BS_NG!AG:AG),0)</f>
        <v>0</v>
      </c>
      <c r="AG58" s="261">
        <f>IF(AG$3&lt;=Summary!$C$2,_xlfn.XLOOKUP(NG!$B58,BS_NG!$C:$C,BS_NG!AH:AH),0)</f>
        <v>0</v>
      </c>
      <c r="AH58" s="261">
        <f>IF(AH$3&lt;=Summary!$C$2,_xlfn.XLOOKUP(NG!$B58,BS_NG!$C:$C,BS_NG!AI:AI),0)</f>
        <v>0</v>
      </c>
      <c r="AI58" s="261">
        <f>IF(AI$3&lt;=Summary!$C$2,_xlfn.XLOOKUP(NG!$B58,BS_NG!$C:$C,BS_NG!AJ:AJ),0)</f>
        <v>0</v>
      </c>
      <c r="AJ58" s="261">
        <f>IF(AJ$3&lt;=Summary!$C$2,_xlfn.XLOOKUP(NG!$B58,BS_NG!$C:$C,BS_NG!AK:AK),0)</f>
        <v>0</v>
      </c>
      <c r="AK58" s="261">
        <f>IF(AK$3&lt;=Summary!$C$2,_xlfn.XLOOKUP(NG!$B58,BS_NG!$C:$C,BS_NG!AL:AL),0)</f>
        <v>0</v>
      </c>
      <c r="AL58" s="261">
        <f>IF(AL$3&lt;=Summary!$C$2,_xlfn.XLOOKUP(NG!$B58,BS_NG!$C:$C,BS_NG!AM:AM),0)</f>
        <v>0</v>
      </c>
    </row>
    <row r="59" spans="2:40" x14ac:dyDescent="0.15">
      <c r="B59" s="259" t="s">
        <v>34</v>
      </c>
      <c r="C59" s="261">
        <f>IF(C$3&lt;=Summary!$C$2,_xlfn.XLOOKUP(NG!$B59,BS_NG!$C:$C,BS_NG!D:D),0)</f>
        <v>94581089.150000006</v>
      </c>
      <c r="D59" s="261">
        <f>IF(D$3&lt;=Summary!$C$2,_xlfn.XLOOKUP(NG!$B59,BS_NG!$C:$C,BS_NG!E:E),0)</f>
        <v>94581089.150000006</v>
      </c>
      <c r="E59" s="261">
        <f>IF(E$3&lt;=Summary!$C$2,_xlfn.XLOOKUP(NG!$B59,BS_NG!$C:$C,BS_NG!F:F),0)</f>
        <v>94581089.150000006</v>
      </c>
      <c r="F59" s="261">
        <f>IF(F$3&lt;=Summary!$C$2,_xlfn.XLOOKUP(NG!$B59,BS_NG!$C:$C,BS_NG!G:G),0)</f>
        <v>94581089.150000006</v>
      </c>
      <c r="G59" s="261">
        <f>IF(G$3&lt;=Summary!$C$2,_xlfn.XLOOKUP(NG!$B59,BS_NG!$C:$C,BS_NG!H:H),0)</f>
        <v>94581089.150000006</v>
      </c>
      <c r="H59" s="261">
        <f>IF(H$3&lt;=Summary!$C$2,_xlfn.XLOOKUP(NG!$B59,BS_NG!$C:$C,BS_NG!I:I),0)</f>
        <v>94581089.150000006</v>
      </c>
      <c r="I59" s="261">
        <f>IF(I$3&lt;=Summary!$C$2,_xlfn.XLOOKUP(NG!$B59,BS_NG!$C:$C,BS_NG!J:J),0)</f>
        <v>94581089.150000006</v>
      </c>
      <c r="J59" s="261">
        <f>IF(J$3&lt;=Summary!$C$2,_xlfn.XLOOKUP(NG!$B59,BS_NG!$C:$C,BS_NG!K:K),0)</f>
        <v>94581089.150000006</v>
      </c>
      <c r="K59" s="261">
        <f>IF(K$3&lt;=Summary!$C$2,_xlfn.XLOOKUP(NG!$B59,BS_NG!$C:$C,BS_NG!L:L),0)</f>
        <v>94581089.150000006</v>
      </c>
      <c r="L59" s="261">
        <f>IF(L$3&lt;=Summary!$C$2,_xlfn.XLOOKUP(NG!$B59,BS_NG!$C:$C,BS_NG!M:M),0)</f>
        <v>94581089.150000006</v>
      </c>
      <c r="M59" s="261">
        <f>IF(M$3&lt;=Summary!$C$2,_xlfn.XLOOKUP(NG!$B59,BS_NG!$C:$C,BS_NG!N:N),0)</f>
        <v>94581089.150000006</v>
      </c>
      <c r="N59" s="261">
        <f>IF(N$3&lt;=Summary!$C$2,_xlfn.XLOOKUP(NG!$B59,BS_NG!$C:$C,BS_NG!O:O),0)</f>
        <v>94581089.150000006</v>
      </c>
      <c r="O59" s="261">
        <f>IF(O$3&lt;=Summary!$C$2,_xlfn.XLOOKUP(NG!$B59,BS_NG!$C:$C,BS_NG!P:P),0)</f>
        <v>94581089.150000006</v>
      </c>
      <c r="P59" s="261">
        <f>IF(P$3&lt;=Summary!$C$2,_xlfn.XLOOKUP(NG!$B59,BS_NG!$C:$C,BS_NG!Q:Q),0)</f>
        <v>94581089.150000006</v>
      </c>
      <c r="Q59" s="261">
        <f>IF(Q$3&lt;=Summary!$C$2,_xlfn.XLOOKUP(NG!$B59,BS_NG!$C:$C,BS_NG!R:R),0)</f>
        <v>87411677.140000001</v>
      </c>
      <c r="R59" s="261">
        <f>IF(R$3&lt;=Summary!$C$2,_xlfn.XLOOKUP(NG!$B59,BS_NG!$C:$C,BS_NG!S:S),0)</f>
        <v>78587785.299999997</v>
      </c>
      <c r="S59" s="261">
        <f>IF(S$3&lt;=Summary!$C$2,_xlfn.XLOOKUP(NG!$B59,BS_NG!$C:$C,BS_NG!T:T),0)</f>
        <v>71142626.680000007</v>
      </c>
      <c r="T59" s="261">
        <f>IF(T$3&lt;=Summary!$C$2,_xlfn.XLOOKUP(NG!$B59,BS_NG!$C:$C,BS_NG!U:U),0)</f>
        <v>71142626.680000007</v>
      </c>
      <c r="U59" s="261">
        <f>IF(U$3&lt;=Summary!$C$2,_xlfn.XLOOKUP(NG!$B59,BS_NG!$C:$C,BS_NG!V:V),0)</f>
        <v>56803802.659999996</v>
      </c>
      <c r="V59" s="261">
        <f>IF(V$3&lt;=Summary!$C$2,_xlfn.XLOOKUP(NG!$B59,BS_NG!$C:$C,BS_NG!W:W),0)</f>
        <v>56803802.659999996</v>
      </c>
      <c r="W59" s="261">
        <f>IF(W$3&lt;=Summary!$C$2,_xlfn.XLOOKUP(NG!$B59,BS_NG!$C:$C,BS_NG!X:X),0)</f>
        <v>55976562.82</v>
      </c>
      <c r="X59" s="261">
        <f>IF(X$3&lt;=Summary!$C$2,_xlfn.XLOOKUP(NG!$B59,BS_NG!$C:$C,BS_NG!Y:Y),0)</f>
        <v>55976562.82</v>
      </c>
      <c r="Y59" s="261">
        <f>IF(Y$3&lt;=Summary!$C$2,_xlfn.XLOOKUP(NG!$B59,BS_NG!$C:$C,BS_NG!Z:Z),0)</f>
        <v>55700816.210000001</v>
      </c>
      <c r="Z59" s="261">
        <f>IF(Z$3&lt;=Summary!$C$2,_xlfn.XLOOKUP(NG!$B59,BS_NG!$C:$C,BS_NG!AA:AA),0)</f>
        <v>55425069.600000001</v>
      </c>
      <c r="AA59" s="261">
        <f>IF(AA$3&lt;=Summary!$C$2,_xlfn.XLOOKUP(NG!$B59,BS_NG!$C:$C,BS_NG!AB:AB),0)</f>
        <v>54597829.740000002</v>
      </c>
      <c r="AB59" s="261">
        <f>IF(AB$3&lt;=Summary!$C$2,_xlfn.XLOOKUP(NG!$B59,BS_NG!$C:$C,BS_NG!AC:AC),0)</f>
        <v>46325431.140000001</v>
      </c>
      <c r="AC59" s="261">
        <f>IF(AC$3&lt;=Summary!$C$2,_xlfn.XLOOKUP(NG!$B59,BS_NG!$C:$C,BS_NG!AD:AD),0)</f>
        <v>46325431.140000001</v>
      </c>
      <c r="AD59" s="261">
        <f>IF(AD$3&lt;=Summary!$C$2,_xlfn.XLOOKUP(NG!$B59,BS_NG!$C:$C,BS_NG!AE:AE),0)</f>
        <v>45773937.899999999</v>
      </c>
      <c r="AE59" s="261">
        <f>IF(AE$3&lt;=Summary!$C$2,_xlfn.XLOOKUP(NG!$B59,BS_NG!$C:$C,BS_NG!AF:AF),0)</f>
        <v>0</v>
      </c>
      <c r="AF59" s="261">
        <f>IF(AF$3&lt;=Summary!$C$2,_xlfn.XLOOKUP(NG!$B59,BS_NG!$C:$C,BS_NG!AG:AG),0)</f>
        <v>0</v>
      </c>
      <c r="AG59" s="261">
        <f>IF(AG$3&lt;=Summary!$C$2,_xlfn.XLOOKUP(NG!$B59,BS_NG!$C:$C,BS_NG!AH:AH),0)</f>
        <v>0</v>
      </c>
      <c r="AH59" s="261">
        <f>IF(AH$3&lt;=Summary!$C$2,_xlfn.XLOOKUP(NG!$B59,BS_NG!$C:$C,BS_NG!AI:AI),0)</f>
        <v>0</v>
      </c>
      <c r="AI59" s="261">
        <f>IF(AI$3&lt;=Summary!$C$2,_xlfn.XLOOKUP(NG!$B59,BS_NG!$C:$C,BS_NG!AJ:AJ),0)</f>
        <v>0</v>
      </c>
      <c r="AJ59" s="261">
        <f>IF(AJ$3&lt;=Summary!$C$2,_xlfn.XLOOKUP(NG!$B59,BS_NG!$C:$C,BS_NG!AK:AK),0)</f>
        <v>0</v>
      </c>
      <c r="AK59" s="261">
        <f>IF(AK$3&lt;=Summary!$C$2,_xlfn.XLOOKUP(NG!$B59,BS_NG!$C:$C,BS_NG!AL:AL),0)</f>
        <v>0</v>
      </c>
      <c r="AL59" s="261">
        <f>IF(AL$3&lt;=Summary!$C$2,_xlfn.XLOOKUP(NG!$B59,BS_NG!$C:$C,BS_NG!AM:AM),0)</f>
        <v>0</v>
      </c>
    </row>
    <row r="60" spans="2:40" x14ac:dyDescent="0.15">
      <c r="B60" s="259" t="s">
        <v>36</v>
      </c>
      <c r="C60" s="261">
        <f>IF(C$3&lt;=Summary!$C$2,_xlfn.XLOOKUP(NG!$B60,BS_NG!$C:$C,BS_NG!D:D),0)</f>
        <v>22077178.57</v>
      </c>
      <c r="D60" s="261">
        <f>IF(D$3&lt;=Summary!$C$2,_xlfn.XLOOKUP(NG!$B60,BS_NG!$C:$C,BS_NG!E:E),0)</f>
        <v>74059779.980000004</v>
      </c>
      <c r="E60" s="261">
        <f>IF(E$3&lt;=Summary!$C$2,_xlfn.XLOOKUP(NG!$B60,BS_NG!$C:$C,BS_NG!F:F),0)</f>
        <v>38620600</v>
      </c>
      <c r="F60" s="261">
        <f>IF(F$3&lt;=Summary!$C$2,_xlfn.XLOOKUP(NG!$B60,BS_NG!$C:$C,BS_NG!G:G),0)</f>
        <v>40346674.019999996</v>
      </c>
      <c r="G60" s="261">
        <f>IF(G$3&lt;=Summary!$C$2,_xlfn.XLOOKUP(NG!$B60,BS_NG!$C:$C,BS_NG!H:H),0)</f>
        <v>65250460.870000005</v>
      </c>
      <c r="H60" s="261">
        <f>IF(H$3&lt;=Summary!$C$2,_xlfn.XLOOKUP(NG!$B60,BS_NG!$C:$C,BS_NG!I:I),0)</f>
        <v>83092593.340000004</v>
      </c>
      <c r="I60" s="261">
        <f>IF(I$3&lt;=Summary!$C$2,_xlfn.XLOOKUP(NG!$B60,BS_NG!$C:$C,BS_NG!J:J),0)</f>
        <v>80098873.020000011</v>
      </c>
      <c r="J60" s="261">
        <f>IF(J$3&lt;=Summary!$C$2,_xlfn.XLOOKUP(NG!$B60,BS_NG!$C:$C,BS_NG!K:K),0)</f>
        <v>68906334.479999989</v>
      </c>
      <c r="K60" s="261">
        <f>IF(K$3&lt;=Summary!$C$2,_xlfn.XLOOKUP(NG!$B60,BS_NG!$C:$C,BS_NG!L:L),0)</f>
        <v>72906301.239999995</v>
      </c>
      <c r="L60" s="261">
        <f>IF(L$3&lt;=Summary!$C$2,_xlfn.XLOOKUP(NG!$B60,BS_NG!$C:$C,BS_NG!M:M),0)</f>
        <v>128515117.81999999</v>
      </c>
      <c r="M60" s="261">
        <f>IF(M$3&lt;=Summary!$C$2,_xlfn.XLOOKUP(NG!$B60,BS_NG!$C:$C,BS_NG!N:N),0)</f>
        <v>97518942.980000004</v>
      </c>
      <c r="N60" s="261">
        <f>IF(N$3&lt;=Summary!$C$2,_xlfn.XLOOKUP(NG!$B60,BS_NG!$C:$C,BS_NG!O:O),0)</f>
        <v>92286504.24000001</v>
      </c>
      <c r="O60" s="261">
        <f>IF(O$3&lt;=Summary!$C$2,_xlfn.XLOOKUP(NG!$B60,BS_NG!$C:$C,BS_NG!P:P),0)</f>
        <v>96661499.069999993</v>
      </c>
      <c r="P60" s="261">
        <f>IF(P$3&lt;=Summary!$C$2,_xlfn.XLOOKUP(NG!$B60,BS_NG!$C:$C,BS_NG!Q:Q),0)</f>
        <v>111009538.81</v>
      </c>
      <c r="Q60" s="261">
        <f>IF(Q$3&lt;=Summary!$C$2,_xlfn.XLOOKUP(NG!$B60,BS_NG!$C:$C,BS_NG!R:R),0)</f>
        <v>92711271.519999996</v>
      </c>
      <c r="R60" s="261">
        <f>IF(R$3&lt;=Summary!$C$2,_xlfn.XLOOKUP(NG!$B60,BS_NG!$C:$C,BS_NG!S:S),0)</f>
        <v>80427567.730000004</v>
      </c>
      <c r="S60" s="261">
        <f>IF(S$3&lt;=Summary!$C$2,_xlfn.XLOOKUP(NG!$B60,BS_NG!$C:$C,BS_NG!T:T),0)</f>
        <v>85238326.689999998</v>
      </c>
      <c r="T60" s="261">
        <f>IF(T$3&lt;=Summary!$C$2,_xlfn.XLOOKUP(NG!$B60,BS_NG!$C:$C,BS_NG!U:U),0)</f>
        <v>83813368.329999998</v>
      </c>
      <c r="U60" s="261">
        <f>IF(U$3&lt;=Summary!$C$2,_xlfn.XLOOKUP(NG!$B60,BS_NG!$C:$C,BS_NG!V:V),0)</f>
        <v>90286615.460000008</v>
      </c>
      <c r="V60" s="261">
        <f>IF(V$3&lt;=Summary!$C$2,_xlfn.XLOOKUP(NG!$B60,BS_NG!$C:$C,BS_NG!W:W),0)</f>
        <v>128478380.66</v>
      </c>
      <c r="W60" s="261">
        <f>IF(W$3&lt;=Summary!$C$2,_xlfn.XLOOKUP(NG!$B60,BS_NG!$C:$C,BS_NG!X:X),0)</f>
        <v>300882836.85999995</v>
      </c>
      <c r="X60" s="261">
        <f>IF(X$3&lt;=Summary!$C$2,_xlfn.XLOOKUP(NG!$B60,BS_NG!$C:$C,BS_NG!Y:Y),0)</f>
        <v>283322323.79000002</v>
      </c>
      <c r="Y60" s="261">
        <f>IF(Y$3&lt;=Summary!$C$2,_xlfn.XLOOKUP(NG!$B60,BS_NG!$C:$C,BS_NG!Z:Z),0)</f>
        <v>262186975.47</v>
      </c>
      <c r="Z60" s="261">
        <f>IF(Z$3&lt;=Summary!$C$2,_xlfn.XLOOKUP(NG!$B60,BS_NG!$C:$C,BS_NG!AA:AA),0)</f>
        <v>340935812.06000006</v>
      </c>
      <c r="AA60" s="261">
        <f>IF(AA$3&lt;=Summary!$C$2,_xlfn.XLOOKUP(NG!$B60,BS_NG!$C:$C,BS_NG!AB:AB),0)</f>
        <v>303347719.44</v>
      </c>
      <c r="AB60" s="261">
        <f>IF(AB$3&lt;=Summary!$C$2,_xlfn.XLOOKUP(NG!$B60,BS_NG!$C:$C,BS_NG!AC:AC),0)</f>
        <v>263915070.06999999</v>
      </c>
      <c r="AC60" s="261">
        <f>IF(AC$3&lt;=Summary!$C$2,_xlfn.XLOOKUP(NG!$B60,BS_NG!$C:$C,BS_NG!AD:AD),0)</f>
        <v>253352842.29000002</v>
      </c>
      <c r="AD60" s="261">
        <f>IF(AD$3&lt;=Summary!$C$2,_xlfn.XLOOKUP(NG!$B60,BS_NG!$C:$C,BS_NG!AE:AE),0)</f>
        <v>218955544.52999997</v>
      </c>
      <c r="AE60" s="261">
        <f>IF(AE$3&lt;=Summary!$C$2,_xlfn.XLOOKUP(NG!$B60,BS_NG!$C:$C,BS_NG!AF:AF),0)</f>
        <v>0</v>
      </c>
      <c r="AF60" s="261">
        <f>IF(AF$3&lt;=Summary!$C$2,_xlfn.XLOOKUP(NG!$B60,BS_NG!$C:$C,BS_NG!AG:AG),0)</f>
        <v>0</v>
      </c>
      <c r="AG60" s="261">
        <f>IF(AG$3&lt;=Summary!$C$2,_xlfn.XLOOKUP(NG!$B60,BS_NG!$C:$C,BS_NG!AH:AH),0)</f>
        <v>0</v>
      </c>
      <c r="AH60" s="261">
        <f>IF(AH$3&lt;=Summary!$C$2,_xlfn.XLOOKUP(NG!$B60,BS_NG!$C:$C,BS_NG!AI:AI),0)</f>
        <v>0</v>
      </c>
      <c r="AI60" s="261">
        <f>IF(AI$3&lt;=Summary!$C$2,_xlfn.XLOOKUP(NG!$B60,BS_NG!$C:$C,BS_NG!AJ:AJ),0)</f>
        <v>0</v>
      </c>
      <c r="AJ60" s="261">
        <f>IF(AJ$3&lt;=Summary!$C$2,_xlfn.XLOOKUP(NG!$B60,BS_NG!$C:$C,BS_NG!AK:AK),0)</f>
        <v>0</v>
      </c>
      <c r="AK60" s="261">
        <f>IF(AK$3&lt;=Summary!$C$2,_xlfn.XLOOKUP(NG!$B60,BS_NG!$C:$C,BS_NG!AL:AL),0)</f>
        <v>0</v>
      </c>
      <c r="AL60" s="261">
        <f>IF(AL$3&lt;=Summary!$C$2,_xlfn.XLOOKUP(NG!$B60,BS_NG!$C:$C,BS_NG!AM:AM),0)</f>
        <v>0</v>
      </c>
    </row>
    <row r="61" spans="2:40" x14ac:dyDescent="0.15">
      <c r="B61" s="259" t="s">
        <v>38</v>
      </c>
      <c r="C61" s="261">
        <f>IF(C$3&lt;=Summary!$C$2,_xlfn.XLOOKUP(NG!$B61,BS_NG!$C:$C,BS_NG!D:D),0)</f>
        <v>12611003.77</v>
      </c>
      <c r="D61" s="261">
        <f>IF(D$3&lt;=Summary!$C$2,_xlfn.XLOOKUP(NG!$B61,BS_NG!$C:$C,BS_NG!E:E),0)</f>
        <v>14833353.77</v>
      </c>
      <c r="E61" s="261">
        <f>IF(E$3&lt;=Summary!$C$2,_xlfn.XLOOKUP(NG!$B61,BS_NG!$C:$C,BS_NG!F:F),0)</f>
        <v>12888438.77</v>
      </c>
      <c r="F61" s="261">
        <f>IF(F$3&lt;=Summary!$C$2,_xlfn.XLOOKUP(NG!$B61,BS_NG!$C:$C,BS_NG!G:G),0)</f>
        <v>13837454.84</v>
      </c>
      <c r="G61" s="261">
        <f>IF(G$3&lt;=Summary!$C$2,_xlfn.XLOOKUP(NG!$B61,BS_NG!$C:$C,BS_NG!H:H),0)</f>
        <v>27468684.670000002</v>
      </c>
      <c r="H61" s="261">
        <f>IF(H$3&lt;=Summary!$C$2,_xlfn.XLOOKUP(NG!$B61,BS_NG!$C:$C,BS_NG!I:I),0)</f>
        <v>3572489.35</v>
      </c>
      <c r="I61" s="261">
        <f>IF(I$3&lt;=Summary!$C$2,_xlfn.XLOOKUP(NG!$B61,BS_NG!$C:$C,BS_NG!J:J),0)</f>
        <v>4016143.03</v>
      </c>
      <c r="J61" s="261">
        <f>IF(J$3&lt;=Summary!$C$2,_xlfn.XLOOKUP(NG!$B61,BS_NG!$C:$C,BS_NG!K:K),0)</f>
        <v>7014445</v>
      </c>
      <c r="K61" s="261">
        <f>IF(K$3&lt;=Summary!$C$2,_xlfn.XLOOKUP(NG!$B61,BS_NG!$C:$C,BS_NG!L:L),0)</f>
        <v>345714.9</v>
      </c>
      <c r="L61" s="261">
        <f>IF(L$3&lt;=Summary!$C$2,_xlfn.XLOOKUP(NG!$B61,BS_NG!$C:$C,BS_NG!M:M),0)</f>
        <v>9045220.8300000001</v>
      </c>
      <c r="M61" s="261">
        <f>IF(M$3&lt;=Summary!$C$2,_xlfn.XLOOKUP(NG!$B61,BS_NG!$C:$C,BS_NG!N:N),0)</f>
        <v>794390.73</v>
      </c>
      <c r="N61" s="261">
        <f>IF(N$3&lt;=Summary!$C$2,_xlfn.XLOOKUP(NG!$B61,BS_NG!$C:$C,BS_NG!O:O),0)</f>
        <v>3260413.51</v>
      </c>
      <c r="O61" s="261">
        <f>IF(O$3&lt;=Summary!$C$2,_xlfn.XLOOKUP(NG!$B61,BS_NG!$C:$C,BS_NG!P:P),0)</f>
        <v>3311256.75</v>
      </c>
      <c r="P61" s="261">
        <f>IF(P$3&lt;=Summary!$C$2,_xlfn.XLOOKUP(NG!$B61,BS_NG!$C:$C,BS_NG!Q:Q),0)</f>
        <v>5951146</v>
      </c>
      <c r="Q61" s="261">
        <f>IF(Q$3&lt;=Summary!$C$2,_xlfn.XLOOKUP(NG!$B61,BS_NG!$C:$C,BS_NG!R:R),0)</f>
        <v>2977547.19</v>
      </c>
      <c r="R61" s="261">
        <f>IF(R$3&lt;=Summary!$C$2,_xlfn.XLOOKUP(NG!$B61,BS_NG!$C:$C,BS_NG!S:S),0)</f>
        <v>3125317.18</v>
      </c>
      <c r="S61" s="261">
        <f>IF(S$3&lt;=Summary!$C$2,_xlfn.XLOOKUP(NG!$B61,BS_NG!$C:$C,BS_NG!T:T),0)</f>
        <v>6571230.6799999997</v>
      </c>
      <c r="T61" s="261">
        <f>IF(T$3&lt;=Summary!$C$2,_xlfn.XLOOKUP(NG!$B61,BS_NG!$C:$C,BS_NG!U:U),0)</f>
        <v>3137992</v>
      </c>
      <c r="U61" s="261">
        <f>IF(U$3&lt;=Summary!$C$2,_xlfn.XLOOKUP(NG!$B61,BS_NG!$C:$C,BS_NG!V:V),0)</f>
        <v>5480720.5099999998</v>
      </c>
      <c r="V61" s="261">
        <f>IF(V$3&lt;=Summary!$C$2,_xlfn.XLOOKUP(NG!$B61,BS_NG!$C:$C,BS_NG!W:W),0)</f>
        <v>2548373.09</v>
      </c>
      <c r="W61" s="261">
        <f>IF(W$3&lt;=Summary!$C$2,_xlfn.XLOOKUP(NG!$B61,BS_NG!$C:$C,BS_NG!X:X),0)</f>
        <v>210000</v>
      </c>
      <c r="X61" s="261">
        <f>IF(X$3&lt;=Summary!$C$2,_xlfn.XLOOKUP(NG!$B61,BS_NG!$C:$C,BS_NG!Y:Y),0)</f>
        <v>2499043.81</v>
      </c>
      <c r="Y61" s="261">
        <f>IF(Y$3&lt;=Summary!$C$2,_xlfn.XLOOKUP(NG!$B61,BS_NG!$C:$C,BS_NG!Z:Z),0)</f>
        <v>18152149.399999999</v>
      </c>
      <c r="Z61" s="261">
        <f>IF(Z$3&lt;=Summary!$C$2,_xlfn.XLOOKUP(NG!$B61,BS_NG!$C:$C,BS_NG!AA:AA),0)</f>
        <v>402004.23</v>
      </c>
      <c r="AA61" s="261">
        <f>IF(AA$3&lt;=Summary!$C$2,_xlfn.XLOOKUP(NG!$B61,BS_NG!$C:$C,BS_NG!AB:AB),0)</f>
        <v>732616.21</v>
      </c>
      <c r="AB61" s="261">
        <f>IF(AB$3&lt;=Summary!$C$2,_xlfn.XLOOKUP(NG!$B61,BS_NG!$C:$C,BS_NG!AC:AC),0)</f>
        <v>4418410.5</v>
      </c>
      <c r="AC61" s="261">
        <f>IF(AC$3&lt;=Summary!$C$2,_xlfn.XLOOKUP(NG!$B61,BS_NG!$C:$C,BS_NG!AD:AD),0)</f>
        <v>1737292.6</v>
      </c>
      <c r="AD61" s="261">
        <f>IF(AD$3&lt;=Summary!$C$2,_xlfn.XLOOKUP(NG!$B61,BS_NG!$C:$C,BS_NG!AE:AE),0)</f>
        <v>7688792.6900000004</v>
      </c>
      <c r="AE61" s="261">
        <f>IF(AE$3&lt;=Summary!$C$2,_xlfn.XLOOKUP(NG!$B61,BS_NG!$C:$C,BS_NG!AF:AF),0)</f>
        <v>0</v>
      </c>
      <c r="AF61" s="261">
        <f>IF(AF$3&lt;=Summary!$C$2,_xlfn.XLOOKUP(NG!$B61,BS_NG!$C:$C,BS_NG!AG:AG),0)</f>
        <v>0</v>
      </c>
      <c r="AG61" s="261">
        <f>IF(AG$3&lt;=Summary!$C$2,_xlfn.XLOOKUP(NG!$B61,BS_NG!$C:$C,BS_NG!AH:AH),0)</f>
        <v>0</v>
      </c>
      <c r="AH61" s="261">
        <f>IF(AH$3&lt;=Summary!$C$2,_xlfn.XLOOKUP(NG!$B61,BS_NG!$C:$C,BS_NG!AI:AI),0)</f>
        <v>0</v>
      </c>
      <c r="AI61" s="261">
        <f>IF(AI$3&lt;=Summary!$C$2,_xlfn.XLOOKUP(NG!$B61,BS_NG!$C:$C,BS_NG!AJ:AJ),0)</f>
        <v>0</v>
      </c>
      <c r="AJ61" s="261">
        <f>IF(AJ$3&lt;=Summary!$C$2,_xlfn.XLOOKUP(NG!$B61,BS_NG!$C:$C,BS_NG!AK:AK),0)</f>
        <v>0</v>
      </c>
      <c r="AK61" s="261">
        <f>IF(AK$3&lt;=Summary!$C$2,_xlfn.XLOOKUP(NG!$B61,BS_NG!$C:$C,BS_NG!AL:AL),0)</f>
        <v>0</v>
      </c>
      <c r="AL61" s="261">
        <f>IF(AL$3&lt;=Summary!$C$2,_xlfn.XLOOKUP(NG!$B61,BS_NG!$C:$C,BS_NG!AM:AM),0)</f>
        <v>0</v>
      </c>
    </row>
    <row r="62" spans="2:40" x14ac:dyDescent="0.15">
      <c r="B62" s="259" t="s">
        <v>40</v>
      </c>
      <c r="C62" s="261">
        <f>IF(C$3&lt;=Summary!$C$2,_xlfn.XLOOKUP(NG!$B62,BS_NG!$C:$C,BS_NG!D:D),0)</f>
        <v>502395863.79999995</v>
      </c>
      <c r="D62" s="261">
        <f>IF(D$3&lt;=Summary!$C$2,_xlfn.XLOOKUP(NG!$B62,BS_NG!$C:$C,BS_NG!E:E),0)</f>
        <v>518878438.23000002</v>
      </c>
      <c r="E62" s="261">
        <f>IF(E$3&lt;=Summary!$C$2,_xlfn.XLOOKUP(NG!$B62,BS_NG!$C:$C,BS_NG!F:F),0)</f>
        <v>586054443.81000006</v>
      </c>
      <c r="F62" s="261">
        <f>IF(F$3&lt;=Summary!$C$2,_xlfn.XLOOKUP(NG!$B62,BS_NG!$C:$C,BS_NG!G:G),0)</f>
        <v>675002267.11000001</v>
      </c>
      <c r="G62" s="261">
        <f>IF(G$3&lt;=Summary!$C$2,_xlfn.XLOOKUP(NG!$B62,BS_NG!$C:$C,BS_NG!H:H),0)</f>
        <v>719457772.25999999</v>
      </c>
      <c r="H62" s="261">
        <f>IF(H$3&lt;=Summary!$C$2,_xlfn.XLOOKUP(NG!$B62,BS_NG!$C:$C,BS_NG!I:I),0)</f>
        <v>716061987.92000008</v>
      </c>
      <c r="I62" s="261">
        <f>IF(I$3&lt;=Summary!$C$2,_xlfn.XLOOKUP(NG!$B62,BS_NG!$C:$C,BS_NG!J:J),0)</f>
        <v>718395515.28999996</v>
      </c>
      <c r="J62" s="261">
        <f>IF(J$3&lt;=Summary!$C$2,_xlfn.XLOOKUP(NG!$B62,BS_NG!$C:$C,BS_NG!K:K),0)</f>
        <v>760653316.64999998</v>
      </c>
      <c r="K62" s="261">
        <f>IF(K$3&lt;=Summary!$C$2,_xlfn.XLOOKUP(NG!$B62,BS_NG!$C:$C,BS_NG!L:L),0)</f>
        <v>747026913.75999999</v>
      </c>
      <c r="L62" s="261">
        <f>IF(L$3&lt;=Summary!$C$2,_xlfn.XLOOKUP(NG!$B62,BS_NG!$C:$C,BS_NG!M:M),0)</f>
        <v>773475604.94000006</v>
      </c>
      <c r="M62" s="261">
        <f>IF(M$3&lt;=Summary!$C$2,_xlfn.XLOOKUP(NG!$B62,BS_NG!$C:$C,BS_NG!N:N),0)</f>
        <v>789124418.83000004</v>
      </c>
      <c r="N62" s="261">
        <f>IF(N$3&lt;=Summary!$C$2,_xlfn.XLOOKUP(NG!$B62,BS_NG!$C:$C,BS_NG!O:O),0)</f>
        <v>800499536.00999999</v>
      </c>
      <c r="O62" s="261">
        <f>IF(O$3&lt;=Summary!$C$2,_xlfn.XLOOKUP(NG!$B62,BS_NG!$C:$C,BS_NG!P:P),0)</f>
        <v>830907247.24000001</v>
      </c>
      <c r="P62" s="261">
        <f>IF(P$3&lt;=Summary!$C$2,_xlfn.XLOOKUP(NG!$B62,BS_NG!$C:$C,BS_NG!Q:Q),0)</f>
        <v>827473630.24000001</v>
      </c>
      <c r="Q62" s="261">
        <f>IF(Q$3&lt;=Summary!$C$2,_xlfn.XLOOKUP(NG!$B62,BS_NG!$C:$C,BS_NG!R:R),0)</f>
        <v>913024701.74000001</v>
      </c>
      <c r="R62" s="261">
        <f>IF(R$3&lt;=Summary!$C$2,_xlfn.XLOOKUP(NG!$B62,BS_NG!$C:$C,BS_NG!S:S),0)</f>
        <v>916745789.49000001</v>
      </c>
      <c r="S62" s="261">
        <f>IF(S$3&lt;=Summary!$C$2,_xlfn.XLOOKUP(NG!$B62,BS_NG!$C:$C,BS_NG!T:T),0)</f>
        <v>931712721.87</v>
      </c>
      <c r="T62" s="261">
        <f>IF(T$3&lt;=Summary!$C$2,_xlfn.XLOOKUP(NG!$B62,BS_NG!$C:$C,BS_NG!U:U),0)</f>
        <v>974298208.76999998</v>
      </c>
      <c r="U62" s="261">
        <f>IF(U$3&lt;=Summary!$C$2,_xlfn.XLOOKUP(NG!$B62,BS_NG!$C:$C,BS_NG!V:V),0)</f>
        <v>978431175.82999992</v>
      </c>
      <c r="V62" s="261">
        <f>IF(V$3&lt;=Summary!$C$2,_xlfn.XLOOKUP(NG!$B62,BS_NG!$C:$C,BS_NG!W:W),0)</f>
        <v>954716808.99000001</v>
      </c>
      <c r="W62" s="261">
        <f>IF(W$3&lt;=Summary!$C$2,_xlfn.XLOOKUP(NG!$B62,BS_NG!$C:$C,BS_NG!X:X),0)</f>
        <v>952831366.5</v>
      </c>
      <c r="X62" s="261">
        <f>IF(X$3&lt;=Summary!$C$2,_xlfn.XLOOKUP(NG!$B62,BS_NG!$C:$C,BS_NG!Y:Y),0)</f>
        <v>952531594.02999997</v>
      </c>
      <c r="Y62" s="261">
        <f>IF(Y$3&lt;=Summary!$C$2,_xlfn.XLOOKUP(NG!$B62,BS_NG!$C:$C,BS_NG!Z:Z),0)</f>
        <v>962210387.7700001</v>
      </c>
      <c r="Z62" s="261">
        <f>IF(Z$3&lt;=Summary!$C$2,_xlfn.XLOOKUP(NG!$B62,BS_NG!$C:$C,BS_NG!AA:AA),0)</f>
        <v>564583490.31999993</v>
      </c>
      <c r="AA62" s="261">
        <f>IF(AA$3&lt;=Summary!$C$2,_xlfn.XLOOKUP(NG!$B62,BS_NG!$C:$C,BS_NG!AB:AB),0)</f>
        <v>561739381.40999997</v>
      </c>
      <c r="AB62" s="261">
        <f>IF(AB$3&lt;=Summary!$C$2,_xlfn.XLOOKUP(NG!$B62,BS_NG!$C:$C,BS_NG!AC:AC),0)</f>
        <v>564530732.63999999</v>
      </c>
      <c r="AC62" s="261">
        <f>IF(AC$3&lt;=Summary!$C$2,_xlfn.XLOOKUP(NG!$B62,BS_NG!$C:$C,BS_NG!AD:AD),0)</f>
        <v>569796417.75999999</v>
      </c>
      <c r="AD62" s="261">
        <f>IF(AD$3&lt;=Summary!$C$2,_xlfn.XLOOKUP(NG!$B62,BS_NG!$C:$C,BS_NG!AE:AE),0)</f>
        <v>572284631.25</v>
      </c>
      <c r="AE62" s="261">
        <f>IF(AE$3&lt;=Summary!$C$2,_xlfn.XLOOKUP(NG!$B62,BS_NG!$C:$C,BS_NG!AF:AF),0)</f>
        <v>0</v>
      </c>
      <c r="AF62" s="261">
        <f>IF(AF$3&lt;=Summary!$C$2,_xlfn.XLOOKUP(NG!$B62,BS_NG!$C:$C,BS_NG!AG:AG),0)</f>
        <v>0</v>
      </c>
      <c r="AG62" s="261">
        <f>IF(AG$3&lt;=Summary!$C$2,_xlfn.XLOOKUP(NG!$B62,BS_NG!$C:$C,BS_NG!AH:AH),0)</f>
        <v>0</v>
      </c>
      <c r="AH62" s="261">
        <f>IF(AH$3&lt;=Summary!$C$2,_xlfn.XLOOKUP(NG!$B62,BS_NG!$C:$C,BS_NG!AI:AI),0)</f>
        <v>0</v>
      </c>
      <c r="AI62" s="261">
        <f>IF(AI$3&lt;=Summary!$C$2,_xlfn.XLOOKUP(NG!$B62,BS_NG!$C:$C,BS_NG!AJ:AJ),0)</f>
        <v>0</v>
      </c>
      <c r="AJ62" s="261">
        <f>IF(AJ$3&lt;=Summary!$C$2,_xlfn.XLOOKUP(NG!$B62,BS_NG!$C:$C,BS_NG!AK:AK),0)</f>
        <v>0</v>
      </c>
      <c r="AK62" s="261">
        <f>IF(AK$3&lt;=Summary!$C$2,_xlfn.XLOOKUP(NG!$B62,BS_NG!$C:$C,BS_NG!AL:AL),0)</f>
        <v>0</v>
      </c>
      <c r="AL62" s="261">
        <f>IF(AL$3&lt;=Summary!$C$2,_xlfn.XLOOKUP(NG!$B62,BS_NG!$C:$C,BS_NG!AM:AM),0)</f>
        <v>0</v>
      </c>
    </row>
    <row r="63" spans="2:40" x14ac:dyDescent="0.15">
      <c r="B63" s="259" t="s">
        <v>42</v>
      </c>
      <c r="C63" s="261">
        <f>IF(C$3&lt;=Summary!$C$2,_xlfn.XLOOKUP(NG!$B63,BS_NG!$C:$C,BS_NG!D:D),0)</f>
        <v>-223229333.73000002</v>
      </c>
      <c r="D63" s="261">
        <f>IF(D$3&lt;=Summary!$C$2,_xlfn.XLOOKUP(NG!$B63,BS_NG!$C:$C,BS_NG!E:E),0)</f>
        <v>-237971707.19999999</v>
      </c>
      <c r="E63" s="261">
        <f>IF(E$3&lt;=Summary!$C$2,_xlfn.XLOOKUP(NG!$B63,BS_NG!$C:$C,BS_NG!F:F),0)</f>
        <v>-247148013.91000006</v>
      </c>
      <c r="F63" s="261">
        <f>IF(F$3&lt;=Summary!$C$2,_xlfn.XLOOKUP(NG!$B63,BS_NG!$C:$C,BS_NG!G:G),0)</f>
        <v>-235679259.72999999</v>
      </c>
      <c r="G63" s="261">
        <f>IF(G$3&lt;=Summary!$C$2,_xlfn.XLOOKUP(NG!$B63,BS_NG!$C:$C,BS_NG!H:H),0)</f>
        <v>-225560473.58999997</v>
      </c>
      <c r="H63" s="261">
        <f>IF(H$3&lt;=Summary!$C$2,_xlfn.XLOOKUP(NG!$B63,BS_NG!$C:$C,BS_NG!I:I),0)</f>
        <v>-220436906.86999997</v>
      </c>
      <c r="I63" s="261">
        <f>IF(I$3&lt;=Summary!$C$2,_xlfn.XLOOKUP(NG!$B63,BS_NG!$C:$C,BS_NG!J:J),0)</f>
        <v>-201354787.86999997</v>
      </c>
      <c r="J63" s="261">
        <f>IF(J$3&lt;=Summary!$C$2,_xlfn.XLOOKUP(NG!$B63,BS_NG!$C:$C,BS_NG!K:K),0)</f>
        <v>-203359045.60000002</v>
      </c>
      <c r="K63" s="261">
        <f>IF(K$3&lt;=Summary!$C$2,_xlfn.XLOOKUP(NG!$B63,BS_NG!$C:$C,BS_NG!L:L),0)</f>
        <v>-162299774.25000003</v>
      </c>
      <c r="L63" s="261">
        <f>IF(L$3&lt;=Summary!$C$2,_xlfn.XLOOKUP(NG!$B63,BS_NG!$C:$C,BS_NG!M:M),0)</f>
        <v>-147468831.05000001</v>
      </c>
      <c r="M63" s="261">
        <f>IF(M$3&lt;=Summary!$C$2,_xlfn.XLOOKUP(NG!$B63,BS_NG!$C:$C,BS_NG!N:N),0)</f>
        <v>-233599626.43999997</v>
      </c>
      <c r="N63" s="261">
        <f>IF(N$3&lt;=Summary!$C$2,_xlfn.XLOOKUP(NG!$B63,BS_NG!$C:$C,BS_NG!O:O),0)</f>
        <v>-686020461.24000001</v>
      </c>
      <c r="O63" s="261">
        <f>IF(O$3&lt;=Summary!$C$2,_xlfn.XLOOKUP(NG!$B63,BS_NG!$C:$C,BS_NG!P:P),0)</f>
        <v>-680922844.75999999</v>
      </c>
      <c r="P63" s="261">
        <f>IF(P$3&lt;=Summary!$C$2,_xlfn.XLOOKUP(NG!$B63,BS_NG!$C:$C,BS_NG!Q:Q),0)</f>
        <v>-631109515.26000011</v>
      </c>
      <c r="Q63" s="261">
        <f>IF(Q$3&lt;=Summary!$C$2,_xlfn.XLOOKUP(NG!$B63,BS_NG!$C:$C,BS_NG!R:R),0)</f>
        <v>-626234866.28000009</v>
      </c>
      <c r="R63" s="261">
        <f>IF(R$3&lt;=Summary!$C$2,_xlfn.XLOOKUP(NG!$B63,BS_NG!$C:$C,BS_NG!S:S),0)</f>
        <v>-621685155.61000013</v>
      </c>
      <c r="S63" s="261">
        <f>IF(S$3&lt;=Summary!$C$2,_xlfn.XLOOKUP(NG!$B63,BS_NG!$C:$C,BS_NG!T:T),0)</f>
        <v>-617073935.08000016</v>
      </c>
      <c r="T63" s="261">
        <f>IF(T$3&lt;=Summary!$C$2,_xlfn.XLOOKUP(NG!$B63,BS_NG!$C:$C,BS_NG!U:U),0)</f>
        <v>-612165829.42000008</v>
      </c>
      <c r="U63" s="261">
        <f>IF(U$3&lt;=Summary!$C$2,_xlfn.XLOOKUP(NG!$B63,BS_NG!$C:$C,BS_NG!V:V),0)</f>
        <v>-607600104.93000007</v>
      </c>
      <c r="V63" s="261">
        <f>IF(V$3&lt;=Summary!$C$2,_xlfn.XLOOKUP(NG!$B63,BS_NG!$C:$C,BS_NG!W:W),0)</f>
        <v>-604610433.31000006</v>
      </c>
      <c r="W63" s="261">
        <f>IF(W$3&lt;=Summary!$C$2,_xlfn.XLOOKUP(NG!$B63,BS_NG!$C:$C,BS_NG!X:X),0)</f>
        <v>-630492702.65999997</v>
      </c>
      <c r="X63" s="261">
        <f>IF(X$3&lt;=Summary!$C$2,_xlfn.XLOOKUP(NG!$B63,BS_NG!$C:$C,BS_NG!Y:Y),0)</f>
        <v>-611847505.01000011</v>
      </c>
      <c r="Y63" s="261">
        <f>IF(Y$3&lt;=Summary!$C$2,_xlfn.XLOOKUP(NG!$B63,BS_NG!$C:$C,BS_NG!Z:Z),0)</f>
        <v>-607893006.83000004</v>
      </c>
      <c r="Z63" s="261">
        <f>IF(Z$3&lt;=Summary!$C$2,_xlfn.XLOOKUP(NG!$B63,BS_NG!$C:$C,BS_NG!AA:AA),0)</f>
        <v>-1184527506.54</v>
      </c>
      <c r="AA63" s="261">
        <f>IF(AA$3&lt;=Summary!$C$2,_xlfn.XLOOKUP(NG!$B63,BS_NG!$C:$C,BS_NG!AB:AB),0)</f>
        <v>-1157457828.8099999</v>
      </c>
      <c r="AB63" s="261">
        <f>IF(AB$3&lt;=Summary!$C$2,_xlfn.XLOOKUP(NG!$B63,BS_NG!$C:$C,BS_NG!AC:AC),0)</f>
        <v>-1135126830.0299997</v>
      </c>
      <c r="AC63" s="261">
        <f>IF(AC$3&lt;=Summary!$C$2,_xlfn.XLOOKUP(NG!$B63,BS_NG!$C:$C,BS_NG!AD:AD),0)</f>
        <v>-1109715539.78</v>
      </c>
      <c r="AD63" s="261">
        <f>IF(AD$3&lt;=Summary!$C$2,_xlfn.XLOOKUP(NG!$B63,BS_NG!$C:$C,BS_NG!AE:AE),0)</f>
        <v>-1089905843.3899999</v>
      </c>
      <c r="AE63" s="261">
        <f>IF(AE$3&lt;=Summary!$C$2,_xlfn.XLOOKUP(NG!$B63,BS_NG!$C:$C,BS_NG!AF:AF),0)</f>
        <v>0</v>
      </c>
      <c r="AF63" s="261">
        <f>IF(AF$3&lt;=Summary!$C$2,_xlfn.XLOOKUP(NG!$B63,BS_NG!$C:$C,BS_NG!AG:AG),0)</f>
        <v>0</v>
      </c>
      <c r="AG63" s="261">
        <f>IF(AG$3&lt;=Summary!$C$2,_xlfn.XLOOKUP(NG!$B63,BS_NG!$C:$C,BS_NG!AH:AH),0)</f>
        <v>0</v>
      </c>
      <c r="AH63" s="261">
        <f>IF(AH$3&lt;=Summary!$C$2,_xlfn.XLOOKUP(NG!$B63,BS_NG!$C:$C,BS_NG!AI:AI),0)</f>
        <v>0</v>
      </c>
      <c r="AI63" s="261">
        <f>IF(AI$3&lt;=Summary!$C$2,_xlfn.XLOOKUP(NG!$B63,BS_NG!$C:$C,BS_NG!AJ:AJ),0)</f>
        <v>0</v>
      </c>
      <c r="AJ63" s="261">
        <f>IF(AJ$3&lt;=Summary!$C$2,_xlfn.XLOOKUP(NG!$B63,BS_NG!$C:$C,BS_NG!AK:AK),0)</f>
        <v>0</v>
      </c>
      <c r="AK63" s="261">
        <f>IF(AK$3&lt;=Summary!$C$2,_xlfn.XLOOKUP(NG!$B63,BS_NG!$C:$C,BS_NG!AL:AL),0)</f>
        <v>0</v>
      </c>
      <c r="AL63" s="261">
        <f>IF(AL$3&lt;=Summary!$C$2,_xlfn.XLOOKUP(NG!$B63,BS_NG!$C:$C,BS_NG!AM:AM),0)</f>
        <v>0</v>
      </c>
    </row>
    <row r="64" spans="2:40" x14ac:dyDescent="0.15">
      <c r="B64" s="259" t="s">
        <v>45</v>
      </c>
      <c r="C64" s="261">
        <f>IF(C$3&lt;=Summary!$C$2,_xlfn.XLOOKUP(NG!$B64,BS_NG!$C:$C,BS_NG!D:D),0)</f>
        <v>286891675.67999995</v>
      </c>
      <c r="D64" s="261">
        <f>IF(D$3&lt;=Summary!$C$2,_xlfn.XLOOKUP(NG!$B64,BS_NG!$C:$C,BS_NG!E:E),0)</f>
        <v>284078213.77999997</v>
      </c>
      <c r="E64" s="261">
        <f>IF(E$3&lt;=Summary!$C$2,_xlfn.XLOOKUP(NG!$B64,BS_NG!$C:$C,BS_NG!F:F),0)</f>
        <v>281286809.79999989</v>
      </c>
      <c r="F64" s="261">
        <f>IF(F$3&lt;=Summary!$C$2,_xlfn.XLOOKUP(NG!$B64,BS_NG!$C:$C,BS_NG!G:G),0)</f>
        <v>282429543.31999993</v>
      </c>
      <c r="G64" s="261">
        <f>IF(G$3&lt;=Summary!$C$2,_xlfn.XLOOKUP(NG!$B64,BS_NG!$C:$C,BS_NG!H:H),0)</f>
        <v>293028311.53999996</v>
      </c>
      <c r="H64" s="261">
        <f>IF(H$3&lt;=Summary!$C$2,_xlfn.XLOOKUP(NG!$B64,BS_NG!$C:$C,BS_NG!I:I),0)</f>
        <v>289797491.59000009</v>
      </c>
      <c r="I64" s="261">
        <f>IF(I$3&lt;=Summary!$C$2,_xlfn.XLOOKUP(NG!$B64,BS_NG!$C:$C,BS_NG!J:J),0)</f>
        <v>292236172.93000007</v>
      </c>
      <c r="J64" s="261">
        <f>IF(J$3&lt;=Summary!$C$2,_xlfn.XLOOKUP(NG!$B64,BS_NG!$C:$C,BS_NG!K:K),0)</f>
        <v>293222678.36000007</v>
      </c>
      <c r="K64" s="261">
        <f>IF(K$3&lt;=Summary!$C$2,_xlfn.XLOOKUP(NG!$B64,BS_NG!$C:$C,BS_NG!L:L),0)</f>
        <v>290228110.36000001</v>
      </c>
      <c r="L64" s="261">
        <f>IF(L$3&lt;=Summary!$C$2,_xlfn.XLOOKUP(NG!$B64,BS_NG!$C:$C,BS_NG!M:M),0)</f>
        <v>299989021.12000012</v>
      </c>
      <c r="M64" s="261">
        <f>IF(M$3&lt;=Summary!$C$2,_xlfn.XLOOKUP(NG!$B64,BS_NG!$C:$C,BS_NG!N:N),0)</f>
        <v>304772729.38000005</v>
      </c>
      <c r="N64" s="261">
        <f>IF(N$3&lt;=Summary!$C$2,_xlfn.XLOOKUP(NG!$B64,BS_NG!$C:$C,BS_NG!O:O),0)</f>
        <v>316842206.44</v>
      </c>
      <c r="O64" s="261">
        <f>IF(O$3&lt;=Summary!$C$2,_xlfn.XLOOKUP(NG!$B64,BS_NG!$C:$C,BS_NG!P:P),0)</f>
        <v>313263732.07000005</v>
      </c>
      <c r="P64" s="261">
        <f>IF(P$3&lt;=Summary!$C$2,_xlfn.XLOOKUP(NG!$B64,BS_NG!$C:$C,BS_NG!Q:Q),0)</f>
        <v>325618195.41000026</v>
      </c>
      <c r="Q64" s="261">
        <f>IF(Q$3&lt;=Summary!$C$2,_xlfn.XLOOKUP(NG!$B64,BS_NG!$C:$C,BS_NG!R:R),0)</f>
        <v>323565390.33000022</v>
      </c>
      <c r="R64" s="261">
        <f>IF(R$3&lt;=Summary!$C$2,_xlfn.XLOOKUP(NG!$B64,BS_NG!$C:$C,BS_NG!S:S),0)</f>
        <v>319936667.44000024</v>
      </c>
      <c r="S64" s="261">
        <f>IF(S$3&lt;=Summary!$C$2,_xlfn.XLOOKUP(NG!$B64,BS_NG!$C:$C,BS_NG!T:T),0)</f>
        <v>316920262.89000016</v>
      </c>
      <c r="T64" s="261">
        <f>IF(T$3&lt;=Summary!$C$2,_xlfn.XLOOKUP(NG!$B64,BS_NG!$C:$C,BS_NG!U:U),0)</f>
        <v>313283858.34000009</v>
      </c>
      <c r="U64" s="261">
        <f>IF(U$3&lt;=Summary!$C$2,_xlfn.XLOOKUP(NG!$B64,BS_NG!$C:$C,BS_NG!V:V),0)</f>
        <v>320548591.66000021</v>
      </c>
      <c r="V64" s="261">
        <f>IF(V$3&lt;=Summary!$C$2,_xlfn.XLOOKUP(NG!$B64,BS_NG!$C:$C,BS_NG!W:W),0)</f>
        <v>325858883.69000018</v>
      </c>
      <c r="W64" s="261">
        <f>IF(W$3&lt;=Summary!$C$2,_xlfn.XLOOKUP(NG!$B64,BS_NG!$C:$C,BS_NG!X:X),0)</f>
        <v>322018413.49000019</v>
      </c>
      <c r="X64" s="261">
        <f>IF(X$3&lt;=Summary!$C$2,_xlfn.XLOOKUP(NG!$B64,BS_NG!$C:$C,BS_NG!Y:Y),0)</f>
        <v>318084359.9600001</v>
      </c>
      <c r="Y64" s="261">
        <f>IF(Y$3&lt;=Summary!$C$2,_xlfn.XLOOKUP(NG!$B64,BS_NG!$C:$C,BS_NG!Z:Z),0)</f>
        <v>327514058.09000021</v>
      </c>
      <c r="Z64" s="261">
        <f>IF(Z$3&lt;=Summary!$C$2,_xlfn.XLOOKUP(NG!$B64,BS_NG!$C:$C,BS_NG!AA:AA),0)</f>
        <v>326300872.89000016</v>
      </c>
      <c r="AA64" s="261">
        <f>IF(AA$3&lt;=Summary!$C$2,_xlfn.XLOOKUP(NG!$B64,BS_NG!$C:$C,BS_NG!AB:AB),0)</f>
        <v>307777316.9600001</v>
      </c>
      <c r="AB64" s="261">
        <f>IF(AB$3&lt;=Summary!$C$2,_xlfn.XLOOKUP(NG!$B64,BS_NG!$C:$C,BS_NG!AC:AC),0)</f>
        <v>310405244.90000015</v>
      </c>
      <c r="AC64" s="261">
        <f>IF(AC$3&lt;=Summary!$C$2,_xlfn.XLOOKUP(NG!$B64,BS_NG!$C:$C,BS_NG!AD:AD),0)</f>
        <v>323830816.38000017</v>
      </c>
      <c r="AD64" s="261">
        <f>IF(AD$3&lt;=Summary!$C$2,_xlfn.XLOOKUP(NG!$B64,BS_NG!$C:$C,BS_NG!AE:AE),0)</f>
        <v>334516283.69000018</v>
      </c>
      <c r="AE64" s="261">
        <f>IF(AE$3&lt;=Summary!$C$2,_xlfn.XLOOKUP(NG!$B64,BS_NG!$C:$C,BS_NG!AF:AF),0)</f>
        <v>0</v>
      </c>
      <c r="AF64" s="261">
        <f>IF(AF$3&lt;=Summary!$C$2,_xlfn.XLOOKUP(NG!$B64,BS_NG!$C:$C,BS_NG!AG:AG),0)</f>
        <v>0</v>
      </c>
      <c r="AG64" s="261">
        <f>IF(AG$3&lt;=Summary!$C$2,_xlfn.XLOOKUP(NG!$B64,BS_NG!$C:$C,BS_NG!AH:AH),0)</f>
        <v>0</v>
      </c>
      <c r="AH64" s="261">
        <f>IF(AH$3&lt;=Summary!$C$2,_xlfn.XLOOKUP(NG!$B64,BS_NG!$C:$C,BS_NG!AI:AI),0)</f>
        <v>0</v>
      </c>
      <c r="AI64" s="261">
        <f>IF(AI$3&lt;=Summary!$C$2,_xlfn.XLOOKUP(NG!$B64,BS_NG!$C:$C,BS_NG!AJ:AJ),0)</f>
        <v>0</v>
      </c>
      <c r="AJ64" s="261">
        <f>IF(AJ$3&lt;=Summary!$C$2,_xlfn.XLOOKUP(NG!$B64,BS_NG!$C:$C,BS_NG!AK:AK),0)</f>
        <v>0</v>
      </c>
      <c r="AK64" s="261">
        <f>IF(AK$3&lt;=Summary!$C$2,_xlfn.XLOOKUP(NG!$B64,BS_NG!$C:$C,BS_NG!AL:AL),0)</f>
        <v>0</v>
      </c>
      <c r="AL64" s="261">
        <f>IF(AL$3&lt;=Summary!$C$2,_xlfn.XLOOKUP(NG!$B64,BS_NG!$C:$C,BS_NG!AM:AM),0)</f>
        <v>0</v>
      </c>
    </row>
    <row r="65" spans="2:38" x14ac:dyDescent="0.15">
      <c r="B65" s="259" t="s">
        <v>47</v>
      </c>
      <c r="C65" s="261">
        <f>IF(C$3&lt;=Summary!$C$2,_xlfn.XLOOKUP(NG!$B65,BS_NG!$C:$C,BS_NG!D:D),0)</f>
        <v>356733187.21999997</v>
      </c>
      <c r="D65" s="261">
        <f>IF(D$3&lt;=Summary!$C$2,_xlfn.XLOOKUP(NG!$B65,BS_NG!$C:$C,BS_NG!E:E),0)</f>
        <v>375767514.88999999</v>
      </c>
      <c r="E65" s="261">
        <f>IF(E$3&lt;=Summary!$C$2,_xlfn.XLOOKUP(NG!$B65,BS_NG!$C:$C,BS_NG!F:F),0)</f>
        <v>401042059.88999999</v>
      </c>
      <c r="F65" s="261">
        <f>IF(F$3&lt;=Summary!$C$2,_xlfn.XLOOKUP(NG!$B65,BS_NG!$C:$C,BS_NG!G:G),0)</f>
        <v>422266201.25999999</v>
      </c>
      <c r="G65" s="261">
        <f>IF(G$3&lt;=Summary!$C$2,_xlfn.XLOOKUP(NG!$B65,BS_NG!$C:$C,BS_NG!H:H),0)</f>
        <v>444511257.23999995</v>
      </c>
      <c r="H65" s="261">
        <f>IF(H$3&lt;=Summary!$C$2,_xlfn.XLOOKUP(NG!$B65,BS_NG!$C:$C,BS_NG!I:I),0)</f>
        <v>515019294.84999996</v>
      </c>
      <c r="I65" s="261">
        <f>IF(I$3&lt;=Summary!$C$2,_xlfn.XLOOKUP(NG!$B65,BS_NG!$C:$C,BS_NG!J:J),0)</f>
        <v>626701867.00000012</v>
      </c>
      <c r="J65" s="261">
        <f>IF(J$3&lt;=Summary!$C$2,_xlfn.XLOOKUP(NG!$B65,BS_NG!$C:$C,BS_NG!K:K),0)</f>
        <v>707316883.80999994</v>
      </c>
      <c r="K65" s="261">
        <f>IF(K$3&lt;=Summary!$C$2,_xlfn.XLOOKUP(NG!$B65,BS_NG!$C:$C,BS_NG!L:L),0)</f>
        <v>832631513.98999989</v>
      </c>
      <c r="L65" s="261">
        <f>IF(L$3&lt;=Summary!$C$2,_xlfn.XLOOKUP(NG!$B65,BS_NG!$C:$C,BS_NG!M:M),0)</f>
        <v>992876264.81999993</v>
      </c>
      <c r="M65" s="261">
        <f>IF(M$3&lt;=Summary!$C$2,_xlfn.XLOOKUP(NG!$B65,BS_NG!$C:$C,BS_NG!N:N),0)</f>
        <v>1030157606.8399998</v>
      </c>
      <c r="N65" s="261">
        <f>IF(N$3&lt;=Summary!$C$2,_xlfn.XLOOKUP(NG!$B65,BS_NG!$C:$C,BS_NG!O:O),0)</f>
        <v>1068229840.64</v>
      </c>
      <c r="O65" s="261">
        <f>IF(O$3&lt;=Summary!$C$2,_xlfn.XLOOKUP(NG!$B65,BS_NG!$C:$C,BS_NG!P:P),0)</f>
        <v>1205774376.72</v>
      </c>
      <c r="P65" s="261">
        <f>IF(P$3&lt;=Summary!$C$2,_xlfn.XLOOKUP(NG!$B65,BS_NG!$C:$C,BS_NG!Q:Q),0)</f>
        <v>1308420439.8400002</v>
      </c>
      <c r="Q65" s="261">
        <f>IF(Q$3&lt;=Summary!$C$2,_xlfn.XLOOKUP(NG!$B65,BS_NG!$C:$C,BS_NG!R:R),0)</f>
        <v>1370968222.2600002</v>
      </c>
      <c r="R65" s="261">
        <f>IF(R$3&lt;=Summary!$C$2,_xlfn.XLOOKUP(NG!$B65,BS_NG!$C:$C,BS_NG!S:S),0)</f>
        <v>1565219971.0000002</v>
      </c>
      <c r="S65" s="261">
        <f>IF(S$3&lt;=Summary!$C$2,_xlfn.XLOOKUP(NG!$B65,BS_NG!$C:$C,BS_NG!T:T),0)</f>
        <v>1569929664.8699999</v>
      </c>
      <c r="T65" s="261">
        <f>IF(T$3&lt;=Summary!$C$2,_xlfn.XLOOKUP(NG!$B65,BS_NG!$C:$C,BS_NG!U:U),0)</f>
        <v>1644099481.6800001</v>
      </c>
      <c r="U65" s="261">
        <f>IF(U$3&lt;=Summary!$C$2,_xlfn.XLOOKUP(NG!$B65,BS_NG!$C:$C,BS_NG!V:V),0)</f>
        <v>1741464447.3300002</v>
      </c>
      <c r="V65" s="261">
        <f>IF(V$3&lt;=Summary!$C$2,_xlfn.XLOOKUP(NG!$B65,BS_NG!$C:$C,BS_NG!W:W),0)</f>
        <v>1932739530.6500001</v>
      </c>
      <c r="W65" s="261">
        <f>IF(W$3&lt;=Summary!$C$2,_xlfn.XLOOKUP(NG!$B65,BS_NG!$C:$C,BS_NG!X:X),0)</f>
        <v>2061690374.5600002</v>
      </c>
      <c r="X65" s="261">
        <f>IF(X$3&lt;=Summary!$C$2,_xlfn.XLOOKUP(NG!$B65,BS_NG!$C:$C,BS_NG!Y:Y),0)</f>
        <v>2145742755.4200001</v>
      </c>
      <c r="Y65" s="261">
        <f>IF(Y$3&lt;=Summary!$C$2,_xlfn.XLOOKUP(NG!$B65,BS_NG!$C:$C,BS_NG!Z:Z),0)</f>
        <v>2171594356.3899999</v>
      </c>
      <c r="Z65" s="261">
        <f>IF(Z$3&lt;=Summary!$C$2,_xlfn.XLOOKUP(NG!$B65,BS_NG!$C:$C,BS_NG!AA:AA),0)</f>
        <v>2348801350.21</v>
      </c>
      <c r="AA65" s="261">
        <f>IF(AA$3&lt;=Summary!$C$2,_xlfn.XLOOKUP(NG!$B65,BS_NG!$C:$C,BS_NG!AB:AB),0)</f>
        <v>2362191517.2500005</v>
      </c>
      <c r="AB65" s="261">
        <f>IF(AB$3&lt;=Summary!$C$2,_xlfn.XLOOKUP(NG!$B65,BS_NG!$C:$C,BS_NG!AC:AC),0)</f>
        <v>2358463048.6099997</v>
      </c>
      <c r="AC65" s="261">
        <f>IF(AC$3&lt;=Summary!$C$2,_xlfn.XLOOKUP(NG!$B65,BS_NG!$C:$C,BS_NG!AD:AD),0)</f>
        <v>2432833832.9799995</v>
      </c>
      <c r="AD65" s="261">
        <f>IF(AD$3&lt;=Summary!$C$2,_xlfn.XLOOKUP(NG!$B65,BS_NG!$C:$C,BS_NG!AE:AE),0)</f>
        <v>2425515971.3800001</v>
      </c>
      <c r="AE65" s="261">
        <f>IF(AE$3&lt;=Summary!$C$2,_xlfn.XLOOKUP(NG!$B65,BS_NG!$C:$C,BS_NG!AF:AF),0)</f>
        <v>0</v>
      </c>
      <c r="AF65" s="261">
        <f>IF(AF$3&lt;=Summary!$C$2,_xlfn.XLOOKUP(NG!$B65,BS_NG!$C:$C,BS_NG!AG:AG),0)</f>
        <v>0</v>
      </c>
      <c r="AG65" s="261">
        <f>IF(AG$3&lt;=Summary!$C$2,_xlfn.XLOOKUP(NG!$B65,BS_NG!$C:$C,BS_NG!AH:AH),0)</f>
        <v>0</v>
      </c>
      <c r="AH65" s="261">
        <f>IF(AH$3&lt;=Summary!$C$2,_xlfn.XLOOKUP(NG!$B65,BS_NG!$C:$C,BS_NG!AI:AI),0)</f>
        <v>0</v>
      </c>
      <c r="AI65" s="261">
        <f>IF(AI$3&lt;=Summary!$C$2,_xlfn.XLOOKUP(NG!$B65,BS_NG!$C:$C,BS_NG!AJ:AJ),0)</f>
        <v>0</v>
      </c>
      <c r="AJ65" s="261">
        <f>IF(AJ$3&lt;=Summary!$C$2,_xlfn.XLOOKUP(NG!$B65,BS_NG!$C:$C,BS_NG!AK:AK),0)</f>
        <v>0</v>
      </c>
      <c r="AK65" s="261">
        <f>IF(AK$3&lt;=Summary!$C$2,_xlfn.XLOOKUP(NG!$B65,BS_NG!$C:$C,BS_NG!AL:AL),0)</f>
        <v>0</v>
      </c>
      <c r="AL65" s="261">
        <f>IF(AL$3&lt;=Summary!$C$2,_xlfn.XLOOKUP(NG!$B65,BS_NG!$C:$C,BS_NG!AM:AM),0)</f>
        <v>0</v>
      </c>
    </row>
    <row r="66" spans="2:38" x14ac:dyDescent="0.15">
      <c r="B66" s="259" t="s">
        <v>49</v>
      </c>
      <c r="C66" s="261">
        <f>IF(C$3&lt;=Summary!$C$2,_xlfn.XLOOKUP(NG!$B66,BS_NG!$C:$C,BS_NG!D:D),0)</f>
        <v>520056540.63999999</v>
      </c>
      <c r="D66" s="261">
        <f>IF(D$3&lt;=Summary!$C$2,_xlfn.XLOOKUP(NG!$B66,BS_NG!$C:$C,BS_NG!E:E),0)</f>
        <v>796815607.03999996</v>
      </c>
      <c r="E66" s="261">
        <f>IF(E$3&lt;=Summary!$C$2,_xlfn.XLOOKUP(NG!$B66,BS_NG!$C:$C,BS_NG!F:F),0)</f>
        <v>811815607.03999996</v>
      </c>
      <c r="F66" s="261">
        <f>IF(F$3&lt;=Summary!$C$2,_xlfn.XLOOKUP(NG!$B66,BS_NG!$C:$C,BS_NG!G:G),0)</f>
        <v>1099042002.3399999</v>
      </c>
      <c r="G66" s="261">
        <f>IF(G$3&lt;=Summary!$C$2,_xlfn.XLOOKUP(NG!$B66,BS_NG!$C:$C,BS_NG!H:H),0)</f>
        <v>1226045602.3399999</v>
      </c>
      <c r="H66" s="261">
        <f>IF(H$3&lt;=Summary!$C$2,_xlfn.XLOOKUP(NG!$B66,BS_NG!$C:$C,BS_NG!I:I),0)</f>
        <v>1226045602.3399999</v>
      </c>
      <c r="I66" s="261">
        <f>IF(I$3&lt;=Summary!$C$2,_xlfn.XLOOKUP(NG!$B66,BS_NG!$C:$C,BS_NG!J:J),0)</f>
        <v>1226045602.3399999</v>
      </c>
      <c r="J66" s="261">
        <f>IF(J$3&lt;=Summary!$C$2,_xlfn.XLOOKUP(NG!$B66,BS_NG!$C:$C,BS_NG!K:K),0)</f>
        <v>1477891675.8400002</v>
      </c>
      <c r="K66" s="261">
        <f>IF(K$3&lt;=Summary!$C$2,_xlfn.XLOOKUP(NG!$B66,BS_NG!$C:$C,BS_NG!L:L),0)</f>
        <v>1477891675.8400002</v>
      </c>
      <c r="L66" s="261">
        <f>IF(L$3&lt;=Summary!$C$2,_xlfn.XLOOKUP(NG!$B66,BS_NG!$C:$C,BS_NG!M:M),0)</f>
        <v>1480035349.0400002</v>
      </c>
      <c r="M66" s="261">
        <f>IF(M$3&lt;=Summary!$C$2,_xlfn.XLOOKUP(NG!$B66,BS_NG!$C:$C,BS_NG!N:N),0)</f>
        <v>1481035349.0400002</v>
      </c>
      <c r="N66" s="261">
        <f>IF(N$3&lt;=Summary!$C$2,_xlfn.XLOOKUP(NG!$B66,BS_NG!$C:$C,BS_NG!O:O),0)</f>
        <v>1499547509.0400002</v>
      </c>
      <c r="O66" s="261">
        <f>IF(O$3&lt;=Summary!$C$2,_xlfn.XLOOKUP(NG!$B66,BS_NG!$C:$C,BS_NG!P:P),0)</f>
        <v>1710630857.8400002</v>
      </c>
      <c r="P66" s="261">
        <f>IF(P$3&lt;=Summary!$C$2,_xlfn.XLOOKUP(NG!$B66,BS_NG!$C:$C,BS_NG!Q:Q),0)</f>
        <v>1710630857.8400002</v>
      </c>
      <c r="Q66" s="261">
        <f>IF(Q$3&lt;=Summary!$C$2,_xlfn.XLOOKUP(NG!$B66,BS_NG!$C:$C,BS_NG!R:R),0)</f>
        <v>1710630857.8400002</v>
      </c>
      <c r="R66" s="261">
        <f>IF(R$3&lt;=Summary!$C$2,_xlfn.XLOOKUP(NG!$B66,BS_NG!$C:$C,BS_NG!S:S),0)</f>
        <v>1892630207.8400002</v>
      </c>
      <c r="S66" s="261">
        <f>IF(S$3&lt;=Summary!$C$2,_xlfn.XLOOKUP(NG!$B66,BS_NG!$C:$C,BS_NG!T:T),0)</f>
        <v>1892630207.8400002</v>
      </c>
      <c r="T66" s="261">
        <f>IF(T$3&lt;=Summary!$C$2,_xlfn.XLOOKUP(NG!$B66,BS_NG!$C:$C,BS_NG!U:U),0)</f>
        <v>2051255043.9400001</v>
      </c>
      <c r="U66" s="261">
        <f>IF(U$3&lt;=Summary!$C$2,_xlfn.XLOOKUP(NG!$B66,BS_NG!$C:$C,BS_NG!V:V),0)</f>
        <v>2387707358.5499997</v>
      </c>
      <c r="V66" s="261">
        <f>IF(V$3&lt;=Summary!$C$2,_xlfn.XLOOKUP(NG!$B66,BS_NG!$C:$C,BS_NG!W:W),0)</f>
        <v>2387707358.5499997</v>
      </c>
      <c r="W66" s="261">
        <f>IF(W$3&lt;=Summary!$C$2,_xlfn.XLOOKUP(NG!$B66,BS_NG!$C:$C,BS_NG!X:X),0)</f>
        <v>2388924694.5899997</v>
      </c>
      <c r="X66" s="261">
        <f>IF(X$3&lt;=Summary!$C$2,_xlfn.XLOOKUP(NG!$B66,BS_NG!$C:$C,BS_NG!Y:Y),0)</f>
        <v>2388924694.5899997</v>
      </c>
      <c r="Y66" s="261">
        <f>IF(Y$3&lt;=Summary!$C$2,_xlfn.XLOOKUP(NG!$B66,BS_NG!$C:$C,BS_NG!Z:Z),0)</f>
        <v>2555385600.1900001</v>
      </c>
      <c r="Z66" s="261">
        <f>IF(Z$3&lt;=Summary!$C$2,_xlfn.XLOOKUP(NG!$B66,BS_NG!$C:$C,BS_NG!AA:AA),0)</f>
        <v>2555385600.1900001</v>
      </c>
      <c r="AA66" s="261">
        <f>IF(AA$3&lt;=Summary!$C$2,_xlfn.XLOOKUP(NG!$B66,BS_NG!$C:$C,BS_NG!AB:AB),0)</f>
        <v>2619237900.1900001</v>
      </c>
      <c r="AB66" s="261">
        <f>IF(AB$3&lt;=Summary!$C$2,_xlfn.XLOOKUP(NG!$B66,BS_NG!$C:$C,BS_NG!AC:AC),0)</f>
        <v>2619237900.1900001</v>
      </c>
      <c r="AC66" s="261">
        <f>IF(AC$3&lt;=Summary!$C$2,_xlfn.XLOOKUP(NG!$B66,BS_NG!$C:$C,BS_NG!AD:AD),0)</f>
        <v>2620349269.4300003</v>
      </c>
      <c r="AD66" s="261">
        <f>IF(AD$3&lt;=Summary!$C$2,_xlfn.XLOOKUP(NG!$B66,BS_NG!$C:$C,BS_NG!AE:AE),0)</f>
        <v>2738957454.1300001</v>
      </c>
      <c r="AE66" s="261">
        <f>IF(AE$3&lt;=Summary!$C$2,_xlfn.XLOOKUP(NG!$B66,BS_NG!$C:$C,BS_NG!AF:AF),0)</f>
        <v>0</v>
      </c>
      <c r="AF66" s="261">
        <f>IF(AF$3&lt;=Summary!$C$2,_xlfn.XLOOKUP(NG!$B66,BS_NG!$C:$C,BS_NG!AG:AG),0)</f>
        <v>0</v>
      </c>
      <c r="AG66" s="261">
        <f>IF(AG$3&lt;=Summary!$C$2,_xlfn.XLOOKUP(NG!$B66,BS_NG!$C:$C,BS_NG!AH:AH),0)</f>
        <v>0</v>
      </c>
      <c r="AH66" s="261">
        <f>IF(AH$3&lt;=Summary!$C$2,_xlfn.XLOOKUP(NG!$B66,BS_NG!$C:$C,BS_NG!AI:AI),0)</f>
        <v>0</v>
      </c>
      <c r="AI66" s="261">
        <f>IF(AI$3&lt;=Summary!$C$2,_xlfn.XLOOKUP(NG!$B66,BS_NG!$C:$C,BS_NG!AJ:AJ),0)</f>
        <v>0</v>
      </c>
      <c r="AJ66" s="261">
        <f>IF(AJ$3&lt;=Summary!$C$2,_xlfn.XLOOKUP(NG!$B66,BS_NG!$C:$C,BS_NG!AK:AK),0)</f>
        <v>0</v>
      </c>
      <c r="AK66" s="261">
        <f>IF(AK$3&lt;=Summary!$C$2,_xlfn.XLOOKUP(NG!$B66,BS_NG!$C:$C,BS_NG!AL:AL),0)</f>
        <v>0</v>
      </c>
      <c r="AL66" s="261">
        <f>IF(AL$3&lt;=Summary!$C$2,_xlfn.XLOOKUP(NG!$B66,BS_NG!$C:$C,BS_NG!AM:AM),0)</f>
        <v>0</v>
      </c>
    </row>
    <row r="67" spans="2:38" x14ac:dyDescent="0.15">
      <c r="B67" s="259" t="s">
        <v>53</v>
      </c>
      <c r="C67" s="261">
        <f>IF(C$3&lt;=Summary!$C$2,_xlfn.XLOOKUP(NG!$B67,BS_NG!$C:$C,BS_NG!D:D),0)</f>
        <v>42242924.219999999</v>
      </c>
      <c r="D67" s="261">
        <f>IF(D$3&lt;=Summary!$C$2,_xlfn.XLOOKUP(NG!$B67,BS_NG!$C:$C,BS_NG!E:E),0)</f>
        <v>42242924.219999999</v>
      </c>
      <c r="E67" s="261">
        <f>IF(E$3&lt;=Summary!$C$2,_xlfn.XLOOKUP(NG!$B67,BS_NG!$C:$C,BS_NG!F:F),0)</f>
        <v>42242924.219999999</v>
      </c>
      <c r="F67" s="261">
        <f>IF(F$3&lt;=Summary!$C$2,_xlfn.XLOOKUP(NG!$B67,BS_NG!$C:$C,BS_NG!G:G),0)</f>
        <v>42242924.219999999</v>
      </c>
      <c r="G67" s="261">
        <f>IF(G$3&lt;=Summary!$C$2,_xlfn.XLOOKUP(NG!$B67,BS_NG!$C:$C,BS_NG!H:H),0)</f>
        <v>42242924.219999999</v>
      </c>
      <c r="H67" s="261">
        <f>IF(H$3&lt;=Summary!$C$2,_xlfn.XLOOKUP(NG!$B67,BS_NG!$C:$C,BS_NG!I:I),0)</f>
        <v>42242924.219999999</v>
      </c>
      <c r="I67" s="261">
        <f>IF(I$3&lt;=Summary!$C$2,_xlfn.XLOOKUP(NG!$B67,BS_NG!$C:$C,BS_NG!J:J),0)</f>
        <v>42242924.219999999</v>
      </c>
      <c r="J67" s="261">
        <f>IF(J$3&lt;=Summary!$C$2,_xlfn.XLOOKUP(NG!$B67,BS_NG!$C:$C,BS_NG!K:K),0)</f>
        <v>42242924.219999999</v>
      </c>
      <c r="K67" s="261">
        <f>IF(K$3&lt;=Summary!$C$2,_xlfn.XLOOKUP(NG!$B67,BS_NG!$C:$C,BS_NG!L:L),0)</f>
        <v>42242924.219999999</v>
      </c>
      <c r="L67" s="261">
        <f>IF(L$3&lt;=Summary!$C$2,_xlfn.XLOOKUP(NG!$B67,BS_NG!$C:$C,BS_NG!M:M),0)</f>
        <v>42242924.219999999</v>
      </c>
      <c r="M67" s="261">
        <f>IF(M$3&lt;=Summary!$C$2,_xlfn.XLOOKUP(NG!$B67,BS_NG!$C:$C,BS_NG!N:N),0)</f>
        <v>42242924.219999999</v>
      </c>
      <c r="N67" s="261">
        <f>IF(N$3&lt;=Summary!$C$2,_xlfn.XLOOKUP(NG!$B67,BS_NG!$C:$C,BS_NG!O:O),0)</f>
        <v>32949171.219999999</v>
      </c>
      <c r="O67" s="261">
        <f>IF(O$3&lt;=Summary!$C$2,_xlfn.XLOOKUP(NG!$B67,BS_NG!$C:$C,BS_NG!P:P),0)</f>
        <v>32949171.219999999</v>
      </c>
      <c r="P67" s="261">
        <f>IF(P$3&lt;=Summary!$C$2,_xlfn.XLOOKUP(NG!$B67,BS_NG!$C:$C,BS_NG!Q:Q),0)</f>
        <v>32949171.219999999</v>
      </c>
      <c r="Q67" s="261">
        <f>IF(Q$3&lt;=Summary!$C$2,_xlfn.XLOOKUP(NG!$B67,BS_NG!$C:$C,BS_NG!R:R),0)</f>
        <v>32949171.219999999</v>
      </c>
      <c r="R67" s="261">
        <f>IF(R$3&lt;=Summary!$C$2,_xlfn.XLOOKUP(NG!$B67,BS_NG!$C:$C,BS_NG!S:S),0)</f>
        <v>32949171.219999999</v>
      </c>
      <c r="S67" s="261">
        <f>IF(S$3&lt;=Summary!$C$2,_xlfn.XLOOKUP(NG!$B67,BS_NG!$C:$C,BS_NG!T:T),0)</f>
        <v>32949171.219999999</v>
      </c>
      <c r="T67" s="261">
        <f>IF(T$3&lt;=Summary!$C$2,_xlfn.XLOOKUP(NG!$B67,BS_NG!$C:$C,BS_NG!U:U),0)</f>
        <v>32949171.219999999</v>
      </c>
      <c r="U67" s="261">
        <f>IF(U$3&lt;=Summary!$C$2,_xlfn.XLOOKUP(NG!$B67,BS_NG!$C:$C,BS_NG!V:V),0)</f>
        <v>32949171.219999999</v>
      </c>
      <c r="V67" s="261">
        <f>IF(V$3&lt;=Summary!$C$2,_xlfn.XLOOKUP(NG!$B67,BS_NG!$C:$C,BS_NG!W:W),0)</f>
        <v>32949171.219999999</v>
      </c>
      <c r="W67" s="261">
        <f>IF(W$3&lt;=Summary!$C$2,_xlfn.XLOOKUP(NG!$B67,BS_NG!$C:$C,BS_NG!X:X),0)</f>
        <v>32949171.219999999</v>
      </c>
      <c r="X67" s="261">
        <f>IF(X$3&lt;=Summary!$C$2,_xlfn.XLOOKUP(NG!$B67,BS_NG!$C:$C,BS_NG!Y:Y),0)</f>
        <v>32949171.219999999</v>
      </c>
      <c r="Y67" s="261">
        <f>IF(Y$3&lt;=Summary!$C$2,_xlfn.XLOOKUP(NG!$B67,BS_NG!$C:$C,BS_NG!Z:Z),0)</f>
        <v>32949171.219999999</v>
      </c>
      <c r="Z67" s="261">
        <f>IF(Z$3&lt;=Summary!$C$2,_xlfn.XLOOKUP(NG!$B67,BS_NG!$C:$C,BS_NG!AA:AA),0)</f>
        <v>32949171.219999999</v>
      </c>
      <c r="AA67" s="261">
        <f>IF(AA$3&lt;=Summary!$C$2,_xlfn.XLOOKUP(NG!$B67,BS_NG!$C:$C,BS_NG!AB:AB),0)</f>
        <v>21499460.77</v>
      </c>
      <c r="AB67" s="261">
        <f>IF(AB$3&lt;=Summary!$C$2,_xlfn.XLOOKUP(NG!$B67,BS_NG!$C:$C,BS_NG!AC:AC),0)</f>
        <v>21499460.77</v>
      </c>
      <c r="AC67" s="261">
        <f>IF(AC$3&lt;=Summary!$C$2,_xlfn.XLOOKUP(NG!$B67,BS_NG!$C:$C,BS_NG!AD:AD),0)</f>
        <v>21499460.77</v>
      </c>
      <c r="AD67" s="261">
        <f>IF(AD$3&lt;=Summary!$C$2,_xlfn.XLOOKUP(NG!$B67,BS_NG!$C:$C,BS_NG!AE:AE),0)</f>
        <v>21499460.77</v>
      </c>
      <c r="AE67" s="261">
        <f>IF(AE$3&lt;=Summary!$C$2,_xlfn.XLOOKUP(NG!$B67,BS_NG!$C:$C,BS_NG!AF:AF),0)</f>
        <v>0</v>
      </c>
      <c r="AF67" s="261">
        <f>IF(AF$3&lt;=Summary!$C$2,_xlfn.XLOOKUP(NG!$B67,BS_NG!$C:$C,BS_NG!AG:AG),0)</f>
        <v>0</v>
      </c>
      <c r="AG67" s="261">
        <f>IF(AG$3&lt;=Summary!$C$2,_xlfn.XLOOKUP(NG!$B67,BS_NG!$C:$C,BS_NG!AH:AH),0)</f>
        <v>0</v>
      </c>
      <c r="AH67" s="261">
        <f>IF(AH$3&lt;=Summary!$C$2,_xlfn.XLOOKUP(NG!$B67,BS_NG!$C:$C,BS_NG!AI:AI),0)</f>
        <v>0</v>
      </c>
      <c r="AI67" s="261">
        <f>IF(AI$3&lt;=Summary!$C$2,_xlfn.XLOOKUP(NG!$B67,BS_NG!$C:$C,BS_NG!AJ:AJ),0)</f>
        <v>0</v>
      </c>
      <c r="AJ67" s="261">
        <f>IF(AJ$3&lt;=Summary!$C$2,_xlfn.XLOOKUP(NG!$B67,BS_NG!$C:$C,BS_NG!AK:AK),0)</f>
        <v>0</v>
      </c>
      <c r="AK67" s="261">
        <f>IF(AK$3&lt;=Summary!$C$2,_xlfn.XLOOKUP(NG!$B67,BS_NG!$C:$C,BS_NG!AL:AL),0)</f>
        <v>0</v>
      </c>
      <c r="AL67" s="261">
        <f>IF(AL$3&lt;=Summary!$C$2,_xlfn.XLOOKUP(NG!$B67,BS_NG!$C:$C,BS_NG!AM:AM),0)</f>
        <v>0</v>
      </c>
    </row>
    <row r="68" spans="2:38" x14ac:dyDescent="0.15">
      <c r="B68" s="259" t="s">
        <v>54</v>
      </c>
      <c r="C68" s="261">
        <f>IF(C$3&lt;=Summary!$C$2,_xlfn.XLOOKUP(NG!$B68,BS_NG!$C:$C,BS_NG!D:D),0)</f>
        <v>313765366.18000001</v>
      </c>
      <c r="D68" s="261">
        <f>IF(D$3&lt;=Summary!$C$2,_xlfn.XLOOKUP(NG!$B68,BS_NG!$C:$C,BS_NG!E:E),0)</f>
        <v>326349248.85000002</v>
      </c>
      <c r="E68" s="261">
        <f>IF(E$3&lt;=Summary!$C$2,_xlfn.XLOOKUP(NG!$B68,BS_NG!$C:$C,BS_NG!F:F),0)</f>
        <v>338787240.44</v>
      </c>
      <c r="F68" s="261">
        <f>IF(F$3&lt;=Summary!$C$2,_xlfn.XLOOKUP(NG!$B68,BS_NG!$C:$C,BS_NG!G:G),0)</f>
        <v>297820000.00999999</v>
      </c>
      <c r="G68" s="261">
        <f>IF(G$3&lt;=Summary!$C$2,_xlfn.XLOOKUP(NG!$B68,BS_NG!$C:$C,BS_NG!H:H),0)</f>
        <v>397391289.64999998</v>
      </c>
      <c r="H68" s="261">
        <f>IF(H$3&lt;=Summary!$C$2,_xlfn.XLOOKUP(NG!$B68,BS_NG!$C:$C,BS_NG!I:I),0)</f>
        <v>437456904.85999995</v>
      </c>
      <c r="I68" s="261">
        <f>IF(I$3&lt;=Summary!$C$2,_xlfn.XLOOKUP(NG!$B68,BS_NG!$C:$C,BS_NG!J:J),0)</f>
        <v>510406572.28999996</v>
      </c>
      <c r="J68" s="261">
        <f>IF(J$3&lt;=Summary!$C$2,_xlfn.XLOOKUP(NG!$B68,BS_NG!$C:$C,BS_NG!K:K),0)</f>
        <v>506052334.91999996</v>
      </c>
      <c r="K68" s="261">
        <f>IF(K$3&lt;=Summary!$C$2,_xlfn.XLOOKUP(NG!$B68,BS_NG!$C:$C,BS_NG!L:L),0)</f>
        <v>334783526.36000001</v>
      </c>
      <c r="L68" s="261">
        <f>IF(L$3&lt;=Summary!$C$2,_xlfn.XLOOKUP(NG!$B68,BS_NG!$C:$C,BS_NG!M:M),0)</f>
        <v>357660784.40999997</v>
      </c>
      <c r="M68" s="261">
        <f>IF(M$3&lt;=Summary!$C$2,_xlfn.XLOOKUP(NG!$B68,BS_NG!$C:$C,BS_NG!N:N),0)</f>
        <v>457863788.41000003</v>
      </c>
      <c r="N68" s="261">
        <f>IF(N$3&lt;=Summary!$C$2,_xlfn.XLOOKUP(NG!$B68,BS_NG!$C:$C,BS_NG!O:O),0)</f>
        <v>1146000509.05</v>
      </c>
      <c r="O68" s="261">
        <f>IF(O$3&lt;=Summary!$C$2,_xlfn.XLOOKUP(NG!$B68,BS_NG!$C:$C,BS_NG!P:P),0)</f>
        <v>1152898049.53</v>
      </c>
      <c r="P68" s="261">
        <f>IF(P$3&lt;=Summary!$C$2,_xlfn.XLOOKUP(NG!$B68,BS_NG!$C:$C,BS_NG!Q:Q),0)</f>
        <v>1176575953.4300001</v>
      </c>
      <c r="Q68" s="261">
        <f>IF(Q$3&lt;=Summary!$C$2,_xlfn.XLOOKUP(NG!$B68,BS_NG!$C:$C,BS_NG!R:R),0)</f>
        <v>1168715856.3299999</v>
      </c>
      <c r="R68" s="261">
        <f>IF(R$3&lt;=Summary!$C$2,_xlfn.XLOOKUP(NG!$B68,BS_NG!$C:$C,BS_NG!S:S),0)</f>
        <v>838337123.32999992</v>
      </c>
      <c r="S68" s="261">
        <f>IF(S$3&lt;=Summary!$C$2,_xlfn.XLOOKUP(NG!$B68,BS_NG!$C:$C,BS_NG!T:T),0)</f>
        <v>606428093.52999997</v>
      </c>
      <c r="T68" s="261">
        <f>IF(T$3&lt;=Summary!$C$2,_xlfn.XLOOKUP(NG!$B68,BS_NG!$C:$C,BS_NG!U:U),0)</f>
        <v>583567888.01999998</v>
      </c>
      <c r="U68" s="261">
        <f>IF(U$3&lt;=Summary!$C$2,_xlfn.XLOOKUP(NG!$B68,BS_NG!$C:$C,BS_NG!V:V),0)</f>
        <v>395386002.06999999</v>
      </c>
      <c r="V68" s="261">
        <f>IF(V$3&lt;=Summary!$C$2,_xlfn.XLOOKUP(NG!$B68,BS_NG!$C:$C,BS_NG!W:W),0)</f>
        <v>395460681.78999996</v>
      </c>
      <c r="W68" s="261">
        <f>IF(W$3&lt;=Summary!$C$2,_xlfn.XLOOKUP(NG!$B68,BS_NG!$C:$C,BS_NG!X:X),0)</f>
        <v>365034369.67000002</v>
      </c>
      <c r="X68" s="261">
        <f>IF(X$3&lt;=Summary!$C$2,_xlfn.XLOOKUP(NG!$B68,BS_NG!$C:$C,BS_NG!Y:Y),0)</f>
        <v>382997826.99000001</v>
      </c>
      <c r="Y68" s="261">
        <f>IF(Y$3&lt;=Summary!$C$2,_xlfn.XLOOKUP(NG!$B68,BS_NG!$C:$C,BS_NG!Z:Z),0)</f>
        <v>351392378.94000006</v>
      </c>
      <c r="Z68" s="261">
        <f>IF(Z$3&lt;=Summary!$C$2,_xlfn.XLOOKUP(NG!$B68,BS_NG!$C:$C,BS_NG!AA:AA),0)</f>
        <v>326598228.82999998</v>
      </c>
      <c r="AA68" s="261">
        <f>IF(AA$3&lt;=Summary!$C$2,_xlfn.XLOOKUP(NG!$B68,BS_NG!$C:$C,BS_NG!AB:AB),0)</f>
        <v>410102678.90999997</v>
      </c>
      <c r="AB68" s="261">
        <f>IF(AB$3&lt;=Summary!$C$2,_xlfn.XLOOKUP(NG!$B68,BS_NG!$C:$C,BS_NG!AC:AC),0)</f>
        <v>407922453.87</v>
      </c>
      <c r="AC68" s="261">
        <f>IF(AC$3&lt;=Summary!$C$2,_xlfn.XLOOKUP(NG!$B68,BS_NG!$C:$C,BS_NG!AD:AD),0)</f>
        <v>485672727.44999999</v>
      </c>
      <c r="AD68" s="261">
        <f>IF(AD$3&lt;=Summary!$C$2,_xlfn.XLOOKUP(NG!$B68,BS_NG!$C:$C,BS_NG!AE:AE),0)</f>
        <v>348729568.84000003</v>
      </c>
      <c r="AE68" s="261">
        <f>IF(AE$3&lt;=Summary!$C$2,_xlfn.XLOOKUP(NG!$B68,BS_NG!$C:$C,BS_NG!AF:AF),0)</f>
        <v>0</v>
      </c>
      <c r="AF68" s="261">
        <f>IF(AF$3&lt;=Summary!$C$2,_xlfn.XLOOKUP(NG!$B68,BS_NG!$C:$C,BS_NG!AG:AG),0)</f>
        <v>0</v>
      </c>
      <c r="AG68" s="261">
        <f>IF(AG$3&lt;=Summary!$C$2,_xlfn.XLOOKUP(NG!$B68,BS_NG!$C:$C,BS_NG!AH:AH),0)</f>
        <v>0</v>
      </c>
      <c r="AH68" s="261">
        <f>IF(AH$3&lt;=Summary!$C$2,_xlfn.XLOOKUP(NG!$B68,BS_NG!$C:$C,BS_NG!AI:AI),0)</f>
        <v>0</v>
      </c>
      <c r="AI68" s="261">
        <f>IF(AI$3&lt;=Summary!$C$2,_xlfn.XLOOKUP(NG!$B68,BS_NG!$C:$C,BS_NG!AJ:AJ),0)</f>
        <v>0</v>
      </c>
      <c r="AJ68" s="261">
        <f>IF(AJ$3&lt;=Summary!$C$2,_xlfn.XLOOKUP(NG!$B68,BS_NG!$C:$C,BS_NG!AK:AK),0)</f>
        <v>0</v>
      </c>
      <c r="AK68" s="261">
        <f>IF(AK$3&lt;=Summary!$C$2,_xlfn.XLOOKUP(NG!$B68,BS_NG!$C:$C,BS_NG!AL:AL),0)</f>
        <v>0</v>
      </c>
      <c r="AL68" s="261">
        <f>IF(AL$3&lt;=Summary!$C$2,_xlfn.XLOOKUP(NG!$B68,BS_NG!$C:$C,BS_NG!AM:AM),0)</f>
        <v>0</v>
      </c>
    </row>
    <row r="69" spans="2:38" x14ac:dyDescent="0.15">
      <c r="B69" s="259" t="s">
        <v>55</v>
      </c>
      <c r="C69" s="261">
        <f>IF(C$3&lt;=Summary!$C$2,_xlfn.XLOOKUP(NG!$B69,BS_NG!$C:$C,BS_NG!D:D),0)</f>
        <v>223617400.54999998</v>
      </c>
      <c r="D69" s="261">
        <f>IF(D$3&lt;=Summary!$C$2,_xlfn.XLOOKUP(NG!$B69,BS_NG!$C:$C,BS_NG!E:E),0)</f>
        <v>252505991.83999985</v>
      </c>
      <c r="E69" s="261">
        <f>IF(E$3&lt;=Summary!$C$2,_xlfn.XLOOKUP(NG!$B69,BS_NG!$C:$C,BS_NG!F:F),0)</f>
        <v>285125356.7700001</v>
      </c>
      <c r="F69" s="261">
        <f>IF(F$3&lt;=Summary!$C$2,_xlfn.XLOOKUP(NG!$B69,BS_NG!$C:$C,BS_NG!G:G),0)</f>
        <v>305740005.93999982</v>
      </c>
      <c r="G69" s="261">
        <f>IF(G$3&lt;=Summary!$C$2,_xlfn.XLOOKUP(NG!$B69,BS_NG!$C:$C,BS_NG!H:H),0)</f>
        <v>312294877.14000005</v>
      </c>
      <c r="H69" s="261">
        <f>IF(H$3&lt;=Summary!$C$2,_xlfn.XLOOKUP(NG!$B69,BS_NG!$C:$C,BS_NG!I:I),0)</f>
        <v>298170650.06000006</v>
      </c>
      <c r="I69" s="261">
        <f>IF(I$3&lt;=Summary!$C$2,_xlfn.XLOOKUP(NG!$B69,BS_NG!$C:$C,BS_NG!J:J),0)</f>
        <v>299287503.30999994</v>
      </c>
      <c r="J69" s="261">
        <f>IF(J$3&lt;=Summary!$C$2,_xlfn.XLOOKUP(NG!$B69,BS_NG!$C:$C,BS_NG!K:K),0)</f>
        <v>311827225.9600001</v>
      </c>
      <c r="K69" s="261">
        <f>IF(K$3&lt;=Summary!$C$2,_xlfn.XLOOKUP(NG!$B69,BS_NG!$C:$C,BS_NG!L:L),0)</f>
        <v>308141283.8900001</v>
      </c>
      <c r="L69" s="261">
        <f>IF(L$3&lt;=Summary!$C$2,_xlfn.XLOOKUP(NG!$B69,BS_NG!$C:$C,BS_NG!M:M),0)</f>
        <v>319642182.00999987</v>
      </c>
      <c r="M69" s="261">
        <f>IF(M$3&lt;=Summary!$C$2,_xlfn.XLOOKUP(NG!$B69,BS_NG!$C:$C,BS_NG!N:N),0)</f>
        <v>329407684.14999998</v>
      </c>
      <c r="N69" s="261">
        <f>IF(N$3&lt;=Summary!$C$2,_xlfn.XLOOKUP(NG!$B69,BS_NG!$C:$C,BS_NG!O:O),0)</f>
        <v>439962554.84999996</v>
      </c>
      <c r="O69" s="261">
        <f>IF(O$3&lt;=Summary!$C$2,_xlfn.XLOOKUP(NG!$B69,BS_NG!$C:$C,BS_NG!P:P),0)</f>
        <v>456018341.10000008</v>
      </c>
      <c r="P69" s="261">
        <f>IF(P$3&lt;=Summary!$C$2,_xlfn.XLOOKUP(NG!$B69,BS_NG!$C:$C,BS_NG!Q:Q),0)</f>
        <v>454599465.61000013</v>
      </c>
      <c r="Q69" s="261">
        <f>IF(Q$3&lt;=Summary!$C$2,_xlfn.XLOOKUP(NG!$B69,BS_NG!$C:$C,BS_NG!R:R),0)</f>
        <v>444180307.86999995</v>
      </c>
      <c r="R69" s="261">
        <f>IF(R$3&lt;=Summary!$C$2,_xlfn.XLOOKUP(NG!$B69,BS_NG!$C:$C,BS_NG!S:S),0)</f>
        <v>451742438.18000007</v>
      </c>
      <c r="S69" s="261">
        <f>IF(S$3&lt;=Summary!$C$2,_xlfn.XLOOKUP(NG!$B69,BS_NG!$C:$C,BS_NG!T:T),0)</f>
        <v>446683854.46000016</v>
      </c>
      <c r="T69" s="261">
        <f>IF(T$3&lt;=Summary!$C$2,_xlfn.XLOOKUP(NG!$B69,BS_NG!$C:$C,BS_NG!U:U),0)</f>
        <v>437651812.71999997</v>
      </c>
      <c r="U69" s="261">
        <f>IF(U$3&lt;=Summary!$C$2,_xlfn.XLOOKUP(NG!$B69,BS_NG!$C:$C,BS_NG!V:V),0)</f>
        <v>438627523.67000008</v>
      </c>
      <c r="V69" s="261">
        <f>IF(V$3&lt;=Summary!$C$2,_xlfn.XLOOKUP(NG!$B69,BS_NG!$C:$C,BS_NG!W:W),0)</f>
        <v>415401989.02999997</v>
      </c>
      <c r="W69" s="261">
        <f>IF(W$3&lt;=Summary!$C$2,_xlfn.XLOOKUP(NG!$B69,BS_NG!$C:$C,BS_NG!X:X),0)</f>
        <v>439487590.71999997</v>
      </c>
      <c r="X69" s="261">
        <f>IF(X$3&lt;=Summary!$C$2,_xlfn.XLOOKUP(NG!$B69,BS_NG!$C:$C,BS_NG!Y:Y),0)</f>
        <v>449648805.05000013</v>
      </c>
      <c r="Y69" s="261">
        <f>IF(Y$3&lt;=Summary!$C$2,_xlfn.XLOOKUP(NG!$B69,BS_NG!$C:$C,BS_NG!Z:Z),0)</f>
        <v>433105602.18000007</v>
      </c>
      <c r="Z69" s="261">
        <f>IF(Z$3&lt;=Summary!$C$2,_xlfn.XLOOKUP(NG!$B69,BS_NG!$C:$C,BS_NG!AA:AA),0)</f>
        <v>30487662.549999997</v>
      </c>
      <c r="AA69" s="261">
        <f>IF(AA$3&lt;=Summary!$C$2,_xlfn.XLOOKUP(NG!$B69,BS_NG!$C:$C,BS_NG!AB:AB),0)</f>
        <v>77915180.820000008</v>
      </c>
      <c r="AB69" s="261">
        <f>IF(AB$3&lt;=Summary!$C$2,_xlfn.XLOOKUP(NG!$B69,BS_NG!$C:$C,BS_NG!AC:AC),0)</f>
        <v>107721845.89999999</v>
      </c>
      <c r="AC69" s="261">
        <f>IF(AC$3&lt;=Summary!$C$2,_xlfn.XLOOKUP(NG!$B69,BS_NG!$C:$C,BS_NG!AD:AD),0)</f>
        <v>100597627.30999999</v>
      </c>
      <c r="AD69" s="261">
        <f>IF(AD$3&lt;=Summary!$C$2,_xlfn.XLOOKUP(NG!$B69,BS_NG!$C:$C,BS_NG!AE:AE),0)</f>
        <v>79280689.140000001</v>
      </c>
      <c r="AE69" s="261">
        <f>IF(AE$3&lt;=Summary!$C$2,_xlfn.XLOOKUP(NG!$B69,BS_NG!$C:$C,BS_NG!AF:AF),0)</f>
        <v>0</v>
      </c>
      <c r="AF69" s="261">
        <f>IF(AF$3&lt;=Summary!$C$2,_xlfn.XLOOKUP(NG!$B69,BS_NG!$C:$C,BS_NG!AG:AG),0)</f>
        <v>0</v>
      </c>
      <c r="AG69" s="261">
        <f>IF(AG$3&lt;=Summary!$C$2,_xlfn.XLOOKUP(NG!$B69,BS_NG!$C:$C,BS_NG!AH:AH),0)</f>
        <v>0</v>
      </c>
      <c r="AH69" s="261">
        <f>IF(AH$3&lt;=Summary!$C$2,_xlfn.XLOOKUP(NG!$B69,BS_NG!$C:$C,BS_NG!AI:AI),0)</f>
        <v>0</v>
      </c>
      <c r="AI69" s="261">
        <f>IF(AI$3&lt;=Summary!$C$2,_xlfn.XLOOKUP(NG!$B69,BS_NG!$C:$C,BS_NG!AJ:AJ),0)</f>
        <v>0</v>
      </c>
      <c r="AJ69" s="261">
        <f>IF(AJ$3&lt;=Summary!$C$2,_xlfn.XLOOKUP(NG!$B69,BS_NG!$C:$C,BS_NG!AK:AK),0)</f>
        <v>0</v>
      </c>
      <c r="AK69" s="261">
        <f>IF(AK$3&lt;=Summary!$C$2,_xlfn.XLOOKUP(NG!$B69,BS_NG!$C:$C,BS_NG!AL:AL),0)</f>
        <v>0</v>
      </c>
      <c r="AL69" s="261">
        <f>IF(AL$3&lt;=Summary!$C$2,_xlfn.XLOOKUP(NG!$B69,BS_NG!$C:$C,BS_NG!AM:AM),0)</f>
        <v>0</v>
      </c>
    </row>
    <row r="70" spans="2:38" x14ac:dyDescent="0.15">
      <c r="B70" s="259" t="s">
        <v>753</v>
      </c>
      <c r="C70" s="261">
        <f>IF(C$3&lt;=Summary!$C$2,_xlfn.XLOOKUP(NG!$B70,BS_NG!$C:$C,BS_NG!D:D),0)</f>
        <v>0</v>
      </c>
      <c r="D70" s="261">
        <f>IF(D$3&lt;=Summary!$C$2,_xlfn.XLOOKUP(NG!$B70,BS_NG!$C:$C,BS_NG!E:E),0)</f>
        <v>0</v>
      </c>
      <c r="E70" s="261">
        <f>IF(E$3&lt;=Summary!$C$2,_xlfn.XLOOKUP(NG!$B70,BS_NG!$C:$C,BS_NG!F:F),0)</f>
        <v>0</v>
      </c>
      <c r="F70" s="261">
        <f>IF(F$3&lt;=Summary!$C$2,_xlfn.XLOOKUP(NG!$B70,BS_NG!$C:$C,BS_NG!G:G),0)</f>
        <v>0</v>
      </c>
      <c r="G70" s="261">
        <f>IF(G$3&lt;=Summary!$C$2,_xlfn.XLOOKUP(NG!$B70,BS_NG!$C:$C,BS_NG!H:H),0)</f>
        <v>0</v>
      </c>
      <c r="H70" s="261">
        <f>IF(H$3&lt;=Summary!$C$2,_xlfn.XLOOKUP(NG!$B70,BS_NG!$C:$C,BS_NG!I:I),0)</f>
        <v>0</v>
      </c>
      <c r="I70" s="261">
        <f>IF(I$3&lt;=Summary!$C$2,_xlfn.XLOOKUP(NG!$B70,BS_NG!$C:$C,BS_NG!J:J),0)</f>
        <v>0</v>
      </c>
      <c r="J70" s="261">
        <f>IF(J$3&lt;=Summary!$C$2,_xlfn.XLOOKUP(NG!$B70,BS_NG!$C:$C,BS_NG!K:K),0)</f>
        <v>0</v>
      </c>
      <c r="K70" s="261">
        <f>IF(K$3&lt;=Summary!$C$2,_xlfn.XLOOKUP(NG!$B70,BS_NG!$C:$C,BS_NG!L:L),0)</f>
        <v>0</v>
      </c>
      <c r="L70" s="261">
        <f>IF(L$3&lt;=Summary!$C$2,_xlfn.XLOOKUP(NG!$B70,BS_NG!$C:$C,BS_NG!M:M),0)</f>
        <v>0</v>
      </c>
      <c r="M70" s="261">
        <f>IF(M$3&lt;=Summary!$C$2,_xlfn.XLOOKUP(NG!$B70,BS_NG!$C:$C,BS_NG!N:N),0)</f>
        <v>0</v>
      </c>
      <c r="N70" s="261">
        <f>IF(N$3&lt;=Summary!$C$2,_xlfn.XLOOKUP(NG!$B70,BS_NG!$C:$C,BS_NG!O:O),0)</f>
        <v>0</v>
      </c>
      <c r="O70" s="261">
        <f>IF(O$3&lt;=Summary!$C$2,_xlfn.XLOOKUP(NG!$B70,BS_NG!$C:$C,BS_NG!P:P),0)</f>
        <v>0</v>
      </c>
      <c r="P70" s="261">
        <f>IF(P$3&lt;=Summary!$C$2,_xlfn.XLOOKUP(NG!$B70,BS_NG!$C:$C,BS_NG!Q:Q),0)</f>
        <v>0</v>
      </c>
      <c r="Q70" s="261">
        <f>IF(Q$3&lt;=Summary!$C$2,_xlfn.XLOOKUP(NG!$B70,BS_NG!$C:$C,BS_NG!R:R),0)</f>
        <v>0</v>
      </c>
      <c r="R70" s="261">
        <f>IF(R$3&lt;=Summary!$C$2,_xlfn.XLOOKUP(NG!$B70,BS_NG!$C:$C,BS_NG!S:S),0)</f>
        <v>0</v>
      </c>
      <c r="S70" s="261">
        <f>IF(S$3&lt;=Summary!$C$2,_xlfn.XLOOKUP(NG!$B70,BS_NG!$C:$C,BS_NG!T:T),0)</f>
        <v>0</v>
      </c>
      <c r="T70" s="261">
        <f>IF(T$3&lt;=Summary!$C$2,_xlfn.XLOOKUP(NG!$B70,BS_NG!$C:$C,BS_NG!U:U),0)</f>
        <v>0</v>
      </c>
      <c r="U70" s="261">
        <f>IF(U$3&lt;=Summary!$C$2,_xlfn.XLOOKUP(NG!$B70,BS_NG!$C:$C,BS_NG!V:V),0)</f>
        <v>0</v>
      </c>
      <c r="V70" s="261">
        <f>IF(V$3&lt;=Summary!$C$2,_xlfn.XLOOKUP(NG!$B70,BS_NG!$C:$C,BS_NG!W:W),0)</f>
        <v>0</v>
      </c>
      <c r="W70" s="261">
        <f>IF(W$3&lt;=Summary!$C$2,_xlfn.XLOOKUP(NG!$B70,BS_NG!$C:$C,BS_NG!X:X),0)</f>
        <v>0</v>
      </c>
      <c r="X70" s="261">
        <f>IF(X$3&lt;=Summary!$C$2,_xlfn.XLOOKUP(NG!$B70,BS_NG!$C:$C,BS_NG!Y:Y),0)</f>
        <v>0</v>
      </c>
      <c r="Y70" s="261">
        <f>IF(Y$3&lt;=Summary!$C$2,_xlfn.XLOOKUP(NG!$B70,BS_NG!$C:$C,BS_NG!Z:Z),0)</f>
        <v>0</v>
      </c>
      <c r="Z70" s="261">
        <f>IF(Z$3&lt;=Summary!$C$2,_xlfn.XLOOKUP(NG!$B70,BS_NG!$C:$C,BS_NG!AA:AA),0)</f>
        <v>0</v>
      </c>
      <c r="AA70" s="261">
        <f>IF(AA$3&lt;=Summary!$C$2,_xlfn.XLOOKUP(NG!$B70,BS_NG!$C:$C,BS_NG!AB:AB),0)</f>
        <v>0</v>
      </c>
      <c r="AB70" s="261">
        <f>IF(AB$3&lt;=Summary!$C$2,_xlfn.XLOOKUP(NG!$B70,BS_NG!$C:$C,BS_NG!AC:AC),0)</f>
        <v>0</v>
      </c>
      <c r="AC70" s="261">
        <f>IF(AC$3&lt;=Summary!$C$2,_xlfn.XLOOKUP(NG!$B70,BS_NG!$C:$C,BS_NG!AD:AD),0)</f>
        <v>0</v>
      </c>
      <c r="AD70" s="261">
        <f>IF(AD$3&lt;=Summary!$C$2,_xlfn.XLOOKUP(NG!$B70,BS_NG!$C:$C,BS_NG!AE:AE),0)</f>
        <v>0</v>
      </c>
      <c r="AE70" s="261">
        <f>IF(AE$3&lt;=Summary!$C$2,_xlfn.XLOOKUP(NG!$B70,BS_NG!$C:$C,BS_NG!AF:AF),0)</f>
        <v>0</v>
      </c>
      <c r="AF70" s="261">
        <f>IF(AF$3&lt;=Summary!$C$2,_xlfn.XLOOKUP(NG!$B70,BS_NG!$C:$C,BS_NG!AG:AG),0)</f>
        <v>0</v>
      </c>
      <c r="AG70" s="261">
        <f>IF(AG$3&lt;=Summary!$C$2,_xlfn.XLOOKUP(NG!$B70,BS_NG!$C:$C,BS_NG!AH:AH),0)</f>
        <v>0</v>
      </c>
      <c r="AH70" s="261">
        <f>IF(AH$3&lt;=Summary!$C$2,_xlfn.XLOOKUP(NG!$B70,BS_NG!$C:$C,BS_NG!AI:AI),0)</f>
        <v>0</v>
      </c>
      <c r="AI70" s="261">
        <f>IF(AI$3&lt;=Summary!$C$2,_xlfn.XLOOKUP(NG!$B70,BS_NG!$C:$C,BS_NG!AJ:AJ),0)</f>
        <v>0</v>
      </c>
      <c r="AJ70" s="261">
        <f>IF(AJ$3&lt;=Summary!$C$2,_xlfn.XLOOKUP(NG!$B70,BS_NG!$C:$C,BS_NG!AK:AK),0)</f>
        <v>0</v>
      </c>
      <c r="AK70" s="261">
        <f>IF(AK$3&lt;=Summary!$C$2,_xlfn.XLOOKUP(NG!$B70,BS_NG!$C:$C,BS_NG!AL:AL),0)</f>
        <v>0</v>
      </c>
      <c r="AL70" s="261">
        <f>IF(AL$3&lt;=Summary!$C$2,_xlfn.XLOOKUP(NG!$B70,BS_NG!$C:$C,BS_NG!AM:AM),0)</f>
        <v>0</v>
      </c>
    </row>
    <row r="71" spans="2:38" x14ac:dyDescent="0.15">
      <c r="B71" s="259" t="s">
        <v>57</v>
      </c>
      <c r="C71" s="261">
        <f>IF(C$3&lt;=Summary!$C$2,_xlfn.XLOOKUP(NG!$B71,BS_NG!$C:$C,BS_NG!D:D),0)</f>
        <v>527005282.61000001</v>
      </c>
      <c r="D71" s="261">
        <f>IF(D$3&lt;=Summary!$C$2,_xlfn.XLOOKUP(NG!$B71,BS_NG!$C:$C,BS_NG!E:E),0)</f>
        <v>585607521.69000006</v>
      </c>
      <c r="E71" s="261">
        <f>IF(E$3&lt;=Summary!$C$2,_xlfn.XLOOKUP(NG!$B71,BS_NG!$C:$C,BS_NG!F:F),0)</f>
        <v>956289975.97000003</v>
      </c>
      <c r="F71" s="261">
        <f>IF(F$3&lt;=Summary!$C$2,_xlfn.XLOOKUP(NG!$B71,BS_NG!$C:$C,BS_NG!G:G),0)</f>
        <v>730818534.38999999</v>
      </c>
      <c r="G71" s="261">
        <f>IF(G$3&lt;=Summary!$C$2,_xlfn.XLOOKUP(NG!$B71,BS_NG!$C:$C,BS_NG!H:H),0)</f>
        <v>573467582.22000003</v>
      </c>
      <c r="H71" s="261">
        <f>IF(H$3&lt;=Summary!$C$2,_xlfn.XLOOKUP(NG!$B71,BS_NG!$C:$C,BS_NG!I:I),0)</f>
        <v>1487683837.2699997</v>
      </c>
      <c r="I71" s="261">
        <f>IF(I$3&lt;=Summary!$C$2,_xlfn.XLOOKUP(NG!$B71,BS_NG!$C:$C,BS_NG!J:J),0)</f>
        <v>945299359.88000023</v>
      </c>
      <c r="J71" s="261">
        <f>IF(J$3&lt;=Summary!$C$2,_xlfn.XLOOKUP(NG!$B71,BS_NG!$C:$C,BS_NG!K:K),0)</f>
        <v>1134715455.2</v>
      </c>
      <c r="K71" s="261">
        <f>IF(K$3&lt;=Summary!$C$2,_xlfn.XLOOKUP(NG!$B71,BS_NG!$C:$C,BS_NG!L:L),0)</f>
        <v>1056430801.1900001</v>
      </c>
      <c r="L71" s="261">
        <f>IF(L$3&lt;=Summary!$C$2,_xlfn.XLOOKUP(NG!$B71,BS_NG!$C:$C,BS_NG!M:M),0)</f>
        <v>1010655965.49</v>
      </c>
      <c r="M71" s="261">
        <f>IF(M$3&lt;=Summary!$C$2,_xlfn.XLOOKUP(NG!$B71,BS_NG!$C:$C,BS_NG!N:N),0)</f>
        <v>1036189825.5</v>
      </c>
      <c r="N71" s="261">
        <f>IF(N$3&lt;=Summary!$C$2,_xlfn.XLOOKUP(NG!$B71,BS_NG!$C:$C,BS_NG!O:O),0)</f>
        <v>1021073972.0700001</v>
      </c>
      <c r="O71" s="261">
        <f>IF(O$3&lt;=Summary!$C$2,_xlfn.XLOOKUP(NG!$B71,BS_NG!$C:$C,BS_NG!P:P),0)</f>
        <v>930055103.02999997</v>
      </c>
      <c r="P71" s="261">
        <f>IF(P$3&lt;=Summary!$C$2,_xlfn.XLOOKUP(NG!$B71,BS_NG!$C:$C,BS_NG!Q:Q),0)</f>
        <v>846797417.88000011</v>
      </c>
      <c r="Q71" s="261">
        <f>IF(Q$3&lt;=Summary!$C$2,_xlfn.XLOOKUP(NG!$B71,BS_NG!$C:$C,BS_NG!R:R),0)</f>
        <v>992371387.54999995</v>
      </c>
      <c r="R71" s="261">
        <f>IF(R$3&lt;=Summary!$C$2,_xlfn.XLOOKUP(NG!$B71,BS_NG!$C:$C,BS_NG!S:S),0)</f>
        <v>841442419.35000014</v>
      </c>
      <c r="S71" s="261">
        <f>IF(S$3&lt;=Summary!$C$2,_xlfn.XLOOKUP(NG!$B71,BS_NG!$C:$C,BS_NG!T:T),0)</f>
        <v>785507433.75</v>
      </c>
      <c r="T71" s="261">
        <f>IF(T$3&lt;=Summary!$C$2,_xlfn.XLOOKUP(NG!$B71,BS_NG!$C:$C,BS_NG!U:U),0)</f>
        <v>990062067.20000005</v>
      </c>
      <c r="U71" s="261">
        <f>IF(U$3&lt;=Summary!$C$2,_xlfn.XLOOKUP(NG!$B71,BS_NG!$C:$C,BS_NG!V:V),0)</f>
        <v>1167529597.2900002</v>
      </c>
      <c r="V71" s="261">
        <f>IF(V$3&lt;=Summary!$C$2,_xlfn.XLOOKUP(NG!$B71,BS_NG!$C:$C,BS_NG!W:W),0)</f>
        <v>1522950324.9399998</v>
      </c>
      <c r="W71" s="261">
        <f>IF(W$3&lt;=Summary!$C$2,_xlfn.XLOOKUP(NG!$B71,BS_NG!$C:$C,BS_NG!X:X),0)</f>
        <v>1506916844.6800001</v>
      </c>
      <c r="X71" s="261">
        <f>IF(X$3&lt;=Summary!$C$2,_xlfn.XLOOKUP(NG!$B71,BS_NG!$C:$C,BS_NG!Y:Y),0)</f>
        <v>1371082766.4399998</v>
      </c>
      <c r="Y71" s="261">
        <f>IF(Y$3&lt;=Summary!$C$2,_xlfn.XLOOKUP(NG!$B71,BS_NG!$C:$C,BS_NG!Z:Z),0)</f>
        <v>1211220623.5400002</v>
      </c>
      <c r="Z71" s="261">
        <f>IF(Z$3&lt;=Summary!$C$2,_xlfn.XLOOKUP(NG!$B71,BS_NG!$C:$C,BS_NG!AA:AA),0)</f>
        <v>1197173658.9799998</v>
      </c>
      <c r="AA71" s="261">
        <f>IF(AA$3&lt;=Summary!$C$2,_xlfn.XLOOKUP(NG!$B71,BS_NG!$C:$C,BS_NG!AB:AB),0)</f>
        <v>1127757172.3000002</v>
      </c>
      <c r="AB71" s="261">
        <f>IF(AB$3&lt;=Summary!$C$2,_xlfn.XLOOKUP(NG!$B71,BS_NG!$C:$C,BS_NG!AC:AC),0)</f>
        <v>1145934563.23</v>
      </c>
      <c r="AC71" s="261">
        <f>IF(AC$3&lt;=Summary!$C$2,_xlfn.XLOOKUP(NG!$B71,BS_NG!$C:$C,BS_NG!AD:AD),0)</f>
        <v>1219798072.0700002</v>
      </c>
      <c r="AD71" s="261">
        <f>IF(AD$3&lt;=Summary!$C$2,_xlfn.XLOOKUP(NG!$B71,BS_NG!$C:$C,BS_NG!AE:AE),0)</f>
        <v>1029069708.7499999</v>
      </c>
      <c r="AE71" s="261">
        <f>IF(AE$3&lt;=Summary!$C$2,_xlfn.XLOOKUP(NG!$B71,BS_NG!$C:$C,BS_NG!AF:AF),0)</f>
        <v>0</v>
      </c>
      <c r="AF71" s="261">
        <f>IF(AF$3&lt;=Summary!$C$2,_xlfn.XLOOKUP(NG!$B71,BS_NG!$C:$C,BS_NG!AG:AG),0)</f>
        <v>0</v>
      </c>
      <c r="AG71" s="261">
        <f>IF(AG$3&lt;=Summary!$C$2,_xlfn.XLOOKUP(NG!$B71,BS_NG!$C:$C,BS_NG!AH:AH),0)</f>
        <v>0</v>
      </c>
      <c r="AH71" s="261">
        <f>IF(AH$3&lt;=Summary!$C$2,_xlfn.XLOOKUP(NG!$B71,BS_NG!$C:$C,BS_NG!AI:AI),0)</f>
        <v>0</v>
      </c>
      <c r="AI71" s="261">
        <f>IF(AI$3&lt;=Summary!$C$2,_xlfn.XLOOKUP(NG!$B71,BS_NG!$C:$C,BS_NG!AJ:AJ),0)</f>
        <v>0</v>
      </c>
      <c r="AJ71" s="261">
        <f>IF(AJ$3&lt;=Summary!$C$2,_xlfn.XLOOKUP(NG!$B71,BS_NG!$C:$C,BS_NG!AK:AK),0)</f>
        <v>0</v>
      </c>
      <c r="AK71" s="261">
        <f>IF(AK$3&lt;=Summary!$C$2,_xlfn.XLOOKUP(NG!$B71,BS_NG!$C:$C,BS_NG!AL:AL),0)</f>
        <v>0</v>
      </c>
      <c r="AL71" s="261">
        <f>IF(AL$3&lt;=Summary!$C$2,_xlfn.XLOOKUP(NG!$B71,BS_NG!$C:$C,BS_NG!AM:AM),0)</f>
        <v>0</v>
      </c>
    </row>
    <row r="72" spans="2:38" x14ac:dyDescent="0.15">
      <c r="B72" s="259" t="s">
        <v>61</v>
      </c>
      <c r="C72" s="261">
        <f>IF(C$3&lt;=Summary!$C$2,_xlfn.XLOOKUP(NG!$B72,BS_NG!$C:$C,BS_NG!D:D),0)</f>
        <v>3761841.8599999994</v>
      </c>
      <c r="D72" s="261">
        <f>IF(D$3&lt;=Summary!$C$2,_xlfn.XLOOKUP(NG!$B72,BS_NG!$C:$C,BS_NG!E:E),0)</f>
        <v>3761841.8599999994</v>
      </c>
      <c r="E72" s="261">
        <f>IF(E$3&lt;=Summary!$C$2,_xlfn.XLOOKUP(NG!$B72,BS_NG!$C:$C,BS_NG!F:F),0)</f>
        <v>6732728809.3599997</v>
      </c>
      <c r="F72" s="261">
        <f>IF(F$3&lt;=Summary!$C$2,_xlfn.XLOOKUP(NG!$B72,BS_NG!$C:$C,BS_NG!G:G),0)</f>
        <v>5988313209.3599997</v>
      </c>
      <c r="G72" s="261">
        <f>IF(G$3&lt;=Summary!$C$2,_xlfn.XLOOKUP(NG!$B72,BS_NG!$C:$C,BS_NG!H:H),0)</f>
        <v>6130181409.3599997</v>
      </c>
      <c r="H72" s="261">
        <f>IF(H$3&lt;=Summary!$C$2,_xlfn.XLOOKUP(NG!$B72,BS_NG!$C:$C,BS_NG!I:I),0)</f>
        <v>6855728409.3599997</v>
      </c>
      <c r="I72" s="261">
        <f>IF(I$3&lt;=Summary!$C$2,_xlfn.XLOOKUP(NG!$B72,BS_NG!$C:$C,BS_NG!J:J),0)</f>
        <v>7265521209.3599997</v>
      </c>
      <c r="J72" s="261">
        <f>IF(J$3&lt;=Summary!$C$2,_xlfn.XLOOKUP(NG!$B72,BS_NG!$C:$C,BS_NG!K:K),0)</f>
        <v>7097635809.3599997</v>
      </c>
      <c r="K72" s="261">
        <f>IF(K$3&lt;=Summary!$C$2,_xlfn.XLOOKUP(NG!$B72,BS_NG!$C:$C,BS_NG!L:L),0)</f>
        <v>7438531209.3599997</v>
      </c>
      <c r="L72" s="261">
        <f>IF(L$3&lt;=Summary!$C$2,_xlfn.XLOOKUP(NG!$B72,BS_NG!$C:$C,BS_NG!M:M),0)</f>
        <v>7330608009.3599997</v>
      </c>
      <c r="M72" s="261">
        <f>IF(M$3&lt;=Summary!$C$2,_xlfn.XLOOKUP(NG!$B72,BS_NG!$C:$C,BS_NG!N:N),0)</f>
        <v>7503793209.3599997</v>
      </c>
      <c r="N72" s="261">
        <f>IF(N$3&lt;=Summary!$C$2,_xlfn.XLOOKUP(NG!$B72,BS_NG!$C:$C,BS_NG!O:O),0)</f>
        <v>6706041209.3599997</v>
      </c>
      <c r="O72" s="261">
        <f>IF(O$3&lt;=Summary!$C$2,_xlfn.XLOOKUP(NG!$B72,BS_NG!$C:$C,BS_NG!P:P),0)</f>
        <v>6665832809.3599997</v>
      </c>
      <c r="P72" s="261">
        <f>IF(P$3&lt;=Summary!$C$2,_xlfn.XLOOKUP(NG!$B72,BS_NG!$C:$C,BS_NG!Q:Q),0)</f>
        <v>6492779009.3599997</v>
      </c>
      <c r="Q72" s="261">
        <f>IF(Q$3&lt;=Summary!$C$2,_xlfn.XLOOKUP(NG!$B72,BS_NG!$C:$C,BS_NG!R:R),0)</f>
        <v>6492779009.3599997</v>
      </c>
      <c r="R72" s="261">
        <f>IF(R$3&lt;=Summary!$C$2,_xlfn.XLOOKUP(NG!$B72,BS_NG!$C:$C,BS_NG!S:S),0)</f>
        <v>6492779009.3599997</v>
      </c>
      <c r="S72" s="261">
        <f>IF(S$3&lt;=Summary!$C$2,_xlfn.XLOOKUP(NG!$B72,BS_NG!$C:$C,BS_NG!T:T),0)</f>
        <v>6492779009.3599997</v>
      </c>
      <c r="T72" s="261">
        <f>IF(T$3&lt;=Summary!$C$2,_xlfn.XLOOKUP(NG!$B72,BS_NG!$C:$C,BS_NG!U:U),0)</f>
        <v>6492779009.3599997</v>
      </c>
      <c r="U72" s="261">
        <f>IF(U$3&lt;=Summary!$C$2,_xlfn.XLOOKUP(NG!$B72,BS_NG!$C:$C,BS_NG!V:V),0)</f>
        <v>6492779009.3599997</v>
      </c>
      <c r="V72" s="261">
        <f>IF(V$3&lt;=Summary!$C$2,_xlfn.XLOOKUP(NG!$B72,BS_NG!$C:$C,BS_NG!W:W),0)</f>
        <v>6492779009.3599997</v>
      </c>
      <c r="W72" s="261">
        <f>IF(W$3&lt;=Summary!$C$2,_xlfn.XLOOKUP(NG!$B72,BS_NG!$C:$C,BS_NG!X:X),0)</f>
        <v>6492779009.3599997</v>
      </c>
      <c r="X72" s="261">
        <f>IF(X$3&lt;=Summary!$C$2,_xlfn.XLOOKUP(NG!$B72,BS_NG!$C:$C,BS_NG!Y:Y),0)</f>
        <v>6492779009.3599997</v>
      </c>
      <c r="Y72" s="261">
        <f>IF(Y$3&lt;=Summary!$C$2,_xlfn.XLOOKUP(NG!$B72,BS_NG!$C:$C,BS_NG!Z:Z),0)</f>
        <v>6492779009.3599997</v>
      </c>
      <c r="Z72" s="261">
        <f>IF(Z$3&lt;=Summary!$C$2,_xlfn.XLOOKUP(NG!$B72,BS_NG!$C:$C,BS_NG!AA:AA),0)</f>
        <v>6706041209.3599997</v>
      </c>
      <c r="AA72" s="261">
        <f>IF(AA$3&lt;=Summary!$C$2,_xlfn.XLOOKUP(NG!$B72,BS_NG!$C:$C,BS_NG!AB:AB),0)</f>
        <v>6706041209.3599997</v>
      </c>
      <c r="AB72" s="261">
        <f>IF(AB$3&lt;=Summary!$C$2,_xlfn.XLOOKUP(NG!$B72,BS_NG!$C:$C,BS_NG!AC:AC),0)</f>
        <v>6706041209.3599997</v>
      </c>
      <c r="AC72" s="261">
        <f>IF(AC$3&lt;=Summary!$C$2,_xlfn.XLOOKUP(NG!$B72,BS_NG!$C:$C,BS_NG!AD:AD),0)</f>
        <v>6706041209.3599997</v>
      </c>
      <c r="AD72" s="261">
        <f>IF(AD$3&lt;=Summary!$C$2,_xlfn.XLOOKUP(NG!$B72,BS_NG!$C:$C,BS_NG!AE:AE),0)</f>
        <v>6706041209.3599997</v>
      </c>
      <c r="AE72" s="261">
        <f>IF(AE$3&lt;=Summary!$C$2,_xlfn.XLOOKUP(NG!$B72,BS_NG!$C:$C,BS_NG!AF:AF),0)</f>
        <v>0</v>
      </c>
      <c r="AF72" s="261">
        <f>IF(AF$3&lt;=Summary!$C$2,_xlfn.XLOOKUP(NG!$B72,BS_NG!$C:$C,BS_NG!AG:AG),0)</f>
        <v>0</v>
      </c>
      <c r="AG72" s="261">
        <f>IF(AG$3&lt;=Summary!$C$2,_xlfn.XLOOKUP(NG!$B72,BS_NG!$C:$C,BS_NG!AH:AH),0)</f>
        <v>0</v>
      </c>
      <c r="AH72" s="261">
        <f>IF(AH$3&lt;=Summary!$C$2,_xlfn.XLOOKUP(NG!$B72,BS_NG!$C:$C,BS_NG!AI:AI),0)</f>
        <v>0</v>
      </c>
      <c r="AI72" s="261">
        <f>IF(AI$3&lt;=Summary!$C$2,_xlfn.XLOOKUP(NG!$B72,BS_NG!$C:$C,BS_NG!AJ:AJ),0)</f>
        <v>0</v>
      </c>
      <c r="AJ72" s="261">
        <f>IF(AJ$3&lt;=Summary!$C$2,_xlfn.XLOOKUP(NG!$B72,BS_NG!$C:$C,BS_NG!AK:AK),0)</f>
        <v>0</v>
      </c>
      <c r="AK72" s="261">
        <f>IF(AK$3&lt;=Summary!$C$2,_xlfn.XLOOKUP(NG!$B72,BS_NG!$C:$C,BS_NG!AL:AL),0)</f>
        <v>0</v>
      </c>
      <c r="AL72" s="261">
        <f>IF(AL$3&lt;=Summary!$C$2,_xlfn.XLOOKUP(NG!$B72,BS_NG!$C:$C,BS_NG!AM:AM),0)</f>
        <v>0</v>
      </c>
    </row>
    <row r="73" spans="2:38" x14ac:dyDescent="0.15">
      <c r="B73" s="259" t="s">
        <v>62</v>
      </c>
      <c r="C73" s="261">
        <f>IF(C$3&lt;=Summary!$C$2,_xlfn.XLOOKUP(NG!$B73,BS_NG!$C:$C,BS_NG!D:D),0)</f>
        <v>990840641.1200006</v>
      </c>
      <c r="D73" s="261">
        <f>IF(D$3&lt;=Summary!$C$2,_xlfn.XLOOKUP(NG!$B73,BS_NG!$C:$C,BS_NG!E:E),0)</f>
        <v>1305682959.7600007</v>
      </c>
      <c r="E73" s="261">
        <f>IF(E$3&lt;=Summary!$C$2,_xlfn.XLOOKUP(NG!$B73,BS_NG!$C:$C,BS_NG!F:F),0)</f>
        <v>1567931548.8100033</v>
      </c>
      <c r="F73" s="261">
        <f>IF(F$3&lt;=Summary!$C$2,_xlfn.XLOOKUP(NG!$B73,BS_NG!$C:$C,BS_NG!G:G),0)</f>
        <v>1812031664.9399981</v>
      </c>
      <c r="G73" s="261">
        <f>IF(G$3&lt;=Summary!$C$2,_xlfn.XLOOKUP(NG!$B73,BS_NG!$C:$C,BS_NG!H:H),0)</f>
        <v>1605022781.2700038</v>
      </c>
      <c r="H73" s="261">
        <f>IF(H$3&lt;=Summary!$C$2,_xlfn.XLOOKUP(NG!$B73,BS_NG!$C:$C,BS_NG!I:I),0)</f>
        <v>1515937232.4200006</v>
      </c>
      <c r="I73" s="261">
        <f>IF(I$3&lt;=Summary!$C$2,_xlfn.XLOOKUP(NG!$B73,BS_NG!$C:$C,BS_NG!J:J),0)</f>
        <v>1476517926.4600024</v>
      </c>
      <c r="J73" s="261">
        <f>IF(J$3&lt;=Summary!$C$2,_xlfn.XLOOKUP(NG!$B73,BS_NG!$C:$C,BS_NG!K:K),0)</f>
        <v>1553342279.980001</v>
      </c>
      <c r="K73" s="261">
        <f>IF(K$3&lt;=Summary!$C$2,_xlfn.XLOOKUP(NG!$B73,BS_NG!$C:$C,BS_NG!L:L),0)</f>
        <v>1531928716.0999978</v>
      </c>
      <c r="L73" s="261">
        <f>IF(L$3&lt;=Summary!$C$2,_xlfn.XLOOKUP(NG!$B73,BS_NG!$C:$C,BS_NG!M:M),0)</f>
        <v>1264500361.3100023</v>
      </c>
      <c r="M73" s="261">
        <f>IF(M$3&lt;=Summary!$C$2,_xlfn.XLOOKUP(NG!$B73,BS_NG!$C:$C,BS_NG!N:N),0)</f>
        <v>1030009890.3100003</v>
      </c>
      <c r="N73" s="261">
        <f>IF(N$3&lt;=Summary!$C$2,_xlfn.XLOOKUP(NG!$B73,BS_NG!$C:$C,BS_NG!O:O),0)</f>
        <v>1016907446.9300029</v>
      </c>
      <c r="O73" s="261">
        <f>IF(O$3&lt;=Summary!$C$2,_xlfn.XLOOKUP(NG!$B73,BS_NG!$C:$C,BS_NG!P:P),0)</f>
        <v>999632337.74000037</v>
      </c>
      <c r="P73" s="261">
        <f>IF(P$3&lt;=Summary!$C$2,_xlfn.XLOOKUP(NG!$B73,BS_NG!$C:$C,BS_NG!Q:Q),0)</f>
        <v>951403772.42000151</v>
      </c>
      <c r="Q73" s="261">
        <f>IF(Q$3&lt;=Summary!$C$2,_xlfn.XLOOKUP(NG!$B73,BS_NG!$C:$C,BS_NG!R:R),0)</f>
        <v>950101992.26999974</v>
      </c>
      <c r="R73" s="261">
        <f>IF(R$3&lt;=Summary!$C$2,_xlfn.XLOOKUP(NG!$B73,BS_NG!$C:$C,BS_NG!S:S),0)</f>
        <v>1063237635.2300006</v>
      </c>
      <c r="S73" s="261">
        <f>IF(S$3&lt;=Summary!$C$2,_xlfn.XLOOKUP(NG!$B73,BS_NG!$C:$C,BS_NG!T:T),0)</f>
        <v>652597298.39000034</v>
      </c>
      <c r="T73" s="261">
        <f>IF(T$3&lt;=Summary!$C$2,_xlfn.XLOOKUP(NG!$B73,BS_NG!$C:$C,BS_NG!U:U),0)</f>
        <v>404042288.63999939</v>
      </c>
      <c r="U73" s="261">
        <f>IF(U$3&lt;=Summary!$C$2,_xlfn.XLOOKUP(NG!$B73,BS_NG!$C:$C,BS_NG!V:V),0)</f>
        <v>239846054.41999829</v>
      </c>
      <c r="V73" s="261">
        <f>IF(V$3&lt;=Summary!$C$2,_xlfn.XLOOKUP(NG!$B73,BS_NG!$C:$C,BS_NG!W:W),0)</f>
        <v>204931468.02000022</v>
      </c>
      <c r="W73" s="261">
        <f>IF(W$3&lt;=Summary!$C$2,_xlfn.XLOOKUP(NG!$B73,BS_NG!$C:$C,BS_NG!X:X),0)</f>
        <v>69584163.149999022</v>
      </c>
      <c r="X73" s="261">
        <f>IF(X$3&lt;=Summary!$C$2,_xlfn.XLOOKUP(NG!$B73,BS_NG!$C:$C,BS_NG!Y:Y),0)</f>
        <v>298916513.41000175</v>
      </c>
      <c r="Y73" s="261">
        <f>IF(Y$3&lt;=Summary!$C$2,_xlfn.XLOOKUP(NG!$B73,BS_NG!$C:$C,BS_NG!Z:Z),0)</f>
        <v>262564482.96000063</v>
      </c>
      <c r="Z73" s="261">
        <f>IF(Z$3&lt;=Summary!$C$2,_xlfn.XLOOKUP(NG!$B73,BS_NG!$C:$C,BS_NG!AA:AA),0)</f>
        <v>-691993542.92999661</v>
      </c>
      <c r="AA73" s="261">
        <f>IF(AA$3&lt;=Summary!$C$2,_xlfn.XLOOKUP(NG!$B73,BS_NG!$C:$C,BS_NG!AB:AB),0)</f>
        <v>-470038908.65000153</v>
      </c>
      <c r="AB73" s="261">
        <f>IF(AB$3&lt;=Summary!$C$2,_xlfn.XLOOKUP(NG!$B73,BS_NG!$C:$C,BS_NG!AC:AC),0)</f>
        <v>-118848390.09000123</v>
      </c>
      <c r="AC73" s="261">
        <f>IF(AC$3&lt;=Summary!$C$2,_xlfn.XLOOKUP(NG!$B73,BS_NG!$C:$C,BS_NG!AD:AD),0)</f>
        <v>16035616.89999938</v>
      </c>
      <c r="AD73" s="261">
        <f>IF(AD$3&lt;=Summary!$C$2,_xlfn.XLOOKUP(NG!$B73,BS_NG!$C:$C,BS_NG!AE:AE),0)</f>
        <v>101133388.76000166</v>
      </c>
      <c r="AE73" s="261">
        <f>IF(AE$3&lt;=Summary!$C$2,_xlfn.XLOOKUP(NG!$B73,BS_NG!$C:$C,BS_NG!AF:AF),0)</f>
        <v>0</v>
      </c>
      <c r="AF73" s="261">
        <f>IF(AF$3&lt;=Summary!$C$2,_xlfn.XLOOKUP(NG!$B73,BS_NG!$C:$C,BS_NG!AG:AG),0)</f>
        <v>0</v>
      </c>
      <c r="AG73" s="261">
        <f>IF(AG$3&lt;=Summary!$C$2,_xlfn.XLOOKUP(NG!$B73,BS_NG!$C:$C,BS_NG!AH:AH),0)</f>
        <v>0</v>
      </c>
      <c r="AH73" s="261">
        <f>IF(AH$3&lt;=Summary!$C$2,_xlfn.XLOOKUP(NG!$B73,BS_NG!$C:$C,BS_NG!AI:AI),0)</f>
        <v>0</v>
      </c>
      <c r="AI73" s="261">
        <f>IF(AI$3&lt;=Summary!$C$2,_xlfn.XLOOKUP(NG!$B73,BS_NG!$C:$C,BS_NG!AJ:AJ),0)</f>
        <v>0</v>
      </c>
      <c r="AJ73" s="261">
        <f>IF(AJ$3&lt;=Summary!$C$2,_xlfn.XLOOKUP(NG!$B73,BS_NG!$C:$C,BS_NG!AK:AK),0)</f>
        <v>0</v>
      </c>
      <c r="AK73" s="261">
        <f>IF(AK$3&lt;=Summary!$C$2,_xlfn.XLOOKUP(NG!$B73,BS_NG!$C:$C,BS_NG!AL:AL),0)</f>
        <v>0</v>
      </c>
      <c r="AL73" s="261">
        <f>IF(AL$3&lt;=Summary!$C$2,_xlfn.XLOOKUP(NG!$B73,BS_NG!$C:$C,BS_NG!AM:AM),0)</f>
        <v>0</v>
      </c>
    </row>
    <row r="84" spans="2:38" ht="14" x14ac:dyDescent="0.2">
      <c r="B84" s="1" t="s">
        <v>1715</v>
      </c>
      <c r="C84" s="1">
        <f>PL_NG!D38+PL_NG!D77</f>
        <v>-89465978.309999987</v>
      </c>
      <c r="D84" s="1">
        <f>PL_NG!E38+PL_NG!E77</f>
        <v>-95077068.049999997</v>
      </c>
      <c r="E84" s="1">
        <f>PL_NG!F38+PL_NG!F77</f>
        <v>-104954284.84</v>
      </c>
      <c r="F84" s="1">
        <f>PL_NG!G38+PL_NG!G77</f>
        <v>-135329694.03999999</v>
      </c>
      <c r="G84" s="1">
        <f>PL_NG!H38+PL_NG!H77</f>
        <v>-162452684.81999999</v>
      </c>
      <c r="H84" s="1">
        <f>PL_NG!I38+PL_NG!I77</f>
        <v>-142558831.86000001</v>
      </c>
      <c r="I84" s="1">
        <f>PL_NG!J38+PL_NG!J77</f>
        <v>-140668236.44</v>
      </c>
      <c r="J84" s="1">
        <f>PL_NG!K38+PL_NG!K77</f>
        <v>-147773517.54999998</v>
      </c>
      <c r="K84" s="1">
        <f>PL_NG!L38+PL_NG!L77</f>
        <v>-188476273.63</v>
      </c>
      <c r="L84" s="1">
        <f>PL_NG!M38+PL_NG!M77</f>
        <v>-235335489.63999999</v>
      </c>
      <c r="M84" s="1">
        <f>PL_NG!N38+PL_NG!N77</f>
        <v>-231100544.49000001</v>
      </c>
      <c r="N84" s="1">
        <f>PL_NG!O38+PL_NG!O77</f>
        <v>-694371792.30000007</v>
      </c>
      <c r="O84" s="1">
        <f>PL_NG!P38+PL_NG!P77</f>
        <v>-172800833.07999998</v>
      </c>
      <c r="P84" s="1">
        <f>PL_NG!Q38+PL_NG!Q77</f>
        <v>-167341552.84999999</v>
      </c>
      <c r="Q84" s="1">
        <f>PL_NG!R38+PL_NG!R77</f>
        <v>-188681034.09999999</v>
      </c>
      <c r="R84" s="1">
        <f>PL_NG!S38+PL_NG!S77</f>
        <v>-187617499.16999999</v>
      </c>
      <c r="S84" s="1">
        <f>PL_NG!T38+PL_NG!T77</f>
        <v>-225599412.80999994</v>
      </c>
      <c r="T84" s="1">
        <f>PL_NG!U38+PL_NG!U77</f>
        <v>-178059818.32999998</v>
      </c>
      <c r="U84" s="1">
        <f>PL_NG!V38+PL_NG!V77</f>
        <v>-201799242.63999999</v>
      </c>
      <c r="V84" s="1">
        <f>PL_NG!W38+PL_NG!W77</f>
        <v>-133633506.21000001</v>
      </c>
      <c r="W84" s="1">
        <f>PL_NG!X38+PL_NG!X77</f>
        <v>-234884341.43000001</v>
      </c>
      <c r="X84" s="1">
        <f>PL_NG!Y38+PL_NG!Y77</f>
        <v>-201866400.11999995</v>
      </c>
      <c r="Y84" s="1">
        <f>PL_NG!Z38+PL_NG!Z77</f>
        <v>-203231385.57999995</v>
      </c>
      <c r="Z84" s="1">
        <f>PL_NG!AA38+PL_NG!AA77</f>
        <v>-908294965.3900001</v>
      </c>
      <c r="AA84" s="1">
        <f>PL_NG!AB38+PL_NG!AB77</f>
        <v>-179858587.25999999</v>
      </c>
      <c r="AB84" s="1">
        <f>PL_NG!AC38+PL_NG!AC77</f>
        <v>-170620982.63</v>
      </c>
      <c r="AC84" s="1">
        <f>PL_NG!AD38+PL_NG!AD77</f>
        <v>-173850587.74999997</v>
      </c>
      <c r="AD84" s="1">
        <f>PL_NG!AE38+PL_NG!AE77</f>
        <v>-172960515.43000001</v>
      </c>
      <c r="AE84" s="1">
        <f>PL_NG!AF38+PL_NG!AF77</f>
        <v>0</v>
      </c>
      <c r="AF84" s="1">
        <f>PL_NG!AG38+PL_NG!AG77</f>
        <v>0</v>
      </c>
      <c r="AG84" s="1">
        <f>PL_NG!AH38+PL_NG!AH77</f>
        <v>0</v>
      </c>
      <c r="AH84" s="1">
        <f>PL_NG!AI38+PL_NG!AI77</f>
        <v>0</v>
      </c>
      <c r="AI84" s="1">
        <f>PL_NG!AJ38+PL_NG!AJ77</f>
        <v>0</v>
      </c>
      <c r="AJ84" s="1">
        <f>PL_NG!AK38+PL_NG!AK77</f>
        <v>0</v>
      </c>
      <c r="AK84" s="1">
        <f>PL_NG!AL38+PL_NG!AL77</f>
        <v>0</v>
      </c>
      <c r="AL84" s="1">
        <f>PL_NG!AM38+PL_NG!AM77</f>
        <v>0</v>
      </c>
    </row>
    <row r="85" spans="2:38" s="1" customFormat="1" ht="14" x14ac:dyDescent="0.2">
      <c r="B85" s="1" t="s">
        <v>1716</v>
      </c>
      <c r="C85" s="252">
        <f>PL_NG!D99-PL_NG!D97-PL_NG!D98</f>
        <v>-118290.1100000001</v>
      </c>
      <c r="D85" s="252">
        <f>PL_NG!E99-PL_NG!E97-PL_NG!E98</f>
        <v>-4284812.5200000005</v>
      </c>
      <c r="E85" s="252">
        <f>PL_NG!F99-PL_NG!F97-PL_NG!F98</f>
        <v>-7492140</v>
      </c>
      <c r="F85" s="252">
        <f>PL_NG!G99-PL_NG!G97-PL_NG!G98</f>
        <v>-37831869.590000004</v>
      </c>
      <c r="G85" s="252">
        <f>PL_NG!H99-PL_NG!H97-PL_NG!H98</f>
        <v>-19475705.59</v>
      </c>
      <c r="H85" s="252">
        <f>PL_NG!I99-PL_NG!I97-PL_NG!I98</f>
        <v>-40166988.219999999</v>
      </c>
      <c r="I85" s="252">
        <f>PL_NG!J99-PL_NG!J97-PL_NG!J98</f>
        <v>-21977313.240000002</v>
      </c>
      <c r="J85" s="252">
        <f>PL_NG!K99-PL_NG!K97-PL_NG!K98</f>
        <v>-36197739.850000001</v>
      </c>
      <c r="K85" s="252">
        <f>PL_NG!L99-PL_NG!L97-PL_NG!L98</f>
        <v>-16495390.759999998</v>
      </c>
      <c r="L85" s="252">
        <f>PL_NG!M99-PL_NG!M97-PL_NG!M98</f>
        <v>-62563271.620000005</v>
      </c>
      <c r="M85" s="252">
        <f>PL_NG!N99-PL_NG!N97-PL_NG!N98</f>
        <v>-125819001.69999999</v>
      </c>
      <c r="N85" s="252">
        <f>PL_NG!O99-PL_NG!O97-PL_NG!O98</f>
        <v>-34456279.149999976</v>
      </c>
      <c r="O85" s="252">
        <f>PL_NG!P99-PL_NG!P97-PL_NG!P98</f>
        <v>-30459063.839999996</v>
      </c>
      <c r="P85" s="252">
        <f>PL_NG!Q99-PL_NG!Q97-PL_NG!Q98</f>
        <v>-91375305.700000003</v>
      </c>
      <c r="Q85" s="252">
        <f>PL_NG!R99-PL_NG!R97-PL_NG!R98</f>
        <v>-74476608.519999996</v>
      </c>
      <c r="R85" s="252">
        <f>PL_NG!S99-PL_NG!S97-PL_NG!S98</f>
        <v>-73841083.439999998</v>
      </c>
      <c r="S85" s="252">
        <f>PL_NG!T99-PL_NG!T97-PL_NG!T98</f>
        <v>-51495782.74000001</v>
      </c>
      <c r="T85" s="252">
        <f>PL_NG!U99-PL_NG!U97-PL_NG!U98</f>
        <v>-21246884.539999999</v>
      </c>
      <c r="U85" s="252">
        <f>PL_NG!V99-PL_NG!V97-PL_NG!V98</f>
        <v>-13070760.689999998</v>
      </c>
      <c r="V85" s="252">
        <f>PL_NG!W99-PL_NG!W97-PL_NG!W98</f>
        <v>-44987396.039999992</v>
      </c>
      <c r="W85" s="252">
        <f>PL_NG!X99-PL_NG!X97-PL_NG!X98</f>
        <v>-47140209.789999992</v>
      </c>
      <c r="X85" s="252">
        <f>PL_NG!Y99-PL_NG!Y97-PL_NG!Y98</f>
        <v>-46817662.120000005</v>
      </c>
      <c r="Y85" s="252">
        <f>PL_NG!Z99-PL_NG!Z97-PL_NG!Z98</f>
        <v>-85220819.819999993</v>
      </c>
      <c r="Z85" s="252">
        <f>PL_NG!AA99-PL_NG!AA97-PL_NG!AA98</f>
        <v>-18281277.060000002</v>
      </c>
      <c r="AA85" s="252">
        <f>PL_NG!AB99-PL_NG!AB97-PL_NG!AB98</f>
        <v>-14356724.09</v>
      </c>
      <c r="AB85" s="252">
        <f>PL_NG!AC99-PL_NG!AC97-PL_NG!AC98</f>
        <v>-37186589.799999997</v>
      </c>
      <c r="AC85" s="252">
        <f>PL_NG!AD99-PL_NG!AD97-PL_NG!AD98</f>
        <v>-47908413.710000001</v>
      </c>
      <c r="AD85" s="252">
        <f>PL_NG!AE99-PL_NG!AE97-PL_NG!AE98</f>
        <v>-9710203.5800000001</v>
      </c>
      <c r="AE85" s="252">
        <f>PL_NG!AF99-PL_NG!AF97-PL_NG!AF98</f>
        <v>0</v>
      </c>
      <c r="AF85" s="252">
        <f>PL_NG!AG99-PL_NG!AG97-PL_NG!AG98</f>
        <v>0</v>
      </c>
      <c r="AG85" s="252">
        <f>PL_NG!AH99-PL_NG!AH97-PL_NG!AH98</f>
        <v>0</v>
      </c>
      <c r="AH85" s="252">
        <f>PL_NG!AI99-PL_NG!AI97-PL_NG!AI98</f>
        <v>0</v>
      </c>
      <c r="AI85" s="252">
        <f>PL_NG!AJ99-PL_NG!AJ97-PL_NG!AJ98</f>
        <v>0</v>
      </c>
      <c r="AJ85" s="252">
        <f>PL_NG!AK99-PL_NG!AK97-PL_NG!AK98</f>
        <v>0</v>
      </c>
      <c r="AK85" s="252">
        <f>PL_NG!AL99-PL_NG!AL97-PL_NG!AL98</f>
        <v>0</v>
      </c>
      <c r="AL85" s="252">
        <f>PL_NG!AM99-PL_NG!AM97-PL_NG!AM98</f>
        <v>0</v>
      </c>
    </row>
    <row r="87" spans="2:38" x14ac:dyDescent="0.15">
      <c r="B87" s="259" t="s">
        <v>76</v>
      </c>
    </row>
    <row r="89" spans="2:38" x14ac:dyDescent="0.15">
      <c r="B89" s="263" t="s">
        <v>77</v>
      </c>
    </row>
    <row r="90" spans="2:38" x14ac:dyDescent="0.15">
      <c r="B90" s="259" t="s">
        <v>78</v>
      </c>
      <c r="O90" s="259">
        <v>175</v>
      </c>
      <c r="P90" s="259">
        <v>177</v>
      </c>
      <c r="Q90" s="259">
        <v>177</v>
      </c>
      <c r="R90" s="259">
        <v>174</v>
      </c>
      <c r="S90" s="259">
        <v>164</v>
      </c>
      <c r="T90" s="259">
        <v>164</v>
      </c>
      <c r="U90" s="259">
        <v>158</v>
      </c>
      <c r="V90" s="259">
        <v>163</v>
      </c>
      <c r="W90" s="259">
        <v>158</v>
      </c>
      <c r="X90" s="259">
        <v>160</v>
      </c>
    </row>
    <row r="91" spans="2:38" x14ac:dyDescent="0.15">
      <c r="B91" s="259" t="s">
        <v>79</v>
      </c>
      <c r="O91" s="259">
        <v>119</v>
      </c>
      <c r="P91" s="259">
        <v>121</v>
      </c>
      <c r="Q91" s="259">
        <v>120</v>
      </c>
      <c r="R91" s="259">
        <v>120</v>
      </c>
      <c r="S91" s="259">
        <v>121</v>
      </c>
      <c r="T91" s="259">
        <v>124</v>
      </c>
      <c r="U91" s="259">
        <v>120</v>
      </c>
      <c r="V91" s="259">
        <v>123</v>
      </c>
      <c r="W91" s="259">
        <v>119</v>
      </c>
      <c r="X91" s="259">
        <v>121</v>
      </c>
    </row>
    <row r="92" spans="2:38" x14ac:dyDescent="0.15">
      <c r="B92" s="259" t="s">
        <v>80</v>
      </c>
      <c r="O92" s="259">
        <v>45</v>
      </c>
      <c r="P92" s="259">
        <v>47</v>
      </c>
      <c r="Q92" s="259">
        <v>46</v>
      </c>
      <c r="R92" s="259">
        <v>45</v>
      </c>
      <c r="S92" s="259">
        <v>42</v>
      </c>
      <c r="T92" s="259">
        <v>40</v>
      </c>
      <c r="U92" s="259">
        <v>38</v>
      </c>
      <c r="V92" s="259">
        <v>40</v>
      </c>
      <c r="W92" s="259">
        <v>39</v>
      </c>
      <c r="X92" s="259">
        <v>39</v>
      </c>
    </row>
    <row r="93" spans="2:38" x14ac:dyDescent="0.15">
      <c r="B93" s="259" t="s">
        <v>81</v>
      </c>
      <c r="O93" s="268">
        <f t="shared" ref="O93:U93" si="14">IFERROR(O92/O90,"")</f>
        <v>0.25714285714285712</v>
      </c>
      <c r="P93" s="268">
        <f t="shared" si="14"/>
        <v>0.2655367231638418</v>
      </c>
      <c r="Q93" s="268">
        <f t="shared" si="14"/>
        <v>0.25988700564971751</v>
      </c>
      <c r="R93" s="268">
        <f t="shared" si="14"/>
        <v>0.25862068965517243</v>
      </c>
      <c r="S93" s="268">
        <f t="shared" si="14"/>
        <v>0.25609756097560976</v>
      </c>
      <c r="T93" s="268">
        <f t="shared" si="14"/>
        <v>0.24390243902439024</v>
      </c>
      <c r="U93" s="268">
        <f t="shared" si="14"/>
        <v>0.24050632911392406</v>
      </c>
      <c r="V93" s="268">
        <v>0.24540000000000001</v>
      </c>
      <c r="W93" s="268">
        <v>0.24679999999999999</v>
      </c>
      <c r="X93" s="268">
        <v>0.24679999999999999</v>
      </c>
    </row>
    <row r="94" spans="2:38" x14ac:dyDescent="0.15">
      <c r="B94" s="259" t="s">
        <v>82</v>
      </c>
      <c r="O94" s="259">
        <v>8</v>
      </c>
      <c r="P94" s="259">
        <v>7</v>
      </c>
      <c r="Q94" s="259">
        <v>3</v>
      </c>
      <c r="R94" s="259">
        <v>3</v>
      </c>
      <c r="S94" s="259">
        <v>3</v>
      </c>
      <c r="T94" s="259">
        <v>4</v>
      </c>
      <c r="U94" s="259">
        <v>6</v>
      </c>
      <c r="V94" s="259">
        <v>5</v>
      </c>
      <c r="W94" s="259">
        <v>2</v>
      </c>
      <c r="X94" s="259">
        <v>2</v>
      </c>
    </row>
    <row r="95" spans="2:38" x14ac:dyDescent="0.15">
      <c r="B95" s="259" t="s">
        <v>83</v>
      </c>
      <c r="O95" s="259">
        <v>13</v>
      </c>
      <c r="P95" s="259">
        <v>4</v>
      </c>
      <c r="Q95" s="259">
        <v>7</v>
      </c>
      <c r="R95" s="259">
        <v>9</v>
      </c>
      <c r="S95" s="259">
        <v>4</v>
      </c>
      <c r="T95" s="259">
        <v>4</v>
      </c>
      <c r="U95" s="259">
        <v>8</v>
      </c>
      <c r="V95" s="259">
        <v>6</v>
      </c>
      <c r="W95" s="259">
        <v>7</v>
      </c>
      <c r="X95" s="259">
        <v>0</v>
      </c>
    </row>
    <row r="96" spans="2:38" x14ac:dyDescent="0.15">
      <c r="B96" s="259" t="s">
        <v>84</v>
      </c>
      <c r="O96" s="267">
        <f>IFERROR(O95/AVERAGE($O$90:O90),"")</f>
        <v>7.4285714285714288E-2</v>
      </c>
      <c r="P96" s="267">
        <f>IFERROR(P95/AVERAGE($O$90:P90),"")</f>
        <v>2.2727272727272728E-2</v>
      </c>
      <c r="Q96" s="267">
        <f>IFERROR(Q95/AVERAGE($O$90:Q90),"")</f>
        <v>3.9697542533081283E-2</v>
      </c>
      <c r="R96" s="267">
        <f>IFERROR(R95/AVERAGE($O$90:R90),"")</f>
        <v>5.1209103840682786E-2</v>
      </c>
      <c r="S96" s="267">
        <f>IFERROR(S95/AVERAGE($O$90:S90),"")</f>
        <v>2.306805074971165E-2</v>
      </c>
      <c r="T96" s="267">
        <f>IFERROR(T95/AVERAGE($O$90:T90),"")</f>
        <v>2.3278370514064013E-2</v>
      </c>
      <c r="U96" s="267">
        <f>IFERROR(U95/AVERAGE($O$90:U90),"")</f>
        <v>4.709840201850294E-2</v>
      </c>
      <c r="V96" s="268">
        <v>3.6799999999999999E-2</v>
      </c>
      <c r="W96" s="268">
        <v>4.4299999999999999E-2</v>
      </c>
      <c r="X96" s="268">
        <v>4.4299999999999999E-2</v>
      </c>
    </row>
    <row r="102" spans="2:2" x14ac:dyDescent="0.15">
      <c r="B102" s="263" t="s">
        <v>85</v>
      </c>
    </row>
    <row r="107" spans="2:2" x14ac:dyDescent="0.15">
      <c r="B107" s="263" t="s">
        <v>86</v>
      </c>
    </row>
    <row r="112" spans="2:2" x14ac:dyDescent="0.15">
      <c r="B112" s="263" t="s">
        <v>87</v>
      </c>
    </row>
    <row r="117" spans="2:2" x14ac:dyDescent="0.15">
      <c r="B117" s="263" t="s">
        <v>88</v>
      </c>
    </row>
    <row r="123" spans="2:2" x14ac:dyDescent="0.15">
      <c r="B123" s="263" t="s">
        <v>89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A66E-CDD1-4CD1-A6F1-39DFE9378D7B}">
  <sheetPr codeName="Sheet3"/>
  <dimension ref="A2:AL122"/>
  <sheetViews>
    <sheetView showGridLines="0" zoomScale="140" zoomScaleNormal="140" workbookViewId="0">
      <pane xSplit="2" ySplit="3" topLeftCell="X69" activePane="bottomRight" state="frozen"/>
      <selection activeCell="L13" sqref="L13"/>
      <selection pane="topRight" activeCell="L13" sqref="L13"/>
      <selection pane="bottomLeft" activeCell="L13" sqref="L13"/>
      <selection pane="bottomRight" activeCell="AC85" sqref="AC85"/>
    </sheetView>
  </sheetViews>
  <sheetFormatPr baseColWidth="10" defaultColWidth="8.6640625" defaultRowHeight="14" x14ac:dyDescent="0.2"/>
  <cols>
    <col min="1" max="1" width="8.6640625" style="1"/>
    <col min="2" max="2" width="33.83203125" style="1" bestFit="1" customWidth="1"/>
    <col min="3" max="3" width="14.83203125" style="1" bestFit="1" customWidth="1"/>
    <col min="4" max="5" width="15.1640625" style="1" bestFit="1" customWidth="1"/>
    <col min="6" max="8" width="14.83203125" style="1" bestFit="1" customWidth="1"/>
    <col min="9" max="10" width="15.1640625" style="1" bestFit="1" customWidth="1"/>
    <col min="11" max="11" width="14.1640625" style="1" bestFit="1" customWidth="1"/>
    <col min="12" max="13" width="14.83203125" style="1" bestFit="1" customWidth="1"/>
    <col min="14" max="14" width="14.5" style="1" bestFit="1" customWidth="1"/>
    <col min="15" max="15" width="15.1640625" style="1" bestFit="1" customWidth="1"/>
    <col min="16" max="19" width="14.83203125" style="1" bestFit="1" customWidth="1"/>
    <col min="20" max="20" width="14.1640625" style="1" bestFit="1" customWidth="1"/>
    <col min="21" max="21" width="15.1640625" style="1" bestFit="1" customWidth="1"/>
    <col min="22" max="22" width="14.1640625" style="1" bestFit="1" customWidth="1"/>
    <col min="23" max="23" width="15.1640625" style="1" bestFit="1" customWidth="1"/>
    <col min="24" max="26" width="13.83203125" style="1" bestFit="1" customWidth="1"/>
    <col min="27" max="29" width="12.83203125" style="1" bestFit="1" customWidth="1"/>
    <col min="30" max="30" width="6.83203125" style="1" bestFit="1" customWidth="1"/>
    <col min="31" max="31" width="7.5" style="1" bestFit="1" customWidth="1"/>
    <col min="32" max="32" width="6.83203125" style="1" bestFit="1" customWidth="1"/>
    <col min="33" max="16384" width="8.6640625" style="1"/>
  </cols>
  <sheetData>
    <row r="2" spans="2:38" x14ac:dyDescent="0.2">
      <c r="U2" s="1">
        <f>BS_NG!V161+BS_UK!V72+BS_UAE!V78</f>
        <v>9173137250.5528374</v>
      </c>
      <c r="V2" s="1">
        <f>IF(V$3&lt;=Summary!$C$2,_xlfn.XLOOKUP(Group!$B4,PL_NG!$C:$C,PL_NG!W:W),0)</f>
        <v>183988509.75</v>
      </c>
      <c r="W2" s="1">
        <f>IF(W$3&lt;=Summary!$C$2,_xlfn.XLOOKUP(Group!$B4,PL_NG!$C:$C,PL_NG!X:X),0)</f>
        <v>401196208.59000003</v>
      </c>
    </row>
    <row r="3" spans="2:38" x14ac:dyDescent="0.2">
      <c r="C3" s="2">
        <v>45322</v>
      </c>
      <c r="D3" s="2">
        <f t="shared" ref="D3:AL3" si="0">EOMONTH(C3,1)</f>
        <v>45351</v>
      </c>
      <c r="E3" s="2">
        <f t="shared" si="0"/>
        <v>45382</v>
      </c>
      <c r="F3" s="2">
        <f t="shared" si="0"/>
        <v>45412</v>
      </c>
      <c r="G3" s="2">
        <f t="shared" si="0"/>
        <v>45443</v>
      </c>
      <c r="H3" s="2">
        <f t="shared" si="0"/>
        <v>45473</v>
      </c>
      <c r="I3" s="2">
        <f t="shared" si="0"/>
        <v>45504</v>
      </c>
      <c r="J3" s="2">
        <f t="shared" si="0"/>
        <v>45535</v>
      </c>
      <c r="K3" s="2">
        <f t="shared" si="0"/>
        <v>45565</v>
      </c>
      <c r="L3" s="2">
        <f t="shared" si="0"/>
        <v>45596</v>
      </c>
      <c r="M3" s="2">
        <f t="shared" si="0"/>
        <v>45626</v>
      </c>
      <c r="N3" s="2">
        <f t="shared" si="0"/>
        <v>45657</v>
      </c>
      <c r="O3" s="2">
        <f t="shared" si="0"/>
        <v>45688</v>
      </c>
      <c r="P3" s="2">
        <f t="shared" si="0"/>
        <v>45716</v>
      </c>
      <c r="Q3" s="2">
        <f t="shared" si="0"/>
        <v>45747</v>
      </c>
      <c r="R3" s="2">
        <f t="shared" si="0"/>
        <v>45777</v>
      </c>
      <c r="S3" s="2">
        <f t="shared" si="0"/>
        <v>45808</v>
      </c>
      <c r="T3" s="2">
        <f t="shared" si="0"/>
        <v>45838</v>
      </c>
      <c r="U3" s="2">
        <f t="shared" si="0"/>
        <v>45869</v>
      </c>
      <c r="V3" s="2">
        <f t="shared" si="0"/>
        <v>45900</v>
      </c>
      <c r="W3" s="2">
        <f t="shared" si="0"/>
        <v>45930</v>
      </c>
      <c r="X3" s="2">
        <f t="shared" si="0"/>
        <v>45961</v>
      </c>
      <c r="Y3" s="2">
        <f t="shared" si="0"/>
        <v>45991</v>
      </c>
      <c r="Z3" s="2">
        <f t="shared" si="0"/>
        <v>46022</v>
      </c>
      <c r="AA3" s="2">
        <f t="shared" si="0"/>
        <v>46053</v>
      </c>
      <c r="AB3" s="2">
        <f t="shared" si="0"/>
        <v>46081</v>
      </c>
      <c r="AC3" s="2">
        <f t="shared" si="0"/>
        <v>46112</v>
      </c>
      <c r="AD3" s="2">
        <f t="shared" si="0"/>
        <v>46142</v>
      </c>
      <c r="AE3" s="2">
        <f t="shared" si="0"/>
        <v>46173</v>
      </c>
      <c r="AF3" s="2">
        <f t="shared" si="0"/>
        <v>46203</v>
      </c>
      <c r="AG3" s="2">
        <f t="shared" si="0"/>
        <v>46234</v>
      </c>
      <c r="AH3" s="2">
        <f t="shared" si="0"/>
        <v>46265</v>
      </c>
      <c r="AI3" s="2">
        <f t="shared" si="0"/>
        <v>46295</v>
      </c>
      <c r="AJ3" s="2">
        <f t="shared" si="0"/>
        <v>46326</v>
      </c>
      <c r="AK3" s="2">
        <f t="shared" si="0"/>
        <v>46356</v>
      </c>
      <c r="AL3" s="2">
        <f t="shared" si="0"/>
        <v>46387</v>
      </c>
    </row>
    <row r="4" spans="2:38" x14ac:dyDescent="0.2">
      <c r="B4" s="1" t="s">
        <v>4</v>
      </c>
      <c r="C4" s="3">
        <f>IF(C$3&lt;=Summary!$C$2,(_xlfn.XLOOKUP(Group!$B4,PL_NG!$C:$C,PL_NG!D:D)+_xlfn.XLOOKUP(Group!$B4,PL_UK!$C:$C,PL_UK!D:D)+_xlfn.XLOOKUP(Group!$B4,PL_UAE!$C:$C,PL_UAE!D:D)),0)</f>
        <v>198458851.53040001</v>
      </c>
      <c r="D4" s="3">
        <f>IF(D$3&lt;=Summary!$C$2,(_xlfn.XLOOKUP(Group!$B4,PL_NG!$C:$C,PL_NG!E:E)+_xlfn.XLOOKUP(Group!$B4,PL_UK!$C:$C,PL_UK!E:E)+_xlfn.XLOOKUP(Group!$B4,PL_UAE!$C:$C,PL_UAE!E:E)),0)</f>
        <v>557747556.11119998</v>
      </c>
      <c r="E4" s="3">
        <f>IF(E$3&lt;=Summary!$C$2,(_xlfn.XLOOKUP(Group!$B4,PL_NG!$C:$C,PL_NG!F:F)+_xlfn.XLOOKUP(Group!$B4,PL_UK!$C:$C,PL_UK!F:F)+_xlfn.XLOOKUP(Group!$B4,PL_UAE!$C:$C,PL_UAE!F:F)),0)</f>
        <v>563558600.55480003</v>
      </c>
      <c r="F4" s="3">
        <f>IF(F$3&lt;=Summary!$C$2,(_xlfn.XLOOKUP(Group!$B4,PL_NG!$C:$C,PL_NG!G:G)+_xlfn.XLOOKUP(Group!$B4,PL_UK!$C:$C,PL_UK!G:G)+_xlfn.XLOOKUP(Group!$B4,PL_UAE!$C:$C,PL_UAE!G:G)),0)</f>
        <v>567821277.63940001</v>
      </c>
      <c r="G4" s="3">
        <f>IF(G$3&lt;=Summary!$C$2,(_xlfn.XLOOKUP(Group!$B4,PL_NG!$C:$C,PL_NG!H:H)+_xlfn.XLOOKUP(Group!$B4,PL_UK!$C:$C,PL_UK!H:H)+_xlfn.XLOOKUP(Group!$B4,PL_UAE!$C:$C,PL_UAE!H:H)),0)</f>
        <v>232355194.85520002</v>
      </c>
      <c r="H4" s="3">
        <f>IF(H$3&lt;=Summary!$C$2,(_xlfn.XLOOKUP(Group!$B4,PL_NG!$C:$C,PL_NG!I:I)+_xlfn.XLOOKUP(Group!$B4,PL_UK!$C:$C,PL_UK!I:I)+_xlfn.XLOOKUP(Group!$B4,PL_UAE!$C:$C,PL_UAE!I:I)),0)</f>
        <v>243812620.06250003</v>
      </c>
      <c r="I4" s="3">
        <f>IF(I$3&lt;=Summary!$C$2,(_xlfn.XLOOKUP(Group!$B4,PL_NG!$C:$C,PL_NG!J:J)+_xlfn.XLOOKUP(Group!$B4,PL_UK!$C:$C,PL_UK!J:J)+_xlfn.XLOOKUP(Group!$B4,PL_UAE!$C:$C,PL_UAE!J:J)),0)</f>
        <v>220934822.17699999</v>
      </c>
      <c r="J4" s="3">
        <f>IF(J$3&lt;=Summary!$C$2,(_xlfn.XLOOKUP(Group!$B4,PL_NG!$C:$C,PL_NG!K:K)+_xlfn.XLOOKUP(Group!$B4,PL_UK!$C:$C,PL_UK!K:K)+_xlfn.XLOOKUP(Group!$B4,PL_UAE!$C:$C,PL_UAE!K:K)),0)</f>
        <v>360128986.87560004</v>
      </c>
      <c r="K4" s="3">
        <f>IF(K$3&lt;=Summary!$C$2,(_xlfn.XLOOKUP(Group!$B4,PL_NG!$C:$C,PL_NG!L:L)+_xlfn.XLOOKUP(Group!$B4,PL_UK!$C:$C,PL_UK!L:L)+_xlfn.XLOOKUP(Group!$B4,PL_UAE!$C:$C,PL_UAE!L:L)),0)</f>
        <v>151276419.78930002</v>
      </c>
      <c r="L4" s="3">
        <f>IF(L$3&lt;=Summary!$C$2,(_xlfn.XLOOKUP(Group!$B4,PL_NG!$C:$C,PL_NG!M:M)+_xlfn.XLOOKUP(Group!$B4,PL_UK!$C:$C,PL_UK!M:M)+_xlfn.XLOOKUP(Group!$B4,PL_UAE!$C:$C,PL_UAE!M:M)),0)</f>
        <v>195367783.94540003</v>
      </c>
      <c r="M4" s="3">
        <f>IF(M$3&lt;=Summary!$C$2,(_xlfn.XLOOKUP(Group!$B4,PL_NG!$C:$C,PL_NG!N:N)+_xlfn.XLOOKUP(Group!$B4,PL_UK!$C:$C,PL_UK!N:N)+_xlfn.XLOOKUP(Group!$B4,PL_UAE!$C:$C,PL_UAE!N:N)),0)</f>
        <v>246514846.71299997</v>
      </c>
      <c r="N4" s="3">
        <f>IF(N$3&lt;=Summary!$C$2,(_xlfn.XLOOKUP(Group!$B4,PL_NG!$C:$C,PL_NG!O:O)+_xlfn.XLOOKUP(Group!$B4,PL_UK!$C:$C,PL_UK!O:O)+_xlfn.XLOOKUP(Group!$B4,PL_UAE!$C:$C,PL_UAE!O:O)),0)</f>
        <v>602776316.38279998</v>
      </c>
      <c r="O4" s="3">
        <f>IF(O$3&lt;=Summary!$C$2,(_xlfn.XLOOKUP(Group!$B4,PL_NG!$C:$C,PL_NG!P:P)+_xlfn.XLOOKUP(Group!$B4,PL_UK!$C:$C,PL_UK!P:P)+_xlfn.XLOOKUP(Group!$B4,PL_UAE!$C:$C,PL_UAE!P:P)),0)</f>
        <v>236526831.72309998</v>
      </c>
      <c r="P4" s="3">
        <f>IF(P$3&lt;=Summary!$C$2,(_xlfn.XLOOKUP(Group!$B4,PL_NG!$C:$C,PL_NG!Q:Q)+_xlfn.XLOOKUP(Group!$B4,PL_UK!$C:$C,PL_UK!Q:Q)+_xlfn.XLOOKUP(Group!$B4,PL_UAE!$C:$C,PL_UAE!Q:Q)),0)</f>
        <v>216400238.41400209</v>
      </c>
      <c r="Q4" s="3">
        <f>IF(Q$3&lt;=Summary!$C$2,(_xlfn.XLOOKUP(Group!$B4,PL_NG!$C:$C,PL_NG!R:R)+_xlfn.XLOOKUP(Group!$B4,PL_UK!$C:$C,PL_UK!R:R)+_xlfn.XLOOKUP(Group!$B4,PL_UAE!$C:$C,PL_UAE!R:R)),0)</f>
        <v>234139423.252</v>
      </c>
      <c r="R4" s="3">
        <f>IF(R$3&lt;=Summary!$C$2,(_xlfn.XLOOKUP(Group!$B4,PL_NG!$C:$C,PL_NG!S:S)+_xlfn.XLOOKUP(Group!$B4,PL_UK!$C:$C,PL_UK!S:S)+_xlfn.XLOOKUP(Group!$B4,PL_UAE!$C:$C,PL_UAE!S:S)),0)</f>
        <v>244541406.36880001</v>
      </c>
      <c r="S4" s="3">
        <f>IF(S$3&lt;=Summary!$C$2,(_xlfn.XLOOKUP(Group!$B4,PL_NG!$C:$C,PL_NG!T:T)+_xlfn.XLOOKUP(Group!$B4,PL_UK!$C:$C,PL_UK!T:T)+_xlfn.XLOOKUP(Group!$B4,PL_UAE!$C:$C,PL_UAE!T:T)),0)</f>
        <v>176826740.79700002</v>
      </c>
      <c r="T4" s="3">
        <f>IF(T$3&lt;=Summary!$C$2,(_xlfn.XLOOKUP(Group!$B4,PL_NG!$C:$C,PL_NG!U:U)+_xlfn.XLOOKUP(Group!$B4,PL_UK!$C:$C,PL_UK!U:U)+_xlfn.XLOOKUP(Group!$B4,PL_UAE!$C:$C,PL_UAE!U:U)),0)</f>
        <v>120193718.29370001</v>
      </c>
      <c r="U4" s="3">
        <f>IF(U$3&lt;=Summary!$C$2,(_xlfn.XLOOKUP(Group!$B4,PL_NG!$C:$C,PL_NG!V:V)+_xlfn.XLOOKUP(Group!$B4,PL_UK!$C:$C,PL_UK!V:V)+_xlfn.XLOOKUP(Group!$B4,PL_UAE!$C:$C,PL_UAE!V:V)),0)</f>
        <v>212140768.91240001</v>
      </c>
      <c r="V4" s="3">
        <f>IF(V$3&lt;=Summary!$C$2,(_xlfn.XLOOKUP(Group!$B4,PL_NG!$C:$C,PL_NG!W:W)+_xlfn.XLOOKUP(Group!$B4,PL_UK!$C:$C,PL_UK!W:W)+_xlfn.XLOOKUP(Group!$B4,PL_UAE!$C:$C,PL_UAE!W:W)),0)</f>
        <v>194501100.77669999</v>
      </c>
      <c r="W4" s="3">
        <f>IF(W$3&lt;=Summary!$C$2,(_xlfn.XLOOKUP(Group!$B4,PL_NG!$C:$C,PL_NG!X:X)+_xlfn.XLOOKUP(Group!$B4,PL_UK!$C:$C,PL_UK!X:X)+_xlfn.XLOOKUP(Group!$B4,PL_UAE!$C:$C,PL_UAE!X:X)),0)</f>
        <v>407253602.74650002</v>
      </c>
      <c r="X4" s="3">
        <f>IF(X$3&lt;=Summary!$C$2,(_xlfn.XLOOKUP(Group!$B4,PL_NG!$C:$C,PL_NG!Y:Y)+_xlfn.XLOOKUP(Group!$B4,PL_UK!$C:$C,PL_UK!Y:Y)+_xlfn.XLOOKUP(Group!$B4,PL_UAE!$C:$C,PL_UAE!Y:Y)),0)</f>
        <v>744361804.21099997</v>
      </c>
      <c r="Y4" s="3">
        <f>IF(Y$3&lt;=Summary!$C$2,(_xlfn.XLOOKUP(Group!$B4,PL_NG!$C:$C,PL_NG!Z:Z)+_xlfn.XLOOKUP(Group!$B4,PL_UK!$C:$C,PL_UK!Z:Z)+_xlfn.XLOOKUP(Group!$B4,PL_UAE!$C:$C,PL_UAE!Z:Z)),0)</f>
        <v>324738203.38210005</v>
      </c>
      <c r="Z4" s="3">
        <f>IF(Z$3&lt;=Summary!$C$2,(_xlfn.XLOOKUP(Group!$B4,PL_NG!$C:$C,PL_NG!AA:AA)+_xlfn.XLOOKUP(Group!$B4,PL_UK!$C:$C,PL_UK!AA:AA)+_xlfn.XLOOKUP(Group!$B4,PL_UAE!$C:$C,PL_UAE!AA:AA)),0)</f>
        <v>313228466.65749997</v>
      </c>
      <c r="AA4" s="3">
        <f>IF(AA$3&lt;=Summary!$C$2,(_xlfn.XLOOKUP(Group!$B4,PL_NG!$C:$C,PL_NG!AB:AB)+_xlfn.XLOOKUP(Group!$B4,PL_UK!$C:$C,PL_UK!AB:AB)+_xlfn.XLOOKUP(Group!$B4,PL_UAE!$C:$C,PL_UAE!AB:AB)),0)</f>
        <v>713982643.47080016</v>
      </c>
      <c r="AB4" s="3">
        <f>IF(AB$3&lt;=Summary!$C$2,(_xlfn.XLOOKUP(Group!$B4,PL_NG!$C:$C,PL_NG!AC:AC)+_xlfn.XLOOKUP(Group!$B4,PL_UK!$C:$C,PL_UK!AC:AC)+_xlfn.XLOOKUP(Group!$B4,PL_UAE!$C:$C,PL_UAE!AC:AC)),0)</f>
        <v>759429822.34560001</v>
      </c>
      <c r="AC4" s="3">
        <f>IF(AC$3&lt;=Summary!$C$2,(_xlfn.XLOOKUP(Group!$B4,PL_NG!$C:$C,PL_NG!AD:AD)+_xlfn.XLOOKUP(Group!$B4,PL_UK!$C:$C,PL_UK!AD:AD)+_xlfn.XLOOKUP(Group!$B4,PL_UAE!$C:$C,PL_UAE!AD:AD)),0)</f>
        <v>551031859.977</v>
      </c>
      <c r="AD4" s="3">
        <f>IF(AD$3&lt;=Summary!$C$2,(_xlfn.XLOOKUP(Group!$B4,PL_NG!$C:$C,PL_NG!AE:AE)+_xlfn.XLOOKUP(Group!$B4,PL_UK!$C:$C,PL_UK!AE:AE)+_xlfn.XLOOKUP(Group!$B4,PL_UAE!$C:$C,PL_UAE!AE:AE)),0)</f>
        <v>346045398.46700001</v>
      </c>
      <c r="AE4" s="3">
        <f>IF(AE$3&lt;=Summary!$C$2,(_xlfn.XLOOKUP(Group!$B4,PL_NG!$C:$C,PL_NG!AF:AF)+_xlfn.XLOOKUP(Group!$B4,PL_UK!$C:$C,PL_UK!AF:AF)+_xlfn.XLOOKUP(Group!$B4,PL_UAE!$C:$C,PL_UAE!AF:AF)),0)</f>
        <v>0</v>
      </c>
      <c r="AF4" s="3">
        <f>IF(AF$3&lt;=Summary!$C$2,(_xlfn.XLOOKUP(Group!$B4,PL_NG!$C:$C,PL_NG!AG:AG)+_xlfn.XLOOKUP(Group!$B4,PL_UK!$C:$C,PL_UK!AG:AG)+_xlfn.XLOOKUP(Group!$B4,PL_UAE!$C:$C,PL_UAE!AG:AG)),0)</f>
        <v>0</v>
      </c>
      <c r="AG4" s="3">
        <f>IF(AG$3&lt;=Summary!$C$2,(_xlfn.XLOOKUP(Group!$B4,PL_NG!$C:$C,PL_NG!AH:AH)+_xlfn.XLOOKUP(Group!$B4,PL_UK!$C:$C,PL_UK!AH:AH)+_xlfn.XLOOKUP(Group!$B4,PL_UAE!$C:$C,PL_UAE!AH:AH)),0)</f>
        <v>0</v>
      </c>
      <c r="AH4" s="3">
        <f>IF(AH$3&lt;=Summary!$C$2,(_xlfn.XLOOKUP(Group!$B4,PL_NG!$C:$C,PL_NG!AI:AI)+_xlfn.XLOOKUP(Group!$B4,PL_UK!$C:$C,PL_UK!AI:AI)+_xlfn.XLOOKUP(Group!$B4,PL_UAE!$C:$C,PL_UAE!AI:AI)),0)</f>
        <v>0</v>
      </c>
      <c r="AI4" s="3">
        <f>IF(AI$3&lt;=Summary!$C$2,(_xlfn.XLOOKUP(Group!$B4,PL_NG!$C:$C,PL_NG!AJ:AJ)+_xlfn.XLOOKUP(Group!$B4,PL_UK!$C:$C,PL_UK!AJ:AJ)+_xlfn.XLOOKUP(Group!$B4,PL_UAE!$C:$C,PL_UAE!AJ:AJ)),0)</f>
        <v>0</v>
      </c>
      <c r="AJ4" s="3">
        <f>IF(AJ$3&lt;=Summary!$C$2,(_xlfn.XLOOKUP(Group!$B4,PL_NG!$C:$C,PL_NG!AK:AK)+_xlfn.XLOOKUP(Group!$B4,PL_UK!$C:$C,PL_UK!AK:AK)+_xlfn.XLOOKUP(Group!$B4,PL_UAE!$C:$C,PL_UAE!AK:AK)),0)</f>
        <v>0</v>
      </c>
      <c r="AK4" s="3">
        <f>IF(AK$3&lt;=Summary!$C$2,(_xlfn.XLOOKUP(Group!$B4,PL_NG!$C:$C,PL_NG!AL:AL)+_xlfn.XLOOKUP(Group!$B4,PL_UK!$C:$C,PL_UK!AL:AL)+_xlfn.XLOOKUP(Group!$B4,PL_UAE!$C:$C,PL_UAE!AL:AL)),0)</f>
        <v>0</v>
      </c>
      <c r="AL4" s="3">
        <f>IF(AL$3&lt;=Summary!$C$2,(_xlfn.XLOOKUP(Group!$B4,PL_NG!$C:$C,PL_NG!AM:AM)+_xlfn.XLOOKUP(Group!$B4,PL_UK!$C:$C,PL_UK!AM:AM)+_xlfn.XLOOKUP(Group!$B4,PL_UAE!$C:$C,PL_UAE!AM:AM)),0)</f>
        <v>0</v>
      </c>
    </row>
    <row r="5" spans="2:38" x14ac:dyDescent="0.2">
      <c r="B5" s="1" t="s">
        <v>5</v>
      </c>
      <c r="C5" s="3">
        <f>IF(C$3&lt;=Summary!$C$2,(_xlfn.XLOOKUP(Group!$B5,PL_NG!$C:$C,PL_NG!D:D)+_xlfn.XLOOKUP(Group!$B5,PL_UK!$C:$C,PL_UK!D:D)+_xlfn.XLOOKUP(Group!$B5,PL_UAE!$C:$C,PL_UAE!D:D)),0)</f>
        <v>-87464214.742999986</v>
      </c>
      <c r="D5" s="3">
        <f>IF(D$3&lt;=Summary!$C$2,(_xlfn.XLOOKUP(Group!$B5,PL_NG!$C:$C,PL_NG!E:E)+_xlfn.XLOOKUP(Group!$B5,PL_UK!$C:$C,PL_UK!E:E)+_xlfn.XLOOKUP(Group!$B5,PL_UAE!$C:$C,PL_UAE!E:E)),0)</f>
        <v>-110085251.56759998</v>
      </c>
      <c r="E5" s="3">
        <f>IF(E$3&lt;=Summary!$C$2,(_xlfn.XLOOKUP(Group!$B5,PL_NG!$C:$C,PL_NG!F:F)+_xlfn.XLOOKUP(Group!$B5,PL_UK!$C:$C,PL_UK!F:F)+_xlfn.XLOOKUP(Group!$B5,PL_UAE!$C:$C,PL_UAE!F:F)),0)</f>
        <v>-138587459.80340001</v>
      </c>
      <c r="F5" s="3">
        <f>IF(F$3&lt;=Summary!$C$2,(_xlfn.XLOOKUP(Group!$B5,PL_NG!$C:$C,PL_NG!G:G)+_xlfn.XLOOKUP(Group!$B5,PL_UK!$C:$C,PL_UK!G:G)+_xlfn.XLOOKUP(Group!$B5,PL_UAE!$C:$C,PL_UAE!G:G)),0)</f>
        <v>-162230540.0483</v>
      </c>
      <c r="G5" s="3">
        <f>IF(G$3&lt;=Summary!$C$2,(_xlfn.XLOOKUP(Group!$B5,PL_NG!$C:$C,PL_NG!H:H)+_xlfn.XLOOKUP(Group!$B5,PL_UK!$C:$C,PL_UK!H:H)+_xlfn.XLOOKUP(Group!$B5,PL_UAE!$C:$C,PL_UAE!H:H)),0)</f>
        <v>-164742281.20559996</v>
      </c>
      <c r="H5" s="3">
        <f>IF(H$3&lt;=Summary!$C$2,(_xlfn.XLOOKUP(Group!$B5,PL_NG!$C:$C,PL_NG!I:I)+_xlfn.XLOOKUP(Group!$B5,PL_UK!$C:$C,PL_UK!I:I)+_xlfn.XLOOKUP(Group!$B5,PL_UAE!$C:$C,PL_UAE!I:I)),0)</f>
        <v>-78094783.339100003</v>
      </c>
      <c r="I5" s="3">
        <f>IF(I$3&lt;=Summary!$C$2,(_xlfn.XLOOKUP(Group!$B5,PL_NG!$C:$C,PL_NG!J:J)+_xlfn.XLOOKUP(Group!$B5,PL_UK!$C:$C,PL_UK!J:J)+_xlfn.XLOOKUP(Group!$B5,PL_UAE!$C:$C,PL_UAE!J:J)),0)</f>
        <v>-68806938.138999999</v>
      </c>
      <c r="J5" s="3">
        <f>IF(J$3&lt;=Summary!$C$2,(_xlfn.XLOOKUP(Group!$B5,PL_NG!$C:$C,PL_NG!K:K)+_xlfn.XLOOKUP(Group!$B5,PL_UK!$C:$C,PL_UK!K:K)+_xlfn.XLOOKUP(Group!$B5,PL_UAE!$C:$C,PL_UAE!K:K)),0)</f>
        <v>-161148167.70179999</v>
      </c>
      <c r="K5" s="3">
        <f>IF(K$3&lt;=Summary!$C$2,(_xlfn.XLOOKUP(Group!$B5,PL_NG!$C:$C,PL_NG!L:L)+_xlfn.XLOOKUP(Group!$B5,PL_UK!$C:$C,PL_UK!L:L)+_xlfn.XLOOKUP(Group!$B5,PL_UAE!$C:$C,PL_UAE!L:L)),0)</f>
        <v>-83003085.583800003</v>
      </c>
      <c r="L5" s="3">
        <f>IF(L$3&lt;=Summary!$C$2,(_xlfn.XLOOKUP(Group!$B5,PL_NG!$C:$C,PL_NG!M:M)+_xlfn.XLOOKUP(Group!$B5,PL_UK!$C:$C,PL_UK!M:M)+_xlfn.XLOOKUP(Group!$B5,PL_UAE!$C:$C,PL_UAE!M:M)),0)</f>
        <v>-82725525.773800001</v>
      </c>
      <c r="M5" s="3">
        <f>IF(M$3&lt;=Summary!$C$2,(_xlfn.XLOOKUP(Group!$B5,PL_NG!$C:$C,PL_NG!N:N)+_xlfn.XLOOKUP(Group!$B5,PL_UK!$C:$C,PL_UK!N:N)+_xlfn.XLOOKUP(Group!$B5,PL_UAE!$C:$C,PL_UAE!N:N)),0)</f>
        <v>-91989296.917999998</v>
      </c>
      <c r="N5" s="3">
        <f>IF(N$3&lt;=Summary!$C$2,(_xlfn.XLOOKUP(Group!$B5,PL_NG!$C:$C,PL_NG!O:O)+_xlfn.XLOOKUP(Group!$B5,PL_UK!$C:$C,PL_UK!O:O)+_xlfn.XLOOKUP(Group!$B5,PL_UAE!$C:$C,PL_UAE!O:O)),0)</f>
        <v>-107583202.65240002</v>
      </c>
      <c r="O5" s="3">
        <f>IF(O$3&lt;=Summary!$C$2,(_xlfn.XLOOKUP(Group!$B5,PL_NG!$C:$C,PL_NG!P:P)+_xlfn.XLOOKUP(Group!$B5,PL_UK!$C:$C,PL_UK!P:P)+_xlfn.XLOOKUP(Group!$B5,PL_UAE!$C:$C,PL_UAE!P:P)),0)</f>
        <v>-78920966.709800005</v>
      </c>
      <c r="P5" s="3">
        <f>IF(P$3&lt;=Summary!$C$2,(_xlfn.XLOOKUP(Group!$B5,PL_NG!$C:$C,PL_NG!Q:Q)+_xlfn.XLOOKUP(Group!$B5,PL_UK!$C:$C,PL_UK!Q:Q)+_xlfn.XLOOKUP(Group!$B5,PL_UAE!$C:$C,PL_UAE!Q:Q)),0)</f>
        <v>-59583746.318999313</v>
      </c>
      <c r="Q5" s="3">
        <f>IF(Q$3&lt;=Summary!$C$2,(_xlfn.XLOOKUP(Group!$B5,PL_NG!$C:$C,PL_NG!R:R)+_xlfn.XLOOKUP(Group!$B5,PL_UK!$C:$C,PL_UK!R:R)+_xlfn.XLOOKUP(Group!$B5,PL_UAE!$C:$C,PL_UAE!R:R)),0)</f>
        <v>-60763026.979499996</v>
      </c>
      <c r="R5" s="3">
        <f>IF(R$3&lt;=Summary!$C$2,(_xlfn.XLOOKUP(Group!$B5,PL_NG!$C:$C,PL_NG!S:S)+_xlfn.XLOOKUP(Group!$B5,PL_UK!$C:$C,PL_UK!S:S)+_xlfn.XLOOKUP(Group!$B5,PL_UAE!$C:$C,PL_UAE!S:S)),0)</f>
        <v>-59132874.8926</v>
      </c>
      <c r="S5" s="3">
        <f>IF(S$3&lt;=Summary!$C$2,(_xlfn.XLOOKUP(Group!$B5,PL_NG!$C:$C,PL_NG!T:T)+_xlfn.XLOOKUP(Group!$B5,PL_UK!$C:$C,PL_UK!T:T)+_xlfn.XLOOKUP(Group!$B5,PL_UAE!$C:$C,PL_UAE!T:T)),0)</f>
        <v>-70273010.127499998</v>
      </c>
      <c r="T5" s="3">
        <f>IF(T$3&lt;=Summary!$C$2,(_xlfn.XLOOKUP(Group!$B5,PL_NG!$C:$C,PL_NG!U:U)+_xlfn.XLOOKUP(Group!$B5,PL_UK!$C:$C,PL_UK!U:U)+_xlfn.XLOOKUP(Group!$B5,PL_UAE!$C:$C,PL_UAE!U:U)),0)</f>
        <v>-64141908.8521</v>
      </c>
      <c r="U5" s="3">
        <f>IF(U$3&lt;=Summary!$C$2,(_xlfn.XLOOKUP(Group!$B5,PL_NG!$C:$C,PL_NG!V:V)+_xlfn.XLOOKUP(Group!$B5,PL_UK!$C:$C,PL_UK!V:V)+_xlfn.XLOOKUP(Group!$B5,PL_UAE!$C:$C,PL_UAE!V:V)),0)</f>
        <v>-106308769.72729999</v>
      </c>
      <c r="V5" s="3">
        <f>IF(V$3&lt;=Summary!$C$2,(_xlfn.XLOOKUP(Group!$B5,PL_NG!$C:$C,PL_NG!W:W)+_xlfn.XLOOKUP(Group!$B5,PL_UK!$C:$C,PL_UK!W:W)+_xlfn.XLOOKUP(Group!$B5,PL_UAE!$C:$C,PL_UAE!W:W)),0)</f>
        <v>8014316.7674000002</v>
      </c>
      <c r="W5" s="3">
        <f>IF(W$3&lt;=Summary!$C$2,(_xlfn.XLOOKUP(Group!$B5,PL_NG!$C:$C,PL_NG!X:X)+_xlfn.XLOOKUP(Group!$B5,PL_UK!$C:$C,PL_UK!X:X)+_xlfn.XLOOKUP(Group!$B5,PL_UAE!$C:$C,PL_UAE!X:X)),0)</f>
        <v>-110812291.8812</v>
      </c>
      <c r="X5" s="3">
        <f>IF(X$3&lt;=Summary!$C$2,(_xlfn.XLOOKUP(Group!$B5,PL_NG!$C:$C,PL_NG!Y:Y)+_xlfn.XLOOKUP(Group!$B5,PL_UK!$C:$C,PL_UK!Y:Y)+_xlfn.XLOOKUP(Group!$B5,PL_UAE!$C:$C,PL_UAE!Y:Y)),0)</f>
        <v>-80546946.923999995</v>
      </c>
      <c r="Y5" s="3">
        <f>IF(Y$3&lt;=Summary!$C$2,(_xlfn.XLOOKUP(Group!$B5,PL_NG!$C:$C,PL_NG!Z:Z)+_xlfn.XLOOKUP(Group!$B5,PL_UK!$C:$C,PL_UK!Z:Z)+_xlfn.XLOOKUP(Group!$B5,PL_UAE!$C:$C,PL_UAE!Z:Z)),0)</f>
        <v>-64452932.969099998</v>
      </c>
      <c r="Z5" s="3">
        <f>IF(Z$3&lt;=Summary!$C$2,(_xlfn.XLOOKUP(Group!$B5,PL_NG!$C:$C,PL_NG!AA:AA)+_xlfn.XLOOKUP(Group!$B5,PL_UK!$C:$C,PL_UK!AA:AA)+_xlfn.XLOOKUP(Group!$B5,PL_UAE!$C:$C,PL_UAE!AA:AA)),0)</f>
        <v>-149992887.0575</v>
      </c>
      <c r="AA5" s="3">
        <f>IF(AA$3&lt;=Summary!$C$2,(_xlfn.XLOOKUP(Group!$B5,PL_NG!$C:$C,PL_NG!AB:AB)+_xlfn.XLOOKUP(Group!$B5,PL_UK!$C:$C,PL_UK!AB:AB)+_xlfn.XLOOKUP(Group!$B5,PL_UAE!$C:$C,PL_UAE!AB:AB)),0)</f>
        <v>-155186180.28940001</v>
      </c>
      <c r="AB5" s="3">
        <f>IF(AB$3&lt;=Summary!$C$2,(_xlfn.XLOOKUP(Group!$B5,PL_NG!$C:$C,PL_NG!AC:AC)+_xlfn.XLOOKUP(Group!$B5,PL_UK!$C:$C,PL_UK!AC:AC)+_xlfn.XLOOKUP(Group!$B5,PL_UAE!$C:$C,PL_UAE!AC:AC)),0)</f>
        <v>-141943216.36839998</v>
      </c>
      <c r="AC5" s="3">
        <f>IF(AC$3&lt;=Summary!$C$2,(_xlfn.XLOOKUP(Group!$B5,PL_NG!$C:$C,PL_NG!AD:AD)+_xlfn.XLOOKUP(Group!$B5,PL_UK!$C:$C,PL_UK!AD:AD)+_xlfn.XLOOKUP(Group!$B5,PL_UAE!$C:$C,PL_UAE!AD:AD)),0)</f>
        <v>-143899439.59600002</v>
      </c>
      <c r="AD5" s="3">
        <f>IF(AD$3&lt;=Summary!$C$2,(_xlfn.XLOOKUP(Group!$B5,PL_NG!$C:$C,PL_NG!AE:AE)+_xlfn.XLOOKUP(Group!$B5,PL_UK!$C:$C,PL_UK!AE:AE)+_xlfn.XLOOKUP(Group!$B5,PL_UAE!$C:$C,PL_UAE!AE:AE)),0)</f>
        <v>-74747889.875</v>
      </c>
      <c r="AE5" s="3">
        <f>IF(AE$3&lt;=Summary!$C$2,(_xlfn.XLOOKUP(Group!$B5,PL_NG!$C:$C,PL_NG!AF:AF)+_xlfn.XLOOKUP(Group!$B5,PL_UK!$C:$C,PL_UK!AF:AF)+_xlfn.XLOOKUP(Group!$B5,PL_UAE!$C:$C,PL_UAE!AF:AF)),0)</f>
        <v>0</v>
      </c>
      <c r="AF5" s="3">
        <f>IF(AF$3&lt;=Summary!$C$2,(_xlfn.XLOOKUP(Group!$B5,PL_NG!$C:$C,PL_NG!AG:AG)+_xlfn.XLOOKUP(Group!$B5,PL_UK!$C:$C,PL_UK!AG:AG)+_xlfn.XLOOKUP(Group!$B5,PL_UAE!$C:$C,PL_UAE!AG:AG)),0)</f>
        <v>0</v>
      </c>
      <c r="AG5" s="3">
        <f>IF(AG$3&lt;=Summary!$C$2,(_xlfn.XLOOKUP(Group!$B5,PL_NG!$C:$C,PL_NG!AH:AH)+_xlfn.XLOOKUP(Group!$B5,PL_UK!$C:$C,PL_UK!AH:AH)+_xlfn.XLOOKUP(Group!$B5,PL_UAE!$C:$C,PL_UAE!AH:AH)),0)</f>
        <v>0</v>
      </c>
      <c r="AH5" s="3">
        <f>IF(AH$3&lt;=Summary!$C$2,(_xlfn.XLOOKUP(Group!$B5,PL_NG!$C:$C,PL_NG!AI:AI)+_xlfn.XLOOKUP(Group!$B5,PL_UK!$C:$C,PL_UK!AI:AI)+_xlfn.XLOOKUP(Group!$B5,PL_UAE!$C:$C,PL_UAE!AI:AI)),0)</f>
        <v>0</v>
      </c>
      <c r="AI5" s="3">
        <f>IF(AI$3&lt;=Summary!$C$2,(_xlfn.XLOOKUP(Group!$B5,PL_NG!$C:$C,PL_NG!AJ:AJ)+_xlfn.XLOOKUP(Group!$B5,PL_UK!$C:$C,PL_UK!AJ:AJ)+_xlfn.XLOOKUP(Group!$B5,PL_UAE!$C:$C,PL_UAE!AJ:AJ)),0)</f>
        <v>0</v>
      </c>
      <c r="AJ5" s="3">
        <f>IF(AJ$3&lt;=Summary!$C$2,(_xlfn.XLOOKUP(Group!$B5,PL_NG!$C:$C,PL_NG!AK:AK)+_xlfn.XLOOKUP(Group!$B5,PL_UK!$C:$C,PL_UK!AK:AK)+_xlfn.XLOOKUP(Group!$B5,PL_UAE!$C:$C,PL_UAE!AK:AK)),0)</f>
        <v>0</v>
      </c>
      <c r="AK5" s="3">
        <f>IF(AK$3&lt;=Summary!$C$2,(_xlfn.XLOOKUP(Group!$B5,PL_NG!$C:$C,PL_NG!AL:AL)+_xlfn.XLOOKUP(Group!$B5,PL_UK!$C:$C,PL_UK!AL:AL)+_xlfn.XLOOKUP(Group!$B5,PL_UAE!$C:$C,PL_UAE!AL:AL)),0)</f>
        <v>0</v>
      </c>
      <c r="AL5" s="3">
        <f>IF(AL$3&lt;=Summary!$C$2,(_xlfn.XLOOKUP(Group!$B5,PL_NG!$C:$C,PL_NG!AM:AM)+_xlfn.XLOOKUP(Group!$B5,PL_UK!$C:$C,PL_UK!AM:AM)+_xlfn.XLOOKUP(Group!$B5,PL_UAE!$C:$C,PL_UAE!AM:AM)),0)</f>
        <v>0</v>
      </c>
    </row>
    <row r="6" spans="2:38" x14ac:dyDescent="0.2">
      <c r="B6" s="1" t="s">
        <v>8</v>
      </c>
      <c r="C6" s="3">
        <f>IF(C$3&lt;=Summary!$C$2,(_xlfn.XLOOKUP(Group!$B6,PL_NG!$C:$C,PL_NG!D:D)+_xlfn.XLOOKUP(Group!$B6,PL_UK!$C:$C,PL_UK!D:D)+_xlfn.XLOOKUP(Group!$B6,PL_UAE!$C:$C,PL_UAE!D:D)),0)</f>
        <v>54873.979999999996</v>
      </c>
      <c r="D6" s="3">
        <f>IF(D$3&lt;=Summary!$C$2,(_xlfn.XLOOKUP(Group!$B6,PL_NG!$C:$C,PL_NG!E:E)+_xlfn.XLOOKUP(Group!$B6,PL_UK!$C:$C,PL_UK!E:E)+_xlfn.XLOOKUP(Group!$B6,PL_UAE!$C:$C,PL_UAE!E:E)),0)</f>
        <v>28793.589999999851</v>
      </c>
      <c r="E6" s="3">
        <f>IF(E$3&lt;=Summary!$C$2,(_xlfn.XLOOKUP(Group!$B6,PL_NG!$C:$C,PL_NG!F:F)+_xlfn.XLOOKUP(Group!$B6,PL_UK!$C:$C,PL_UK!F:F)+_xlfn.XLOOKUP(Group!$B6,PL_UAE!$C:$C,PL_UAE!F:F)),0)</f>
        <v>36275.65</v>
      </c>
      <c r="F6" s="3">
        <f>IF(F$3&lt;=Summary!$C$2,(_xlfn.XLOOKUP(Group!$B6,PL_NG!$C:$C,PL_NG!G:G)+_xlfn.XLOOKUP(Group!$B6,PL_UK!$C:$C,PL_UK!G:G)+_xlfn.XLOOKUP(Group!$B6,PL_UAE!$C:$C,PL_UAE!G:G)),0)</f>
        <v>308917.01999999996</v>
      </c>
      <c r="G6" s="3">
        <f>IF(G$3&lt;=Summary!$C$2,(_xlfn.XLOOKUP(Group!$B6,PL_NG!$C:$C,PL_NG!H:H)+_xlfn.XLOOKUP(Group!$B6,PL_UK!$C:$C,PL_UK!H:H)+_xlfn.XLOOKUP(Group!$B6,PL_UAE!$C:$C,PL_UAE!H:H)),0)</f>
        <v>9570381.1099999994</v>
      </c>
      <c r="H6" s="3">
        <f>IF(H$3&lt;=Summary!$C$2,(_xlfn.XLOOKUP(Group!$B6,PL_NG!$C:$C,PL_NG!I:I)+_xlfn.XLOOKUP(Group!$B6,PL_UK!$C:$C,PL_UK!I:I)+_xlfn.XLOOKUP(Group!$B6,PL_UAE!$C:$C,PL_UAE!I:I)),0)</f>
        <v>33173690.379999999</v>
      </c>
      <c r="I6" s="3">
        <f>IF(I$3&lt;=Summary!$C$2,(_xlfn.XLOOKUP(Group!$B6,PL_NG!$C:$C,PL_NG!J:J)+_xlfn.XLOOKUP(Group!$B6,PL_UK!$C:$C,PL_UK!J:J)+_xlfn.XLOOKUP(Group!$B6,PL_UAE!$C:$C,PL_UAE!J:J)),0)</f>
        <v>31628524.27</v>
      </c>
      <c r="J6" s="3">
        <f>IF(J$3&lt;=Summary!$C$2,(_xlfn.XLOOKUP(Group!$B6,PL_NG!$C:$C,PL_NG!K:K)+_xlfn.XLOOKUP(Group!$B6,PL_UK!$C:$C,PL_UK!K:K)+_xlfn.XLOOKUP(Group!$B6,PL_UAE!$C:$C,PL_UAE!K:K)),0)</f>
        <v>33151884.989999998</v>
      </c>
      <c r="K6" s="3">
        <f>IF(K$3&lt;=Summary!$C$2,(_xlfn.XLOOKUP(Group!$B6,PL_NG!$C:$C,PL_NG!L:L)+_xlfn.XLOOKUP(Group!$B6,PL_UK!$C:$C,PL_UK!L:L)+_xlfn.XLOOKUP(Group!$B6,PL_UAE!$C:$C,PL_UAE!L:L)),0)</f>
        <v>2841292.959999999</v>
      </c>
      <c r="L6" s="3">
        <f>IF(L$3&lt;=Summary!$C$2,(_xlfn.XLOOKUP(Group!$B6,PL_NG!$C:$C,PL_NG!M:M)+_xlfn.XLOOKUP(Group!$B6,PL_UK!$C:$C,PL_UK!M:M)+_xlfn.XLOOKUP(Group!$B6,PL_UAE!$C:$C,PL_UAE!M:M)),0)</f>
        <v>77487951.570000008</v>
      </c>
      <c r="M6" s="3">
        <f>IF(M$3&lt;=Summary!$C$2,(_xlfn.XLOOKUP(Group!$B6,PL_NG!$C:$C,PL_NG!N:N)+_xlfn.XLOOKUP(Group!$B6,PL_UK!$C:$C,PL_UK!N:N)+_xlfn.XLOOKUP(Group!$B6,PL_UAE!$C:$C,PL_UAE!N:N)),0)</f>
        <v>41107532.490000002</v>
      </c>
      <c r="N6" s="3">
        <f>IF(N$3&lt;=Summary!$C$2,(_xlfn.XLOOKUP(Group!$B6,PL_NG!$C:$C,PL_NG!O:O)+_xlfn.XLOOKUP(Group!$B6,PL_UK!$C:$C,PL_UK!O:O)+_xlfn.XLOOKUP(Group!$B6,PL_UAE!$C:$C,PL_UAE!O:O)),0)</f>
        <v>43432413.009999998</v>
      </c>
      <c r="O6" s="3">
        <f>IF(O$3&lt;=Summary!$C$2,(_xlfn.XLOOKUP(Group!$B6,PL_NG!$C:$C,PL_NG!P:P)+_xlfn.XLOOKUP(Group!$B6,PL_UK!$C:$C,PL_UK!P:P)+_xlfn.XLOOKUP(Group!$B6,PL_UAE!$C:$C,PL_UAE!P:P)),0)</f>
        <v>39010458.686700001</v>
      </c>
      <c r="P6" s="3">
        <f>IF(P$3&lt;=Summary!$C$2,(_xlfn.XLOOKUP(Group!$B6,PL_NG!$C:$C,PL_NG!Q:Q)+_xlfn.XLOOKUP(Group!$B6,PL_UK!$C:$C,PL_UK!Q:Q)+_xlfn.XLOOKUP(Group!$B6,PL_UAE!$C:$C,PL_UAE!Q:Q)),0)</f>
        <v>31301634.100000001</v>
      </c>
      <c r="Q6" s="3">
        <f>IF(Q$3&lt;=Summary!$C$2,(_xlfn.XLOOKUP(Group!$B6,PL_NG!$C:$C,PL_NG!R:R)+_xlfn.XLOOKUP(Group!$B6,PL_UK!$C:$C,PL_UK!R:R)+_xlfn.XLOOKUP(Group!$B6,PL_UAE!$C:$C,PL_UAE!R:R)),0)</f>
        <v>28246672.029999997</v>
      </c>
      <c r="R6" s="3">
        <f>IF(R$3&lt;=Summary!$C$2,(_xlfn.XLOOKUP(Group!$B6,PL_NG!$C:$C,PL_NG!S:S)+_xlfn.XLOOKUP(Group!$B6,PL_UK!$C:$C,PL_UK!S:S)+_xlfn.XLOOKUP(Group!$B6,PL_UAE!$C:$C,PL_UAE!S:S)),0)</f>
        <v>29699519.509999998</v>
      </c>
      <c r="S6" s="3">
        <f>IF(S$3&lt;=Summary!$C$2,(_xlfn.XLOOKUP(Group!$B6,PL_NG!$C:$C,PL_NG!T:T)+_xlfn.XLOOKUP(Group!$B6,PL_UK!$C:$C,PL_UK!T:T)+_xlfn.XLOOKUP(Group!$B6,PL_UAE!$C:$C,PL_UAE!T:T)),0)</f>
        <v>23109999.489999998</v>
      </c>
      <c r="T6" s="3">
        <f>IF(T$3&lt;=Summary!$C$2,(_xlfn.XLOOKUP(Group!$B6,PL_NG!$C:$C,PL_NG!U:U)+_xlfn.XLOOKUP(Group!$B6,PL_UK!$C:$C,PL_UK!U:U)+_xlfn.XLOOKUP(Group!$B6,PL_UAE!$C:$C,PL_UAE!U:U)),0)</f>
        <v>21501586.259999998</v>
      </c>
      <c r="U6" s="3">
        <f>IF(U$3&lt;=Summary!$C$2,(_xlfn.XLOOKUP(Group!$B6,PL_NG!$C:$C,PL_NG!V:V)+_xlfn.XLOOKUP(Group!$B6,PL_UK!$C:$C,PL_UK!V:V)+_xlfn.XLOOKUP(Group!$B6,PL_UAE!$C:$C,PL_UAE!V:V)),0)</f>
        <v>21339893.5</v>
      </c>
      <c r="V6" s="3">
        <f>IF(V$3&lt;=Summary!$C$2,(_xlfn.XLOOKUP(Group!$B6,PL_NG!$C:$C,PL_NG!W:W)+_xlfn.XLOOKUP(Group!$B6,PL_UK!$C:$C,PL_UK!W:W)+_xlfn.XLOOKUP(Group!$B6,PL_UAE!$C:$C,PL_UAE!W:W)),0)</f>
        <v>32103766.729100004</v>
      </c>
      <c r="W6" s="3">
        <f>IF(W$3&lt;=Summary!$C$2,(_xlfn.XLOOKUP(Group!$B6,PL_NG!$C:$C,PL_NG!X:X)+_xlfn.XLOOKUP(Group!$B6,PL_UK!$C:$C,PL_UK!X:X)+_xlfn.XLOOKUP(Group!$B6,PL_UAE!$C:$C,PL_UAE!X:X)),0)</f>
        <v>15620183.770000001</v>
      </c>
      <c r="X6" s="3">
        <f>IF(X$3&lt;=Summary!$C$2,(_xlfn.XLOOKUP(Group!$B6,PL_NG!$C:$C,PL_NG!Y:Y)+_xlfn.XLOOKUP(Group!$B6,PL_UK!$C:$C,PL_UK!Y:Y)+_xlfn.XLOOKUP(Group!$B6,PL_UAE!$C:$C,PL_UAE!Y:Y)),0)</f>
        <v>16531444.33</v>
      </c>
      <c r="Y6" s="3">
        <f>IF(Y$3&lt;=Summary!$C$2,(_xlfn.XLOOKUP(Group!$B6,PL_NG!$C:$C,PL_NG!Z:Z)+_xlfn.XLOOKUP(Group!$B6,PL_UK!$C:$C,PL_UK!Z:Z)+_xlfn.XLOOKUP(Group!$B6,PL_UAE!$C:$C,PL_UAE!Z:Z)),0)</f>
        <v>16189960.02</v>
      </c>
      <c r="Z6" s="3">
        <f>IF(Z$3&lt;=Summary!$C$2,(_xlfn.XLOOKUP(Group!$B6,PL_NG!$C:$C,PL_NG!AA:AA)+_xlfn.XLOOKUP(Group!$B6,PL_UK!$C:$C,PL_UK!AA:AA)+_xlfn.XLOOKUP(Group!$B6,PL_UAE!$C:$C,PL_UAE!AA:AA)),0)</f>
        <v>172964804.41841999</v>
      </c>
      <c r="AA6" s="3">
        <f>IF(AA$3&lt;=Summary!$C$2,(_xlfn.XLOOKUP(Group!$B6,PL_NG!$C:$C,PL_NG!AB:AB)+_xlfn.XLOOKUP(Group!$B6,PL_UK!$C:$C,PL_UK!AB:AB)+_xlfn.XLOOKUP(Group!$B6,PL_UAE!$C:$C,PL_UAE!AB:AB)),0)</f>
        <v>5399535.4300000006</v>
      </c>
      <c r="AB6" s="3">
        <f>IF(AB$3&lt;=Summary!$C$2,(_xlfn.XLOOKUP(Group!$B6,PL_NG!$C:$C,PL_NG!AC:AC)+_xlfn.XLOOKUP(Group!$B6,PL_UK!$C:$C,PL_UK!AC:AC)+_xlfn.XLOOKUP(Group!$B6,PL_UAE!$C:$C,PL_UAE!AC:AC)),0)</f>
        <v>22316486.700000003</v>
      </c>
      <c r="AC6" s="3">
        <f>IF(AC$3&lt;=Summary!$C$2,(_xlfn.XLOOKUP(Group!$B6,PL_NG!$C:$C,PL_NG!AD:AD)+_xlfn.XLOOKUP(Group!$B6,PL_UK!$C:$C,PL_UK!AD:AD)+_xlfn.XLOOKUP(Group!$B6,PL_UAE!$C:$C,PL_UAE!AD:AD)),0)</f>
        <v>-18478033.149999999</v>
      </c>
      <c r="AD6" s="3">
        <f>IF(AD$3&lt;=Summary!$C$2,(_xlfn.XLOOKUP(Group!$B6,PL_NG!$C:$C,PL_NG!AE:AE)+_xlfn.XLOOKUP(Group!$B6,PL_UK!$C:$C,PL_UK!AE:AE)+_xlfn.XLOOKUP(Group!$B6,PL_UAE!$C:$C,PL_UAE!AE:AE)),0)</f>
        <v>63198519.719999991</v>
      </c>
      <c r="AE6" s="3">
        <f>IF(AE$3&lt;=Summary!$C$2,(_xlfn.XLOOKUP(Group!$B6,PL_NG!$C:$C,PL_NG!AF:AF)+_xlfn.XLOOKUP(Group!$B6,PL_UK!$C:$C,PL_UK!AF:AF)+_xlfn.XLOOKUP(Group!$B6,PL_UAE!$C:$C,PL_UAE!AF:AF)),0)</f>
        <v>0</v>
      </c>
      <c r="AF6" s="3">
        <f>IF(AF$3&lt;=Summary!$C$2,(_xlfn.XLOOKUP(Group!$B6,PL_NG!$C:$C,PL_NG!AG:AG)+_xlfn.XLOOKUP(Group!$B6,PL_UK!$C:$C,PL_UK!AG:AG)+_xlfn.XLOOKUP(Group!$B6,PL_UAE!$C:$C,PL_UAE!AG:AG)),0)</f>
        <v>0</v>
      </c>
      <c r="AG6" s="3">
        <f>IF(AG$3&lt;=Summary!$C$2,(_xlfn.XLOOKUP(Group!$B6,PL_NG!$C:$C,PL_NG!AH:AH)+_xlfn.XLOOKUP(Group!$B6,PL_UK!$C:$C,PL_UK!AH:AH)+_xlfn.XLOOKUP(Group!$B6,PL_UAE!$C:$C,PL_UAE!AH:AH)),0)</f>
        <v>0</v>
      </c>
      <c r="AH6" s="3">
        <f>IF(AH$3&lt;=Summary!$C$2,(_xlfn.XLOOKUP(Group!$B6,PL_NG!$C:$C,PL_NG!AI:AI)+_xlfn.XLOOKUP(Group!$B6,PL_UK!$C:$C,PL_UK!AI:AI)+_xlfn.XLOOKUP(Group!$B6,PL_UAE!$C:$C,PL_UAE!AI:AI)),0)</f>
        <v>0</v>
      </c>
      <c r="AI6" s="3">
        <f>IF(AI$3&lt;=Summary!$C$2,(_xlfn.XLOOKUP(Group!$B6,PL_NG!$C:$C,PL_NG!AJ:AJ)+_xlfn.XLOOKUP(Group!$B6,PL_UK!$C:$C,PL_UK!AJ:AJ)+_xlfn.XLOOKUP(Group!$B6,PL_UAE!$C:$C,PL_UAE!AJ:AJ)),0)</f>
        <v>0</v>
      </c>
      <c r="AJ6" s="3">
        <f>IF(AJ$3&lt;=Summary!$C$2,(_xlfn.XLOOKUP(Group!$B6,PL_NG!$C:$C,PL_NG!AK:AK)+_xlfn.XLOOKUP(Group!$B6,PL_UK!$C:$C,PL_UK!AK:AK)+_xlfn.XLOOKUP(Group!$B6,PL_UAE!$C:$C,PL_UAE!AK:AK)),0)</f>
        <v>0</v>
      </c>
      <c r="AK6" s="3">
        <f>IF(AK$3&lt;=Summary!$C$2,(_xlfn.XLOOKUP(Group!$B6,PL_NG!$C:$C,PL_NG!AL:AL)+_xlfn.XLOOKUP(Group!$B6,PL_UK!$C:$C,PL_UK!AL:AL)+_xlfn.XLOOKUP(Group!$B6,PL_UAE!$C:$C,PL_UAE!AL:AL)),0)</f>
        <v>0</v>
      </c>
      <c r="AL6" s="3">
        <f>IF(AL$3&lt;=Summary!$C$2,(_xlfn.XLOOKUP(Group!$B6,PL_NG!$C:$C,PL_NG!AM:AM)+_xlfn.XLOOKUP(Group!$B6,PL_UK!$C:$C,PL_UK!AM:AM)+_xlfn.XLOOKUP(Group!$B6,PL_UAE!$C:$C,PL_UAE!AM:AM)),0)</f>
        <v>0</v>
      </c>
    </row>
    <row r="7" spans="2:38" x14ac:dyDescent="0.2">
      <c r="B7" s="1" t="s">
        <v>10</v>
      </c>
      <c r="C7" s="3">
        <f>IF(C$3&lt;=Summary!$C$2,(_xlfn.XLOOKUP(Group!$B7,PL_NG!$C:$C,PL_NG!D:D)+_xlfn.XLOOKUP(Group!$B7,PL_UK!$C:$C,PL_UK!D:D)+_xlfn.XLOOKUP(Group!$B7,PL_UAE!$C:$C,PL_UAE!D:D)),0)</f>
        <v>-139644602.97200999</v>
      </c>
      <c r="D7" s="3">
        <f>IF(D$3&lt;=Summary!$C$2,(_xlfn.XLOOKUP(Group!$B7,PL_NG!$C:$C,PL_NG!E:E)+_xlfn.XLOOKUP(Group!$B7,PL_UK!$C:$C,PL_UK!E:E)+_xlfn.XLOOKUP(Group!$B7,PL_UAE!$C:$C,PL_UAE!E:E)),0)</f>
        <v>-160724192.19260001</v>
      </c>
      <c r="E7" s="3">
        <f>IF(E$3&lt;=Summary!$C$2,(_xlfn.XLOOKUP(Group!$B7,PL_NG!$C:$C,PL_NG!F:F)+_xlfn.XLOOKUP(Group!$B7,PL_UK!$C:$C,PL_UK!F:F)+_xlfn.XLOOKUP(Group!$B7,PL_UAE!$C:$C,PL_UAE!F:F)),0)</f>
        <v>-504898377.15462011</v>
      </c>
      <c r="F7" s="3">
        <f>IF(F$3&lt;=Summary!$C$2,(_xlfn.XLOOKUP(Group!$B7,PL_NG!$C:$C,PL_NG!G:G)+_xlfn.XLOOKUP(Group!$B7,PL_UK!$C:$C,PL_UK!G:G)+_xlfn.XLOOKUP(Group!$B7,PL_UAE!$C:$C,PL_UAE!G:G)),0)</f>
        <v>-188919239.97374001</v>
      </c>
      <c r="G7" s="3">
        <f>IF(G$3&lt;=Summary!$C$2,(_xlfn.XLOOKUP(Group!$B7,PL_NG!$C:$C,PL_NG!H:H)+_xlfn.XLOOKUP(Group!$B7,PL_UK!$C:$C,PL_UK!H:H)+_xlfn.XLOOKUP(Group!$B7,PL_UAE!$C:$C,PL_UAE!H:H)),0)</f>
        <v>-350643694.13143998</v>
      </c>
      <c r="H7" s="3">
        <f>IF(H$3&lt;=Summary!$C$2,(_xlfn.XLOOKUP(Group!$B7,PL_NG!$C:$C,PL_NG!I:I)+_xlfn.XLOOKUP(Group!$B7,PL_UK!$C:$C,PL_UK!I:I)+_xlfn.XLOOKUP(Group!$B7,PL_UAE!$C:$C,PL_UAE!I:I)),0)</f>
        <v>-330391651.46026999</v>
      </c>
      <c r="I7" s="3">
        <f>IF(I$3&lt;=Summary!$C$2,(_xlfn.XLOOKUP(Group!$B7,PL_NG!$C:$C,PL_NG!J:J)+_xlfn.XLOOKUP(Group!$B7,PL_UK!$C:$C,PL_UK!J:J)+_xlfn.XLOOKUP(Group!$B7,PL_UAE!$C:$C,PL_UAE!J:J)),0)</f>
        <v>-378326084.38808</v>
      </c>
      <c r="J7" s="3">
        <f>IF(J$3&lt;=Summary!$C$2,(_xlfn.XLOOKUP(Group!$B7,PL_NG!$C:$C,PL_NG!K:K)+_xlfn.XLOOKUP(Group!$B7,PL_UK!$C:$C,PL_UK!K:K)+_xlfn.XLOOKUP(Group!$B7,PL_UAE!$C:$C,PL_UAE!K:K)),0)</f>
        <v>-220459080.40062997</v>
      </c>
      <c r="K7" s="3">
        <f>IF(K$3&lt;=Summary!$C$2,(_xlfn.XLOOKUP(Group!$B7,PL_NG!$C:$C,PL_NG!L:L)+_xlfn.XLOOKUP(Group!$B7,PL_UK!$C:$C,PL_UK!L:L)+_xlfn.XLOOKUP(Group!$B7,PL_UAE!$C:$C,PL_UAE!L:L)),0)</f>
        <v>-164568412.95211998</v>
      </c>
      <c r="L7" s="3">
        <f>IF(L$3&lt;=Summary!$C$2,(_xlfn.XLOOKUP(Group!$B7,PL_NG!$C:$C,PL_NG!M:M)+_xlfn.XLOOKUP(Group!$B7,PL_UK!$C:$C,PL_UK!M:M)+_xlfn.XLOOKUP(Group!$B7,PL_UAE!$C:$C,PL_UAE!M:M)),0)</f>
        <v>-543272447.30483997</v>
      </c>
      <c r="M7" s="3">
        <f>IF(M$3&lt;=Summary!$C$2,(_xlfn.XLOOKUP(Group!$B7,PL_NG!$C:$C,PL_NG!N:N)+_xlfn.XLOOKUP(Group!$B7,PL_UK!$C:$C,PL_UK!N:N)+_xlfn.XLOOKUP(Group!$B7,PL_UAE!$C:$C,PL_UAE!N:N)),0)</f>
        <v>-491025212.11049992</v>
      </c>
      <c r="N7" s="3">
        <f>IF(N$3&lt;=Summary!$C$2,(_xlfn.XLOOKUP(Group!$B7,PL_NG!$C:$C,PL_NG!O:O)+_xlfn.XLOOKUP(Group!$B7,PL_UK!$C:$C,PL_UK!O:O)+_xlfn.XLOOKUP(Group!$B7,PL_UAE!$C:$C,PL_UAE!O:O)),0)</f>
        <v>-168076790.87719998</v>
      </c>
      <c r="O7" s="3">
        <f>IF(O$3&lt;=Summary!$C$2,(_xlfn.XLOOKUP(Group!$B7,PL_NG!$C:$C,PL_NG!P:P)+_xlfn.XLOOKUP(Group!$B7,PL_UK!$C:$C,PL_UK!P:P)+_xlfn.XLOOKUP(Group!$B7,PL_UAE!$C:$C,PL_UAE!P:P)),0)</f>
        <v>-280344860.98289996</v>
      </c>
      <c r="P7" s="3">
        <f>IF(P$3&lt;=Summary!$C$2,(_xlfn.XLOOKUP(Group!$B7,PL_NG!$C:$C,PL_NG!Q:Q)+_xlfn.XLOOKUP(Group!$B7,PL_UK!$C:$C,PL_UK!Q:Q)+_xlfn.XLOOKUP(Group!$B7,PL_UAE!$C:$C,PL_UAE!Q:Q)),0)</f>
        <v>-290978783.43840176</v>
      </c>
      <c r="Q7" s="3">
        <f>IF(Q$3&lt;=Summary!$C$2,(_xlfn.XLOOKUP(Group!$B7,PL_NG!$C:$C,PL_NG!R:R)+_xlfn.XLOOKUP(Group!$B7,PL_UK!$C:$C,PL_UK!R:R)+_xlfn.XLOOKUP(Group!$B7,PL_UAE!$C:$C,PL_UAE!R:R)),0)</f>
        <v>-290897611.02755994</v>
      </c>
      <c r="R7" s="3">
        <f>IF(R$3&lt;=Summary!$C$2,(_xlfn.XLOOKUP(Group!$B7,PL_NG!$C:$C,PL_NG!S:S)+_xlfn.XLOOKUP(Group!$B7,PL_UK!$C:$C,PL_UK!S:S)+_xlfn.XLOOKUP(Group!$B7,PL_UAE!$C:$C,PL_UAE!S:S)),0)</f>
        <v>-183193310.67489004</v>
      </c>
      <c r="S7" s="3">
        <f>IF(S$3&lt;=Summary!$C$2,(_xlfn.XLOOKUP(Group!$B7,PL_NG!$C:$C,PL_NG!T:T)+_xlfn.XLOOKUP(Group!$B7,PL_UK!$C:$C,PL_UK!T:T)+_xlfn.XLOOKUP(Group!$B7,PL_UAE!$C:$C,PL_UAE!T:T)),0)</f>
        <v>-494071950.05528986</v>
      </c>
      <c r="T7" s="3">
        <f>IF(T$3&lt;=Summary!$C$2,(_xlfn.XLOOKUP(Group!$B7,PL_NG!$C:$C,PL_NG!U:U)+_xlfn.XLOOKUP(Group!$B7,PL_UK!$C:$C,PL_UK!U:U)+_xlfn.XLOOKUP(Group!$B7,PL_UAE!$C:$C,PL_UAE!U:U)),0)</f>
        <v>-425199134.81862992</v>
      </c>
      <c r="U7" s="3">
        <f>IF(U$3&lt;=Summary!$C$2,(_xlfn.XLOOKUP(Group!$B7,PL_NG!$C:$C,PL_NG!V:V)+_xlfn.XLOOKUP(Group!$B7,PL_UK!$C:$C,PL_UK!V:V)+_xlfn.XLOOKUP(Group!$B7,PL_UAE!$C:$C,PL_UAE!V:V)),0)</f>
        <v>-372764073.20979995</v>
      </c>
      <c r="V7" s="3">
        <f>IF(V$3&lt;=Summary!$C$2,(_xlfn.XLOOKUP(Group!$B7,PL_NG!$C:$C,PL_NG!W:W)+_xlfn.XLOOKUP(Group!$B7,PL_UK!$C:$C,PL_UK!W:W)+_xlfn.XLOOKUP(Group!$B7,PL_UAE!$C:$C,PL_UAE!W:W)),0)</f>
        <v>-339481519.35402</v>
      </c>
      <c r="W7" s="3">
        <f>IF(W$3&lt;=Summary!$C$2,(_xlfn.XLOOKUP(Group!$B7,PL_NG!$C:$C,PL_NG!X:X)+_xlfn.XLOOKUP(Group!$B7,PL_UK!$C:$C,PL_UK!X:X)+_xlfn.XLOOKUP(Group!$B7,PL_UAE!$C:$C,PL_UAE!X:X)),0)</f>
        <v>-529491465.52687997</v>
      </c>
      <c r="X7" s="3">
        <f>IF(X$3&lt;=Summary!$C$2,(_xlfn.XLOOKUP(Group!$B7,PL_NG!$C:$C,PL_NG!Y:Y)+_xlfn.XLOOKUP(Group!$B7,PL_UK!$C:$C,PL_UK!Y:Y)+_xlfn.XLOOKUP(Group!$B7,PL_UAE!$C:$C,PL_UAE!Y:Y)),0)</f>
        <v>-426435239.37700003</v>
      </c>
      <c r="Y7" s="3">
        <f>IF(Y$3&lt;=Summary!$C$2,(_xlfn.XLOOKUP(Group!$B7,PL_NG!$C:$C,PL_NG!Z:Z)+_xlfn.XLOOKUP(Group!$B7,PL_UK!$C:$C,PL_UK!Z:Z)+_xlfn.XLOOKUP(Group!$B7,PL_UAE!$C:$C,PL_UAE!Z:Z)),0)</f>
        <v>-379391078.69549996</v>
      </c>
      <c r="Z7" s="3">
        <f>IF(Z$3&lt;=Summary!$C$2,(_xlfn.XLOOKUP(Group!$B7,PL_NG!$C:$C,PL_NG!AA:AA)+_xlfn.XLOOKUP(Group!$B7,PL_UK!$C:$C,PL_UK!AA:AA)+_xlfn.XLOOKUP(Group!$B7,PL_UAE!$C:$C,PL_UAE!AA:AA)),0)</f>
        <v>-593563459.30986989</v>
      </c>
      <c r="AA7" s="3">
        <f>IF(AA$3&lt;=Summary!$C$2,(_xlfn.XLOOKUP(Group!$B7,PL_NG!$C:$C,PL_NG!AB:AB)+_xlfn.XLOOKUP(Group!$B7,PL_UK!$C:$C,PL_UK!AB:AB)+_xlfn.XLOOKUP(Group!$B7,PL_UAE!$C:$C,PL_UAE!AB:AB)),0)</f>
        <v>-368924802.53951997</v>
      </c>
      <c r="AB7" s="3">
        <f>IF(AB$3&lt;=Summary!$C$2,(_xlfn.XLOOKUP(Group!$B7,PL_NG!$C:$C,PL_NG!AC:AC)+_xlfn.XLOOKUP(Group!$B7,PL_UK!$C:$C,PL_UK!AC:AC)+_xlfn.XLOOKUP(Group!$B7,PL_UAE!$C:$C,PL_UAE!AC:AC)),0)</f>
        <v>-338093564.60195005</v>
      </c>
      <c r="AC7" s="3">
        <f>IF(AC$3&lt;=Summary!$C$2,(_xlfn.XLOOKUP(Group!$B7,PL_NG!$C:$C,PL_NG!AD:AD)+_xlfn.XLOOKUP(Group!$B7,PL_UK!$C:$C,PL_UK!AD:AD)+_xlfn.XLOOKUP(Group!$B7,PL_UAE!$C:$C,PL_UAE!AD:AD)),0)</f>
        <v>-304002518.22841001</v>
      </c>
      <c r="AD7" s="3">
        <f>IF(AD$3&lt;=Summary!$C$2,(_xlfn.XLOOKUP(Group!$B7,PL_NG!$C:$C,PL_NG!AE:AE)+_xlfn.XLOOKUP(Group!$B7,PL_UK!$C:$C,PL_UK!AE:AE)+_xlfn.XLOOKUP(Group!$B7,PL_UAE!$C:$C,PL_UAE!AE:AE)),0)</f>
        <v>-298784326.31147999</v>
      </c>
      <c r="AE7" s="3">
        <f>IF(AE$3&lt;=Summary!$C$2,(_xlfn.XLOOKUP(Group!$B7,PL_NG!$C:$C,PL_NG!AF:AF)+_xlfn.XLOOKUP(Group!$B7,PL_UK!$C:$C,PL_UK!AF:AF)+_xlfn.XLOOKUP(Group!$B7,PL_UAE!$C:$C,PL_UAE!AF:AF)),0)</f>
        <v>0</v>
      </c>
      <c r="AF7" s="3">
        <f>IF(AF$3&lt;=Summary!$C$2,(_xlfn.XLOOKUP(Group!$B7,PL_NG!$C:$C,PL_NG!AG:AG)+_xlfn.XLOOKUP(Group!$B7,PL_UK!$C:$C,PL_UK!AG:AG)+_xlfn.XLOOKUP(Group!$B7,PL_UAE!$C:$C,PL_UAE!AG:AG)),0)</f>
        <v>0</v>
      </c>
      <c r="AG7" s="3">
        <f>IF(AG$3&lt;=Summary!$C$2,(_xlfn.XLOOKUP(Group!$B7,PL_NG!$C:$C,PL_NG!AH:AH)+_xlfn.XLOOKUP(Group!$B7,PL_UK!$C:$C,PL_UK!AH:AH)+_xlfn.XLOOKUP(Group!$B7,PL_UAE!$C:$C,PL_UAE!AH:AH)),0)</f>
        <v>0</v>
      </c>
      <c r="AH7" s="3">
        <f>IF(AH$3&lt;=Summary!$C$2,(_xlfn.XLOOKUP(Group!$B7,PL_NG!$C:$C,PL_NG!AI:AI)+_xlfn.XLOOKUP(Group!$B7,PL_UK!$C:$C,PL_UK!AI:AI)+_xlfn.XLOOKUP(Group!$B7,PL_UAE!$C:$C,PL_UAE!AI:AI)),0)</f>
        <v>0</v>
      </c>
      <c r="AI7" s="3">
        <f>IF(AI$3&lt;=Summary!$C$2,(_xlfn.XLOOKUP(Group!$B7,PL_NG!$C:$C,PL_NG!AJ:AJ)+_xlfn.XLOOKUP(Group!$B7,PL_UK!$C:$C,PL_UK!AJ:AJ)+_xlfn.XLOOKUP(Group!$B7,PL_UAE!$C:$C,PL_UAE!AJ:AJ)),0)</f>
        <v>0</v>
      </c>
      <c r="AJ7" s="3">
        <f>IF(AJ$3&lt;=Summary!$C$2,(_xlfn.XLOOKUP(Group!$B7,PL_NG!$C:$C,PL_NG!AK:AK)+_xlfn.XLOOKUP(Group!$B7,PL_UK!$C:$C,PL_UK!AK:AK)+_xlfn.XLOOKUP(Group!$B7,PL_UAE!$C:$C,PL_UAE!AK:AK)),0)</f>
        <v>0</v>
      </c>
      <c r="AK7" s="3">
        <f>IF(AK$3&lt;=Summary!$C$2,(_xlfn.XLOOKUP(Group!$B7,PL_NG!$C:$C,PL_NG!AL:AL)+_xlfn.XLOOKUP(Group!$B7,PL_UK!$C:$C,PL_UK!AL:AL)+_xlfn.XLOOKUP(Group!$B7,PL_UAE!$C:$C,PL_UAE!AL:AL)),0)</f>
        <v>0</v>
      </c>
      <c r="AL7" s="3">
        <f>IF(AL$3&lt;=Summary!$C$2,(_xlfn.XLOOKUP(Group!$B7,PL_NG!$C:$C,PL_NG!AM:AM)+_xlfn.XLOOKUP(Group!$B7,PL_UK!$C:$C,PL_UK!AM:AM)+_xlfn.XLOOKUP(Group!$B7,PL_UAE!$C:$C,PL_UAE!AM:AM)),0)</f>
        <v>0</v>
      </c>
    </row>
    <row r="8" spans="2:38" x14ac:dyDescent="0.2">
      <c r="B8" s="1" t="s">
        <v>13</v>
      </c>
      <c r="C8" s="3">
        <f>IF(C$3&lt;=Summary!$C$2,(_xlfn.XLOOKUP(Group!$B8,PL_NG!$C:$C,PL_NG!D:D)+_xlfn.XLOOKUP(Group!$B8,PL_UK!$C:$C,PL_UK!D:D)+_xlfn.XLOOKUP(Group!$B8,PL_UAE!$C:$C,PL_UAE!D:D)),0)</f>
        <v>-2995833.8873999999</v>
      </c>
      <c r="D8" s="3">
        <f>IF(D$3&lt;=Summary!$C$2,(_xlfn.XLOOKUP(Group!$B8,PL_NG!$C:$C,PL_NG!E:E)+_xlfn.XLOOKUP(Group!$B8,PL_UK!$C:$C,PL_UK!E:E)+_xlfn.XLOOKUP(Group!$B8,PL_UAE!$C:$C,PL_UAE!E:E)),0)</f>
        <v>-3291706.3471999997</v>
      </c>
      <c r="E8" s="3">
        <f>IF(E$3&lt;=Summary!$C$2,(_xlfn.XLOOKUP(Group!$B8,PL_NG!$C:$C,PL_NG!F:F)+_xlfn.XLOOKUP(Group!$B8,PL_UK!$C:$C,PL_UK!F:F)+_xlfn.XLOOKUP(Group!$B8,PL_UAE!$C:$C,PL_UAE!F:F)),0)</f>
        <v>-2965718.7515999996</v>
      </c>
      <c r="F8" s="3">
        <f>IF(F$3&lt;=Summary!$C$2,(_xlfn.XLOOKUP(Group!$B8,PL_NG!$C:$C,PL_NG!G:G)+_xlfn.XLOOKUP(Group!$B8,PL_UK!$C:$C,PL_UK!G:G)+_xlfn.XLOOKUP(Group!$B8,PL_UAE!$C:$C,PL_UAE!G:G)),0)</f>
        <v>-2633116.7338</v>
      </c>
      <c r="G8" s="3">
        <f>IF(G$3&lt;=Summary!$C$2,(_xlfn.XLOOKUP(Group!$B8,PL_NG!$C:$C,PL_NG!H:H)+_xlfn.XLOOKUP(Group!$B8,PL_UK!$C:$C,PL_UK!H:H)+_xlfn.XLOOKUP(Group!$B8,PL_UAE!$C:$C,PL_UAE!H:H)),0)</f>
        <v>-3068876.8057999997</v>
      </c>
      <c r="H8" s="3">
        <f>IF(H$3&lt;=Summary!$C$2,(_xlfn.XLOOKUP(Group!$B8,PL_NG!$C:$C,PL_NG!I:I)+_xlfn.XLOOKUP(Group!$B8,PL_UK!$C:$C,PL_UK!I:I)+_xlfn.XLOOKUP(Group!$B8,PL_UAE!$C:$C,PL_UAE!I:I)),0)</f>
        <v>-3487754.0762</v>
      </c>
      <c r="I8" s="3">
        <f>IF(I$3&lt;=Summary!$C$2,(_xlfn.XLOOKUP(Group!$B8,PL_NG!$C:$C,PL_NG!J:J)+_xlfn.XLOOKUP(Group!$B8,PL_UK!$C:$C,PL_UK!J:J)+_xlfn.XLOOKUP(Group!$B8,PL_UAE!$C:$C,PL_UAE!J:J)),0)</f>
        <v>-3320451.2156000002</v>
      </c>
      <c r="J8" s="3">
        <f>IF(J$3&lt;=Summary!$C$2,(_xlfn.XLOOKUP(Group!$B8,PL_NG!$C:$C,PL_NG!K:K)+_xlfn.XLOOKUP(Group!$B8,PL_UK!$C:$C,PL_UK!K:K)+_xlfn.XLOOKUP(Group!$B8,PL_UAE!$C:$C,PL_UAE!K:K)),0)</f>
        <v>-4516696.9145999989</v>
      </c>
      <c r="K8" s="3">
        <f>IF(K$3&lt;=Summary!$C$2,(_xlfn.XLOOKUP(Group!$B8,PL_NG!$C:$C,PL_NG!L:L)+_xlfn.XLOOKUP(Group!$B8,PL_UK!$C:$C,PL_UK!L:L)+_xlfn.XLOOKUP(Group!$B8,PL_UAE!$C:$C,PL_UAE!L:L)),0)</f>
        <v>-4489991.0586000001</v>
      </c>
      <c r="L8" s="3">
        <f>IF(L$3&lt;=Summary!$C$2,(_xlfn.XLOOKUP(Group!$B8,PL_NG!$C:$C,PL_NG!M:M)+_xlfn.XLOOKUP(Group!$B8,PL_UK!$C:$C,PL_UK!M:M)+_xlfn.XLOOKUP(Group!$B8,PL_UAE!$C:$C,PL_UAE!M:M)),0)</f>
        <v>-4643826.4120000005</v>
      </c>
      <c r="M8" s="3">
        <f>IF(M$3&lt;=Summary!$C$2,(_xlfn.XLOOKUP(Group!$B8,PL_NG!$C:$C,PL_NG!N:N)+_xlfn.XLOOKUP(Group!$B8,PL_UK!$C:$C,PL_UK!N:N)+_xlfn.XLOOKUP(Group!$B8,PL_UAE!$C:$C,PL_UAE!N:N)),0)</f>
        <v>-4769940.9140000008</v>
      </c>
      <c r="N8" s="3">
        <f>IF(N$3&lt;=Summary!$C$2,(_xlfn.XLOOKUP(Group!$B8,PL_NG!$C:$C,PL_NG!O:O)+_xlfn.XLOOKUP(Group!$B8,PL_UK!$C:$C,PL_UK!O:O)+_xlfn.XLOOKUP(Group!$B8,PL_UAE!$C:$C,PL_UAE!O:O)),0)</f>
        <v>-4734679.2784000002</v>
      </c>
      <c r="O8" s="3">
        <f>IF(O$3&lt;=Summary!$C$2,(_xlfn.XLOOKUP(Group!$B8,PL_NG!$C:$C,PL_NG!P:P)+_xlfn.XLOOKUP(Group!$B8,PL_UK!$C:$C,PL_UK!P:P)+_xlfn.XLOOKUP(Group!$B8,PL_UAE!$C:$C,PL_UAE!P:P)),0)</f>
        <v>-4796595.1655999999</v>
      </c>
      <c r="P8" s="3">
        <f>IF(P$3&lt;=Summary!$C$2,(_xlfn.XLOOKUP(Group!$B8,PL_NG!$C:$C,PL_NG!Q:Q)+_xlfn.XLOOKUP(Group!$B8,PL_UK!$C:$C,PL_UK!Q:Q)+_xlfn.XLOOKUP(Group!$B8,PL_UAE!$C:$C,PL_UAE!Q:Q)),0)</f>
        <v>-5059380.5751999589</v>
      </c>
      <c r="Q8" s="3">
        <f>IF(Q$3&lt;=Summary!$C$2,(_xlfn.XLOOKUP(Group!$B8,PL_NG!$C:$C,PL_NG!R:R)+_xlfn.XLOOKUP(Group!$B8,PL_UK!$C:$C,PL_UK!R:R)+_xlfn.XLOOKUP(Group!$B8,PL_UAE!$C:$C,PL_UAE!R:R)),0)</f>
        <v>-5098755.6541999998</v>
      </c>
      <c r="R8" s="3">
        <f>IF(R$3&lt;=Summary!$C$2,(_xlfn.XLOOKUP(Group!$B8,PL_NG!$C:$C,PL_NG!S:S)+_xlfn.XLOOKUP(Group!$B8,PL_UK!$C:$C,PL_UK!S:S)+_xlfn.XLOOKUP(Group!$B8,PL_UAE!$C:$C,PL_UAE!S:S)),0)</f>
        <v>-5113187.3030000003</v>
      </c>
      <c r="S8" s="3">
        <f>IF(S$3&lt;=Summary!$C$2,(_xlfn.XLOOKUP(Group!$B8,PL_NG!$C:$C,PL_NG!T:T)+_xlfn.XLOOKUP(Group!$B8,PL_UK!$C:$C,PL_UK!T:T)+_xlfn.XLOOKUP(Group!$B8,PL_UAE!$C:$C,PL_UAE!T:T)),0)</f>
        <v>-5119640.3682000004</v>
      </c>
      <c r="T8" s="3">
        <f>IF(T$3&lt;=Summary!$C$2,(_xlfn.XLOOKUP(Group!$B8,PL_NG!$C:$C,PL_NG!U:U)+_xlfn.XLOOKUP(Group!$B8,PL_UK!$C:$C,PL_UK!U:U)+_xlfn.XLOOKUP(Group!$B8,PL_UAE!$C:$C,PL_UAE!U:U)),0)</f>
        <v>-5116140.0449999999</v>
      </c>
      <c r="U8" s="3">
        <f>IF(U$3&lt;=Summary!$C$2,(_xlfn.XLOOKUP(Group!$B8,PL_NG!$C:$C,PL_NG!V:V)+_xlfn.XLOOKUP(Group!$B8,PL_UK!$C:$C,PL_UK!V:V)+_xlfn.XLOOKUP(Group!$B8,PL_UAE!$C:$C,PL_UAE!V:V)),0)</f>
        <v>-7739986.8871999998</v>
      </c>
      <c r="V8" s="3">
        <f>IF(V$3&lt;=Summary!$C$2,(_xlfn.XLOOKUP(Group!$B8,PL_NG!$C:$C,PL_NG!W:W)+_xlfn.XLOOKUP(Group!$B8,PL_UK!$C:$C,PL_UK!W:W)+_xlfn.XLOOKUP(Group!$B8,PL_UAE!$C:$C,PL_UAE!W:W)),0)</f>
        <v>-6663455.75</v>
      </c>
      <c r="W8" s="3">
        <f>IF(W$3&lt;=Summary!$C$2,(_xlfn.XLOOKUP(Group!$B8,PL_NG!$C:$C,PL_NG!X:X)+_xlfn.XLOOKUP(Group!$B8,PL_UK!$C:$C,PL_UK!X:X)+_xlfn.XLOOKUP(Group!$B8,PL_UAE!$C:$C,PL_UAE!X:X)),0)</f>
        <v>-6619303.6440000003</v>
      </c>
      <c r="X8" s="3">
        <f>IF(X$3&lt;=Summary!$C$2,(_xlfn.XLOOKUP(Group!$B8,PL_NG!$C:$C,PL_NG!Y:Y)+_xlfn.XLOOKUP(Group!$B8,PL_UK!$C:$C,PL_UK!Y:Y)+_xlfn.XLOOKUP(Group!$B8,PL_UAE!$C:$C,PL_UAE!Y:Y)),0)</f>
        <v>-6602168.5059999991</v>
      </c>
      <c r="Y8" s="3">
        <f>IF(Y$3&lt;=Summary!$C$2,(_xlfn.XLOOKUP(Group!$B8,PL_NG!$C:$C,PL_NG!Z:Z)+_xlfn.XLOOKUP(Group!$B8,PL_UK!$C:$C,PL_UK!Z:Z)+_xlfn.XLOOKUP(Group!$B8,PL_UAE!$C:$C,PL_UAE!Z:Z)),0)</f>
        <v>-6817841.1125999996</v>
      </c>
      <c r="Z8" s="3">
        <f>IF(Z$3&lt;=Summary!$C$2,(_xlfn.XLOOKUP(Group!$B8,PL_NG!$C:$C,PL_NG!AA:AA)+_xlfn.XLOOKUP(Group!$B8,PL_UK!$C:$C,PL_UK!AA:AA)+_xlfn.XLOOKUP(Group!$B8,PL_UAE!$C:$C,PL_UAE!AA:AA)),0)</f>
        <v>-6866043.0145999994</v>
      </c>
      <c r="AA8" s="3">
        <f>IF(AA$3&lt;=Summary!$C$2,(_xlfn.XLOOKUP(Group!$B8,PL_NG!$C:$C,PL_NG!AB:AB)+_xlfn.XLOOKUP(Group!$B8,PL_UK!$C:$C,PL_UK!AB:AB)+_xlfn.XLOOKUP(Group!$B8,PL_UAE!$C:$C,PL_UAE!AB:AB)),0)</f>
        <v>-12427212.4572</v>
      </c>
      <c r="AB8" s="3">
        <f>IF(AB$3&lt;=Summary!$C$2,(_xlfn.XLOOKUP(Group!$B8,PL_NG!$C:$C,PL_NG!AC:AC)+_xlfn.XLOOKUP(Group!$B8,PL_UK!$C:$C,PL_UK!AC:AC)+_xlfn.XLOOKUP(Group!$B8,PL_UAE!$C:$C,PL_UAE!AC:AC)),0)</f>
        <v>-12540619.284600001</v>
      </c>
      <c r="AC8" s="3">
        <f>IF(AC$3&lt;=Summary!$C$2,(_xlfn.XLOOKUP(Group!$B8,PL_NG!$C:$C,PL_NG!AD:AD)+_xlfn.XLOOKUP(Group!$B8,PL_UK!$C:$C,PL_UK!AD:AD)+_xlfn.XLOOKUP(Group!$B8,PL_UAE!$C:$C,PL_UAE!AD:AD)),0)</f>
        <v>-12323423.104599999</v>
      </c>
      <c r="AD8" s="3">
        <f>IF(AD$3&lt;=Summary!$C$2,(_xlfn.XLOOKUP(Group!$B8,PL_NG!$C:$C,PL_NG!AE:AE)+_xlfn.XLOOKUP(Group!$B8,PL_UK!$C:$C,PL_UK!AE:AE)+_xlfn.XLOOKUP(Group!$B8,PL_UAE!$C:$C,PL_UAE!AE:AE)),0)</f>
        <v>-12547813.764800001</v>
      </c>
      <c r="AE8" s="3">
        <f>IF(AE$3&lt;=Summary!$C$2,(_xlfn.XLOOKUP(Group!$B8,PL_NG!$C:$C,PL_NG!AF:AF)+_xlfn.XLOOKUP(Group!$B8,PL_UK!$C:$C,PL_UK!AF:AF)+_xlfn.XLOOKUP(Group!$B8,PL_UAE!$C:$C,PL_UAE!AF:AF)),0)</f>
        <v>0</v>
      </c>
      <c r="AF8" s="3">
        <f>IF(AF$3&lt;=Summary!$C$2,(_xlfn.XLOOKUP(Group!$B8,PL_NG!$C:$C,PL_NG!AG:AG)+_xlfn.XLOOKUP(Group!$B8,PL_UK!$C:$C,PL_UK!AG:AG)+_xlfn.XLOOKUP(Group!$B8,PL_UAE!$C:$C,PL_UAE!AG:AG)),0)</f>
        <v>0</v>
      </c>
      <c r="AG8" s="3">
        <f>IF(AG$3&lt;=Summary!$C$2,(_xlfn.XLOOKUP(Group!$B8,PL_NG!$C:$C,PL_NG!AH:AH)+_xlfn.XLOOKUP(Group!$B8,PL_UK!$C:$C,PL_UK!AH:AH)+_xlfn.XLOOKUP(Group!$B8,PL_UAE!$C:$C,PL_UAE!AH:AH)),0)</f>
        <v>0</v>
      </c>
      <c r="AH8" s="3">
        <f>IF(AH$3&lt;=Summary!$C$2,(_xlfn.XLOOKUP(Group!$B8,PL_NG!$C:$C,PL_NG!AI:AI)+_xlfn.XLOOKUP(Group!$B8,PL_UK!$C:$C,PL_UK!AI:AI)+_xlfn.XLOOKUP(Group!$B8,PL_UAE!$C:$C,PL_UAE!AI:AI)),0)</f>
        <v>0</v>
      </c>
      <c r="AI8" s="3">
        <f>IF(AI$3&lt;=Summary!$C$2,(_xlfn.XLOOKUP(Group!$B8,PL_NG!$C:$C,PL_NG!AJ:AJ)+_xlfn.XLOOKUP(Group!$B8,PL_UK!$C:$C,PL_UK!AJ:AJ)+_xlfn.XLOOKUP(Group!$B8,PL_UAE!$C:$C,PL_UAE!AJ:AJ)),0)</f>
        <v>0</v>
      </c>
      <c r="AJ8" s="3">
        <f>IF(AJ$3&lt;=Summary!$C$2,(_xlfn.XLOOKUP(Group!$B8,PL_NG!$C:$C,PL_NG!AK:AK)+_xlfn.XLOOKUP(Group!$B8,PL_UK!$C:$C,PL_UK!AK:AK)+_xlfn.XLOOKUP(Group!$B8,PL_UAE!$C:$C,PL_UAE!AK:AK)),0)</f>
        <v>0</v>
      </c>
      <c r="AK8" s="3">
        <f>IF(AK$3&lt;=Summary!$C$2,(_xlfn.XLOOKUP(Group!$B8,PL_NG!$C:$C,PL_NG!AL:AL)+_xlfn.XLOOKUP(Group!$B8,PL_UK!$C:$C,PL_UK!AL:AL)+_xlfn.XLOOKUP(Group!$B8,PL_UAE!$C:$C,PL_UAE!AL:AL)),0)</f>
        <v>0</v>
      </c>
      <c r="AL8" s="3">
        <f>IF(AL$3&lt;=Summary!$C$2,(_xlfn.XLOOKUP(Group!$B8,PL_NG!$C:$C,PL_NG!AM:AM)+_xlfn.XLOOKUP(Group!$B8,PL_UK!$C:$C,PL_UK!AM:AM)+_xlfn.XLOOKUP(Group!$B8,PL_UAE!$C:$C,PL_UAE!AM:AM)),0)</f>
        <v>0</v>
      </c>
    </row>
    <row r="9" spans="2:38" x14ac:dyDescent="0.2">
      <c r="B9" s="1" t="s">
        <v>16</v>
      </c>
      <c r="C9" s="3">
        <f>IF(C$3&lt;=Summary!$C$2,(_xlfn.XLOOKUP(Group!$B9,PL_NG!$C:$C,PL_NG!D:D)+_xlfn.XLOOKUP(Group!$B9,PL_UK!$C:$C,PL_UK!D:D)+_xlfn.XLOOKUP(Group!$B9,PL_UAE!$C:$C,PL_UAE!D:D)),0)</f>
        <v>0</v>
      </c>
      <c r="D9" s="3">
        <f>IF(D$3&lt;=Summary!$C$2,(_xlfn.XLOOKUP(Group!$B9,PL_NG!$C:$C,PL_NG!E:E)+_xlfn.XLOOKUP(Group!$B9,PL_UK!$C:$C,PL_UK!E:E)+_xlfn.XLOOKUP(Group!$B9,PL_UAE!$C:$C,PL_UAE!E:E)),0)</f>
        <v>-321442.59999999998</v>
      </c>
      <c r="E9" s="3">
        <f>IF(E$3&lt;=Summary!$C$2,(_xlfn.XLOOKUP(Group!$B9,PL_NG!$C:$C,PL_NG!F:F)+_xlfn.XLOOKUP(Group!$B9,PL_UK!$C:$C,PL_UK!F:F)+_xlfn.XLOOKUP(Group!$B9,PL_UAE!$C:$C,PL_UAE!F:F)),0)</f>
        <v>-1014508.47</v>
      </c>
      <c r="F9" s="3">
        <f>IF(F$3&lt;=Summary!$C$2,(_xlfn.XLOOKUP(Group!$B9,PL_NG!$C:$C,PL_NG!G:G)+_xlfn.XLOOKUP(Group!$B9,PL_UK!$C:$C,PL_UK!G:G)+_xlfn.XLOOKUP(Group!$B9,PL_UAE!$C:$C,PL_UAE!G:G)),0)</f>
        <v>0</v>
      </c>
      <c r="G9" s="3">
        <f>IF(G$3&lt;=Summary!$C$2,(_xlfn.XLOOKUP(Group!$B9,PL_NG!$C:$C,PL_NG!H:H)+_xlfn.XLOOKUP(Group!$B9,PL_UK!$C:$C,PL_UK!H:H)+_xlfn.XLOOKUP(Group!$B9,PL_UAE!$C:$C,PL_UAE!H:H)),0)</f>
        <v>0</v>
      </c>
      <c r="H9" s="3">
        <f>IF(H$3&lt;=Summary!$C$2,(_xlfn.XLOOKUP(Group!$B9,PL_NG!$C:$C,PL_NG!I:I)+_xlfn.XLOOKUP(Group!$B9,PL_UK!$C:$C,PL_UK!I:I)+_xlfn.XLOOKUP(Group!$B9,PL_UAE!$C:$C,PL_UAE!I:I)),0)</f>
        <v>0</v>
      </c>
      <c r="I9" s="3">
        <f>IF(I$3&lt;=Summary!$C$2,(_xlfn.XLOOKUP(Group!$B9,PL_NG!$C:$C,PL_NG!J:J)+_xlfn.XLOOKUP(Group!$B9,PL_UK!$C:$C,PL_UK!J:J)+_xlfn.XLOOKUP(Group!$B9,PL_UAE!$C:$C,PL_UAE!J:J)),0)</f>
        <v>0</v>
      </c>
      <c r="J9" s="3">
        <f>IF(J$3&lt;=Summary!$C$2,(_xlfn.XLOOKUP(Group!$B9,PL_NG!$C:$C,PL_NG!K:K)+_xlfn.XLOOKUP(Group!$B9,PL_UK!$C:$C,PL_UK!K:K)+_xlfn.XLOOKUP(Group!$B9,PL_UAE!$C:$C,PL_UAE!K:K)),0)</f>
        <v>0</v>
      </c>
      <c r="K9" s="3">
        <f>IF(K$3&lt;=Summary!$C$2,(_xlfn.XLOOKUP(Group!$B9,PL_NG!$C:$C,PL_NG!L:L)+_xlfn.XLOOKUP(Group!$B9,PL_UK!$C:$C,PL_UK!L:L)+_xlfn.XLOOKUP(Group!$B9,PL_UAE!$C:$C,PL_UAE!L:L)),0)</f>
        <v>0</v>
      </c>
      <c r="L9" s="3">
        <f>IF(L$3&lt;=Summary!$C$2,(_xlfn.XLOOKUP(Group!$B9,PL_NG!$C:$C,PL_NG!M:M)+_xlfn.XLOOKUP(Group!$B9,PL_UK!$C:$C,PL_UK!M:M)+_xlfn.XLOOKUP(Group!$B9,PL_UAE!$C:$C,PL_UAE!M:M)),0)</f>
        <v>0</v>
      </c>
      <c r="M9" s="3">
        <f>IF(M$3&lt;=Summary!$C$2,(_xlfn.XLOOKUP(Group!$B9,PL_NG!$C:$C,PL_NG!N:N)+_xlfn.XLOOKUP(Group!$B9,PL_UK!$C:$C,PL_UK!N:N)+_xlfn.XLOOKUP(Group!$B9,PL_UAE!$C:$C,PL_UAE!N:N)),0)</f>
        <v>0</v>
      </c>
      <c r="N9" s="3">
        <f>IF(N$3&lt;=Summary!$C$2,(_xlfn.XLOOKUP(Group!$B9,PL_NG!$C:$C,PL_NG!O:O)+_xlfn.XLOOKUP(Group!$B9,PL_UK!$C:$C,PL_UK!O:O)+_xlfn.XLOOKUP(Group!$B9,PL_UAE!$C:$C,PL_UAE!O:O)),0)</f>
        <v>0</v>
      </c>
      <c r="O9" s="3">
        <f>IF(O$3&lt;=Summary!$C$2,(_xlfn.XLOOKUP(Group!$B9,PL_NG!$C:$C,PL_NG!P:P)+_xlfn.XLOOKUP(Group!$B9,PL_UK!$C:$C,PL_UK!P:P)+_xlfn.XLOOKUP(Group!$B9,PL_UAE!$C:$C,PL_UAE!P:P)),0)</f>
        <v>0</v>
      </c>
      <c r="P9" s="3">
        <f>IF(P$3&lt;=Summary!$C$2,(_xlfn.XLOOKUP(Group!$B9,PL_NG!$C:$C,PL_NG!Q:Q)+_xlfn.XLOOKUP(Group!$B9,PL_UK!$C:$C,PL_UK!Q:Q)+_xlfn.XLOOKUP(Group!$B9,PL_UAE!$C:$C,PL_UAE!Q:Q)),0)</f>
        <v>0</v>
      </c>
      <c r="Q9" s="3">
        <f>IF(Q$3&lt;=Summary!$C$2,(_xlfn.XLOOKUP(Group!$B9,PL_NG!$C:$C,PL_NG!R:R)+_xlfn.XLOOKUP(Group!$B9,PL_UK!$C:$C,PL_UK!R:R)+_xlfn.XLOOKUP(Group!$B9,PL_UAE!$C:$C,PL_UAE!R:R)),0)</f>
        <v>0</v>
      </c>
      <c r="R9" s="3">
        <f>IF(R$3&lt;=Summary!$C$2,(_xlfn.XLOOKUP(Group!$B9,PL_NG!$C:$C,PL_NG!S:S)+_xlfn.XLOOKUP(Group!$B9,PL_UK!$C:$C,PL_UK!S:S)+_xlfn.XLOOKUP(Group!$B9,PL_UAE!$C:$C,PL_UAE!S:S)),0)</f>
        <v>0</v>
      </c>
      <c r="S9" s="3">
        <f>IF(S$3&lt;=Summary!$C$2,(_xlfn.XLOOKUP(Group!$B9,PL_NG!$C:$C,PL_NG!T:T)+_xlfn.XLOOKUP(Group!$B9,PL_UK!$C:$C,PL_UK!T:T)+_xlfn.XLOOKUP(Group!$B9,PL_UAE!$C:$C,PL_UAE!T:T)),0)</f>
        <v>-144180000</v>
      </c>
      <c r="T9" s="3">
        <f>IF(T$3&lt;=Summary!$C$2,(_xlfn.XLOOKUP(Group!$B9,PL_NG!$C:$C,PL_NG!U:U)+_xlfn.XLOOKUP(Group!$B9,PL_UK!$C:$C,PL_UK!U:U)+_xlfn.XLOOKUP(Group!$B9,PL_UAE!$C:$C,PL_UAE!U:U)),0)</f>
        <v>0</v>
      </c>
      <c r="U9" s="3">
        <f>IF(U$3&lt;=Summary!$C$2,(_xlfn.XLOOKUP(Group!$B9,PL_NG!$C:$C,PL_NG!V:V)+_xlfn.XLOOKUP(Group!$B9,PL_UK!$C:$C,PL_UK!V:V)+_xlfn.XLOOKUP(Group!$B9,PL_UAE!$C:$C,PL_UAE!V:V)),0)</f>
        <v>0</v>
      </c>
      <c r="V9" s="3">
        <f>IF(V$3&lt;=Summary!$C$2,(_xlfn.XLOOKUP(Group!$B9,PL_NG!$C:$C,PL_NG!W:W)+_xlfn.XLOOKUP(Group!$B9,PL_UK!$C:$C,PL_UK!W:W)+_xlfn.XLOOKUP(Group!$B9,PL_UAE!$C:$C,PL_UAE!W:W)),0)</f>
        <v>0</v>
      </c>
      <c r="W9" s="3">
        <f>IF(W$3&lt;=Summary!$C$2,(_xlfn.XLOOKUP(Group!$B9,PL_NG!$C:$C,PL_NG!X:X)+_xlfn.XLOOKUP(Group!$B9,PL_UK!$C:$C,PL_UK!X:X)+_xlfn.XLOOKUP(Group!$B9,PL_UAE!$C:$C,PL_UAE!X:X)),0)</f>
        <v>0</v>
      </c>
      <c r="X9" s="3">
        <f>IF(X$3&lt;=Summary!$C$2,(_xlfn.XLOOKUP(Group!$B9,PL_NG!$C:$C,PL_NG!Y:Y)+_xlfn.XLOOKUP(Group!$B9,PL_UK!$C:$C,PL_UK!Y:Y)+_xlfn.XLOOKUP(Group!$B9,PL_UAE!$C:$C,PL_UAE!Y:Y)),0)</f>
        <v>-134088144</v>
      </c>
      <c r="Y9" s="3">
        <f>IF(Y$3&lt;=Summary!$C$2,(_xlfn.XLOOKUP(Group!$B9,PL_NG!$C:$C,PL_NG!Z:Z)+_xlfn.XLOOKUP(Group!$B9,PL_UK!$C:$C,PL_UK!Z:Z)+_xlfn.XLOOKUP(Group!$B9,PL_UAE!$C:$C,PL_UAE!Z:Z)),0)</f>
        <v>0</v>
      </c>
      <c r="Z9" s="3">
        <f>IF(Z$3&lt;=Summary!$C$2,(_xlfn.XLOOKUP(Group!$B9,PL_NG!$C:$C,PL_NG!AA:AA)+_xlfn.XLOOKUP(Group!$B9,PL_UK!$C:$C,PL_UK!AA:AA)+_xlfn.XLOOKUP(Group!$B9,PL_UAE!$C:$C,PL_UAE!AA:AA)),0)</f>
        <v>0</v>
      </c>
      <c r="AA9" s="3">
        <f>IF(AA$3&lt;=Summary!$C$2,(_xlfn.XLOOKUP(Group!$B9,PL_NG!$C:$C,PL_NG!AB:AB)+_xlfn.XLOOKUP(Group!$B9,PL_UK!$C:$C,PL_UK!AB:AB)+_xlfn.XLOOKUP(Group!$B9,PL_UAE!$C:$C,PL_UAE!AB:AB)),0)</f>
        <v>0</v>
      </c>
      <c r="AB9" s="3">
        <f>IF(AB$3&lt;=Summary!$C$2,(_xlfn.XLOOKUP(Group!$B9,PL_NG!$C:$C,PL_NG!AC:AC)+_xlfn.XLOOKUP(Group!$B9,PL_UK!$C:$C,PL_UK!AC:AC)+_xlfn.XLOOKUP(Group!$B9,PL_UAE!$C:$C,PL_UAE!AC:AC)),0)</f>
        <v>0</v>
      </c>
      <c r="AC9" s="3">
        <f>IF(AC$3&lt;=Summary!$C$2,(_xlfn.XLOOKUP(Group!$B9,PL_NG!$C:$C,PL_NG!AD:AD)+_xlfn.XLOOKUP(Group!$B9,PL_UK!$C:$C,PL_UK!AD:AD)+_xlfn.XLOOKUP(Group!$B9,PL_UAE!$C:$C,PL_UAE!AD:AD)),0)</f>
        <v>0</v>
      </c>
      <c r="AD9" s="3">
        <f>IF(AD$3&lt;=Summary!$C$2,(_xlfn.XLOOKUP(Group!$B9,PL_NG!$C:$C,PL_NG!AE:AE)+_xlfn.XLOOKUP(Group!$B9,PL_UK!$C:$C,PL_UK!AE:AE)+_xlfn.XLOOKUP(Group!$B9,PL_UAE!$C:$C,PL_UAE!AE:AE)),0)</f>
        <v>0</v>
      </c>
      <c r="AE9" s="3">
        <f>IF(AE$3&lt;=Summary!$C$2,(_xlfn.XLOOKUP(Group!$B9,PL_NG!$C:$C,PL_NG!AF:AF)+_xlfn.XLOOKUP(Group!$B9,PL_UK!$C:$C,PL_UK!AF:AF)+_xlfn.XLOOKUP(Group!$B9,PL_UAE!$C:$C,PL_UAE!AF:AF)),0)</f>
        <v>0</v>
      </c>
      <c r="AF9" s="3">
        <f>IF(AF$3&lt;=Summary!$C$2,(_xlfn.XLOOKUP(Group!$B9,PL_NG!$C:$C,PL_NG!AG:AG)+_xlfn.XLOOKUP(Group!$B9,PL_UK!$C:$C,PL_UK!AG:AG)+_xlfn.XLOOKUP(Group!$B9,PL_UAE!$C:$C,PL_UAE!AG:AG)),0)</f>
        <v>0</v>
      </c>
      <c r="AG9" s="3">
        <f>IF(AG$3&lt;=Summary!$C$2,(_xlfn.XLOOKUP(Group!$B9,PL_NG!$C:$C,PL_NG!AH:AH)+_xlfn.XLOOKUP(Group!$B9,PL_UK!$C:$C,PL_UK!AH:AH)+_xlfn.XLOOKUP(Group!$B9,PL_UAE!$C:$C,PL_UAE!AH:AH)),0)</f>
        <v>0</v>
      </c>
      <c r="AH9" s="3">
        <f>IF(AH$3&lt;=Summary!$C$2,(_xlfn.XLOOKUP(Group!$B9,PL_NG!$C:$C,PL_NG!AI:AI)+_xlfn.XLOOKUP(Group!$B9,PL_UK!$C:$C,PL_UK!AI:AI)+_xlfn.XLOOKUP(Group!$B9,PL_UAE!$C:$C,PL_UAE!AI:AI)),0)</f>
        <v>0</v>
      </c>
      <c r="AI9" s="3">
        <f>IF(AI$3&lt;=Summary!$C$2,(_xlfn.XLOOKUP(Group!$B9,PL_NG!$C:$C,PL_NG!AJ:AJ)+_xlfn.XLOOKUP(Group!$B9,PL_UK!$C:$C,PL_UK!AJ:AJ)+_xlfn.XLOOKUP(Group!$B9,PL_UAE!$C:$C,PL_UAE!AJ:AJ)),0)</f>
        <v>0</v>
      </c>
      <c r="AJ9" s="3">
        <f>IF(AJ$3&lt;=Summary!$C$2,(_xlfn.XLOOKUP(Group!$B9,PL_NG!$C:$C,PL_NG!AK:AK)+_xlfn.XLOOKUP(Group!$B9,PL_UK!$C:$C,PL_UK!AK:AK)+_xlfn.XLOOKUP(Group!$B9,PL_UAE!$C:$C,PL_UAE!AK:AK)),0)</f>
        <v>0</v>
      </c>
      <c r="AK9" s="3">
        <f>IF(AK$3&lt;=Summary!$C$2,(_xlfn.XLOOKUP(Group!$B9,PL_NG!$C:$C,PL_NG!AL:AL)+_xlfn.XLOOKUP(Group!$B9,PL_UK!$C:$C,PL_UK!AL:AL)+_xlfn.XLOOKUP(Group!$B9,PL_UAE!$C:$C,PL_UAE!AL:AL)),0)</f>
        <v>0</v>
      </c>
      <c r="AL9" s="3">
        <f>IF(AL$3&lt;=Summary!$C$2,(_xlfn.XLOOKUP(Group!$B9,PL_NG!$C:$C,PL_NG!AM:AM)+_xlfn.XLOOKUP(Group!$B9,PL_UK!$C:$C,PL_UK!AM:AM)+_xlfn.XLOOKUP(Group!$B9,PL_UAE!$C:$C,PL_UAE!AM:AM)),0)</f>
        <v>0</v>
      </c>
    </row>
    <row r="10" spans="2:38" x14ac:dyDescent="0.2">
      <c r="B10" s="1" t="s">
        <v>19</v>
      </c>
      <c r="C10" s="3">
        <f>IF(C$3&lt;=Summary!$C$2,(_xlfn.XLOOKUP(Group!$B10,PL_NG!$C:$C,PL_NG!D:D)+_xlfn.XLOOKUP(Group!$B10,PL_UK!$C:$C,PL_UK!D:D)+_xlfn.XLOOKUP(Group!$B10,PL_UAE!$C:$C,PL_UAE!D:D)),0)</f>
        <v>0</v>
      </c>
      <c r="D10" s="3">
        <f>IF(D$3&lt;=Summary!$C$2,(_xlfn.XLOOKUP(Group!$B10,PL_NG!$C:$C,PL_NG!E:E)+_xlfn.XLOOKUP(Group!$B10,PL_UK!$C:$C,PL_UK!E:E)+_xlfn.XLOOKUP(Group!$B10,PL_UAE!$C:$C,PL_UAE!E:E)),0)</f>
        <v>0</v>
      </c>
      <c r="E10" s="3">
        <f>IF(E$3&lt;=Summary!$C$2,(_xlfn.XLOOKUP(Group!$B10,PL_NG!$C:$C,PL_NG!F:F)+_xlfn.XLOOKUP(Group!$B10,PL_UK!$C:$C,PL_UK!F:F)+_xlfn.XLOOKUP(Group!$B10,PL_UAE!$C:$C,PL_UAE!F:F)),0)</f>
        <v>0</v>
      </c>
      <c r="F10" s="3">
        <f>IF(F$3&lt;=Summary!$C$2,(_xlfn.XLOOKUP(Group!$B10,PL_NG!$C:$C,PL_NG!G:G)+_xlfn.XLOOKUP(Group!$B10,PL_UK!$C:$C,PL_UK!G:G)+_xlfn.XLOOKUP(Group!$B10,PL_UAE!$C:$C,PL_UAE!G:G)),0)</f>
        <v>0</v>
      </c>
      <c r="G10" s="3">
        <f>IF(G$3&lt;=Summary!$C$2,(_xlfn.XLOOKUP(Group!$B10,PL_NG!$C:$C,PL_NG!H:H)+_xlfn.XLOOKUP(Group!$B10,PL_UK!$C:$C,PL_UK!H:H)+_xlfn.XLOOKUP(Group!$B10,PL_UAE!$C:$C,PL_UAE!H:H)),0)</f>
        <v>0</v>
      </c>
      <c r="H10" s="3">
        <f>IF(H$3&lt;=Summary!$C$2,(_xlfn.XLOOKUP(Group!$B10,PL_NG!$C:$C,PL_NG!I:I)+_xlfn.XLOOKUP(Group!$B10,PL_UK!$C:$C,PL_UK!I:I)+_xlfn.XLOOKUP(Group!$B10,PL_UAE!$C:$C,PL_UAE!I:I)),0)</f>
        <v>0</v>
      </c>
      <c r="I10" s="3">
        <f>IF(I$3&lt;=Summary!$C$2,(_xlfn.XLOOKUP(Group!$B10,PL_NG!$C:$C,PL_NG!J:J)+_xlfn.XLOOKUP(Group!$B10,PL_UK!$C:$C,PL_UK!J:J)+_xlfn.XLOOKUP(Group!$B10,PL_UAE!$C:$C,PL_UAE!J:J)),0)</f>
        <v>0</v>
      </c>
      <c r="J10" s="3">
        <f>IF(J$3&lt;=Summary!$C$2,(_xlfn.XLOOKUP(Group!$B10,PL_NG!$C:$C,PL_NG!K:K)+_xlfn.XLOOKUP(Group!$B10,PL_UK!$C:$C,PL_UK!K:K)+_xlfn.XLOOKUP(Group!$B10,PL_UAE!$C:$C,PL_UAE!K:K)),0)</f>
        <v>0</v>
      </c>
      <c r="K10" s="3">
        <f>IF(K$3&lt;=Summary!$C$2,(_xlfn.XLOOKUP(Group!$B10,PL_NG!$C:$C,PL_NG!L:L)+_xlfn.XLOOKUP(Group!$B10,PL_UK!$C:$C,PL_UK!L:L)+_xlfn.XLOOKUP(Group!$B10,PL_UAE!$C:$C,PL_UAE!L:L)),0)</f>
        <v>0</v>
      </c>
      <c r="L10" s="3">
        <f>IF(L$3&lt;=Summary!$C$2,(_xlfn.XLOOKUP(Group!$B10,PL_NG!$C:$C,PL_NG!M:M)+_xlfn.XLOOKUP(Group!$B10,PL_UK!$C:$C,PL_UK!M:M)+_xlfn.XLOOKUP(Group!$B10,PL_UAE!$C:$C,PL_UAE!M:M)),0)</f>
        <v>0</v>
      </c>
      <c r="M10" s="3">
        <f>IF(M$3&lt;=Summary!$C$2,(_xlfn.XLOOKUP(Group!$B10,PL_NG!$C:$C,PL_NG!N:N)+_xlfn.XLOOKUP(Group!$B10,PL_UK!$C:$C,PL_UK!N:N)+_xlfn.XLOOKUP(Group!$B10,PL_UAE!$C:$C,PL_UAE!N:N)),0)</f>
        <v>0</v>
      </c>
      <c r="N10" s="3">
        <f>IF(N$3&lt;=Summary!$C$2,(_xlfn.XLOOKUP(Group!$B10,PL_NG!$C:$C,PL_NG!O:O)+_xlfn.XLOOKUP(Group!$B10,PL_UK!$C:$C,PL_UK!O:O)+_xlfn.XLOOKUP(Group!$B10,PL_UAE!$C:$C,PL_UAE!O:O)),0)</f>
        <v>-17250130</v>
      </c>
      <c r="O10" s="3">
        <f>IF(O$3&lt;=Summary!$C$2,(_xlfn.XLOOKUP(Group!$B10,PL_NG!$C:$C,PL_NG!P:P)+_xlfn.XLOOKUP(Group!$B10,PL_UK!$C:$C,PL_UK!P:P)+_xlfn.XLOOKUP(Group!$B10,PL_UAE!$C:$C,PL_UAE!P:P)),0)</f>
        <v>0</v>
      </c>
      <c r="P10" s="3">
        <f>IF(P$3&lt;=Summary!$C$2,(_xlfn.XLOOKUP(Group!$B10,PL_NG!$C:$C,PL_NG!Q:Q)+_xlfn.XLOOKUP(Group!$B10,PL_UK!$C:$C,PL_UK!Q:Q)+_xlfn.XLOOKUP(Group!$B10,PL_UAE!$C:$C,PL_UAE!Q:Q)),0)</f>
        <v>0</v>
      </c>
      <c r="Q10" s="3">
        <f>IF(Q$3&lt;=Summary!$C$2,(_xlfn.XLOOKUP(Group!$B10,PL_NG!$C:$C,PL_NG!R:R)+_xlfn.XLOOKUP(Group!$B10,PL_UK!$C:$C,PL_UK!R:R)+_xlfn.XLOOKUP(Group!$B10,PL_UAE!$C:$C,PL_UAE!R:R)),0)</f>
        <v>0</v>
      </c>
      <c r="R10" s="3">
        <f>IF(R$3&lt;=Summary!$C$2,(_xlfn.XLOOKUP(Group!$B10,PL_NG!$C:$C,PL_NG!S:S)+_xlfn.XLOOKUP(Group!$B10,PL_UK!$C:$C,PL_UK!S:S)+_xlfn.XLOOKUP(Group!$B10,PL_UAE!$C:$C,PL_UAE!S:S)),0)</f>
        <v>0</v>
      </c>
      <c r="S10" s="3">
        <f>IF(S$3&lt;=Summary!$C$2,(_xlfn.XLOOKUP(Group!$B10,PL_NG!$C:$C,PL_NG!T:T)+_xlfn.XLOOKUP(Group!$B10,PL_UK!$C:$C,PL_UK!T:T)+_xlfn.XLOOKUP(Group!$B10,PL_UAE!$C:$C,PL_UAE!T:T)),0)</f>
        <v>0</v>
      </c>
      <c r="T10" s="3">
        <f>IF(T$3&lt;=Summary!$C$2,(_xlfn.XLOOKUP(Group!$B10,PL_NG!$C:$C,PL_NG!U:U)+_xlfn.XLOOKUP(Group!$B10,PL_UK!$C:$C,PL_UK!U:U)+_xlfn.XLOOKUP(Group!$B10,PL_UAE!$C:$C,PL_UAE!U:U)),0)</f>
        <v>0</v>
      </c>
      <c r="U10" s="3">
        <f>IF(U$3&lt;=Summary!$C$2,(_xlfn.XLOOKUP(Group!$B10,PL_NG!$C:$C,PL_NG!V:V)+_xlfn.XLOOKUP(Group!$B10,PL_UK!$C:$C,PL_UK!V:V)+_xlfn.XLOOKUP(Group!$B10,PL_UAE!$C:$C,PL_UAE!V:V)),0)</f>
        <v>0</v>
      </c>
      <c r="V10" s="3">
        <f>IF(V$3&lt;=Summary!$C$2,(_xlfn.XLOOKUP(Group!$B10,PL_NG!$C:$C,PL_NG!W:W)+_xlfn.XLOOKUP(Group!$B10,PL_UK!$C:$C,PL_UK!W:W)+_xlfn.XLOOKUP(Group!$B10,PL_UAE!$C:$C,PL_UAE!W:W)),0)</f>
        <v>0</v>
      </c>
      <c r="W10" s="3">
        <f>IF(W$3&lt;=Summary!$C$2,(_xlfn.XLOOKUP(Group!$B10,PL_NG!$C:$C,PL_NG!X:X)+_xlfn.XLOOKUP(Group!$B10,PL_UK!$C:$C,PL_UK!X:X)+_xlfn.XLOOKUP(Group!$B10,PL_UAE!$C:$C,PL_UAE!X:X)),0)</f>
        <v>0</v>
      </c>
      <c r="X10" s="3">
        <f>IF(X$3&lt;=Summary!$C$2,(_xlfn.XLOOKUP(Group!$B10,PL_NG!$C:$C,PL_NG!Y:Y)+_xlfn.XLOOKUP(Group!$B10,PL_UK!$C:$C,PL_UK!Y:Y)+_xlfn.XLOOKUP(Group!$B10,PL_UAE!$C:$C,PL_UAE!Y:Y)),0)</f>
        <v>0</v>
      </c>
      <c r="Y10" s="3">
        <f>IF(Y$3&lt;=Summary!$C$2,(_xlfn.XLOOKUP(Group!$B10,PL_NG!$C:$C,PL_NG!Z:Z)+_xlfn.XLOOKUP(Group!$B10,PL_UK!$C:$C,PL_UK!Z:Z)+_xlfn.XLOOKUP(Group!$B10,PL_UAE!$C:$C,PL_UAE!Z:Z)),0)</f>
        <v>0</v>
      </c>
      <c r="Z10" s="3">
        <f>IF(Z$3&lt;=Summary!$C$2,(_xlfn.XLOOKUP(Group!$B10,PL_NG!$C:$C,PL_NG!AA:AA)+_xlfn.XLOOKUP(Group!$B10,PL_UK!$C:$C,PL_UK!AA:AA)+_xlfn.XLOOKUP(Group!$B10,PL_UAE!$C:$C,PL_UAE!AA:AA)),0)</f>
        <v>0</v>
      </c>
      <c r="AA10" s="3">
        <f>IF(AA$3&lt;=Summary!$C$2,(_xlfn.XLOOKUP(Group!$B10,PL_NG!$C:$C,PL_NG!AB:AB)+_xlfn.XLOOKUP(Group!$B10,PL_UK!$C:$C,PL_UK!AB:AB)+_xlfn.XLOOKUP(Group!$B10,PL_UAE!$C:$C,PL_UAE!AB:AB)),0)</f>
        <v>0</v>
      </c>
      <c r="AB10" s="3">
        <f>IF(AB$3&lt;=Summary!$C$2,(_xlfn.XLOOKUP(Group!$B10,PL_NG!$C:$C,PL_NG!AC:AC)+_xlfn.XLOOKUP(Group!$B10,PL_UK!$C:$C,PL_UK!AC:AC)+_xlfn.XLOOKUP(Group!$B10,PL_UAE!$C:$C,PL_UAE!AC:AC)),0)</f>
        <v>0</v>
      </c>
      <c r="AC10" s="3">
        <f>IF(AC$3&lt;=Summary!$C$2,(_xlfn.XLOOKUP(Group!$B10,PL_NG!$C:$C,PL_NG!AD:AD)+_xlfn.XLOOKUP(Group!$B10,PL_UK!$C:$C,PL_UK!AD:AD)+_xlfn.XLOOKUP(Group!$B10,PL_UAE!$C:$C,PL_UAE!AD:AD)),0)</f>
        <v>0</v>
      </c>
      <c r="AD10" s="3">
        <f>IF(AD$3&lt;=Summary!$C$2,(_xlfn.XLOOKUP(Group!$B10,PL_NG!$C:$C,PL_NG!AE:AE)+_xlfn.XLOOKUP(Group!$B10,PL_UK!$C:$C,PL_UK!AE:AE)+_xlfn.XLOOKUP(Group!$B10,PL_UAE!$C:$C,PL_UAE!AE:AE)),0)</f>
        <v>0</v>
      </c>
      <c r="AE10" s="3">
        <f>IF(AE$3&lt;=Summary!$C$2,(_xlfn.XLOOKUP(Group!$B10,PL_NG!$C:$C,PL_NG!AF:AF)+_xlfn.XLOOKUP(Group!$B10,PL_UK!$C:$C,PL_UK!AF:AF)+_xlfn.XLOOKUP(Group!$B10,PL_UAE!$C:$C,PL_UAE!AF:AF)),0)</f>
        <v>0</v>
      </c>
      <c r="AF10" s="3">
        <f>IF(AF$3&lt;=Summary!$C$2,(_xlfn.XLOOKUP(Group!$B10,PL_NG!$C:$C,PL_NG!AG:AG)+_xlfn.XLOOKUP(Group!$B10,PL_UK!$C:$C,PL_UK!AG:AG)+_xlfn.XLOOKUP(Group!$B10,PL_UAE!$C:$C,PL_UAE!AG:AG)),0)</f>
        <v>0</v>
      </c>
      <c r="AG10" s="3">
        <f>IF(AG$3&lt;=Summary!$C$2,(_xlfn.XLOOKUP(Group!$B10,PL_NG!$C:$C,PL_NG!AH:AH)+_xlfn.XLOOKUP(Group!$B10,PL_UK!$C:$C,PL_UK!AH:AH)+_xlfn.XLOOKUP(Group!$B10,PL_UAE!$C:$C,PL_UAE!AH:AH)),0)</f>
        <v>0</v>
      </c>
      <c r="AH10" s="3">
        <f>IF(AH$3&lt;=Summary!$C$2,(_xlfn.XLOOKUP(Group!$B10,PL_NG!$C:$C,PL_NG!AI:AI)+_xlfn.XLOOKUP(Group!$B10,PL_UK!$C:$C,PL_UK!AI:AI)+_xlfn.XLOOKUP(Group!$B10,PL_UAE!$C:$C,PL_UAE!AI:AI)),0)</f>
        <v>0</v>
      </c>
      <c r="AI10" s="3">
        <f>IF(AI$3&lt;=Summary!$C$2,(_xlfn.XLOOKUP(Group!$B10,PL_NG!$C:$C,PL_NG!AJ:AJ)+_xlfn.XLOOKUP(Group!$B10,PL_UK!$C:$C,PL_UK!AJ:AJ)+_xlfn.XLOOKUP(Group!$B10,PL_UAE!$C:$C,PL_UAE!AJ:AJ)),0)</f>
        <v>0</v>
      </c>
      <c r="AJ10" s="3">
        <f>IF(AJ$3&lt;=Summary!$C$2,(_xlfn.XLOOKUP(Group!$B10,PL_NG!$C:$C,PL_NG!AK:AK)+_xlfn.XLOOKUP(Group!$B10,PL_UK!$C:$C,PL_UK!AK:AK)+_xlfn.XLOOKUP(Group!$B10,PL_UAE!$C:$C,PL_UAE!AK:AK)),0)</f>
        <v>0</v>
      </c>
      <c r="AK10" s="3">
        <f>IF(AK$3&lt;=Summary!$C$2,(_xlfn.XLOOKUP(Group!$B10,PL_NG!$C:$C,PL_NG!AL:AL)+_xlfn.XLOOKUP(Group!$B10,PL_UK!$C:$C,PL_UK!AL:AL)+_xlfn.XLOOKUP(Group!$B10,PL_UAE!$C:$C,PL_UAE!AL:AL)),0)</f>
        <v>0</v>
      </c>
      <c r="AL10" s="3">
        <f>IF(AL$3&lt;=Summary!$C$2,(_xlfn.XLOOKUP(Group!$B10,PL_NG!$C:$C,PL_NG!AM:AM)+_xlfn.XLOOKUP(Group!$B10,PL_UK!$C:$C,PL_UK!AM:AM)+_xlfn.XLOOKUP(Group!$B10,PL_UAE!$C:$C,PL_UAE!AM:AM)),0)</f>
        <v>0</v>
      </c>
    </row>
    <row r="11" spans="2:38" x14ac:dyDescent="0.2">
      <c r="B11" s="1" t="s">
        <v>152</v>
      </c>
      <c r="C11" s="3">
        <f>IF(C$3&lt;=Summary!$C$2,(_xlfn.XLOOKUP(Group!$B11,PL_NG!$C:$C,PL_NG!D:D)+_xlfn.XLOOKUP(Group!$B11,PL_UK!$C:$C,PL_UK!D:D)+_xlfn.XLOOKUP(Group!$B11,PL_UAE!$C:$C,PL_UAE!D:D)),0)</f>
        <v>-31590926.092009977</v>
      </c>
      <c r="D11" s="3">
        <f>IF(D$3&lt;=Summary!$C$2,(_xlfn.XLOOKUP(Group!$B11,PL_NG!$C:$C,PL_NG!E:E)+_xlfn.XLOOKUP(Group!$B11,PL_UK!$C:$C,PL_UK!E:E)+_xlfn.XLOOKUP(Group!$B11,PL_UAE!$C:$C,PL_UAE!E:E)),0)</f>
        <v>283353756.99379998</v>
      </c>
      <c r="E11" s="3">
        <f>IF(E$3&lt;=Summary!$C$2,(_xlfn.XLOOKUP(Group!$B11,PL_NG!$C:$C,PL_NG!F:F)+_xlfn.XLOOKUP(Group!$B11,PL_UK!$C:$C,PL_UK!F:F)+_xlfn.XLOOKUP(Group!$B11,PL_UAE!$C:$C,PL_UAE!F:F)),0)</f>
        <v>-83871187.974820107</v>
      </c>
      <c r="F11" s="3">
        <f>IF(F$3&lt;=Summary!$C$2,(_xlfn.XLOOKUP(Group!$B11,PL_NG!$C:$C,PL_NG!G:G)+_xlfn.XLOOKUP(Group!$B11,PL_UK!$C:$C,PL_UK!G:G)+_xlfn.XLOOKUP(Group!$B11,PL_UAE!$C:$C,PL_UAE!G:G)),0)</f>
        <v>214347297.90355995</v>
      </c>
      <c r="G11" s="3">
        <f>IF(G$3&lt;=Summary!$C$2,(_xlfn.XLOOKUP(Group!$B11,PL_NG!$C:$C,PL_NG!H:H)+_xlfn.XLOOKUP(Group!$B11,PL_UK!$C:$C,PL_UK!H:H)+_xlfn.XLOOKUP(Group!$B11,PL_UAE!$C:$C,PL_UAE!H:H)),0)</f>
        <v>-276529276.1776399</v>
      </c>
      <c r="H11" s="3">
        <f>IF(H$3&lt;=Summary!$C$2,(_xlfn.XLOOKUP(Group!$B11,PL_NG!$C:$C,PL_NG!I:I)+_xlfn.XLOOKUP(Group!$B11,PL_UK!$C:$C,PL_UK!I:I)+_xlfn.XLOOKUP(Group!$B11,PL_UAE!$C:$C,PL_UAE!I:I)),0)</f>
        <v>-134987878.43306997</v>
      </c>
      <c r="I11" s="3">
        <f>IF(I$3&lt;=Summary!$C$2,(_xlfn.XLOOKUP(Group!$B11,PL_NG!$C:$C,PL_NG!J:J)+_xlfn.XLOOKUP(Group!$B11,PL_UK!$C:$C,PL_UK!J:J)+_xlfn.XLOOKUP(Group!$B11,PL_UAE!$C:$C,PL_UAE!J:J)),0)</f>
        <v>-197890127.29567993</v>
      </c>
      <c r="J11" s="3">
        <f>IF(J$3&lt;=Summary!$C$2,(_xlfn.XLOOKUP(Group!$B11,PL_NG!$C:$C,PL_NG!K:K)+_xlfn.XLOOKUP(Group!$B11,PL_UK!$C:$C,PL_UK!K:K)+_xlfn.XLOOKUP(Group!$B11,PL_UAE!$C:$C,PL_UAE!K:K)),0)</f>
        <v>7156926.8485700563</v>
      </c>
      <c r="K11" s="3">
        <f>IF(K$3&lt;=Summary!$C$2,(_xlfn.XLOOKUP(Group!$B11,PL_NG!$C:$C,PL_NG!L:L)+_xlfn.XLOOKUP(Group!$B11,PL_UK!$C:$C,PL_UK!L:L)+_xlfn.XLOOKUP(Group!$B11,PL_UAE!$C:$C,PL_UAE!L:L)),0)</f>
        <v>-97943776.84521997</v>
      </c>
      <c r="L11" s="3">
        <f>IF(L$3&lt;=Summary!$C$2,(_xlfn.XLOOKUP(Group!$B11,PL_NG!$C:$C,PL_NG!M:M)+_xlfn.XLOOKUP(Group!$B11,PL_UK!$C:$C,PL_UK!M:M)+_xlfn.XLOOKUP(Group!$B11,PL_UAE!$C:$C,PL_UAE!M:M)),0)</f>
        <v>-357786063.97523999</v>
      </c>
      <c r="M11" s="3">
        <f>IF(M$3&lt;=Summary!$C$2,(_xlfn.XLOOKUP(Group!$B11,PL_NG!$C:$C,PL_NG!N:N)+_xlfn.XLOOKUP(Group!$B11,PL_UK!$C:$C,PL_UK!N:N)+_xlfn.XLOOKUP(Group!$B11,PL_UAE!$C:$C,PL_UAE!N:N)),0)</f>
        <v>-300162070.73949987</v>
      </c>
      <c r="N11" s="3">
        <f>IF(N$3&lt;=Summary!$C$2,(_xlfn.XLOOKUP(Group!$B11,PL_NG!$C:$C,PL_NG!O:O)+_xlfn.XLOOKUP(Group!$B11,PL_UK!$C:$C,PL_UK!O:O)+_xlfn.XLOOKUP(Group!$B11,PL_UAE!$C:$C,PL_UAE!O:O)),0)</f>
        <v>348563926.58479995</v>
      </c>
      <c r="O11" s="3">
        <f>IF(O$3&lt;=Summary!$C$2,(_xlfn.XLOOKUP(Group!$B11,PL_NG!$C:$C,PL_NG!P:P)+_xlfn.XLOOKUP(Group!$B11,PL_UK!$C:$C,PL_UK!P:P)+_xlfn.XLOOKUP(Group!$B11,PL_UAE!$C:$C,PL_UAE!P:P)),0)</f>
        <v>-88525132.448499978</v>
      </c>
      <c r="P11" s="3">
        <f>IF(P$3&lt;=Summary!$C$2,(_xlfn.XLOOKUP(Group!$B11,PL_NG!$C:$C,PL_NG!Q:Q)+_xlfn.XLOOKUP(Group!$B11,PL_UK!$C:$C,PL_UK!Q:Q)+_xlfn.XLOOKUP(Group!$B11,PL_UAE!$C:$C,PL_UAE!Q:Q)),0)</f>
        <v>-107920037.81859896</v>
      </c>
      <c r="Q11" s="3">
        <f>IF(Q$3&lt;=Summary!$C$2,(_xlfn.XLOOKUP(Group!$B11,PL_NG!$C:$C,PL_NG!R:R)+_xlfn.XLOOKUP(Group!$B11,PL_UK!$C:$C,PL_UK!R:R)+_xlfn.XLOOKUP(Group!$B11,PL_UAE!$C:$C,PL_UAE!R:R)),0)</f>
        <v>-94373298.379259944</v>
      </c>
      <c r="R11" s="3">
        <f>IF(R$3&lt;=Summary!$C$2,(_xlfn.XLOOKUP(Group!$B11,PL_NG!$C:$C,PL_NG!S:S)+_xlfn.XLOOKUP(Group!$B11,PL_UK!$C:$C,PL_UK!S:S)+_xlfn.XLOOKUP(Group!$B11,PL_UAE!$C:$C,PL_UAE!S:S)),0)</f>
        <v>26801553.008309972</v>
      </c>
      <c r="S11" s="3">
        <f>IF(S$3&lt;=Summary!$C$2,(_xlfn.XLOOKUP(Group!$B11,PL_NG!$C:$C,PL_NG!T:T)+_xlfn.XLOOKUP(Group!$B11,PL_UK!$C:$C,PL_UK!T:T)+_xlfn.XLOOKUP(Group!$B11,PL_UAE!$C:$C,PL_UAE!T:T)),0)</f>
        <v>-513707860.26398993</v>
      </c>
      <c r="T11" s="3">
        <f>IF(T$3&lt;=Summary!$C$2,(_xlfn.XLOOKUP(Group!$B11,PL_NG!$C:$C,PL_NG!U:U)+_xlfn.XLOOKUP(Group!$B11,PL_UK!$C:$C,PL_UK!U:U)+_xlfn.XLOOKUP(Group!$B11,PL_UAE!$C:$C,PL_UAE!U:U)),0)</f>
        <v>-352761879.16202998</v>
      </c>
      <c r="U11" s="3">
        <f>IF(U$3&lt;=Summary!$C$2,(_xlfn.XLOOKUP(Group!$B11,PL_NG!$C:$C,PL_NG!V:V)+_xlfn.XLOOKUP(Group!$B11,PL_UK!$C:$C,PL_UK!V:V)+_xlfn.XLOOKUP(Group!$B11,PL_UAE!$C:$C,PL_UAE!V:V)),0)</f>
        <v>-253332167.41189995</v>
      </c>
      <c r="V11" s="3">
        <f>IF(V$3&lt;=Summary!$C$2,(_xlfn.XLOOKUP(Group!$B11,PL_NG!$C:$C,PL_NG!W:W)+_xlfn.XLOOKUP(Group!$B11,PL_UK!$C:$C,PL_UK!W:W)+_xlfn.XLOOKUP(Group!$B11,PL_UAE!$C:$C,PL_UAE!W:W)),0)</f>
        <v>-111525790.83081996</v>
      </c>
      <c r="W11" s="3">
        <f>IF(W$3&lt;=Summary!$C$2,(_xlfn.XLOOKUP(Group!$B11,PL_NG!$C:$C,PL_NG!X:X)+_xlfn.XLOOKUP(Group!$B11,PL_UK!$C:$C,PL_UK!X:X)+_xlfn.XLOOKUP(Group!$B11,PL_UAE!$C:$C,PL_UAE!X:X)),0)</f>
        <v>-224049274.53557992</v>
      </c>
      <c r="X11" s="3">
        <f>IF(X$3&lt;=Summary!$C$2,(_xlfn.XLOOKUP(Group!$B11,PL_NG!$C:$C,PL_NG!Y:Y)+_xlfn.XLOOKUP(Group!$B11,PL_UK!$C:$C,PL_UK!Y:Y)+_xlfn.XLOOKUP(Group!$B11,PL_UAE!$C:$C,PL_UAE!Y:Y)),0)</f>
        <v>113220749.73400006</v>
      </c>
      <c r="Y11" s="3">
        <f>IF(Y$3&lt;=Summary!$C$2,(_xlfn.XLOOKUP(Group!$B11,PL_NG!$C:$C,PL_NG!Z:Z)+_xlfn.XLOOKUP(Group!$B11,PL_UK!$C:$C,PL_UK!Z:Z)+_xlfn.XLOOKUP(Group!$B11,PL_UAE!$C:$C,PL_UAE!Z:Z)),0)</f>
        <v>-109733689.37509994</v>
      </c>
      <c r="Z11" s="3">
        <f>IF(Z$3&lt;=Summary!$C$2,(_xlfn.XLOOKUP(Group!$B11,PL_NG!$C:$C,PL_NG!AA:AA)+_xlfn.XLOOKUP(Group!$B11,PL_UK!$C:$C,PL_UK!AA:AA)+_xlfn.XLOOKUP(Group!$B11,PL_UAE!$C:$C,PL_UAE!AA:AA)),0)</f>
        <v>-264229118.30604988</v>
      </c>
      <c r="AA11" s="3">
        <f>IF(AA$3&lt;=Summary!$C$2,(_xlfn.XLOOKUP(Group!$B11,PL_NG!$C:$C,PL_NG!AB:AB)+_xlfn.XLOOKUP(Group!$B11,PL_UK!$C:$C,PL_UK!AB:AB)+_xlfn.XLOOKUP(Group!$B11,PL_UAE!$C:$C,PL_UAE!AB:AB)),0)</f>
        <v>182843983.61468014</v>
      </c>
      <c r="AB11" s="3">
        <f>IF(AB$3&lt;=Summary!$C$2,(_xlfn.XLOOKUP(Group!$B11,PL_NG!$C:$C,PL_NG!AC:AC)+_xlfn.XLOOKUP(Group!$B11,PL_UK!$C:$C,PL_UK!AC:AC)+_xlfn.XLOOKUP(Group!$B11,PL_UAE!$C:$C,PL_UAE!AC:AC)),0)</f>
        <v>289168908.79065001</v>
      </c>
      <c r="AC11" s="3">
        <f>IF(AC$3&lt;=Summary!$C$2,(_xlfn.XLOOKUP(Group!$B11,PL_NG!$C:$C,PL_NG!AD:AD)+_xlfn.XLOOKUP(Group!$B11,PL_UK!$C:$C,PL_UK!AD:AD)+_xlfn.XLOOKUP(Group!$B11,PL_UAE!$C:$C,PL_UAE!AD:AD)),0)</f>
        <v>72328445.897990018</v>
      </c>
      <c r="AD11" s="3">
        <f>IF(AD$3&lt;=Summary!$C$2,(_xlfn.XLOOKUP(Group!$B11,PL_NG!$C:$C,PL_NG!AE:AE)+_xlfn.XLOOKUP(Group!$B11,PL_UK!$C:$C,PL_UK!AE:AE)+_xlfn.XLOOKUP(Group!$B11,PL_UAE!$C:$C,PL_UAE!AE:AE)),0)</f>
        <v>23163888.235719986</v>
      </c>
      <c r="AE11" s="3">
        <f>IF(AE$3&lt;=Summary!$C$2,(_xlfn.XLOOKUP(Group!$B11,PL_NG!$C:$C,PL_NG!AF:AF)+_xlfn.XLOOKUP(Group!$B11,PL_UK!$C:$C,PL_UK!AF:AF)+_xlfn.XLOOKUP(Group!$B11,PL_UAE!$C:$C,PL_UAE!AF:AF)),0)</f>
        <v>0</v>
      </c>
      <c r="AF11" s="3">
        <f>IF(AF$3&lt;=Summary!$C$2,(_xlfn.XLOOKUP(Group!$B11,PL_NG!$C:$C,PL_NG!AG:AG)+_xlfn.XLOOKUP(Group!$B11,PL_UK!$C:$C,PL_UK!AG:AG)+_xlfn.XLOOKUP(Group!$B11,PL_UAE!$C:$C,PL_UAE!AG:AG)),0)</f>
        <v>0</v>
      </c>
      <c r="AG11" s="3">
        <f>IF(AG$3&lt;=Summary!$C$2,(_xlfn.XLOOKUP(Group!$B11,PL_NG!$C:$C,PL_NG!AH:AH)+_xlfn.XLOOKUP(Group!$B11,PL_UK!$C:$C,PL_UK!AH:AH)+_xlfn.XLOOKUP(Group!$B11,PL_UAE!$C:$C,PL_UAE!AH:AH)),0)</f>
        <v>0</v>
      </c>
      <c r="AH11" s="3">
        <f>IF(AH$3&lt;=Summary!$C$2,(_xlfn.XLOOKUP(Group!$B11,PL_NG!$C:$C,PL_NG!AI:AI)+_xlfn.XLOOKUP(Group!$B11,PL_UK!$C:$C,PL_UK!AI:AI)+_xlfn.XLOOKUP(Group!$B11,PL_UAE!$C:$C,PL_UAE!AI:AI)),0)</f>
        <v>0</v>
      </c>
      <c r="AI11" s="3">
        <f>IF(AI$3&lt;=Summary!$C$2,(_xlfn.XLOOKUP(Group!$B11,PL_NG!$C:$C,PL_NG!AJ:AJ)+_xlfn.XLOOKUP(Group!$B11,PL_UK!$C:$C,PL_UK!AJ:AJ)+_xlfn.XLOOKUP(Group!$B11,PL_UAE!$C:$C,PL_UAE!AJ:AJ)),0)</f>
        <v>0</v>
      </c>
      <c r="AJ11" s="3">
        <f>IF(AJ$3&lt;=Summary!$C$2,(_xlfn.XLOOKUP(Group!$B11,PL_NG!$C:$C,PL_NG!AK:AK)+_xlfn.XLOOKUP(Group!$B11,PL_UK!$C:$C,PL_UK!AK:AK)+_xlfn.XLOOKUP(Group!$B11,PL_UAE!$C:$C,PL_UAE!AK:AK)),0)</f>
        <v>0</v>
      </c>
      <c r="AK11" s="3">
        <f>IF(AK$3&lt;=Summary!$C$2,(_xlfn.XLOOKUP(Group!$B11,PL_NG!$C:$C,PL_NG!AL:AL)+_xlfn.XLOOKUP(Group!$B11,PL_UK!$C:$C,PL_UK!AL:AL)+_xlfn.XLOOKUP(Group!$B11,PL_UAE!$C:$C,PL_UAE!AL:AL)),0)</f>
        <v>0</v>
      </c>
      <c r="AL11" s="3">
        <f>IF(AL$3&lt;=Summary!$C$2,(_xlfn.XLOOKUP(Group!$B11,PL_NG!$C:$C,PL_NG!AM:AM)+_xlfn.XLOOKUP(Group!$B11,PL_UK!$C:$C,PL_UK!AM:AM)+_xlfn.XLOOKUP(Group!$B11,PL_UAE!$C:$C,PL_UAE!AM:AM)),0)</f>
        <v>0</v>
      </c>
    </row>
    <row r="13" spans="2:38" x14ac:dyDescent="0.2">
      <c r="B13" s="1" t="s">
        <v>125</v>
      </c>
      <c r="C13" s="3">
        <f>IF(C$3&lt;=Summary!$C$2,(_xlfn.XLOOKUP(Group!$B13,PL_NG!$C:$C,PL_NG!D:D)+_xlfn.XLOOKUP(Group!$B13,PL_UK!$C:$C,PL_UK!D:D)+_xlfn.XLOOKUP(Group!$B13,PL_UAE!$C:$C,PL_UAE!D:D)),0)</f>
        <v>-77379436.971599996</v>
      </c>
      <c r="D13" s="3">
        <f>IF(D$3&lt;=Summary!$C$2,(_xlfn.XLOOKUP(Group!$B13,PL_NG!$C:$C,PL_NG!E:E)+_xlfn.XLOOKUP(Group!$B13,PL_UK!$C:$C,PL_UK!E:E)+_xlfn.XLOOKUP(Group!$B13,PL_UAE!$C:$C,PL_UAE!E:E)),0)</f>
        <v>-105029898.58559999</v>
      </c>
      <c r="E13" s="3">
        <f>IF(E$3&lt;=Summary!$C$2,(_xlfn.XLOOKUP(Group!$B13,PL_NG!$C:$C,PL_NG!F:F)+_xlfn.XLOOKUP(Group!$B13,PL_UK!$C:$C,PL_UK!F:F)+_xlfn.XLOOKUP(Group!$B13,PL_UAE!$C:$C,PL_UAE!F:F)),0)</f>
        <v>-403331736.75790006</v>
      </c>
      <c r="F13" s="3">
        <f>IF(F$3&lt;=Summary!$C$2,(_xlfn.XLOOKUP(Group!$B13,PL_NG!$C:$C,PL_NG!G:G)+_xlfn.XLOOKUP(Group!$B13,PL_UK!$C:$C,PL_UK!G:G)+_xlfn.XLOOKUP(Group!$B13,PL_UAE!$C:$C,PL_UAE!G:G)),0)</f>
        <v>-126215789.10839999</v>
      </c>
      <c r="G13" s="3">
        <f>IF(G$3&lt;=Summary!$C$2,(_xlfn.XLOOKUP(Group!$B13,PL_NG!$C:$C,PL_NG!H:H)+_xlfn.XLOOKUP(Group!$B13,PL_UK!$C:$C,PL_UK!H:H)+_xlfn.XLOOKUP(Group!$B13,PL_UAE!$C:$C,PL_UAE!H:H)),0)</f>
        <v>-158896706.72139999</v>
      </c>
      <c r="H13" s="3">
        <f>IF(H$3&lt;=Summary!$C$2,(_xlfn.XLOOKUP(Group!$B13,PL_NG!$C:$C,PL_NG!I:I)+_xlfn.XLOOKUP(Group!$B13,PL_UK!$C:$C,PL_UK!I:I)+_xlfn.XLOOKUP(Group!$B13,PL_UAE!$C:$C,PL_UAE!I:I)),0)</f>
        <v>-129306709.3916</v>
      </c>
      <c r="I13" s="3">
        <f>IF(I$3&lt;=Summary!$C$2,(_xlfn.XLOOKUP(Group!$B13,PL_NG!$C:$C,PL_NG!J:J)+_xlfn.XLOOKUP(Group!$B13,PL_UK!$C:$C,PL_UK!J:J)+_xlfn.XLOOKUP(Group!$B13,PL_UAE!$C:$C,PL_UAE!J:J)),0)</f>
        <v>-193244133.02899998</v>
      </c>
      <c r="J13" s="3">
        <f>IF(J$3&lt;=Summary!$C$2,(_xlfn.XLOOKUP(Group!$B13,PL_NG!$C:$C,PL_NG!K:K)+_xlfn.XLOOKUP(Group!$B13,PL_UK!$C:$C,PL_UK!K:K)+_xlfn.XLOOKUP(Group!$B13,PL_UAE!$C:$C,PL_UAE!K:K)),0)</f>
        <v>-163558864.97979999</v>
      </c>
      <c r="K13" s="3">
        <f>IF(K$3&lt;=Summary!$C$2,(_xlfn.XLOOKUP(Group!$B13,PL_NG!$C:$C,PL_NG!L:L)+_xlfn.XLOOKUP(Group!$B13,PL_UK!$C:$C,PL_UK!L:L)+_xlfn.XLOOKUP(Group!$B13,PL_UAE!$C:$C,PL_UAE!L:L)),0)</f>
        <v>-192190063.15989998</v>
      </c>
      <c r="L13" s="3">
        <f>IF(L$3&lt;=Summary!$C$2,(_xlfn.XLOOKUP(Group!$B13,PL_NG!$C:$C,PL_NG!M:M)+_xlfn.XLOOKUP(Group!$B13,PL_UK!$C:$C,PL_UK!M:M)+_xlfn.XLOOKUP(Group!$B13,PL_UAE!$C:$C,PL_UAE!M:M)),0)</f>
        <v>-260244760.7949</v>
      </c>
      <c r="M13" s="3">
        <f>IF(M$3&lt;=Summary!$C$2,(_xlfn.XLOOKUP(Group!$B13,PL_NG!$C:$C,PL_NG!N:N)+_xlfn.XLOOKUP(Group!$B13,PL_UK!$C:$C,PL_UK!N:N)+_xlfn.XLOOKUP(Group!$B13,PL_UAE!$C:$C,PL_UAE!N:N)),0)</f>
        <v>-249771204.69349998</v>
      </c>
      <c r="N13" s="3">
        <f>IF(N$3&lt;=Summary!$C$2,(_xlfn.XLOOKUP(Group!$B13,PL_NG!$C:$C,PL_NG!O:O)+_xlfn.XLOOKUP(Group!$B13,PL_UK!$C:$C,PL_UK!O:O)+_xlfn.XLOOKUP(Group!$B13,PL_UAE!$C:$C,PL_UAE!O:O)),0)</f>
        <v>-531987836.66040003</v>
      </c>
      <c r="O13" s="3">
        <f>IF(O$3&lt;=Summary!$C$2,(_xlfn.XLOOKUP(Group!$B13,PL_NG!$C:$C,PL_NG!P:P)+_xlfn.XLOOKUP(Group!$B13,PL_UK!$C:$C,PL_UK!P:P)+_xlfn.XLOOKUP(Group!$B13,PL_UAE!$C:$C,PL_UAE!P:P)),0)</f>
        <v>-192227281.6221</v>
      </c>
      <c r="P13" s="3">
        <f>IF(P$3&lt;=Summary!$C$2,(_xlfn.XLOOKUP(Group!$B13,PL_NG!$C:$C,PL_NG!Q:Q)+_xlfn.XLOOKUP(Group!$B13,PL_UK!$C:$C,PL_UK!Q:Q)+_xlfn.XLOOKUP(Group!$B13,PL_UAE!$C:$C,PL_UAE!Q:Q)),0)</f>
        <v>-190966768.46900156</v>
      </c>
      <c r="Q13" s="3">
        <f>IF(Q$3&lt;=Summary!$C$2,(_xlfn.XLOOKUP(Group!$B13,PL_NG!$C:$C,PL_NG!R:R)+_xlfn.XLOOKUP(Group!$B13,PL_UK!$C:$C,PL_UK!R:R)+_xlfn.XLOOKUP(Group!$B13,PL_UAE!$C:$C,PL_UAE!R:R)),0)</f>
        <v>-215327805.5905</v>
      </c>
      <c r="R13" s="3">
        <f>IF(R$3&lt;=Summary!$C$2,(_xlfn.XLOOKUP(Group!$B13,PL_NG!$C:$C,PL_NG!S:S)+_xlfn.XLOOKUP(Group!$B13,PL_UK!$C:$C,PL_UK!S:S)+_xlfn.XLOOKUP(Group!$B13,PL_UAE!$C:$C,PL_UAE!S:S)),0)</f>
        <v>-211493526.28669998</v>
      </c>
      <c r="S13" s="3">
        <f>IF(S$3&lt;=Summary!$C$2,(_xlfn.XLOOKUP(Group!$B13,PL_NG!$C:$C,PL_NG!T:T)+_xlfn.XLOOKUP(Group!$B13,PL_UK!$C:$C,PL_UK!T:T)+_xlfn.XLOOKUP(Group!$B13,PL_UAE!$C:$C,PL_UAE!T:T)),0)</f>
        <v>-254529970.80449992</v>
      </c>
      <c r="T13" s="3">
        <f>IF(T$3&lt;=Summary!$C$2,(_xlfn.XLOOKUP(Group!$B13,PL_NG!$C:$C,PL_NG!U:U)+_xlfn.XLOOKUP(Group!$B13,PL_UK!$C:$C,PL_UK!U:U)+_xlfn.XLOOKUP(Group!$B13,PL_UAE!$C:$C,PL_UAE!U:U)),0)</f>
        <v>-195883818.73249999</v>
      </c>
      <c r="U13" s="3">
        <f>IF(U$3&lt;=Summary!$C$2,(_xlfn.XLOOKUP(Group!$B13,PL_NG!$C:$C,PL_NG!V:V)+_xlfn.XLOOKUP(Group!$B13,PL_UK!$C:$C,PL_UK!V:V)+_xlfn.XLOOKUP(Group!$B13,PL_UAE!$C:$C,PL_UAE!V:V)),0)</f>
        <v>-210901841.2502</v>
      </c>
      <c r="V13" s="3">
        <f>IF(V$3&lt;=Summary!$C$2,(_xlfn.XLOOKUP(Group!$B13,PL_NG!$C:$C,PL_NG!W:W)+_xlfn.XLOOKUP(Group!$B13,PL_UK!$C:$C,PL_UK!W:W)+_xlfn.XLOOKUP(Group!$B13,PL_UAE!$C:$C,PL_UAE!W:W)),0)</f>
        <v>-180516936.07100001</v>
      </c>
      <c r="W13" s="3">
        <f>IF(W$3&lt;=Summary!$C$2,(_xlfn.XLOOKUP(Group!$B13,PL_NG!$C:$C,PL_NG!X:X)+_xlfn.XLOOKUP(Group!$B13,PL_UK!$C:$C,PL_UK!X:X)+_xlfn.XLOOKUP(Group!$B13,PL_UAE!$C:$C,PL_UAE!X:X)),0)</f>
        <v>-244022717.07819998</v>
      </c>
      <c r="X13" s="3">
        <f>IF(X$3&lt;=Summary!$C$2,(_xlfn.XLOOKUP(Group!$B13,PL_NG!$C:$C,PL_NG!Y:Y)+_xlfn.XLOOKUP(Group!$B13,PL_UK!$C:$C,PL_UK!Y:Y)+_xlfn.XLOOKUP(Group!$B13,PL_UAE!$C:$C,PL_UAE!Y:Y)),0)</f>
        <v>-218457466.04499996</v>
      </c>
      <c r="Y13" s="3">
        <f>IF(Y$3&lt;=Summary!$C$2,(_xlfn.XLOOKUP(Group!$B13,PL_NG!$C:$C,PL_NG!Z:Z)+_xlfn.XLOOKUP(Group!$B13,PL_UK!$C:$C,PL_UK!Z:Z)+_xlfn.XLOOKUP(Group!$B13,PL_UAE!$C:$C,PL_UAE!Z:Z)),0)</f>
        <v>-218651952.55349997</v>
      </c>
      <c r="Z13" s="3">
        <f>IF(Z$3&lt;=Summary!$C$2,(_xlfn.XLOOKUP(Group!$B13,PL_NG!$C:$C,PL_NG!AA:AA)+_xlfn.XLOOKUP(Group!$B13,PL_UK!$C:$C,PL_UK!AA:AA)+_xlfn.XLOOKUP(Group!$B13,PL_UAE!$C:$C,PL_UAE!AA:AA)),0)</f>
        <v>-665925488.57500005</v>
      </c>
      <c r="AA13" s="3">
        <f>IF(AA$3&lt;=Summary!$C$2,(_xlfn.XLOOKUP(Group!$B13,PL_NG!$C:$C,PL_NG!AB:AB)+_xlfn.XLOOKUP(Group!$B13,PL_UK!$C:$C,PL_UK!AB:AB)+_xlfn.XLOOKUP(Group!$B13,PL_UAE!$C:$C,PL_UAE!AB:AB)),0)</f>
        <v>-197935319.82239997</v>
      </c>
      <c r="AB13" s="3">
        <f>IF(AB$3&lt;=Summary!$C$2,(_xlfn.XLOOKUP(Group!$B13,PL_NG!$C:$C,PL_NG!AC:AC)+_xlfn.XLOOKUP(Group!$B13,PL_UK!$C:$C,PL_UK!AC:AC)+_xlfn.XLOOKUP(Group!$B13,PL_UAE!$C:$C,PL_UAE!AC:AC)),0)</f>
        <v>-185771709.85100001</v>
      </c>
      <c r="AC13" s="3">
        <f>IF(AC$3&lt;=Summary!$C$2,(_xlfn.XLOOKUP(Group!$B13,PL_NG!$C:$C,PL_NG!AD:AD)+_xlfn.XLOOKUP(Group!$B13,PL_UK!$C:$C,PL_UK!AD:AD)+_xlfn.XLOOKUP(Group!$B13,PL_UAE!$C:$C,PL_UAE!AD:AD)),0)</f>
        <v>-187432146.97599998</v>
      </c>
      <c r="AD13" s="3">
        <f>IF(AD$3&lt;=Summary!$C$2,(_xlfn.XLOOKUP(Group!$B13,PL_NG!$C:$C,PL_NG!AE:AE)+_xlfn.XLOOKUP(Group!$B13,PL_UK!$C:$C,PL_UK!AE:AE)+_xlfn.XLOOKUP(Group!$B13,PL_UAE!$C:$C,PL_UAE!AE:AE)),0)</f>
        <v>-187500157.38099998</v>
      </c>
      <c r="AE13" s="3">
        <f>IF(AE$3&lt;=Summary!$C$2,(_xlfn.XLOOKUP(Group!$B13,PL_NG!$C:$C,PL_NG!AF:AF)+_xlfn.XLOOKUP(Group!$B13,PL_UK!$C:$C,PL_UK!AF:AF)+_xlfn.XLOOKUP(Group!$B13,PL_UAE!$C:$C,PL_UAE!AF:AF)),0)</f>
        <v>0</v>
      </c>
      <c r="AF13" s="3">
        <f>IF(AF$3&lt;=Summary!$C$2,(_xlfn.XLOOKUP(Group!$B13,PL_NG!$C:$C,PL_NG!AG:AG)+_xlfn.XLOOKUP(Group!$B13,PL_UK!$C:$C,PL_UK!AG:AG)+_xlfn.XLOOKUP(Group!$B13,PL_UAE!$C:$C,PL_UAE!AG:AG)),0)</f>
        <v>0</v>
      </c>
      <c r="AG13" s="3">
        <f>IF(AG$3&lt;=Summary!$C$2,(_xlfn.XLOOKUP(Group!$B13,PL_NG!$C:$C,PL_NG!AH:AH)+_xlfn.XLOOKUP(Group!$B13,PL_UK!$C:$C,PL_UK!AH:AH)+_xlfn.XLOOKUP(Group!$B13,PL_UAE!$C:$C,PL_UAE!AH:AH)),0)</f>
        <v>0</v>
      </c>
      <c r="AH13" s="3">
        <f>IF(AH$3&lt;=Summary!$C$2,(_xlfn.XLOOKUP(Group!$B13,PL_NG!$C:$C,PL_NG!AI:AI)+_xlfn.XLOOKUP(Group!$B13,PL_UK!$C:$C,PL_UK!AI:AI)+_xlfn.XLOOKUP(Group!$B13,PL_UAE!$C:$C,PL_UAE!AI:AI)),0)</f>
        <v>0</v>
      </c>
      <c r="AI13" s="3">
        <f>IF(AI$3&lt;=Summary!$C$2,(_xlfn.XLOOKUP(Group!$B13,PL_NG!$C:$C,PL_NG!AJ:AJ)+_xlfn.XLOOKUP(Group!$B13,PL_UK!$C:$C,PL_UK!AJ:AJ)+_xlfn.XLOOKUP(Group!$B13,PL_UAE!$C:$C,PL_UAE!AJ:AJ)),0)</f>
        <v>0</v>
      </c>
      <c r="AJ13" s="3">
        <f>IF(AJ$3&lt;=Summary!$C$2,(_xlfn.XLOOKUP(Group!$B13,PL_NG!$C:$C,PL_NG!AK:AK)+_xlfn.XLOOKUP(Group!$B13,PL_UK!$C:$C,PL_UK!AK:AK)+_xlfn.XLOOKUP(Group!$B13,PL_UAE!$C:$C,PL_UAE!AK:AK)),0)</f>
        <v>0</v>
      </c>
      <c r="AK13" s="3">
        <f>IF(AK$3&lt;=Summary!$C$2,(_xlfn.XLOOKUP(Group!$B13,PL_NG!$C:$C,PL_NG!AL:AL)+_xlfn.XLOOKUP(Group!$B13,PL_UK!$C:$C,PL_UK!AL:AL)+_xlfn.XLOOKUP(Group!$B13,PL_UAE!$C:$C,PL_UAE!AL:AL)),0)</f>
        <v>0</v>
      </c>
      <c r="AL13" s="3">
        <f>IF(AL$3&lt;=Summary!$C$2,(_xlfn.XLOOKUP(Group!$B13,PL_NG!$C:$C,PL_NG!AM:AM)+_xlfn.XLOOKUP(Group!$B13,PL_UK!$C:$C,PL_UK!AM:AM)+_xlfn.XLOOKUP(Group!$B13,PL_UAE!$C:$C,PL_UAE!AM:AM)),0)</f>
        <v>0</v>
      </c>
    </row>
    <row r="15" spans="2:38" s="83" customFormat="1" ht="13" x14ac:dyDescent="0.2">
      <c r="B15" s="83" t="s">
        <v>1289</v>
      </c>
      <c r="C15" s="114">
        <f>C4-C34</f>
        <v>0</v>
      </c>
      <c r="D15" s="114">
        <f t="shared" ref="D15:AL15" si="1">D4-D34</f>
        <v>0</v>
      </c>
      <c r="E15" s="114">
        <f t="shared" si="1"/>
        <v>0</v>
      </c>
      <c r="F15" s="114">
        <f t="shared" si="1"/>
        <v>-0.33999991416931152</v>
      </c>
      <c r="G15" s="114">
        <f t="shared" si="1"/>
        <v>0</v>
      </c>
      <c r="H15" s="114">
        <f t="shared" si="1"/>
        <v>-0.13999995589256287</v>
      </c>
      <c r="I15" s="114">
        <f t="shared" si="1"/>
        <v>0</v>
      </c>
      <c r="J15" s="114">
        <f t="shared" si="1"/>
        <v>0</v>
      </c>
      <c r="K15" s="114">
        <f t="shared" si="1"/>
        <v>6.3600000143051147</v>
      </c>
      <c r="L15" s="114">
        <f t="shared" si="1"/>
        <v>0</v>
      </c>
      <c r="M15" s="114">
        <f>M4-M34</f>
        <v>0</v>
      </c>
      <c r="N15" s="114">
        <f t="shared" si="1"/>
        <v>0</v>
      </c>
      <c r="O15" s="114">
        <f>O4-O34</f>
        <v>0.19310000538825989</v>
      </c>
      <c r="P15" s="114">
        <f t="shared" si="1"/>
        <v>0</v>
      </c>
      <c r="Q15" s="114">
        <f t="shared" si="1"/>
        <v>-0.28799998760223389</v>
      </c>
      <c r="R15" s="114">
        <f t="shared" si="1"/>
        <v>-0.45999997854232788</v>
      </c>
      <c r="S15" s="114">
        <f t="shared" si="1"/>
        <v>0.43000000715255737</v>
      </c>
      <c r="T15" s="114">
        <f t="shared" si="1"/>
        <v>-0.44999998807907104</v>
      </c>
      <c r="U15" s="114">
        <f t="shared" si="1"/>
        <v>0</v>
      </c>
      <c r="V15" s="114">
        <f t="shared" si="1"/>
        <v>-1.0000020265579224E-2</v>
      </c>
      <c r="W15" s="114">
        <f t="shared" si="1"/>
        <v>0</v>
      </c>
      <c r="X15" s="114">
        <f t="shared" si="1"/>
        <v>0</v>
      </c>
      <c r="Y15" s="114">
        <f t="shared" si="1"/>
        <v>0.4100000262260437</v>
      </c>
      <c r="Z15" s="114">
        <f t="shared" si="1"/>
        <v>0</v>
      </c>
      <c r="AA15" s="114">
        <f t="shared" si="1"/>
        <v>0</v>
      </c>
      <c r="AB15" s="114">
        <f t="shared" si="1"/>
        <v>-2367709.2599999905</v>
      </c>
      <c r="AC15" s="114">
        <f t="shared" si="1"/>
        <v>549117528.5</v>
      </c>
      <c r="AD15" s="114">
        <f t="shared" si="1"/>
        <v>344429476.50999999</v>
      </c>
      <c r="AE15" s="114">
        <f t="shared" si="1"/>
        <v>0</v>
      </c>
      <c r="AF15" s="114">
        <f t="shared" si="1"/>
        <v>0</v>
      </c>
      <c r="AG15" s="114">
        <f t="shared" si="1"/>
        <v>0</v>
      </c>
      <c r="AH15" s="114">
        <f t="shared" si="1"/>
        <v>0</v>
      </c>
      <c r="AI15" s="114">
        <f t="shared" si="1"/>
        <v>0</v>
      </c>
      <c r="AJ15" s="114">
        <f t="shared" si="1"/>
        <v>0</v>
      </c>
      <c r="AK15" s="114">
        <f t="shared" si="1"/>
        <v>0</v>
      </c>
      <c r="AL15" s="114">
        <f t="shared" si="1"/>
        <v>0</v>
      </c>
    </row>
    <row r="16" spans="2:38" x14ac:dyDescent="0.2"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</row>
    <row r="17" spans="2:38" x14ac:dyDescent="0.2">
      <c r="B17" s="4" t="s">
        <v>68</v>
      </c>
      <c r="X17" s="7">
        <f>SUM(O21:X21)</f>
        <v>973491612.57999992</v>
      </c>
    </row>
    <row r="18" spans="2:38" x14ac:dyDescent="0.2">
      <c r="B18" s="1" t="s">
        <v>69</v>
      </c>
      <c r="C18" s="5">
        <v>124715096.65000001</v>
      </c>
      <c r="D18" s="5">
        <v>489056513.85000002</v>
      </c>
      <c r="E18" s="5">
        <v>224553901</v>
      </c>
      <c r="F18" s="5">
        <v>284263128.02999997</v>
      </c>
      <c r="G18" s="5">
        <v>73213175.030000001</v>
      </c>
      <c r="H18" s="5">
        <v>108464080.23999999</v>
      </c>
      <c r="I18" s="5">
        <v>113602491.08</v>
      </c>
      <c r="J18" s="5">
        <v>178612503.06</v>
      </c>
      <c r="K18" s="5">
        <v>50610980.039999999</v>
      </c>
      <c r="L18" s="5">
        <v>109633791.59</v>
      </c>
      <c r="M18" s="5">
        <f>NG!M18</f>
        <v>100648629.01000001</v>
      </c>
      <c r="N18" s="5">
        <f>NG!N18</f>
        <v>90783811.510000005</v>
      </c>
      <c r="O18" s="5">
        <f>NG!O18</f>
        <v>104307661.55</v>
      </c>
      <c r="P18" s="5">
        <f>NG!P18</f>
        <v>104307662</v>
      </c>
      <c r="Q18" s="5">
        <f>NG!Q18</f>
        <v>104307662</v>
      </c>
      <c r="R18" s="5">
        <f>NG!R18</f>
        <v>76446317</v>
      </c>
      <c r="S18" s="5">
        <f>NG!S18</f>
        <v>50613317</v>
      </c>
      <c r="T18" s="5">
        <f>NG!T18</f>
        <v>50613317</v>
      </c>
      <c r="U18" s="5">
        <f>NG!U18</f>
        <v>50613317.340000004</v>
      </c>
      <c r="V18" s="5">
        <f>NG!V18</f>
        <v>50613317.340000004</v>
      </c>
      <c r="W18" s="5">
        <f>NG!W18</f>
        <v>50613317.340000004</v>
      </c>
      <c r="X18" s="5">
        <f>NG!X18</f>
        <v>50613317.340000004</v>
      </c>
      <c r="Y18" s="5">
        <f>NG!Y18</f>
        <v>93705345.420000002</v>
      </c>
      <c r="Z18" s="252">
        <f>NG!Z18</f>
        <v>63173577.340000004</v>
      </c>
      <c r="AA18" s="252">
        <f>NG!AA18</f>
        <v>63173577.340000004</v>
      </c>
      <c r="AB18" s="252">
        <f>NG!AB18</f>
        <v>11056942.66</v>
      </c>
      <c r="AC18" s="252">
        <f>NG!AC18</f>
        <v>0</v>
      </c>
      <c r="AD18" s="252">
        <f>NG!AD18</f>
        <v>0</v>
      </c>
      <c r="AE18" s="252">
        <f>NG!AE18</f>
        <v>0</v>
      </c>
      <c r="AF18" s="252">
        <f>NG!AF18</f>
        <v>0</v>
      </c>
      <c r="AG18" s="252">
        <f>NG!AG18</f>
        <v>0</v>
      </c>
      <c r="AH18" s="252">
        <f>NG!AH18</f>
        <v>0</v>
      </c>
      <c r="AI18" s="252">
        <f>NG!AI18</f>
        <v>0</v>
      </c>
      <c r="AJ18" s="252">
        <f>NG!AJ18</f>
        <v>0</v>
      </c>
      <c r="AK18" s="252">
        <f>NG!AK18</f>
        <v>0</v>
      </c>
      <c r="AL18" s="252">
        <f>NG!AL18</f>
        <v>0</v>
      </c>
    </row>
    <row r="19" spans="2:38" x14ac:dyDescent="0.2">
      <c r="B19" s="1" t="s">
        <v>70</v>
      </c>
      <c r="C19" s="5">
        <v>0</v>
      </c>
      <c r="D19" s="5">
        <v>11605135.140000001</v>
      </c>
      <c r="E19" s="5">
        <v>77090000</v>
      </c>
      <c r="F19" s="5">
        <v>0</v>
      </c>
      <c r="G19" s="5">
        <v>0</v>
      </c>
      <c r="H19" s="5">
        <v>0</v>
      </c>
      <c r="I19" s="5">
        <v>60750000</v>
      </c>
      <c r="J19" s="5">
        <v>89276753.030000001</v>
      </c>
      <c r="K19" s="5">
        <v>20250000</v>
      </c>
      <c r="L19" s="5">
        <v>20250000</v>
      </c>
      <c r="M19" s="5">
        <f>NG!M19</f>
        <v>20250000</v>
      </c>
      <c r="N19" s="5">
        <f>NG!N19</f>
        <v>20250000</v>
      </c>
      <c r="O19" s="5">
        <f>NG!O19</f>
        <v>20250000</v>
      </c>
      <c r="P19" s="5">
        <f>NG!P19</f>
        <v>20250000</v>
      </c>
      <c r="Q19" s="5">
        <f>NG!Q19</f>
        <v>34939455</v>
      </c>
      <c r="R19" s="5">
        <f>NG!R19</f>
        <v>38091011</v>
      </c>
      <c r="S19" s="5">
        <f>NG!S19</f>
        <v>38091011</v>
      </c>
      <c r="T19" s="5">
        <f>NG!T19</f>
        <v>38091011</v>
      </c>
      <c r="U19" s="5">
        <f>NG!U19</f>
        <v>38091011.090000004</v>
      </c>
      <c r="V19" s="5">
        <f>NG!V19</f>
        <v>49342677.759999998</v>
      </c>
      <c r="W19" s="5">
        <f>NG!W19</f>
        <v>126056322.64</v>
      </c>
      <c r="X19" s="5">
        <f>NG!X19</f>
        <v>97419684.549999997</v>
      </c>
      <c r="Y19" s="5">
        <f>NG!Y19</f>
        <v>97419684.549999997</v>
      </c>
      <c r="Z19" s="252">
        <f>NG!Z19</f>
        <v>97419684.549999997</v>
      </c>
      <c r="AA19" s="252">
        <f>NG!AA19</f>
        <v>112641671.87</v>
      </c>
      <c r="AB19" s="252">
        <f>NG!AB19</f>
        <v>97419684.549999997</v>
      </c>
      <c r="AC19" s="252">
        <f>NG!AC19</f>
        <v>0</v>
      </c>
      <c r="AD19" s="252">
        <f>NG!AD19</f>
        <v>0</v>
      </c>
      <c r="AE19" s="252">
        <f>NG!AE19</f>
        <v>0</v>
      </c>
      <c r="AF19" s="252">
        <f>NG!AF19</f>
        <v>0</v>
      </c>
      <c r="AG19" s="252">
        <f>NG!AG19</f>
        <v>0</v>
      </c>
      <c r="AH19" s="252">
        <f>NG!AH19</f>
        <v>0</v>
      </c>
      <c r="AI19" s="252">
        <f>NG!AI19</f>
        <v>0</v>
      </c>
      <c r="AJ19" s="252">
        <f>NG!AJ19</f>
        <v>0</v>
      </c>
      <c r="AK19" s="252">
        <f>NG!AK19</f>
        <v>0</v>
      </c>
      <c r="AL19" s="252">
        <f>NG!AL19</f>
        <v>0</v>
      </c>
    </row>
    <row r="20" spans="2:38" x14ac:dyDescent="0.2">
      <c r="B20" s="1" t="s">
        <v>71</v>
      </c>
      <c r="C20" s="5">
        <v>8878855.9199999999</v>
      </c>
      <c r="D20" s="5">
        <v>16609333.439999999</v>
      </c>
      <c r="E20" s="5">
        <v>12845296.859999999</v>
      </c>
      <c r="F20" s="5">
        <v>20538677.789999999</v>
      </c>
      <c r="G20" s="5">
        <v>42505481.729999997</v>
      </c>
      <c r="H20" s="5">
        <v>22862550.16</v>
      </c>
      <c r="I20" s="5">
        <v>28714968.140000001</v>
      </c>
      <c r="J20" s="5">
        <v>15427407.32</v>
      </c>
      <c r="K20" s="5">
        <v>11248085.59</v>
      </c>
      <c r="L20" s="5">
        <v>12735470.869999999</v>
      </c>
      <c r="M20" s="5">
        <f>NG!M20</f>
        <v>13413174.060000001</v>
      </c>
      <c r="N20" s="5">
        <f>NG!N20</f>
        <v>10387589.07</v>
      </c>
      <c r="O20" s="5">
        <f>NG!O20</f>
        <v>25835047.34</v>
      </c>
      <c r="P20" s="5">
        <f>NG!P20</f>
        <v>35006935</v>
      </c>
      <c r="Q20" s="5">
        <f>NG!Q20</f>
        <v>29632231</v>
      </c>
      <c r="R20" s="5">
        <f>NG!R20</f>
        <v>37632657</v>
      </c>
      <c r="S20" s="5">
        <f>NG!S20</f>
        <v>27231754</v>
      </c>
      <c r="T20" s="5">
        <f>NG!T20</f>
        <v>14311033</v>
      </c>
      <c r="U20" s="5">
        <f>NG!U20</f>
        <v>16657932.09</v>
      </c>
      <c r="V20" s="5">
        <f>NG!V20</f>
        <v>18560059.719999999</v>
      </c>
      <c r="W20" s="5">
        <f>NG!W20</f>
        <v>17620242.739999998</v>
      </c>
      <c r="X20" s="5">
        <f>NG!X20</f>
        <v>16933828.82</v>
      </c>
      <c r="Y20" s="5">
        <f>NG!Y20</f>
        <v>13792951.130000001</v>
      </c>
      <c r="Z20" s="252">
        <f>NG!Z20</f>
        <v>9825049.3599999994</v>
      </c>
      <c r="AA20" s="252">
        <f>NG!AA20</f>
        <v>3257006.63</v>
      </c>
      <c r="AB20" s="252">
        <f>NG!AB20</f>
        <v>28640720.079999998</v>
      </c>
      <c r="AC20" s="252">
        <f>NG!AC20</f>
        <v>0</v>
      </c>
      <c r="AD20" s="252">
        <f>NG!AD20</f>
        <v>0</v>
      </c>
      <c r="AE20" s="252">
        <f>NG!AE20</f>
        <v>0</v>
      </c>
      <c r="AF20" s="252">
        <f>NG!AF20</f>
        <v>0</v>
      </c>
      <c r="AG20" s="252">
        <f>NG!AG20</f>
        <v>0</v>
      </c>
      <c r="AH20" s="252">
        <f>NG!AH20</f>
        <v>0</v>
      </c>
      <c r="AI20" s="252">
        <f>NG!AI20</f>
        <v>0</v>
      </c>
      <c r="AJ20" s="252">
        <f>NG!AJ20</f>
        <v>0</v>
      </c>
      <c r="AK20" s="252">
        <f>NG!AK20</f>
        <v>0</v>
      </c>
      <c r="AL20" s="252">
        <f>NG!AL20</f>
        <v>0</v>
      </c>
    </row>
    <row r="21" spans="2:38" x14ac:dyDescent="0.2">
      <c r="B21" s="1" t="s">
        <v>72</v>
      </c>
      <c r="C21" s="5">
        <v>40971906.979999997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f>NG!M21</f>
        <v>29287869.77</v>
      </c>
      <c r="N21" s="5">
        <f>NG!N21</f>
        <v>454533790.82999992</v>
      </c>
      <c r="O21" s="5">
        <f>NG!O21</f>
        <v>34023295.82</v>
      </c>
      <c r="P21" s="5">
        <f>NG!P21</f>
        <v>36595467</v>
      </c>
      <c r="Q21" s="5">
        <f>NG!Q21</f>
        <v>44660140</v>
      </c>
      <c r="R21" s="5">
        <f>NG!R21</f>
        <v>81320930</v>
      </c>
      <c r="S21" s="5">
        <f>NG!S21</f>
        <v>43579335</v>
      </c>
      <c r="T21" s="5">
        <f>NG!T21</f>
        <v>16725582</v>
      </c>
      <c r="U21" s="5">
        <f>NG!U21</f>
        <v>43646511.629999995</v>
      </c>
      <c r="V21" s="5">
        <f>NG!V21</f>
        <v>24709344.559999999</v>
      </c>
      <c r="W21" s="5">
        <f>NG!W21</f>
        <v>178854010.55000001</v>
      </c>
      <c r="X21" s="5">
        <f>NG!X21</f>
        <v>469376996.01999998</v>
      </c>
      <c r="Y21" s="5">
        <f>NG!Y21</f>
        <v>74257388.959999993</v>
      </c>
      <c r="Z21" s="252">
        <f>NG!Z21</f>
        <v>70085310.25</v>
      </c>
      <c r="AA21" s="252">
        <f>NG!AA21</f>
        <v>492194002.49000001</v>
      </c>
      <c r="AB21" s="252">
        <f>NG!AB21</f>
        <v>551265142.47000003</v>
      </c>
      <c r="AC21" s="252">
        <f>NG!AC21</f>
        <v>0</v>
      </c>
      <c r="AD21" s="252">
        <f>NG!AD21</f>
        <v>0</v>
      </c>
      <c r="AE21" s="252">
        <f>NG!AE21</f>
        <v>0</v>
      </c>
      <c r="AF21" s="252">
        <f>NG!AF21</f>
        <v>0</v>
      </c>
      <c r="AG21" s="252">
        <f>NG!AG21</f>
        <v>0</v>
      </c>
      <c r="AH21" s="252">
        <f>NG!AH21</f>
        <v>0</v>
      </c>
      <c r="AI21" s="252">
        <f>NG!AI21</f>
        <v>0</v>
      </c>
      <c r="AJ21" s="252">
        <f>NG!AJ21</f>
        <v>0</v>
      </c>
      <c r="AK21" s="252">
        <f>NG!AK21</f>
        <v>0</v>
      </c>
      <c r="AL21" s="252">
        <f>NG!AL21</f>
        <v>0</v>
      </c>
    </row>
    <row r="22" spans="2:38" x14ac:dyDescent="0.2">
      <c r="B22" s="1" t="s">
        <v>1284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f>NG!M22</f>
        <v>0</v>
      </c>
      <c r="N22" s="5">
        <f>NG!N22</f>
        <v>0</v>
      </c>
      <c r="O22" s="5">
        <f>NG!O22</f>
        <v>0</v>
      </c>
      <c r="P22" s="5">
        <f>NG!P22</f>
        <v>0</v>
      </c>
      <c r="Q22" s="5">
        <f>NG!Q22</f>
        <v>0</v>
      </c>
      <c r="R22" s="5">
        <f>NG!R22</f>
        <v>0</v>
      </c>
      <c r="S22" s="5">
        <f>NG!S22</f>
        <v>0</v>
      </c>
      <c r="T22" s="5">
        <f>NG!T22</f>
        <v>0</v>
      </c>
      <c r="U22" s="5">
        <f>NG!U22</f>
        <v>20915224.899999999</v>
      </c>
      <c r="V22" s="5">
        <f>NG!V22</f>
        <v>40763110.380000003</v>
      </c>
      <c r="W22" s="5">
        <f>NG!W22</f>
        <v>18546764.84</v>
      </c>
      <c r="X22" s="5">
        <f>NG!X22</f>
        <v>18118639.5</v>
      </c>
      <c r="Y22" s="5">
        <f>NG!Y22</f>
        <v>18090639.48</v>
      </c>
      <c r="Z22" s="252">
        <f>NG!Z22</f>
        <v>18120764.489999998</v>
      </c>
      <c r="AA22" s="252">
        <f>NG!AA22</f>
        <v>27079335.390000001</v>
      </c>
      <c r="AB22" s="252">
        <f>NG!AB22</f>
        <v>16963638.57</v>
      </c>
      <c r="AC22" s="252">
        <f>NG!AC22</f>
        <v>0</v>
      </c>
      <c r="AD22" s="252">
        <f>NG!AD22</f>
        <v>0</v>
      </c>
      <c r="AE22" s="252">
        <f>NG!AE22</f>
        <v>0</v>
      </c>
      <c r="AF22" s="252">
        <f>NG!AF22</f>
        <v>0</v>
      </c>
      <c r="AG22" s="252">
        <f>NG!AG22</f>
        <v>0</v>
      </c>
      <c r="AH22" s="252">
        <f>NG!AH22</f>
        <v>0</v>
      </c>
      <c r="AI22" s="252">
        <f>NG!AI22</f>
        <v>0</v>
      </c>
      <c r="AJ22" s="252">
        <f>NG!AJ22</f>
        <v>0</v>
      </c>
      <c r="AK22" s="252">
        <f>NG!AK22</f>
        <v>0</v>
      </c>
      <c r="AL22" s="252">
        <f>NG!AL22</f>
        <v>0</v>
      </c>
    </row>
    <row r="23" spans="2:38" x14ac:dyDescent="0.2">
      <c r="B23" s="1" t="s">
        <v>73</v>
      </c>
      <c r="C23" s="5">
        <v>0</v>
      </c>
      <c r="D23" s="5">
        <v>0</v>
      </c>
      <c r="E23" s="5">
        <v>0</v>
      </c>
      <c r="F23" s="5">
        <v>219580272.65000001</v>
      </c>
      <c r="G23" s="5">
        <v>0</v>
      </c>
      <c r="H23" s="5">
        <v>73508890.560000002</v>
      </c>
      <c r="I23" s="5">
        <v>0</v>
      </c>
      <c r="J23" s="5">
        <v>0</v>
      </c>
      <c r="K23" s="5">
        <v>5485724.9100000001</v>
      </c>
      <c r="L23" s="5">
        <v>0</v>
      </c>
      <c r="M23" s="5">
        <f>NG!M23</f>
        <v>0</v>
      </c>
      <c r="N23" s="5">
        <f>NG!N23</f>
        <v>0</v>
      </c>
      <c r="O23" s="5">
        <f>NG!O23</f>
        <v>0</v>
      </c>
      <c r="P23" s="5">
        <f>NG!P23</f>
        <v>0</v>
      </c>
      <c r="Q23" s="5">
        <f>NG!Q23</f>
        <v>0</v>
      </c>
      <c r="R23" s="5">
        <f>NG!R23</f>
        <v>0</v>
      </c>
      <c r="S23" s="5">
        <f>NG!S23</f>
        <v>0</v>
      </c>
      <c r="T23" s="5">
        <f>NG!T23</f>
        <v>0</v>
      </c>
      <c r="U23" s="5">
        <f>NG!U23</f>
        <v>25241328.050000001</v>
      </c>
      <c r="V23" s="5">
        <f>NG!V23</f>
        <v>0</v>
      </c>
      <c r="W23" s="5">
        <f>NG!W23</f>
        <v>7003252.7999999998</v>
      </c>
      <c r="X23" s="5">
        <f>NG!X23</f>
        <v>80633439.010000005</v>
      </c>
      <c r="Y23" s="5">
        <f>NG!Y23</f>
        <v>3415510</v>
      </c>
      <c r="Z23" s="252">
        <f>NG!Z23</f>
        <v>3421197.6</v>
      </c>
      <c r="AA23" s="252">
        <f>NG!AA23</f>
        <v>0</v>
      </c>
      <c r="AB23" s="252">
        <f>NG!AB23</f>
        <v>35992740.979999997</v>
      </c>
      <c r="AC23" s="252">
        <f>NG!AC23</f>
        <v>0</v>
      </c>
      <c r="AD23" s="252">
        <f>NG!AD23</f>
        <v>0</v>
      </c>
      <c r="AE23" s="252">
        <f>NG!AE23</f>
        <v>0</v>
      </c>
      <c r="AF23" s="252">
        <f>NG!AF23</f>
        <v>0</v>
      </c>
      <c r="AG23" s="252">
        <f>NG!AG23</f>
        <v>0</v>
      </c>
      <c r="AH23" s="252">
        <f>NG!AH23</f>
        <v>0</v>
      </c>
      <c r="AI23" s="252">
        <f>NG!AI23</f>
        <v>0</v>
      </c>
      <c r="AJ23" s="252">
        <f>NG!AJ23</f>
        <v>0</v>
      </c>
      <c r="AK23" s="252">
        <f>NG!AK23</f>
        <v>0</v>
      </c>
      <c r="AL23" s="252">
        <f>NG!AL23</f>
        <v>0</v>
      </c>
    </row>
    <row r="24" spans="2:38" x14ac:dyDescent="0.2">
      <c r="B24" s="1" t="s">
        <v>74</v>
      </c>
      <c r="C24" s="5">
        <v>287016.74</v>
      </c>
      <c r="D24" s="5">
        <v>359151.63</v>
      </c>
      <c r="E24" s="5">
        <v>2011322</v>
      </c>
      <c r="F24" s="5">
        <v>5504050.3099999996</v>
      </c>
      <c r="G24" s="5">
        <v>6745063.9900000002</v>
      </c>
      <c r="H24" s="5">
        <v>7782409.6200000001</v>
      </c>
      <c r="I24" s="5">
        <v>580358.16</v>
      </c>
      <c r="J24" s="5">
        <v>14243305.65</v>
      </c>
      <c r="K24" s="5">
        <v>10393353.07</v>
      </c>
      <c r="L24" s="5">
        <v>9483034.2300000004</v>
      </c>
      <c r="M24" s="5">
        <f>NG!M24</f>
        <v>8765688.2899999991</v>
      </c>
      <c r="N24" s="5">
        <f>NG!N24</f>
        <v>10247311.41</v>
      </c>
      <c r="O24" s="5">
        <f>NG!O24</f>
        <v>6185881.7999999998</v>
      </c>
      <c r="P24" s="5">
        <f>NG!P24</f>
        <v>0</v>
      </c>
      <c r="Q24" s="5">
        <f>NG!Q24</f>
        <v>757047</v>
      </c>
      <c r="R24" s="5">
        <f>NG!R24</f>
        <v>0</v>
      </c>
      <c r="S24" s="5">
        <f>NG!S24</f>
        <v>0</v>
      </c>
      <c r="T24" s="5">
        <f>NG!T24</f>
        <v>0</v>
      </c>
      <c r="U24" s="5">
        <f>NG!U24</f>
        <v>0</v>
      </c>
      <c r="V24" s="5">
        <f>NG!V24</f>
        <v>0</v>
      </c>
      <c r="W24" s="5">
        <f>NG!W24</f>
        <v>0</v>
      </c>
      <c r="X24" s="5">
        <f>NG!X24</f>
        <v>0</v>
      </c>
      <c r="Y24" s="5">
        <f>NG!Y24</f>
        <v>0</v>
      </c>
      <c r="Z24" s="252">
        <f>NG!Z24</f>
        <v>35503907.899999999</v>
      </c>
      <c r="AA24" s="252">
        <f>NG!AA24</f>
        <v>0</v>
      </c>
      <c r="AB24" s="252">
        <f>NG!AB24</f>
        <v>0</v>
      </c>
      <c r="AC24" s="252">
        <f>NG!AC24</f>
        <v>0</v>
      </c>
      <c r="AD24" s="252">
        <f>NG!AD24</f>
        <v>0</v>
      </c>
      <c r="AE24" s="252">
        <f>NG!AE24</f>
        <v>0</v>
      </c>
      <c r="AF24" s="252">
        <f>NG!AF24</f>
        <v>0</v>
      </c>
      <c r="AG24" s="252">
        <f>NG!AG24</f>
        <v>0</v>
      </c>
      <c r="AH24" s="252">
        <f>NG!AH24</f>
        <v>0</v>
      </c>
      <c r="AI24" s="252">
        <f>NG!AI24</f>
        <v>0</v>
      </c>
      <c r="AJ24" s="252">
        <f>NG!AJ24</f>
        <v>0</v>
      </c>
      <c r="AK24" s="252">
        <f>NG!AK24</f>
        <v>0</v>
      </c>
      <c r="AL24" s="252">
        <f>NG!AL24</f>
        <v>0</v>
      </c>
    </row>
    <row r="25" spans="2:38" x14ac:dyDescent="0.2">
      <c r="B25" s="1" t="s">
        <v>1378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f>NG!M25</f>
        <v>0</v>
      </c>
      <c r="N25" s="5">
        <f>NG!N25</f>
        <v>0</v>
      </c>
      <c r="O25" s="5">
        <f>NG!O25</f>
        <v>0</v>
      </c>
      <c r="P25" s="5">
        <f>NG!P25</f>
        <v>0</v>
      </c>
      <c r="Q25" s="5">
        <f>NG!Q25</f>
        <v>0</v>
      </c>
      <c r="R25" s="5">
        <f>NG!R25</f>
        <v>0</v>
      </c>
      <c r="S25" s="5">
        <f>NG!S25</f>
        <v>0</v>
      </c>
      <c r="T25" s="5">
        <f>NG!T25</f>
        <v>0</v>
      </c>
      <c r="U25" s="5">
        <f>NG!U25</f>
        <v>0</v>
      </c>
      <c r="V25" s="5">
        <f>NG!V25</f>
        <v>0</v>
      </c>
      <c r="W25" s="5">
        <f>NG!W25</f>
        <v>0</v>
      </c>
      <c r="X25" s="5">
        <f>NG!X25</f>
        <v>22241091.879999999</v>
      </c>
      <c r="Y25" s="5">
        <f>NG!Y25</f>
        <v>20303248.640000001</v>
      </c>
      <c r="Z25" s="252">
        <f>NG!Z25</f>
        <v>12065628.039999999</v>
      </c>
      <c r="AA25" s="252">
        <f>NG!AA25</f>
        <v>13756963.73</v>
      </c>
      <c r="AB25" s="252">
        <f>NG!AB25</f>
        <v>10128997.9</v>
      </c>
      <c r="AC25" s="252">
        <f>NG!AC25</f>
        <v>0</v>
      </c>
      <c r="AD25" s="252">
        <f>NG!AD25</f>
        <v>0</v>
      </c>
      <c r="AE25" s="252">
        <f>NG!AE25</f>
        <v>0</v>
      </c>
      <c r="AF25" s="252">
        <f>NG!AF25</f>
        <v>0</v>
      </c>
      <c r="AG25" s="252">
        <f>NG!AG25</f>
        <v>0</v>
      </c>
      <c r="AH25" s="252">
        <f>NG!AH25</f>
        <v>0</v>
      </c>
      <c r="AI25" s="252">
        <f>NG!AI25</f>
        <v>0</v>
      </c>
      <c r="AJ25" s="252">
        <f>NG!AJ25</f>
        <v>0</v>
      </c>
      <c r="AK25" s="252">
        <f>NG!AK25</f>
        <v>0</v>
      </c>
      <c r="AL25" s="252">
        <f>NG!AL25</f>
        <v>0</v>
      </c>
    </row>
    <row r="26" spans="2:38" x14ac:dyDescent="0.2">
      <c r="B26" s="1" t="s">
        <v>1680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f>NG!M26</f>
        <v>0</v>
      </c>
      <c r="N26" s="5">
        <f>NG!N26</f>
        <v>0</v>
      </c>
      <c r="O26" s="5">
        <f>NG!O26</f>
        <v>0</v>
      </c>
      <c r="P26" s="5">
        <f>NG!P26</f>
        <v>0</v>
      </c>
      <c r="Q26" s="5">
        <f>NG!Q26</f>
        <v>0</v>
      </c>
      <c r="R26" s="5">
        <f>NG!R26</f>
        <v>0</v>
      </c>
      <c r="S26" s="5">
        <f>NG!S26</f>
        <v>0</v>
      </c>
      <c r="T26" s="5">
        <f>NG!T26</f>
        <v>0</v>
      </c>
      <c r="U26" s="5">
        <f>NG!U26</f>
        <v>0</v>
      </c>
      <c r="V26" s="5">
        <f>NG!V26</f>
        <v>0</v>
      </c>
      <c r="W26" s="5">
        <f>NG!W26</f>
        <v>0</v>
      </c>
      <c r="X26" s="5">
        <f>NG!X26</f>
        <v>179550</v>
      </c>
      <c r="Y26" s="5">
        <f>NG!Y26</f>
        <v>59987</v>
      </c>
      <c r="Z26" s="252">
        <f>NG!Z26</f>
        <v>0</v>
      </c>
      <c r="AA26" s="252">
        <f>NG!AA26</f>
        <v>0</v>
      </c>
      <c r="AB26" s="252">
        <f>NG!AB26</f>
        <v>0</v>
      </c>
      <c r="AC26" s="252">
        <f>NG!AC26</f>
        <v>0</v>
      </c>
      <c r="AD26" s="252">
        <f>NG!AD26</f>
        <v>0</v>
      </c>
      <c r="AE26" s="252">
        <f>NG!AE26</f>
        <v>0</v>
      </c>
      <c r="AF26" s="252">
        <f>NG!AF26</f>
        <v>0</v>
      </c>
      <c r="AG26" s="252">
        <f>NG!AG26</f>
        <v>0</v>
      </c>
      <c r="AH26" s="252">
        <f>NG!AH26</f>
        <v>0</v>
      </c>
      <c r="AI26" s="252">
        <f>NG!AI26</f>
        <v>0</v>
      </c>
      <c r="AJ26" s="252">
        <f>NG!AJ26</f>
        <v>0</v>
      </c>
      <c r="AK26" s="252">
        <f>NG!AK26</f>
        <v>0</v>
      </c>
      <c r="AL26" s="252">
        <f>NG!AL26</f>
        <v>0</v>
      </c>
    </row>
    <row r="27" spans="2:38" x14ac:dyDescent="0.2">
      <c r="B27" s="1" t="s">
        <v>1678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f>NG!M27</f>
        <v>0</v>
      </c>
      <c r="N27" s="5">
        <f>NG!N27</f>
        <v>0</v>
      </c>
      <c r="O27" s="5">
        <f>NG!O27</f>
        <v>0</v>
      </c>
      <c r="P27" s="5">
        <f>NG!P27</f>
        <v>0</v>
      </c>
      <c r="Q27" s="5">
        <f>NG!Q27</f>
        <v>0</v>
      </c>
      <c r="R27" s="5">
        <f>NG!R27</f>
        <v>0</v>
      </c>
      <c r="S27" s="5">
        <f>NG!S27</f>
        <v>0</v>
      </c>
      <c r="T27" s="5">
        <f>NG!T27</f>
        <v>0</v>
      </c>
      <c r="U27" s="5">
        <f>NG!U27</f>
        <v>0</v>
      </c>
      <c r="V27" s="5">
        <f>NG!V27</f>
        <v>0</v>
      </c>
      <c r="W27" s="5">
        <f>NG!W27</f>
        <v>0</v>
      </c>
      <c r="X27" s="5">
        <f>NG!X27</f>
        <v>0</v>
      </c>
      <c r="Y27" s="5">
        <f>NG!Y27</f>
        <v>1447250</v>
      </c>
      <c r="Z27" s="252">
        <f>NG!Z27</f>
        <v>0</v>
      </c>
      <c r="AA27" s="252">
        <f>NG!AA27</f>
        <v>0</v>
      </c>
      <c r="AB27" s="252">
        <f>NG!AB27</f>
        <v>0</v>
      </c>
      <c r="AC27" s="252">
        <f>NG!AC27</f>
        <v>0</v>
      </c>
      <c r="AD27" s="252">
        <f>NG!AD27</f>
        <v>0</v>
      </c>
      <c r="AE27" s="252">
        <f>NG!AE27</f>
        <v>0</v>
      </c>
      <c r="AF27" s="252">
        <f>NG!AF27</f>
        <v>0</v>
      </c>
      <c r="AG27" s="252">
        <f>NG!AG27</f>
        <v>0</v>
      </c>
      <c r="AH27" s="252">
        <f>NG!AH27</f>
        <v>0</v>
      </c>
      <c r="AI27" s="252">
        <f>NG!AI27</f>
        <v>0</v>
      </c>
      <c r="AJ27" s="252">
        <f>NG!AJ27</f>
        <v>0</v>
      </c>
      <c r="AK27" s="252">
        <f>NG!AK27</f>
        <v>0</v>
      </c>
      <c r="AL27" s="252">
        <f>NG!AL27</f>
        <v>0</v>
      </c>
    </row>
    <row r="28" spans="2:38" x14ac:dyDescent="0.2">
      <c r="B28" s="1" t="s">
        <v>1310</v>
      </c>
      <c r="C28" s="5">
        <v>318104.64999997616</v>
      </c>
      <c r="D28" s="5">
        <v>859255.82000005245</v>
      </c>
      <c r="E28" s="5">
        <v>210513722.44</v>
      </c>
      <c r="F28" s="5">
        <v>11953727.59</v>
      </c>
      <c r="G28" s="5">
        <v>84264080.720000029</v>
      </c>
      <c r="H28" s="5">
        <v>6822014.7700000098</v>
      </c>
      <c r="I28" s="5">
        <v>10191007.75000003</v>
      </c>
      <c r="J28" s="5">
        <v>15644473.789999962</v>
      </c>
      <c r="K28" s="5">
        <v>23832073.720000014</v>
      </c>
      <c r="L28" s="5">
        <v>21275425.539999992</v>
      </c>
      <c r="M28" s="5">
        <v>54626533.329999983</v>
      </c>
      <c r="N28" s="5">
        <f>NG!N28</f>
        <v>6055500.0700000525</v>
      </c>
      <c r="O28" s="5">
        <f>NG!O28</f>
        <v>22666727.2469</v>
      </c>
      <c r="P28" s="5">
        <f>NG!P28</f>
        <v>888611.79</v>
      </c>
      <c r="Q28" s="5">
        <f>NG!Q28</f>
        <v>8106499.8380000005</v>
      </c>
      <c r="R28" s="5">
        <f>NG!R28</f>
        <v>9209303</v>
      </c>
      <c r="S28" s="5">
        <f>NG!S28</f>
        <v>14976745</v>
      </c>
      <c r="T28" s="5">
        <f>NG!T28</f>
        <v>0</v>
      </c>
      <c r="U28" s="5">
        <f>NG!U28</f>
        <v>13999209.43</v>
      </c>
      <c r="V28" s="5">
        <f>NG!V28</f>
        <v>0</v>
      </c>
      <c r="W28" s="5">
        <f>NG!W28</f>
        <v>2502297.6800000072</v>
      </c>
      <c r="X28" s="5">
        <f>NG!X28</f>
        <v>-513378.88999998569</v>
      </c>
      <c r="Y28" s="5">
        <f>NG!Y28</f>
        <v>175116.62999999523</v>
      </c>
      <c r="Z28" s="252">
        <f>NG!Z28</f>
        <v>2521627.9199999571</v>
      </c>
      <c r="AA28" s="252">
        <f>NG!AA28</f>
        <v>837209.3</v>
      </c>
      <c r="AB28" s="252">
        <f>NG!AB28</f>
        <v>8093023.2599999998</v>
      </c>
      <c r="AC28" s="252">
        <f>NG!AC28</f>
        <v>0</v>
      </c>
      <c r="AD28" s="252">
        <f>NG!AD28</f>
        <v>0</v>
      </c>
      <c r="AE28" s="252">
        <f>NG!AE28</f>
        <v>0</v>
      </c>
      <c r="AF28" s="252">
        <f>NG!AF28</f>
        <v>0</v>
      </c>
      <c r="AG28" s="252">
        <f>NG!AG28</f>
        <v>0</v>
      </c>
      <c r="AH28" s="252">
        <f>NG!AH28</f>
        <v>0</v>
      </c>
      <c r="AI28" s="252">
        <f>NG!AI28</f>
        <v>0</v>
      </c>
      <c r="AJ28" s="252">
        <f>NG!AJ28</f>
        <v>0</v>
      </c>
      <c r="AK28" s="252">
        <f>NG!AK28</f>
        <v>0</v>
      </c>
      <c r="AL28" s="252">
        <f>NG!AL28</f>
        <v>0</v>
      </c>
    </row>
    <row r="29" spans="2:38" s="4" customFormat="1" x14ac:dyDescent="0.2">
      <c r="B29" s="4" t="s">
        <v>1248</v>
      </c>
      <c r="C29" s="6">
        <f>SUM(C18:C28)</f>
        <v>175170980.94</v>
      </c>
      <c r="D29" s="6">
        <f t="shared" ref="D29:T29" si="2">SUM(D18:D28)</f>
        <v>518489389.88000005</v>
      </c>
      <c r="E29" s="6">
        <f t="shared" si="2"/>
        <v>527014242.30000001</v>
      </c>
      <c r="F29" s="6">
        <f t="shared" si="2"/>
        <v>541839856.37</v>
      </c>
      <c r="G29" s="6">
        <f t="shared" si="2"/>
        <v>206727801.47000003</v>
      </c>
      <c r="H29" s="6">
        <f t="shared" si="2"/>
        <v>219439945.34999999</v>
      </c>
      <c r="I29" s="6">
        <f t="shared" si="2"/>
        <v>213838825.13</v>
      </c>
      <c r="J29" s="6">
        <f t="shared" si="2"/>
        <v>313204442.84999996</v>
      </c>
      <c r="K29" s="6">
        <f t="shared" si="2"/>
        <v>121820217.33</v>
      </c>
      <c r="L29" s="6">
        <f t="shared" si="2"/>
        <v>173377722.22999999</v>
      </c>
      <c r="M29" s="6">
        <f t="shared" si="2"/>
        <v>226991894.45999998</v>
      </c>
      <c r="N29" s="6">
        <f t="shared" si="2"/>
        <v>592258002.88999999</v>
      </c>
      <c r="O29" s="6">
        <f>SUM(O18:O28)</f>
        <v>213268613.75689998</v>
      </c>
      <c r="P29" s="6">
        <f t="shared" si="2"/>
        <v>197048675.78999999</v>
      </c>
      <c r="Q29" s="6">
        <f t="shared" si="2"/>
        <v>222403034.838</v>
      </c>
      <c r="R29" s="6">
        <f t="shared" si="2"/>
        <v>242700218</v>
      </c>
      <c r="S29" s="6">
        <f t="shared" si="2"/>
        <v>174492162</v>
      </c>
      <c r="T29" s="6">
        <f t="shared" si="2"/>
        <v>119740943</v>
      </c>
      <c r="U29" s="6">
        <f>SUM(U18:U28)</f>
        <v>209164534.53000003</v>
      </c>
      <c r="V29" s="6">
        <f>SUM(V18:V28)</f>
        <v>183988509.75999999</v>
      </c>
      <c r="W29" s="6">
        <f t="shared" ref="W29:AL29" si="3">SUM(W18:W28)</f>
        <v>401196208.59000003</v>
      </c>
      <c r="X29" s="6">
        <f t="shared" si="3"/>
        <v>755003168.23000002</v>
      </c>
      <c r="Y29" s="6">
        <f>SUM(Y18:Y28)</f>
        <v>322667121.81</v>
      </c>
      <c r="Z29" s="6">
        <f t="shared" si="3"/>
        <v>312136747.44999999</v>
      </c>
      <c r="AA29" s="6">
        <f t="shared" si="3"/>
        <v>712939766.75</v>
      </c>
      <c r="AB29" s="6">
        <f t="shared" si="3"/>
        <v>759560890.47000003</v>
      </c>
      <c r="AC29" s="6">
        <f t="shared" si="3"/>
        <v>0</v>
      </c>
      <c r="AD29" s="6">
        <f t="shared" si="3"/>
        <v>0</v>
      </c>
      <c r="AE29" s="6">
        <f t="shared" si="3"/>
        <v>0</v>
      </c>
      <c r="AF29" s="6">
        <f t="shared" si="3"/>
        <v>0</v>
      </c>
      <c r="AG29" s="6">
        <f t="shared" si="3"/>
        <v>0</v>
      </c>
      <c r="AH29" s="6">
        <f t="shared" si="3"/>
        <v>0</v>
      </c>
      <c r="AI29" s="6">
        <f t="shared" si="3"/>
        <v>0</v>
      </c>
      <c r="AJ29" s="6">
        <f t="shared" si="3"/>
        <v>0</v>
      </c>
      <c r="AK29" s="6">
        <f t="shared" si="3"/>
        <v>0</v>
      </c>
      <c r="AL29" s="6">
        <f t="shared" si="3"/>
        <v>0</v>
      </c>
    </row>
    <row r="30" spans="2:38" x14ac:dyDescent="0.2">
      <c r="B30" s="1" t="s">
        <v>1441</v>
      </c>
      <c r="C30" s="5">
        <f>PL_UK!D11-SUM(Group!C31:C33)</f>
        <v>21737164.465800002</v>
      </c>
      <c r="D30" s="5">
        <f>PL_UK!E11-SUM(Group!D31:D33)</f>
        <v>36431173.665600002</v>
      </c>
      <c r="E30" s="5">
        <f>PL_UK!F11-SUM(Group!E31:E33)</f>
        <v>34515318.294600002</v>
      </c>
      <c r="F30" s="5">
        <f>PL_UK!G11-SUM(Group!F31:F33)</f>
        <v>24276553.319400001</v>
      </c>
      <c r="G30" s="5">
        <f>PL_UK!H11-SUM(Group!G31:G33)</f>
        <v>23585130.005199999</v>
      </c>
      <c r="H30" s="5">
        <f>PL_UK!I11-SUM(Group!H31:H33)</f>
        <v>21654607.059799999</v>
      </c>
      <c r="I30" s="5">
        <f>PL_UK!J11-SUM(Group!I31:I33)</f>
        <v>7095997.0469999993</v>
      </c>
      <c r="J30" s="5">
        <f>PL_UK!K11-SUM(Group!J31:J33)</f>
        <v>45135912.194400005</v>
      </c>
      <c r="K30" s="5">
        <f>PL_UK!L11-SUM(Group!K31:K33)</f>
        <v>25705928.792999998</v>
      </c>
      <c r="L30" s="5">
        <f>PL_UK!M11-SUM(Group!L31:L33)</f>
        <v>19548237.112100001</v>
      </c>
      <c r="M30" s="5">
        <f>PL_UK!N11-SUM(Group!M31:M33)</f>
        <v>17469314.037</v>
      </c>
      <c r="N30" s="5">
        <f>PL_UK!O11-SUM(Group!N31:N33)</f>
        <v>8369047.1023999993</v>
      </c>
      <c r="O30" s="5">
        <f>PL_UK!P11-SUM(Group!O31:O33)</f>
        <v>22378450.247099999</v>
      </c>
      <c r="P30" s="5">
        <f>PL_UK!Q11-SUM(Group!P31:P33)</f>
        <v>18256846.654002257</v>
      </c>
      <c r="Q30" s="5">
        <f>PL_UK!R11-SUM(Group!Q31:Q33)</f>
        <v>10547121.23</v>
      </c>
      <c r="R30" s="5">
        <f>PL_UK!S11-SUM(Group!R31:R33)</f>
        <v>0</v>
      </c>
      <c r="S30" s="5">
        <f>PL_UK!T11-SUM(Group!S31:S33)</f>
        <v>1090372.5414999996</v>
      </c>
      <c r="T30" s="5">
        <f>PL_UK!U11-SUM(Group!T31:T33)</f>
        <v>-352422.04829999997</v>
      </c>
      <c r="U30" s="5">
        <f>PL_UK!V11-SUM(Group!U31:U33)</f>
        <v>0</v>
      </c>
      <c r="V30" s="5">
        <f>PL_UK!W11-SUM(Group!V31:V33)</f>
        <v>0</v>
      </c>
      <c r="W30" s="5">
        <f>PL_UK!X11-SUM(Group!W31:W33)</f>
        <v>0</v>
      </c>
      <c r="X30" s="5">
        <f>PL_UK!Y11-SUM(Group!X31:X33)</f>
        <v>0</v>
      </c>
      <c r="Y30" s="5">
        <f>PL_UK!Z11-SUM(Group!Y31:Y33)</f>
        <v>0</v>
      </c>
      <c r="Z30" s="5">
        <f>PL_UK!AA11-SUM(Group!Z31:Z33)</f>
        <v>0</v>
      </c>
      <c r="AA30" s="5">
        <f>PL_UK!AB11-SUM(Group!AA31:AA33)</f>
        <v>0</v>
      </c>
      <c r="AB30" s="5">
        <f>PL_UK!AC11-SUM(Group!AB31:AB33)</f>
        <v>0</v>
      </c>
      <c r="AC30" s="5">
        <f>PL_UK!AD11-SUM(Group!AC31:AC33)</f>
        <v>0</v>
      </c>
      <c r="AD30" s="5">
        <f>PL_UK!AE11-SUM(Group!AD31:AD33)</f>
        <v>0</v>
      </c>
      <c r="AE30" s="5">
        <f>PL_UK!AF11-SUM(Group!AE31:AE33)</f>
        <v>0</v>
      </c>
      <c r="AF30" s="5">
        <f>PL_UK!AG11-SUM(Group!AF31:AF33)</f>
        <v>0</v>
      </c>
      <c r="AG30" s="5">
        <f>PL_UK!AH11-SUM(Group!AG31:AG33)</f>
        <v>0</v>
      </c>
      <c r="AH30" s="5">
        <f>PL_UK!AI11-SUM(Group!AH31:AH33)</f>
        <v>0</v>
      </c>
      <c r="AI30" s="5">
        <f>PL_UK!AJ11-SUM(Group!AI31:AI33)</f>
        <v>0</v>
      </c>
      <c r="AJ30" s="5">
        <f>PL_UK!AK11-SUM(Group!AJ31:AJ33)</f>
        <v>0</v>
      </c>
      <c r="AK30" s="5">
        <f>PL_UK!AL11-SUM(Group!AK31:AK33)</f>
        <v>0</v>
      </c>
      <c r="AL30" s="5">
        <f>PL_UK!AM11-SUM(Group!AL31:AL33)</f>
        <v>0</v>
      </c>
    </row>
    <row r="31" spans="2:38" x14ac:dyDescent="0.2">
      <c r="B31" s="1" t="s">
        <v>1440</v>
      </c>
      <c r="C31" s="5">
        <f>PL_UK!D9</f>
        <v>1550706.1246000002</v>
      </c>
      <c r="D31" s="5">
        <f>PL_UK!E9</f>
        <v>2826992.5655999999</v>
      </c>
      <c r="E31" s="5">
        <f>PL_UK!F9</f>
        <v>2029039.9602000001</v>
      </c>
      <c r="F31" s="5">
        <f>PL_UK!G9</f>
        <v>1704868.2899999998</v>
      </c>
      <c r="G31" s="5">
        <f>PL_UK!H9</f>
        <v>2042263.38</v>
      </c>
      <c r="H31" s="5">
        <f>PL_UK!I9</f>
        <v>2718067.7927000001</v>
      </c>
      <c r="I31" s="5">
        <f>PL_UK!J9</f>
        <v>0</v>
      </c>
      <c r="J31" s="5">
        <f>PL_UK!K9</f>
        <v>1788631.8312000001</v>
      </c>
      <c r="K31" s="5">
        <f>PL_UK!L9</f>
        <v>3750267.3062999998</v>
      </c>
      <c r="L31" s="5">
        <f>PL_UK!M9</f>
        <v>2441824.6033000001</v>
      </c>
      <c r="M31" s="5">
        <f>PL_UK!N9</f>
        <v>2053638.2159999998</v>
      </c>
      <c r="N31" s="5">
        <f>PL_UK!O9</f>
        <v>2149266.3903999999</v>
      </c>
      <c r="O31" s="5">
        <f>PL_UK!P9</f>
        <v>879767.52599999995</v>
      </c>
      <c r="P31" s="5">
        <f>PL_UK!Q9</f>
        <v>1094715.9699998235</v>
      </c>
      <c r="Q31" s="5">
        <f>PL_UK!R9</f>
        <v>1189267.4720000001</v>
      </c>
      <c r="R31" s="5">
        <f>PL_UK!S9</f>
        <v>1841188.8288</v>
      </c>
      <c r="S31" s="5">
        <f>PL_UK!T9</f>
        <v>1244205.8255</v>
      </c>
      <c r="T31" s="5">
        <f>PL_UK!U9</f>
        <v>805197.7919999999</v>
      </c>
      <c r="U31" s="5">
        <f>PL_UK!V9</f>
        <v>1658214.5134000001</v>
      </c>
      <c r="V31" s="5">
        <f>PL_UK!W9</f>
        <v>2470636.7238000003</v>
      </c>
      <c r="W31" s="5">
        <f>PL_UK!X9</f>
        <v>1738784.1255000001</v>
      </c>
      <c r="X31" s="5">
        <f>PL_UK!Y9</f>
        <v>1609972.585</v>
      </c>
      <c r="Y31" s="5">
        <f>PL_UK!Z9</f>
        <v>1967128.0204</v>
      </c>
      <c r="Z31" s="5">
        <f>PL_UK!AA9</f>
        <v>985502.42499999993</v>
      </c>
      <c r="AA31" s="5">
        <f>PL_UK!AB9</f>
        <v>939347.7402</v>
      </c>
      <c r="AB31" s="5">
        <f>PL_UK!AC9</f>
        <v>2137312.4904</v>
      </c>
      <c r="AC31" s="5">
        <f>PL_UK!AD9</f>
        <v>1815047.3659999999</v>
      </c>
      <c r="AD31" s="5">
        <f>PL_UK!AE9</f>
        <v>1515171.476</v>
      </c>
      <c r="AE31" s="5">
        <f>PL_UK!AF9</f>
        <v>0</v>
      </c>
      <c r="AF31" s="5">
        <f>PL_UK!AG9</f>
        <v>0</v>
      </c>
      <c r="AG31" s="5">
        <f>PL_UK!AH9</f>
        <v>0</v>
      </c>
      <c r="AH31" s="5">
        <f>PL_UK!AI9</f>
        <v>0</v>
      </c>
      <c r="AI31" s="5">
        <f>PL_UK!AJ9</f>
        <v>0</v>
      </c>
      <c r="AJ31" s="5">
        <f>PL_UK!AK9</f>
        <v>0</v>
      </c>
      <c r="AK31" s="5">
        <f>PL_UK!AL9</f>
        <v>0</v>
      </c>
      <c r="AL31" s="5">
        <f>PL_UK!AM9</f>
        <v>0</v>
      </c>
    </row>
    <row r="32" spans="2:38" x14ac:dyDescent="0.2">
      <c r="B32" s="1" t="s">
        <v>1378</v>
      </c>
      <c r="C32" s="5">
        <f>PL_UK!D7</f>
        <v>0</v>
      </c>
      <c r="D32" s="5">
        <f>PL_UK!E7</f>
        <v>0</v>
      </c>
      <c r="E32" s="5">
        <f>PL_UK!F7</f>
        <v>0</v>
      </c>
      <c r="F32" s="5">
        <f>PL_UK!G7</f>
        <v>0</v>
      </c>
      <c r="G32" s="5">
        <f>PL_UK!H7</f>
        <v>0</v>
      </c>
      <c r="H32" s="5">
        <f>PL_UK!I7</f>
        <v>0</v>
      </c>
      <c r="I32" s="5">
        <f>PL_UK!J7</f>
        <v>0</v>
      </c>
      <c r="J32" s="5">
        <f>PL_UK!K7</f>
        <v>0</v>
      </c>
      <c r="K32" s="5">
        <f>PL_UK!L7</f>
        <v>0</v>
      </c>
      <c r="L32" s="5">
        <f>PL_UK!M7</f>
        <v>0</v>
      </c>
      <c r="M32" s="5">
        <f>PL_UK!N7</f>
        <v>0</v>
      </c>
      <c r="N32" s="5">
        <f>PL_UK!O7</f>
        <v>0</v>
      </c>
      <c r="O32" s="5">
        <f>PL_UK!P7</f>
        <v>0</v>
      </c>
      <c r="P32" s="5">
        <f>PL_UK!Q7</f>
        <v>0</v>
      </c>
      <c r="Q32" s="5">
        <f>PL_UK!R7</f>
        <v>0</v>
      </c>
      <c r="R32" s="5">
        <f>PL_UK!S7</f>
        <v>0</v>
      </c>
      <c r="S32" s="5">
        <f>PL_UK!T7</f>
        <v>0</v>
      </c>
      <c r="T32" s="5">
        <f>PL_UK!U7</f>
        <v>0</v>
      </c>
      <c r="U32" s="5">
        <f>PL_UK!V7</f>
        <v>1318019.8689999999</v>
      </c>
      <c r="V32" s="5">
        <f>PL_UK!W7</f>
        <v>7638597.3300000001</v>
      </c>
      <c r="W32" s="5">
        <f>PL_UK!X7</f>
        <v>4147910.4375</v>
      </c>
      <c r="X32" s="5">
        <f>PL_UK!Y7</f>
        <v>-12235352.415000001</v>
      </c>
      <c r="Y32" s="5">
        <f>PL_UK!Z7</f>
        <v>0</v>
      </c>
      <c r="Z32" s="5">
        <f>PL_UK!AA7</f>
        <v>0</v>
      </c>
      <c r="AA32" s="5">
        <f>PL_UK!AB7</f>
        <v>0</v>
      </c>
      <c r="AB32" s="5">
        <f>PL_UK!AC7</f>
        <v>0</v>
      </c>
      <c r="AC32" s="5">
        <f>PL_UK!AD7</f>
        <v>0</v>
      </c>
      <c r="AD32" s="5">
        <f>PL_UK!AE7</f>
        <v>0</v>
      </c>
      <c r="AE32" s="5">
        <f>PL_UK!AF7</f>
        <v>0</v>
      </c>
      <c r="AF32" s="5">
        <f>PL_UK!AG7</f>
        <v>0</v>
      </c>
      <c r="AG32" s="5">
        <f>PL_UK!AH7</f>
        <v>0</v>
      </c>
      <c r="AH32" s="5">
        <f>PL_UK!AI7</f>
        <v>0</v>
      </c>
      <c r="AI32" s="5">
        <f>PL_UK!AJ7</f>
        <v>0</v>
      </c>
      <c r="AJ32" s="5">
        <f>PL_UK!AK7</f>
        <v>0</v>
      </c>
      <c r="AK32" s="5">
        <f>PL_UK!AL7</f>
        <v>0</v>
      </c>
      <c r="AL32" s="5">
        <f>PL_UK!AM7</f>
        <v>0</v>
      </c>
    </row>
    <row r="33" spans="1:38" x14ac:dyDescent="0.2">
      <c r="B33" s="1" t="s">
        <v>1679</v>
      </c>
      <c r="C33" s="5">
        <f>PL_UK!D8</f>
        <v>0</v>
      </c>
      <c r="D33" s="5">
        <f>PL_UK!E8</f>
        <v>0</v>
      </c>
      <c r="E33" s="5">
        <f>PL_UK!F8</f>
        <v>0</v>
      </c>
      <c r="F33" s="5">
        <f>PL_UK!G8</f>
        <v>0</v>
      </c>
      <c r="G33" s="5">
        <f>PL_UK!H8</f>
        <v>0</v>
      </c>
      <c r="H33" s="5">
        <f>PL_UK!I8</f>
        <v>0</v>
      </c>
      <c r="I33" s="5">
        <f>PL_UK!J8</f>
        <v>0</v>
      </c>
      <c r="J33" s="5">
        <f>PL_UK!K8</f>
        <v>0</v>
      </c>
      <c r="K33" s="5">
        <f>PL_UK!L8</f>
        <v>0</v>
      </c>
      <c r="L33" s="5">
        <f>PL_UK!M8</f>
        <v>0</v>
      </c>
      <c r="M33" s="5">
        <f>PL_UK!N8</f>
        <v>0</v>
      </c>
      <c r="N33" s="5">
        <f>PL_UK!O8</f>
        <v>0</v>
      </c>
      <c r="O33" s="5">
        <f>PL_UK!P8</f>
        <v>0</v>
      </c>
      <c r="P33" s="5">
        <f>PL_UK!Q8</f>
        <v>0</v>
      </c>
      <c r="Q33" s="5">
        <f>PL_UK!R8</f>
        <v>0</v>
      </c>
      <c r="R33" s="5">
        <f>PL_UK!S8</f>
        <v>0</v>
      </c>
      <c r="S33" s="5">
        <f>PL_UK!T8</f>
        <v>0</v>
      </c>
      <c r="T33" s="5">
        <f>PL_UK!U8</f>
        <v>0</v>
      </c>
      <c r="U33" s="5">
        <f>PL_UK!V8</f>
        <v>0</v>
      </c>
      <c r="V33" s="5">
        <f>PL_UK!W8</f>
        <v>403356.97289999999</v>
      </c>
      <c r="W33" s="5">
        <f>PL_UK!X8</f>
        <v>170699.59350000002</v>
      </c>
      <c r="X33" s="5">
        <f>PL_UK!Y8</f>
        <v>-15984.189000000009</v>
      </c>
      <c r="Y33" s="5">
        <f>PL_UK!Z8</f>
        <v>103953.14170000001</v>
      </c>
      <c r="Z33" s="5">
        <f>PL_UK!AA8</f>
        <v>106216.7825</v>
      </c>
      <c r="AA33" s="5">
        <f>PL_UK!AB8</f>
        <v>103528.98060000001</v>
      </c>
      <c r="AB33" s="5">
        <f>PL_UK!AC8</f>
        <v>99328.645200000014</v>
      </c>
      <c r="AC33" s="5">
        <f>PL_UK!AD8</f>
        <v>99284.111000000004</v>
      </c>
      <c r="AD33" s="5">
        <f>PL_UK!AE8</f>
        <v>100750.481</v>
      </c>
      <c r="AE33" s="5">
        <f>PL_UK!AF8</f>
        <v>0</v>
      </c>
      <c r="AF33" s="5">
        <f>PL_UK!AG8</f>
        <v>0</v>
      </c>
      <c r="AG33" s="5">
        <f>PL_UK!AH8</f>
        <v>0</v>
      </c>
      <c r="AH33" s="5">
        <f>PL_UK!AI8</f>
        <v>0</v>
      </c>
      <c r="AI33" s="5">
        <f>PL_UK!AJ8</f>
        <v>0</v>
      </c>
      <c r="AJ33" s="5">
        <f>PL_UK!AK8</f>
        <v>0</v>
      </c>
      <c r="AK33" s="5">
        <f>PL_UK!AL8</f>
        <v>0</v>
      </c>
      <c r="AL33" s="5">
        <f>PL_UK!AM8</f>
        <v>0</v>
      </c>
    </row>
    <row r="34" spans="1:38" s="4" customFormat="1" x14ac:dyDescent="0.2">
      <c r="B34" s="4" t="s">
        <v>1247</v>
      </c>
      <c r="C34" s="81">
        <f t="shared" ref="C34:U34" si="4">SUM(C29:C33)</f>
        <v>198458851.53039998</v>
      </c>
      <c r="D34" s="81">
        <f t="shared" si="4"/>
        <v>557747556.11120009</v>
      </c>
      <c r="E34" s="81">
        <f t="shared" si="4"/>
        <v>563558600.55479991</v>
      </c>
      <c r="F34" s="81">
        <f t="shared" si="4"/>
        <v>567821277.97939992</v>
      </c>
      <c r="G34" s="81">
        <f t="shared" si="4"/>
        <v>232355194.85520002</v>
      </c>
      <c r="H34" s="81">
        <f t="shared" si="4"/>
        <v>243812620.20249999</v>
      </c>
      <c r="I34" s="81">
        <f t="shared" si="4"/>
        <v>220934822.17699999</v>
      </c>
      <c r="J34" s="81">
        <f t="shared" si="4"/>
        <v>360128986.87559998</v>
      </c>
      <c r="K34" s="81">
        <f t="shared" si="4"/>
        <v>151276413.42930001</v>
      </c>
      <c r="L34" s="81">
        <f t="shared" si="4"/>
        <v>195367783.9454</v>
      </c>
      <c r="M34" s="81">
        <f>SUM(M29:M33)</f>
        <v>246514846.71299997</v>
      </c>
      <c r="N34" s="81">
        <f t="shared" si="4"/>
        <v>602776316.38279998</v>
      </c>
      <c r="O34" s="81">
        <f t="shared" si="4"/>
        <v>236526831.52999997</v>
      </c>
      <c r="P34" s="81">
        <f t="shared" si="4"/>
        <v>216400238.41400206</v>
      </c>
      <c r="Q34" s="81">
        <f t="shared" si="4"/>
        <v>234139423.53999999</v>
      </c>
      <c r="R34" s="81">
        <f t="shared" si="4"/>
        <v>244541406.82879999</v>
      </c>
      <c r="S34" s="81">
        <f t="shared" si="4"/>
        <v>176826740.36700001</v>
      </c>
      <c r="T34" s="81">
        <f t="shared" si="4"/>
        <v>120193718.7437</v>
      </c>
      <c r="U34" s="81">
        <f t="shared" si="4"/>
        <v>212140768.91240001</v>
      </c>
      <c r="V34" s="81">
        <f>SUM(V29:V33)</f>
        <v>194501100.78670001</v>
      </c>
      <c r="W34" s="81">
        <f t="shared" ref="W34:AL34" si="5">SUM(W29:W33)</f>
        <v>407253602.74650007</v>
      </c>
      <c r="X34" s="81">
        <f t="shared" si="5"/>
        <v>744361804.21100008</v>
      </c>
      <c r="Y34" s="81">
        <f t="shared" si="5"/>
        <v>324738202.97210002</v>
      </c>
      <c r="Z34" s="81">
        <f>SUM(Z29:Z33)</f>
        <v>313228466.65750003</v>
      </c>
      <c r="AA34" s="81">
        <f t="shared" si="5"/>
        <v>713982643.47080004</v>
      </c>
      <c r="AB34" s="81">
        <f t="shared" si="5"/>
        <v>761797531.6056</v>
      </c>
      <c r="AC34" s="81">
        <f t="shared" si="5"/>
        <v>1914331.477</v>
      </c>
      <c r="AD34" s="81">
        <f t="shared" si="5"/>
        <v>1615921.9569999999</v>
      </c>
      <c r="AE34" s="81">
        <f t="shared" si="5"/>
        <v>0</v>
      </c>
      <c r="AF34" s="81">
        <f t="shared" si="5"/>
        <v>0</v>
      </c>
      <c r="AG34" s="81">
        <f t="shared" si="5"/>
        <v>0</v>
      </c>
      <c r="AH34" s="81">
        <f t="shared" si="5"/>
        <v>0</v>
      </c>
      <c r="AI34" s="81">
        <f t="shared" si="5"/>
        <v>0</v>
      </c>
      <c r="AJ34" s="81">
        <f t="shared" si="5"/>
        <v>0</v>
      </c>
      <c r="AK34" s="81">
        <f t="shared" si="5"/>
        <v>0</v>
      </c>
      <c r="AL34" s="81">
        <f t="shared" si="5"/>
        <v>0</v>
      </c>
    </row>
    <row r="35" spans="1:38" x14ac:dyDescent="0.2">
      <c r="O35" s="7">
        <f t="shared" ref="O35:W35" si="6">O34-O4</f>
        <v>-0.19310000538825989</v>
      </c>
      <c r="P35" s="7">
        <f t="shared" si="6"/>
        <v>0</v>
      </c>
      <c r="Q35" s="7">
        <f t="shared" si="6"/>
        <v>0.28799998760223389</v>
      </c>
      <c r="R35" s="7">
        <f t="shared" si="6"/>
        <v>0.45999997854232788</v>
      </c>
      <c r="S35" s="7">
        <f t="shared" si="6"/>
        <v>-0.43000000715255737</v>
      </c>
      <c r="T35" s="7">
        <f t="shared" si="6"/>
        <v>0.44999998807907104</v>
      </c>
      <c r="U35" s="7">
        <f t="shared" si="6"/>
        <v>0</v>
      </c>
      <c r="V35" s="7">
        <f t="shared" si="6"/>
        <v>1.0000020265579224E-2</v>
      </c>
      <c r="W35" s="7">
        <f t="shared" si="6"/>
        <v>0</v>
      </c>
      <c r="X35" s="7">
        <f>X34-X4</f>
        <v>0</v>
      </c>
      <c r="Y35" s="7">
        <f>Y34-Y4</f>
        <v>-0.4100000262260437</v>
      </c>
    </row>
    <row r="36" spans="1:38" x14ac:dyDescent="0.2">
      <c r="B36" s="1" t="s">
        <v>1277</v>
      </c>
    </row>
    <row r="37" spans="1:38" s="98" customFormat="1" ht="13" x14ac:dyDescent="0.2">
      <c r="A37" s="98" t="s">
        <v>1278</v>
      </c>
      <c r="B37" s="98" t="s">
        <v>1279</v>
      </c>
      <c r="C37" s="319">
        <f>C3</f>
        <v>45322</v>
      </c>
      <c r="D37" s="319">
        <f t="shared" ref="D37:AL37" si="7">D3</f>
        <v>45351</v>
      </c>
      <c r="E37" s="319">
        <f t="shared" si="7"/>
        <v>45382</v>
      </c>
      <c r="F37" s="319">
        <f t="shared" si="7"/>
        <v>45412</v>
      </c>
      <c r="G37" s="319">
        <f t="shared" si="7"/>
        <v>45443</v>
      </c>
      <c r="H37" s="319">
        <f t="shared" si="7"/>
        <v>45473</v>
      </c>
      <c r="I37" s="319">
        <f t="shared" si="7"/>
        <v>45504</v>
      </c>
      <c r="J37" s="319">
        <f t="shared" si="7"/>
        <v>45535</v>
      </c>
      <c r="K37" s="319">
        <f t="shared" si="7"/>
        <v>45565</v>
      </c>
      <c r="L37" s="319">
        <f t="shared" si="7"/>
        <v>45596</v>
      </c>
      <c r="M37" s="319">
        <f t="shared" si="7"/>
        <v>45626</v>
      </c>
      <c r="N37" s="319">
        <f t="shared" si="7"/>
        <v>45657</v>
      </c>
      <c r="O37" s="319">
        <f t="shared" si="7"/>
        <v>45688</v>
      </c>
      <c r="P37" s="319">
        <f t="shared" si="7"/>
        <v>45716</v>
      </c>
      <c r="Q37" s="319">
        <f t="shared" si="7"/>
        <v>45747</v>
      </c>
      <c r="R37" s="319">
        <f t="shared" si="7"/>
        <v>45777</v>
      </c>
      <c r="S37" s="319">
        <f t="shared" si="7"/>
        <v>45808</v>
      </c>
      <c r="T37" s="319">
        <f t="shared" si="7"/>
        <v>45838</v>
      </c>
      <c r="U37" s="319">
        <f t="shared" si="7"/>
        <v>45869</v>
      </c>
      <c r="V37" s="319">
        <f t="shared" si="7"/>
        <v>45900</v>
      </c>
      <c r="W37" s="319">
        <f t="shared" si="7"/>
        <v>45930</v>
      </c>
      <c r="X37" s="319">
        <f t="shared" si="7"/>
        <v>45961</v>
      </c>
      <c r="Y37" s="319">
        <f t="shared" si="7"/>
        <v>45991</v>
      </c>
      <c r="Z37" s="319">
        <f t="shared" si="7"/>
        <v>46022</v>
      </c>
      <c r="AA37" s="319">
        <f t="shared" si="7"/>
        <v>46053</v>
      </c>
      <c r="AB37" s="319">
        <f t="shared" si="7"/>
        <v>46081</v>
      </c>
      <c r="AC37" s="319">
        <f t="shared" si="7"/>
        <v>46112</v>
      </c>
      <c r="AD37" s="319">
        <f t="shared" si="7"/>
        <v>46142</v>
      </c>
      <c r="AE37" s="319">
        <f t="shared" si="7"/>
        <v>46173</v>
      </c>
      <c r="AF37" s="319">
        <f t="shared" si="7"/>
        <v>46203</v>
      </c>
      <c r="AG37" s="319">
        <f t="shared" si="7"/>
        <v>46234</v>
      </c>
      <c r="AH37" s="319">
        <f t="shared" si="7"/>
        <v>46265</v>
      </c>
      <c r="AI37" s="319">
        <f t="shared" si="7"/>
        <v>46295</v>
      </c>
      <c r="AJ37" s="319">
        <f t="shared" si="7"/>
        <v>46326</v>
      </c>
      <c r="AK37" s="319">
        <f t="shared" si="7"/>
        <v>46356</v>
      </c>
      <c r="AL37" s="319">
        <f t="shared" si="7"/>
        <v>46387</v>
      </c>
    </row>
    <row r="38" spans="1:38" x14ac:dyDescent="0.2">
      <c r="A38" s="1">
        <v>1</v>
      </c>
      <c r="B38" s="83" t="s">
        <v>1647</v>
      </c>
      <c r="C38" s="5">
        <f>NG!C40</f>
        <v>1837847.84</v>
      </c>
      <c r="D38" s="5">
        <f>NG!D40</f>
        <v>3185380.35</v>
      </c>
      <c r="E38" s="5">
        <f>NG!E40</f>
        <v>4039975.55</v>
      </c>
      <c r="F38" s="5">
        <f>NG!F40</f>
        <v>7549221.71</v>
      </c>
      <c r="G38" s="5">
        <f>NG!G40</f>
        <v>8787327.3699999992</v>
      </c>
      <c r="H38" s="5">
        <f>NG!H40</f>
        <v>10500477.41</v>
      </c>
      <c r="I38" s="5">
        <f>NG!I40</f>
        <v>2674670.4</v>
      </c>
      <c r="J38" s="5">
        <f>NG!J40</f>
        <v>16325943.68</v>
      </c>
      <c r="K38" s="5">
        <f>NG!K40</f>
        <v>12198994.02</v>
      </c>
      <c r="L38" s="5">
        <f>NG!L40</f>
        <v>11905698.34</v>
      </c>
      <c r="M38" s="5">
        <f>NG!M40</f>
        <v>10640304.67</v>
      </c>
      <c r="N38" s="5">
        <f>NG!N40</f>
        <v>12348783.4</v>
      </c>
      <c r="O38" s="5">
        <f>NG!O40</f>
        <v>7059630.54</v>
      </c>
      <c r="P38" s="5">
        <f>NG!P40</f>
        <v>1094715.97</v>
      </c>
      <c r="Q38" s="5">
        <f>NG!Q40</f>
        <v>1946966.59</v>
      </c>
      <c r="R38" s="5">
        <f>NG!R40</f>
        <v>1819954</v>
      </c>
      <c r="S38" s="5">
        <f>NG!S40</f>
        <v>1234892.97</v>
      </c>
      <c r="T38" s="5">
        <f>NG!T40</f>
        <v>791656.54</v>
      </c>
      <c r="U38" s="5">
        <f>NG!U40</f>
        <v>1658214.51</v>
      </c>
      <c r="V38" s="5">
        <f>NG!V40</f>
        <v>21681058.780000001</v>
      </c>
      <c r="W38" s="5">
        <f>NG!W40</f>
        <v>3558623.41</v>
      </c>
      <c r="X38" s="5">
        <v>1397360.92</v>
      </c>
      <c r="Y38" s="5">
        <f>NG!Y40</f>
        <v>0</v>
      </c>
      <c r="Z38" s="5">
        <f>NG!Z40</f>
        <v>0</v>
      </c>
      <c r="AA38" s="5">
        <f>NG!AA40</f>
        <v>0</v>
      </c>
      <c r="AB38" s="5">
        <f>NG!AB40</f>
        <v>0</v>
      </c>
      <c r="AC38" s="5">
        <f>NG!AC40</f>
        <v>0</v>
      </c>
      <c r="AD38" s="5">
        <f>NG!AD40</f>
        <v>0</v>
      </c>
      <c r="AE38" s="5">
        <f>NG!AE40</f>
        <v>0</v>
      </c>
      <c r="AF38" s="5">
        <f>NG!AF40</f>
        <v>0</v>
      </c>
      <c r="AG38" s="5">
        <f>NG!AG40</f>
        <v>0</v>
      </c>
      <c r="AH38" s="5">
        <f>NG!AH40</f>
        <v>0</v>
      </c>
      <c r="AI38" s="5">
        <f>NG!AI40</f>
        <v>0</v>
      </c>
      <c r="AJ38" s="5">
        <f>NG!AJ40</f>
        <v>0</v>
      </c>
      <c r="AK38" s="5">
        <f>NG!AK40</f>
        <v>0</v>
      </c>
      <c r="AL38" s="5">
        <f>NG!AL40</f>
        <v>0</v>
      </c>
    </row>
    <row r="39" spans="1:38" x14ac:dyDescent="0.2">
      <c r="A39" s="1">
        <v>2</v>
      </c>
      <c r="B39" s="83" t="s">
        <v>1305</v>
      </c>
      <c r="C39" s="5">
        <f>NG!C41</f>
        <v>26844760</v>
      </c>
      <c r="D39" s="5">
        <f>NG!D41</f>
        <v>26844760</v>
      </c>
      <c r="E39" s="5">
        <f>NG!E41</f>
        <v>26844760</v>
      </c>
      <c r="F39" s="5">
        <f>NG!F41</f>
        <v>47095107.030000001</v>
      </c>
      <c r="G39" s="5">
        <f>NG!G41</f>
        <v>47095107.030000001</v>
      </c>
      <c r="H39" s="5">
        <f>NG!H41</f>
        <v>82631080.239999995</v>
      </c>
      <c r="I39" s="5">
        <f>NG!I41</f>
        <v>115075046.81999999</v>
      </c>
      <c r="J39" s="5">
        <f>NG!J41</f>
        <v>121410663.26000001</v>
      </c>
      <c r="K39" s="5">
        <f>NG!K41</f>
        <v>97992855.040000007</v>
      </c>
      <c r="L39" s="5">
        <f>NG!L41</f>
        <v>95065629.010000005</v>
      </c>
      <c r="M39" s="5">
        <f>NG!M41</f>
        <v>95065629.010000005</v>
      </c>
      <c r="N39" s="5">
        <f>NG!N41</f>
        <v>84088531.390000001</v>
      </c>
      <c r="O39" s="5">
        <f>NG!O41</f>
        <v>98724661.549999997</v>
      </c>
      <c r="P39" s="5">
        <f>NG!P41</f>
        <v>98724661.549999997</v>
      </c>
      <c r="Q39" s="5">
        <f>NG!Q41</f>
        <v>113414116.79000001</v>
      </c>
      <c r="R39" s="5">
        <f>NG!R41</f>
        <v>88704328.430000007</v>
      </c>
      <c r="S39" s="5">
        <f>NG!S41</f>
        <v>88704328.430000007</v>
      </c>
      <c r="T39" s="5">
        <f>NG!T41</f>
        <v>88704328.430000007</v>
      </c>
      <c r="U39" s="5">
        <f>NG!U41</f>
        <v>110333652.88</v>
      </c>
      <c r="V39" s="5">
        <f>NG!V41</f>
        <v>99955995.099999994</v>
      </c>
      <c r="W39" s="5">
        <f>NG!W41</f>
        <v>183672893</v>
      </c>
      <c r="X39" s="5">
        <v>125395480.95</v>
      </c>
      <c r="Y39" s="5">
        <f>NG!Y41</f>
        <v>175429977.78999999</v>
      </c>
      <c r="Z39" s="5">
        <f>NG!Z41</f>
        <v>137956142.15000001</v>
      </c>
      <c r="AA39" s="5">
        <f>NG!AA41</f>
        <v>179042269.69</v>
      </c>
      <c r="AB39" s="5">
        <f>NG!AB41</f>
        <v>127734225.27</v>
      </c>
      <c r="AC39" s="5">
        <f>NG!AC41</f>
        <v>0</v>
      </c>
      <c r="AD39" s="5">
        <f>NG!AD41</f>
        <v>0</v>
      </c>
      <c r="AE39" s="5">
        <f>NG!AE41</f>
        <v>0</v>
      </c>
      <c r="AF39" s="5">
        <f>NG!AF41</f>
        <v>0</v>
      </c>
      <c r="AG39" s="5">
        <f>NG!AG41</f>
        <v>0</v>
      </c>
      <c r="AH39" s="5">
        <f>NG!AH41</f>
        <v>0</v>
      </c>
      <c r="AI39" s="5">
        <f>NG!AI41</f>
        <v>0</v>
      </c>
      <c r="AJ39" s="5">
        <f>NG!AJ41</f>
        <v>0</v>
      </c>
      <c r="AK39" s="5">
        <f>NG!AK41</f>
        <v>0</v>
      </c>
      <c r="AL39" s="5">
        <f>NG!AL41</f>
        <v>0</v>
      </c>
    </row>
    <row r="40" spans="1:38" x14ac:dyDescent="0.2">
      <c r="A40" s="1">
        <v>3</v>
      </c>
      <c r="B40" s="83" t="s">
        <v>1306</v>
      </c>
      <c r="C40" s="5">
        <f>NG!C42</f>
        <v>27967144.059999999</v>
      </c>
      <c r="D40" s="5">
        <f>NG!D42</f>
        <v>53091001.32</v>
      </c>
      <c r="E40" s="5">
        <f>NG!E42</f>
        <v>48486368.579999998</v>
      </c>
      <c r="F40" s="5">
        <f>NG!F42</f>
        <v>45652376.759999998</v>
      </c>
      <c r="G40" s="5">
        <f>NG!G42</f>
        <v>92591447.530000001</v>
      </c>
      <c r="H40" s="5">
        <f>NG!H42</f>
        <v>70521449.579999998</v>
      </c>
      <c r="I40" s="5">
        <f>NG!I42</f>
        <v>83366194.459999993</v>
      </c>
      <c r="J40" s="5">
        <f>NG!J42</f>
        <v>68617372.650000006</v>
      </c>
      <c r="K40" s="5">
        <f>NG!K42</f>
        <v>57643328.359999999</v>
      </c>
      <c r="L40" s="5">
        <f>NG!L42</f>
        <v>58227840.219999999</v>
      </c>
      <c r="M40" s="5">
        <f>NG!M42</f>
        <v>84480505.120000005</v>
      </c>
      <c r="N40" s="5">
        <f>NG!N42</f>
        <v>46936587.329999998</v>
      </c>
      <c r="O40" s="5">
        <f>NG!O42</f>
        <v>73893399.170000002</v>
      </c>
      <c r="P40" s="5">
        <f>NG!P42</f>
        <v>79096781.730000004</v>
      </c>
      <c r="Q40" s="5">
        <f>NG!Q42</f>
        <v>66018139.600000001</v>
      </c>
      <c r="R40" s="5">
        <f>NG!R42</f>
        <v>63465656.549999997</v>
      </c>
      <c r="S40" s="5">
        <f>NG!S42</f>
        <v>28313965.399999999</v>
      </c>
      <c r="T40" s="5">
        <f>NG!T42</f>
        <v>13964537.460000001</v>
      </c>
      <c r="U40" s="5">
        <f>NG!U42</f>
        <v>17975951.960000001</v>
      </c>
      <c r="V40" s="5">
        <f>NG!V42</f>
        <v>26144649.329999998</v>
      </c>
      <c r="W40" s="5">
        <f>NG!W42</f>
        <v>21768153.18</v>
      </c>
      <c r="X40" s="5">
        <v>27375960.420000002</v>
      </c>
      <c r="Y40" s="5">
        <f>NG!Y42</f>
        <v>33992246.68</v>
      </c>
      <c r="Z40" s="5">
        <f>NG!Z42</f>
        <v>9825049.3599999994</v>
      </c>
      <c r="AA40" s="5">
        <f>NG!AA42</f>
        <v>16954228.170000002</v>
      </c>
      <c r="AB40" s="5">
        <f>NG!AB42</f>
        <v>38712399.630000003</v>
      </c>
      <c r="AC40" s="5">
        <f>NG!AC42</f>
        <v>0</v>
      </c>
      <c r="AD40" s="5">
        <f>NG!AD42</f>
        <v>0</v>
      </c>
      <c r="AE40" s="5">
        <f>NG!AE42</f>
        <v>0</v>
      </c>
      <c r="AF40" s="5">
        <f>NG!AF42</f>
        <v>0</v>
      </c>
      <c r="AG40" s="5">
        <f>NG!AG42</f>
        <v>0</v>
      </c>
      <c r="AH40" s="5">
        <f>NG!AH42</f>
        <v>0</v>
      </c>
      <c r="AI40" s="5">
        <f>NG!AI42</f>
        <v>0</v>
      </c>
      <c r="AJ40" s="5">
        <f>NG!AJ42</f>
        <v>0</v>
      </c>
      <c r="AK40" s="5">
        <f>NG!AK42</f>
        <v>0</v>
      </c>
      <c r="AL40" s="5">
        <f>NG!AL42</f>
        <v>0</v>
      </c>
    </row>
    <row r="41" spans="1:38" x14ac:dyDescent="0.2">
      <c r="A41" s="1">
        <v>4</v>
      </c>
      <c r="B41" s="83" t="s">
        <v>1307</v>
      </c>
      <c r="C41" s="5">
        <f>NG!C43</f>
        <v>318104.65000000002</v>
      </c>
      <c r="D41" s="5">
        <f>NG!D43</f>
        <v>282511.63</v>
      </c>
      <c r="E41" s="5">
        <f>NG!E43</f>
        <v>0</v>
      </c>
      <c r="F41" s="5">
        <f>NG!F43</f>
        <v>293333.33</v>
      </c>
      <c r="G41" s="5">
        <f>NG!G43</f>
        <v>963798.45</v>
      </c>
      <c r="H41" s="5">
        <f>NG!H43</f>
        <v>384775.19</v>
      </c>
      <c r="I41" s="5">
        <f>NG!I43</f>
        <v>386356.59</v>
      </c>
      <c r="J41" s="5">
        <f>NG!J43</f>
        <v>754217.05</v>
      </c>
      <c r="K41" s="5">
        <f>NG!K43</f>
        <v>525891.47</v>
      </c>
      <c r="L41" s="5">
        <f>NG!L43</f>
        <v>479379.84</v>
      </c>
      <c r="M41" s="5">
        <f>NG!M43</f>
        <v>293333.33</v>
      </c>
      <c r="N41" s="5">
        <f>NG!N43</f>
        <v>653600.77</v>
      </c>
      <c r="O41" s="5">
        <f>NG!O43</f>
        <v>570542.63</v>
      </c>
      <c r="P41" s="5">
        <f>NG!P43</f>
        <v>571612.4</v>
      </c>
      <c r="Q41" s="5">
        <f>NG!Q43</f>
        <v>1129756.77</v>
      </c>
      <c r="R41" s="5">
        <f>NG!R43</f>
        <v>279069.77</v>
      </c>
      <c r="S41" s="5">
        <f>NG!S43</f>
        <v>0</v>
      </c>
      <c r="T41" s="5">
        <f>NG!T43</f>
        <v>0</v>
      </c>
      <c r="U41" s="5">
        <f>NG!U43</f>
        <v>45720.93</v>
      </c>
      <c r="V41" s="5">
        <f>NG!V43</f>
        <v>0</v>
      </c>
      <c r="W41" s="5">
        <f>NG!W43</f>
        <v>-46511.63</v>
      </c>
      <c r="X41" s="5">
        <f>NG!X43</f>
        <v>0</v>
      </c>
      <c r="Y41" s="5">
        <f>NG!Y43</f>
        <v>0</v>
      </c>
      <c r="Z41" s="5">
        <f>NG!Z43</f>
        <v>0</v>
      </c>
      <c r="AA41" s="5">
        <f>NG!AA43</f>
        <v>0</v>
      </c>
      <c r="AB41" s="5">
        <f>NG!AB43</f>
        <v>0</v>
      </c>
      <c r="AC41" s="5">
        <f>NG!AC43</f>
        <v>0</v>
      </c>
      <c r="AD41" s="5">
        <f>NG!AD43</f>
        <v>0</v>
      </c>
      <c r="AE41" s="5">
        <f>NG!AE43</f>
        <v>0</v>
      </c>
      <c r="AF41" s="5">
        <f>NG!AF43</f>
        <v>0</v>
      </c>
      <c r="AG41" s="5">
        <f>NG!AG43</f>
        <v>0</v>
      </c>
      <c r="AH41" s="5">
        <f>NG!AH43</f>
        <v>0</v>
      </c>
      <c r="AI41" s="5">
        <f>NG!AI43</f>
        <v>0</v>
      </c>
      <c r="AJ41" s="5">
        <f>NG!AJ43</f>
        <v>0</v>
      </c>
      <c r="AK41" s="5">
        <f>NG!AK43</f>
        <v>0</v>
      </c>
      <c r="AL41" s="5">
        <f>NG!AL43</f>
        <v>0</v>
      </c>
    </row>
    <row r="42" spans="1:38" s="4" customFormat="1" x14ac:dyDescent="0.2">
      <c r="B42" s="98" t="s">
        <v>1282</v>
      </c>
      <c r="C42" s="269">
        <f t="shared" ref="C42:U42" si="8">SUM(C38:C41)</f>
        <v>56967856.549999997</v>
      </c>
      <c r="D42" s="269">
        <f t="shared" si="8"/>
        <v>83403653.299999997</v>
      </c>
      <c r="E42" s="269">
        <f t="shared" si="8"/>
        <v>79371104.129999995</v>
      </c>
      <c r="F42" s="269">
        <f t="shared" si="8"/>
        <v>100590038.83</v>
      </c>
      <c r="G42" s="269">
        <f t="shared" si="8"/>
        <v>149437680.38</v>
      </c>
      <c r="H42" s="269">
        <f t="shared" si="8"/>
        <v>164037782.41999999</v>
      </c>
      <c r="I42" s="269">
        <f t="shared" si="8"/>
        <v>201502268.27000001</v>
      </c>
      <c r="J42" s="269">
        <f t="shared" si="8"/>
        <v>207108196.64000002</v>
      </c>
      <c r="K42" s="269">
        <f t="shared" si="8"/>
        <v>168361068.89000002</v>
      </c>
      <c r="L42" s="269">
        <f t="shared" si="8"/>
        <v>165678547.41</v>
      </c>
      <c r="M42" s="269">
        <f t="shared" si="8"/>
        <v>190479772.13000003</v>
      </c>
      <c r="N42" s="269">
        <f t="shared" si="8"/>
        <v>144027502.89000002</v>
      </c>
      <c r="O42" s="269">
        <f t="shared" si="8"/>
        <v>180248233.88999999</v>
      </c>
      <c r="P42" s="269">
        <f t="shared" si="8"/>
        <v>179487771.65000001</v>
      </c>
      <c r="Q42" s="269">
        <f t="shared" si="8"/>
        <v>182508979.75000003</v>
      </c>
      <c r="R42" s="269">
        <f t="shared" si="8"/>
        <v>154269008.75000003</v>
      </c>
      <c r="S42" s="269">
        <f t="shared" si="8"/>
        <v>118253186.80000001</v>
      </c>
      <c r="T42" s="269">
        <f t="shared" si="8"/>
        <v>103460522.43000001</v>
      </c>
      <c r="U42" s="269">
        <f t="shared" si="8"/>
        <v>130013540.28</v>
      </c>
      <c r="V42" s="269">
        <f>SUM(V38:V41)</f>
        <v>147781703.20999998</v>
      </c>
      <c r="W42" s="269">
        <f t="shared" ref="W42:AL42" si="9">SUM(W38:W41)</f>
        <v>208953157.96000001</v>
      </c>
      <c r="X42" s="269">
        <f t="shared" si="9"/>
        <v>154168802.29000002</v>
      </c>
      <c r="Y42" s="269">
        <f t="shared" si="9"/>
        <v>209422224.47</v>
      </c>
      <c r="Z42" s="269">
        <f t="shared" si="9"/>
        <v>147781191.50999999</v>
      </c>
      <c r="AA42" s="269">
        <f t="shared" si="9"/>
        <v>195996497.86000001</v>
      </c>
      <c r="AB42" s="269">
        <f t="shared" si="9"/>
        <v>166446624.90000001</v>
      </c>
      <c r="AC42" s="269">
        <f t="shared" si="9"/>
        <v>0</v>
      </c>
      <c r="AD42" s="269">
        <f t="shared" si="9"/>
        <v>0</v>
      </c>
      <c r="AE42" s="269">
        <f t="shared" si="9"/>
        <v>0</v>
      </c>
      <c r="AF42" s="269">
        <f t="shared" si="9"/>
        <v>0</v>
      </c>
      <c r="AG42" s="269">
        <f t="shared" si="9"/>
        <v>0</v>
      </c>
      <c r="AH42" s="269">
        <f t="shared" si="9"/>
        <v>0</v>
      </c>
      <c r="AI42" s="269">
        <f t="shared" si="9"/>
        <v>0</v>
      </c>
      <c r="AJ42" s="269">
        <f t="shared" si="9"/>
        <v>0</v>
      </c>
      <c r="AK42" s="269">
        <f t="shared" si="9"/>
        <v>0</v>
      </c>
      <c r="AL42" s="269">
        <f t="shared" si="9"/>
        <v>0</v>
      </c>
    </row>
    <row r="43" spans="1:38" s="4" customFormat="1" x14ac:dyDescent="0.2">
      <c r="B43" s="4" t="s">
        <v>1247</v>
      </c>
      <c r="C43" s="269">
        <f t="shared" ref="C43:T43" si="10">C34</f>
        <v>198458851.53039998</v>
      </c>
      <c r="D43" s="269">
        <f t="shared" si="10"/>
        <v>557747556.11120009</v>
      </c>
      <c r="E43" s="269">
        <f t="shared" si="10"/>
        <v>563558600.55479991</v>
      </c>
      <c r="F43" s="269">
        <f t="shared" si="10"/>
        <v>567821277.97939992</v>
      </c>
      <c r="G43" s="269">
        <f t="shared" si="10"/>
        <v>232355194.85520002</v>
      </c>
      <c r="H43" s="269">
        <f t="shared" si="10"/>
        <v>243812620.20249999</v>
      </c>
      <c r="I43" s="269">
        <f t="shared" si="10"/>
        <v>220934822.17699999</v>
      </c>
      <c r="J43" s="269">
        <f t="shared" si="10"/>
        <v>360128986.87559998</v>
      </c>
      <c r="K43" s="269">
        <f t="shared" si="10"/>
        <v>151276413.42930001</v>
      </c>
      <c r="L43" s="269">
        <f t="shared" si="10"/>
        <v>195367783.9454</v>
      </c>
      <c r="M43" s="269">
        <f t="shared" si="10"/>
        <v>246514846.71299997</v>
      </c>
      <c r="N43" s="269">
        <f t="shared" si="10"/>
        <v>602776316.38279998</v>
      </c>
      <c r="O43" s="269">
        <f t="shared" si="10"/>
        <v>236526831.52999997</v>
      </c>
      <c r="P43" s="269">
        <f t="shared" si="10"/>
        <v>216400238.41400206</v>
      </c>
      <c r="Q43" s="269">
        <f t="shared" si="10"/>
        <v>234139423.53999999</v>
      </c>
      <c r="R43" s="269">
        <f t="shared" si="10"/>
        <v>244541406.82879999</v>
      </c>
      <c r="S43" s="269">
        <f t="shared" si="10"/>
        <v>176826740.36700001</v>
      </c>
      <c r="T43" s="269">
        <f t="shared" si="10"/>
        <v>120193718.7437</v>
      </c>
      <c r="U43" s="269">
        <f>U34</f>
        <v>212140768.91240001</v>
      </c>
      <c r="V43" s="269">
        <f>V34</f>
        <v>194501100.78670001</v>
      </c>
      <c r="W43" s="269">
        <f t="shared" ref="W43:AL43" si="11">W34</f>
        <v>407253602.74650007</v>
      </c>
      <c r="X43" s="269">
        <f t="shared" si="11"/>
        <v>744361804.21100008</v>
      </c>
      <c r="Y43" s="269">
        <f t="shared" si="11"/>
        <v>324738202.97210002</v>
      </c>
      <c r="Z43" s="269">
        <f t="shared" si="11"/>
        <v>313228466.65750003</v>
      </c>
      <c r="AA43" s="269">
        <f t="shared" si="11"/>
        <v>713982643.47080004</v>
      </c>
      <c r="AB43" s="269">
        <f t="shared" si="11"/>
        <v>761797531.6056</v>
      </c>
      <c r="AC43" s="269">
        <f t="shared" si="11"/>
        <v>1914331.477</v>
      </c>
      <c r="AD43" s="269">
        <f t="shared" si="11"/>
        <v>1615921.9569999999</v>
      </c>
      <c r="AE43" s="269">
        <f t="shared" si="11"/>
        <v>0</v>
      </c>
      <c r="AF43" s="269">
        <f t="shared" si="11"/>
        <v>0</v>
      </c>
      <c r="AG43" s="269">
        <f t="shared" si="11"/>
        <v>0</v>
      </c>
      <c r="AH43" s="269">
        <f t="shared" si="11"/>
        <v>0</v>
      </c>
      <c r="AI43" s="269">
        <f t="shared" si="11"/>
        <v>0</v>
      </c>
      <c r="AJ43" s="269">
        <f t="shared" si="11"/>
        <v>0</v>
      </c>
      <c r="AK43" s="269">
        <f t="shared" si="11"/>
        <v>0</v>
      </c>
      <c r="AL43" s="269">
        <f t="shared" si="11"/>
        <v>0</v>
      </c>
    </row>
    <row r="44" spans="1:38" s="270" customFormat="1" x14ac:dyDescent="0.2">
      <c r="B44" s="270" t="s">
        <v>1277</v>
      </c>
      <c r="C44" s="271">
        <f>C42/C43</f>
        <v>0.28705122553464762</v>
      </c>
      <c r="D44" s="271">
        <f t="shared" ref="D44:U44" si="12">D42/D43</f>
        <v>0.1495365643222496</v>
      </c>
      <c r="E44" s="271">
        <f t="shared" si="12"/>
        <v>0.14083913199419271</v>
      </c>
      <c r="F44" s="271">
        <f t="shared" si="12"/>
        <v>0.17715087956539965</v>
      </c>
      <c r="G44" s="271">
        <f t="shared" si="12"/>
        <v>0.64314327240726044</v>
      </c>
      <c r="H44" s="271">
        <f t="shared" si="12"/>
        <v>0.67280267232991242</v>
      </c>
      <c r="I44" s="271">
        <f t="shared" si="12"/>
        <v>0.91204395162555341</v>
      </c>
      <c r="J44" s="271">
        <f t="shared" si="12"/>
        <v>0.57509449166207161</v>
      </c>
      <c r="K44" s="271">
        <f t="shared" si="12"/>
        <v>1.1129366771290135</v>
      </c>
      <c r="L44" s="271">
        <f t="shared" si="12"/>
        <v>0.84803412345764573</v>
      </c>
      <c r="M44" s="271">
        <f t="shared" si="12"/>
        <v>0.77269087306438111</v>
      </c>
      <c r="N44" s="271">
        <f t="shared" si="12"/>
        <v>0.23894021542567326</v>
      </c>
      <c r="O44" s="271">
        <f t="shared" si="12"/>
        <v>0.76206252256475238</v>
      </c>
      <c r="P44" s="271">
        <f t="shared" si="12"/>
        <v>0.82942501803817947</v>
      </c>
      <c r="Q44" s="271">
        <f t="shared" si="12"/>
        <v>0.7794884645678668</v>
      </c>
      <c r="R44" s="271">
        <f t="shared" si="12"/>
        <v>0.63085025456650623</v>
      </c>
      <c r="S44" s="271">
        <f t="shared" si="12"/>
        <v>0.66875172021249796</v>
      </c>
      <c r="T44" s="271">
        <f t="shared" si="12"/>
        <v>0.86078144108860044</v>
      </c>
      <c r="U44" s="271">
        <f t="shared" si="12"/>
        <v>0.61286447176821035</v>
      </c>
      <c r="V44" s="271">
        <f t="shared" ref="V44:AL44" si="13">V42/V43</f>
        <v>0.75979880120095078</v>
      </c>
      <c r="W44" s="271">
        <f t="shared" si="13"/>
        <v>0.51307872183531156</v>
      </c>
      <c r="X44" s="271">
        <f t="shared" si="13"/>
        <v>0.20711541271709133</v>
      </c>
      <c r="Y44" s="271">
        <f t="shared" si="13"/>
        <v>0.64489555757008543</v>
      </c>
      <c r="Z44" s="271">
        <f t="shared" si="13"/>
        <v>0.47180000300416974</v>
      </c>
      <c r="AA44" s="271">
        <f t="shared" si="13"/>
        <v>0.27451157202817317</v>
      </c>
      <c r="AB44" s="271">
        <f t="shared" si="13"/>
        <v>0.21849194568691938</v>
      </c>
      <c r="AC44" s="271">
        <f t="shared" si="13"/>
        <v>0</v>
      </c>
      <c r="AD44" s="271">
        <f t="shared" si="13"/>
        <v>0</v>
      </c>
      <c r="AE44" s="271" t="e">
        <f t="shared" si="13"/>
        <v>#DIV/0!</v>
      </c>
      <c r="AF44" s="271" t="e">
        <f t="shared" si="13"/>
        <v>#DIV/0!</v>
      </c>
      <c r="AG44" s="271" t="e">
        <f t="shared" si="13"/>
        <v>#DIV/0!</v>
      </c>
      <c r="AH44" s="271" t="e">
        <f t="shared" si="13"/>
        <v>#DIV/0!</v>
      </c>
      <c r="AI44" s="271" t="e">
        <f t="shared" si="13"/>
        <v>#DIV/0!</v>
      </c>
      <c r="AJ44" s="271" t="e">
        <f t="shared" si="13"/>
        <v>#DIV/0!</v>
      </c>
      <c r="AK44" s="271" t="e">
        <f t="shared" si="13"/>
        <v>#DIV/0!</v>
      </c>
      <c r="AL44" s="271" t="e">
        <f t="shared" si="13"/>
        <v>#DIV/0!</v>
      </c>
    </row>
    <row r="46" spans="1:38" s="83" customFormat="1" ht="13" x14ac:dyDescent="0.2">
      <c r="B46" s="120" t="s">
        <v>1648</v>
      </c>
      <c r="C46" s="120">
        <f>NG!C48++C31</f>
        <v>66352388.364600003</v>
      </c>
      <c r="D46" s="120">
        <f>NG!D48++D31</f>
        <v>411977411.69559997</v>
      </c>
      <c r="E46" s="120">
        <f>NG!E48++E31</f>
        <v>205798502.96020001</v>
      </c>
      <c r="F46" s="120">
        <f>NG!F48++F31</f>
        <v>244376939.59999999</v>
      </c>
      <c r="G46" s="120">
        <f>NG!G48++G31</f>
        <v>18245040.600000001</v>
      </c>
      <c r="H46" s="120">
        <f>NG!H48++H31</f>
        <v>10500477.412700001</v>
      </c>
      <c r="I46" s="120">
        <f>NG!I48++I31</f>
        <v>580358.16</v>
      </c>
      <c r="J46" s="120">
        <f>NG!J48++J31</f>
        <v>16031937.4812</v>
      </c>
      <c r="K46" s="120">
        <f>NG!K48++K31</f>
        <v>-38821254.6237</v>
      </c>
      <c r="L46" s="120">
        <f>NG!L48++L31</f>
        <v>11640950.8333</v>
      </c>
      <c r="M46" s="120">
        <f>NG!M48++M31</f>
        <v>53975819.215999998</v>
      </c>
      <c r="N46" s="120">
        <f>NG!N48++N31</f>
        <v>17761267.3904</v>
      </c>
      <c r="O46" s="120">
        <f>NG!O48++O31</f>
        <v>29161834.526000001</v>
      </c>
      <c r="P46" s="120">
        <f>NG!P48++P31</f>
        <v>1094715.9699998235</v>
      </c>
      <c r="Q46" s="120">
        <f>NG!Q48++Q31</f>
        <v>1946314.4720000001</v>
      </c>
      <c r="R46" s="120">
        <f>NG!R48++R31</f>
        <v>1841188.8288</v>
      </c>
      <c r="S46" s="120">
        <f>NG!S48++S31</f>
        <v>1244205.8255</v>
      </c>
      <c r="T46" s="120">
        <f>NG!T48++T31</f>
        <v>805197.7919999999</v>
      </c>
      <c r="U46" s="120">
        <f>NG!U48++U31</f>
        <v>1658214.5134000001</v>
      </c>
      <c r="V46" s="120">
        <f>NG!V48++V31</f>
        <v>2470636.7238000003</v>
      </c>
      <c r="W46" s="120">
        <f>NG!W48++W31</f>
        <v>3450384.1255000001</v>
      </c>
      <c r="X46" s="120">
        <f>NG!X48++X31</f>
        <v>1156443.585</v>
      </c>
      <c r="Y46" s="120">
        <f>NG!Y48++Y31</f>
        <v>1967128.0204</v>
      </c>
      <c r="Z46" s="120">
        <f>NG!Z48++Z31</f>
        <v>36550703.424999997</v>
      </c>
      <c r="AA46" s="120">
        <f>NG!AA48++AA31</f>
        <v>939347.7402</v>
      </c>
      <c r="AB46" s="120">
        <f>NG!AB48++AB31</f>
        <v>2137312.4904</v>
      </c>
      <c r="AC46" s="120">
        <f>NG!AC48++AC31</f>
        <v>1815047.3659999999</v>
      </c>
      <c r="AD46" s="120">
        <f>NG!AD48++AD31</f>
        <v>1515171.476</v>
      </c>
      <c r="AE46" s="120">
        <f>NG!AE48++AE31</f>
        <v>0</v>
      </c>
      <c r="AF46" s="120">
        <f>NG!AF48++AF31</f>
        <v>0</v>
      </c>
      <c r="AG46" s="120">
        <f>NG!AG48++AG31</f>
        <v>0</v>
      </c>
      <c r="AH46" s="120">
        <f>NG!AH48++AH31</f>
        <v>0</v>
      </c>
    </row>
    <row r="47" spans="1:38" s="83" customFormat="1" ht="13" x14ac:dyDescent="0.2">
      <c r="B47" s="120" t="s">
        <v>1280</v>
      </c>
      <c r="C47" s="120">
        <f>NG!C49</f>
        <v>60200431.149999999</v>
      </c>
      <c r="D47" s="120">
        <f>NG!D49</f>
        <v>91870381.489999995</v>
      </c>
      <c r="E47" s="120">
        <f>NG!E49</f>
        <v>299729712</v>
      </c>
      <c r="F47" s="120">
        <f>NG!F49</f>
        <v>266675379.68000001</v>
      </c>
      <c r="G47" s="120">
        <f>NG!G49</f>
        <v>47095107.030000001</v>
      </c>
      <c r="H47" s="120">
        <f>NG!H49</f>
        <v>156139970.80000001</v>
      </c>
      <c r="I47" s="120">
        <f>NG!I49</f>
        <v>148519491.08000001</v>
      </c>
      <c r="J47" s="120">
        <f>NG!J49</f>
        <v>249160466.31999999</v>
      </c>
      <c r="K47" s="120">
        <f>NG!K49</f>
        <v>116403366.84999999</v>
      </c>
      <c r="L47" s="120">
        <f>NG!L49</f>
        <v>104367954.59</v>
      </c>
      <c r="M47" s="120">
        <f>NG!M49</f>
        <v>95065629</v>
      </c>
      <c r="N47" s="120">
        <f>NG!N49</f>
        <v>111033812</v>
      </c>
      <c r="O47" s="120">
        <f>NG!O49</f>
        <v>98724662</v>
      </c>
      <c r="P47" s="120">
        <f>NG!P49</f>
        <v>98724662</v>
      </c>
      <c r="Q47" s="120">
        <f>NG!Q49</f>
        <v>113414117</v>
      </c>
      <c r="R47" s="120">
        <f>NG!R49</f>
        <v>88704328</v>
      </c>
      <c r="S47" s="120">
        <f>NG!S49</f>
        <v>88704328</v>
      </c>
      <c r="T47" s="120">
        <f>NG!T49</f>
        <v>88704328</v>
      </c>
      <c r="U47" s="120">
        <f>NG!U49</f>
        <v>134860881</v>
      </c>
      <c r="V47" s="120">
        <f>NG!V49</f>
        <v>140719105</v>
      </c>
      <c r="W47" s="120">
        <f>NG!W49</f>
        <v>202219658</v>
      </c>
      <c r="X47" s="120">
        <f>NG!X49</f>
        <v>246785080</v>
      </c>
      <c r="Y47" s="120">
        <f>NG!Y49</f>
        <v>212631179</v>
      </c>
      <c r="Z47" s="120">
        <f>NG!Z49</f>
        <v>182135224</v>
      </c>
      <c r="AA47" s="120">
        <f>NG!AA49</f>
        <v>202954326.79000002</v>
      </c>
      <c r="AB47" s="120">
        <f>NG!AB49</f>
        <v>161490325.11000001</v>
      </c>
      <c r="AC47" s="120">
        <f>NG!AC49</f>
        <v>0</v>
      </c>
      <c r="AD47" s="120">
        <f>NG!AD49</f>
        <v>0</v>
      </c>
      <c r="AE47" s="120">
        <f>NG!AE49</f>
        <v>0</v>
      </c>
      <c r="AF47" s="120">
        <f>NG!AF49</f>
        <v>0</v>
      </c>
      <c r="AG47" s="120">
        <f>NG!AG49</f>
        <v>0</v>
      </c>
      <c r="AH47" s="120">
        <f>NG!AH49</f>
        <v>0</v>
      </c>
    </row>
    <row r="48" spans="1:38" s="83" customFormat="1" ht="13" x14ac:dyDescent="0.2">
      <c r="B48" s="120" t="s">
        <v>1281</v>
      </c>
      <c r="C48" s="120">
        <f>NG!C50+C30+C32</f>
        <v>71587927.365799993</v>
      </c>
      <c r="D48" s="120">
        <f>NG!D50+D30+D32</f>
        <v>53617251.295599997</v>
      </c>
      <c r="E48" s="120">
        <f>NG!E50+E30+E32</f>
        <v>58030382.594600007</v>
      </c>
      <c r="F48" s="120">
        <f>NG!F50+F30+F32</f>
        <v>56475630.369400002</v>
      </c>
      <c r="G48" s="120">
        <f>NG!G50+G30+G32</f>
        <v>166051248.77520001</v>
      </c>
      <c r="H48" s="120">
        <f>NG!H50+H30+H32</f>
        <v>76787402.799800009</v>
      </c>
      <c r="I48" s="120">
        <f>NG!I50+I30+I32</f>
        <v>71448616.347000003</v>
      </c>
      <c r="J48" s="120">
        <f>NG!J50+J30+J32</f>
        <v>94182366.024399996</v>
      </c>
      <c r="K48" s="120">
        <f>NG!K50+K30+K32</f>
        <v>73168409.732999995</v>
      </c>
      <c r="L48" s="120">
        <f>NG!L50+L30+L32</f>
        <v>78879498.682099998</v>
      </c>
      <c r="M48" s="120">
        <f>NG!M50+M30+M32</f>
        <v>97180065.037</v>
      </c>
      <c r="N48" s="120">
        <f>NG!N50+N30+N32</f>
        <v>473290427.00239998</v>
      </c>
      <c r="O48" s="120">
        <f>NG!O50+O30+O32</f>
        <v>108069793.2471</v>
      </c>
      <c r="P48" s="120">
        <f>NG!P50+P30+P32</f>
        <v>115692248.65400225</v>
      </c>
      <c r="Q48" s="120">
        <f>NG!Q50+Q30+Q32</f>
        <v>110672491.23</v>
      </c>
      <c r="R48" s="120">
        <f>NG!R50+R30+R32</f>
        <v>144786587</v>
      </c>
      <c r="S48" s="120">
        <f>NG!S50+S30+S32</f>
        <v>71901462.541500002</v>
      </c>
      <c r="T48" s="120">
        <f>NG!T50+T30+T32</f>
        <v>30684191.951699998</v>
      </c>
      <c r="U48" s="120">
        <f>NG!U50+U30+U32</f>
        <v>61064323.869000003</v>
      </c>
      <c r="V48" s="120">
        <f>NG!V50+V30+V32</f>
        <v>50908001.329999998</v>
      </c>
      <c r="W48" s="120">
        <f>NG!W50+W30+W32</f>
        <v>200622163.4375</v>
      </c>
      <c r="X48" s="120">
        <f>NG!X50+X30+X32</f>
        <v>496256714.58499998</v>
      </c>
      <c r="Y48" s="120">
        <f>NG!Y50+Y30+Y32</f>
        <v>109696886</v>
      </c>
      <c r="Z48" s="120">
        <f>NG!Z50+Z30+Z32</f>
        <v>94147253</v>
      </c>
      <c r="AA48" s="120">
        <f>NG!AA50+AA30+AA32</f>
        <v>509148230.66000003</v>
      </c>
      <c r="AB48" s="120">
        <f>NG!AB50+AB30+AB32</f>
        <v>598070565.36000001</v>
      </c>
      <c r="AC48" s="120">
        <f>NG!AC50+AC30+AC32</f>
        <v>0</v>
      </c>
      <c r="AD48" s="120">
        <f>NG!AD50+AD30+AD32</f>
        <v>0</v>
      </c>
      <c r="AE48" s="120">
        <f>NG!AE50+AE30+AE32</f>
        <v>0</v>
      </c>
      <c r="AF48" s="120">
        <f>NG!AF50+AF30+AF32</f>
        <v>0</v>
      </c>
      <c r="AG48" s="120">
        <f>NG!AG50+AG30+AG32</f>
        <v>0</v>
      </c>
      <c r="AH48" s="120">
        <f>NG!AH50+AH30+AH32</f>
        <v>0</v>
      </c>
      <c r="AI48" s="120">
        <f>NG!AI50+AI30+AI31+AI32</f>
        <v>0</v>
      </c>
      <c r="AJ48" s="120">
        <f>NG!AJ50+AJ30+AJ31+AJ32</f>
        <v>0</v>
      </c>
      <c r="AK48" s="120">
        <f>NG!AK50+AK30+AK31+AK32</f>
        <v>0</v>
      </c>
      <c r="AL48" s="120">
        <f>NG!AL50+AL30+AL31+AL32</f>
        <v>0</v>
      </c>
    </row>
    <row r="49" spans="2:38" s="83" customFormat="1" ht="13" x14ac:dyDescent="0.2">
      <c r="B49" s="120" t="s">
        <v>75</v>
      </c>
      <c r="C49" s="120">
        <f>NG!C51</f>
        <v>318104.65000000002</v>
      </c>
      <c r="D49" s="120">
        <f>NG!D51</f>
        <v>282511.63</v>
      </c>
      <c r="E49" s="120">
        <f>NG!E51</f>
        <v>0</v>
      </c>
      <c r="F49" s="120">
        <f>NG!F51</f>
        <v>293333.33</v>
      </c>
      <c r="G49" s="120">
        <f>NG!G51</f>
        <v>963798.45</v>
      </c>
      <c r="H49" s="120">
        <f>NG!H51</f>
        <v>384775.19</v>
      </c>
      <c r="I49" s="120">
        <f>NG!I51</f>
        <v>386356.59</v>
      </c>
      <c r="J49" s="120">
        <f>NG!J51</f>
        <v>754217.05</v>
      </c>
      <c r="K49" s="120">
        <f>NG!K51</f>
        <v>525891.47</v>
      </c>
      <c r="L49" s="120">
        <f>NG!L51</f>
        <v>479379.84</v>
      </c>
      <c r="M49" s="120">
        <f>NG!M51</f>
        <v>293333</v>
      </c>
      <c r="N49" s="120">
        <f>NG!N51</f>
        <v>690810</v>
      </c>
      <c r="O49" s="120">
        <f>NG!O51</f>
        <v>570543</v>
      </c>
      <c r="P49" s="120">
        <f>NG!P51</f>
        <v>888612</v>
      </c>
      <c r="Q49" s="120">
        <f>NG!Q51</f>
        <v>8106501</v>
      </c>
      <c r="R49" s="120">
        <f>NG!R51</f>
        <v>9209302</v>
      </c>
      <c r="S49" s="120">
        <f>NG!S51</f>
        <v>14976744</v>
      </c>
      <c r="T49" s="120">
        <f>NG!T51</f>
        <v>0</v>
      </c>
      <c r="U49" s="120">
        <f>NG!U51</f>
        <v>14557349</v>
      </c>
      <c r="V49" s="120">
        <f>NG!V51</f>
        <v>0</v>
      </c>
      <c r="W49" s="120">
        <f>NG!W51</f>
        <v>790698</v>
      </c>
      <c r="X49" s="120">
        <f>NG!X51</f>
        <v>0</v>
      </c>
      <c r="Y49" s="120">
        <f>NG!Y51</f>
        <v>279070</v>
      </c>
      <c r="Z49" s="120">
        <f>NG!Z51</f>
        <v>289070</v>
      </c>
      <c r="AA49" s="120">
        <f>NG!AA51</f>
        <v>837209.3</v>
      </c>
      <c r="AB49" s="120">
        <f>NG!AB51</f>
        <v>0</v>
      </c>
      <c r="AC49" s="120">
        <f>NG!AC51</f>
        <v>0</v>
      </c>
      <c r="AD49" s="120">
        <f>NG!AD51</f>
        <v>0</v>
      </c>
      <c r="AE49" s="120">
        <f>NG!AE51</f>
        <v>0</v>
      </c>
      <c r="AF49" s="120">
        <f>NG!AF51</f>
        <v>0</v>
      </c>
      <c r="AG49" s="120">
        <f>NG!AG51</f>
        <v>0</v>
      </c>
      <c r="AH49" s="120">
        <f>NG!AH51</f>
        <v>0</v>
      </c>
    </row>
    <row r="50" spans="2:38" s="83" customFormat="1" ht="13" x14ac:dyDescent="0.2">
      <c r="B50" s="120" t="s">
        <v>1439</v>
      </c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>
        <f>V33</f>
        <v>403356.97289999999</v>
      </c>
      <c r="W50" s="120">
        <f>W33</f>
        <v>170699.59350000002</v>
      </c>
      <c r="X50" s="120">
        <f>X33+X26</f>
        <v>163565.81099999999</v>
      </c>
      <c r="Y50" s="120">
        <f>Y33+Y26</f>
        <v>163940.14170000001</v>
      </c>
      <c r="Z50" s="120">
        <f>Z33+Z26</f>
        <v>106216.7825</v>
      </c>
      <c r="AA50" s="120">
        <f t="shared" ref="AA50:AB50" si="14">AA33+AA26</f>
        <v>103528.98060000001</v>
      </c>
      <c r="AB50" s="120">
        <f t="shared" si="14"/>
        <v>99328.645200000014</v>
      </c>
    </row>
    <row r="51" spans="2:38" s="98" customFormat="1" ht="13" x14ac:dyDescent="0.2">
      <c r="B51" s="121" t="s">
        <v>1286</v>
      </c>
      <c r="C51" s="121">
        <f t="shared" ref="C51:T51" si="15">SUM(C46:C50)</f>
        <v>198458851.53040001</v>
      </c>
      <c r="D51" s="121">
        <f t="shared" si="15"/>
        <v>557747556.11119998</v>
      </c>
      <c r="E51" s="121">
        <f t="shared" si="15"/>
        <v>563558597.55480003</v>
      </c>
      <c r="F51" s="121">
        <f t="shared" si="15"/>
        <v>567821282.97940004</v>
      </c>
      <c r="G51" s="121">
        <f t="shared" si="15"/>
        <v>232355194.85519999</v>
      </c>
      <c r="H51" s="121">
        <f t="shared" si="15"/>
        <v>243812626.20250002</v>
      </c>
      <c r="I51" s="121">
        <f t="shared" si="15"/>
        <v>220934822.17700002</v>
      </c>
      <c r="J51" s="121">
        <f t="shared" si="15"/>
        <v>360128986.87560004</v>
      </c>
      <c r="K51" s="121">
        <f t="shared" si="15"/>
        <v>151276413.42929998</v>
      </c>
      <c r="L51" s="121">
        <f t="shared" si="15"/>
        <v>195367783.9454</v>
      </c>
      <c r="M51" s="121">
        <f t="shared" si="15"/>
        <v>246514846.25299999</v>
      </c>
      <c r="N51" s="121">
        <f t="shared" si="15"/>
        <v>602776316.39279997</v>
      </c>
      <c r="O51" s="121">
        <f t="shared" si="15"/>
        <v>236526832.77309999</v>
      </c>
      <c r="P51" s="121">
        <f t="shared" si="15"/>
        <v>216400238.62400207</v>
      </c>
      <c r="Q51" s="121">
        <f t="shared" si="15"/>
        <v>234139423.70200002</v>
      </c>
      <c r="R51" s="121">
        <f t="shared" si="15"/>
        <v>244541405.82879999</v>
      </c>
      <c r="S51" s="121">
        <f t="shared" si="15"/>
        <v>176826740.36699998</v>
      </c>
      <c r="T51" s="121">
        <f t="shared" si="15"/>
        <v>120193717.7437</v>
      </c>
      <c r="U51" s="121">
        <f t="shared" ref="U51:AB51" si="16">SUM(U46:U50)</f>
        <v>212140768.38239998</v>
      </c>
      <c r="V51" s="121">
        <f t="shared" si="16"/>
        <v>194501100.02669999</v>
      </c>
      <c r="W51" s="121">
        <f t="shared" si="16"/>
        <v>407253603.15649998</v>
      </c>
      <c r="X51" s="121">
        <f t="shared" si="16"/>
        <v>744361803.98099995</v>
      </c>
      <c r="Y51" s="121">
        <f t="shared" si="16"/>
        <v>324738203.16210002</v>
      </c>
      <c r="Z51" s="121">
        <f t="shared" si="16"/>
        <v>313228467.20750004</v>
      </c>
      <c r="AA51" s="121">
        <f t="shared" si="16"/>
        <v>713982643.47080004</v>
      </c>
      <c r="AB51" s="121">
        <f t="shared" si="16"/>
        <v>761797531.6056</v>
      </c>
    </row>
    <row r="52" spans="2:38" s="83" customFormat="1" ht="13" x14ac:dyDescent="0.2"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</row>
    <row r="53" spans="2:38" x14ac:dyDescent="0.2">
      <c r="C53" s="7">
        <f>C34-C51</f>
        <v>0</v>
      </c>
      <c r="D53" s="7">
        <f t="shared" ref="D53:AL53" si="17">D34-D51</f>
        <v>0</v>
      </c>
      <c r="E53" s="7">
        <f t="shared" si="17"/>
        <v>2.9999998807907104</v>
      </c>
      <c r="F53" s="7">
        <f t="shared" si="17"/>
        <v>-5.0000001192092896</v>
      </c>
      <c r="G53" s="7">
        <f t="shared" si="17"/>
        <v>0</v>
      </c>
      <c r="H53" s="7">
        <f t="shared" si="17"/>
        <v>-6.0000000298023224</v>
      </c>
      <c r="I53" s="7">
        <f t="shared" si="17"/>
        <v>0</v>
      </c>
      <c r="J53" s="7">
        <f t="shared" si="17"/>
        <v>0</v>
      </c>
      <c r="K53" s="7">
        <f t="shared" si="17"/>
        <v>0</v>
      </c>
      <c r="L53" s="7">
        <f t="shared" si="17"/>
        <v>0</v>
      </c>
      <c r="M53" s="7">
        <f t="shared" si="17"/>
        <v>0.45999997854232788</v>
      </c>
      <c r="N53" s="7">
        <f t="shared" si="17"/>
        <v>-9.9999904632568359E-3</v>
      </c>
      <c r="O53" s="7">
        <f>O34-O51</f>
        <v>-1.2431000173091888</v>
      </c>
      <c r="P53" s="7">
        <f t="shared" si="17"/>
        <v>-0.21000000834465027</v>
      </c>
      <c r="Q53" s="7">
        <f t="shared" si="17"/>
        <v>-0.16200003027915955</v>
      </c>
      <c r="R53" s="7">
        <f t="shared" si="17"/>
        <v>1</v>
      </c>
      <c r="S53" s="7">
        <f t="shared" si="17"/>
        <v>0</v>
      </c>
      <c r="T53" s="7">
        <f t="shared" si="17"/>
        <v>1</v>
      </c>
      <c r="U53" s="7">
        <f>U34-U51</f>
        <v>0.53000003099441528</v>
      </c>
      <c r="V53" s="7">
        <f t="shared" si="17"/>
        <v>0.76000002026557922</v>
      </c>
      <c r="W53" s="7">
        <f t="shared" si="17"/>
        <v>-0.40999990701675415</v>
      </c>
      <c r="X53" s="7">
        <f>X34-X51</f>
        <v>0.23000013828277588</v>
      </c>
      <c r="Y53" s="7">
        <f t="shared" si="17"/>
        <v>-0.18999999761581421</v>
      </c>
      <c r="Z53" s="7">
        <f t="shared" si="17"/>
        <v>-0.55000001192092896</v>
      </c>
      <c r="AA53" s="7">
        <f>AA34-AA51</f>
        <v>0</v>
      </c>
      <c r="AB53" s="7">
        <f t="shared" si="17"/>
        <v>0</v>
      </c>
      <c r="AC53" s="7">
        <f t="shared" si="17"/>
        <v>1914331.477</v>
      </c>
      <c r="AD53" s="7">
        <f t="shared" si="17"/>
        <v>1615921.9569999999</v>
      </c>
      <c r="AE53" s="7">
        <f t="shared" si="17"/>
        <v>0</v>
      </c>
      <c r="AF53" s="7">
        <f t="shared" si="17"/>
        <v>0</v>
      </c>
      <c r="AG53" s="7">
        <f t="shared" si="17"/>
        <v>0</v>
      </c>
      <c r="AH53" s="7">
        <f t="shared" si="17"/>
        <v>0</v>
      </c>
      <c r="AI53" s="7">
        <f t="shared" si="17"/>
        <v>0</v>
      </c>
      <c r="AJ53" s="7">
        <f t="shared" si="17"/>
        <v>0</v>
      </c>
      <c r="AK53" s="7">
        <f t="shared" si="17"/>
        <v>0</v>
      </c>
      <c r="AL53" s="7">
        <f t="shared" si="17"/>
        <v>0</v>
      </c>
    </row>
    <row r="56" spans="2:38" x14ac:dyDescent="0.2"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</row>
    <row r="58" spans="2:38" x14ac:dyDescent="0.2">
      <c r="B58" s="1" t="s">
        <v>31</v>
      </c>
      <c r="C58" s="3">
        <f>IF(C$3&lt;=Summary!$C$2,(_xlfn.XLOOKUP(Group!$B58,BS_NG!$C:$C,BS_NG!D:D)+_xlfn.XLOOKUP(Group!$B58,BS_UK!$C:$C,BS_UK!D:D)+_xlfn.XLOOKUP(Group!$B58,BS_UAE!$C:$C,BS_UAE!D:D)),0)</f>
        <v>123424486.38330001</v>
      </c>
      <c r="D58" s="3">
        <f>IF(D$3&lt;=Summary!$C$2,(_xlfn.XLOOKUP(Group!$B58,BS_NG!$C:$C,BS_NG!E:E)+_xlfn.XLOOKUP(Group!$B58,BS_UK!$C:$C,BS_UK!E:E)+_xlfn.XLOOKUP(Group!$B58,BS_UAE!$C:$C,BS_UAE!E:E)),0)</f>
        <v>102866394.06016</v>
      </c>
      <c r="E58" s="3">
        <f>IF(E$3&lt;=Summary!$C$2,(_xlfn.XLOOKUP(Group!$B58,BS_NG!$C:$C,BS_NG!F:F)+_xlfn.XLOOKUP(Group!$B58,BS_UK!$C:$C,BS_UK!F:F)+_xlfn.XLOOKUP(Group!$B58,BS_UAE!$C:$C,BS_UAE!F:F)),0)</f>
        <v>7090477304.0926208</v>
      </c>
      <c r="F58" s="3">
        <f>IF(F$3&lt;=Summary!$C$2,(_xlfn.XLOOKUP(Group!$B58,BS_NG!$C:$C,BS_NG!G:G)+_xlfn.XLOOKUP(Group!$B58,BS_UK!$C:$C,BS_UK!G:G)+_xlfn.XLOOKUP(Group!$B58,BS_UAE!$C:$C,BS_UAE!G:G)),0)</f>
        <v>6213879764.5709591</v>
      </c>
      <c r="G58" s="3">
        <f>IF(G$3&lt;=Summary!$C$2,(_xlfn.XLOOKUP(Group!$B58,BS_NG!$C:$C,BS_NG!H:H)+_xlfn.XLOOKUP(Group!$B58,BS_UK!$C:$C,BS_UK!H:H)+_xlfn.XLOOKUP(Group!$B58,BS_UAE!$C:$C,BS_UAE!H:H)),0)</f>
        <v>6040974114.9117193</v>
      </c>
      <c r="H58" s="3">
        <f>IF(H$3&lt;=Summary!$C$2,(_xlfn.XLOOKUP(Group!$B58,BS_NG!$C:$C,BS_NG!I:I)+_xlfn.XLOOKUP(Group!$B58,BS_UK!$C:$C,BS_UK!I:I)+_xlfn.XLOOKUP(Group!$B58,BS_UAE!$C:$C,BS_UAE!I:I)),0)</f>
        <v>7589964050.9984102</v>
      </c>
      <c r="I58" s="3">
        <f>IF(I$3&lt;=Summary!$C$2,(_xlfn.XLOOKUP(Group!$B58,BS_NG!$C:$C,BS_NG!J:J)+_xlfn.XLOOKUP(Group!$B58,BS_UK!$C:$C,BS_UK!J:J)+_xlfn.XLOOKUP(Group!$B58,BS_UAE!$C:$C,BS_UAE!J:J)),0)</f>
        <v>7224881473.4306393</v>
      </c>
      <c r="J58" s="3">
        <f>IF(J$3&lt;=Summary!$C$2,(_xlfn.XLOOKUP(Group!$B58,BS_NG!$C:$C,BS_NG!K:K)+_xlfn.XLOOKUP(Group!$B58,BS_UK!$C:$C,BS_UK!K:K)+_xlfn.XLOOKUP(Group!$B58,BS_UAE!$C:$C,BS_UAE!K:K)),0)</f>
        <v>7239360958.3644695</v>
      </c>
      <c r="K58" s="3">
        <f>IF(K$3&lt;=Summary!$C$2,(_xlfn.XLOOKUP(Group!$B58,BS_NG!$C:$C,BS_NG!L:L)+_xlfn.XLOOKUP(Group!$B58,BS_UK!$C:$C,BS_UK!L:L)+_xlfn.XLOOKUP(Group!$B58,BS_UAE!$C:$C,BS_UAE!L:L)),0)</f>
        <v>7266648441.6236305</v>
      </c>
      <c r="L58" s="3">
        <f>IF(L$3&lt;=Summary!$C$2,(_xlfn.XLOOKUP(Group!$B58,BS_NG!$C:$C,BS_NG!M:M)+_xlfn.XLOOKUP(Group!$B58,BS_UK!$C:$C,BS_UK!M:M)+_xlfn.XLOOKUP(Group!$B58,BS_UAE!$C:$C,BS_UAE!M:M)),0)</f>
        <v>6666703712.3094597</v>
      </c>
      <c r="M58" s="3">
        <f>IF(M$3&lt;=Summary!$C$2,(_xlfn.XLOOKUP(Group!$B58,BS_NG!$C:$C,BS_NG!N:N)+_xlfn.XLOOKUP(Group!$B58,BS_UK!$C:$C,BS_UK!N:N)+_xlfn.XLOOKUP(Group!$B58,BS_UAE!$C:$C,BS_UAE!N:N)),0)</f>
        <v>6761972407.9003</v>
      </c>
      <c r="N58" s="3">
        <f>IF(N$3&lt;=Summary!$C$2,(_xlfn.XLOOKUP(Group!$B58,BS_NG!$C:$C,BS_NG!O:O)+_xlfn.XLOOKUP(Group!$B58,BS_UK!$C:$C,BS_UK!O:O)+_xlfn.XLOOKUP(Group!$B58,BS_UAE!$C:$C,BS_UAE!O:O)),0)</f>
        <v>5941797687.5825605</v>
      </c>
      <c r="O58" s="3">
        <f>IF(O$3&lt;=Summary!$C$2,(_xlfn.XLOOKUP(Group!$B58,BS_NG!$C:$C,BS_NG!P:P)+_xlfn.XLOOKUP(Group!$B58,BS_UK!$C:$C,BS_UK!P:P)+_xlfn.XLOOKUP(Group!$B58,BS_UAE!$C:$C,BS_UAE!P:P)),0)</f>
        <v>5626959842.4322996</v>
      </c>
      <c r="P58" s="3">
        <f>IF(P$3&lt;=Summary!$C$2,(_xlfn.XLOOKUP(Group!$B58,BS_NG!$C:$C,BS_NG!Q:Q)+_xlfn.XLOOKUP(Group!$B58,BS_UK!$C:$C,BS_UK!Q:Q)+_xlfn.XLOOKUP(Group!$B58,BS_UAE!$C:$C,BS_UAE!Q:Q)),0)</f>
        <v>5091366862.0925598</v>
      </c>
      <c r="Q58" s="3">
        <f>IF(Q$3&lt;=Summary!$C$2,(_xlfn.XLOOKUP(Group!$B58,BS_NG!$C:$C,BS_NG!R:R)+_xlfn.XLOOKUP(Group!$B58,BS_UK!$C:$C,BS_UK!R:R)+_xlfn.XLOOKUP(Group!$B58,BS_UAE!$C:$C,BS_UAE!R:R)),0)</f>
        <v>5791810032.1218395</v>
      </c>
      <c r="R58" s="3">
        <f>IF(R$3&lt;=Summary!$C$2,(_xlfn.XLOOKUP(Group!$B58,BS_NG!$C:$C,BS_NG!S:S)+_xlfn.XLOOKUP(Group!$B58,BS_UK!$C:$C,BS_UK!S:S)+_xlfn.XLOOKUP(Group!$B58,BS_UAE!$C:$C,BS_UAE!S:S)),0)</f>
        <v>5240337112.1951103</v>
      </c>
      <c r="S58" s="3">
        <f>IF(S$3&lt;=Summary!$C$2,(_xlfn.XLOOKUP(Group!$B58,BS_NG!$C:$C,BS_NG!T:T)+_xlfn.XLOOKUP(Group!$B58,BS_UK!$C:$C,BS_UK!T:T)+_xlfn.XLOOKUP(Group!$B58,BS_UAE!$C:$C,BS_UAE!T:T)),0)</f>
        <v>4376486447.3378105</v>
      </c>
      <c r="T58" s="3">
        <f>IF(T$3&lt;=Summary!$C$2,(_xlfn.XLOOKUP(Group!$B58,BS_NG!$C:$C,BS_NG!U:U)+_xlfn.XLOOKUP(Group!$B58,BS_UK!$C:$C,BS_UK!U:U)+_xlfn.XLOOKUP(Group!$B58,BS_UAE!$C:$C,BS_UAE!U:U)),0)</f>
        <v>4466469935.4012394</v>
      </c>
      <c r="U58" s="3">
        <f>IF(U$3&lt;=Summary!$C$2,(_xlfn.XLOOKUP(Group!$B58,BS_NG!$C:$C,BS_NG!V:V)+_xlfn.XLOOKUP(Group!$B58,BS_UK!$C:$C,BS_UK!V:V)+_xlfn.XLOOKUP(Group!$B58,BS_UAE!$C:$C,BS_UAE!V:V)),0)</f>
        <v>4062201342.65136</v>
      </c>
      <c r="V58" s="3">
        <f>IF(V$3&lt;=Summary!$C$2,(_xlfn.XLOOKUP(Group!$B58,BS_NG!$C:$C,BS_NG!W:W)+_xlfn.XLOOKUP(Group!$B58,BS_UK!$C:$C,BS_UK!W:W)+_xlfn.XLOOKUP(Group!$B58,BS_UAE!$C:$C,BS_UAE!W:W)),0)</f>
        <v>4031331367.0303202</v>
      </c>
      <c r="W58" s="3">
        <f>IF(W$3&lt;=Summary!$C$2,(_xlfn.XLOOKUP(Group!$B58,BS_NG!$C:$C,BS_NG!X:X)+_xlfn.XLOOKUP(Group!$B58,BS_UK!$C:$C,BS_UK!X:X)+_xlfn.XLOOKUP(Group!$B58,BS_UAE!$C:$C,BS_UAE!X:X)),0)</f>
        <v>3493768653.7586603</v>
      </c>
      <c r="X58" s="3">
        <f>IF(X$3&lt;=Summary!$C$2,(_xlfn.XLOOKUP(Group!$B58,BS_NG!$C:$C,BS_NG!Y:Y)+_xlfn.XLOOKUP(Group!$B58,BS_UK!$C:$C,BS_UK!Y:Y)+_xlfn.XLOOKUP(Group!$B58,BS_UAE!$C:$C,BS_UAE!Y:Y)),0)</f>
        <v>3406259686.5449996</v>
      </c>
      <c r="Y58" s="3">
        <f>IF(Y$3&lt;=Summary!$C$2,(_xlfn.XLOOKUP(Group!$B58,BS_NG!$C:$C,BS_NG!Z:Z)+_xlfn.XLOOKUP(Group!$B58,BS_UK!$C:$C,BS_UK!Z:Z)+_xlfn.XLOOKUP(Group!$B58,BS_UAE!$C:$C,BS_UAE!Z:Z)),0)</f>
        <v>3058995516.3390007</v>
      </c>
      <c r="Z58" s="3">
        <f>IF(Z$3&lt;=Summary!$C$2,(_xlfn.XLOOKUP(Group!$B58,BS_NG!$C:$C,BS_NG!AA:AA)+_xlfn.XLOOKUP(Group!$B58,BS_UK!$C:$C,BS_UK!AA:AA)+_xlfn.XLOOKUP(Group!$B58,BS_UAE!$C:$C,BS_UAE!AA:AA)),0)</f>
        <v>2489375193.7731996</v>
      </c>
      <c r="AA58" s="3">
        <f>IF(AA$3&lt;=Summary!$C$2,(_xlfn.XLOOKUP(Group!$B58,BS_NG!$C:$C,BS_NG!AB:AB)+_xlfn.XLOOKUP(Group!$B58,BS_UK!$C:$C,BS_UK!AB:AB)+_xlfn.XLOOKUP(Group!$B58,BS_UAE!$C:$C,BS_UAE!AB:AB)),0)</f>
        <v>2487501698.092</v>
      </c>
      <c r="AB58" s="3">
        <f>IF(AB$3&lt;=Summary!$C$2,(_xlfn.XLOOKUP(Group!$B58,BS_NG!$C:$C,BS_NG!AC:AC)+_xlfn.XLOOKUP(Group!$B58,BS_UK!$C:$C,BS_UK!AC:AC)+_xlfn.XLOOKUP(Group!$B58,BS_UAE!$C:$C,BS_UAE!AC:AC)),0)</f>
        <v>2606361240.3893499</v>
      </c>
      <c r="AC58" s="3">
        <f>IF(AC$3&lt;=Summary!$C$2,(_xlfn.XLOOKUP(Group!$B58,BS_NG!$C:$C,BS_NG!AD:AD)+_xlfn.XLOOKUP(Group!$B58,BS_UK!$C:$C,BS_UK!AD:AD)+_xlfn.XLOOKUP(Group!$B58,BS_UAE!$C:$C,BS_UAE!AD:AD)),0)</f>
        <v>2793661332.6149898</v>
      </c>
      <c r="AD58" s="3">
        <f>IF(AD$3&lt;=Summary!$C$2,(_xlfn.XLOOKUP(Group!$B58,BS_NG!$C:$C,BS_NG!AE:AE)+_xlfn.XLOOKUP(Group!$B58,BS_UK!$C:$C,BS_UK!AE:AE)+_xlfn.XLOOKUP(Group!$B58,BS_UAE!$C:$C,BS_UAE!AE:AE)),0)</f>
        <v>2643338374.9083204</v>
      </c>
      <c r="AE58" s="3">
        <f>IF(AE$3&lt;=Summary!$C$2,(_xlfn.XLOOKUP(Group!$B58,BS_NG!$C:$C,BS_NG!AF:AF)+_xlfn.XLOOKUP(Group!$B58,BS_UK!$C:$C,BS_UK!AF:AF)+_xlfn.XLOOKUP(Group!$B58,BS_UAE!$C:$C,BS_UAE!AF:AF)),0)</f>
        <v>0</v>
      </c>
      <c r="AF58" s="3">
        <f>IF(AF$3&lt;=Summary!$C$2,(_xlfn.XLOOKUP(Group!$B58,BS_NG!$C:$C,BS_NG!AG:AG)+_xlfn.XLOOKUP(Group!$B58,BS_UK!$C:$C,BS_UK!AG:AG)+_xlfn.XLOOKUP(Group!$B58,BS_UAE!$C:$C,BS_UAE!AG:AG)),0)</f>
        <v>0</v>
      </c>
      <c r="AG58" s="3">
        <f>IF(AG$3&lt;=Summary!$C$2,(_xlfn.XLOOKUP(Group!$B58,BS_NG!$C:$C,BS_NG!AH:AH)+_xlfn.XLOOKUP(Group!$B58,BS_UK!$C:$C,BS_UK!AH:AH)+_xlfn.XLOOKUP(Group!$B58,BS_UAE!$C:$C,BS_UAE!AH:AH)),0)</f>
        <v>0</v>
      </c>
      <c r="AH58" s="3">
        <f>IF(AH$3&lt;=Summary!$C$2,(_xlfn.XLOOKUP(Group!$B58,BS_NG!$C:$C,BS_NG!AI:AI)+_xlfn.XLOOKUP(Group!$B58,BS_UK!$C:$C,BS_UK!AI:AI)+_xlfn.XLOOKUP(Group!$B58,BS_UAE!$C:$C,BS_UAE!AI:AI)),0)</f>
        <v>0</v>
      </c>
      <c r="AI58" s="3">
        <f>IF(AI$3&lt;=Summary!$C$2,(_xlfn.XLOOKUP(Group!$B58,BS_NG!$C:$C,BS_NG!AJ:AJ)+_xlfn.XLOOKUP(Group!$B58,BS_UK!$C:$C,BS_UK!AJ:AJ)+_xlfn.XLOOKUP(Group!$B58,BS_UAE!$C:$C,BS_UAE!AJ:AJ)),0)</f>
        <v>0</v>
      </c>
      <c r="AJ58" s="3">
        <f>IF(AJ$3&lt;=Summary!$C$2,(_xlfn.XLOOKUP(Group!$B58,BS_NG!$C:$C,BS_NG!AK:AK)+_xlfn.XLOOKUP(Group!$B58,BS_UK!$C:$C,BS_UK!AK:AK)+_xlfn.XLOOKUP(Group!$B58,BS_UAE!$C:$C,BS_UAE!AK:AK)),0)</f>
        <v>0</v>
      </c>
      <c r="AK58" s="3">
        <f>IF(AK$3&lt;=Summary!$C$2,(_xlfn.XLOOKUP(Group!$B58,BS_NG!$C:$C,BS_NG!AL:AL)+_xlfn.XLOOKUP(Group!$B58,BS_UK!$C:$C,BS_UK!AL:AL)+_xlfn.XLOOKUP(Group!$B58,BS_UAE!$C:$C,BS_UAE!AL:AL)),0)</f>
        <v>0</v>
      </c>
      <c r="AL58" s="3">
        <f>IF(AL$3&lt;=Summary!$C$2,(_xlfn.XLOOKUP(Group!$B58,BS_NG!$C:$C,BS_NG!AM:AM)+_xlfn.XLOOKUP(Group!$B58,BS_UK!$C:$C,BS_UK!AM:AM)+_xlfn.XLOOKUP(Group!$B58,BS_UAE!$C:$C,BS_UAE!AM:AM)),0)</f>
        <v>0</v>
      </c>
    </row>
    <row r="59" spans="2:38" x14ac:dyDescent="0.2">
      <c r="B59" s="1" t="s">
        <v>32</v>
      </c>
      <c r="C59" s="3">
        <f>IF(C$3&lt;=Summary!$C$2,(_xlfn.XLOOKUP(Group!$B59,BS_NG!$C:$C,BS_NG!D:D)+_xlfn.XLOOKUP(Group!$B59,BS_UK!$C:$C,BS_UK!D:D)+_xlfn.XLOOKUP(Group!$B59,BS_UAE!$C:$C,BS_UAE!D:D)),0)</f>
        <v>156264272.31999999</v>
      </c>
      <c r="D59" s="3">
        <f>IF(D$3&lt;=Summary!$C$2,(_xlfn.XLOOKUP(Group!$B59,BS_NG!$C:$C,BS_NG!E:E)+_xlfn.XLOOKUP(Group!$B59,BS_UK!$C:$C,BS_UK!E:E)+_xlfn.XLOOKUP(Group!$B59,BS_UAE!$C:$C,BS_UAE!E:E)),0)</f>
        <v>564863684.07000005</v>
      </c>
      <c r="E59" s="3">
        <f>IF(E$3&lt;=Summary!$C$2,(_xlfn.XLOOKUP(Group!$B59,BS_NG!$C:$C,BS_NG!F:F)+_xlfn.XLOOKUP(Group!$B59,BS_UK!$C:$C,BS_UK!F:F)+_xlfn.XLOOKUP(Group!$B59,BS_UAE!$C:$C,BS_UAE!F:F)),0)</f>
        <v>855022952.01999998</v>
      </c>
      <c r="F59" s="3">
        <f>IF(F$3&lt;=Summary!$C$2,(_xlfn.XLOOKUP(Group!$B59,BS_NG!$C:$C,BS_NG!G:G)+_xlfn.XLOOKUP(Group!$B59,BS_UK!$C:$C,BS_UK!G:G)+_xlfn.XLOOKUP(Group!$B59,BS_UAE!$C:$C,BS_UAE!G:G)),0)</f>
        <v>879146321.15289998</v>
      </c>
      <c r="G59" s="3">
        <f>IF(G$3&lt;=Summary!$C$2,(_xlfn.XLOOKUP(Group!$B59,BS_NG!$C:$C,BS_NG!H:H)+_xlfn.XLOOKUP(Group!$B59,BS_UK!$C:$C,BS_UK!H:H)+_xlfn.XLOOKUP(Group!$B59,BS_UAE!$C:$C,BS_UAE!H:H)),0)</f>
        <v>709442456.86660004</v>
      </c>
      <c r="H59" s="3">
        <f>IF(H$3&lt;=Summary!$C$2,(_xlfn.XLOOKUP(Group!$B59,BS_NG!$C:$C,BS_NG!I:I)+_xlfn.XLOOKUP(Group!$B59,BS_UK!$C:$C,BS_UK!I:I)+_xlfn.XLOOKUP(Group!$B59,BS_UAE!$C:$C,BS_UAE!I:I)),0)</f>
        <v>672058074.37620008</v>
      </c>
      <c r="I59" s="3">
        <f>IF(I$3&lt;=Summary!$C$2,(_xlfn.XLOOKUP(Group!$B59,BS_NG!$C:$C,BS_NG!J:J)+_xlfn.XLOOKUP(Group!$B59,BS_UK!$C:$C,BS_UK!J:J)+_xlfn.XLOOKUP(Group!$B59,BS_UAE!$C:$C,BS_UAE!J:J)),0)</f>
        <v>694953833.05700004</v>
      </c>
      <c r="J59" s="3">
        <f>IF(J$3&lt;=Summary!$C$2,(_xlfn.XLOOKUP(Group!$B59,BS_NG!$C:$C,BS_NG!K:K)+_xlfn.XLOOKUP(Group!$B59,BS_UK!$C:$C,BS_UK!K:K)+_xlfn.XLOOKUP(Group!$B59,BS_UAE!$C:$C,BS_UAE!K:K)),0)</f>
        <v>536423502.03119999</v>
      </c>
      <c r="K59" s="3">
        <f>IF(K$3&lt;=Summary!$C$2,(_xlfn.XLOOKUP(Group!$B59,BS_NG!$C:$C,BS_NG!L:L)+_xlfn.XLOOKUP(Group!$B59,BS_UK!$C:$C,BS_UK!L:L)+_xlfn.XLOOKUP(Group!$B59,BS_UAE!$C:$C,BS_UAE!L:L)),0)</f>
        <v>417253330.16030002</v>
      </c>
      <c r="L59" s="3">
        <f>IF(L$3&lt;=Summary!$C$2,(_xlfn.XLOOKUP(Group!$B59,BS_NG!$C:$C,BS_NG!M:M)+_xlfn.XLOOKUP(Group!$B59,BS_UK!$C:$C,BS_UK!M:M)+_xlfn.XLOOKUP(Group!$B59,BS_UAE!$C:$C,BS_UAE!M:M)),0)</f>
        <v>282997672.44069999</v>
      </c>
      <c r="M59" s="3">
        <f>IF(M$3&lt;=Summary!$C$2,(_xlfn.XLOOKUP(Group!$B59,BS_NG!$C:$C,BS_NG!N:N)+_xlfn.XLOOKUP(Group!$B59,BS_UK!$C:$C,BS_UK!N:N)+_xlfn.XLOOKUP(Group!$B59,BS_UAE!$C:$C,BS_UAE!N:N)),0)</f>
        <v>256925867.89050001</v>
      </c>
      <c r="N59" s="3">
        <f>IF(N$3&lt;=Summary!$C$2,(_xlfn.XLOOKUP(Group!$B59,BS_NG!$C:$C,BS_NG!O:O)+_xlfn.XLOOKUP(Group!$B59,BS_UK!$C:$C,BS_UK!O:O)+_xlfn.XLOOKUP(Group!$B59,BS_UAE!$C:$C,BS_UAE!O:O)),0)</f>
        <v>1327508744.3348</v>
      </c>
      <c r="O59" s="3">
        <f>IF(O$3&lt;=Summary!$C$2,(_xlfn.XLOOKUP(Group!$B59,BS_NG!$C:$C,BS_NG!P:P)+_xlfn.XLOOKUP(Group!$B59,BS_UK!$C:$C,BS_UK!P:P)+_xlfn.XLOOKUP(Group!$B59,BS_UAE!$C:$C,BS_UAE!P:P)),0)</f>
        <v>1274185522.8176</v>
      </c>
      <c r="P59" s="3">
        <f>IF(P$3&lt;=Summary!$C$2,(_xlfn.XLOOKUP(Group!$B59,BS_NG!$C:$C,BS_NG!Q:Q)+_xlfn.XLOOKUP(Group!$B59,BS_UK!$C:$C,BS_UK!Q:Q)+_xlfn.XLOOKUP(Group!$B59,BS_UAE!$C:$C,BS_UAE!Q:Q)),0)</f>
        <v>1306353057.0109999</v>
      </c>
      <c r="Q59" s="3">
        <f>IF(Q$3&lt;=Summary!$C$2,(_xlfn.XLOOKUP(Group!$B59,BS_NG!$C:$C,BS_NG!R:R)+_xlfn.XLOOKUP(Group!$B59,BS_UK!$C:$C,BS_UK!R:R)+_xlfn.XLOOKUP(Group!$B59,BS_UAE!$C:$C,BS_UAE!R:R)),0)</f>
        <v>542165407.80649996</v>
      </c>
      <c r="R59" s="3">
        <f>IF(R$3&lt;=Summary!$C$2,(_xlfn.XLOOKUP(Group!$B59,BS_NG!$C:$C,BS_NG!S:S)+_xlfn.XLOOKUP(Group!$B59,BS_UK!$C:$C,BS_UK!S:S)+_xlfn.XLOOKUP(Group!$B59,BS_UAE!$C:$C,BS_UAE!S:S)),0)</f>
        <v>466324121.0043</v>
      </c>
      <c r="S59" s="3">
        <f>IF(S$3&lt;=Summary!$C$2,(_xlfn.XLOOKUP(Group!$B59,BS_NG!$C:$C,BS_NG!T:T)+_xlfn.XLOOKUP(Group!$B59,BS_UK!$C:$C,BS_UK!T:T)+_xlfn.XLOOKUP(Group!$B59,BS_UAE!$C:$C,BS_UAE!T:T)),0)</f>
        <v>515736634.097</v>
      </c>
      <c r="T59" s="3">
        <f>IF(T$3&lt;=Summary!$C$2,(_xlfn.XLOOKUP(Group!$B59,BS_NG!$C:$C,BS_NG!U:U)+_xlfn.XLOOKUP(Group!$B59,BS_UK!$C:$C,BS_UK!U:U)+_xlfn.XLOOKUP(Group!$B59,BS_UAE!$C:$C,BS_UAE!U:U)),0)</f>
        <v>107768719.3532</v>
      </c>
      <c r="U59" s="3">
        <f>IF(U$3&lt;=Summary!$C$2,(_xlfn.XLOOKUP(Group!$B59,BS_NG!$C:$C,BS_NG!V:V)+_xlfn.XLOOKUP(Group!$B59,BS_UK!$C:$C,BS_UK!V:V)+_xlfn.XLOOKUP(Group!$B59,BS_UAE!$C:$C,BS_UAE!V:V)),0)</f>
        <v>109583307.41929999</v>
      </c>
      <c r="V59" s="3">
        <f>IF(V$3&lt;=Summary!$C$2,(_xlfn.XLOOKUP(Group!$B59,BS_NG!$C:$C,BS_NG!W:W)+_xlfn.XLOOKUP(Group!$B59,BS_UK!$C:$C,BS_UK!W:W)+_xlfn.XLOOKUP(Group!$B59,BS_UAE!$C:$C,BS_UAE!W:W)),0)</f>
        <v>158860088.24919999</v>
      </c>
      <c r="W59" s="3">
        <f>IF(W$3&lt;=Summary!$C$2,(_xlfn.XLOOKUP(Group!$B59,BS_NG!$C:$C,BS_NG!X:X)+_xlfn.XLOOKUP(Group!$B59,BS_UK!$C:$C,BS_UK!X:X)+_xlfn.XLOOKUP(Group!$B59,BS_UAE!$C:$C,BS_UAE!X:X)),0)</f>
        <v>170921883.97440001</v>
      </c>
      <c r="X59" s="3">
        <f>IF(X$3&lt;=Summary!$C$2,(_xlfn.XLOOKUP(Group!$B59,BS_NG!$C:$C,BS_NG!Y:Y)+_xlfn.XLOOKUP(Group!$B59,BS_UK!$C:$C,BS_UK!Y:Y)+_xlfn.XLOOKUP(Group!$B59,BS_UAE!$C:$C,BS_UAE!Y:Y)),0)</f>
        <v>198897809.97299999</v>
      </c>
      <c r="Y59" s="3">
        <f>IF(Y$3&lt;=Summary!$C$2,(_xlfn.XLOOKUP(Group!$B59,BS_NG!$C:$C,BS_NG!Z:Z)+_xlfn.XLOOKUP(Group!$B59,BS_UK!$C:$C,BS_UK!Z:Z)+_xlfn.XLOOKUP(Group!$B59,BS_UAE!$C:$C,BS_UAE!Z:Z)),0)</f>
        <v>196662155.4427</v>
      </c>
      <c r="Z59" s="3">
        <f>IF(Z$3&lt;=Summary!$C$2,(_xlfn.XLOOKUP(Group!$B59,BS_NG!$C:$C,BS_NG!AA:AA)+_xlfn.XLOOKUP(Group!$B59,BS_UK!$C:$C,BS_UK!AA:AA)+_xlfn.XLOOKUP(Group!$B59,BS_UAE!$C:$C,BS_UAE!AA:AA)),0)</f>
        <v>238772588.51249999</v>
      </c>
      <c r="AA59" s="3">
        <f>IF(AA$3&lt;=Summary!$C$2,(_xlfn.XLOOKUP(Group!$B59,BS_NG!$C:$C,BS_NG!AB:AB)+_xlfn.XLOOKUP(Group!$B59,BS_UK!$C:$C,BS_UK!AB:AB)+_xlfn.XLOOKUP(Group!$B59,BS_UAE!$C:$C,BS_UAE!AB:AB)),0)</f>
        <v>491930703.36940002</v>
      </c>
      <c r="AB59" s="3">
        <f>IF(AB$3&lt;=Summary!$C$2,(_xlfn.XLOOKUP(Group!$B59,BS_NG!$C:$C,BS_NG!AC:AC)+_xlfn.XLOOKUP(Group!$B59,BS_UK!$C:$C,BS_UK!AC:AC)+_xlfn.XLOOKUP(Group!$B59,BS_UAE!$C:$C,BS_UAE!AC:AC)),0)</f>
        <v>761286223.98200011</v>
      </c>
      <c r="AC59" s="3">
        <f>IF(AC$3&lt;=Summary!$C$2,(_xlfn.XLOOKUP(Group!$B59,BS_NG!$C:$C,BS_NG!AD:AD)+_xlfn.XLOOKUP(Group!$B59,BS_UK!$C:$C,BS_UK!AD:AD)+_xlfn.XLOOKUP(Group!$B59,BS_UAE!$C:$C,BS_UAE!AD:AD)),0)</f>
        <v>722400775.93199992</v>
      </c>
      <c r="AD59" s="3">
        <f>IF(AD$3&lt;=Summary!$C$2,(_xlfn.XLOOKUP(Group!$B59,BS_NG!$C:$C,BS_NG!AE:AE)+_xlfn.XLOOKUP(Group!$B59,BS_UK!$C:$C,BS_UK!AE:AE)+_xlfn.XLOOKUP(Group!$B59,BS_UAE!$C:$C,BS_UAE!AE:AE)),0)</f>
        <v>594221942.35000002</v>
      </c>
      <c r="AE59" s="3">
        <f>IF(AE$3&lt;=Summary!$C$2,(_xlfn.XLOOKUP(Group!$B59,BS_NG!$C:$C,BS_NG!AF:AF)+_xlfn.XLOOKUP(Group!$B59,BS_UK!$C:$C,BS_UK!AF:AF)+_xlfn.XLOOKUP(Group!$B59,BS_UAE!$C:$C,BS_UAE!AF:AF)),0)</f>
        <v>0</v>
      </c>
      <c r="AF59" s="3">
        <f>IF(AF$3&lt;=Summary!$C$2,(_xlfn.XLOOKUP(Group!$B59,BS_NG!$C:$C,BS_NG!AG:AG)+_xlfn.XLOOKUP(Group!$B59,BS_UK!$C:$C,BS_UK!AG:AG)+_xlfn.XLOOKUP(Group!$B59,BS_UAE!$C:$C,BS_UAE!AG:AG)),0)</f>
        <v>0</v>
      </c>
      <c r="AG59" s="3">
        <f>IF(AG$3&lt;=Summary!$C$2,(_xlfn.XLOOKUP(Group!$B59,BS_NG!$C:$C,BS_NG!AH:AH)+_xlfn.XLOOKUP(Group!$B59,BS_UK!$C:$C,BS_UK!AH:AH)+_xlfn.XLOOKUP(Group!$B59,BS_UAE!$C:$C,BS_UAE!AH:AH)),0)</f>
        <v>0</v>
      </c>
      <c r="AH59" s="3">
        <f>IF(AH$3&lt;=Summary!$C$2,(_xlfn.XLOOKUP(Group!$B59,BS_NG!$C:$C,BS_NG!AI:AI)+_xlfn.XLOOKUP(Group!$B59,BS_UK!$C:$C,BS_UK!AI:AI)+_xlfn.XLOOKUP(Group!$B59,BS_UAE!$C:$C,BS_UAE!AI:AI)),0)</f>
        <v>0</v>
      </c>
      <c r="AI59" s="3">
        <f>IF(AI$3&lt;=Summary!$C$2,(_xlfn.XLOOKUP(Group!$B59,BS_NG!$C:$C,BS_NG!AJ:AJ)+_xlfn.XLOOKUP(Group!$B59,BS_UK!$C:$C,BS_UK!AJ:AJ)+_xlfn.XLOOKUP(Group!$B59,BS_UAE!$C:$C,BS_UAE!AJ:AJ)),0)</f>
        <v>0</v>
      </c>
      <c r="AJ59" s="3">
        <f>IF(AJ$3&lt;=Summary!$C$2,(_xlfn.XLOOKUP(Group!$B59,BS_NG!$C:$C,BS_NG!AK:AK)+_xlfn.XLOOKUP(Group!$B59,BS_UK!$C:$C,BS_UK!AK:AK)+_xlfn.XLOOKUP(Group!$B59,BS_UAE!$C:$C,BS_UAE!AK:AK)),0)</f>
        <v>0</v>
      </c>
      <c r="AK59" s="3">
        <f>IF(AK$3&lt;=Summary!$C$2,(_xlfn.XLOOKUP(Group!$B59,BS_NG!$C:$C,BS_NG!AL:AL)+_xlfn.XLOOKUP(Group!$B59,BS_UK!$C:$C,BS_UK!AL:AL)+_xlfn.XLOOKUP(Group!$B59,BS_UAE!$C:$C,BS_UAE!AL:AL)),0)</f>
        <v>0</v>
      </c>
      <c r="AL59" s="3">
        <f>IF(AL$3&lt;=Summary!$C$2,(_xlfn.XLOOKUP(Group!$B59,BS_NG!$C:$C,BS_NG!AM:AM)+_xlfn.XLOOKUP(Group!$B59,BS_UK!$C:$C,BS_UK!AM:AM)+_xlfn.XLOOKUP(Group!$B59,BS_UAE!$C:$C,BS_UAE!AM:AM)),0)</f>
        <v>0</v>
      </c>
    </row>
    <row r="60" spans="2:38" x14ac:dyDescent="0.2">
      <c r="B60" s="1" t="s">
        <v>34</v>
      </c>
      <c r="C60" s="3">
        <f>IF(C$3&lt;=Summary!$C$2,(_xlfn.XLOOKUP(Group!$B60,BS_NG!$C:$C,BS_NG!D:D)+_xlfn.XLOOKUP(Group!$B60,BS_UK!$C:$C,BS_UK!D:D)+_xlfn.XLOOKUP(Group!$B60,BS_UAE!$C:$C,BS_UAE!D:D)),0)</f>
        <v>94581089.150000006</v>
      </c>
      <c r="D60" s="3">
        <f>IF(D$3&lt;=Summary!$C$2,(_xlfn.XLOOKUP(Group!$B60,BS_NG!$C:$C,BS_NG!E:E)+_xlfn.XLOOKUP(Group!$B60,BS_UK!$C:$C,BS_UK!E:E)+_xlfn.XLOOKUP(Group!$B60,BS_UAE!$C:$C,BS_UAE!E:E)),0)</f>
        <v>94581089.150000006</v>
      </c>
      <c r="E60" s="3">
        <f>IF(E$3&lt;=Summary!$C$2,(_xlfn.XLOOKUP(Group!$B60,BS_NG!$C:$C,BS_NG!F:F)+_xlfn.XLOOKUP(Group!$B60,BS_UK!$C:$C,BS_UK!F:F)+_xlfn.XLOOKUP(Group!$B60,BS_UAE!$C:$C,BS_UAE!F:F)),0)</f>
        <v>94581089.150000006</v>
      </c>
      <c r="F60" s="3">
        <f>IF(F$3&lt;=Summary!$C$2,(_xlfn.XLOOKUP(Group!$B60,BS_NG!$C:$C,BS_NG!G:G)+_xlfn.XLOOKUP(Group!$B60,BS_UK!$C:$C,BS_UK!G:G)+_xlfn.XLOOKUP(Group!$B60,BS_UAE!$C:$C,BS_UAE!G:G)),0)</f>
        <v>97712833.292900011</v>
      </c>
      <c r="G60" s="3">
        <f>IF(G$3&lt;=Summary!$C$2,(_xlfn.XLOOKUP(Group!$B60,BS_NG!$C:$C,BS_NG!H:H)+_xlfn.XLOOKUP(Group!$B60,BS_UK!$C:$C,BS_UK!H:H)+_xlfn.XLOOKUP(Group!$B60,BS_UAE!$C:$C,BS_UAE!H:H)),0)</f>
        <v>97833685.210200012</v>
      </c>
      <c r="H60" s="3">
        <f>IF(H$3&lt;=Summary!$C$2,(_xlfn.XLOOKUP(Group!$B60,BS_NG!$C:$C,BS_NG!I:I)+_xlfn.XLOOKUP(Group!$B60,BS_UK!$C:$C,BS_UK!I:I)+_xlfn.XLOOKUP(Group!$B60,BS_UAE!$C:$C,BS_UAE!I:I)),0)</f>
        <v>98206777.440900013</v>
      </c>
      <c r="I60" s="3">
        <f>IF(I$3&lt;=Summary!$C$2,(_xlfn.XLOOKUP(Group!$B60,BS_NG!$C:$C,BS_NG!J:J)+_xlfn.XLOOKUP(Group!$B60,BS_UK!$C:$C,BS_UK!J:J)+_xlfn.XLOOKUP(Group!$B60,BS_UAE!$C:$C,BS_UAE!J:J)),0)</f>
        <v>98488273.296500012</v>
      </c>
      <c r="J60" s="3">
        <f>IF(J$3&lt;=Summary!$C$2,(_xlfn.XLOOKUP(Group!$B60,BS_NG!$C:$C,BS_NG!K:K)+_xlfn.XLOOKUP(Group!$B60,BS_UK!$C:$C,BS_UK!K:K)+_xlfn.XLOOKUP(Group!$B60,BS_UAE!$C:$C,BS_UAE!K:K)),0)</f>
        <v>98488142.524599999</v>
      </c>
      <c r="K60" s="3">
        <f>IF(K$3&lt;=Summary!$C$2,(_xlfn.XLOOKUP(Group!$B60,BS_NG!$C:$C,BS_NG!L:L)+_xlfn.XLOOKUP(Group!$B60,BS_UK!$C:$C,BS_UK!L:L)+_xlfn.XLOOKUP(Group!$B60,BS_UAE!$C:$C,BS_UAE!L:L)),0)</f>
        <v>98747911.56310001</v>
      </c>
      <c r="L60" s="3">
        <f>IF(L$3&lt;=Summary!$C$2,(_xlfn.XLOOKUP(Group!$B60,BS_NG!$C:$C,BS_NG!M:M)+_xlfn.XLOOKUP(Group!$B60,BS_UK!$C:$C,BS_UK!M:M)+_xlfn.XLOOKUP(Group!$B60,BS_UAE!$C:$C,BS_UAE!M:M)),0)</f>
        <v>98568940.877100006</v>
      </c>
      <c r="M60" s="3">
        <f>IF(M$3&lt;=Summary!$C$2,(_xlfn.XLOOKUP(Group!$B60,BS_NG!$C:$C,BS_NG!N:N)+_xlfn.XLOOKUP(Group!$B60,BS_UK!$C:$C,BS_UK!N:N)+_xlfn.XLOOKUP(Group!$B60,BS_UAE!$C:$C,BS_UAE!N:N)),0)</f>
        <v>98576824.554500014</v>
      </c>
      <c r="N60" s="3">
        <f>IF(N$3&lt;=Summary!$C$2,(_xlfn.XLOOKUP(Group!$B60,BS_NG!$C:$C,BS_NG!O:O)+_xlfn.XLOOKUP(Group!$B60,BS_UK!$C:$C,BS_UK!O:O)+_xlfn.XLOOKUP(Group!$B60,BS_UAE!$C:$C,BS_UAE!O:O)),0)</f>
        <v>98211989.635200009</v>
      </c>
      <c r="O60" s="3">
        <f>IF(O$3&lt;=Summary!$C$2,(_xlfn.XLOOKUP(Group!$B60,BS_NG!$C:$C,BS_NG!P:P)+_xlfn.XLOOKUP(Group!$B60,BS_UK!$C:$C,BS_UK!P:P)+_xlfn.XLOOKUP(Group!$B60,BS_UAE!$C:$C,BS_UAE!P:P)),0)</f>
        <v>98155589.582900003</v>
      </c>
      <c r="P60" s="3">
        <f>IF(P$3&lt;=Summary!$C$2,(_xlfn.XLOOKUP(Group!$B60,BS_NG!$C:$C,BS_NG!Q:Q)+_xlfn.XLOOKUP(Group!$B60,BS_UK!$C:$C,BS_UK!Q:Q)+_xlfn.XLOOKUP(Group!$B60,BS_UAE!$C:$C,BS_UAE!Q:Q)),0)</f>
        <v>98119963.581</v>
      </c>
      <c r="Q60" s="3">
        <f>IF(Q$3&lt;=Summary!$C$2,(_xlfn.XLOOKUP(Group!$B60,BS_NG!$C:$C,BS_NG!R:R)+_xlfn.XLOOKUP(Group!$B60,BS_UK!$C:$C,BS_UK!R:R)+_xlfn.XLOOKUP(Group!$B60,BS_UAE!$C:$C,BS_UAE!R:R)),0)</f>
        <v>91122516.619499996</v>
      </c>
      <c r="R60" s="3">
        <f>IF(R$3&lt;=Summary!$C$2,(_xlfn.XLOOKUP(Group!$B60,BS_NG!$C:$C,BS_NG!S:S)+_xlfn.XLOOKUP(Group!$B60,BS_UK!$C:$C,BS_UK!S:S)+_xlfn.XLOOKUP(Group!$B60,BS_UAE!$C:$C,BS_UAE!S:S)),0)</f>
        <v>82600072.690699995</v>
      </c>
      <c r="S60" s="3">
        <f>IF(S$3&lt;=Summary!$C$2,(_xlfn.XLOOKUP(Group!$B60,BS_NG!$C:$C,BS_NG!T:T)+_xlfn.XLOOKUP(Group!$B60,BS_UK!$C:$C,BS_UK!T:T)+_xlfn.XLOOKUP(Group!$B60,BS_UAE!$C:$C,BS_UAE!T:T)),0)</f>
        <v>75138548.901500002</v>
      </c>
      <c r="T60" s="3">
        <f>IF(T$3&lt;=Summary!$C$2,(_xlfn.XLOOKUP(Group!$B60,BS_NG!$C:$C,BS_NG!U:U)+_xlfn.XLOOKUP(Group!$B60,BS_UK!$C:$C,BS_UK!U:U)+_xlfn.XLOOKUP(Group!$B60,BS_UAE!$C:$C,BS_UAE!U:U)),0)</f>
        <v>75092853.463300005</v>
      </c>
      <c r="U60" s="3">
        <f>IF(U$3&lt;=Summary!$C$2,(_xlfn.XLOOKUP(Group!$B60,BS_NG!$C:$C,BS_NG!V:V)+_xlfn.XLOOKUP(Group!$B60,BS_UK!$C:$C,BS_UK!V:V)+_xlfn.XLOOKUP(Group!$B60,BS_UAE!$C:$C,BS_UAE!V:V)),0)</f>
        <v>60611263.891899996</v>
      </c>
      <c r="V60" s="3">
        <f>IF(V$3&lt;=Summary!$C$2,(_xlfn.XLOOKUP(Group!$B60,BS_NG!$C:$C,BS_NG!W:W)+_xlfn.XLOOKUP(Group!$B60,BS_UK!$C:$C,BS_UK!W:W)+_xlfn.XLOOKUP(Group!$B60,BS_UAE!$C:$C,BS_UAE!W:W)),0)</f>
        <v>60682627.9859</v>
      </c>
      <c r="W60" s="3">
        <f>IF(W$3&lt;=Summary!$C$2,(_xlfn.XLOOKUP(Group!$B60,BS_NG!$C:$C,BS_NG!X:X)+_xlfn.XLOOKUP(Group!$B60,BS_UK!$C:$C,BS_UK!X:X)+_xlfn.XLOOKUP(Group!$B60,BS_UAE!$C:$C,BS_UAE!X:X)),0)</f>
        <v>59699806.948300004</v>
      </c>
      <c r="X60" s="3">
        <f>IF(X$3&lt;=Summary!$C$2,(_xlfn.XLOOKUP(Group!$B60,BS_NG!$C:$C,BS_NG!Y:Y)+_xlfn.XLOOKUP(Group!$B60,BS_UK!$C:$C,BS_UK!Y:Y)+_xlfn.XLOOKUP(Group!$B60,BS_UAE!$C:$C,BS_UAE!Y:Y)),0)</f>
        <v>59544207.068999998</v>
      </c>
      <c r="Y60" s="3">
        <f>IF(Y$3&lt;=Summary!$C$2,(_xlfn.XLOOKUP(Group!$B60,BS_NG!$C:$C,BS_NG!Z:Z)+_xlfn.XLOOKUP(Group!$B60,BS_UK!$C:$C,BS_UK!Z:Z)+_xlfn.XLOOKUP(Group!$B60,BS_UAE!$C:$C,BS_UAE!Z:Z)),0)</f>
        <v>59276624.361900002</v>
      </c>
      <c r="Z60" s="3">
        <f>IF(Z$3&lt;=Summary!$C$2,(_xlfn.XLOOKUP(Group!$B60,BS_NG!$C:$C,BS_NG!AA:AA)+_xlfn.XLOOKUP(Group!$B60,BS_UK!$C:$C,BS_UK!AA:AA)+_xlfn.XLOOKUP(Group!$B60,BS_UAE!$C:$C,BS_UAE!AA:AA)),0)</f>
        <v>59078743.077500001</v>
      </c>
      <c r="AA60" s="3">
        <f>IF(AA$3&lt;=Summary!$C$2,(_xlfn.XLOOKUP(Group!$B60,BS_NG!$C:$C,BS_NG!AB:AB)+_xlfn.XLOOKUP(Group!$B60,BS_UK!$C:$C,BS_UK!AB:AB)+_xlfn.XLOOKUP(Group!$B60,BS_UAE!$C:$C,BS_UAE!AB:AB)),0)</f>
        <v>58159047.484200001</v>
      </c>
      <c r="AB60" s="3">
        <f>IF(AB$3&lt;=Summary!$C$2,(_xlfn.XLOOKUP(Group!$B60,BS_NG!$C:$C,BS_NG!AC:AC)+_xlfn.XLOOKUP(Group!$B60,BS_UK!$C:$C,BS_UK!AC:AC)+_xlfn.XLOOKUP(Group!$B60,BS_UAE!$C:$C,BS_UAE!AC:AC)),0)</f>
        <v>49742164.616400003</v>
      </c>
      <c r="AC60" s="3">
        <f>IF(AC$3&lt;=Summary!$C$2,(_xlfn.XLOOKUP(Group!$B60,BS_NG!$C:$C,BS_NG!AD:AD)+_xlfn.XLOOKUP(Group!$B60,BS_UK!$C:$C,BS_UK!AD:AD)+_xlfn.XLOOKUP(Group!$B60,BS_UAE!$C:$C,BS_UAE!AD:AD)),0)</f>
        <v>49740632.717</v>
      </c>
      <c r="AD60" s="3">
        <f>IF(AD$3&lt;=Summary!$C$2,(_xlfn.XLOOKUP(Group!$B60,BS_NG!$C:$C,BS_NG!AE:AE)+_xlfn.XLOOKUP(Group!$B60,BS_UK!$C:$C,BS_UK!AE:AE)+_xlfn.XLOOKUP(Group!$B60,BS_UAE!$C:$C,BS_UAE!AE:AE)),0)</f>
        <v>49239580.067000002</v>
      </c>
      <c r="AE60" s="3">
        <f>IF(AE$3&lt;=Summary!$C$2,(_xlfn.XLOOKUP(Group!$B60,BS_NG!$C:$C,BS_NG!AF:AF)+_xlfn.XLOOKUP(Group!$B60,BS_UK!$C:$C,BS_UK!AF:AF)+_xlfn.XLOOKUP(Group!$B60,BS_UAE!$C:$C,BS_UAE!AF:AF)),0)</f>
        <v>0</v>
      </c>
      <c r="AF60" s="3">
        <f>IF(AF$3&lt;=Summary!$C$2,(_xlfn.XLOOKUP(Group!$B60,BS_NG!$C:$C,BS_NG!AG:AG)+_xlfn.XLOOKUP(Group!$B60,BS_UK!$C:$C,BS_UK!AG:AG)+_xlfn.XLOOKUP(Group!$B60,BS_UAE!$C:$C,BS_UAE!AG:AG)),0)</f>
        <v>0</v>
      </c>
      <c r="AG60" s="3">
        <f>IF(AG$3&lt;=Summary!$C$2,(_xlfn.XLOOKUP(Group!$B60,BS_NG!$C:$C,BS_NG!AH:AH)+_xlfn.XLOOKUP(Group!$B60,BS_UK!$C:$C,BS_UK!AH:AH)+_xlfn.XLOOKUP(Group!$B60,BS_UAE!$C:$C,BS_UAE!AH:AH)),0)</f>
        <v>0</v>
      </c>
      <c r="AH60" s="3">
        <f>IF(AH$3&lt;=Summary!$C$2,(_xlfn.XLOOKUP(Group!$B60,BS_NG!$C:$C,BS_NG!AI:AI)+_xlfn.XLOOKUP(Group!$B60,BS_UK!$C:$C,BS_UK!AI:AI)+_xlfn.XLOOKUP(Group!$B60,BS_UAE!$C:$C,BS_UAE!AI:AI)),0)</f>
        <v>0</v>
      </c>
      <c r="AI60" s="3">
        <f>IF(AI$3&lt;=Summary!$C$2,(_xlfn.XLOOKUP(Group!$B60,BS_NG!$C:$C,BS_NG!AJ:AJ)+_xlfn.XLOOKUP(Group!$B60,BS_UK!$C:$C,BS_UK!AJ:AJ)+_xlfn.XLOOKUP(Group!$B60,BS_UAE!$C:$C,BS_UAE!AJ:AJ)),0)</f>
        <v>0</v>
      </c>
      <c r="AJ60" s="3">
        <f>IF(AJ$3&lt;=Summary!$C$2,(_xlfn.XLOOKUP(Group!$B60,BS_NG!$C:$C,BS_NG!AK:AK)+_xlfn.XLOOKUP(Group!$B60,BS_UK!$C:$C,BS_UK!AK:AK)+_xlfn.XLOOKUP(Group!$B60,BS_UAE!$C:$C,BS_UAE!AK:AK)),0)</f>
        <v>0</v>
      </c>
      <c r="AK60" s="3">
        <f>IF(AK$3&lt;=Summary!$C$2,(_xlfn.XLOOKUP(Group!$B60,BS_NG!$C:$C,BS_NG!AL:AL)+_xlfn.XLOOKUP(Group!$B60,BS_UK!$C:$C,BS_UK!AL:AL)+_xlfn.XLOOKUP(Group!$B60,BS_UAE!$C:$C,BS_UAE!AL:AL)),0)</f>
        <v>0</v>
      </c>
      <c r="AL60" s="3">
        <f>IF(AL$3&lt;=Summary!$C$2,(_xlfn.XLOOKUP(Group!$B60,BS_NG!$C:$C,BS_NG!AM:AM)+_xlfn.XLOOKUP(Group!$B60,BS_UK!$C:$C,BS_UK!AM:AM)+_xlfn.XLOOKUP(Group!$B60,BS_UAE!$C:$C,BS_UAE!AM:AM)),0)</f>
        <v>0</v>
      </c>
    </row>
    <row r="61" spans="2:38" x14ac:dyDescent="0.2">
      <c r="B61" s="1" t="s">
        <v>36</v>
      </c>
      <c r="C61" s="3">
        <f>IF(C$3&lt;=Summary!$C$2,(_xlfn.XLOOKUP(Group!$B61,BS_NG!$C:$C,BS_NG!D:D)+_xlfn.XLOOKUP(Group!$B61,BS_UK!$C:$C,BS_UK!D:D)+_xlfn.XLOOKUP(Group!$B61,BS_UAE!$C:$C,BS_UAE!D:D)),0)</f>
        <v>23421356.43919</v>
      </c>
      <c r="D61" s="3">
        <f>IF(D$3&lt;=Summary!$C$2,(_xlfn.XLOOKUP(Group!$B61,BS_NG!$C:$C,BS_NG!E:E)+_xlfn.XLOOKUP(Group!$B61,BS_UK!$C:$C,BS_UK!E:E)+_xlfn.XLOOKUP(Group!$B61,BS_UAE!$C:$C,BS_UAE!E:E)),0)</f>
        <v>76046771.419880003</v>
      </c>
      <c r="E61" s="3">
        <f>IF(E$3&lt;=Summary!$C$2,(_xlfn.XLOOKUP(Group!$B61,BS_NG!$C:$C,BS_NG!F:F)+_xlfn.XLOOKUP(Group!$B61,BS_UK!$C:$C,BS_UK!F:F)+_xlfn.XLOOKUP(Group!$B61,BS_UAE!$C:$C,BS_UAE!F:F)),0)</f>
        <v>40014020.256820001</v>
      </c>
      <c r="F61" s="3">
        <f>IF(F$3&lt;=Summary!$C$2,(_xlfn.XLOOKUP(Group!$B61,BS_NG!$C:$C,BS_NG!G:G)+_xlfn.XLOOKUP(Group!$B61,BS_UK!$C:$C,BS_UK!G:G)+_xlfn.XLOOKUP(Group!$B61,BS_UAE!$C:$C,BS_UAE!G:G)),0)</f>
        <v>41600600.457749993</v>
      </c>
      <c r="G61" s="3">
        <f>IF(G$3&lt;=Summary!$C$2,(_xlfn.XLOOKUP(Group!$B61,BS_NG!$C:$C,BS_NG!H:H)+_xlfn.XLOOKUP(Group!$B61,BS_UK!$C:$C,BS_UK!H:H)+_xlfn.XLOOKUP(Group!$B61,BS_UAE!$C:$C,BS_UAE!H:H)),0)</f>
        <v>66330907.865880005</v>
      </c>
      <c r="H61" s="3">
        <f>IF(H$3&lt;=Summary!$C$2,(_xlfn.XLOOKUP(Group!$B61,BS_NG!$C:$C,BS_NG!I:I)+_xlfn.XLOOKUP(Group!$B61,BS_UK!$C:$C,BS_UK!I:I)+_xlfn.XLOOKUP(Group!$B61,BS_UAE!$C:$C,BS_UAE!I:I)),0)</f>
        <v>83876910.764090002</v>
      </c>
      <c r="I61" s="3">
        <f>IF(I$3&lt;=Summary!$C$2,(_xlfn.XLOOKUP(Group!$B61,BS_NG!$C:$C,BS_NG!J:J)+_xlfn.XLOOKUP(Group!$B61,BS_UK!$C:$C,BS_UK!J:J)+_xlfn.XLOOKUP(Group!$B61,BS_UAE!$C:$C,BS_UAE!J:J)),0)</f>
        <v>84978522.636360019</v>
      </c>
      <c r="J61" s="3">
        <f>IF(J$3&lt;=Summary!$C$2,(_xlfn.XLOOKUP(Group!$B61,BS_NG!$C:$C,BS_NG!K:K)+_xlfn.XLOOKUP(Group!$B61,BS_UK!$C:$C,BS_UK!K:K)+_xlfn.XLOOKUP(Group!$B61,BS_UAE!$C:$C,BS_UAE!K:K)),0)</f>
        <v>73324042.288869992</v>
      </c>
      <c r="K61" s="3">
        <f>IF(K$3&lt;=Summary!$C$2,(_xlfn.XLOOKUP(Group!$B61,BS_NG!$C:$C,BS_NG!L:L)+_xlfn.XLOOKUP(Group!$B61,BS_UK!$C:$C,BS_UK!L:L)+_xlfn.XLOOKUP(Group!$B61,BS_UAE!$C:$C,BS_UAE!L:L)),0)</f>
        <v>77168289.048269987</v>
      </c>
      <c r="L61" s="3">
        <f>IF(L$3&lt;=Summary!$C$2,(_xlfn.XLOOKUP(Group!$B61,BS_NG!$C:$C,BS_NG!M:M)+_xlfn.XLOOKUP(Group!$B61,BS_UK!$C:$C,BS_UK!M:M)+_xlfn.XLOOKUP(Group!$B61,BS_UAE!$C:$C,BS_UAE!M:M)),0)</f>
        <v>132309880.62475999</v>
      </c>
      <c r="M61" s="3">
        <f>IF(M$3&lt;=Summary!$C$2,(_xlfn.XLOOKUP(Group!$B61,BS_NG!$C:$C,BS_NG!N:N)+_xlfn.XLOOKUP(Group!$B61,BS_UK!$C:$C,BS_UK!N:N)+_xlfn.XLOOKUP(Group!$B61,BS_UAE!$C:$C,BS_UAE!N:N)),0)</f>
        <v>100999976.1866</v>
      </c>
      <c r="N61" s="3">
        <f>IF(N$3&lt;=Summary!$C$2,(_xlfn.XLOOKUP(Group!$B61,BS_NG!$C:$C,BS_NG!O:O)+_xlfn.XLOOKUP(Group!$B61,BS_UK!$C:$C,BS_UK!O:O)+_xlfn.XLOOKUP(Group!$B61,BS_UAE!$C:$C,BS_UAE!O:O)),0)</f>
        <v>95122213.203759998</v>
      </c>
      <c r="O61" s="3">
        <f>IF(O$3&lt;=Summary!$C$2,(_xlfn.XLOOKUP(Group!$B61,BS_NG!$C:$C,BS_NG!P:P)+_xlfn.XLOOKUP(Group!$B61,BS_UK!$C:$C,BS_UK!P:P)+_xlfn.XLOOKUP(Group!$B61,BS_UAE!$C:$C,BS_UAE!P:P)),0)</f>
        <v>99120739.858199999</v>
      </c>
      <c r="P61" s="3">
        <f>IF(P$3&lt;=Summary!$C$2,(_xlfn.XLOOKUP(Group!$B61,BS_NG!$C:$C,BS_NG!Q:Q)+_xlfn.XLOOKUP(Group!$B61,BS_UK!$C:$C,BS_UK!Q:Q)+_xlfn.XLOOKUP(Group!$B61,BS_UAE!$C:$C,BS_UAE!Q:Q)),0)</f>
        <v>113069331.38791999</v>
      </c>
      <c r="Q61" s="3">
        <f>IF(Q$3&lt;=Summary!$C$2,(_xlfn.XLOOKUP(Group!$B61,BS_NG!$C:$C,BS_NG!R:R)+_xlfn.XLOOKUP(Group!$B61,BS_UK!$C:$C,BS_UK!R:R)+_xlfn.XLOOKUP(Group!$B61,BS_UAE!$C:$C,BS_UAE!R:R)),0)</f>
        <v>94480203.390670002</v>
      </c>
      <c r="R61" s="3">
        <f>IF(R$3&lt;=Summary!$C$2,(_xlfn.XLOOKUP(Group!$B61,BS_NG!$C:$C,BS_NG!S:S)+_xlfn.XLOOKUP(Group!$B61,BS_UK!$C:$C,BS_UK!S:S)+_xlfn.XLOOKUP(Group!$B61,BS_UAE!$C:$C,BS_UAE!S:S)),0)</f>
        <v>81920750.126069993</v>
      </c>
      <c r="S61" s="3">
        <f>IF(S$3&lt;=Summary!$C$2,(_xlfn.XLOOKUP(Group!$B61,BS_NG!$C:$C,BS_NG!T:T)+_xlfn.XLOOKUP(Group!$B61,BS_UK!$C:$C,BS_UK!T:T)+_xlfn.XLOOKUP(Group!$B61,BS_UAE!$C:$C,BS_UAE!T:T)),0)</f>
        <v>86764553.237769991</v>
      </c>
      <c r="T61" s="3">
        <f>IF(T$3&lt;=Summary!$C$2,(_xlfn.XLOOKUP(Group!$B61,BS_NG!$C:$C,BS_NG!U:U)+_xlfn.XLOOKUP(Group!$B61,BS_UK!$C:$C,BS_UK!U:U)+_xlfn.XLOOKUP(Group!$B61,BS_UAE!$C:$C,BS_UAE!U:U)),0)</f>
        <v>84953631.066129997</v>
      </c>
      <c r="U61" s="3">
        <f>IF(U$3&lt;=Summary!$C$2,(_xlfn.XLOOKUP(Group!$B61,BS_NG!$C:$C,BS_NG!V:V)+_xlfn.XLOOKUP(Group!$B61,BS_UK!$C:$C,BS_UK!V:V)+_xlfn.XLOOKUP(Group!$B61,BS_UAE!$C:$C,BS_UAE!V:V)),0)</f>
        <v>107874320.33688001</v>
      </c>
      <c r="V61" s="3">
        <f>IF(V$3&lt;=Summary!$C$2,(_xlfn.XLOOKUP(Group!$B61,BS_NG!$C:$C,BS_NG!W:W)+_xlfn.XLOOKUP(Group!$B61,BS_UK!$C:$C,BS_UK!W:W)+_xlfn.XLOOKUP(Group!$B61,BS_UAE!$C:$C,BS_UAE!W:W)),0)</f>
        <v>145281174.73958001</v>
      </c>
      <c r="W61" s="3">
        <f>IF(W$3&lt;=Summary!$C$2,(_xlfn.XLOOKUP(Group!$B61,BS_NG!$C:$C,BS_NG!X:X)+_xlfn.XLOOKUP(Group!$B61,BS_UK!$C:$C,BS_UK!X:X)+_xlfn.XLOOKUP(Group!$B61,BS_UAE!$C:$C,BS_UAE!X:X)),0)</f>
        <v>316226030.83827996</v>
      </c>
      <c r="X61" s="3">
        <f>IF(X$3&lt;=Summary!$C$2,(_xlfn.XLOOKUP(Group!$B61,BS_NG!$C:$C,BS_NG!Y:Y)+_xlfn.XLOOKUP(Group!$B61,BS_UK!$C:$C,BS_UK!Y:Y)+_xlfn.XLOOKUP(Group!$B61,BS_UAE!$C:$C,BS_UAE!Y:Y)),0)</f>
        <v>297451867.5</v>
      </c>
      <c r="Y61" s="3">
        <f>IF(Y$3&lt;=Summary!$C$2,(_xlfn.XLOOKUP(Group!$B61,BS_NG!$C:$C,BS_NG!Z:Z)+_xlfn.XLOOKUP(Group!$B61,BS_UK!$C:$C,BS_UK!Z:Z)+_xlfn.XLOOKUP(Group!$B61,BS_UAE!$C:$C,BS_UAE!Z:Z)),0)</f>
        <v>275462806.18599999</v>
      </c>
      <c r="Z61" s="3">
        <f>IF(Z$3&lt;=Summary!$C$2,(_xlfn.XLOOKUP(Group!$B61,BS_NG!$C:$C,BS_NG!AA:AA)+_xlfn.XLOOKUP(Group!$B61,BS_UK!$C:$C,BS_UK!AA:AA)+_xlfn.XLOOKUP(Group!$B61,BS_UAE!$C:$C,BS_UAE!AA:AA)),0)</f>
        <v>353413658.07033008</v>
      </c>
      <c r="AA61" s="3">
        <f>IF(AA$3&lt;=Summary!$C$2,(_xlfn.XLOOKUP(Group!$B61,BS_NG!$C:$C,BS_NG!AB:AB)+_xlfn.XLOOKUP(Group!$B61,BS_UK!$C:$C,BS_UK!AB:AB)+_xlfn.XLOOKUP(Group!$B61,BS_UAE!$C:$C,BS_UAE!AB:AB)),0)</f>
        <v>314506195.30967999</v>
      </c>
      <c r="AB61" s="3">
        <f>IF(AB$3&lt;=Summary!$C$2,(_xlfn.XLOOKUP(Group!$B61,BS_NG!$C:$C,BS_NG!AC:AC)+_xlfn.XLOOKUP(Group!$B61,BS_UK!$C:$C,BS_UK!AC:AC)+_xlfn.XLOOKUP(Group!$B61,BS_UAE!$C:$C,BS_UAE!AC:AC)),0)</f>
        <v>274024563.26464999</v>
      </c>
      <c r="AC61" s="3">
        <f>IF(AC$3&lt;=Summary!$C$2,(_xlfn.XLOOKUP(Group!$B61,BS_NG!$C:$C,BS_NG!AD:AD)+_xlfn.XLOOKUP(Group!$B61,BS_UK!$C:$C,BS_UK!AD:AD)+_xlfn.XLOOKUP(Group!$B61,BS_UAE!$C:$C,BS_UAE!AD:AD)),0)</f>
        <v>262836825.08980003</v>
      </c>
      <c r="AD61" s="3">
        <f>IF(AD$3&lt;=Summary!$C$2,(_xlfn.XLOOKUP(Group!$B61,BS_NG!$C:$C,BS_NG!AE:AE)+_xlfn.XLOOKUP(Group!$B61,BS_UK!$C:$C,BS_UK!AE:AE)+_xlfn.XLOOKUP(Group!$B61,BS_UAE!$C:$C,BS_UAE!AE:AE)),0)</f>
        <v>227604675.26331997</v>
      </c>
      <c r="AE61" s="3">
        <f>IF(AE$3&lt;=Summary!$C$2,(_xlfn.XLOOKUP(Group!$B61,BS_NG!$C:$C,BS_NG!AF:AF)+_xlfn.XLOOKUP(Group!$B61,BS_UK!$C:$C,BS_UK!AF:AF)+_xlfn.XLOOKUP(Group!$B61,BS_UAE!$C:$C,BS_UAE!AF:AF)),0)</f>
        <v>0</v>
      </c>
      <c r="AF61" s="3">
        <f>IF(AF$3&lt;=Summary!$C$2,(_xlfn.XLOOKUP(Group!$B61,BS_NG!$C:$C,BS_NG!AG:AG)+_xlfn.XLOOKUP(Group!$B61,BS_UK!$C:$C,BS_UK!AG:AG)+_xlfn.XLOOKUP(Group!$B61,BS_UAE!$C:$C,BS_UAE!AG:AG)),0)</f>
        <v>0</v>
      </c>
      <c r="AG61" s="3">
        <f>IF(AG$3&lt;=Summary!$C$2,(_xlfn.XLOOKUP(Group!$B61,BS_NG!$C:$C,BS_NG!AH:AH)+_xlfn.XLOOKUP(Group!$B61,BS_UK!$C:$C,BS_UK!AH:AH)+_xlfn.XLOOKUP(Group!$B61,BS_UAE!$C:$C,BS_UAE!AH:AH)),0)</f>
        <v>0</v>
      </c>
      <c r="AH61" s="3">
        <f>IF(AH$3&lt;=Summary!$C$2,(_xlfn.XLOOKUP(Group!$B61,BS_NG!$C:$C,BS_NG!AI:AI)+_xlfn.XLOOKUP(Group!$B61,BS_UK!$C:$C,BS_UK!AI:AI)+_xlfn.XLOOKUP(Group!$B61,BS_UAE!$C:$C,BS_UAE!AI:AI)),0)</f>
        <v>0</v>
      </c>
      <c r="AI61" s="3">
        <f>IF(AI$3&lt;=Summary!$C$2,(_xlfn.XLOOKUP(Group!$B61,BS_NG!$C:$C,BS_NG!AJ:AJ)+_xlfn.XLOOKUP(Group!$B61,BS_UK!$C:$C,BS_UK!AJ:AJ)+_xlfn.XLOOKUP(Group!$B61,BS_UAE!$C:$C,BS_UAE!AJ:AJ)),0)</f>
        <v>0</v>
      </c>
      <c r="AJ61" s="3">
        <f>IF(AJ$3&lt;=Summary!$C$2,(_xlfn.XLOOKUP(Group!$B61,BS_NG!$C:$C,BS_NG!AK:AK)+_xlfn.XLOOKUP(Group!$B61,BS_UK!$C:$C,BS_UK!AK:AK)+_xlfn.XLOOKUP(Group!$B61,BS_UAE!$C:$C,BS_UAE!AK:AK)),0)</f>
        <v>0</v>
      </c>
      <c r="AK61" s="3">
        <f>IF(AK$3&lt;=Summary!$C$2,(_xlfn.XLOOKUP(Group!$B61,BS_NG!$C:$C,BS_NG!AL:AL)+_xlfn.XLOOKUP(Group!$B61,BS_UK!$C:$C,BS_UK!AL:AL)+_xlfn.XLOOKUP(Group!$B61,BS_UAE!$C:$C,BS_UAE!AL:AL)),0)</f>
        <v>0</v>
      </c>
      <c r="AL61" s="3">
        <f>IF(AL$3&lt;=Summary!$C$2,(_xlfn.XLOOKUP(Group!$B61,BS_NG!$C:$C,BS_NG!AM:AM)+_xlfn.XLOOKUP(Group!$B61,BS_UK!$C:$C,BS_UK!AM:AM)+_xlfn.XLOOKUP(Group!$B61,BS_UAE!$C:$C,BS_UAE!AM:AM)),0)</f>
        <v>0</v>
      </c>
    </row>
    <row r="62" spans="2:38" x14ac:dyDescent="0.2">
      <c r="B62" s="1" t="s">
        <v>38</v>
      </c>
      <c r="C62" s="3">
        <f>IF(C$3&lt;=Summary!$C$2,(_xlfn.XLOOKUP(Group!$B62,BS_NG!$C:$C,BS_NG!D:D)+_xlfn.XLOOKUP(Group!$B62,BS_UK!$C:$C,BS_UK!D:D)+_xlfn.XLOOKUP(Group!$B62,BS_UAE!$C:$C,BS_UAE!D:D)),0)</f>
        <v>12611003.77</v>
      </c>
      <c r="D62" s="3">
        <f>IF(D$3&lt;=Summary!$C$2,(_xlfn.XLOOKUP(Group!$B62,BS_NG!$C:$C,BS_NG!E:E)+_xlfn.XLOOKUP(Group!$B62,BS_UK!$C:$C,BS_UK!E:E)+_xlfn.XLOOKUP(Group!$B62,BS_UAE!$C:$C,BS_UAE!E:E)),0)</f>
        <v>14833353.77</v>
      </c>
      <c r="E62" s="3">
        <f>IF(E$3&lt;=Summary!$C$2,(_xlfn.XLOOKUP(Group!$B62,BS_NG!$C:$C,BS_NG!F:F)+_xlfn.XLOOKUP(Group!$B62,BS_UK!$C:$C,BS_UK!F:F)+_xlfn.XLOOKUP(Group!$B62,BS_UAE!$C:$C,BS_UAE!F:F)),0)</f>
        <v>12888438.77</v>
      </c>
      <c r="F62" s="3">
        <f>IF(F$3&lt;=Summary!$C$2,(_xlfn.XLOOKUP(Group!$B62,BS_NG!$C:$C,BS_NG!G:G)+_xlfn.XLOOKUP(Group!$B62,BS_UK!$C:$C,BS_UK!G:G)+_xlfn.XLOOKUP(Group!$B62,BS_UAE!$C:$C,BS_UAE!G:G)),0)</f>
        <v>13837454.84</v>
      </c>
      <c r="G62" s="3">
        <f>IF(G$3&lt;=Summary!$C$2,(_xlfn.XLOOKUP(Group!$B62,BS_NG!$C:$C,BS_NG!H:H)+_xlfn.XLOOKUP(Group!$B62,BS_UK!$C:$C,BS_UK!H:H)+_xlfn.XLOOKUP(Group!$B62,BS_UAE!$C:$C,BS_UAE!H:H)),0)</f>
        <v>35229148.930799998</v>
      </c>
      <c r="H62" s="3">
        <f>IF(H$3&lt;=Summary!$C$2,(_xlfn.XLOOKUP(Group!$B62,BS_NG!$C:$C,BS_NG!I:I)+_xlfn.XLOOKUP(Group!$B62,BS_UK!$C:$C,BS_UK!I:I)+_xlfn.XLOOKUP(Group!$B62,BS_UAE!$C:$C,BS_UAE!I:I)),0)</f>
        <v>12271896.751199998</v>
      </c>
      <c r="I62" s="3">
        <f>IF(I$3&lt;=Summary!$C$2,(_xlfn.XLOOKUP(Group!$B62,BS_NG!$C:$C,BS_NG!J:J)+_xlfn.XLOOKUP(Group!$B62,BS_UK!$C:$C,BS_UK!J:J)+_xlfn.XLOOKUP(Group!$B62,BS_UAE!$C:$C,BS_UAE!J:J)),0)</f>
        <v>13245721.5452</v>
      </c>
      <c r="J62" s="3">
        <f>IF(J$3&lt;=Summary!$C$2,(_xlfn.XLOOKUP(Group!$B62,BS_NG!$C:$C,BS_NG!K:K)+_xlfn.XLOOKUP(Group!$B62,BS_UK!$C:$C,BS_UK!K:K)+_xlfn.XLOOKUP(Group!$B62,BS_UAE!$C:$C,BS_UAE!K:K)),0)</f>
        <v>16027020.8244</v>
      </c>
      <c r="K62" s="3">
        <f>IF(K$3&lt;=Summary!$C$2,(_xlfn.XLOOKUP(Group!$B62,BS_NG!$C:$C,BS_NG!L:L)+_xlfn.XLOOKUP(Group!$B62,BS_UK!$C:$C,BS_UK!L:L)+_xlfn.XLOOKUP(Group!$B62,BS_UAE!$C:$C,BS_UAE!L:L)),0)</f>
        <v>9799666.2444000002</v>
      </c>
      <c r="L62" s="3">
        <f>IF(L$3&lt;=Summary!$C$2,(_xlfn.XLOOKUP(Group!$B62,BS_NG!$C:$C,BS_NG!M:M)+_xlfn.XLOOKUP(Group!$B62,BS_UK!$C:$C,BS_UK!M:M)+_xlfn.XLOOKUP(Group!$B62,BS_UAE!$C:$C,BS_UAE!M:M)),0)</f>
        <v>9045220.8300000001</v>
      </c>
      <c r="M62" s="3">
        <f>IF(M$3&lt;=Summary!$C$2,(_xlfn.XLOOKUP(Group!$B62,BS_NG!$C:$C,BS_NG!N:N)+_xlfn.XLOOKUP(Group!$B62,BS_UK!$C:$C,BS_UK!N:N)+_xlfn.XLOOKUP(Group!$B62,BS_UAE!$C:$C,BS_UAE!N:N)),0)</f>
        <v>794390.73</v>
      </c>
      <c r="N62" s="3">
        <f>IF(N$3&lt;=Summary!$C$2,(_xlfn.XLOOKUP(Group!$B62,BS_NG!$C:$C,BS_NG!O:O)+_xlfn.XLOOKUP(Group!$B62,BS_UK!$C:$C,BS_UK!O:O)+_xlfn.XLOOKUP(Group!$B62,BS_UAE!$C:$C,BS_UAE!O:O)),0)</f>
        <v>3260413.51</v>
      </c>
      <c r="O62" s="3">
        <f>IF(O$3&lt;=Summary!$C$2,(_xlfn.XLOOKUP(Group!$B62,BS_NG!$C:$C,BS_NG!P:P)+_xlfn.XLOOKUP(Group!$B62,BS_UK!$C:$C,BS_UK!P:P)+_xlfn.XLOOKUP(Group!$B62,BS_UAE!$C:$C,BS_UAE!P:P)),0)</f>
        <v>3311256.75</v>
      </c>
      <c r="P62" s="3">
        <f>IF(P$3&lt;=Summary!$C$2,(_xlfn.XLOOKUP(Group!$B62,BS_NG!$C:$C,BS_NG!Q:Q)+_xlfn.XLOOKUP(Group!$B62,BS_UK!$C:$C,BS_UK!Q:Q)+_xlfn.XLOOKUP(Group!$B62,BS_UAE!$C:$C,BS_UAE!Q:Q)),0)</f>
        <v>5951146</v>
      </c>
      <c r="Q62" s="3">
        <f>IF(Q$3&lt;=Summary!$C$2,(_xlfn.XLOOKUP(Group!$B62,BS_NG!$C:$C,BS_NG!R:R)+_xlfn.XLOOKUP(Group!$B62,BS_UK!$C:$C,BS_UK!R:R)+_xlfn.XLOOKUP(Group!$B62,BS_UAE!$C:$C,BS_UAE!R:R)),0)</f>
        <v>2977547.19</v>
      </c>
      <c r="R62" s="3">
        <f>IF(R$3&lt;=Summary!$C$2,(_xlfn.XLOOKUP(Group!$B62,BS_NG!$C:$C,BS_NG!S:S)+_xlfn.XLOOKUP(Group!$B62,BS_UK!$C:$C,BS_UK!S:S)+_xlfn.XLOOKUP(Group!$B62,BS_UAE!$C:$C,BS_UAE!S:S)),0)</f>
        <v>3125317.18</v>
      </c>
      <c r="S62" s="3">
        <f>IF(S$3&lt;=Summary!$C$2,(_xlfn.XLOOKUP(Group!$B62,BS_NG!$C:$C,BS_NG!T:T)+_xlfn.XLOOKUP(Group!$B62,BS_UK!$C:$C,BS_UK!T:T)+_xlfn.XLOOKUP(Group!$B62,BS_UAE!$C:$C,BS_UAE!T:T)),0)</f>
        <v>6571230.6799999997</v>
      </c>
      <c r="T62" s="3">
        <f>IF(T$3&lt;=Summary!$C$2,(_xlfn.XLOOKUP(Group!$B62,BS_NG!$C:$C,BS_NG!U:U)+_xlfn.XLOOKUP(Group!$B62,BS_UK!$C:$C,BS_UK!U:U)+_xlfn.XLOOKUP(Group!$B62,BS_UAE!$C:$C,BS_UAE!U:U)),0)</f>
        <v>3137992</v>
      </c>
      <c r="U62" s="3">
        <f>IF(U$3&lt;=Summary!$C$2,(_xlfn.XLOOKUP(Group!$B62,BS_NG!$C:$C,BS_NG!V:V)+_xlfn.XLOOKUP(Group!$B62,BS_UK!$C:$C,BS_UK!V:V)+_xlfn.XLOOKUP(Group!$B62,BS_UAE!$C:$C,BS_UAE!V:V)),0)</f>
        <v>5480720.5099999998</v>
      </c>
      <c r="V62" s="3">
        <f>IF(V$3&lt;=Summary!$C$2,(_xlfn.XLOOKUP(Group!$B62,BS_NG!$C:$C,BS_NG!W:W)+_xlfn.XLOOKUP(Group!$B62,BS_UK!$C:$C,BS_UK!W:W)+_xlfn.XLOOKUP(Group!$B62,BS_UAE!$C:$C,BS_UAE!W:W)),0)</f>
        <v>2548373.09</v>
      </c>
      <c r="W62" s="3">
        <f>IF(W$3&lt;=Summary!$C$2,(_xlfn.XLOOKUP(Group!$B62,BS_NG!$C:$C,BS_NG!X:X)+_xlfn.XLOOKUP(Group!$B62,BS_UK!$C:$C,BS_UK!X:X)+_xlfn.XLOOKUP(Group!$B62,BS_UAE!$C:$C,BS_UAE!X:X)),0)</f>
        <v>210000</v>
      </c>
      <c r="X62" s="3">
        <f>IF(X$3&lt;=Summary!$C$2,(_xlfn.XLOOKUP(Group!$B62,BS_NG!$C:$C,BS_NG!Y:Y)+_xlfn.XLOOKUP(Group!$B62,BS_UK!$C:$C,BS_UK!Y:Y)+_xlfn.XLOOKUP(Group!$B62,BS_UAE!$C:$C,BS_UAE!Y:Y)),0)</f>
        <v>2499043.81</v>
      </c>
      <c r="Y62" s="3">
        <f>IF(Y$3&lt;=Summary!$C$2,(_xlfn.XLOOKUP(Group!$B62,BS_NG!$C:$C,BS_NG!Z:Z)+_xlfn.XLOOKUP(Group!$B62,BS_UK!$C:$C,BS_UK!Z:Z)+_xlfn.XLOOKUP(Group!$B62,BS_UAE!$C:$C,BS_UAE!Z:Z)),0)</f>
        <v>18152149.399999999</v>
      </c>
      <c r="Z62" s="3">
        <f>IF(Z$3&lt;=Summary!$C$2,(_xlfn.XLOOKUP(Group!$B62,BS_NG!$C:$C,BS_NG!AA:AA)+_xlfn.XLOOKUP(Group!$B62,BS_UK!$C:$C,BS_UK!AA:AA)+_xlfn.XLOOKUP(Group!$B62,BS_UAE!$C:$C,BS_UAE!AA:AA)),0)</f>
        <v>402004.23</v>
      </c>
      <c r="AA62" s="3">
        <f>IF(AA$3&lt;=Summary!$C$2,(_xlfn.XLOOKUP(Group!$B62,BS_NG!$C:$C,BS_NG!AB:AB)+_xlfn.XLOOKUP(Group!$B62,BS_UK!$C:$C,BS_UK!AB:AB)+_xlfn.XLOOKUP(Group!$B62,BS_UAE!$C:$C,BS_UAE!AB:AB)),0)</f>
        <v>732616.21</v>
      </c>
      <c r="AB62" s="3">
        <f>IF(AB$3&lt;=Summary!$C$2,(_xlfn.XLOOKUP(Group!$B62,BS_NG!$C:$C,BS_NG!AC:AC)+_xlfn.XLOOKUP(Group!$B62,BS_UK!$C:$C,BS_UK!AC:AC)+_xlfn.XLOOKUP(Group!$B62,BS_UAE!$C:$C,BS_UAE!AC:AC)),0)</f>
        <v>4418410.5</v>
      </c>
      <c r="AC62" s="3">
        <f>IF(AC$3&lt;=Summary!$C$2,(_xlfn.XLOOKUP(Group!$B62,BS_NG!$C:$C,BS_NG!AD:AD)+_xlfn.XLOOKUP(Group!$B62,BS_UK!$C:$C,BS_UK!AD:AD)+_xlfn.XLOOKUP(Group!$B62,BS_UAE!$C:$C,BS_UAE!AD:AD)),0)</f>
        <v>1737292.6</v>
      </c>
      <c r="AD62" s="3">
        <f>IF(AD$3&lt;=Summary!$C$2,(_xlfn.XLOOKUP(Group!$B62,BS_NG!$C:$C,BS_NG!AE:AE)+_xlfn.XLOOKUP(Group!$B62,BS_UK!$C:$C,BS_UK!AE:AE)+_xlfn.XLOOKUP(Group!$B62,BS_UAE!$C:$C,BS_UAE!AE:AE)),0)</f>
        <v>9543892.6900000013</v>
      </c>
      <c r="AE62" s="3">
        <f>IF(AE$3&lt;=Summary!$C$2,(_xlfn.XLOOKUP(Group!$B62,BS_NG!$C:$C,BS_NG!AF:AF)+_xlfn.XLOOKUP(Group!$B62,BS_UK!$C:$C,BS_UK!AF:AF)+_xlfn.XLOOKUP(Group!$B62,BS_UAE!$C:$C,BS_UAE!AF:AF)),0)</f>
        <v>0</v>
      </c>
      <c r="AF62" s="3">
        <f>IF(AF$3&lt;=Summary!$C$2,(_xlfn.XLOOKUP(Group!$B62,BS_NG!$C:$C,BS_NG!AG:AG)+_xlfn.XLOOKUP(Group!$B62,BS_UK!$C:$C,BS_UK!AG:AG)+_xlfn.XLOOKUP(Group!$B62,BS_UAE!$C:$C,BS_UAE!AG:AG)),0)</f>
        <v>0</v>
      </c>
      <c r="AG62" s="3">
        <f>IF(AG$3&lt;=Summary!$C$2,(_xlfn.XLOOKUP(Group!$B62,BS_NG!$C:$C,BS_NG!AH:AH)+_xlfn.XLOOKUP(Group!$B62,BS_UK!$C:$C,BS_UK!AH:AH)+_xlfn.XLOOKUP(Group!$B62,BS_UAE!$C:$C,BS_UAE!AH:AH)),0)</f>
        <v>0</v>
      </c>
      <c r="AH62" s="3">
        <f>IF(AH$3&lt;=Summary!$C$2,(_xlfn.XLOOKUP(Group!$B62,BS_NG!$C:$C,BS_NG!AI:AI)+_xlfn.XLOOKUP(Group!$B62,BS_UK!$C:$C,BS_UK!AI:AI)+_xlfn.XLOOKUP(Group!$B62,BS_UAE!$C:$C,BS_UAE!AI:AI)),0)</f>
        <v>0</v>
      </c>
      <c r="AI62" s="3">
        <f>IF(AI$3&lt;=Summary!$C$2,(_xlfn.XLOOKUP(Group!$B62,BS_NG!$C:$C,BS_NG!AJ:AJ)+_xlfn.XLOOKUP(Group!$B62,BS_UK!$C:$C,BS_UK!AJ:AJ)+_xlfn.XLOOKUP(Group!$B62,BS_UAE!$C:$C,BS_UAE!AJ:AJ)),0)</f>
        <v>0</v>
      </c>
      <c r="AJ62" s="3">
        <f>IF(AJ$3&lt;=Summary!$C$2,(_xlfn.XLOOKUP(Group!$B62,BS_NG!$C:$C,BS_NG!AK:AK)+_xlfn.XLOOKUP(Group!$B62,BS_UK!$C:$C,BS_UK!AK:AK)+_xlfn.XLOOKUP(Group!$B62,BS_UAE!$C:$C,BS_UAE!AK:AK)),0)</f>
        <v>0</v>
      </c>
      <c r="AK62" s="3">
        <f>IF(AK$3&lt;=Summary!$C$2,(_xlfn.XLOOKUP(Group!$B62,BS_NG!$C:$C,BS_NG!AL:AL)+_xlfn.XLOOKUP(Group!$B62,BS_UK!$C:$C,BS_UK!AL:AL)+_xlfn.XLOOKUP(Group!$B62,BS_UAE!$C:$C,BS_UAE!AL:AL)),0)</f>
        <v>0</v>
      </c>
      <c r="AL62" s="3">
        <f>IF(AL$3&lt;=Summary!$C$2,(_xlfn.XLOOKUP(Group!$B62,BS_NG!$C:$C,BS_NG!AM:AM)+_xlfn.XLOOKUP(Group!$B62,BS_UK!$C:$C,BS_UK!AM:AM)+_xlfn.XLOOKUP(Group!$B62,BS_UAE!$C:$C,BS_UAE!AM:AM)),0)</f>
        <v>0</v>
      </c>
    </row>
    <row r="63" spans="2:38" x14ac:dyDescent="0.2">
      <c r="B63" s="1" t="s">
        <v>40</v>
      </c>
      <c r="C63" s="3">
        <f>IF(C$3&lt;=Summary!$C$2,(_xlfn.XLOOKUP(Group!$B63,BS_NG!$C:$C,BS_NG!D:D)+_xlfn.XLOOKUP(Group!$B63,BS_UK!$C:$C,BS_UK!D:D)+_xlfn.XLOOKUP(Group!$B63,BS_UAE!$C:$C,BS_UAE!D:D)),0)</f>
        <v>502395863.79999995</v>
      </c>
      <c r="D63" s="3">
        <f>IF(D$3&lt;=Summary!$C$2,(_xlfn.XLOOKUP(Group!$B63,BS_NG!$C:$C,BS_NG!E:E)+_xlfn.XLOOKUP(Group!$B63,BS_UK!$C:$C,BS_UK!E:E)+_xlfn.XLOOKUP(Group!$B63,BS_UAE!$C:$C,BS_UAE!E:E)),0)</f>
        <v>518878438.23000002</v>
      </c>
      <c r="E63" s="3">
        <f>IF(E$3&lt;=Summary!$C$2,(_xlfn.XLOOKUP(Group!$B63,BS_NG!$C:$C,BS_NG!F:F)+_xlfn.XLOOKUP(Group!$B63,BS_UK!$C:$C,BS_UK!F:F)+_xlfn.XLOOKUP(Group!$B63,BS_UAE!$C:$C,BS_UAE!F:F)),0)</f>
        <v>586054443.81000006</v>
      </c>
      <c r="F63" s="3">
        <f>IF(F$3&lt;=Summary!$C$2,(_xlfn.XLOOKUP(Group!$B63,BS_NG!$C:$C,BS_NG!G:G)+_xlfn.XLOOKUP(Group!$B63,BS_UK!$C:$C,BS_UK!G:G)+_xlfn.XLOOKUP(Group!$B63,BS_UAE!$C:$C,BS_UAE!G:G)),0)</f>
        <v>675002267.11000001</v>
      </c>
      <c r="G63" s="3">
        <f>IF(G$3&lt;=Summary!$C$2,(_xlfn.XLOOKUP(Group!$B63,BS_NG!$C:$C,BS_NG!H:H)+_xlfn.XLOOKUP(Group!$B63,BS_UK!$C:$C,BS_UK!H:H)+_xlfn.XLOOKUP(Group!$B63,BS_UAE!$C:$C,BS_UAE!H:H)),0)</f>
        <v>719457772.25999999</v>
      </c>
      <c r="H63" s="3">
        <f>IF(H$3&lt;=Summary!$C$2,(_xlfn.XLOOKUP(Group!$B63,BS_NG!$C:$C,BS_NG!I:I)+_xlfn.XLOOKUP(Group!$B63,BS_UK!$C:$C,BS_UK!I:I)+_xlfn.XLOOKUP(Group!$B63,BS_UAE!$C:$C,BS_UAE!I:I)),0)</f>
        <v>716061987.92000008</v>
      </c>
      <c r="I63" s="3">
        <f>IF(I$3&lt;=Summary!$C$2,(_xlfn.XLOOKUP(Group!$B63,BS_NG!$C:$C,BS_NG!J:J)+_xlfn.XLOOKUP(Group!$B63,BS_UK!$C:$C,BS_UK!J:J)+_xlfn.XLOOKUP(Group!$B63,BS_UAE!$C:$C,BS_UAE!J:J)),0)</f>
        <v>718395515.28999996</v>
      </c>
      <c r="J63" s="3">
        <f>IF(J$3&lt;=Summary!$C$2,(_xlfn.XLOOKUP(Group!$B63,BS_NG!$C:$C,BS_NG!K:K)+_xlfn.XLOOKUP(Group!$B63,BS_UK!$C:$C,BS_UK!K:K)+_xlfn.XLOOKUP(Group!$B63,BS_UAE!$C:$C,BS_UAE!K:K)),0)</f>
        <v>760653316.64999998</v>
      </c>
      <c r="K63" s="3">
        <f>IF(K$3&lt;=Summary!$C$2,(_xlfn.XLOOKUP(Group!$B63,BS_NG!$C:$C,BS_NG!L:L)+_xlfn.XLOOKUP(Group!$B63,BS_UK!$C:$C,BS_UK!L:L)+_xlfn.XLOOKUP(Group!$B63,BS_UAE!$C:$C,BS_UAE!L:L)),0)</f>
        <v>747026913.75999999</v>
      </c>
      <c r="L63" s="3">
        <f>IF(L$3&lt;=Summary!$C$2,(_xlfn.XLOOKUP(Group!$B63,BS_NG!$C:$C,BS_NG!M:M)+_xlfn.XLOOKUP(Group!$B63,BS_UK!$C:$C,BS_UK!M:M)+_xlfn.XLOOKUP(Group!$B63,BS_UAE!$C:$C,BS_UAE!M:M)),0)</f>
        <v>773475604.94000006</v>
      </c>
      <c r="M63" s="3">
        <f>IF(M$3&lt;=Summary!$C$2,(_xlfn.XLOOKUP(Group!$B63,BS_NG!$C:$C,BS_NG!N:N)+_xlfn.XLOOKUP(Group!$B63,BS_UK!$C:$C,BS_UK!N:N)+_xlfn.XLOOKUP(Group!$B63,BS_UAE!$C:$C,BS_UAE!N:N)),0)</f>
        <v>789124418.83000004</v>
      </c>
      <c r="N63" s="3">
        <f>IF(N$3&lt;=Summary!$C$2,(_xlfn.XLOOKUP(Group!$B63,BS_NG!$C:$C,BS_NG!O:O)+_xlfn.XLOOKUP(Group!$B63,BS_UK!$C:$C,BS_UK!O:O)+_xlfn.XLOOKUP(Group!$B63,BS_UAE!$C:$C,BS_UAE!O:O)),0)</f>
        <v>800499536.00999999</v>
      </c>
      <c r="O63" s="3">
        <f>IF(O$3&lt;=Summary!$C$2,(_xlfn.XLOOKUP(Group!$B63,BS_NG!$C:$C,BS_NG!P:P)+_xlfn.XLOOKUP(Group!$B63,BS_UK!$C:$C,BS_UK!P:P)+_xlfn.XLOOKUP(Group!$B63,BS_UAE!$C:$C,BS_UAE!P:P)),0)</f>
        <v>830907247.24000001</v>
      </c>
      <c r="P63" s="3">
        <f>IF(P$3&lt;=Summary!$C$2,(_xlfn.XLOOKUP(Group!$B63,BS_NG!$C:$C,BS_NG!Q:Q)+_xlfn.XLOOKUP(Group!$B63,BS_UK!$C:$C,BS_UK!Q:Q)+_xlfn.XLOOKUP(Group!$B63,BS_UAE!$C:$C,BS_UAE!Q:Q)),0)</f>
        <v>827473630.24000001</v>
      </c>
      <c r="Q63" s="3">
        <f>IF(Q$3&lt;=Summary!$C$2,(_xlfn.XLOOKUP(Group!$B63,BS_NG!$C:$C,BS_NG!R:R)+_xlfn.XLOOKUP(Group!$B63,BS_UK!$C:$C,BS_UK!R:R)+_xlfn.XLOOKUP(Group!$B63,BS_UAE!$C:$C,BS_UAE!R:R)),0)</f>
        <v>913024701.74000001</v>
      </c>
      <c r="R63" s="3">
        <f>IF(R$3&lt;=Summary!$C$2,(_xlfn.XLOOKUP(Group!$B63,BS_NG!$C:$C,BS_NG!S:S)+_xlfn.XLOOKUP(Group!$B63,BS_UK!$C:$C,BS_UK!S:S)+_xlfn.XLOOKUP(Group!$B63,BS_UAE!$C:$C,BS_UAE!S:S)),0)</f>
        <v>916745789.49000001</v>
      </c>
      <c r="S63" s="3">
        <f>IF(S$3&lt;=Summary!$C$2,(_xlfn.XLOOKUP(Group!$B63,BS_NG!$C:$C,BS_NG!T:T)+_xlfn.XLOOKUP(Group!$B63,BS_UK!$C:$C,BS_UK!T:T)+_xlfn.XLOOKUP(Group!$B63,BS_UAE!$C:$C,BS_UAE!T:T)),0)</f>
        <v>931712721.87</v>
      </c>
      <c r="T63" s="3">
        <f>IF(T$3&lt;=Summary!$C$2,(_xlfn.XLOOKUP(Group!$B63,BS_NG!$C:$C,BS_NG!U:U)+_xlfn.XLOOKUP(Group!$B63,BS_UK!$C:$C,BS_UK!U:U)+_xlfn.XLOOKUP(Group!$B63,BS_UAE!$C:$C,BS_UAE!U:U)),0)</f>
        <v>974298208.76999998</v>
      </c>
      <c r="U63" s="3">
        <f>IF(U$3&lt;=Summary!$C$2,(_xlfn.XLOOKUP(Group!$B63,BS_NG!$C:$C,BS_NG!V:V)+_xlfn.XLOOKUP(Group!$B63,BS_UK!$C:$C,BS_UK!V:V)+_xlfn.XLOOKUP(Group!$B63,BS_UAE!$C:$C,BS_UAE!V:V)),0)</f>
        <v>978662323.24111998</v>
      </c>
      <c r="V63" s="3">
        <f>IF(V$3&lt;=Summary!$C$2,(_xlfn.XLOOKUP(Group!$B63,BS_NG!$C:$C,BS_NG!W:W)+_xlfn.XLOOKUP(Group!$B63,BS_UK!$C:$C,BS_UK!W:W)+_xlfn.XLOOKUP(Group!$B63,BS_UAE!$C:$C,BS_UAE!W:W)),0)</f>
        <v>955003557.71808004</v>
      </c>
      <c r="W63" s="3">
        <f>IF(W$3&lt;=Summary!$C$2,(_xlfn.XLOOKUP(Group!$B63,BS_NG!$C:$C,BS_NG!X:X)+_xlfn.XLOOKUP(Group!$B63,BS_UK!$C:$C,BS_UK!X:X)+_xlfn.XLOOKUP(Group!$B63,BS_UAE!$C:$C,BS_UAE!X:X)),0)</f>
        <v>953138253.31775999</v>
      </c>
      <c r="X63" s="3">
        <f>IF(X$3&lt;=Summary!$C$2,(_xlfn.XLOOKUP(Group!$B63,BS_NG!$C:$C,BS_NG!Y:Y)+_xlfn.XLOOKUP(Group!$B63,BS_UK!$C:$C,BS_UK!Y:Y)+_xlfn.XLOOKUP(Group!$B63,BS_UAE!$C:$C,BS_UAE!Y:Y)),0)</f>
        <v>953337292.25599992</v>
      </c>
      <c r="Y63" s="3">
        <f>IF(Y$3&lt;=Summary!$C$2,(_xlfn.XLOOKUP(Group!$B63,BS_NG!$C:$C,BS_NG!Z:Z)+_xlfn.XLOOKUP(Group!$B63,BS_UK!$C:$C,BS_UK!Z:Z)+_xlfn.XLOOKUP(Group!$B63,BS_UAE!$C:$C,BS_UAE!Z:Z)),0)</f>
        <v>963014911.95525014</v>
      </c>
      <c r="Z63" s="3">
        <f>IF(Z$3&lt;=Summary!$C$2,(_xlfn.XLOOKUP(Group!$B63,BS_NG!$C:$C,BS_NG!AA:AA)+_xlfn.XLOOKUP(Group!$B63,BS_UK!$C:$C,BS_UK!AA:AA)+_xlfn.XLOOKUP(Group!$B63,BS_UAE!$C:$C,BS_UAE!AA:AA)),0)</f>
        <v>565389264.09296989</v>
      </c>
      <c r="AA63" s="3">
        <f>IF(AA$3&lt;=Summary!$C$2,(_xlfn.XLOOKUP(Group!$B63,BS_NG!$C:$C,BS_NG!AB:AB)+_xlfn.XLOOKUP(Group!$B63,BS_UK!$C:$C,BS_UK!AB:AB)+_xlfn.XLOOKUP(Group!$B63,BS_UAE!$C:$C,BS_UAE!AB:AB)),0)</f>
        <v>562510752.72627997</v>
      </c>
      <c r="AB63" s="3">
        <f>IF(AB$3&lt;=Summary!$C$2,(_xlfn.XLOOKUP(Group!$B63,BS_NG!$C:$C,BS_NG!AC:AC)+_xlfn.XLOOKUP(Group!$B63,BS_UK!$C:$C,BS_UK!AC:AC)+_xlfn.XLOOKUP(Group!$B63,BS_UAE!$C:$C,BS_UAE!AC:AC)),0)</f>
        <v>564897328.05830002</v>
      </c>
      <c r="AC63" s="3">
        <f>IF(AC$3&lt;=Summary!$C$2,(_xlfn.XLOOKUP(Group!$B63,BS_NG!$C:$C,BS_NG!AD:AD)+_xlfn.XLOOKUP(Group!$B63,BS_UK!$C:$C,BS_UK!AD:AD)+_xlfn.XLOOKUP(Group!$B63,BS_UAE!$C:$C,BS_UAE!AD:AD)),0)</f>
        <v>570169931.21501994</v>
      </c>
      <c r="AD63" s="3">
        <f>IF(AD$3&lt;=Summary!$C$2,(_xlfn.XLOOKUP(Group!$B63,BS_NG!$C:$C,BS_NG!AE:AE)+_xlfn.XLOOKUP(Group!$B63,BS_UK!$C:$C,BS_UK!AE:AE)+_xlfn.XLOOKUP(Group!$B63,BS_UAE!$C:$C,BS_UAE!AE:AE)),0)</f>
        <v>572655930.97296</v>
      </c>
      <c r="AE63" s="3">
        <f>IF(AE$3&lt;=Summary!$C$2,(_xlfn.XLOOKUP(Group!$B63,BS_NG!$C:$C,BS_NG!AF:AF)+_xlfn.XLOOKUP(Group!$B63,BS_UK!$C:$C,BS_UK!AF:AF)+_xlfn.XLOOKUP(Group!$B63,BS_UAE!$C:$C,BS_UAE!AF:AF)),0)</f>
        <v>0</v>
      </c>
      <c r="AF63" s="3">
        <f>IF(AF$3&lt;=Summary!$C$2,(_xlfn.XLOOKUP(Group!$B63,BS_NG!$C:$C,BS_NG!AG:AG)+_xlfn.XLOOKUP(Group!$B63,BS_UK!$C:$C,BS_UK!AG:AG)+_xlfn.XLOOKUP(Group!$B63,BS_UAE!$C:$C,BS_UAE!AG:AG)),0)</f>
        <v>0</v>
      </c>
      <c r="AG63" s="3">
        <f>IF(AG$3&lt;=Summary!$C$2,(_xlfn.XLOOKUP(Group!$B63,BS_NG!$C:$C,BS_NG!AH:AH)+_xlfn.XLOOKUP(Group!$B63,BS_UK!$C:$C,BS_UK!AH:AH)+_xlfn.XLOOKUP(Group!$B63,BS_UAE!$C:$C,BS_UAE!AH:AH)),0)</f>
        <v>0</v>
      </c>
      <c r="AH63" s="3">
        <f>IF(AH$3&lt;=Summary!$C$2,(_xlfn.XLOOKUP(Group!$B63,BS_NG!$C:$C,BS_NG!AI:AI)+_xlfn.XLOOKUP(Group!$B63,BS_UK!$C:$C,BS_UK!AI:AI)+_xlfn.XLOOKUP(Group!$B63,BS_UAE!$C:$C,BS_UAE!AI:AI)),0)</f>
        <v>0</v>
      </c>
      <c r="AI63" s="3">
        <f>IF(AI$3&lt;=Summary!$C$2,(_xlfn.XLOOKUP(Group!$B63,BS_NG!$C:$C,BS_NG!AJ:AJ)+_xlfn.XLOOKUP(Group!$B63,BS_UK!$C:$C,BS_UK!AJ:AJ)+_xlfn.XLOOKUP(Group!$B63,BS_UAE!$C:$C,BS_UAE!AJ:AJ)),0)</f>
        <v>0</v>
      </c>
      <c r="AJ63" s="3">
        <f>IF(AJ$3&lt;=Summary!$C$2,(_xlfn.XLOOKUP(Group!$B63,BS_NG!$C:$C,BS_NG!AK:AK)+_xlfn.XLOOKUP(Group!$B63,BS_UK!$C:$C,BS_UK!AK:AK)+_xlfn.XLOOKUP(Group!$B63,BS_UAE!$C:$C,BS_UAE!AK:AK)),0)</f>
        <v>0</v>
      </c>
      <c r="AK63" s="3">
        <f>IF(AK$3&lt;=Summary!$C$2,(_xlfn.XLOOKUP(Group!$B63,BS_NG!$C:$C,BS_NG!AL:AL)+_xlfn.XLOOKUP(Group!$B63,BS_UK!$C:$C,BS_UK!AL:AL)+_xlfn.XLOOKUP(Group!$B63,BS_UAE!$C:$C,BS_UAE!AL:AL)),0)</f>
        <v>0</v>
      </c>
      <c r="AL63" s="3">
        <f>IF(AL$3&lt;=Summary!$C$2,(_xlfn.XLOOKUP(Group!$B63,BS_NG!$C:$C,BS_NG!AM:AM)+_xlfn.XLOOKUP(Group!$B63,BS_UK!$C:$C,BS_UK!AM:AM)+_xlfn.XLOOKUP(Group!$B63,BS_UAE!$C:$C,BS_UAE!AM:AM)),0)</f>
        <v>0</v>
      </c>
    </row>
    <row r="64" spans="2:38" x14ac:dyDescent="0.2">
      <c r="B64" s="1" t="s">
        <v>42</v>
      </c>
      <c r="C64" s="3">
        <f>IF(C$3&lt;=Summary!$C$2,(_xlfn.XLOOKUP(Group!$B64,BS_NG!$C:$C,BS_NG!D:D)+_xlfn.XLOOKUP(Group!$B64,BS_UK!$C:$C,BS_UK!D:D)+_xlfn.XLOOKUP(Group!$B64,BS_UAE!$C:$C,BS_UAE!D:D)),0)</f>
        <v>-223229333.73000002</v>
      </c>
      <c r="D64" s="3">
        <f>IF(D$3&lt;=Summary!$C$2,(_xlfn.XLOOKUP(Group!$B64,BS_NG!$C:$C,BS_NG!E:E)+_xlfn.XLOOKUP(Group!$B64,BS_UK!$C:$C,BS_UK!E:E)+_xlfn.XLOOKUP(Group!$B64,BS_UAE!$C:$C,BS_UAE!E:E)),0)</f>
        <v>-237971707.19999999</v>
      </c>
      <c r="E64" s="3">
        <f>IF(E$3&lt;=Summary!$C$2,(_xlfn.XLOOKUP(Group!$B64,BS_NG!$C:$C,BS_NG!F:F)+_xlfn.XLOOKUP(Group!$B64,BS_UK!$C:$C,BS_UK!F:F)+_xlfn.XLOOKUP(Group!$B64,BS_UAE!$C:$C,BS_UAE!F:F)),0)</f>
        <v>-247148013.91000006</v>
      </c>
      <c r="F64" s="3">
        <f>IF(F$3&lt;=Summary!$C$2,(_xlfn.XLOOKUP(Group!$B64,BS_NG!$C:$C,BS_NG!G:G)+_xlfn.XLOOKUP(Group!$B64,BS_UK!$C:$C,BS_UK!G:G)+_xlfn.XLOOKUP(Group!$B64,BS_UAE!$C:$C,BS_UAE!G:G)),0)</f>
        <v>-235679259.72999999</v>
      </c>
      <c r="G64" s="3">
        <f>IF(G$3&lt;=Summary!$C$2,(_xlfn.XLOOKUP(Group!$B64,BS_NG!$C:$C,BS_NG!H:H)+_xlfn.XLOOKUP(Group!$B64,BS_UK!$C:$C,BS_UK!H:H)+_xlfn.XLOOKUP(Group!$B64,BS_UAE!$C:$C,BS_UAE!H:H)),0)</f>
        <v>-225560473.58999997</v>
      </c>
      <c r="H64" s="3">
        <f>IF(H$3&lt;=Summary!$C$2,(_xlfn.XLOOKUP(Group!$B64,BS_NG!$C:$C,BS_NG!I:I)+_xlfn.XLOOKUP(Group!$B64,BS_UK!$C:$C,BS_UK!I:I)+_xlfn.XLOOKUP(Group!$B64,BS_UAE!$C:$C,BS_UAE!I:I)),0)</f>
        <v>-220436906.86999997</v>
      </c>
      <c r="I64" s="3">
        <f>IF(I$3&lt;=Summary!$C$2,(_xlfn.XLOOKUP(Group!$B64,BS_NG!$C:$C,BS_NG!J:J)+_xlfn.XLOOKUP(Group!$B64,BS_UK!$C:$C,BS_UK!J:J)+_xlfn.XLOOKUP(Group!$B64,BS_UAE!$C:$C,BS_UAE!J:J)),0)</f>
        <v>-201354787.86999997</v>
      </c>
      <c r="J64" s="3">
        <f>IF(J$3&lt;=Summary!$C$2,(_xlfn.XLOOKUP(Group!$B64,BS_NG!$C:$C,BS_NG!K:K)+_xlfn.XLOOKUP(Group!$B64,BS_UK!$C:$C,BS_UK!K:K)+_xlfn.XLOOKUP(Group!$B64,BS_UAE!$C:$C,BS_UAE!K:K)),0)</f>
        <v>-203359045.60000002</v>
      </c>
      <c r="K64" s="3">
        <f>IF(K$3&lt;=Summary!$C$2,(_xlfn.XLOOKUP(Group!$B64,BS_NG!$C:$C,BS_NG!L:L)+_xlfn.XLOOKUP(Group!$B64,BS_UK!$C:$C,BS_UK!L:L)+_xlfn.XLOOKUP(Group!$B64,BS_UAE!$C:$C,BS_UAE!L:L)),0)</f>
        <v>-162299774.25000003</v>
      </c>
      <c r="L64" s="3">
        <f>IF(L$3&lt;=Summary!$C$2,(_xlfn.XLOOKUP(Group!$B64,BS_NG!$C:$C,BS_NG!M:M)+_xlfn.XLOOKUP(Group!$B64,BS_UK!$C:$C,BS_UK!M:M)+_xlfn.XLOOKUP(Group!$B64,BS_UAE!$C:$C,BS_UAE!M:M)),0)</f>
        <v>-147468831.05000001</v>
      </c>
      <c r="M64" s="3">
        <f>IF(M$3&lt;=Summary!$C$2,(_xlfn.XLOOKUP(Group!$B64,BS_NG!$C:$C,BS_NG!N:N)+_xlfn.XLOOKUP(Group!$B64,BS_UK!$C:$C,BS_UK!N:N)+_xlfn.XLOOKUP(Group!$B64,BS_UAE!$C:$C,BS_UAE!N:N)),0)</f>
        <v>-233599626.43999997</v>
      </c>
      <c r="N64" s="3">
        <f>IF(N$3&lt;=Summary!$C$2,(_xlfn.XLOOKUP(Group!$B64,BS_NG!$C:$C,BS_NG!O:O)+_xlfn.XLOOKUP(Group!$B64,BS_UK!$C:$C,BS_UK!O:O)+_xlfn.XLOOKUP(Group!$B64,BS_UAE!$C:$C,BS_UAE!O:O)),0)</f>
        <v>-686020461.24000001</v>
      </c>
      <c r="O64" s="3">
        <f>IF(O$3&lt;=Summary!$C$2,(_xlfn.XLOOKUP(Group!$B64,BS_NG!$C:$C,BS_NG!P:P)+_xlfn.XLOOKUP(Group!$B64,BS_UK!$C:$C,BS_UK!P:P)+_xlfn.XLOOKUP(Group!$B64,BS_UAE!$C:$C,BS_UAE!P:P)),0)</f>
        <v>-680922844.75999999</v>
      </c>
      <c r="P64" s="3">
        <f>IF(P$3&lt;=Summary!$C$2,(_xlfn.XLOOKUP(Group!$B64,BS_NG!$C:$C,BS_NG!Q:Q)+_xlfn.XLOOKUP(Group!$B64,BS_UK!$C:$C,BS_UK!Q:Q)+_xlfn.XLOOKUP(Group!$B64,BS_UAE!$C:$C,BS_UAE!Q:Q)),0)</f>
        <v>-631109515.26000011</v>
      </c>
      <c r="Q64" s="3">
        <f>IF(Q$3&lt;=Summary!$C$2,(_xlfn.XLOOKUP(Group!$B64,BS_NG!$C:$C,BS_NG!R:R)+_xlfn.XLOOKUP(Group!$B64,BS_UK!$C:$C,BS_UK!R:R)+_xlfn.XLOOKUP(Group!$B64,BS_UAE!$C:$C,BS_UAE!R:R)),0)</f>
        <v>-626234866.28000009</v>
      </c>
      <c r="R64" s="3">
        <f>IF(R$3&lt;=Summary!$C$2,(_xlfn.XLOOKUP(Group!$B64,BS_NG!$C:$C,BS_NG!S:S)+_xlfn.XLOOKUP(Group!$B64,BS_UK!$C:$C,BS_UK!S:S)+_xlfn.XLOOKUP(Group!$B64,BS_UAE!$C:$C,BS_UAE!S:S)),0)</f>
        <v>-621685155.61000013</v>
      </c>
      <c r="S64" s="3">
        <f>IF(S$3&lt;=Summary!$C$2,(_xlfn.XLOOKUP(Group!$B64,BS_NG!$C:$C,BS_NG!T:T)+_xlfn.XLOOKUP(Group!$B64,BS_UK!$C:$C,BS_UK!T:T)+_xlfn.XLOOKUP(Group!$B64,BS_UAE!$C:$C,BS_UAE!T:T)),0)</f>
        <v>-617073935.08000016</v>
      </c>
      <c r="T64" s="3">
        <f>IF(T$3&lt;=Summary!$C$2,(_xlfn.XLOOKUP(Group!$B64,BS_NG!$C:$C,BS_NG!U:U)+_xlfn.XLOOKUP(Group!$B64,BS_UK!$C:$C,BS_UK!U:U)+_xlfn.XLOOKUP(Group!$B64,BS_UAE!$C:$C,BS_UAE!U:U)),0)</f>
        <v>-612165829.42000008</v>
      </c>
      <c r="U64" s="3">
        <f>IF(U$3&lt;=Summary!$C$2,(_xlfn.XLOOKUP(Group!$B64,BS_NG!$C:$C,BS_NG!V:V)+_xlfn.XLOOKUP(Group!$B64,BS_UK!$C:$C,BS_UK!V:V)+_xlfn.XLOOKUP(Group!$B64,BS_UAE!$C:$C,BS_UAE!V:V)),0)</f>
        <v>-607600104.93000007</v>
      </c>
      <c r="V64" s="3">
        <f>IF(V$3&lt;=Summary!$C$2,(_xlfn.XLOOKUP(Group!$B64,BS_NG!$C:$C,BS_NG!W:W)+_xlfn.XLOOKUP(Group!$B64,BS_UK!$C:$C,BS_UK!W:W)+_xlfn.XLOOKUP(Group!$B64,BS_UAE!$C:$C,BS_UAE!W:W)),0)</f>
        <v>-604610433.31000006</v>
      </c>
      <c r="W64" s="3">
        <f>IF(W$3&lt;=Summary!$C$2,(_xlfn.XLOOKUP(Group!$B64,BS_NG!$C:$C,BS_NG!X:X)+_xlfn.XLOOKUP(Group!$B64,BS_UK!$C:$C,BS_UK!X:X)+_xlfn.XLOOKUP(Group!$B64,BS_UAE!$C:$C,BS_UAE!X:X)),0)</f>
        <v>-630492702.65999997</v>
      </c>
      <c r="X64" s="3">
        <f>IF(X$3&lt;=Summary!$C$2,(_xlfn.XLOOKUP(Group!$B64,BS_NG!$C:$C,BS_NG!Y:Y)+_xlfn.XLOOKUP(Group!$B64,BS_UK!$C:$C,BS_UK!Y:Y)+_xlfn.XLOOKUP(Group!$B64,BS_UAE!$C:$C,BS_UAE!Y:Y)),0)</f>
        <v>-611847505.01000011</v>
      </c>
      <c r="Y64" s="3">
        <f>IF(Y$3&lt;=Summary!$C$2,(_xlfn.XLOOKUP(Group!$B64,BS_NG!$C:$C,BS_NG!Z:Z)+_xlfn.XLOOKUP(Group!$B64,BS_UK!$C:$C,BS_UK!Z:Z)+_xlfn.XLOOKUP(Group!$B64,BS_UAE!$C:$C,BS_UAE!Z:Z)),0)</f>
        <v>-607893006.83000004</v>
      </c>
      <c r="Z64" s="3">
        <f>IF(Z$3&lt;=Summary!$C$2,(_xlfn.XLOOKUP(Group!$B64,BS_NG!$C:$C,BS_NG!AA:AA)+_xlfn.XLOOKUP(Group!$B64,BS_UK!$C:$C,BS_UK!AA:AA)+_xlfn.XLOOKUP(Group!$B64,BS_UAE!$C:$C,BS_UAE!AA:AA)),0)</f>
        <v>-1184527506.54</v>
      </c>
      <c r="AA64" s="3">
        <f>IF(AA$3&lt;=Summary!$C$2,(_xlfn.XLOOKUP(Group!$B64,BS_NG!$C:$C,BS_NG!AB:AB)+_xlfn.XLOOKUP(Group!$B64,BS_UK!$C:$C,BS_UK!AB:AB)+_xlfn.XLOOKUP(Group!$B64,BS_UAE!$C:$C,BS_UAE!AB:AB)),0)</f>
        <v>-1157457828.8099999</v>
      </c>
      <c r="AB64" s="3">
        <f>IF(AB$3&lt;=Summary!$C$2,(_xlfn.XLOOKUP(Group!$B64,BS_NG!$C:$C,BS_NG!AC:AC)+_xlfn.XLOOKUP(Group!$B64,BS_UK!$C:$C,BS_UK!AC:AC)+_xlfn.XLOOKUP(Group!$B64,BS_UAE!$C:$C,BS_UAE!AC:AC)),0)</f>
        <v>-1135126830.0299997</v>
      </c>
      <c r="AC64" s="3">
        <f>IF(AC$3&lt;=Summary!$C$2,(_xlfn.XLOOKUP(Group!$B64,BS_NG!$C:$C,BS_NG!AD:AD)+_xlfn.XLOOKUP(Group!$B64,BS_UK!$C:$C,BS_UK!AD:AD)+_xlfn.XLOOKUP(Group!$B64,BS_UAE!$C:$C,BS_UAE!AD:AD)),0)</f>
        <v>-1109715539.78</v>
      </c>
      <c r="AD64" s="3">
        <f>IF(AD$3&lt;=Summary!$C$2,(_xlfn.XLOOKUP(Group!$B64,BS_NG!$C:$C,BS_NG!AE:AE)+_xlfn.XLOOKUP(Group!$B64,BS_UK!$C:$C,BS_UK!AE:AE)+_xlfn.XLOOKUP(Group!$B64,BS_UAE!$C:$C,BS_UAE!AE:AE)),0)</f>
        <v>-1089905843.3899999</v>
      </c>
      <c r="AE64" s="3">
        <f>IF(AE$3&lt;=Summary!$C$2,(_xlfn.XLOOKUP(Group!$B64,BS_NG!$C:$C,BS_NG!AF:AF)+_xlfn.XLOOKUP(Group!$B64,BS_UK!$C:$C,BS_UK!AF:AF)+_xlfn.XLOOKUP(Group!$B64,BS_UAE!$C:$C,BS_UAE!AF:AF)),0)</f>
        <v>0</v>
      </c>
      <c r="AF64" s="3">
        <f>IF(AF$3&lt;=Summary!$C$2,(_xlfn.XLOOKUP(Group!$B64,BS_NG!$C:$C,BS_NG!AG:AG)+_xlfn.XLOOKUP(Group!$B64,BS_UK!$C:$C,BS_UK!AG:AG)+_xlfn.XLOOKUP(Group!$B64,BS_UAE!$C:$C,BS_UAE!AG:AG)),0)</f>
        <v>0</v>
      </c>
      <c r="AG64" s="3">
        <f>IF(AG$3&lt;=Summary!$C$2,(_xlfn.XLOOKUP(Group!$B64,BS_NG!$C:$C,BS_NG!AH:AH)+_xlfn.XLOOKUP(Group!$B64,BS_UK!$C:$C,BS_UK!AH:AH)+_xlfn.XLOOKUP(Group!$B64,BS_UAE!$C:$C,BS_UAE!AH:AH)),0)</f>
        <v>0</v>
      </c>
      <c r="AH64" s="3">
        <f>IF(AH$3&lt;=Summary!$C$2,(_xlfn.XLOOKUP(Group!$B64,BS_NG!$C:$C,BS_NG!AI:AI)+_xlfn.XLOOKUP(Group!$B64,BS_UK!$C:$C,BS_UK!AI:AI)+_xlfn.XLOOKUP(Group!$B64,BS_UAE!$C:$C,BS_UAE!AI:AI)),0)</f>
        <v>0</v>
      </c>
      <c r="AI64" s="3">
        <f>IF(AI$3&lt;=Summary!$C$2,(_xlfn.XLOOKUP(Group!$B64,BS_NG!$C:$C,BS_NG!AJ:AJ)+_xlfn.XLOOKUP(Group!$B64,BS_UK!$C:$C,BS_UK!AJ:AJ)+_xlfn.XLOOKUP(Group!$B64,BS_UAE!$C:$C,BS_UAE!AJ:AJ)),0)</f>
        <v>0</v>
      </c>
      <c r="AJ64" s="3">
        <f>IF(AJ$3&lt;=Summary!$C$2,(_xlfn.XLOOKUP(Group!$B64,BS_NG!$C:$C,BS_NG!AK:AK)+_xlfn.XLOOKUP(Group!$B64,BS_UK!$C:$C,BS_UK!AK:AK)+_xlfn.XLOOKUP(Group!$B64,BS_UAE!$C:$C,BS_UAE!AK:AK)),0)</f>
        <v>0</v>
      </c>
      <c r="AK64" s="3">
        <f>IF(AK$3&lt;=Summary!$C$2,(_xlfn.XLOOKUP(Group!$B64,BS_NG!$C:$C,BS_NG!AL:AL)+_xlfn.XLOOKUP(Group!$B64,BS_UK!$C:$C,BS_UK!AL:AL)+_xlfn.XLOOKUP(Group!$B64,BS_UAE!$C:$C,BS_UAE!AL:AL)),0)</f>
        <v>0</v>
      </c>
      <c r="AL64" s="3">
        <f>IF(AL$3&lt;=Summary!$C$2,(_xlfn.XLOOKUP(Group!$B64,BS_NG!$C:$C,BS_NG!AM:AM)+_xlfn.XLOOKUP(Group!$B64,BS_UK!$C:$C,BS_UK!AM:AM)+_xlfn.XLOOKUP(Group!$B64,BS_UAE!$C:$C,BS_UAE!AM:AM)),0)</f>
        <v>0</v>
      </c>
    </row>
    <row r="65" spans="2:38" x14ac:dyDescent="0.2">
      <c r="B65" s="1" t="s">
        <v>45</v>
      </c>
      <c r="C65" s="3">
        <f>IF(C$3&lt;=Summary!$C$2,(_xlfn.XLOOKUP(Group!$B65,BS_NG!$C:$C,BS_NG!D:D)+_xlfn.XLOOKUP(Group!$B65,BS_UK!$C:$C,BS_UK!D:D)+_xlfn.XLOOKUP(Group!$B65,BS_UAE!$C:$C,BS_UAE!D:D)),0)</f>
        <v>287249430.41122997</v>
      </c>
      <c r="D65" s="3">
        <f>IF(D$3&lt;=Summary!$C$2,(_xlfn.XLOOKUP(Group!$B65,BS_NG!$C:$C,BS_NG!E:E)+_xlfn.XLOOKUP(Group!$B65,BS_UK!$C:$C,BS_UK!E:E)+_xlfn.XLOOKUP(Group!$B65,BS_UAE!$C:$C,BS_UAE!E:E)),0)</f>
        <v>284697343.24843997</v>
      </c>
      <c r="E65" s="3">
        <f>IF(E$3&lt;=Summary!$C$2,(_xlfn.XLOOKUP(Group!$B65,BS_NG!$C:$C,BS_NG!F:F)+_xlfn.XLOOKUP(Group!$B65,BS_UK!$C:$C,BS_UK!F:F)+_xlfn.XLOOKUP(Group!$B65,BS_UAE!$C:$C,BS_UAE!F:F)),0)</f>
        <v>281815963.01761991</v>
      </c>
      <c r="F65" s="3">
        <f>IF(F$3&lt;=Summary!$C$2,(_xlfn.XLOOKUP(Group!$B65,BS_NG!$C:$C,BS_NG!G:G)+_xlfn.XLOOKUP(Group!$B65,BS_UK!$C:$C,BS_UK!G:G)+_xlfn.XLOOKUP(Group!$B65,BS_UAE!$C:$C,BS_UAE!G:G)),0)</f>
        <v>287861661.12976992</v>
      </c>
      <c r="G65" s="3">
        <f>IF(G$3&lt;=Summary!$C$2,(_xlfn.XLOOKUP(Group!$B65,BS_NG!$C:$C,BS_NG!H:H)+_xlfn.XLOOKUP(Group!$B65,BS_UK!$C:$C,BS_UK!H:H)+_xlfn.XLOOKUP(Group!$B65,BS_UAE!$C:$C,BS_UAE!H:H)),0)</f>
        <v>301085405.96991998</v>
      </c>
      <c r="H65" s="3">
        <f>IF(H$3&lt;=Summary!$C$2,(_xlfn.XLOOKUP(Group!$B65,BS_NG!$C:$C,BS_NG!I:I)+_xlfn.XLOOKUP(Group!$B65,BS_UK!$C:$C,BS_UK!I:I)+_xlfn.XLOOKUP(Group!$B65,BS_UAE!$C:$C,BS_UAE!I:I)),0)</f>
        <v>299443401.78103012</v>
      </c>
      <c r="I65" s="3">
        <f>IF(I$3&lt;=Summary!$C$2,(_xlfn.XLOOKUP(Group!$B65,BS_NG!$C:$C,BS_NG!J:J)+_xlfn.XLOOKUP(Group!$B65,BS_UK!$C:$C,BS_UK!J:J)+_xlfn.XLOOKUP(Group!$B65,BS_UAE!$C:$C,BS_UAE!J:J)),0)</f>
        <v>302345361.11838007</v>
      </c>
      <c r="J65" s="3">
        <f>IF(J$3&lt;=Summary!$C$2,(_xlfn.XLOOKUP(Group!$B65,BS_NG!$C:$C,BS_NG!K:K)+_xlfn.XLOOKUP(Group!$B65,BS_UK!$C:$C,BS_UK!K:K)+_xlfn.XLOOKUP(Group!$B65,BS_UAE!$C:$C,BS_UAE!K:K)),0)</f>
        <v>303042236.18971008</v>
      </c>
      <c r="K65" s="3">
        <f>IF(K$3&lt;=Summary!$C$2,(_xlfn.XLOOKUP(Group!$B65,BS_NG!$C:$C,BS_NG!L:L)+_xlfn.XLOOKUP(Group!$B65,BS_UK!$C:$C,BS_UK!L:L)+_xlfn.XLOOKUP(Group!$B65,BS_UAE!$C:$C,BS_UAE!L:L)),0)</f>
        <v>300396968.47461003</v>
      </c>
      <c r="L65" s="3">
        <f>IF(L$3&lt;=Summary!$C$2,(_xlfn.XLOOKUP(Group!$B65,BS_NG!$C:$C,BS_NG!M:M)+_xlfn.XLOOKUP(Group!$B65,BS_UK!$C:$C,BS_UK!M:M)+_xlfn.XLOOKUP(Group!$B65,BS_UAE!$C:$C,BS_UAE!M:M)),0)</f>
        <v>309454023.13028014</v>
      </c>
      <c r="M65" s="3">
        <f>IF(M$3&lt;=Summary!$C$2,(_xlfn.XLOOKUP(Group!$B65,BS_NG!$C:$C,BS_NG!N:N)+_xlfn.XLOOKUP(Group!$B65,BS_UK!$C:$C,BS_UK!N:N)+_xlfn.XLOOKUP(Group!$B65,BS_UAE!$C:$C,BS_UAE!N:N)),0)</f>
        <v>313984704.51430005</v>
      </c>
      <c r="N65" s="3">
        <f>IF(N$3&lt;=Summary!$C$2,(_xlfn.XLOOKUP(Group!$B65,BS_NG!$C:$C,BS_NG!O:O)+_xlfn.XLOOKUP(Group!$B65,BS_UK!$C:$C,BS_UK!O:O)+_xlfn.XLOOKUP(Group!$B65,BS_UAE!$C:$C,BS_UAE!O:O)),0)</f>
        <v>324960980.89767998</v>
      </c>
      <c r="O65" s="3">
        <f>IF(O$3&lt;=Summary!$C$2,(_xlfn.XLOOKUP(Group!$B65,BS_NG!$C:$C,BS_NG!P:P)+_xlfn.XLOOKUP(Group!$B65,BS_UK!$C:$C,BS_UK!P:P)+_xlfn.XLOOKUP(Group!$B65,BS_UAE!$C:$C,BS_UAE!P:P)),0)</f>
        <v>321007198.83690006</v>
      </c>
      <c r="P65" s="3">
        <f>IF(P$3&lt;=Summary!$C$2,(_xlfn.XLOOKUP(Group!$B65,BS_NG!$C:$C,BS_NG!Q:Q)+_xlfn.XLOOKUP(Group!$B65,BS_UK!$C:$C,BS_UK!Q:Q)+_xlfn.XLOOKUP(Group!$B65,BS_UAE!$C:$C,BS_UAE!Q:Q)),0)</f>
        <v>333026908.3939603</v>
      </c>
      <c r="Q65" s="3">
        <f>IF(Q$3&lt;=Summary!$C$2,(_xlfn.XLOOKUP(Group!$B65,BS_NG!$C:$C,BS_NG!R:R)+_xlfn.XLOOKUP(Group!$B65,BS_UK!$C:$C,BS_UK!R:R)+_xlfn.XLOOKUP(Group!$B65,BS_UAE!$C:$C,BS_UAE!R:R)),0)</f>
        <v>331061824.63951021</v>
      </c>
      <c r="R65" s="3">
        <f>IF(R$3&lt;=Summary!$C$2,(_xlfn.XLOOKUP(Group!$B65,BS_NG!$C:$C,BS_NG!S:S)+_xlfn.XLOOKUP(Group!$B65,BS_UK!$C:$C,BS_UK!S:S)+_xlfn.XLOOKUP(Group!$B65,BS_UAE!$C:$C,BS_UAE!S:S)),0)</f>
        <v>327743285.56221026</v>
      </c>
      <c r="S65" s="3">
        <f>IF(S$3&lt;=Summary!$C$2,(_xlfn.XLOOKUP(Group!$B65,BS_NG!$C:$C,BS_NG!T:T)+_xlfn.XLOOKUP(Group!$B65,BS_UK!$C:$C,BS_UK!T:T)+_xlfn.XLOOKUP(Group!$B65,BS_UAE!$C:$C,BS_UAE!T:T)),0)</f>
        <v>324410989.72291017</v>
      </c>
      <c r="T65" s="3">
        <f>IF(T$3&lt;=Summary!$C$2,(_xlfn.XLOOKUP(Group!$B65,BS_NG!$C:$C,BS_NG!U:U)+_xlfn.XLOOKUP(Group!$B65,BS_UK!$C:$C,BS_UK!U:U)+_xlfn.XLOOKUP(Group!$B65,BS_UAE!$C:$C,BS_UAE!U:U)),0)</f>
        <v>320403423.89639008</v>
      </c>
      <c r="U65" s="3">
        <f>IF(U$3&lt;=Summary!$C$2,(_xlfn.XLOOKUP(Group!$B65,BS_NG!$C:$C,BS_NG!V:V)+_xlfn.XLOOKUP(Group!$B65,BS_UK!$C:$C,BS_UK!V:V)+_xlfn.XLOOKUP(Group!$B65,BS_UAE!$C:$C,BS_UAE!V:V)),0)</f>
        <v>327152271.55228019</v>
      </c>
      <c r="V65" s="3">
        <f>IF(V$3&lt;=Summary!$C$2,(_xlfn.XLOOKUP(Group!$B65,BS_NG!$C:$C,BS_NG!W:W)+_xlfn.XLOOKUP(Group!$B65,BS_UK!$C:$C,BS_UK!W:W)+_xlfn.XLOOKUP(Group!$B65,BS_UAE!$C:$C,BS_UAE!W:W)),0)</f>
        <v>332307772.43372017</v>
      </c>
      <c r="W65" s="3">
        <f>IF(W$3&lt;=Summary!$C$2,(_xlfn.XLOOKUP(Group!$B65,BS_NG!$C:$C,BS_NG!X:X)+_xlfn.XLOOKUP(Group!$B65,BS_UK!$C:$C,BS_UK!X:X)+_xlfn.XLOOKUP(Group!$B65,BS_UAE!$C:$C,BS_UAE!X:X)),0)</f>
        <v>327947235.50284022</v>
      </c>
      <c r="X65" s="3">
        <f>IF(X$3&lt;=Summary!$C$2,(_xlfn.XLOOKUP(Group!$B65,BS_NG!$C:$C,BS_NG!Y:Y)+_xlfn.XLOOKUP(Group!$B65,BS_UK!$C:$C,BS_UK!Y:Y)+_xlfn.XLOOKUP(Group!$B65,BS_UAE!$C:$C,BS_UAE!Y:Y)),0)</f>
        <v>323518859.17700011</v>
      </c>
      <c r="Y65" s="3">
        <f>IF(Y$3&lt;=Summary!$C$2,(_xlfn.XLOOKUP(Group!$B65,BS_NG!$C:$C,BS_NG!Z:Z)+_xlfn.XLOOKUP(Group!$B65,BS_UK!$C:$C,BS_UK!Z:Z)+_xlfn.XLOOKUP(Group!$B65,BS_UAE!$C:$C,BS_UAE!Z:Z)),0)</f>
        <v>332707182.61245024</v>
      </c>
      <c r="Z65" s="3">
        <f>IF(Z$3&lt;=Summary!$C$2,(_xlfn.XLOOKUP(Group!$B65,BS_NG!$C:$C,BS_NG!AA:AA)+_xlfn.XLOOKUP(Group!$B65,BS_UK!$C:$C,BS_UK!AA:AA)+_xlfn.XLOOKUP(Group!$B65,BS_UAE!$C:$C,BS_UAE!AA:AA)),0)</f>
        <v>331343689.99893022</v>
      </c>
      <c r="AA65" s="3">
        <f>IF(AA$3&lt;=Summary!$C$2,(_xlfn.XLOOKUP(Group!$B65,BS_NG!$C:$C,BS_NG!AB:AB)+_xlfn.XLOOKUP(Group!$B65,BS_UK!$C:$C,BS_UK!AB:AB)+_xlfn.XLOOKUP(Group!$B65,BS_UAE!$C:$C,BS_UAE!AB:AB)),0)</f>
        <v>312436906.63392013</v>
      </c>
      <c r="AB65" s="3">
        <f>IF(AB$3&lt;=Summary!$C$2,(_xlfn.XLOOKUP(Group!$B65,BS_NG!$C:$C,BS_NG!AC:AC)+_xlfn.XLOOKUP(Group!$B65,BS_UK!$C:$C,BS_UK!AC:AC)+_xlfn.XLOOKUP(Group!$B65,BS_UAE!$C:$C,BS_UAE!AC:AC)),0)</f>
        <v>314638788.13385016</v>
      </c>
      <c r="AC65" s="3">
        <f>IF(AC$3&lt;=Summary!$C$2,(_xlfn.XLOOKUP(Group!$B65,BS_NG!$C:$C,BS_NG!AD:AD)+_xlfn.XLOOKUP(Group!$B65,BS_UK!$C:$C,BS_UK!AD:AD)+_xlfn.XLOOKUP(Group!$B65,BS_UAE!$C:$C,BS_UAE!AD:AD)),0)</f>
        <v>327825146.27373022</v>
      </c>
      <c r="AD65" s="3">
        <f>IF(AD$3&lt;=Summary!$C$2,(_xlfn.XLOOKUP(Group!$B65,BS_NG!$C:$C,BS_NG!AE:AE)+_xlfn.XLOOKUP(Group!$B65,BS_UK!$C:$C,BS_UK!AE:AE)+_xlfn.XLOOKUP(Group!$B65,BS_UAE!$C:$C,BS_UAE!AE:AE)),0)</f>
        <v>338320734.00424021</v>
      </c>
      <c r="AE65" s="3">
        <f>IF(AE$3&lt;=Summary!$C$2,(_xlfn.XLOOKUP(Group!$B65,BS_NG!$C:$C,BS_NG!AF:AF)+_xlfn.XLOOKUP(Group!$B65,BS_UK!$C:$C,BS_UK!AF:AF)+_xlfn.XLOOKUP(Group!$B65,BS_UAE!$C:$C,BS_UAE!AF:AF)),0)</f>
        <v>0</v>
      </c>
      <c r="AF65" s="3">
        <f>IF(AF$3&lt;=Summary!$C$2,(_xlfn.XLOOKUP(Group!$B65,BS_NG!$C:$C,BS_NG!AG:AG)+_xlfn.XLOOKUP(Group!$B65,BS_UK!$C:$C,BS_UK!AG:AG)+_xlfn.XLOOKUP(Group!$B65,BS_UAE!$C:$C,BS_UAE!AG:AG)),0)</f>
        <v>0</v>
      </c>
      <c r="AG65" s="3">
        <f>IF(AG$3&lt;=Summary!$C$2,(_xlfn.XLOOKUP(Group!$B65,BS_NG!$C:$C,BS_NG!AH:AH)+_xlfn.XLOOKUP(Group!$B65,BS_UK!$C:$C,BS_UK!AH:AH)+_xlfn.XLOOKUP(Group!$B65,BS_UAE!$C:$C,BS_UAE!AH:AH)),0)</f>
        <v>0</v>
      </c>
      <c r="AH65" s="3">
        <f>IF(AH$3&lt;=Summary!$C$2,(_xlfn.XLOOKUP(Group!$B65,BS_NG!$C:$C,BS_NG!AI:AI)+_xlfn.XLOOKUP(Group!$B65,BS_UK!$C:$C,BS_UK!AI:AI)+_xlfn.XLOOKUP(Group!$B65,BS_UAE!$C:$C,BS_UAE!AI:AI)),0)</f>
        <v>0</v>
      </c>
      <c r="AI65" s="3">
        <f>IF(AI$3&lt;=Summary!$C$2,(_xlfn.XLOOKUP(Group!$B65,BS_NG!$C:$C,BS_NG!AJ:AJ)+_xlfn.XLOOKUP(Group!$B65,BS_UK!$C:$C,BS_UK!AJ:AJ)+_xlfn.XLOOKUP(Group!$B65,BS_UAE!$C:$C,BS_UAE!AJ:AJ)),0)</f>
        <v>0</v>
      </c>
      <c r="AJ65" s="3">
        <f>IF(AJ$3&lt;=Summary!$C$2,(_xlfn.XLOOKUP(Group!$B65,BS_NG!$C:$C,BS_NG!AK:AK)+_xlfn.XLOOKUP(Group!$B65,BS_UK!$C:$C,BS_UK!AK:AK)+_xlfn.XLOOKUP(Group!$B65,BS_UAE!$C:$C,BS_UAE!AK:AK)),0)</f>
        <v>0</v>
      </c>
      <c r="AK65" s="3">
        <f>IF(AK$3&lt;=Summary!$C$2,(_xlfn.XLOOKUP(Group!$B65,BS_NG!$C:$C,BS_NG!AL:AL)+_xlfn.XLOOKUP(Group!$B65,BS_UK!$C:$C,BS_UK!AL:AL)+_xlfn.XLOOKUP(Group!$B65,BS_UAE!$C:$C,BS_UAE!AL:AL)),0)</f>
        <v>0</v>
      </c>
      <c r="AL65" s="3">
        <f>IF(AL$3&lt;=Summary!$C$2,(_xlfn.XLOOKUP(Group!$B65,BS_NG!$C:$C,BS_NG!AM:AM)+_xlfn.XLOOKUP(Group!$B65,BS_UK!$C:$C,BS_UK!AM:AM)+_xlfn.XLOOKUP(Group!$B65,BS_UAE!$C:$C,BS_UAE!AM:AM)),0)</f>
        <v>0</v>
      </c>
    </row>
    <row r="66" spans="2:38" x14ac:dyDescent="0.2">
      <c r="B66" s="1" t="s">
        <v>47</v>
      </c>
      <c r="C66" s="3">
        <f>IF(C$3&lt;=Summary!$C$2,(_xlfn.XLOOKUP(Group!$B66,BS_NG!$C:$C,BS_NG!D:D)+_xlfn.XLOOKUP(Group!$B66,BS_UK!$C:$C,BS_UK!D:D)+_xlfn.XLOOKUP(Group!$B66,BS_UAE!$C:$C,BS_UAE!D:D)),0)</f>
        <v>356733187.21999997</v>
      </c>
      <c r="D66" s="3">
        <f>IF(D$3&lt;=Summary!$C$2,(_xlfn.XLOOKUP(Group!$B66,BS_NG!$C:$C,BS_NG!E:E)+_xlfn.XLOOKUP(Group!$B66,BS_UK!$C:$C,BS_UK!E:E)+_xlfn.XLOOKUP(Group!$B66,BS_UAE!$C:$C,BS_UAE!E:E)),0)</f>
        <v>375767514.88999999</v>
      </c>
      <c r="E66" s="3">
        <f>IF(E$3&lt;=Summary!$C$2,(_xlfn.XLOOKUP(Group!$B66,BS_NG!$C:$C,BS_NG!F:F)+_xlfn.XLOOKUP(Group!$B66,BS_UK!$C:$C,BS_UK!F:F)+_xlfn.XLOOKUP(Group!$B66,BS_UAE!$C:$C,BS_UAE!F:F)),0)</f>
        <v>401042059.88999999</v>
      </c>
      <c r="F66" s="3">
        <f>IF(F$3&lt;=Summary!$C$2,(_xlfn.XLOOKUP(Group!$B66,BS_NG!$C:$C,BS_NG!G:G)+_xlfn.XLOOKUP(Group!$B66,BS_UK!$C:$C,BS_UK!G:G)+_xlfn.XLOOKUP(Group!$B66,BS_UAE!$C:$C,BS_UAE!G:G)),0)</f>
        <v>422266201.25999999</v>
      </c>
      <c r="G66" s="3">
        <f>IF(G$3&lt;=Summary!$C$2,(_xlfn.XLOOKUP(Group!$B66,BS_NG!$C:$C,BS_NG!H:H)+_xlfn.XLOOKUP(Group!$B66,BS_UK!$C:$C,BS_UK!H:H)+_xlfn.XLOOKUP(Group!$B66,BS_UAE!$C:$C,BS_UAE!H:H)),0)</f>
        <v>444511257.23999995</v>
      </c>
      <c r="H66" s="3">
        <f>IF(H$3&lt;=Summary!$C$2,(_xlfn.XLOOKUP(Group!$B66,BS_NG!$C:$C,BS_NG!I:I)+_xlfn.XLOOKUP(Group!$B66,BS_UK!$C:$C,BS_UK!I:I)+_xlfn.XLOOKUP(Group!$B66,BS_UAE!$C:$C,BS_UAE!I:I)),0)</f>
        <v>515019294.84999996</v>
      </c>
      <c r="I66" s="3">
        <f>IF(I$3&lt;=Summary!$C$2,(_xlfn.XLOOKUP(Group!$B66,BS_NG!$C:$C,BS_NG!J:J)+_xlfn.XLOOKUP(Group!$B66,BS_UK!$C:$C,BS_UK!J:J)+_xlfn.XLOOKUP(Group!$B66,BS_UAE!$C:$C,BS_UAE!J:J)),0)</f>
        <v>626701867.00000012</v>
      </c>
      <c r="J66" s="3">
        <f>IF(J$3&lt;=Summary!$C$2,(_xlfn.XLOOKUP(Group!$B66,BS_NG!$C:$C,BS_NG!K:K)+_xlfn.XLOOKUP(Group!$B66,BS_UK!$C:$C,BS_UK!K:K)+_xlfn.XLOOKUP(Group!$B66,BS_UAE!$C:$C,BS_UAE!K:K)),0)</f>
        <v>707316883.80999994</v>
      </c>
      <c r="K66" s="3">
        <f>IF(K$3&lt;=Summary!$C$2,(_xlfn.XLOOKUP(Group!$B66,BS_NG!$C:$C,BS_NG!L:L)+_xlfn.XLOOKUP(Group!$B66,BS_UK!$C:$C,BS_UK!L:L)+_xlfn.XLOOKUP(Group!$B66,BS_UAE!$C:$C,BS_UAE!L:L)),0)</f>
        <v>832631513.98999989</v>
      </c>
      <c r="L66" s="3">
        <f>IF(L$3&lt;=Summary!$C$2,(_xlfn.XLOOKUP(Group!$B66,BS_NG!$C:$C,BS_NG!M:M)+_xlfn.XLOOKUP(Group!$B66,BS_UK!$C:$C,BS_UK!M:M)+_xlfn.XLOOKUP(Group!$B66,BS_UAE!$C:$C,BS_UAE!M:M)),0)</f>
        <v>992876264.81999993</v>
      </c>
      <c r="M66" s="3">
        <f>IF(M$3&lt;=Summary!$C$2,(_xlfn.XLOOKUP(Group!$B66,BS_NG!$C:$C,BS_NG!N:N)+_xlfn.XLOOKUP(Group!$B66,BS_UK!$C:$C,BS_UK!N:N)+_xlfn.XLOOKUP(Group!$B66,BS_UAE!$C:$C,BS_UAE!N:N)),0)</f>
        <v>1030157606.8399998</v>
      </c>
      <c r="N66" s="3">
        <f>IF(N$3&lt;=Summary!$C$2,(_xlfn.XLOOKUP(Group!$B66,BS_NG!$C:$C,BS_NG!O:O)+_xlfn.XLOOKUP(Group!$B66,BS_UK!$C:$C,BS_UK!O:O)+_xlfn.XLOOKUP(Group!$B66,BS_UAE!$C:$C,BS_UAE!O:O)),0)</f>
        <v>1068229840.64</v>
      </c>
      <c r="O66" s="3">
        <f>IF(O$3&lt;=Summary!$C$2,(_xlfn.XLOOKUP(Group!$B66,BS_NG!$C:$C,BS_NG!P:P)+_xlfn.XLOOKUP(Group!$B66,BS_UK!$C:$C,BS_UK!P:P)+_xlfn.XLOOKUP(Group!$B66,BS_UAE!$C:$C,BS_UAE!P:P)),0)</f>
        <v>1205774376.72</v>
      </c>
      <c r="P66" s="3">
        <f>IF(P$3&lt;=Summary!$C$2,(_xlfn.XLOOKUP(Group!$B66,BS_NG!$C:$C,BS_NG!Q:Q)+_xlfn.XLOOKUP(Group!$B66,BS_UK!$C:$C,BS_UK!Q:Q)+_xlfn.XLOOKUP(Group!$B66,BS_UAE!$C:$C,BS_UAE!Q:Q)),0)</f>
        <v>1308420439.8400002</v>
      </c>
      <c r="Q66" s="3">
        <f>IF(Q$3&lt;=Summary!$C$2,(_xlfn.XLOOKUP(Group!$B66,BS_NG!$C:$C,BS_NG!R:R)+_xlfn.XLOOKUP(Group!$B66,BS_UK!$C:$C,BS_UK!R:R)+_xlfn.XLOOKUP(Group!$B66,BS_UAE!$C:$C,BS_UAE!R:R)),0)</f>
        <v>1370968222.2600002</v>
      </c>
      <c r="R66" s="3">
        <f>IF(R$3&lt;=Summary!$C$2,(_xlfn.XLOOKUP(Group!$B66,BS_NG!$C:$C,BS_NG!S:S)+_xlfn.XLOOKUP(Group!$B66,BS_UK!$C:$C,BS_UK!S:S)+_xlfn.XLOOKUP(Group!$B66,BS_UAE!$C:$C,BS_UAE!S:S)),0)</f>
        <v>1565219971.0000002</v>
      </c>
      <c r="S66" s="3">
        <f>IF(S$3&lt;=Summary!$C$2,(_xlfn.XLOOKUP(Group!$B66,BS_NG!$C:$C,BS_NG!T:T)+_xlfn.XLOOKUP(Group!$B66,BS_UK!$C:$C,BS_UK!T:T)+_xlfn.XLOOKUP(Group!$B66,BS_UAE!$C:$C,BS_UAE!T:T)),0)</f>
        <v>1569929664.8699999</v>
      </c>
      <c r="T66" s="3">
        <f>IF(T$3&lt;=Summary!$C$2,(_xlfn.XLOOKUP(Group!$B66,BS_NG!$C:$C,BS_NG!U:U)+_xlfn.XLOOKUP(Group!$B66,BS_UK!$C:$C,BS_UK!U:U)+_xlfn.XLOOKUP(Group!$B66,BS_UAE!$C:$C,BS_UAE!U:U)),0)</f>
        <v>1644099481.6800001</v>
      </c>
      <c r="U66" s="3">
        <f>IF(U$3&lt;=Summary!$C$2,(_xlfn.XLOOKUP(Group!$B66,BS_NG!$C:$C,BS_NG!V:V)+_xlfn.XLOOKUP(Group!$B66,BS_UK!$C:$C,BS_UK!V:V)+_xlfn.XLOOKUP(Group!$B66,BS_UAE!$C:$C,BS_UAE!V:V)),0)</f>
        <v>1741464447.3300002</v>
      </c>
      <c r="V66" s="3">
        <f>IF(V$3&lt;=Summary!$C$2,(_xlfn.XLOOKUP(Group!$B66,BS_NG!$C:$C,BS_NG!W:W)+_xlfn.XLOOKUP(Group!$B66,BS_UK!$C:$C,BS_UK!W:W)+_xlfn.XLOOKUP(Group!$B66,BS_UAE!$C:$C,BS_UAE!W:W)),0)</f>
        <v>1932739530.6500001</v>
      </c>
      <c r="W66" s="3">
        <f>IF(W$3&lt;=Summary!$C$2,(_xlfn.XLOOKUP(Group!$B66,BS_NG!$C:$C,BS_NG!X:X)+_xlfn.XLOOKUP(Group!$B66,BS_UK!$C:$C,BS_UK!X:X)+_xlfn.XLOOKUP(Group!$B66,BS_UAE!$C:$C,BS_UAE!X:X)),0)</f>
        <v>2061690374.5600002</v>
      </c>
      <c r="X66" s="3">
        <f>IF(X$3&lt;=Summary!$C$2,(_xlfn.XLOOKUP(Group!$B66,BS_NG!$C:$C,BS_NG!Y:Y)+_xlfn.XLOOKUP(Group!$B66,BS_UK!$C:$C,BS_UK!Y:Y)+_xlfn.XLOOKUP(Group!$B66,BS_UAE!$C:$C,BS_UAE!Y:Y)),0)</f>
        <v>2145742755.4200001</v>
      </c>
      <c r="Y66" s="3">
        <f>IF(Y$3&lt;=Summary!$C$2,(_xlfn.XLOOKUP(Group!$B66,BS_NG!$C:$C,BS_NG!Z:Z)+_xlfn.XLOOKUP(Group!$B66,BS_UK!$C:$C,BS_UK!Z:Z)+_xlfn.XLOOKUP(Group!$B66,BS_UAE!$C:$C,BS_UAE!Z:Z)),0)</f>
        <v>2171594356.3899999</v>
      </c>
      <c r="Z66" s="3">
        <f>IF(Z$3&lt;=Summary!$C$2,(_xlfn.XLOOKUP(Group!$B66,BS_NG!$C:$C,BS_NG!AA:AA)+_xlfn.XLOOKUP(Group!$B66,BS_UK!$C:$C,BS_UK!AA:AA)+_xlfn.XLOOKUP(Group!$B66,BS_UAE!$C:$C,BS_UAE!AA:AA)),0)</f>
        <v>2348801350.21</v>
      </c>
      <c r="AA66" s="3">
        <f>IF(AA$3&lt;=Summary!$C$2,(_xlfn.XLOOKUP(Group!$B66,BS_NG!$C:$C,BS_NG!AB:AB)+_xlfn.XLOOKUP(Group!$B66,BS_UK!$C:$C,BS_UK!AB:AB)+_xlfn.XLOOKUP(Group!$B66,BS_UAE!$C:$C,BS_UAE!AB:AB)),0)</f>
        <v>2362191517.2500005</v>
      </c>
      <c r="AB66" s="3">
        <f>IF(AB$3&lt;=Summary!$C$2,(_xlfn.XLOOKUP(Group!$B66,BS_NG!$C:$C,BS_NG!AC:AC)+_xlfn.XLOOKUP(Group!$B66,BS_UK!$C:$C,BS_UK!AC:AC)+_xlfn.XLOOKUP(Group!$B66,BS_UAE!$C:$C,BS_UAE!AC:AC)),0)</f>
        <v>2358463048.6099997</v>
      </c>
      <c r="AC66" s="3">
        <f>IF(AC$3&lt;=Summary!$C$2,(_xlfn.XLOOKUP(Group!$B66,BS_NG!$C:$C,BS_NG!AD:AD)+_xlfn.XLOOKUP(Group!$B66,BS_UK!$C:$C,BS_UK!AD:AD)+_xlfn.XLOOKUP(Group!$B66,BS_UAE!$C:$C,BS_UAE!AD:AD)),0)</f>
        <v>2432833832.9799995</v>
      </c>
      <c r="AD66" s="3">
        <f>IF(AD$3&lt;=Summary!$C$2,(_xlfn.XLOOKUP(Group!$B66,BS_NG!$C:$C,BS_NG!AE:AE)+_xlfn.XLOOKUP(Group!$B66,BS_UK!$C:$C,BS_UK!AE:AE)+_xlfn.XLOOKUP(Group!$B66,BS_UAE!$C:$C,BS_UAE!AE:AE)),0)</f>
        <v>2425515971.3800001</v>
      </c>
      <c r="AE66" s="3">
        <f>IF(AE$3&lt;=Summary!$C$2,(_xlfn.XLOOKUP(Group!$B66,BS_NG!$C:$C,BS_NG!AF:AF)+_xlfn.XLOOKUP(Group!$B66,BS_UK!$C:$C,BS_UK!AF:AF)+_xlfn.XLOOKUP(Group!$B66,BS_UAE!$C:$C,BS_UAE!AF:AF)),0)</f>
        <v>0</v>
      </c>
      <c r="AF66" s="3">
        <f>IF(AF$3&lt;=Summary!$C$2,(_xlfn.XLOOKUP(Group!$B66,BS_NG!$C:$C,BS_NG!AG:AG)+_xlfn.XLOOKUP(Group!$B66,BS_UK!$C:$C,BS_UK!AG:AG)+_xlfn.XLOOKUP(Group!$B66,BS_UAE!$C:$C,BS_UAE!AG:AG)),0)</f>
        <v>0</v>
      </c>
      <c r="AG66" s="3">
        <f>IF(AG$3&lt;=Summary!$C$2,(_xlfn.XLOOKUP(Group!$B66,BS_NG!$C:$C,BS_NG!AH:AH)+_xlfn.XLOOKUP(Group!$B66,BS_UK!$C:$C,BS_UK!AH:AH)+_xlfn.XLOOKUP(Group!$B66,BS_UAE!$C:$C,BS_UAE!AH:AH)),0)</f>
        <v>0</v>
      </c>
      <c r="AH66" s="3">
        <f>IF(AH$3&lt;=Summary!$C$2,(_xlfn.XLOOKUP(Group!$B66,BS_NG!$C:$C,BS_NG!AI:AI)+_xlfn.XLOOKUP(Group!$B66,BS_UK!$C:$C,BS_UK!AI:AI)+_xlfn.XLOOKUP(Group!$B66,BS_UAE!$C:$C,BS_UAE!AI:AI)),0)</f>
        <v>0</v>
      </c>
      <c r="AI66" s="3">
        <f>IF(AI$3&lt;=Summary!$C$2,(_xlfn.XLOOKUP(Group!$B66,BS_NG!$C:$C,BS_NG!AJ:AJ)+_xlfn.XLOOKUP(Group!$B66,BS_UK!$C:$C,BS_UK!AJ:AJ)+_xlfn.XLOOKUP(Group!$B66,BS_UAE!$C:$C,BS_UAE!AJ:AJ)),0)</f>
        <v>0</v>
      </c>
      <c r="AJ66" s="3">
        <f>IF(AJ$3&lt;=Summary!$C$2,(_xlfn.XLOOKUP(Group!$B66,BS_NG!$C:$C,BS_NG!AK:AK)+_xlfn.XLOOKUP(Group!$B66,BS_UK!$C:$C,BS_UK!AK:AK)+_xlfn.XLOOKUP(Group!$B66,BS_UAE!$C:$C,BS_UAE!AK:AK)),0)</f>
        <v>0</v>
      </c>
      <c r="AK66" s="3">
        <f>IF(AK$3&lt;=Summary!$C$2,(_xlfn.XLOOKUP(Group!$B66,BS_NG!$C:$C,BS_NG!AL:AL)+_xlfn.XLOOKUP(Group!$B66,BS_UK!$C:$C,BS_UK!AL:AL)+_xlfn.XLOOKUP(Group!$B66,BS_UAE!$C:$C,BS_UAE!AL:AL)),0)</f>
        <v>0</v>
      </c>
      <c r="AL66" s="3">
        <f>IF(AL$3&lt;=Summary!$C$2,(_xlfn.XLOOKUP(Group!$B66,BS_NG!$C:$C,BS_NG!AM:AM)+_xlfn.XLOOKUP(Group!$B66,BS_UK!$C:$C,BS_UK!AM:AM)+_xlfn.XLOOKUP(Group!$B66,BS_UAE!$C:$C,BS_UAE!AM:AM)),0)</f>
        <v>0</v>
      </c>
    </row>
    <row r="67" spans="2:38" x14ac:dyDescent="0.2">
      <c r="B67" s="1" t="s">
        <v>49</v>
      </c>
      <c r="C67" s="3">
        <f>IF(C$3&lt;=Summary!$C$2,(_xlfn.XLOOKUP(Group!$B67,BS_NG!$C:$C,BS_NG!D:D)+_xlfn.XLOOKUP(Group!$B67,BS_UK!$C:$C,BS_UK!D:D)+_xlfn.XLOOKUP(Group!$B67,BS_UAE!$C:$C,BS_UAE!D:D)),0)</f>
        <v>520056540.63999999</v>
      </c>
      <c r="D67" s="3">
        <f>IF(D$3&lt;=Summary!$C$2,(_xlfn.XLOOKUP(Group!$B67,BS_NG!$C:$C,BS_NG!E:E)+_xlfn.XLOOKUP(Group!$B67,BS_UK!$C:$C,BS_UK!E:E)+_xlfn.XLOOKUP(Group!$B67,BS_UAE!$C:$C,BS_UAE!E:E)),0)</f>
        <v>796815607.03999996</v>
      </c>
      <c r="E67" s="3">
        <f>IF(E$3&lt;=Summary!$C$2,(_xlfn.XLOOKUP(Group!$B67,BS_NG!$C:$C,BS_NG!F:F)+_xlfn.XLOOKUP(Group!$B67,BS_UK!$C:$C,BS_UK!F:F)+_xlfn.XLOOKUP(Group!$B67,BS_UAE!$C:$C,BS_UAE!F:F)),0)</f>
        <v>811815607.03999996</v>
      </c>
      <c r="F67" s="3">
        <f>IF(F$3&lt;=Summary!$C$2,(_xlfn.XLOOKUP(Group!$B67,BS_NG!$C:$C,BS_NG!G:G)+_xlfn.XLOOKUP(Group!$B67,BS_UK!$C:$C,BS_UK!G:G)+_xlfn.XLOOKUP(Group!$B67,BS_UAE!$C:$C,BS_UAE!G:G)),0)</f>
        <v>1099042002.3399999</v>
      </c>
      <c r="G67" s="3">
        <f>IF(G$3&lt;=Summary!$C$2,(_xlfn.XLOOKUP(Group!$B67,BS_NG!$C:$C,BS_NG!H:H)+_xlfn.XLOOKUP(Group!$B67,BS_UK!$C:$C,BS_UK!H:H)+_xlfn.XLOOKUP(Group!$B67,BS_UAE!$C:$C,BS_UAE!H:H)),0)</f>
        <v>1226045602.3399999</v>
      </c>
      <c r="H67" s="3">
        <f>IF(H$3&lt;=Summary!$C$2,(_xlfn.XLOOKUP(Group!$B67,BS_NG!$C:$C,BS_NG!I:I)+_xlfn.XLOOKUP(Group!$B67,BS_UK!$C:$C,BS_UK!I:I)+_xlfn.XLOOKUP(Group!$B67,BS_UAE!$C:$C,BS_UAE!I:I)),0)</f>
        <v>1226045602.3399999</v>
      </c>
      <c r="I67" s="3">
        <f>IF(I$3&lt;=Summary!$C$2,(_xlfn.XLOOKUP(Group!$B67,BS_NG!$C:$C,BS_NG!J:J)+_xlfn.XLOOKUP(Group!$B67,BS_UK!$C:$C,BS_UK!J:J)+_xlfn.XLOOKUP(Group!$B67,BS_UAE!$C:$C,BS_UAE!J:J)),0)</f>
        <v>1226045602.3399999</v>
      </c>
      <c r="J67" s="3">
        <f>IF(J$3&lt;=Summary!$C$2,(_xlfn.XLOOKUP(Group!$B67,BS_NG!$C:$C,BS_NG!K:K)+_xlfn.XLOOKUP(Group!$B67,BS_UK!$C:$C,BS_UK!K:K)+_xlfn.XLOOKUP(Group!$B67,BS_UAE!$C:$C,BS_UAE!K:K)),0)</f>
        <v>1477891675.8400002</v>
      </c>
      <c r="K67" s="3">
        <f>IF(K$3&lt;=Summary!$C$2,(_xlfn.XLOOKUP(Group!$B67,BS_NG!$C:$C,BS_NG!L:L)+_xlfn.XLOOKUP(Group!$B67,BS_UK!$C:$C,BS_UK!L:L)+_xlfn.XLOOKUP(Group!$B67,BS_UAE!$C:$C,BS_UAE!L:L)),0)</f>
        <v>1477891675.8400002</v>
      </c>
      <c r="L67" s="3">
        <f>IF(L$3&lt;=Summary!$C$2,(_xlfn.XLOOKUP(Group!$B67,BS_NG!$C:$C,BS_NG!M:M)+_xlfn.XLOOKUP(Group!$B67,BS_UK!$C:$C,BS_UK!M:M)+_xlfn.XLOOKUP(Group!$B67,BS_UAE!$C:$C,BS_UAE!M:M)),0)</f>
        <v>1480035349.0400002</v>
      </c>
      <c r="M67" s="3">
        <f>IF(M$3&lt;=Summary!$C$2,(_xlfn.XLOOKUP(Group!$B67,BS_NG!$C:$C,BS_NG!N:N)+_xlfn.XLOOKUP(Group!$B67,BS_UK!$C:$C,BS_UK!N:N)+_xlfn.XLOOKUP(Group!$B67,BS_UAE!$C:$C,BS_UAE!N:N)),0)</f>
        <v>1481035349.0400002</v>
      </c>
      <c r="N67" s="3">
        <f>IF(N$3&lt;=Summary!$C$2,(_xlfn.XLOOKUP(Group!$B67,BS_NG!$C:$C,BS_NG!O:O)+_xlfn.XLOOKUP(Group!$B67,BS_UK!$C:$C,BS_UK!O:O)+_xlfn.XLOOKUP(Group!$B67,BS_UAE!$C:$C,BS_UAE!O:O)),0)</f>
        <v>1499547509.0400002</v>
      </c>
      <c r="O67" s="3">
        <f>IF(O$3&lt;=Summary!$C$2,(_xlfn.XLOOKUP(Group!$B67,BS_NG!$C:$C,BS_NG!P:P)+_xlfn.XLOOKUP(Group!$B67,BS_UK!$C:$C,BS_UK!P:P)+_xlfn.XLOOKUP(Group!$B67,BS_UAE!$C:$C,BS_UAE!P:P)),0)</f>
        <v>1710630857.8400002</v>
      </c>
      <c r="P67" s="3">
        <f>IF(P$3&lt;=Summary!$C$2,(_xlfn.XLOOKUP(Group!$B67,BS_NG!$C:$C,BS_NG!Q:Q)+_xlfn.XLOOKUP(Group!$B67,BS_UK!$C:$C,BS_UK!Q:Q)+_xlfn.XLOOKUP(Group!$B67,BS_UAE!$C:$C,BS_UAE!Q:Q)),0)</f>
        <v>1710630857.8400002</v>
      </c>
      <c r="Q67" s="3">
        <f>IF(Q$3&lt;=Summary!$C$2,(_xlfn.XLOOKUP(Group!$B67,BS_NG!$C:$C,BS_NG!R:R)+_xlfn.XLOOKUP(Group!$B67,BS_UK!$C:$C,BS_UK!R:R)+_xlfn.XLOOKUP(Group!$B67,BS_UAE!$C:$C,BS_UAE!R:R)),0)</f>
        <v>1710630857.8400002</v>
      </c>
      <c r="R67" s="3">
        <f>IF(R$3&lt;=Summary!$C$2,(_xlfn.XLOOKUP(Group!$B67,BS_NG!$C:$C,BS_NG!S:S)+_xlfn.XLOOKUP(Group!$B67,BS_UK!$C:$C,BS_UK!S:S)+_xlfn.XLOOKUP(Group!$B67,BS_UAE!$C:$C,BS_UAE!S:S)),0)</f>
        <v>1892630207.8400002</v>
      </c>
      <c r="S67" s="3">
        <f>IF(S$3&lt;=Summary!$C$2,(_xlfn.XLOOKUP(Group!$B67,BS_NG!$C:$C,BS_NG!T:T)+_xlfn.XLOOKUP(Group!$B67,BS_UK!$C:$C,BS_UK!T:T)+_xlfn.XLOOKUP(Group!$B67,BS_UAE!$C:$C,BS_UAE!T:T)),0)</f>
        <v>1892630207.8400002</v>
      </c>
      <c r="T67" s="3">
        <f>IF(T$3&lt;=Summary!$C$2,(_xlfn.XLOOKUP(Group!$B67,BS_NG!$C:$C,BS_NG!U:U)+_xlfn.XLOOKUP(Group!$B67,BS_UK!$C:$C,BS_UK!U:U)+_xlfn.XLOOKUP(Group!$B67,BS_UAE!$C:$C,BS_UAE!U:U)),0)</f>
        <v>2051255043.9400001</v>
      </c>
      <c r="U67" s="3">
        <f>IF(U$3&lt;=Summary!$C$2,(_xlfn.XLOOKUP(Group!$B67,BS_NG!$C:$C,BS_NG!V:V)+_xlfn.XLOOKUP(Group!$B67,BS_UK!$C:$C,BS_UK!V:V)+_xlfn.XLOOKUP(Group!$B67,BS_UAE!$C:$C,BS_UAE!V:V)),0)</f>
        <v>2387707358.5499997</v>
      </c>
      <c r="V67" s="3">
        <f>IF(V$3&lt;=Summary!$C$2,(_xlfn.XLOOKUP(Group!$B67,BS_NG!$C:$C,BS_NG!W:W)+_xlfn.XLOOKUP(Group!$B67,BS_UK!$C:$C,BS_UK!W:W)+_xlfn.XLOOKUP(Group!$B67,BS_UAE!$C:$C,BS_UAE!W:W)),0)</f>
        <v>2387707358.5499997</v>
      </c>
      <c r="W67" s="3">
        <f>IF(W$3&lt;=Summary!$C$2,(_xlfn.XLOOKUP(Group!$B67,BS_NG!$C:$C,BS_NG!X:X)+_xlfn.XLOOKUP(Group!$B67,BS_UK!$C:$C,BS_UK!X:X)+_xlfn.XLOOKUP(Group!$B67,BS_UAE!$C:$C,BS_UAE!X:X)),0)</f>
        <v>2388924694.5899997</v>
      </c>
      <c r="X67" s="3">
        <f>IF(X$3&lt;=Summary!$C$2,(_xlfn.XLOOKUP(Group!$B67,BS_NG!$C:$C,BS_NG!Y:Y)+_xlfn.XLOOKUP(Group!$B67,BS_UK!$C:$C,BS_UK!Y:Y)+_xlfn.XLOOKUP(Group!$B67,BS_UAE!$C:$C,BS_UAE!Y:Y)),0)</f>
        <v>2388924694.5899997</v>
      </c>
      <c r="Y67" s="3">
        <f>IF(Y$3&lt;=Summary!$C$2,(_xlfn.XLOOKUP(Group!$B67,BS_NG!$C:$C,BS_NG!Z:Z)+_xlfn.XLOOKUP(Group!$B67,BS_UK!$C:$C,BS_UK!Z:Z)+_xlfn.XLOOKUP(Group!$B67,BS_UAE!$C:$C,BS_UAE!Z:Z)),0)</f>
        <v>2555385600.1900001</v>
      </c>
      <c r="Z67" s="3">
        <f>IF(Z$3&lt;=Summary!$C$2,(_xlfn.XLOOKUP(Group!$B67,BS_NG!$C:$C,BS_NG!AA:AA)+_xlfn.XLOOKUP(Group!$B67,BS_UK!$C:$C,BS_UK!AA:AA)+_xlfn.XLOOKUP(Group!$B67,BS_UAE!$C:$C,BS_UAE!AA:AA)),0)</f>
        <v>2555385600.1900001</v>
      </c>
      <c r="AA67" s="3">
        <f>IF(AA$3&lt;=Summary!$C$2,(_xlfn.XLOOKUP(Group!$B67,BS_NG!$C:$C,BS_NG!AB:AB)+_xlfn.XLOOKUP(Group!$B67,BS_UK!$C:$C,BS_UK!AB:AB)+_xlfn.XLOOKUP(Group!$B67,BS_UAE!$C:$C,BS_UAE!AB:AB)),0)</f>
        <v>2619237900.1900001</v>
      </c>
      <c r="AB67" s="3">
        <f>IF(AB$3&lt;=Summary!$C$2,(_xlfn.XLOOKUP(Group!$B67,BS_NG!$C:$C,BS_NG!AC:AC)+_xlfn.XLOOKUP(Group!$B67,BS_UK!$C:$C,BS_UK!AC:AC)+_xlfn.XLOOKUP(Group!$B67,BS_UAE!$C:$C,BS_UAE!AC:AC)),0)</f>
        <v>2619237900.1900001</v>
      </c>
      <c r="AC67" s="3">
        <f>IF(AC$3&lt;=Summary!$C$2,(_xlfn.XLOOKUP(Group!$B67,BS_NG!$C:$C,BS_NG!AD:AD)+_xlfn.XLOOKUP(Group!$B67,BS_UK!$C:$C,BS_UK!AD:AD)+_xlfn.XLOOKUP(Group!$B67,BS_UAE!$C:$C,BS_UAE!AD:AD)),0)</f>
        <v>2620349269.4300003</v>
      </c>
      <c r="AD67" s="3">
        <f>IF(AD$3&lt;=Summary!$C$2,(_xlfn.XLOOKUP(Group!$B67,BS_NG!$C:$C,BS_NG!AE:AE)+_xlfn.XLOOKUP(Group!$B67,BS_UK!$C:$C,BS_UK!AE:AE)+_xlfn.XLOOKUP(Group!$B67,BS_UAE!$C:$C,BS_UAE!AE:AE)),0)</f>
        <v>2738957454.1300001</v>
      </c>
      <c r="AE67" s="3">
        <f>IF(AE$3&lt;=Summary!$C$2,(_xlfn.XLOOKUP(Group!$B67,BS_NG!$C:$C,BS_NG!AF:AF)+_xlfn.XLOOKUP(Group!$B67,BS_UK!$C:$C,BS_UK!AF:AF)+_xlfn.XLOOKUP(Group!$B67,BS_UAE!$C:$C,BS_UAE!AF:AF)),0)</f>
        <v>0</v>
      </c>
      <c r="AF67" s="3">
        <f>IF(AF$3&lt;=Summary!$C$2,(_xlfn.XLOOKUP(Group!$B67,BS_NG!$C:$C,BS_NG!AG:AG)+_xlfn.XLOOKUP(Group!$B67,BS_UK!$C:$C,BS_UK!AG:AG)+_xlfn.XLOOKUP(Group!$B67,BS_UAE!$C:$C,BS_UAE!AG:AG)),0)</f>
        <v>0</v>
      </c>
      <c r="AG67" s="3">
        <f>IF(AG$3&lt;=Summary!$C$2,(_xlfn.XLOOKUP(Group!$B67,BS_NG!$C:$C,BS_NG!AH:AH)+_xlfn.XLOOKUP(Group!$B67,BS_UK!$C:$C,BS_UK!AH:AH)+_xlfn.XLOOKUP(Group!$B67,BS_UAE!$C:$C,BS_UAE!AH:AH)),0)</f>
        <v>0</v>
      </c>
      <c r="AH67" s="3">
        <f>IF(AH$3&lt;=Summary!$C$2,(_xlfn.XLOOKUP(Group!$B67,BS_NG!$C:$C,BS_NG!AI:AI)+_xlfn.XLOOKUP(Group!$B67,BS_UK!$C:$C,BS_UK!AI:AI)+_xlfn.XLOOKUP(Group!$B67,BS_UAE!$C:$C,BS_UAE!AI:AI)),0)</f>
        <v>0</v>
      </c>
      <c r="AI67" s="3">
        <f>IF(AI$3&lt;=Summary!$C$2,(_xlfn.XLOOKUP(Group!$B67,BS_NG!$C:$C,BS_NG!AJ:AJ)+_xlfn.XLOOKUP(Group!$B67,BS_UK!$C:$C,BS_UK!AJ:AJ)+_xlfn.XLOOKUP(Group!$B67,BS_UAE!$C:$C,BS_UAE!AJ:AJ)),0)</f>
        <v>0</v>
      </c>
      <c r="AJ67" s="3">
        <f>IF(AJ$3&lt;=Summary!$C$2,(_xlfn.XLOOKUP(Group!$B67,BS_NG!$C:$C,BS_NG!AK:AK)+_xlfn.XLOOKUP(Group!$B67,BS_UK!$C:$C,BS_UK!AK:AK)+_xlfn.XLOOKUP(Group!$B67,BS_UAE!$C:$C,BS_UAE!AK:AK)),0)</f>
        <v>0</v>
      </c>
      <c r="AK67" s="3">
        <f>IF(AK$3&lt;=Summary!$C$2,(_xlfn.XLOOKUP(Group!$B67,BS_NG!$C:$C,BS_NG!AL:AL)+_xlfn.XLOOKUP(Group!$B67,BS_UK!$C:$C,BS_UK!AL:AL)+_xlfn.XLOOKUP(Group!$B67,BS_UAE!$C:$C,BS_UAE!AL:AL)),0)</f>
        <v>0</v>
      </c>
      <c r="AL67" s="3">
        <f>IF(AL$3&lt;=Summary!$C$2,(_xlfn.XLOOKUP(Group!$B67,BS_NG!$C:$C,BS_NG!AM:AM)+_xlfn.XLOOKUP(Group!$B67,BS_UK!$C:$C,BS_UK!AM:AM)+_xlfn.XLOOKUP(Group!$B67,BS_UAE!$C:$C,BS_UAE!AM:AM)),0)</f>
        <v>0</v>
      </c>
    </row>
    <row r="68" spans="2:38" x14ac:dyDescent="0.2">
      <c r="B68" s="1" t="s">
        <v>53</v>
      </c>
      <c r="C68" s="3">
        <f>IF(C$3&lt;=Summary!$C$2,(_xlfn.XLOOKUP(Group!$B68,BS_NG!$C:$C,BS_NG!D:D)+_xlfn.XLOOKUP(Group!$B68,BS_UK!$C:$C,BS_UK!D:D)+_xlfn.XLOOKUP(Group!$B68,BS_UAE!$C:$C,BS_UAE!D:D)),0)</f>
        <v>42242924.219999999</v>
      </c>
      <c r="D68" s="3">
        <f>IF(D$3&lt;=Summary!$C$2,(_xlfn.XLOOKUP(Group!$B68,BS_NG!$C:$C,BS_NG!E:E)+_xlfn.XLOOKUP(Group!$B68,BS_UK!$C:$C,BS_UK!E:E)+_xlfn.XLOOKUP(Group!$B68,BS_UAE!$C:$C,BS_UAE!E:E)),0)</f>
        <v>42242924.219999999</v>
      </c>
      <c r="E68" s="3">
        <f>IF(E$3&lt;=Summary!$C$2,(_xlfn.XLOOKUP(Group!$B68,BS_NG!$C:$C,BS_NG!F:F)+_xlfn.XLOOKUP(Group!$B68,BS_UK!$C:$C,BS_UK!F:F)+_xlfn.XLOOKUP(Group!$B68,BS_UAE!$C:$C,BS_UAE!F:F)),0)</f>
        <v>42242924.219999999</v>
      </c>
      <c r="F68" s="3">
        <f>IF(F$3&lt;=Summary!$C$2,(_xlfn.XLOOKUP(Group!$B68,BS_NG!$C:$C,BS_NG!G:G)+_xlfn.XLOOKUP(Group!$B68,BS_UK!$C:$C,BS_UK!G:G)+_xlfn.XLOOKUP(Group!$B68,BS_UAE!$C:$C,BS_UAE!G:G)),0)</f>
        <v>42242924.219999999</v>
      </c>
      <c r="G68" s="3">
        <f>IF(G$3&lt;=Summary!$C$2,(_xlfn.XLOOKUP(Group!$B68,BS_NG!$C:$C,BS_NG!H:H)+_xlfn.XLOOKUP(Group!$B68,BS_UK!$C:$C,BS_UK!H:H)+_xlfn.XLOOKUP(Group!$B68,BS_UAE!$C:$C,BS_UAE!H:H)),0)</f>
        <v>42242924.219999999</v>
      </c>
      <c r="H68" s="3">
        <f>IF(H$3&lt;=Summary!$C$2,(_xlfn.XLOOKUP(Group!$B68,BS_NG!$C:$C,BS_NG!I:I)+_xlfn.XLOOKUP(Group!$B68,BS_UK!$C:$C,BS_UK!I:I)+_xlfn.XLOOKUP(Group!$B68,BS_UAE!$C:$C,BS_UAE!I:I)),0)</f>
        <v>42242924.219999999</v>
      </c>
      <c r="I68" s="3">
        <f>IF(I$3&lt;=Summary!$C$2,(_xlfn.XLOOKUP(Group!$B68,BS_NG!$C:$C,BS_NG!J:J)+_xlfn.XLOOKUP(Group!$B68,BS_UK!$C:$C,BS_UK!J:J)+_xlfn.XLOOKUP(Group!$B68,BS_UAE!$C:$C,BS_UAE!J:J)),0)</f>
        <v>42242924.219999999</v>
      </c>
      <c r="J68" s="3">
        <f>IF(J$3&lt;=Summary!$C$2,(_xlfn.XLOOKUP(Group!$B68,BS_NG!$C:$C,BS_NG!K:K)+_xlfn.XLOOKUP(Group!$B68,BS_UK!$C:$C,BS_UK!K:K)+_xlfn.XLOOKUP(Group!$B68,BS_UAE!$C:$C,BS_UAE!K:K)),0)</f>
        <v>42242924.219999999</v>
      </c>
      <c r="K68" s="3">
        <f>IF(K$3&lt;=Summary!$C$2,(_xlfn.XLOOKUP(Group!$B68,BS_NG!$C:$C,BS_NG!L:L)+_xlfn.XLOOKUP(Group!$B68,BS_UK!$C:$C,BS_UK!L:L)+_xlfn.XLOOKUP(Group!$B68,BS_UAE!$C:$C,BS_UAE!L:L)),0)</f>
        <v>42242924.219999999</v>
      </c>
      <c r="L68" s="3">
        <f>IF(L$3&lt;=Summary!$C$2,(_xlfn.XLOOKUP(Group!$B68,BS_NG!$C:$C,BS_NG!M:M)+_xlfn.XLOOKUP(Group!$B68,BS_UK!$C:$C,BS_UK!M:M)+_xlfn.XLOOKUP(Group!$B68,BS_UAE!$C:$C,BS_UAE!M:M)),0)</f>
        <v>42242924.219999999</v>
      </c>
      <c r="M68" s="3">
        <f>IF(M$3&lt;=Summary!$C$2,(_xlfn.XLOOKUP(Group!$B68,BS_NG!$C:$C,BS_NG!N:N)+_xlfn.XLOOKUP(Group!$B68,BS_UK!$C:$C,BS_UK!N:N)+_xlfn.XLOOKUP(Group!$B68,BS_UAE!$C:$C,BS_UAE!N:N)),0)</f>
        <v>42242924.219999999</v>
      </c>
      <c r="N68" s="3">
        <f>IF(N$3&lt;=Summary!$C$2,(_xlfn.XLOOKUP(Group!$B68,BS_NG!$C:$C,BS_NG!O:O)+_xlfn.XLOOKUP(Group!$B68,BS_UK!$C:$C,BS_UK!O:O)+_xlfn.XLOOKUP(Group!$B68,BS_UAE!$C:$C,BS_UAE!O:O)),0)</f>
        <v>32949171.219999999</v>
      </c>
      <c r="O68" s="3">
        <f>IF(O$3&lt;=Summary!$C$2,(_xlfn.XLOOKUP(Group!$B68,BS_NG!$C:$C,BS_NG!P:P)+_xlfn.XLOOKUP(Group!$B68,BS_UK!$C:$C,BS_UK!P:P)+_xlfn.XLOOKUP(Group!$B68,BS_UAE!$C:$C,BS_UAE!P:P)),0)</f>
        <v>32949171.219999999</v>
      </c>
      <c r="P68" s="3">
        <f>IF(P$3&lt;=Summary!$C$2,(_xlfn.XLOOKUP(Group!$B68,BS_NG!$C:$C,BS_NG!Q:Q)+_xlfn.XLOOKUP(Group!$B68,BS_UK!$C:$C,BS_UK!Q:Q)+_xlfn.XLOOKUP(Group!$B68,BS_UAE!$C:$C,BS_UAE!Q:Q)),0)</f>
        <v>32949171.219999999</v>
      </c>
      <c r="Q68" s="3">
        <f>IF(Q$3&lt;=Summary!$C$2,(_xlfn.XLOOKUP(Group!$B68,BS_NG!$C:$C,BS_NG!R:R)+_xlfn.XLOOKUP(Group!$B68,BS_UK!$C:$C,BS_UK!R:R)+_xlfn.XLOOKUP(Group!$B68,BS_UAE!$C:$C,BS_UAE!R:R)),0)</f>
        <v>32949171.219999999</v>
      </c>
      <c r="R68" s="3">
        <f>IF(R$3&lt;=Summary!$C$2,(_xlfn.XLOOKUP(Group!$B68,BS_NG!$C:$C,BS_NG!S:S)+_xlfn.XLOOKUP(Group!$B68,BS_UK!$C:$C,BS_UK!S:S)+_xlfn.XLOOKUP(Group!$B68,BS_UAE!$C:$C,BS_UAE!S:S)),0)</f>
        <v>32949171.219999999</v>
      </c>
      <c r="S68" s="3">
        <f>IF(S$3&lt;=Summary!$C$2,(_xlfn.XLOOKUP(Group!$B68,BS_NG!$C:$C,BS_NG!T:T)+_xlfn.XLOOKUP(Group!$B68,BS_UK!$C:$C,BS_UK!T:T)+_xlfn.XLOOKUP(Group!$B68,BS_UAE!$C:$C,BS_UAE!T:T)),0)</f>
        <v>32949171.219999999</v>
      </c>
      <c r="T68" s="3">
        <f>IF(T$3&lt;=Summary!$C$2,(_xlfn.XLOOKUP(Group!$B68,BS_NG!$C:$C,BS_NG!U:U)+_xlfn.XLOOKUP(Group!$B68,BS_UK!$C:$C,BS_UK!U:U)+_xlfn.XLOOKUP(Group!$B68,BS_UAE!$C:$C,BS_UAE!U:U)),0)</f>
        <v>32949171.219999999</v>
      </c>
      <c r="U68" s="3">
        <f>IF(U$3&lt;=Summary!$C$2,(_xlfn.XLOOKUP(Group!$B68,BS_NG!$C:$C,BS_NG!V:V)+_xlfn.XLOOKUP(Group!$B68,BS_UK!$C:$C,BS_UK!V:V)+_xlfn.XLOOKUP(Group!$B68,BS_UAE!$C:$C,BS_UAE!V:V)),0)</f>
        <v>32949171.219999999</v>
      </c>
      <c r="V68" s="3">
        <f>IF(V$3&lt;=Summary!$C$2,(_xlfn.XLOOKUP(Group!$B68,BS_NG!$C:$C,BS_NG!W:W)+_xlfn.XLOOKUP(Group!$B68,BS_UK!$C:$C,BS_UK!W:W)+_xlfn.XLOOKUP(Group!$B68,BS_UAE!$C:$C,BS_UAE!W:W)),0)</f>
        <v>32949171.219999999</v>
      </c>
      <c r="W68" s="3">
        <f>IF(W$3&lt;=Summary!$C$2,(_xlfn.XLOOKUP(Group!$B68,BS_NG!$C:$C,BS_NG!X:X)+_xlfn.XLOOKUP(Group!$B68,BS_UK!$C:$C,BS_UK!X:X)+_xlfn.XLOOKUP(Group!$B68,BS_UAE!$C:$C,BS_UAE!X:X)),0)</f>
        <v>32949171.219999999</v>
      </c>
      <c r="X68" s="3">
        <f>IF(X$3&lt;=Summary!$C$2,(_xlfn.XLOOKUP(Group!$B68,BS_NG!$C:$C,BS_NG!Y:Y)+_xlfn.XLOOKUP(Group!$B68,BS_UK!$C:$C,BS_UK!Y:Y)+_xlfn.XLOOKUP(Group!$B68,BS_UAE!$C:$C,BS_UAE!Y:Y)),0)</f>
        <v>32949171.219999999</v>
      </c>
      <c r="Y68" s="3">
        <f>IF(Y$3&lt;=Summary!$C$2,(_xlfn.XLOOKUP(Group!$B68,BS_NG!$C:$C,BS_NG!Z:Z)+_xlfn.XLOOKUP(Group!$B68,BS_UK!$C:$C,BS_UK!Z:Z)+_xlfn.XLOOKUP(Group!$B68,BS_UAE!$C:$C,BS_UAE!Z:Z)),0)</f>
        <v>32949171.219999999</v>
      </c>
      <c r="Z68" s="3">
        <f>IF(Z$3&lt;=Summary!$C$2,(_xlfn.XLOOKUP(Group!$B68,BS_NG!$C:$C,BS_NG!AA:AA)+_xlfn.XLOOKUP(Group!$B68,BS_UK!$C:$C,BS_UK!AA:AA)+_xlfn.XLOOKUP(Group!$B68,BS_UAE!$C:$C,BS_UAE!AA:AA)),0)</f>
        <v>32949171.219999999</v>
      </c>
      <c r="AA68" s="3">
        <f>IF(AA$3&lt;=Summary!$C$2,(_xlfn.XLOOKUP(Group!$B68,BS_NG!$C:$C,BS_NG!AB:AB)+_xlfn.XLOOKUP(Group!$B68,BS_UK!$C:$C,BS_UK!AB:AB)+_xlfn.XLOOKUP(Group!$B68,BS_UAE!$C:$C,BS_UAE!AB:AB)),0)</f>
        <v>21499460.77</v>
      </c>
      <c r="AB68" s="3">
        <f>IF(AB$3&lt;=Summary!$C$2,(_xlfn.XLOOKUP(Group!$B68,BS_NG!$C:$C,BS_NG!AC:AC)+_xlfn.XLOOKUP(Group!$B68,BS_UK!$C:$C,BS_UK!AC:AC)+_xlfn.XLOOKUP(Group!$B68,BS_UAE!$C:$C,BS_UAE!AC:AC)),0)</f>
        <v>21499460.77</v>
      </c>
      <c r="AC68" s="3">
        <f>IF(AC$3&lt;=Summary!$C$2,(_xlfn.XLOOKUP(Group!$B68,BS_NG!$C:$C,BS_NG!AD:AD)+_xlfn.XLOOKUP(Group!$B68,BS_UK!$C:$C,BS_UK!AD:AD)+_xlfn.XLOOKUP(Group!$B68,BS_UAE!$C:$C,BS_UAE!AD:AD)),0)</f>
        <v>21499460.77</v>
      </c>
      <c r="AD68" s="3">
        <f>IF(AD$3&lt;=Summary!$C$2,(_xlfn.XLOOKUP(Group!$B68,BS_NG!$C:$C,BS_NG!AE:AE)+_xlfn.XLOOKUP(Group!$B68,BS_UK!$C:$C,BS_UK!AE:AE)+_xlfn.XLOOKUP(Group!$B68,BS_UAE!$C:$C,BS_UAE!AE:AE)),0)</f>
        <v>21499460.77</v>
      </c>
      <c r="AE68" s="3">
        <f>IF(AE$3&lt;=Summary!$C$2,(_xlfn.XLOOKUP(Group!$B68,BS_NG!$C:$C,BS_NG!AF:AF)+_xlfn.XLOOKUP(Group!$B68,BS_UK!$C:$C,BS_UK!AF:AF)+_xlfn.XLOOKUP(Group!$B68,BS_UAE!$C:$C,BS_UAE!AF:AF)),0)</f>
        <v>0</v>
      </c>
      <c r="AF68" s="3">
        <f>IF(AF$3&lt;=Summary!$C$2,(_xlfn.XLOOKUP(Group!$B68,BS_NG!$C:$C,BS_NG!AG:AG)+_xlfn.XLOOKUP(Group!$B68,BS_UK!$C:$C,BS_UK!AG:AG)+_xlfn.XLOOKUP(Group!$B68,BS_UAE!$C:$C,BS_UAE!AG:AG)),0)</f>
        <v>0</v>
      </c>
      <c r="AG68" s="3">
        <f>IF(AG$3&lt;=Summary!$C$2,(_xlfn.XLOOKUP(Group!$B68,BS_NG!$C:$C,BS_NG!AH:AH)+_xlfn.XLOOKUP(Group!$B68,BS_UK!$C:$C,BS_UK!AH:AH)+_xlfn.XLOOKUP(Group!$B68,BS_UAE!$C:$C,BS_UAE!AH:AH)),0)</f>
        <v>0</v>
      </c>
      <c r="AH68" s="3">
        <f>IF(AH$3&lt;=Summary!$C$2,(_xlfn.XLOOKUP(Group!$B68,BS_NG!$C:$C,BS_NG!AI:AI)+_xlfn.XLOOKUP(Group!$B68,BS_UK!$C:$C,BS_UK!AI:AI)+_xlfn.XLOOKUP(Group!$B68,BS_UAE!$C:$C,BS_UAE!AI:AI)),0)</f>
        <v>0</v>
      </c>
      <c r="AI68" s="3">
        <f>IF(AI$3&lt;=Summary!$C$2,(_xlfn.XLOOKUP(Group!$B68,BS_NG!$C:$C,BS_NG!AJ:AJ)+_xlfn.XLOOKUP(Group!$B68,BS_UK!$C:$C,BS_UK!AJ:AJ)+_xlfn.XLOOKUP(Group!$B68,BS_UAE!$C:$C,BS_UAE!AJ:AJ)),0)</f>
        <v>0</v>
      </c>
      <c r="AJ68" s="3">
        <f>IF(AJ$3&lt;=Summary!$C$2,(_xlfn.XLOOKUP(Group!$B68,BS_NG!$C:$C,BS_NG!AK:AK)+_xlfn.XLOOKUP(Group!$B68,BS_UK!$C:$C,BS_UK!AK:AK)+_xlfn.XLOOKUP(Group!$B68,BS_UAE!$C:$C,BS_UAE!AK:AK)),0)</f>
        <v>0</v>
      </c>
      <c r="AK68" s="3">
        <f>IF(AK$3&lt;=Summary!$C$2,(_xlfn.XLOOKUP(Group!$B68,BS_NG!$C:$C,BS_NG!AL:AL)+_xlfn.XLOOKUP(Group!$B68,BS_UK!$C:$C,BS_UK!AL:AL)+_xlfn.XLOOKUP(Group!$B68,BS_UAE!$C:$C,BS_UAE!AL:AL)),0)</f>
        <v>0</v>
      </c>
      <c r="AL68" s="3">
        <f>IF(AL$3&lt;=Summary!$C$2,(_xlfn.XLOOKUP(Group!$B68,BS_NG!$C:$C,BS_NG!AM:AM)+_xlfn.XLOOKUP(Group!$B68,BS_UK!$C:$C,BS_UK!AM:AM)+_xlfn.XLOOKUP(Group!$B68,BS_UAE!$C:$C,BS_UAE!AM:AM)),0)</f>
        <v>0</v>
      </c>
    </row>
    <row r="69" spans="2:38" x14ac:dyDescent="0.2">
      <c r="B69" s="1" t="s">
        <v>54</v>
      </c>
      <c r="C69" s="3">
        <f>IF(C$3&lt;=Summary!$C$2,(_xlfn.XLOOKUP(Group!$B69,BS_NG!$C:$C,BS_NG!D:D)+_xlfn.XLOOKUP(Group!$B69,BS_UK!$C:$C,BS_UK!D:D)+_xlfn.XLOOKUP(Group!$B69,BS_UAE!$C:$C,BS_UAE!D:D)),0)</f>
        <v>313765366.18000001</v>
      </c>
      <c r="D69" s="3">
        <f>IF(D$3&lt;=Summary!$C$2,(_xlfn.XLOOKUP(Group!$B69,BS_NG!$C:$C,BS_NG!E:E)+_xlfn.XLOOKUP(Group!$B69,BS_UK!$C:$C,BS_UK!E:E)+_xlfn.XLOOKUP(Group!$B69,BS_UAE!$C:$C,BS_UAE!E:E)),0)</f>
        <v>326349248.85000002</v>
      </c>
      <c r="E69" s="3">
        <f>IF(E$3&lt;=Summary!$C$2,(_xlfn.XLOOKUP(Group!$B69,BS_NG!$C:$C,BS_NG!F:F)+_xlfn.XLOOKUP(Group!$B69,BS_UK!$C:$C,BS_UK!F:F)+_xlfn.XLOOKUP(Group!$B69,BS_UAE!$C:$C,BS_UAE!F:F)),0)</f>
        <v>338787240.44</v>
      </c>
      <c r="F69" s="3">
        <f>IF(F$3&lt;=Summary!$C$2,(_xlfn.XLOOKUP(Group!$B69,BS_NG!$C:$C,BS_NG!G:G)+_xlfn.XLOOKUP(Group!$B69,BS_UK!$C:$C,BS_UK!G:G)+_xlfn.XLOOKUP(Group!$B69,BS_UAE!$C:$C,BS_UAE!G:G)),0)</f>
        <v>297820000.00999999</v>
      </c>
      <c r="G69" s="3">
        <f>IF(G$3&lt;=Summary!$C$2,(_xlfn.XLOOKUP(Group!$B69,BS_NG!$C:$C,BS_NG!H:H)+_xlfn.XLOOKUP(Group!$B69,BS_UK!$C:$C,BS_UK!H:H)+_xlfn.XLOOKUP(Group!$B69,BS_UAE!$C:$C,BS_UAE!H:H)),0)</f>
        <v>397391289.64999998</v>
      </c>
      <c r="H69" s="3">
        <f>IF(H$3&lt;=Summary!$C$2,(_xlfn.XLOOKUP(Group!$B69,BS_NG!$C:$C,BS_NG!I:I)+_xlfn.XLOOKUP(Group!$B69,BS_UK!$C:$C,BS_UK!I:I)+_xlfn.XLOOKUP(Group!$B69,BS_UAE!$C:$C,BS_UAE!I:I)),0)</f>
        <v>437456904.85999995</v>
      </c>
      <c r="I69" s="3">
        <f>IF(I$3&lt;=Summary!$C$2,(_xlfn.XLOOKUP(Group!$B69,BS_NG!$C:$C,BS_NG!J:J)+_xlfn.XLOOKUP(Group!$B69,BS_UK!$C:$C,BS_UK!J:J)+_xlfn.XLOOKUP(Group!$B69,BS_UAE!$C:$C,BS_UAE!J:J)),0)</f>
        <v>510406572.28999996</v>
      </c>
      <c r="J69" s="3">
        <f>IF(J$3&lt;=Summary!$C$2,(_xlfn.XLOOKUP(Group!$B69,BS_NG!$C:$C,BS_NG!K:K)+_xlfn.XLOOKUP(Group!$B69,BS_UK!$C:$C,BS_UK!K:K)+_xlfn.XLOOKUP(Group!$B69,BS_UAE!$C:$C,BS_UAE!K:K)),0)</f>
        <v>506052334.91999996</v>
      </c>
      <c r="K69" s="3">
        <f>IF(K$3&lt;=Summary!$C$2,(_xlfn.XLOOKUP(Group!$B69,BS_NG!$C:$C,BS_NG!L:L)+_xlfn.XLOOKUP(Group!$B69,BS_UK!$C:$C,BS_UK!L:L)+_xlfn.XLOOKUP(Group!$B69,BS_UAE!$C:$C,BS_UAE!L:L)),0)</f>
        <v>334783526.36000001</v>
      </c>
      <c r="L69" s="3">
        <f>IF(L$3&lt;=Summary!$C$2,(_xlfn.XLOOKUP(Group!$B69,BS_NG!$C:$C,BS_NG!M:M)+_xlfn.XLOOKUP(Group!$B69,BS_UK!$C:$C,BS_UK!M:M)+_xlfn.XLOOKUP(Group!$B69,BS_UAE!$C:$C,BS_UAE!M:M)),0)</f>
        <v>357660784.40999997</v>
      </c>
      <c r="M69" s="3">
        <f>IF(M$3&lt;=Summary!$C$2,(_xlfn.XLOOKUP(Group!$B69,BS_NG!$C:$C,BS_NG!N:N)+_xlfn.XLOOKUP(Group!$B69,BS_UK!$C:$C,BS_UK!N:N)+_xlfn.XLOOKUP(Group!$B69,BS_UAE!$C:$C,BS_UAE!N:N)),0)</f>
        <v>457863788.41000003</v>
      </c>
      <c r="N69" s="3">
        <f>IF(N$3&lt;=Summary!$C$2,(_xlfn.XLOOKUP(Group!$B69,BS_NG!$C:$C,BS_NG!O:O)+_xlfn.XLOOKUP(Group!$B69,BS_UK!$C:$C,BS_UK!O:O)+_xlfn.XLOOKUP(Group!$B69,BS_UAE!$C:$C,BS_UAE!O:O)),0)</f>
        <v>1146000509.05</v>
      </c>
      <c r="O69" s="3">
        <f>IF(O$3&lt;=Summary!$C$2,(_xlfn.XLOOKUP(Group!$B69,BS_NG!$C:$C,BS_NG!P:P)+_xlfn.XLOOKUP(Group!$B69,BS_UK!$C:$C,BS_UK!P:P)+_xlfn.XLOOKUP(Group!$B69,BS_UAE!$C:$C,BS_UAE!P:P)),0)</f>
        <v>1152898049.53</v>
      </c>
      <c r="P69" s="3">
        <f>IF(P$3&lt;=Summary!$C$2,(_xlfn.XLOOKUP(Group!$B69,BS_NG!$C:$C,BS_NG!Q:Q)+_xlfn.XLOOKUP(Group!$B69,BS_UK!$C:$C,BS_UK!Q:Q)+_xlfn.XLOOKUP(Group!$B69,BS_UAE!$C:$C,BS_UAE!Q:Q)),0)</f>
        <v>1176575953.4300001</v>
      </c>
      <c r="Q69" s="3">
        <f>IF(Q$3&lt;=Summary!$C$2,(_xlfn.XLOOKUP(Group!$B69,BS_NG!$C:$C,BS_NG!R:R)+_xlfn.XLOOKUP(Group!$B69,BS_UK!$C:$C,BS_UK!R:R)+_xlfn.XLOOKUP(Group!$B69,BS_UAE!$C:$C,BS_UAE!R:R)),0)</f>
        <v>1168715856.3299999</v>
      </c>
      <c r="R69" s="3">
        <f>IF(R$3&lt;=Summary!$C$2,(_xlfn.XLOOKUP(Group!$B69,BS_NG!$C:$C,BS_NG!S:S)+_xlfn.XLOOKUP(Group!$B69,BS_UK!$C:$C,BS_UK!S:S)+_xlfn.XLOOKUP(Group!$B69,BS_UAE!$C:$C,BS_UAE!S:S)),0)</f>
        <v>838337123.32999992</v>
      </c>
      <c r="S69" s="3">
        <f>IF(S$3&lt;=Summary!$C$2,(_xlfn.XLOOKUP(Group!$B69,BS_NG!$C:$C,BS_NG!T:T)+_xlfn.XLOOKUP(Group!$B69,BS_UK!$C:$C,BS_UK!T:T)+_xlfn.XLOOKUP(Group!$B69,BS_UAE!$C:$C,BS_UAE!T:T)),0)</f>
        <v>606428093.52999997</v>
      </c>
      <c r="T69" s="3">
        <f>IF(T$3&lt;=Summary!$C$2,(_xlfn.XLOOKUP(Group!$B69,BS_NG!$C:$C,BS_NG!U:U)+_xlfn.XLOOKUP(Group!$B69,BS_UK!$C:$C,BS_UK!U:U)+_xlfn.XLOOKUP(Group!$B69,BS_UAE!$C:$C,BS_UAE!U:U)),0)</f>
        <v>583567888.01999998</v>
      </c>
      <c r="U69" s="3">
        <f>IF(U$3&lt;=Summary!$C$2,(_xlfn.XLOOKUP(Group!$B69,BS_NG!$C:$C,BS_NG!V:V)+_xlfn.XLOOKUP(Group!$B69,BS_UK!$C:$C,BS_UK!V:V)+_xlfn.XLOOKUP(Group!$B69,BS_UAE!$C:$C,BS_UAE!V:V)),0)</f>
        <v>395386002.06999999</v>
      </c>
      <c r="V69" s="3">
        <f>IF(V$3&lt;=Summary!$C$2,(_xlfn.XLOOKUP(Group!$B69,BS_NG!$C:$C,BS_NG!W:W)+_xlfn.XLOOKUP(Group!$B69,BS_UK!$C:$C,BS_UK!W:W)+_xlfn.XLOOKUP(Group!$B69,BS_UAE!$C:$C,BS_UAE!W:W)),0)</f>
        <v>395460681.78999996</v>
      </c>
      <c r="W69" s="3">
        <f>IF(W$3&lt;=Summary!$C$2,(_xlfn.XLOOKUP(Group!$B69,BS_NG!$C:$C,BS_NG!X:X)+_xlfn.XLOOKUP(Group!$B69,BS_UK!$C:$C,BS_UK!X:X)+_xlfn.XLOOKUP(Group!$B69,BS_UAE!$C:$C,BS_UAE!X:X)),0)</f>
        <v>365034369.67000002</v>
      </c>
      <c r="X69" s="3">
        <f>IF(X$3&lt;=Summary!$C$2,(_xlfn.XLOOKUP(Group!$B69,BS_NG!$C:$C,BS_NG!Y:Y)+_xlfn.XLOOKUP(Group!$B69,BS_UK!$C:$C,BS_UK!Y:Y)+_xlfn.XLOOKUP(Group!$B69,BS_UAE!$C:$C,BS_UAE!Y:Y)),0)</f>
        <v>382997826.99000001</v>
      </c>
      <c r="Y69" s="3">
        <f>IF(Y$3&lt;=Summary!$C$2,(_xlfn.XLOOKUP(Group!$B69,BS_NG!$C:$C,BS_NG!Z:Z)+_xlfn.XLOOKUP(Group!$B69,BS_UK!$C:$C,BS_UK!Z:Z)+_xlfn.XLOOKUP(Group!$B69,BS_UAE!$C:$C,BS_UAE!Z:Z)),0)</f>
        <v>351392378.94000006</v>
      </c>
      <c r="Z69" s="3">
        <f>IF(Z$3&lt;=Summary!$C$2,(_xlfn.XLOOKUP(Group!$B69,BS_NG!$C:$C,BS_NG!AA:AA)+_xlfn.XLOOKUP(Group!$B69,BS_UK!$C:$C,BS_UK!AA:AA)+_xlfn.XLOOKUP(Group!$B69,BS_UAE!$C:$C,BS_UAE!AA:AA)),0)</f>
        <v>326598228.82999998</v>
      </c>
      <c r="AA69" s="3">
        <f>IF(AA$3&lt;=Summary!$C$2,(_xlfn.XLOOKUP(Group!$B69,BS_NG!$C:$C,BS_NG!AB:AB)+_xlfn.XLOOKUP(Group!$B69,BS_UK!$C:$C,BS_UK!AB:AB)+_xlfn.XLOOKUP(Group!$B69,BS_UAE!$C:$C,BS_UAE!AB:AB)),0)</f>
        <v>410102678.90999997</v>
      </c>
      <c r="AB69" s="3">
        <f>IF(AB$3&lt;=Summary!$C$2,(_xlfn.XLOOKUP(Group!$B69,BS_NG!$C:$C,BS_NG!AC:AC)+_xlfn.XLOOKUP(Group!$B69,BS_UK!$C:$C,BS_UK!AC:AC)+_xlfn.XLOOKUP(Group!$B69,BS_UAE!$C:$C,BS_UAE!AC:AC)),0)</f>
        <v>407922453.87</v>
      </c>
      <c r="AC69" s="3">
        <f>IF(AC$3&lt;=Summary!$C$2,(_xlfn.XLOOKUP(Group!$B69,BS_NG!$C:$C,BS_NG!AD:AD)+_xlfn.XLOOKUP(Group!$B69,BS_UK!$C:$C,BS_UK!AD:AD)+_xlfn.XLOOKUP(Group!$B69,BS_UAE!$C:$C,BS_UAE!AD:AD)),0)</f>
        <v>485672727.44999999</v>
      </c>
      <c r="AD69" s="3">
        <f>IF(AD$3&lt;=Summary!$C$2,(_xlfn.XLOOKUP(Group!$B69,BS_NG!$C:$C,BS_NG!AE:AE)+_xlfn.XLOOKUP(Group!$B69,BS_UK!$C:$C,BS_UK!AE:AE)+_xlfn.XLOOKUP(Group!$B69,BS_UAE!$C:$C,BS_UAE!AE:AE)),0)</f>
        <v>348729568.84000003</v>
      </c>
      <c r="AE69" s="3">
        <f>IF(AE$3&lt;=Summary!$C$2,(_xlfn.XLOOKUP(Group!$B69,BS_NG!$C:$C,BS_NG!AF:AF)+_xlfn.XLOOKUP(Group!$B69,BS_UK!$C:$C,BS_UK!AF:AF)+_xlfn.XLOOKUP(Group!$B69,BS_UAE!$C:$C,BS_UAE!AF:AF)),0)</f>
        <v>0</v>
      </c>
      <c r="AF69" s="3">
        <f>IF(AF$3&lt;=Summary!$C$2,(_xlfn.XLOOKUP(Group!$B69,BS_NG!$C:$C,BS_NG!AG:AG)+_xlfn.XLOOKUP(Group!$B69,BS_UK!$C:$C,BS_UK!AG:AG)+_xlfn.XLOOKUP(Group!$B69,BS_UAE!$C:$C,BS_UAE!AG:AG)),0)</f>
        <v>0</v>
      </c>
      <c r="AG69" s="3">
        <f>IF(AG$3&lt;=Summary!$C$2,(_xlfn.XLOOKUP(Group!$B69,BS_NG!$C:$C,BS_NG!AH:AH)+_xlfn.XLOOKUP(Group!$B69,BS_UK!$C:$C,BS_UK!AH:AH)+_xlfn.XLOOKUP(Group!$B69,BS_UAE!$C:$C,BS_UAE!AH:AH)),0)</f>
        <v>0</v>
      </c>
      <c r="AH69" s="3">
        <f>IF(AH$3&lt;=Summary!$C$2,(_xlfn.XLOOKUP(Group!$B69,BS_NG!$C:$C,BS_NG!AI:AI)+_xlfn.XLOOKUP(Group!$B69,BS_UK!$C:$C,BS_UK!AI:AI)+_xlfn.XLOOKUP(Group!$B69,BS_UAE!$C:$C,BS_UAE!AI:AI)),0)</f>
        <v>0</v>
      </c>
      <c r="AI69" s="3">
        <f>IF(AI$3&lt;=Summary!$C$2,(_xlfn.XLOOKUP(Group!$B69,BS_NG!$C:$C,BS_NG!AJ:AJ)+_xlfn.XLOOKUP(Group!$B69,BS_UK!$C:$C,BS_UK!AJ:AJ)+_xlfn.XLOOKUP(Group!$B69,BS_UAE!$C:$C,BS_UAE!AJ:AJ)),0)</f>
        <v>0</v>
      </c>
      <c r="AJ69" s="3">
        <f>IF(AJ$3&lt;=Summary!$C$2,(_xlfn.XLOOKUP(Group!$B69,BS_NG!$C:$C,BS_NG!AK:AK)+_xlfn.XLOOKUP(Group!$B69,BS_UK!$C:$C,BS_UK!AK:AK)+_xlfn.XLOOKUP(Group!$B69,BS_UAE!$C:$C,BS_UAE!AK:AK)),0)</f>
        <v>0</v>
      </c>
      <c r="AK69" s="3">
        <f>IF(AK$3&lt;=Summary!$C$2,(_xlfn.XLOOKUP(Group!$B69,BS_NG!$C:$C,BS_NG!AL:AL)+_xlfn.XLOOKUP(Group!$B69,BS_UK!$C:$C,BS_UK!AL:AL)+_xlfn.XLOOKUP(Group!$B69,BS_UAE!$C:$C,BS_UAE!AL:AL)),0)</f>
        <v>0</v>
      </c>
      <c r="AL69" s="3">
        <f>IF(AL$3&lt;=Summary!$C$2,(_xlfn.XLOOKUP(Group!$B69,BS_NG!$C:$C,BS_NG!AM:AM)+_xlfn.XLOOKUP(Group!$B69,BS_UK!$C:$C,BS_UK!AM:AM)+_xlfn.XLOOKUP(Group!$B69,BS_UAE!$C:$C,BS_UAE!AM:AM)),0)</f>
        <v>0</v>
      </c>
    </row>
    <row r="70" spans="2:38" x14ac:dyDescent="0.2">
      <c r="B70" s="1" t="s">
        <v>55</v>
      </c>
      <c r="C70" s="3">
        <f>IF(C$3&lt;=Summary!$C$2,(_xlfn.XLOOKUP(Group!$B70,BS_NG!$C:$C,BS_NG!D:D)+_xlfn.XLOOKUP(Group!$B70,BS_UK!$C:$C,BS_UK!D:D)+_xlfn.XLOOKUP(Group!$B70,BS_UAE!$C:$C,BS_UAE!D:D)),0)</f>
        <v>223617400.54999998</v>
      </c>
      <c r="D70" s="3">
        <f>IF(D$3&lt;=Summary!$C$2,(_xlfn.XLOOKUP(Group!$B70,BS_NG!$C:$C,BS_NG!E:E)+_xlfn.XLOOKUP(Group!$B70,BS_UK!$C:$C,BS_UK!E:E)+_xlfn.XLOOKUP(Group!$B70,BS_UAE!$C:$C,BS_UAE!E:E)),0)</f>
        <v>252505991.83999985</v>
      </c>
      <c r="E70" s="3">
        <f>IF(E$3&lt;=Summary!$C$2,(_xlfn.XLOOKUP(Group!$B70,BS_NG!$C:$C,BS_NG!F:F)+_xlfn.XLOOKUP(Group!$B70,BS_UK!$C:$C,BS_UK!F:F)+_xlfn.XLOOKUP(Group!$B70,BS_UAE!$C:$C,BS_UAE!F:F)),0)</f>
        <v>285125356.7700001</v>
      </c>
      <c r="F70" s="3">
        <f>IF(F$3&lt;=Summary!$C$2,(_xlfn.XLOOKUP(Group!$B70,BS_NG!$C:$C,BS_NG!G:G)+_xlfn.XLOOKUP(Group!$B70,BS_UK!$C:$C,BS_UK!G:G)+_xlfn.XLOOKUP(Group!$B70,BS_UAE!$C:$C,BS_UAE!G:G)),0)</f>
        <v>330269640.83829981</v>
      </c>
      <c r="G70" s="3">
        <f>IF(G$3&lt;=Summary!$C$2,(_xlfn.XLOOKUP(Group!$B70,BS_NG!$C:$C,BS_NG!H:H)+_xlfn.XLOOKUP(Group!$B70,BS_UK!$C:$C,BS_UK!H:H)+_xlfn.XLOOKUP(Group!$B70,BS_UAE!$C:$C,BS_UAE!H:H)),0)</f>
        <v>332798922.90560007</v>
      </c>
      <c r="H70" s="3">
        <f>IF(H$3&lt;=Summary!$C$2,(_xlfn.XLOOKUP(Group!$B70,BS_NG!$C:$C,BS_NG!I:I)+_xlfn.XLOOKUP(Group!$B70,BS_UK!$C:$C,BS_UK!I:I)+_xlfn.XLOOKUP(Group!$B70,BS_UAE!$C:$C,BS_UAE!I:I)),0)</f>
        <v>306307502.95430005</v>
      </c>
      <c r="I70" s="3">
        <f>IF(I$3&lt;=Summary!$C$2,(_xlfn.XLOOKUP(Group!$B70,BS_NG!$C:$C,BS_NG!J:J)+_xlfn.XLOOKUP(Group!$B70,BS_UK!$C:$C,BS_UK!J:J)+_xlfn.XLOOKUP(Group!$B70,BS_UAE!$C:$C,BS_UAE!J:J)),0)</f>
        <v>323940532.92849994</v>
      </c>
      <c r="J70" s="3">
        <f>IF(J$3&lt;=Summary!$C$2,(_xlfn.XLOOKUP(Group!$B70,BS_NG!$C:$C,BS_NG!K:K)+_xlfn.XLOOKUP(Group!$B70,BS_UK!$C:$C,BS_UK!K:K)+_xlfn.XLOOKUP(Group!$B70,BS_UAE!$C:$C,BS_UAE!K:K)),0)</f>
        <v>346335372.40840012</v>
      </c>
      <c r="K70" s="3">
        <f>IF(K$3&lt;=Summary!$C$2,(_xlfn.XLOOKUP(Group!$B70,BS_NG!$C:$C,BS_NG!L:L)+_xlfn.XLOOKUP(Group!$B70,BS_UK!$C:$C,BS_UK!L:L)+_xlfn.XLOOKUP(Group!$B70,BS_UAE!$C:$C,BS_UAE!L:L)),0)</f>
        <v>322130050.1554001</v>
      </c>
      <c r="L70" s="3">
        <f>IF(L$3&lt;=Summary!$C$2,(_xlfn.XLOOKUP(Group!$B70,BS_NG!$C:$C,BS_NG!M:M)+_xlfn.XLOOKUP(Group!$B70,BS_UK!$C:$C,BS_UK!M:M)+_xlfn.XLOOKUP(Group!$B70,BS_UAE!$C:$C,BS_UAE!M:M)),0)</f>
        <v>351342825.0194999</v>
      </c>
      <c r="M70" s="3">
        <f>IF(M$3&lt;=Summary!$C$2,(_xlfn.XLOOKUP(Group!$B70,BS_NG!$C:$C,BS_NG!N:N)+_xlfn.XLOOKUP(Group!$B70,BS_UK!$C:$C,BS_UK!N:N)+_xlfn.XLOOKUP(Group!$B70,BS_UAE!$C:$C,BS_UAE!N:N)),0)</f>
        <v>348301515.06399995</v>
      </c>
      <c r="N70" s="3">
        <f>IF(N$3&lt;=Summary!$C$2,(_xlfn.XLOOKUP(Group!$B70,BS_NG!$C:$C,BS_NG!O:O)+_xlfn.XLOOKUP(Group!$B70,BS_UK!$C:$C,BS_UK!O:O)+_xlfn.XLOOKUP(Group!$B70,BS_UAE!$C:$C,BS_UAE!O:O)),0)</f>
        <v>443152014.55239999</v>
      </c>
      <c r="O70" s="3">
        <f>IF(O$3&lt;=Summary!$C$2,(_xlfn.XLOOKUP(Group!$B70,BS_NG!$C:$C,BS_NG!P:P)+_xlfn.XLOOKUP(Group!$B70,BS_UK!$C:$C,BS_UK!P:P)+_xlfn.XLOOKUP(Group!$B70,BS_UAE!$C:$C,BS_UAE!P:P)),0)</f>
        <v>461152238.08290011</v>
      </c>
      <c r="P70" s="3">
        <f>IF(P$3&lt;=Summary!$C$2,(_xlfn.XLOOKUP(Group!$B70,BS_NG!$C:$C,BS_NG!Q:Q)+_xlfn.XLOOKUP(Group!$B70,BS_UK!$C:$C,BS_UK!Q:Q)+_xlfn.XLOOKUP(Group!$B70,BS_UAE!$C:$C,BS_UAE!Q:Q)),0)</f>
        <v>472118027.78200012</v>
      </c>
      <c r="Q70" s="3">
        <f>IF(Q$3&lt;=Summary!$C$2,(_xlfn.XLOOKUP(Group!$B70,BS_NG!$C:$C,BS_NG!R:R)+_xlfn.XLOOKUP(Group!$B70,BS_UK!$C:$C,BS_UK!R:R)+_xlfn.XLOOKUP(Group!$B70,BS_UAE!$C:$C,BS_UAE!R:R)),0)</f>
        <v>464120043.98299992</v>
      </c>
      <c r="R70" s="3">
        <f>IF(R$3&lt;=Summary!$C$2,(_xlfn.XLOOKUP(Group!$B70,BS_NG!$C:$C,BS_NG!S:S)+_xlfn.XLOOKUP(Group!$B70,BS_UK!$C:$C,BS_UK!S:S)+_xlfn.XLOOKUP(Group!$B70,BS_UAE!$C:$C,BS_UAE!S:S)),0)</f>
        <v>455926714.18750006</v>
      </c>
      <c r="S70" s="3">
        <f>IF(S$3&lt;=Summary!$C$2,(_xlfn.XLOOKUP(Group!$B70,BS_NG!$C:$C,BS_NG!T:T)+_xlfn.XLOOKUP(Group!$B70,BS_UK!$C:$C,BS_UK!T:T)+_xlfn.XLOOKUP(Group!$B70,BS_UAE!$C:$C,BS_UAE!T:T)),0)</f>
        <v>461841801.69850016</v>
      </c>
      <c r="T70" s="3">
        <f>IF(T$3&lt;=Summary!$C$2,(_xlfn.XLOOKUP(Group!$B70,BS_NG!$C:$C,BS_NG!U:U)+_xlfn.XLOOKUP(Group!$B70,BS_UK!$C:$C,BS_UK!U:U)+_xlfn.XLOOKUP(Group!$B70,BS_UAE!$C:$C,BS_UAE!U:U)),0)</f>
        <v>435163311.7288</v>
      </c>
      <c r="U70" s="3">
        <f>IF(U$3&lt;=Summary!$C$2,(_xlfn.XLOOKUP(Group!$B70,BS_NG!$C:$C,BS_NG!V:V)+_xlfn.XLOOKUP(Group!$B70,BS_UK!$C:$C,BS_UK!V:V)+_xlfn.XLOOKUP(Group!$B70,BS_UAE!$C:$C,BS_UAE!V:V)),0)</f>
        <v>434607573.25990009</v>
      </c>
      <c r="V70" s="3">
        <f>IF(V$3&lt;=Summary!$C$2,(_xlfn.XLOOKUP(Group!$B70,BS_NG!$C:$C,BS_NG!W:W)+_xlfn.XLOOKUP(Group!$B70,BS_UK!$C:$C,BS_UK!W:W)+_xlfn.XLOOKUP(Group!$B70,BS_UAE!$C:$C,BS_UAE!W:W)),0)</f>
        <v>418831177.3247</v>
      </c>
      <c r="W70" s="3">
        <f>IF(W$3&lt;=Summary!$C$2,(_xlfn.XLOOKUP(Group!$B70,BS_NG!$C:$C,BS_NG!X:X)+_xlfn.XLOOKUP(Group!$B70,BS_UK!$C:$C,BS_UK!X:X)+_xlfn.XLOOKUP(Group!$B70,BS_UAE!$C:$C,BS_UAE!X:X)),0)</f>
        <v>442147275.73479998</v>
      </c>
      <c r="X70" s="3">
        <f>IF(X$3&lt;=Summary!$C$2,(_xlfn.XLOOKUP(Group!$B70,BS_NG!$C:$C,BS_NG!Y:Y)+_xlfn.XLOOKUP(Group!$B70,BS_UK!$C:$C,BS_UK!Y:Y)+_xlfn.XLOOKUP(Group!$B70,BS_UAE!$C:$C,BS_UAE!Y:Y)),0)</f>
        <v>449811034.06500012</v>
      </c>
      <c r="Y70" s="3">
        <f>IF(Y$3&lt;=Summary!$C$2,(_xlfn.XLOOKUP(Group!$B70,BS_NG!$C:$C,BS_NG!Z:Z)+_xlfn.XLOOKUP(Group!$B70,BS_UK!$C:$C,BS_UK!Z:Z)+_xlfn.XLOOKUP(Group!$B70,BS_UAE!$C:$C,BS_UAE!Z:Z)),0)</f>
        <v>430069523.48670006</v>
      </c>
      <c r="Z70" s="3">
        <f>IF(Z$3&lt;=Summary!$C$2,(_xlfn.XLOOKUP(Group!$B70,BS_NG!$C:$C,BS_NG!AA:AA)+_xlfn.XLOOKUP(Group!$B70,BS_UK!$C:$C,BS_UK!AA:AA)+_xlfn.XLOOKUP(Group!$B70,BS_UAE!$C:$C,BS_UAE!AA:AA)),0)</f>
        <v>36449101.469999991</v>
      </c>
      <c r="AA70" s="3">
        <f>IF(AA$3&lt;=Summary!$C$2,(_xlfn.XLOOKUP(Group!$B70,BS_NG!$C:$C,BS_NG!AB:AB)+_xlfn.XLOOKUP(Group!$B70,BS_UK!$C:$C,BS_UK!AB:AB)+_xlfn.XLOOKUP(Group!$B70,BS_UAE!$C:$C,BS_UAE!AB:AB)),0)</f>
        <v>83002569.382800013</v>
      </c>
      <c r="AB70" s="3">
        <f>IF(AB$3&lt;=Summary!$C$2,(_xlfn.XLOOKUP(Group!$B70,BS_NG!$C:$C,BS_NG!AC:AC)+_xlfn.XLOOKUP(Group!$B70,BS_UK!$C:$C,BS_UK!AC:AC)+_xlfn.XLOOKUP(Group!$B70,BS_UAE!$C:$C,BS_UAE!AC:AC)),0)</f>
        <v>116363547.7676</v>
      </c>
      <c r="AC70" s="3">
        <f>IF(AC$3&lt;=Summary!$C$2,(_xlfn.XLOOKUP(Group!$B70,BS_NG!$C:$C,BS_NG!AD:AD)+_xlfn.XLOOKUP(Group!$B70,BS_UK!$C:$C,BS_UK!AD:AD)+_xlfn.XLOOKUP(Group!$B70,BS_UAE!$C:$C,BS_UAE!AD:AD)),0)</f>
        <v>108738065.20499998</v>
      </c>
      <c r="AD70" s="3">
        <f>IF(AD$3&lt;=Summary!$C$2,(_xlfn.XLOOKUP(Group!$B70,BS_NG!$C:$C,BS_NG!AE:AE)+_xlfn.XLOOKUP(Group!$B70,BS_UK!$C:$C,BS_UK!AE:AE)+_xlfn.XLOOKUP(Group!$B70,BS_UAE!$C:$C,BS_UAE!AE:AE)),0)</f>
        <v>88400694.658000007</v>
      </c>
      <c r="AE70" s="3">
        <f>IF(AE$3&lt;=Summary!$C$2,(_xlfn.XLOOKUP(Group!$B70,BS_NG!$C:$C,BS_NG!AF:AF)+_xlfn.XLOOKUP(Group!$B70,BS_UK!$C:$C,BS_UK!AF:AF)+_xlfn.XLOOKUP(Group!$B70,BS_UAE!$C:$C,BS_UAE!AF:AF)),0)</f>
        <v>0</v>
      </c>
      <c r="AF70" s="3">
        <f>IF(AF$3&lt;=Summary!$C$2,(_xlfn.XLOOKUP(Group!$B70,BS_NG!$C:$C,BS_NG!AG:AG)+_xlfn.XLOOKUP(Group!$B70,BS_UK!$C:$C,BS_UK!AG:AG)+_xlfn.XLOOKUP(Group!$B70,BS_UAE!$C:$C,BS_UAE!AG:AG)),0)</f>
        <v>0</v>
      </c>
      <c r="AG70" s="3">
        <f>IF(AG$3&lt;=Summary!$C$2,(_xlfn.XLOOKUP(Group!$B70,BS_NG!$C:$C,BS_NG!AH:AH)+_xlfn.XLOOKUP(Group!$B70,BS_UK!$C:$C,BS_UK!AH:AH)+_xlfn.XLOOKUP(Group!$B70,BS_UAE!$C:$C,BS_UAE!AH:AH)),0)</f>
        <v>0</v>
      </c>
      <c r="AH70" s="3">
        <f>IF(AH$3&lt;=Summary!$C$2,(_xlfn.XLOOKUP(Group!$B70,BS_NG!$C:$C,BS_NG!AI:AI)+_xlfn.XLOOKUP(Group!$B70,BS_UK!$C:$C,BS_UK!AI:AI)+_xlfn.XLOOKUP(Group!$B70,BS_UAE!$C:$C,BS_UAE!AI:AI)),0)</f>
        <v>0</v>
      </c>
      <c r="AI70" s="3">
        <f>IF(AI$3&lt;=Summary!$C$2,(_xlfn.XLOOKUP(Group!$B70,BS_NG!$C:$C,BS_NG!AJ:AJ)+_xlfn.XLOOKUP(Group!$B70,BS_UK!$C:$C,BS_UK!AJ:AJ)+_xlfn.XLOOKUP(Group!$B70,BS_UAE!$C:$C,BS_UAE!AJ:AJ)),0)</f>
        <v>0</v>
      </c>
      <c r="AJ70" s="3">
        <f>IF(AJ$3&lt;=Summary!$C$2,(_xlfn.XLOOKUP(Group!$B70,BS_NG!$C:$C,BS_NG!AK:AK)+_xlfn.XLOOKUP(Group!$B70,BS_UK!$C:$C,BS_UK!AK:AK)+_xlfn.XLOOKUP(Group!$B70,BS_UAE!$C:$C,BS_UAE!AK:AK)),0)</f>
        <v>0</v>
      </c>
      <c r="AK70" s="3">
        <f>IF(AK$3&lt;=Summary!$C$2,(_xlfn.XLOOKUP(Group!$B70,BS_NG!$C:$C,BS_NG!AL:AL)+_xlfn.XLOOKUP(Group!$B70,BS_UK!$C:$C,BS_UK!AL:AL)+_xlfn.XLOOKUP(Group!$B70,BS_UAE!$C:$C,BS_UAE!AL:AL)),0)</f>
        <v>0</v>
      </c>
      <c r="AL70" s="3">
        <f>IF(AL$3&lt;=Summary!$C$2,(_xlfn.XLOOKUP(Group!$B70,BS_NG!$C:$C,BS_NG!AM:AM)+_xlfn.XLOOKUP(Group!$B70,BS_UK!$C:$C,BS_UK!AM:AM)+_xlfn.XLOOKUP(Group!$B70,BS_UAE!$C:$C,BS_UAE!AM:AM)),0)</f>
        <v>0</v>
      </c>
    </row>
    <row r="71" spans="2:38" x14ac:dyDescent="0.2">
      <c r="B71" s="1" t="s">
        <v>753</v>
      </c>
      <c r="C71" s="3">
        <f>IF(C$3&lt;=Summary!$C$2,(_xlfn.XLOOKUP(Group!$B71,BS_NG!$C:$C,BS_NG!D:D)+_xlfn.XLOOKUP(Group!$B71,BS_UK!$C:$C,BS_UK!D:D)+_xlfn.XLOOKUP(Group!$B71,BS_UAE!$C:$C,BS_UAE!D:D)),0)</f>
        <v>-5798066.9407699993</v>
      </c>
      <c r="D71" s="3">
        <f>IF(D$3&lt;=Summary!$C$2,(_xlfn.XLOOKUP(Group!$B71,BS_NG!$C:$C,BS_NG!E:E)+_xlfn.XLOOKUP(Group!$B71,BS_UK!$C:$C,BS_UK!E:E)+_xlfn.XLOOKUP(Group!$B71,BS_UAE!$C:$C,BS_UAE!E:E)),0)</f>
        <v>-10284975.322759999</v>
      </c>
      <c r="E71" s="3">
        <f>IF(E$3&lt;=Summary!$C$2,(_xlfn.XLOOKUP(Group!$B71,BS_NG!$C:$C,BS_NG!F:F)+_xlfn.XLOOKUP(Group!$B71,BS_UK!$C:$C,BS_UK!F:F)+_xlfn.XLOOKUP(Group!$B71,BS_UAE!$C:$C,BS_UAE!F:F)),0)</f>
        <v>-9015684.01358</v>
      </c>
      <c r="F71" s="3">
        <f>IF(F$3&lt;=Summary!$C$2,(_xlfn.XLOOKUP(Group!$B71,BS_NG!$C:$C,BS_NG!G:G)+_xlfn.XLOOKUP(Group!$B71,BS_UK!$C:$C,BS_UK!G:G)+_xlfn.XLOOKUP(Group!$B71,BS_UAE!$C:$C,BS_UAE!G:G)),0)</f>
        <v>308328963.87566996</v>
      </c>
      <c r="G71" s="3">
        <f>IF(G$3&lt;=Summary!$C$2,(_xlfn.XLOOKUP(Group!$B71,BS_NG!$C:$C,BS_NG!H:H)+_xlfn.XLOOKUP(Group!$B71,BS_UK!$C:$C,BS_UK!H:H)+_xlfn.XLOOKUP(Group!$B71,BS_UAE!$C:$C,BS_UAE!H:H)),0)</f>
        <v>316426897.20091993</v>
      </c>
      <c r="H71" s="3">
        <f>IF(H$3&lt;=Summary!$C$2,(_xlfn.XLOOKUP(Group!$B71,BS_NG!$C:$C,BS_NG!I:I)+_xlfn.XLOOKUP(Group!$B71,BS_UK!$C:$C,BS_UK!I:I)+_xlfn.XLOOKUP(Group!$B71,BS_UAE!$C:$C,BS_UAE!I:I)),0)</f>
        <v>346461637.40783</v>
      </c>
      <c r="I71" s="3">
        <f>IF(I$3&lt;=Summary!$C$2,(_xlfn.XLOOKUP(Group!$B71,BS_NG!$C:$C,BS_NG!J:J)+_xlfn.XLOOKUP(Group!$B71,BS_UK!$C:$C,BS_UK!J:J)+_xlfn.XLOOKUP(Group!$B71,BS_UAE!$C:$C,BS_UAE!J:J)),0)</f>
        <v>367398741.04648</v>
      </c>
      <c r="J71" s="3">
        <f>IF(J$3&lt;=Summary!$C$2,(_xlfn.XLOOKUP(Group!$B71,BS_NG!$C:$C,BS_NG!K:K)+_xlfn.XLOOKUP(Group!$B71,BS_UK!$C:$C,BS_UK!K:K)+_xlfn.XLOOKUP(Group!$B71,BS_UAE!$C:$C,BS_UAE!K:K)),0)</f>
        <v>421452891.01591998</v>
      </c>
      <c r="K71" s="3">
        <f>IF(K$3&lt;=Summary!$C$2,(_xlfn.XLOOKUP(Group!$B71,BS_NG!$C:$C,BS_NG!L:L)+_xlfn.XLOOKUP(Group!$B71,BS_UK!$C:$C,BS_UK!L:L)+_xlfn.XLOOKUP(Group!$B71,BS_UAE!$C:$C,BS_UAE!L:L)),0)</f>
        <v>377800239.98132998</v>
      </c>
      <c r="L71" s="3">
        <f>IF(L$3&lt;=Summary!$C$2,(_xlfn.XLOOKUP(Group!$B71,BS_NG!$C:$C,BS_NG!M:M)+_xlfn.XLOOKUP(Group!$B71,BS_UK!$C:$C,BS_UK!M:M)+_xlfn.XLOOKUP(Group!$B71,BS_UAE!$C:$C,BS_UAE!M:M)),0)</f>
        <v>359816092.08844006</v>
      </c>
      <c r="M71" s="3">
        <f>IF(M$3&lt;=Summary!$C$2,(_xlfn.XLOOKUP(Group!$B71,BS_NG!$C:$C,BS_NG!N:N)+_xlfn.XLOOKUP(Group!$B71,BS_UK!$C:$C,BS_UK!N:N)+_xlfn.XLOOKUP(Group!$B71,BS_UAE!$C:$C,BS_UAE!N:N)),0)</f>
        <v>358908503.43690002</v>
      </c>
      <c r="N71" s="3">
        <f>IF(N$3&lt;=Summary!$C$2,(_xlfn.XLOOKUP(Group!$B71,BS_NG!$C:$C,BS_NG!O:O)+_xlfn.XLOOKUP(Group!$B71,BS_UK!$C:$C,BS_UK!O:O)+_xlfn.XLOOKUP(Group!$B71,BS_UAE!$C:$C,BS_UAE!O:O)),0)</f>
        <v>338690631.25951999</v>
      </c>
      <c r="O71" s="3">
        <f>IF(O$3&lt;=Summary!$C$2,(_xlfn.XLOOKUP(Group!$B71,BS_NG!$C:$C,BS_NG!P:P)+_xlfn.XLOOKUP(Group!$B71,BS_UK!$C:$C,BS_UK!P:P)+_xlfn.XLOOKUP(Group!$B71,BS_UAE!$C:$C,BS_UAE!P:P)),0)</f>
        <v>333495759.6602</v>
      </c>
      <c r="P71" s="3">
        <f>IF(P$3&lt;=Summary!$C$2,(_xlfn.XLOOKUP(Group!$B71,BS_NG!$C:$C,BS_NG!Q:Q)+_xlfn.XLOOKUP(Group!$B71,BS_UK!$C:$C,BS_UK!Q:Q)+_xlfn.XLOOKUP(Group!$B71,BS_UAE!$C:$C,BS_UAE!Q:Q)),0)</f>
        <v>331330786.48424</v>
      </c>
      <c r="Q71" s="3">
        <f>IF(Q$3&lt;=Summary!$C$2,(_xlfn.XLOOKUP(Group!$B71,BS_NG!$C:$C,BS_NG!R:R)+_xlfn.XLOOKUP(Group!$B71,BS_UK!$C:$C,BS_UK!R:R)+_xlfn.XLOOKUP(Group!$B71,BS_UAE!$C:$C,BS_UAE!R:R)),0)</f>
        <v>348971980.50623995</v>
      </c>
      <c r="R71" s="3">
        <f>IF(R$3&lt;=Summary!$C$2,(_xlfn.XLOOKUP(Group!$B71,BS_NG!$C:$C,BS_NG!S:S)+_xlfn.XLOOKUP(Group!$B71,BS_UK!$C:$C,BS_UK!S:S)+_xlfn.XLOOKUP(Group!$B71,BS_UAE!$C:$C,BS_UAE!S:S)),0)</f>
        <v>378721742.57723999</v>
      </c>
      <c r="S71" s="3">
        <f>IF(S$3&lt;=Summary!$C$2,(_xlfn.XLOOKUP(Group!$B71,BS_NG!$C:$C,BS_NG!T:T)+_xlfn.XLOOKUP(Group!$B71,BS_UK!$C:$C,BS_UK!T:T)+_xlfn.XLOOKUP(Group!$B71,BS_UAE!$C:$C,BS_UAE!T:T)),0)</f>
        <v>377694907.29543996</v>
      </c>
      <c r="T71" s="3">
        <f>IF(T$3&lt;=Summary!$C$2,(_xlfn.XLOOKUP(Group!$B71,BS_NG!$C:$C,BS_NG!U:U)+_xlfn.XLOOKUP(Group!$B71,BS_UK!$C:$C,BS_UK!U:U)+_xlfn.XLOOKUP(Group!$B71,BS_UAE!$C:$C,BS_UAE!U:U)),0)</f>
        <v>374390771.84025997</v>
      </c>
      <c r="U71" s="3">
        <f>IF(U$3&lt;=Summary!$C$2,(_xlfn.XLOOKUP(Group!$B71,BS_NG!$C:$C,BS_NG!V:V)+_xlfn.XLOOKUP(Group!$B71,BS_UK!$C:$C,BS_UK!V:V)+_xlfn.XLOOKUP(Group!$B71,BS_UAE!$C:$C,BS_UAE!V:V)),0)</f>
        <v>360387336.66691995</v>
      </c>
      <c r="V71" s="3">
        <f>IF(V$3&lt;=Summary!$C$2,(_xlfn.XLOOKUP(Group!$B71,BS_NG!$C:$C,BS_NG!W:W)+_xlfn.XLOOKUP(Group!$B71,BS_UK!$C:$C,BS_UK!W:W)+_xlfn.XLOOKUP(Group!$B71,BS_UAE!$C:$C,BS_UAE!W:W)),0)</f>
        <v>369614166.47927994</v>
      </c>
      <c r="W71" s="3">
        <f>IF(W$3&lt;=Summary!$C$2,(_xlfn.XLOOKUP(Group!$B71,BS_NG!$C:$C,BS_NG!X:X)+_xlfn.XLOOKUP(Group!$B71,BS_UK!$C:$C,BS_UK!X:X)+_xlfn.XLOOKUP(Group!$B71,BS_UAE!$C:$C,BS_UAE!X:X)),0)</f>
        <v>357497158.44276005</v>
      </c>
      <c r="X71" s="3">
        <f>IF(X$3&lt;=Summary!$C$2,(_xlfn.XLOOKUP(Group!$B71,BS_NG!$C:$C,BS_NG!Y:Y)+_xlfn.XLOOKUP(Group!$B71,BS_UK!$C:$C,BS_UK!Y:Y)+_xlfn.XLOOKUP(Group!$B71,BS_UAE!$C:$C,BS_UAE!Y:Y)),0)</f>
        <v>351216949.30500001</v>
      </c>
      <c r="Y71" s="3">
        <f>IF(Y$3&lt;=Summary!$C$2,(_xlfn.XLOOKUP(Group!$B71,BS_NG!$C:$C,BS_NG!Z:Z)+_xlfn.XLOOKUP(Group!$B71,BS_UK!$C:$C,BS_UK!Z:Z)+_xlfn.XLOOKUP(Group!$B71,BS_UAE!$C:$C,BS_UAE!Z:Z)),0)</f>
        <v>357962463.29499996</v>
      </c>
      <c r="Z71" s="3">
        <f>IF(Z$3&lt;=Summary!$C$2,(_xlfn.XLOOKUP(Group!$B71,BS_NG!$C:$C,BS_NG!AA:AA)+_xlfn.XLOOKUP(Group!$B71,BS_UK!$C:$C,BS_UK!AA:AA)+_xlfn.XLOOKUP(Group!$B71,BS_UAE!$C:$C,BS_UAE!AA:AA)),0)</f>
        <v>374359193.74543005</v>
      </c>
      <c r="AA71" s="3">
        <f>IF(AA$3&lt;=Summary!$C$2,(_xlfn.XLOOKUP(Group!$B71,BS_NG!$C:$C,BS_NG!AB:AB)+_xlfn.XLOOKUP(Group!$B71,BS_UK!$C:$C,BS_UK!AB:AB)+_xlfn.XLOOKUP(Group!$B71,BS_UAE!$C:$C,BS_UAE!AB:AB)),0)</f>
        <v>370959555.09931999</v>
      </c>
      <c r="AB71" s="3">
        <f>IF(AB$3&lt;=Summary!$C$2,(_xlfn.XLOOKUP(Group!$B71,BS_NG!$C:$C,BS_NG!AC:AC)+_xlfn.XLOOKUP(Group!$B71,BS_UK!$C:$C,BS_UK!AC:AC)+_xlfn.XLOOKUP(Group!$B71,BS_UAE!$C:$C,BS_UAE!AC:AC)),0)</f>
        <v>361495940.62795001</v>
      </c>
      <c r="AC71" s="3">
        <f>IF(AC$3&lt;=Summary!$C$2,(_xlfn.XLOOKUP(Group!$B71,BS_NG!$C:$C,BS_NG!AD:AD)+_xlfn.XLOOKUP(Group!$B71,BS_UK!$C:$C,BS_UK!AD:AD)+_xlfn.XLOOKUP(Group!$B71,BS_UAE!$C:$C,BS_UAE!AD:AD)),0)</f>
        <v>366689326.09002995</v>
      </c>
      <c r="AD71" s="3">
        <f>IF(AD$3&lt;=Summary!$C$2,(_xlfn.XLOOKUP(Group!$B71,BS_NG!$C:$C,BS_NG!AE:AE)+_xlfn.XLOOKUP(Group!$B71,BS_UK!$C:$C,BS_UK!AE:AE)+_xlfn.XLOOKUP(Group!$B71,BS_UAE!$C:$C,BS_UAE!AE:AE)),0)</f>
        <v>414594986.86084002</v>
      </c>
      <c r="AE71" s="3">
        <f>IF(AE$3&lt;=Summary!$C$2,(_xlfn.XLOOKUP(Group!$B71,BS_NG!$C:$C,BS_NG!AF:AF)+_xlfn.XLOOKUP(Group!$B71,BS_UK!$C:$C,BS_UK!AF:AF)+_xlfn.XLOOKUP(Group!$B71,BS_UAE!$C:$C,BS_UAE!AF:AF)),0)</f>
        <v>0</v>
      </c>
      <c r="AF71" s="3">
        <f>IF(AF$3&lt;=Summary!$C$2,(_xlfn.XLOOKUP(Group!$B71,BS_NG!$C:$C,BS_NG!AG:AG)+_xlfn.XLOOKUP(Group!$B71,BS_UK!$C:$C,BS_UK!AG:AG)+_xlfn.XLOOKUP(Group!$B71,BS_UAE!$C:$C,BS_UAE!AG:AG)),0)</f>
        <v>0</v>
      </c>
      <c r="AG71" s="3">
        <f>IF(AG$3&lt;=Summary!$C$2,(_xlfn.XLOOKUP(Group!$B71,BS_NG!$C:$C,BS_NG!AH:AH)+_xlfn.XLOOKUP(Group!$B71,BS_UK!$C:$C,BS_UK!AH:AH)+_xlfn.XLOOKUP(Group!$B71,BS_UAE!$C:$C,BS_UAE!AH:AH)),0)</f>
        <v>0</v>
      </c>
      <c r="AH71" s="3">
        <f>IF(AH$3&lt;=Summary!$C$2,(_xlfn.XLOOKUP(Group!$B71,BS_NG!$C:$C,BS_NG!AI:AI)+_xlfn.XLOOKUP(Group!$B71,BS_UK!$C:$C,BS_UK!AI:AI)+_xlfn.XLOOKUP(Group!$B71,BS_UAE!$C:$C,BS_UAE!AI:AI)),0)</f>
        <v>0</v>
      </c>
      <c r="AI71" s="3">
        <f>IF(AI$3&lt;=Summary!$C$2,(_xlfn.XLOOKUP(Group!$B71,BS_NG!$C:$C,BS_NG!AJ:AJ)+_xlfn.XLOOKUP(Group!$B71,BS_UK!$C:$C,BS_UK!AJ:AJ)+_xlfn.XLOOKUP(Group!$B71,BS_UAE!$C:$C,BS_UAE!AJ:AJ)),0)</f>
        <v>0</v>
      </c>
      <c r="AJ71" s="3">
        <f>IF(AJ$3&lt;=Summary!$C$2,(_xlfn.XLOOKUP(Group!$B71,BS_NG!$C:$C,BS_NG!AK:AK)+_xlfn.XLOOKUP(Group!$B71,BS_UK!$C:$C,BS_UK!AK:AK)+_xlfn.XLOOKUP(Group!$B71,BS_UAE!$C:$C,BS_UAE!AK:AK)),0)</f>
        <v>0</v>
      </c>
      <c r="AK71" s="3">
        <f>IF(AK$3&lt;=Summary!$C$2,(_xlfn.XLOOKUP(Group!$B71,BS_NG!$C:$C,BS_NG!AL:AL)+_xlfn.XLOOKUP(Group!$B71,BS_UK!$C:$C,BS_UK!AL:AL)+_xlfn.XLOOKUP(Group!$B71,BS_UAE!$C:$C,BS_UAE!AL:AL)),0)</f>
        <v>0</v>
      </c>
      <c r="AL71" s="3">
        <f>IF(AL$3&lt;=Summary!$C$2,(_xlfn.XLOOKUP(Group!$B71,BS_NG!$C:$C,BS_NG!AM:AM)+_xlfn.XLOOKUP(Group!$B71,BS_UK!$C:$C,BS_UK!AM:AM)+_xlfn.XLOOKUP(Group!$B71,BS_UAE!$C:$C,BS_UAE!AM:AM)),0)</f>
        <v>0</v>
      </c>
    </row>
    <row r="72" spans="2:38" x14ac:dyDescent="0.2">
      <c r="B72" s="1" t="s">
        <v>57</v>
      </c>
      <c r="C72" s="3">
        <f>IF(C$3&lt;=Summary!$C$2,(_xlfn.XLOOKUP(Group!$B72,BS_NG!$C:$C,BS_NG!D:D)+_xlfn.XLOOKUP(Group!$B72,BS_UK!$C:$C,BS_UK!D:D)+_xlfn.XLOOKUP(Group!$B72,BS_UAE!$C:$C,BS_UAE!D:D)),0)</f>
        <v>536765730.77500004</v>
      </c>
      <c r="D72" s="3">
        <f>IF(D$3&lt;=Summary!$C$2,(_xlfn.XLOOKUP(Group!$B72,BS_NG!$C:$C,BS_NG!E:E)+_xlfn.XLOOKUP(Group!$B72,BS_UK!$C:$C,BS_UK!E:E)+_xlfn.XLOOKUP(Group!$B72,BS_UAE!$C:$C,BS_UAE!E:E)),0)</f>
        <v>589864066.51000011</v>
      </c>
      <c r="E72" s="3">
        <f>IF(E$3&lt;=Summary!$C$2,(_xlfn.XLOOKUP(Group!$B72,BS_NG!$C:$C,BS_NG!F:F)+_xlfn.XLOOKUP(Group!$B72,BS_UK!$C:$C,BS_UK!F:F)+_xlfn.XLOOKUP(Group!$B72,BS_UAE!$C:$C,BS_UAE!F:F)),0)</f>
        <v>965145264.24000001</v>
      </c>
      <c r="F72" s="3">
        <f>IF(F$3&lt;=Summary!$C$2,(_xlfn.XLOOKUP(Group!$B72,BS_NG!$C:$C,BS_NG!G:G)+_xlfn.XLOOKUP(Group!$B72,BS_UK!$C:$C,BS_UK!G:G)+_xlfn.XLOOKUP(Group!$B72,BS_UAE!$C:$C,BS_UAE!G:G)),0)</f>
        <v>838876202.95469999</v>
      </c>
      <c r="G72" s="3">
        <f>IF(G$3&lt;=Summary!$C$2,(_xlfn.XLOOKUP(Group!$B72,BS_NG!$C:$C,BS_NG!H:H)+_xlfn.XLOOKUP(Group!$B72,BS_UK!$C:$C,BS_UK!H:H)+_xlfn.XLOOKUP(Group!$B72,BS_UAE!$C:$C,BS_UAE!H:H)),0)</f>
        <v>666065868.02839994</v>
      </c>
      <c r="H72" s="3">
        <f>IF(H$3&lt;=Summary!$C$2,(_xlfn.XLOOKUP(Group!$B72,BS_NG!$C:$C,BS_NG!I:I)+_xlfn.XLOOKUP(Group!$B72,BS_UK!$C:$C,BS_UK!I:I)+_xlfn.XLOOKUP(Group!$B72,BS_UAE!$C:$C,BS_UAE!I:I)),0)</f>
        <v>1596348592.6869998</v>
      </c>
      <c r="I72" s="3">
        <f>IF(I$3&lt;=Summary!$C$2,(_xlfn.XLOOKUP(Group!$B72,BS_NG!$C:$C,BS_NG!J:J)+_xlfn.XLOOKUP(Group!$B72,BS_UK!$C:$C,BS_UK!J:J)+_xlfn.XLOOKUP(Group!$B72,BS_UAE!$C:$C,BS_UAE!J:J)),0)</f>
        <v>1064694443.4010001</v>
      </c>
      <c r="J72" s="3">
        <f>IF(J$3&lt;=Summary!$C$2,(_xlfn.XLOOKUP(Group!$B72,BS_NG!$C:$C,BS_NG!K:K)+_xlfn.XLOOKUP(Group!$B72,BS_UK!$C:$C,BS_UK!K:K)+_xlfn.XLOOKUP(Group!$B72,BS_UAE!$C:$C,BS_UAE!K:K)),0)</f>
        <v>1258100209.0464001</v>
      </c>
      <c r="K72" s="3">
        <f>IF(K$3&lt;=Summary!$C$2,(_xlfn.XLOOKUP(Group!$B72,BS_NG!$C:$C,BS_NG!L:L)+_xlfn.XLOOKUP(Group!$B72,BS_UK!$C:$C,BS_UK!L:L)+_xlfn.XLOOKUP(Group!$B72,BS_UAE!$C:$C,BS_UAE!L:L)),0)</f>
        <v>1190266017.4137001</v>
      </c>
      <c r="L72" s="3">
        <f>IF(L$3&lt;=Summary!$C$2,(_xlfn.XLOOKUP(Group!$B72,BS_NG!$C:$C,BS_NG!M:M)+_xlfn.XLOOKUP(Group!$B72,BS_UK!$C:$C,BS_UK!M:M)+_xlfn.XLOOKUP(Group!$B72,BS_UAE!$C:$C,BS_UAE!M:M)),0)</f>
        <v>1140919884.5914001</v>
      </c>
      <c r="M72" s="3">
        <f>IF(M$3&lt;=Summary!$C$2,(_xlfn.XLOOKUP(Group!$B72,BS_NG!$C:$C,BS_NG!N:N)+_xlfn.XLOOKUP(Group!$B72,BS_UK!$C:$C,BS_UK!N:N)+_xlfn.XLOOKUP(Group!$B72,BS_UAE!$C:$C,BS_UAE!N:N)),0)</f>
        <v>1169549482.6115</v>
      </c>
      <c r="N72" s="3">
        <f>IF(N$3&lt;=Summary!$C$2,(_xlfn.XLOOKUP(Group!$B72,BS_NG!$C:$C,BS_NG!O:O)+_xlfn.XLOOKUP(Group!$B72,BS_UK!$C:$C,BS_UK!O:O)+_xlfn.XLOOKUP(Group!$B72,BS_UAE!$C:$C,BS_UAE!O:O)),0)</f>
        <v>1144177670.6696</v>
      </c>
      <c r="O72" s="3">
        <f>IF(O$3&lt;=Summary!$C$2,(_xlfn.XLOOKUP(Group!$B72,BS_NG!$C:$C,BS_NG!P:P)+_xlfn.XLOOKUP(Group!$B72,BS_UK!$C:$C,BS_UK!P:P)+_xlfn.XLOOKUP(Group!$B72,BS_UAE!$C:$C,BS_UAE!P:P)),0)</f>
        <v>1054697533.5544</v>
      </c>
      <c r="P72" s="3">
        <f>IF(P$3&lt;=Summary!$C$2,(_xlfn.XLOOKUP(Group!$B72,BS_NG!$C:$C,BS_NG!Q:Q)+_xlfn.XLOOKUP(Group!$B72,BS_UK!$C:$C,BS_UK!Q:Q)+_xlfn.XLOOKUP(Group!$B72,BS_UAE!$C:$C,BS_UAE!Q:Q)),0)</f>
        <v>924309194.13800013</v>
      </c>
      <c r="Q72" s="3">
        <f>IF(Q$3&lt;=Summary!$C$2,(_xlfn.XLOOKUP(Group!$B72,BS_NG!$C:$C,BS_NG!R:R)+_xlfn.XLOOKUP(Group!$B72,BS_UK!$C:$C,BS_UK!R:R)+_xlfn.XLOOKUP(Group!$B72,BS_UAE!$C:$C,BS_UAE!R:R)),0)</f>
        <v>1084076241.2335</v>
      </c>
      <c r="R72" s="3">
        <f>IF(R$3&lt;=Summary!$C$2,(_xlfn.XLOOKUP(Group!$B72,BS_NG!$C:$C,BS_NG!S:S)+_xlfn.XLOOKUP(Group!$B72,BS_UK!$C:$C,BS_UK!S:S)+_xlfn.XLOOKUP(Group!$B72,BS_UAE!$C:$C,BS_UAE!S:S)),0)</f>
        <v>940556324.38110018</v>
      </c>
      <c r="S72" s="3">
        <f>IF(S$3&lt;=Summary!$C$2,(_xlfn.XLOOKUP(Group!$B72,BS_NG!$C:$C,BS_NG!T:T)+_xlfn.XLOOKUP(Group!$B72,BS_UK!$C:$C,BS_UK!T:T)+_xlfn.XLOOKUP(Group!$B72,BS_UAE!$C:$C,BS_UAE!T:T)),0)</f>
        <v>884211906.79949999</v>
      </c>
      <c r="T72" s="3">
        <f>IF(T$3&lt;=Summary!$C$2,(_xlfn.XLOOKUP(Group!$B72,BS_NG!$C:$C,BS_NG!U:U)+_xlfn.XLOOKUP(Group!$B72,BS_UK!$C:$C,BS_UK!U:U)+_xlfn.XLOOKUP(Group!$B72,BS_UAE!$C:$C,BS_UAE!U:U)),0)</f>
        <v>1088453295.9372001</v>
      </c>
      <c r="U72" s="3">
        <f>IF(U$3&lt;=Summary!$C$2,(_xlfn.XLOOKUP(Group!$B72,BS_NG!$C:$C,BS_NG!V:V)+_xlfn.XLOOKUP(Group!$B72,BS_UK!$C:$C,BS_UK!V:V)+_xlfn.XLOOKUP(Group!$B72,BS_UAE!$C:$C,BS_UAE!V:V)),0)</f>
        <v>1263143121.1022</v>
      </c>
      <c r="V72" s="3">
        <f>IF(V$3&lt;=Summary!$C$2,(_xlfn.XLOOKUP(Group!$B72,BS_NG!$C:$C,BS_NG!W:W)+_xlfn.XLOOKUP(Group!$B72,BS_UK!$C:$C,BS_UK!W:W)+_xlfn.XLOOKUP(Group!$B72,BS_UAE!$C:$C,BS_UAE!W:W)),0)</f>
        <v>1605626680.1271996</v>
      </c>
      <c r="W72" s="3">
        <f>IF(W$3&lt;=Summary!$C$2,(_xlfn.XLOOKUP(Group!$B72,BS_NG!$C:$C,BS_NG!X:X)+_xlfn.XLOOKUP(Group!$B72,BS_UK!$C:$C,BS_UK!X:X)+_xlfn.XLOOKUP(Group!$B72,BS_UAE!$C:$C,BS_UAE!X:X)),0)</f>
        <v>1579101415.3057001</v>
      </c>
      <c r="X72" s="3">
        <f>IF(X$3&lt;=Summary!$C$2,(_xlfn.XLOOKUP(Group!$B72,BS_NG!$C:$C,BS_NG!Y:Y)+_xlfn.XLOOKUP(Group!$B72,BS_UK!$C:$C,BS_UK!Y:Y)+_xlfn.XLOOKUP(Group!$B72,BS_UAE!$C:$C,BS_UAE!Y:Y)),0)</f>
        <v>1436406235.0589998</v>
      </c>
      <c r="Y72" s="3">
        <f>IF(Y$3&lt;=Summary!$C$2,(_xlfn.XLOOKUP(Group!$B72,BS_NG!$C:$C,BS_NG!Z:Z)+_xlfn.XLOOKUP(Group!$B72,BS_UK!$C:$C,BS_UK!Z:Z)+_xlfn.XLOOKUP(Group!$B72,BS_UAE!$C:$C,BS_UAE!Z:Z)),0)</f>
        <v>1276636772.6842003</v>
      </c>
      <c r="Z72" s="3">
        <f>IF(Z$3&lt;=Summary!$C$2,(_xlfn.XLOOKUP(Group!$B72,BS_NG!$C:$C,BS_NG!AA:AA)+_xlfn.XLOOKUP(Group!$B72,BS_UK!$C:$C,BS_UK!AA:AA)+_xlfn.XLOOKUP(Group!$B72,BS_UAE!$C:$C,BS_UAE!AA:AA)),0)</f>
        <v>1286813010.8524997</v>
      </c>
      <c r="AA72" s="3">
        <f>IF(AA$3&lt;=Summary!$C$2,(_xlfn.XLOOKUP(Group!$B72,BS_NG!$C:$C,BS_NG!AB:AB)+_xlfn.XLOOKUP(Group!$B72,BS_UK!$C:$C,BS_UK!AB:AB)+_xlfn.XLOOKUP(Group!$B72,BS_UAE!$C:$C,BS_UAE!AB:AB)),0)</f>
        <v>1231502394.5834002</v>
      </c>
      <c r="AB72" s="3">
        <f>IF(AB$3&lt;=Summary!$C$2,(_xlfn.XLOOKUP(Group!$B72,BS_NG!$C:$C,BS_NG!AC:AC)+_xlfn.XLOOKUP(Group!$B72,BS_UK!$C:$C,BS_UK!AC:AC)+_xlfn.XLOOKUP(Group!$B72,BS_UAE!$C:$C,BS_UAE!AC:AC)),0)</f>
        <v>1259305019.6417999</v>
      </c>
      <c r="AC72" s="3">
        <f>IF(AC$3&lt;=Summary!$C$2,(_xlfn.XLOOKUP(Group!$B72,BS_NG!$C:$C,BS_NG!AD:AD)+_xlfn.XLOOKUP(Group!$B72,BS_UK!$C:$C,BS_UK!AD:AD)+_xlfn.XLOOKUP(Group!$B72,BS_UAE!$C:$C,BS_UAE!AD:AD)),0)</f>
        <v>1346346632.8170002</v>
      </c>
      <c r="AD72" s="3">
        <f>IF(AD$3&lt;=Summary!$C$2,(_xlfn.XLOOKUP(Group!$B72,BS_NG!$C:$C,BS_NG!AE:AE)+_xlfn.XLOOKUP(Group!$B72,BS_UK!$C:$C,BS_UK!AE:AE)+_xlfn.XLOOKUP(Group!$B72,BS_UAE!$C:$C,BS_UAE!AE:AE)),0)</f>
        <v>1144974867.3539999</v>
      </c>
      <c r="AE72" s="3">
        <f>IF(AE$3&lt;=Summary!$C$2,(_xlfn.XLOOKUP(Group!$B72,BS_NG!$C:$C,BS_NG!AF:AF)+_xlfn.XLOOKUP(Group!$B72,BS_UK!$C:$C,BS_UK!AF:AF)+_xlfn.XLOOKUP(Group!$B72,BS_UAE!$C:$C,BS_UAE!AF:AF)),0)</f>
        <v>0</v>
      </c>
      <c r="AF72" s="3">
        <f>IF(AF$3&lt;=Summary!$C$2,(_xlfn.XLOOKUP(Group!$B72,BS_NG!$C:$C,BS_NG!AG:AG)+_xlfn.XLOOKUP(Group!$B72,BS_UK!$C:$C,BS_UK!AG:AG)+_xlfn.XLOOKUP(Group!$B72,BS_UAE!$C:$C,BS_UAE!AG:AG)),0)</f>
        <v>0</v>
      </c>
      <c r="AG72" s="3">
        <f>IF(AG$3&lt;=Summary!$C$2,(_xlfn.XLOOKUP(Group!$B72,BS_NG!$C:$C,BS_NG!AH:AH)+_xlfn.XLOOKUP(Group!$B72,BS_UK!$C:$C,BS_UK!AH:AH)+_xlfn.XLOOKUP(Group!$B72,BS_UAE!$C:$C,BS_UAE!AH:AH)),0)</f>
        <v>0</v>
      </c>
      <c r="AH72" s="3">
        <f>IF(AH$3&lt;=Summary!$C$2,(_xlfn.XLOOKUP(Group!$B72,BS_NG!$C:$C,BS_NG!AI:AI)+_xlfn.XLOOKUP(Group!$B72,BS_UK!$C:$C,BS_UK!AI:AI)+_xlfn.XLOOKUP(Group!$B72,BS_UAE!$C:$C,BS_UAE!AI:AI)),0)</f>
        <v>0</v>
      </c>
      <c r="AI72" s="3">
        <f>IF(AI$3&lt;=Summary!$C$2,(_xlfn.XLOOKUP(Group!$B72,BS_NG!$C:$C,BS_NG!AJ:AJ)+_xlfn.XLOOKUP(Group!$B72,BS_UK!$C:$C,BS_UK!AJ:AJ)+_xlfn.XLOOKUP(Group!$B72,BS_UAE!$C:$C,BS_UAE!AJ:AJ)),0)</f>
        <v>0</v>
      </c>
      <c r="AJ72" s="3">
        <f>IF(AJ$3&lt;=Summary!$C$2,(_xlfn.XLOOKUP(Group!$B72,BS_NG!$C:$C,BS_NG!AK:AK)+_xlfn.XLOOKUP(Group!$B72,BS_UK!$C:$C,BS_UK!AK:AK)+_xlfn.XLOOKUP(Group!$B72,BS_UAE!$C:$C,BS_UAE!AK:AK)),0)</f>
        <v>0</v>
      </c>
      <c r="AK72" s="3">
        <f>IF(AK$3&lt;=Summary!$C$2,(_xlfn.XLOOKUP(Group!$B72,BS_NG!$C:$C,BS_NG!AL:AL)+_xlfn.XLOOKUP(Group!$B72,BS_UK!$C:$C,BS_UK!AL:AL)+_xlfn.XLOOKUP(Group!$B72,BS_UAE!$C:$C,BS_UAE!AL:AL)),0)</f>
        <v>0</v>
      </c>
      <c r="AL72" s="3">
        <f>IF(AL$3&lt;=Summary!$C$2,(_xlfn.XLOOKUP(Group!$B72,BS_NG!$C:$C,BS_NG!AM:AM)+_xlfn.XLOOKUP(Group!$B72,BS_UK!$C:$C,BS_UK!AM:AM)+_xlfn.XLOOKUP(Group!$B72,BS_UAE!$C:$C,BS_UAE!AM:AM)),0)</f>
        <v>0</v>
      </c>
    </row>
    <row r="73" spans="2:38" x14ac:dyDescent="0.2">
      <c r="B73" s="1" t="s">
        <v>61</v>
      </c>
      <c r="C73" s="3">
        <f>IF(C$3&lt;=Summary!$C$2,(_xlfn.XLOOKUP(Group!$B73,BS_NG!$C:$C,BS_NG!D:D)+_xlfn.XLOOKUP(Group!$B73,BS_UK!$C:$C,BS_UK!D:D)+_xlfn.XLOOKUP(Group!$B73,BS_UAE!$C:$C,BS_UAE!D:D)),0)</f>
        <v>216104209.82968003</v>
      </c>
      <c r="D73" s="3">
        <f>IF(D$3&lt;=Summary!$C$2,(_xlfn.XLOOKUP(Group!$B73,BS_NG!$C:$C,BS_NG!E:E)+_xlfn.XLOOKUP(Group!$B73,BS_UK!$C:$C,BS_UK!E:E)+_xlfn.XLOOKUP(Group!$B73,BS_UAE!$C:$C,BS_UAE!E:E)),0)</f>
        <v>397984954.93116003</v>
      </c>
      <c r="E73" s="3">
        <f>IF(E$3&lt;=Summary!$C$2,(_xlfn.XLOOKUP(Group!$B73,BS_NG!$C:$C,BS_NG!F:F)+_xlfn.XLOOKUP(Group!$B73,BS_UK!$C:$C,BS_UK!F:F)+_xlfn.XLOOKUP(Group!$B73,BS_UAE!$C:$C,BS_UAE!F:F)),0)</f>
        <v>7093789607.1759195</v>
      </c>
      <c r="F73" s="3">
        <f>IF(F$3&lt;=Summary!$C$2,(_xlfn.XLOOKUP(Group!$B73,BS_NG!$C:$C,BS_NG!G:G)+_xlfn.XLOOKUP(Group!$B73,BS_UK!$C:$C,BS_UK!G:G)+_xlfn.XLOOKUP(Group!$B73,BS_UAE!$C:$C,BS_UAE!G:G)),0)</f>
        <v>7364624643.6240292</v>
      </c>
      <c r="G73" s="3">
        <f>IF(G$3&lt;=Summary!$C$2,(_xlfn.XLOOKUP(Group!$B73,BS_NG!$C:$C,BS_NG!H:H)+_xlfn.XLOOKUP(Group!$B73,BS_UK!$C:$C,BS_UK!H:H)+_xlfn.XLOOKUP(Group!$B73,BS_UAE!$C:$C,BS_UAE!H:H)),0)</f>
        <v>7676545449.7021599</v>
      </c>
      <c r="H73" s="3">
        <f>IF(H$3&lt;=Summary!$C$2,(_xlfn.XLOOKUP(Group!$B73,BS_NG!$C:$C,BS_NG!I:I)+_xlfn.XLOOKUP(Group!$B73,BS_UK!$C:$C,BS_UK!I:I)+_xlfn.XLOOKUP(Group!$B73,BS_UAE!$C:$C,BS_UAE!I:I)),0)</f>
        <v>8586742769.15341</v>
      </c>
      <c r="I73" s="3">
        <f>IF(I$3&lt;=Summary!$C$2,(_xlfn.XLOOKUP(Group!$B73,BS_NG!$C:$C,BS_NG!J:J)+_xlfn.XLOOKUP(Group!$B73,BS_UK!$C:$C,BS_UK!J:J)+_xlfn.XLOOKUP(Group!$B73,BS_UAE!$C:$C,BS_UAE!J:J)),0)</f>
        <v>9135326183.8639393</v>
      </c>
      <c r="J73" s="3">
        <f>IF(J$3&lt;=Summary!$C$2,(_xlfn.XLOOKUP(Group!$B73,BS_NG!$C:$C,BS_NG!K:K)+_xlfn.XLOOKUP(Group!$B73,BS_UK!$C:$C,BS_UK!K:K)+_xlfn.XLOOKUP(Group!$B73,BS_UAE!$C:$C,BS_UAE!K:K)),0)</f>
        <v>9080960327.1560402</v>
      </c>
      <c r="K73" s="3">
        <f>IF(K$3&lt;=Summary!$C$2,(_xlfn.XLOOKUP(Group!$B73,BS_NG!$C:$C,BS_NG!L:L)+_xlfn.XLOOKUP(Group!$B73,BS_UK!$C:$C,BS_UK!L:L)+_xlfn.XLOOKUP(Group!$B73,BS_UAE!$C:$C,BS_UAE!L:L)),0)</f>
        <v>9677134796.7182102</v>
      </c>
      <c r="L73" s="3">
        <f>IF(L$3&lt;=Summary!$C$2,(_xlfn.XLOOKUP(Group!$B73,BS_NG!$C:$C,BS_NG!M:M)+_xlfn.XLOOKUP(Group!$B73,BS_UK!$C:$C,BS_UK!M:M)+_xlfn.XLOOKUP(Group!$B73,BS_UAE!$C:$C,BS_UAE!M:M)),0)</f>
        <v>9498534902.7496395</v>
      </c>
      <c r="M73" s="3">
        <f>IF(M$3&lt;=Summary!$C$2,(_xlfn.XLOOKUP(Group!$B73,BS_NG!$C:$C,BS_NG!N:N)+_xlfn.XLOOKUP(Group!$B73,BS_UK!$C:$C,BS_UK!N:N)+_xlfn.XLOOKUP(Group!$B73,BS_UAE!$C:$C,BS_UAE!N:N)),0)</f>
        <v>9696495722.0945988</v>
      </c>
      <c r="N73" s="3">
        <f>IF(N$3&lt;=Summary!$C$2,(_xlfn.XLOOKUP(Group!$B73,BS_NG!$C:$C,BS_NG!O:O)+_xlfn.XLOOKUP(Group!$B73,BS_UK!$C:$C,BS_UK!O:O)+_xlfn.XLOOKUP(Group!$B73,BS_UAE!$C:$C,BS_UAE!O:O)),0)</f>
        <v>8272458583.306879</v>
      </c>
      <c r="O73" s="3">
        <f>IF(O$3&lt;=Summary!$C$2,(_xlfn.XLOOKUP(Group!$B73,BS_NG!$C:$C,BS_NG!P:P)+_xlfn.XLOOKUP(Group!$B73,BS_UK!$C:$C,BS_UK!P:P)+_xlfn.XLOOKUP(Group!$B73,BS_UAE!$C:$C,BS_UAE!P:P)),0)</f>
        <v>8421389606.6300993</v>
      </c>
      <c r="P73" s="3">
        <f>IF(P$3&lt;=Summary!$C$2,(_xlfn.XLOOKUP(Group!$B73,BS_NG!$C:$C,BS_NG!Q:Q)+_xlfn.XLOOKUP(Group!$B73,BS_UK!$C:$C,BS_UK!Q:Q)+_xlfn.XLOOKUP(Group!$B73,BS_UAE!$C:$C,BS_UAE!Q:Q)),0)</f>
        <v>8274124220.4142799</v>
      </c>
      <c r="Q73" s="3">
        <f>IF(Q$3&lt;=Summary!$C$2,(_xlfn.XLOOKUP(Group!$B73,BS_NG!$C:$C,BS_NG!R:R)+_xlfn.XLOOKUP(Group!$B73,BS_UK!$C:$C,BS_UK!R:R)+_xlfn.XLOOKUP(Group!$B73,BS_UAE!$C:$C,BS_UAE!R:R)),0)</f>
        <v>8350839790.7228699</v>
      </c>
      <c r="R73" s="3">
        <f>IF(R$3&lt;=Summary!$C$2,(_xlfn.XLOOKUP(Group!$B73,BS_NG!$C:$C,BS_NG!S:S)+_xlfn.XLOOKUP(Group!$B73,BS_UK!$C:$C,BS_UK!S:S)+_xlfn.XLOOKUP(Group!$B73,BS_UAE!$C:$C,BS_UAE!S:S)),0)</f>
        <v>8665414020.1429291</v>
      </c>
      <c r="S73" s="3">
        <f>IF(S$3&lt;=Summary!$C$2,(_xlfn.XLOOKUP(Group!$B73,BS_NG!$C:$C,BS_NG!T:T)+_xlfn.XLOOKUP(Group!$B73,BS_UK!$C:$C,BS_UK!T:T)+_xlfn.XLOOKUP(Group!$B73,BS_UAE!$C:$C,BS_UAE!T:T)),0)</f>
        <v>8657172190.1907196</v>
      </c>
      <c r="T73" s="3">
        <f>IF(T$3&lt;=Summary!$C$2,(_xlfn.XLOOKUP(Group!$B73,BS_NG!$C:$C,BS_NG!U:U)+_xlfn.XLOOKUP(Group!$B73,BS_UK!$C:$C,BS_UK!U:U)+_xlfn.XLOOKUP(Group!$B73,BS_UAE!$C:$C,BS_UAE!U:U)),0)</f>
        <v>8771815699.0609589</v>
      </c>
      <c r="U73" s="3">
        <f>IF(U$3&lt;=Summary!$C$2,(_xlfn.XLOOKUP(Group!$B73,BS_NG!$C:$C,BS_NG!V:V)+_xlfn.XLOOKUP(Group!$B73,BS_UK!$C:$C,BS_UK!V:V)+_xlfn.XLOOKUP(Group!$B73,BS_UAE!$C:$C,BS_UAE!V:V)),0)</f>
        <v>9036324243.4152393</v>
      </c>
      <c r="V73" s="3">
        <f>IF(V$3&lt;=Summary!$C$2,(_xlfn.XLOOKUP(Group!$B73,BS_NG!$C:$C,BS_NG!W:W)+_xlfn.XLOOKUP(Group!$B73,BS_UK!$C:$C,BS_UK!W:W)+_xlfn.XLOOKUP(Group!$B73,BS_UAE!$C:$C,BS_UAE!W:W)),0)</f>
        <v>9077258400.1464195</v>
      </c>
      <c r="W73" s="3">
        <f>IF(W$3&lt;=Summary!$C$2,(_xlfn.XLOOKUP(Group!$B73,BS_NG!$C:$C,BS_NG!X:X)+_xlfn.XLOOKUP(Group!$B73,BS_UK!$C:$C,BS_UK!X:X)+_xlfn.XLOOKUP(Group!$B73,BS_UAE!$C:$C,BS_UAE!X:X)),0)</f>
        <v>8982066757.1561604</v>
      </c>
      <c r="X73" s="3">
        <f>IF(X$3&lt;=Summary!$C$2,(_xlfn.XLOOKUP(Group!$B73,BS_NG!$C:$C,BS_NG!Y:Y)+_xlfn.XLOOKUP(Group!$B73,BS_UK!$C:$C,BS_UK!Y:Y)+_xlfn.XLOOKUP(Group!$B73,BS_UAE!$C:$C,BS_UAE!Y:Y)),0)</f>
        <v>8915214833.3589993</v>
      </c>
      <c r="Y73" s="3">
        <f>IF(Y$3&lt;=Summary!$C$2,(_xlfn.XLOOKUP(Group!$B73,BS_NG!$C:$C,BS_NG!Z:Z)+_xlfn.XLOOKUP(Group!$B73,BS_UK!$C:$C,BS_UK!Z:Z)+_xlfn.XLOOKUP(Group!$B73,BS_UAE!$C:$C,BS_UAE!Z:Z)),0)</f>
        <v>9091886463.3463993</v>
      </c>
      <c r="Z73" s="3">
        <f>IF(Z$3&lt;=Summary!$C$2,(_xlfn.XLOOKUP(Group!$B73,BS_NG!$C:$C,BS_NG!AA:AA)+_xlfn.XLOOKUP(Group!$B73,BS_UK!$C:$C,BS_UK!AA:AA)+_xlfn.XLOOKUP(Group!$B73,BS_UAE!$C:$C,BS_UAE!AA:AA)),0)</f>
        <v>8740970826.7692699</v>
      </c>
      <c r="AA73" s="3">
        <f>IF(AA$3&lt;=Summary!$C$2,(_xlfn.XLOOKUP(Group!$B73,BS_NG!$C:$C,BS_NG!AB:AB)+_xlfn.XLOOKUP(Group!$B73,BS_UK!$C:$C,BS_UK!AB:AB)+_xlfn.XLOOKUP(Group!$B73,BS_UAE!$C:$C,BS_UAE!AB:AB)),0)</f>
        <v>8760683871.6139603</v>
      </c>
      <c r="AB73" s="3">
        <f>IF(AB$3&lt;=Summary!$C$2,(_xlfn.XLOOKUP(Group!$B73,BS_NG!$C:$C,BS_NG!AC:AC)+_xlfn.XLOOKUP(Group!$B73,BS_UK!$C:$C,BS_UK!AC:AC)+_xlfn.XLOOKUP(Group!$B73,BS_UAE!$C:$C,BS_UAE!AC:AC)),0)</f>
        <v>8701946251.4181499</v>
      </c>
      <c r="AC73" s="3">
        <f>IF(AC$3&lt;=Summary!$C$2,(_xlfn.XLOOKUP(Group!$B73,BS_NG!$C:$C,BS_NG!AD:AD)+_xlfn.XLOOKUP(Group!$B73,BS_UK!$C:$C,BS_UK!AD:AD)+_xlfn.XLOOKUP(Group!$B73,BS_UAE!$C:$C,BS_UAE!AD:AD)),0)</f>
        <v>8727461551.0520306</v>
      </c>
      <c r="AD73" s="3">
        <f>IF(AD$3&lt;=Summary!$C$2,(_xlfn.XLOOKUP(Group!$B73,BS_NG!$C:$C,BS_NG!AE:AE)+_xlfn.XLOOKUP(Group!$B73,BS_UK!$C:$C,BS_UK!AE:AE)+_xlfn.XLOOKUP(Group!$B73,BS_UAE!$C:$C,BS_UAE!AE:AE)),0)</f>
        <v>8877793989.2042389</v>
      </c>
      <c r="AE73" s="3">
        <f>IF(AE$3&lt;=Summary!$C$2,(_xlfn.XLOOKUP(Group!$B73,BS_NG!$C:$C,BS_NG!AF:AF)+_xlfn.XLOOKUP(Group!$B73,BS_UK!$C:$C,BS_UK!AF:AF)+_xlfn.XLOOKUP(Group!$B73,BS_UAE!$C:$C,BS_UAE!AF:AF)),0)</f>
        <v>0</v>
      </c>
      <c r="AF73" s="3">
        <f>IF(AF$3&lt;=Summary!$C$2,(_xlfn.XLOOKUP(Group!$B73,BS_NG!$C:$C,BS_NG!AG:AG)+_xlfn.XLOOKUP(Group!$B73,BS_UK!$C:$C,BS_UK!AG:AG)+_xlfn.XLOOKUP(Group!$B73,BS_UAE!$C:$C,BS_UAE!AG:AG)),0)</f>
        <v>0</v>
      </c>
      <c r="AG73" s="3">
        <f>IF(AG$3&lt;=Summary!$C$2,(_xlfn.XLOOKUP(Group!$B73,BS_NG!$C:$C,BS_NG!AH:AH)+_xlfn.XLOOKUP(Group!$B73,BS_UK!$C:$C,BS_UK!AH:AH)+_xlfn.XLOOKUP(Group!$B73,BS_UAE!$C:$C,BS_UAE!AH:AH)),0)</f>
        <v>0</v>
      </c>
      <c r="AH73" s="3">
        <f>IF(AH$3&lt;=Summary!$C$2,(_xlfn.XLOOKUP(Group!$B73,BS_NG!$C:$C,BS_NG!AI:AI)+_xlfn.XLOOKUP(Group!$B73,BS_UK!$C:$C,BS_UK!AI:AI)+_xlfn.XLOOKUP(Group!$B73,BS_UAE!$C:$C,BS_UAE!AI:AI)),0)</f>
        <v>0</v>
      </c>
      <c r="AI73" s="3">
        <f>IF(AI$3&lt;=Summary!$C$2,(_xlfn.XLOOKUP(Group!$B73,BS_NG!$C:$C,BS_NG!AJ:AJ)+_xlfn.XLOOKUP(Group!$B73,BS_UK!$C:$C,BS_UK!AJ:AJ)+_xlfn.XLOOKUP(Group!$B73,BS_UAE!$C:$C,BS_UAE!AJ:AJ)),0)</f>
        <v>0</v>
      </c>
      <c r="AJ73" s="3">
        <f>IF(AJ$3&lt;=Summary!$C$2,(_xlfn.XLOOKUP(Group!$B73,BS_NG!$C:$C,BS_NG!AK:AK)+_xlfn.XLOOKUP(Group!$B73,BS_UK!$C:$C,BS_UK!AK:AK)+_xlfn.XLOOKUP(Group!$B73,BS_UAE!$C:$C,BS_UAE!AK:AK)),0)</f>
        <v>0</v>
      </c>
      <c r="AK73" s="3">
        <f>IF(AK$3&lt;=Summary!$C$2,(_xlfn.XLOOKUP(Group!$B73,BS_NG!$C:$C,BS_NG!AL:AL)+_xlfn.XLOOKUP(Group!$B73,BS_UK!$C:$C,BS_UK!AL:AL)+_xlfn.XLOOKUP(Group!$B73,BS_UAE!$C:$C,BS_UAE!AL:AL)),0)</f>
        <v>0</v>
      </c>
      <c r="AL73" s="3">
        <f>IF(AL$3&lt;=Summary!$C$2,(_xlfn.XLOOKUP(Group!$B73,BS_NG!$C:$C,BS_NG!AM:AM)+_xlfn.XLOOKUP(Group!$B73,BS_UK!$C:$C,BS_UK!AM:AM)+_xlfn.XLOOKUP(Group!$B73,BS_UAE!$C:$C,BS_UAE!AM:AM)),0)</f>
        <v>0</v>
      </c>
    </row>
    <row r="74" spans="2:38" x14ac:dyDescent="0.2">
      <c r="B74" s="1" t="s">
        <v>62</v>
      </c>
      <c r="C74" s="3">
        <f>IF(C$3&lt;=Summary!$C$2,(_xlfn.XLOOKUP(Group!$B74,BS_NG!$C:$C,BS_NG!D:D)+_xlfn.XLOOKUP(Group!$B74,BS_UK!$C:$C,BS_UK!D:D)+_xlfn.XLOOKUP(Group!$B74,BS_UAE!$C:$C,BS_UAE!D:D)),0)</f>
        <v>788654006.66981065</v>
      </c>
      <c r="D74" s="3">
        <f>IF(D$3&lt;=Summary!$C$2,(_xlfn.XLOOKUP(Group!$B74,BS_NG!$C:$C,BS_NG!E:E)+_xlfn.XLOOKUP(Group!$B74,BS_UK!$C:$C,BS_UK!E:E)+_xlfn.XLOOKUP(Group!$B74,BS_UAE!$C:$C,BS_UAE!E:E)),0)</f>
        <v>922800886.1300807</v>
      </c>
      <c r="E74" s="3">
        <f>IF(E$3&lt;=Summary!$C$2,(_xlfn.XLOOKUP(Group!$B74,BS_NG!$C:$C,BS_NG!F:F)+_xlfn.XLOOKUP(Group!$B74,BS_UK!$C:$C,BS_UK!F:F)+_xlfn.XLOOKUP(Group!$B74,BS_UAE!$C:$C,BS_UAE!F:F)),0)</f>
        <v>1210550700.2947233</v>
      </c>
      <c r="F74" s="3">
        <f>IF(F$3&lt;=Summary!$C$2,(_xlfn.XLOOKUP(Group!$B74,BS_NG!$C:$C,BS_NG!G:G)+_xlfn.XLOOKUP(Group!$B74,BS_UK!$C:$C,BS_UK!G:G)+_xlfn.XLOOKUP(Group!$B74,BS_UAE!$C:$C,BS_UAE!G:G)),0)</f>
        <v>327592079.38157833</v>
      </c>
      <c r="G74" s="3">
        <f>IF(G$3&lt;=Summary!$C$2,(_xlfn.XLOOKUP(Group!$B74,BS_NG!$C:$C,BS_NG!H:H)+_xlfn.XLOOKUP(Group!$B74,BS_UK!$C:$C,BS_UK!H:H)+_xlfn.XLOOKUP(Group!$B74,BS_UAE!$C:$C,BS_UAE!H:H)),0)</f>
        <v>-1036865.2219562531</v>
      </c>
      <c r="H74" s="3">
        <f>IF(H$3&lt;=Summary!$C$2,(_xlfn.XLOOKUP(Group!$B74,BS_NG!$C:$C,BS_NG!I:I)+_xlfn.XLOOKUP(Group!$B74,BS_UK!$C:$C,BS_UK!I:I)+_xlfn.XLOOKUP(Group!$B74,BS_UAE!$C:$C,BS_UAE!I:I)),0)</f>
        <v>-323046647.85070956</v>
      </c>
      <c r="I74" s="3">
        <f>IF(I$3&lt;=Summary!$C$2,(_xlfn.XLOOKUP(Group!$B74,BS_NG!$C:$C,BS_NG!J:J)+_xlfn.XLOOKUP(Group!$B74,BS_UK!$C:$C,BS_UK!J:J)+_xlfn.XLOOKUP(Group!$B74,BS_UAE!$C:$C,BS_UAE!J:J)),0)</f>
        <v>-655328015.90583766</v>
      </c>
      <c r="J74" s="3">
        <f>IF(J$3&lt;=Summary!$C$2,(_xlfn.XLOOKUP(Group!$B74,BS_NG!$C:$C,BS_NG!K:K)+_xlfn.XLOOKUP(Group!$B74,BS_UK!$C:$C,BS_UK!K:K)+_xlfn.XLOOKUP(Group!$B74,BS_UAE!$C:$C,BS_UAE!K:K)),0)</f>
        <v>-645975325.84350896</v>
      </c>
      <c r="K74" s="3">
        <f>IF(K$3&lt;=Summary!$C$2,(_xlfn.XLOOKUP(Group!$B74,BS_NG!$C:$C,BS_NG!L:L)+_xlfn.XLOOKUP(Group!$B74,BS_UK!$C:$C,BS_UK!L:L)+_xlfn.XLOOKUP(Group!$B74,BS_UAE!$C:$C,BS_UAE!L:L)),0)</f>
        <v>-879092618.39433217</v>
      </c>
      <c r="L74" s="3">
        <f>IF(L$3&lt;=Summary!$C$2,(_xlfn.XLOOKUP(Group!$B74,BS_NG!$C:$C,BS_NG!M:M)+_xlfn.XLOOKUP(Group!$B74,BS_UK!$C:$C,BS_UK!M:M)+_xlfn.XLOOKUP(Group!$B74,BS_UAE!$C:$C,BS_UAE!M:M)),0)</f>
        <v>-1152519575.116678</v>
      </c>
      <c r="M74" s="3">
        <f>IF(M$3&lt;=Summary!$C$2,(_xlfn.XLOOKUP(Group!$B74,BS_NG!$C:$C,BS_NG!N:N)+_xlfn.XLOOKUP(Group!$B74,BS_UK!$C:$C,BS_UK!N:N)+_xlfn.XLOOKUP(Group!$B74,BS_UAE!$C:$C,BS_UAE!N:N)),0)</f>
        <v>-1473390015.7907996</v>
      </c>
      <c r="N74" s="3">
        <f>IF(N$3&lt;=Summary!$C$2,(_xlfn.XLOOKUP(Group!$B74,BS_NG!$C:$C,BS_NG!O:O)+_xlfn.XLOOKUP(Group!$B74,BS_UK!$C:$C,BS_UK!O:O)+_xlfn.XLOOKUP(Group!$B74,BS_UAE!$C:$C,BS_UAE!O:O)),0)</f>
        <v>-904310126.44439709</v>
      </c>
      <c r="O74" s="3">
        <f>IF(O$3&lt;=Summary!$C$2,(_xlfn.XLOOKUP(Group!$B74,BS_NG!$C:$C,BS_NG!P:P)+_xlfn.XLOOKUP(Group!$B74,BS_UK!$C:$C,BS_UK!P:P)+_xlfn.XLOOKUP(Group!$B74,BS_UAE!$C:$C,BS_UAE!P:P)),0)</f>
        <v>-967452571.35969949</v>
      </c>
      <c r="P74" s="3">
        <f>IF(P$3&lt;=Summary!$C$2,(_xlfn.XLOOKUP(Group!$B74,BS_NG!$C:$C,BS_NG!Q:Q)+_xlfn.XLOOKUP(Group!$B74,BS_UK!$C:$C,BS_UK!Q:Q)+_xlfn.XLOOKUP(Group!$B74,BS_UAE!$C:$C,BS_UAE!Q:Q)),0)</f>
        <v>-1048104672.3420784</v>
      </c>
      <c r="Q74" s="3">
        <f>IF(Q$3&lt;=Summary!$C$2,(_xlfn.XLOOKUP(Group!$B74,BS_NG!$C:$C,BS_NG!R:R)+_xlfn.XLOOKUP(Group!$B74,BS_UK!$C:$C,BS_UK!R:R)+_xlfn.XLOOKUP(Group!$B74,BS_UAE!$C:$C,BS_UAE!R:R)),0)</f>
        <v>-1227666636.6675901</v>
      </c>
      <c r="R74" s="3">
        <f>IF(R$3&lt;=Summary!$C$2,(_xlfn.XLOOKUP(Group!$B74,BS_NG!$C:$C,BS_NG!S:S)+_xlfn.XLOOKUP(Group!$B74,BS_UK!$C:$C,BS_UK!S:S)+_xlfn.XLOOKUP(Group!$B74,BS_UAE!$C:$C,BS_UAE!S:S)),0)</f>
        <v>-1356943624.3603797</v>
      </c>
      <c r="S74" s="3">
        <f>IF(S$3&lt;=Summary!$C$2,(_xlfn.XLOOKUP(Group!$B74,BS_NG!$C:$C,BS_NG!T:T)+_xlfn.XLOOKUP(Group!$B74,BS_UK!$C:$C,BS_UK!T:T)+_xlfn.XLOOKUP(Group!$B74,BS_UAE!$C:$C,BS_UAE!T:T)),0)</f>
        <v>-1857991007.2571697</v>
      </c>
      <c r="T74" s="3">
        <f>IF(T$3&lt;=Summary!$C$2,(_xlfn.XLOOKUP(Group!$B74,BS_NG!$C:$C,BS_NG!U:U)+_xlfn.XLOOKUP(Group!$B74,BS_UK!$C:$C,BS_UK!U:U)+_xlfn.XLOOKUP(Group!$B74,BS_UAE!$C:$C,BS_UAE!U:U)),0)</f>
        <v>-2171026677.6569605</v>
      </c>
      <c r="U74" s="3">
        <f>IF(U$3&lt;=Summary!$C$2,(_xlfn.XLOOKUP(Group!$B74,BS_NG!$C:$C,BS_NG!V:V)+_xlfn.XLOOKUP(Group!$B74,BS_UK!$C:$C,BS_UK!V:V)+_xlfn.XLOOKUP(Group!$B74,BS_UAE!$C:$C,BS_UAE!V:V)),0)</f>
        <v>-2349660197.1814213</v>
      </c>
      <c r="V74" s="3">
        <f>IF(V$3&lt;=Summary!$C$2,(_xlfn.XLOOKUP(Group!$B74,BS_NG!$C:$C,BS_NG!W:W)+_xlfn.XLOOKUP(Group!$B74,BS_UK!$C:$C,BS_UK!W:W)+_xlfn.XLOOKUP(Group!$B74,BS_UAE!$C:$C,BS_UAE!W:W)),0)</f>
        <v>-2497888859.9507999</v>
      </c>
      <c r="W74" s="3">
        <f>IF(W$3&lt;=Summary!$C$2,(_xlfn.XLOOKUP(Group!$B74,BS_NG!$C:$C,BS_NG!X:X)+_xlfn.XLOOKUP(Group!$B74,BS_UK!$C:$C,BS_UK!X:X)+_xlfn.XLOOKUP(Group!$B74,BS_UAE!$C:$C,BS_UAE!X:X)),0)</f>
        <v>-2616761916.6991811</v>
      </c>
      <c r="X74" s="3">
        <f>IF(X$3&lt;=Summary!$C$2,(_xlfn.XLOOKUP(Group!$B74,BS_NG!$C:$C,BS_NG!Y:Y)+_xlfn.XLOOKUP(Group!$B74,BS_UK!$C:$C,BS_UK!Y:Y)+_xlfn.XLOOKUP(Group!$B74,BS_UAE!$C:$C,BS_UAE!Y:Y)),0)</f>
        <v>-2404267338.6679983</v>
      </c>
      <c r="Y74" s="3">
        <f>IF(Y$3&lt;=Summary!$C$2,(_xlfn.XLOOKUP(Group!$B74,BS_NG!$C:$C,BS_NG!Z:Z)+_xlfn.XLOOKUP(Group!$B74,BS_UK!$C:$C,BS_UK!Z:Z)+_xlfn.XLOOKUP(Group!$B74,BS_UAE!$C:$C,BS_UAE!Z:Z)),0)</f>
        <v>-2517538476.9249997</v>
      </c>
      <c r="Z74" s="3">
        <f>IF(Z$3&lt;=Summary!$C$2,(_xlfn.XLOOKUP(Group!$B74,BS_NG!$C:$C,BS_NG!AA:AA)+_xlfn.XLOOKUP(Group!$B74,BS_UK!$C:$C,BS_UK!AA:AA)+_xlfn.XLOOKUP(Group!$B74,BS_UAE!$C:$C,BS_UAE!AA:AA)),0)</f>
        <v>-3040704947.2717667</v>
      </c>
      <c r="AA74" s="3">
        <f>IF(AA$3&lt;=Summary!$C$2,(_xlfn.XLOOKUP(Group!$B74,BS_NG!$C:$C,BS_NG!AB:AB)+_xlfn.XLOOKUP(Group!$B74,BS_UK!$C:$C,BS_UK!AB:AB)+_xlfn.XLOOKUP(Group!$B74,BS_UAE!$C:$C,BS_UAE!AB:AB)),0)</f>
        <v>-2826001021.9040017</v>
      </c>
      <c r="AB74" s="3">
        <f>IF(AB$3&lt;=Summary!$C$2,(_xlfn.XLOOKUP(Group!$B74,BS_NG!$C:$C,BS_NG!AC:AC)+_xlfn.XLOOKUP(Group!$B74,BS_UK!$C:$C,BS_UK!AC:AC)+_xlfn.XLOOKUP(Group!$B74,BS_UAE!$C:$C,BS_UAE!AC:AC)),0)</f>
        <v>-2450589836.3809519</v>
      </c>
      <c r="AC74" s="3">
        <f>IF(AC$3&lt;=Summary!$C$2,(_xlfn.XLOOKUP(Group!$B74,BS_NG!$C:$C,BS_NG!AD:AD)+_xlfn.XLOOKUP(Group!$B74,BS_UK!$C:$C,BS_UK!AD:AD)+_xlfn.XLOOKUP(Group!$B74,BS_UAE!$C:$C,BS_UAE!AD:AD)),0)</f>
        <v>-2384568264.3115206</v>
      </c>
      <c r="AD74" s="3">
        <f>IF(AD$3&lt;=Summary!$C$2,(_xlfn.XLOOKUP(Group!$B74,BS_NG!$C:$C,BS_NG!AE:AE)+_xlfn.XLOOKUP(Group!$B74,BS_UK!$C:$C,BS_UK!AE:AE)+_xlfn.XLOOKUP(Group!$B74,BS_UAE!$C:$C,BS_UAE!AE:AE)),0)</f>
        <v>-2386469984.1412382</v>
      </c>
      <c r="AE74" s="3">
        <f>IF(AE$3&lt;=Summary!$C$2,(_xlfn.XLOOKUP(Group!$B74,BS_NG!$C:$C,BS_NG!AF:AF)+_xlfn.XLOOKUP(Group!$B74,BS_UK!$C:$C,BS_UK!AF:AF)+_xlfn.XLOOKUP(Group!$B74,BS_UAE!$C:$C,BS_UAE!AF:AF)),0)</f>
        <v>0</v>
      </c>
      <c r="AF74" s="3">
        <f>IF(AF$3&lt;=Summary!$C$2,(_xlfn.XLOOKUP(Group!$B74,BS_NG!$C:$C,BS_NG!AG:AG)+_xlfn.XLOOKUP(Group!$B74,BS_UK!$C:$C,BS_UK!AG:AG)+_xlfn.XLOOKUP(Group!$B74,BS_UAE!$C:$C,BS_UAE!AG:AG)),0)</f>
        <v>0</v>
      </c>
      <c r="AG74" s="3">
        <f>IF(AG$3&lt;=Summary!$C$2,(_xlfn.XLOOKUP(Group!$B74,BS_NG!$C:$C,BS_NG!AH:AH)+_xlfn.XLOOKUP(Group!$B74,BS_UK!$C:$C,BS_UK!AH:AH)+_xlfn.XLOOKUP(Group!$B74,BS_UAE!$C:$C,BS_UAE!AH:AH)),0)</f>
        <v>0</v>
      </c>
      <c r="AH74" s="3">
        <f>IF(AH$3&lt;=Summary!$C$2,(_xlfn.XLOOKUP(Group!$B74,BS_NG!$C:$C,BS_NG!AI:AI)+_xlfn.XLOOKUP(Group!$B74,BS_UK!$C:$C,BS_UK!AI:AI)+_xlfn.XLOOKUP(Group!$B74,BS_UAE!$C:$C,BS_UAE!AI:AI)),0)</f>
        <v>0</v>
      </c>
      <c r="AI74" s="3">
        <f>IF(AI$3&lt;=Summary!$C$2,(_xlfn.XLOOKUP(Group!$B74,BS_NG!$C:$C,BS_NG!AJ:AJ)+_xlfn.XLOOKUP(Group!$B74,BS_UK!$C:$C,BS_UK!AJ:AJ)+_xlfn.XLOOKUP(Group!$B74,BS_UAE!$C:$C,BS_UAE!AJ:AJ)),0)</f>
        <v>0</v>
      </c>
      <c r="AJ74" s="3">
        <f>IF(AJ$3&lt;=Summary!$C$2,(_xlfn.XLOOKUP(Group!$B74,BS_NG!$C:$C,BS_NG!AK:AK)+_xlfn.XLOOKUP(Group!$B74,BS_UK!$C:$C,BS_UK!AK:AK)+_xlfn.XLOOKUP(Group!$B74,BS_UAE!$C:$C,BS_UAE!AK:AK)),0)</f>
        <v>0</v>
      </c>
      <c r="AK74" s="3">
        <f>IF(AK$3&lt;=Summary!$C$2,(_xlfn.XLOOKUP(Group!$B74,BS_NG!$C:$C,BS_NG!AL:AL)+_xlfn.XLOOKUP(Group!$B74,BS_UK!$C:$C,BS_UK!AL:AL)+_xlfn.XLOOKUP(Group!$B74,BS_UAE!$C:$C,BS_UAE!AL:AL)),0)</f>
        <v>0</v>
      </c>
      <c r="AL74" s="3">
        <f>IF(AL$3&lt;=Summary!$C$2,(_xlfn.XLOOKUP(Group!$B74,BS_NG!$C:$C,BS_NG!AM:AM)+_xlfn.XLOOKUP(Group!$B74,BS_UK!$C:$C,BS_UK!AM:AM)+_xlfn.XLOOKUP(Group!$B74,BS_UAE!$C:$C,BS_UAE!AM:AM)),0)</f>
        <v>0</v>
      </c>
    </row>
    <row r="77" spans="2:38" x14ac:dyDescent="0.2">
      <c r="B77" s="1" t="s">
        <v>753</v>
      </c>
      <c r="C77" s="3">
        <f>IF(C$3&lt;=Summary!$C$2,(_xlfn.XLOOKUP(Group!$B77,BS_UK!$C:$C,BS_UK!D:D)+_xlfn.XLOOKUP(Group!$B77,BS_UAE!$C:$C,BS_UAE!D:D)),0)</f>
        <v>-5798066.9407699993</v>
      </c>
      <c r="D77" s="3">
        <f>IF(D$3&lt;=Summary!$C$2,(_xlfn.XLOOKUP(Group!$B77,BS_UK!$C:$C,BS_UK!E:E)+_xlfn.XLOOKUP(Group!$B77,BS_UAE!$C:$C,BS_UAE!E:E)),0)</f>
        <v>-10284975.322759999</v>
      </c>
      <c r="E77" s="3">
        <f>IF(E$3&lt;=Summary!$C$2,(_xlfn.XLOOKUP(Group!$B77,BS_UK!$C:$C,BS_UK!F:F)+_xlfn.XLOOKUP(Group!$B77,BS_UAE!$C:$C,BS_UAE!F:F)),0)</f>
        <v>-9015684.01358</v>
      </c>
      <c r="F77" s="3">
        <f>IF(F$3&lt;=Summary!$C$2,(_xlfn.XLOOKUP(Group!$B77,BS_UK!$C:$C,BS_UK!G:G)+_xlfn.XLOOKUP(Group!$B77,BS_UAE!$C:$C,BS_UAE!G:G)),0)</f>
        <v>308328963.87566996</v>
      </c>
      <c r="G77" s="3">
        <f>IF(G$3&lt;=Summary!$C$2,(_xlfn.XLOOKUP(Group!$B77,BS_UK!$C:$C,BS_UK!H:H)+_xlfn.XLOOKUP(Group!$B77,BS_UAE!$C:$C,BS_UAE!H:H)),0)</f>
        <v>316426897.20091993</v>
      </c>
      <c r="H77" s="3">
        <f>IF(H$3&lt;=Summary!$C$2,(_xlfn.XLOOKUP(Group!$B77,BS_UK!$C:$C,BS_UK!I:I)+_xlfn.XLOOKUP(Group!$B77,BS_UAE!$C:$C,BS_UAE!I:I)),0)</f>
        <v>346461637.40783</v>
      </c>
      <c r="I77" s="3">
        <f>IF(I$3&lt;=Summary!$C$2,(_xlfn.XLOOKUP(Group!$B77,BS_UK!$C:$C,BS_UK!J:J)+_xlfn.XLOOKUP(Group!$B77,BS_UAE!$C:$C,BS_UAE!J:J)),0)</f>
        <v>367398741.04648</v>
      </c>
      <c r="J77" s="3">
        <f>IF(J$3&lt;=Summary!$C$2,(_xlfn.XLOOKUP(Group!$B77,BS_UK!$C:$C,BS_UK!K:K)+_xlfn.XLOOKUP(Group!$B77,BS_UAE!$C:$C,BS_UAE!K:K)),0)</f>
        <v>421452891.01591998</v>
      </c>
      <c r="K77" s="3">
        <f>IF(K$3&lt;=Summary!$C$2,(_xlfn.XLOOKUP(Group!$B77,BS_UK!$C:$C,BS_UK!L:L)+_xlfn.XLOOKUP(Group!$B77,BS_UAE!$C:$C,BS_UAE!L:L)),0)</f>
        <v>377800239.98132998</v>
      </c>
      <c r="L77" s="3">
        <f>IF(L$3&lt;=Summary!$C$2,(_xlfn.XLOOKUP(Group!$B77,BS_UK!$C:$C,BS_UK!M:M)+_xlfn.XLOOKUP(Group!$B77,BS_UAE!$C:$C,BS_UAE!M:M)),0)</f>
        <v>359816092.08844006</v>
      </c>
      <c r="M77" s="3">
        <f>IF(M$3&lt;=Summary!$C$2,(_xlfn.XLOOKUP(Group!$B77,BS_UK!$C:$C,BS_UK!N:N)+_xlfn.XLOOKUP(Group!$B77,BS_UAE!$C:$C,BS_UAE!N:N)),0)</f>
        <v>358908503.43690002</v>
      </c>
      <c r="N77" s="3">
        <f>IF(N$3&lt;=Summary!$C$2,(_xlfn.XLOOKUP(Group!$B77,BS_UK!$C:$C,BS_UK!O:O)+_xlfn.XLOOKUP(Group!$B77,BS_UAE!$C:$C,BS_UAE!O:O)),0)</f>
        <v>338690631.25951999</v>
      </c>
      <c r="O77" s="3">
        <f>IF(O$3&lt;=Summary!$C$2,(_xlfn.XLOOKUP(Group!$B77,BS_UK!$C:$C,BS_UK!P:P)+_xlfn.XLOOKUP(Group!$B77,BS_UAE!$C:$C,BS_UAE!P:P)),0)</f>
        <v>333495759.6602</v>
      </c>
      <c r="P77" s="3">
        <f>IF(P$3&lt;=Summary!$C$2,(_xlfn.XLOOKUP(Group!$B77,BS_UK!$C:$C,BS_UK!Q:Q)+_xlfn.XLOOKUP(Group!$B77,BS_UAE!$C:$C,BS_UAE!Q:Q)),0)</f>
        <v>331330786.48424</v>
      </c>
      <c r="Q77" s="3">
        <f>IF(Q$3&lt;=Summary!$C$2,(_xlfn.XLOOKUP(Group!$B77,BS_UK!$C:$C,BS_UK!R:R)+_xlfn.XLOOKUP(Group!$B77,BS_UAE!$C:$C,BS_UAE!R:R)),0)</f>
        <v>348971980.50623995</v>
      </c>
      <c r="R77" s="3">
        <f>IF(R$3&lt;=Summary!$C$2,(_xlfn.XLOOKUP(Group!$B77,BS_UK!$C:$C,BS_UK!S:S)+_xlfn.XLOOKUP(Group!$B77,BS_UAE!$C:$C,BS_UAE!S:S)),0)</f>
        <v>378721742.57723999</v>
      </c>
      <c r="S77" s="3">
        <f>IF(S$3&lt;=Summary!$C$2,(_xlfn.XLOOKUP(Group!$B77,BS_UK!$C:$C,BS_UK!T:T)+_xlfn.XLOOKUP(Group!$B77,BS_UAE!$C:$C,BS_UAE!T:T)),0)</f>
        <v>377694907.29543996</v>
      </c>
      <c r="T77" s="3">
        <f>IF(T$3&lt;=Summary!$C$2,(_xlfn.XLOOKUP(Group!$B77,BS_UK!$C:$C,BS_UK!U:U)+_xlfn.XLOOKUP(Group!$B77,BS_UAE!$C:$C,BS_UAE!U:U)),0)</f>
        <v>374390771.84025997</v>
      </c>
      <c r="U77" s="3">
        <f>IF(U$3&lt;=Summary!$C$2,(_xlfn.XLOOKUP(Group!$B77,BS_UK!$C:$C,BS_UK!V:V)+_xlfn.XLOOKUP(Group!$B77,BS_UAE!$C:$C,BS_UAE!V:V)),0)</f>
        <v>360387336.66691995</v>
      </c>
      <c r="V77" s="3">
        <f>IF(V$3&lt;=Summary!$C$2,(_xlfn.XLOOKUP(Group!$B77,BS_UK!$C:$C,BS_UK!W:W)+_xlfn.XLOOKUP(Group!$B77,BS_UAE!$C:$C,BS_UAE!W:W)),0)</f>
        <v>369614166.47927994</v>
      </c>
      <c r="W77" s="3">
        <f>IF(W$3&lt;=Summary!$C$2,(_xlfn.XLOOKUP(Group!$B77,BS_UK!$C:$C,BS_UK!X:X)+_xlfn.XLOOKUP(Group!$B77,BS_UAE!$C:$C,BS_UAE!X:X)),0)</f>
        <v>357497158.44276005</v>
      </c>
      <c r="X77" s="3">
        <f>IF(X$3&lt;=Summary!$C$2,(_xlfn.XLOOKUP(Group!$B77,BS_UK!$C:$C,BS_UK!Y:Y)+_xlfn.XLOOKUP(Group!$B77,BS_UAE!$C:$C,BS_UAE!Y:Y)),0)</f>
        <v>351216949.30500001</v>
      </c>
      <c r="Y77" s="3">
        <f>IF(Y$3&lt;=Summary!$C$2,(_xlfn.XLOOKUP(Group!$B77,BS_UK!$C:$C,BS_UK!Z:Z)+_xlfn.XLOOKUP(Group!$B77,BS_UAE!$C:$C,BS_UAE!Z:Z)),0)</f>
        <v>357962463.29499996</v>
      </c>
      <c r="Z77" s="3">
        <f>IF(Z$3&lt;=Summary!$C$2,(_xlfn.XLOOKUP(Group!$B77,BS_UK!$C:$C,BS_UK!AA:AA)+_xlfn.XLOOKUP(Group!$B77,BS_UAE!$C:$C,BS_UAE!AA:AA)),0)</f>
        <v>374359193.74543005</v>
      </c>
      <c r="AA77" s="3">
        <f>IF(AA$3&lt;=Summary!$C$2,(_xlfn.XLOOKUP(Group!$B77,BS_UK!$C:$C,BS_UK!AB:AB)+_xlfn.XLOOKUP(Group!$B77,BS_UAE!$C:$C,BS_UAE!AB:AB)),0)</f>
        <v>370959555.09931999</v>
      </c>
      <c r="AB77" s="3">
        <f>IF(AB$3&lt;=Summary!$C$2,(_xlfn.XLOOKUP(Group!$B77,BS_UK!$C:$C,BS_UK!AC:AC)+_xlfn.XLOOKUP(Group!$B77,BS_UAE!$C:$C,BS_UAE!AC:AC)),0)</f>
        <v>361495940.62795001</v>
      </c>
      <c r="AC77" s="3">
        <f>IF(AC$3&lt;=Summary!$C$2,(_xlfn.XLOOKUP(Group!$B77,BS_UK!$C:$C,BS_UK!AD:AD)+_xlfn.XLOOKUP(Group!$B77,BS_UAE!$C:$C,BS_UAE!AD:AD)),0)</f>
        <v>366689326.09002995</v>
      </c>
      <c r="AD77" s="3">
        <f>IF(AD$3&lt;=Summary!$C$2,(_xlfn.XLOOKUP(Group!$B77,BS_UK!$C:$C,BS_UK!AE:AE)+_xlfn.XLOOKUP(Group!$B77,BS_UAE!$C:$C,BS_UAE!AE:AE)),0)</f>
        <v>414594986.86084002</v>
      </c>
      <c r="AE77" s="3">
        <f>IF(AE$3&lt;=Summary!$C$2,(_xlfn.XLOOKUP(Group!$B77,BS_UK!$C:$C,BS_UK!AF:AF)+_xlfn.XLOOKUP(Group!$B77,BS_UAE!$C:$C,BS_UAE!AF:AF)),0)</f>
        <v>0</v>
      </c>
      <c r="AF77" s="3">
        <f>IF(AF$3&lt;=Summary!$C$2,(_xlfn.XLOOKUP(Group!$B77,BS_UK!$C:$C,BS_UK!AG:AG)+_xlfn.XLOOKUP(Group!$B77,BS_UAE!$C:$C,BS_UAE!AG:AG)),0)</f>
        <v>0</v>
      </c>
      <c r="AG77" s="3">
        <f>IF(AG$3&lt;=Summary!$C$2,(_xlfn.XLOOKUP(Group!$B77,BS_UK!$C:$C,BS_UK!AH:AH)+_xlfn.XLOOKUP(Group!$B77,BS_UAE!$C:$C,BS_UAE!AH:AH)),0)</f>
        <v>0</v>
      </c>
      <c r="AH77" s="3">
        <f>IF(AH$3&lt;=Summary!$C$2,(_xlfn.XLOOKUP(Group!$B77,BS_UK!$C:$C,BS_UK!AI:AI)+_xlfn.XLOOKUP(Group!$B77,BS_UAE!$C:$C,BS_UAE!AI:AI)),0)</f>
        <v>0</v>
      </c>
      <c r="AI77" s="3">
        <f>IF(AI$3&lt;=Summary!$C$2,(_xlfn.XLOOKUP(Group!$B77,BS_UK!$C:$C,BS_UK!AJ:AJ)+_xlfn.XLOOKUP(Group!$B77,BS_UAE!$C:$C,BS_UAE!AJ:AJ)),0)</f>
        <v>0</v>
      </c>
      <c r="AJ77" s="3">
        <f>IF(AJ$3&lt;=Summary!$C$2,(_xlfn.XLOOKUP(Group!$B77,BS_UK!$C:$C,BS_UK!AK:AK)+_xlfn.XLOOKUP(Group!$B77,BS_UAE!$C:$C,BS_UAE!AK:AK)),0)</f>
        <v>0</v>
      </c>
      <c r="AK77" s="3">
        <f>IF(AK$3&lt;=Summary!$C$2,(_xlfn.XLOOKUP(Group!$B77,BS_UK!$C:$C,BS_UK!AL:AL)+_xlfn.XLOOKUP(Group!$B77,BS_UAE!$C:$C,BS_UAE!AL:AL)),0)</f>
        <v>0</v>
      </c>
      <c r="AL77" s="3">
        <f>IF(AL$3&lt;=Summary!$C$2,(_xlfn.XLOOKUP(Group!$B77,BS_UK!$C:$C,BS_UK!AM:AM)+_xlfn.XLOOKUP(Group!$B77,BS_UAE!$C:$C,BS_UAE!AM:AM)),0)</f>
        <v>0</v>
      </c>
    </row>
    <row r="78" spans="2:38" x14ac:dyDescent="0.2">
      <c r="B78" s="1" t="s">
        <v>42</v>
      </c>
      <c r="C78" s="3">
        <f>IF(C$3&lt;=Summary!$C$2,_xlfn.XLOOKUP(Group!$B78,BS_NG!$C:$C,BS_NG!D:D),0)</f>
        <v>-223229333.73000002</v>
      </c>
      <c r="D78" s="3">
        <f>IF(D$3&lt;=Summary!$C$2,_xlfn.XLOOKUP(Group!$B78,BS_NG!$C:$C,BS_NG!E:E),0)</f>
        <v>-237971707.19999999</v>
      </c>
      <c r="E78" s="3">
        <f>IF(E$3&lt;=Summary!$C$2,_xlfn.XLOOKUP(Group!$B78,BS_NG!$C:$C,BS_NG!F:F),0)</f>
        <v>-247148013.91000006</v>
      </c>
      <c r="F78" s="3">
        <f>IF(F$3&lt;=Summary!$C$2,_xlfn.XLOOKUP(Group!$B78,BS_NG!$C:$C,BS_NG!G:G),0)</f>
        <v>-235679259.72999999</v>
      </c>
      <c r="G78" s="3">
        <f>IF(G$3&lt;=Summary!$C$2,_xlfn.XLOOKUP(Group!$B78,BS_NG!$C:$C,BS_NG!H:H),0)</f>
        <v>-225560473.58999997</v>
      </c>
      <c r="H78" s="3">
        <f>IF(H$3&lt;=Summary!$C$2,_xlfn.XLOOKUP(Group!$B78,BS_NG!$C:$C,BS_NG!I:I),0)</f>
        <v>-220436906.86999997</v>
      </c>
      <c r="I78" s="3">
        <f>IF(I$3&lt;=Summary!$C$2,_xlfn.XLOOKUP(Group!$B78,BS_NG!$C:$C,BS_NG!J:J),0)</f>
        <v>-201354787.86999997</v>
      </c>
      <c r="J78" s="3">
        <f>IF(J$3&lt;=Summary!$C$2,_xlfn.XLOOKUP(Group!$B78,BS_NG!$C:$C,BS_NG!K:K),0)</f>
        <v>-203359045.60000002</v>
      </c>
      <c r="K78" s="3">
        <f>IF(K$3&lt;=Summary!$C$2,_xlfn.XLOOKUP(Group!$B78,BS_NG!$C:$C,BS_NG!L:L),0)</f>
        <v>-162299774.25000003</v>
      </c>
      <c r="L78" s="3">
        <f>IF(L$3&lt;=Summary!$C$2,_xlfn.XLOOKUP(Group!$B78,BS_NG!$C:$C,BS_NG!M:M),0)</f>
        <v>-147468831.05000001</v>
      </c>
      <c r="M78" s="3">
        <f>IF(M$3&lt;=Summary!$C$2,_xlfn.XLOOKUP(Group!$B78,BS_NG!$C:$C,BS_NG!N:N),0)</f>
        <v>-233599626.43999997</v>
      </c>
      <c r="N78" s="3">
        <f>IF(N$3&lt;=Summary!$C$2,_xlfn.XLOOKUP(Group!$B78,BS_NG!$C:$C,BS_NG!O:O),0)</f>
        <v>-686020461.24000001</v>
      </c>
      <c r="O78" s="3">
        <f>IF(O$3&lt;=Summary!$C$2,_xlfn.XLOOKUP(Group!$B78,BS_NG!$C:$C,BS_NG!P:P),0)</f>
        <v>-680922844.75999999</v>
      </c>
      <c r="P78" s="3">
        <f>IF(P$3&lt;=Summary!$C$2,_xlfn.XLOOKUP(Group!$B78,BS_NG!$C:$C,BS_NG!Q:Q),0)</f>
        <v>-631109515.26000011</v>
      </c>
      <c r="Q78" s="3">
        <f>IF(Q$3&lt;=Summary!$C$2,_xlfn.XLOOKUP(Group!$B78,BS_NG!$C:$C,BS_NG!R:R),0)</f>
        <v>-626234866.28000009</v>
      </c>
      <c r="R78" s="3">
        <f>IF(R$3&lt;=Summary!$C$2,_xlfn.XLOOKUP(Group!$B78,BS_NG!$C:$C,BS_NG!S:S),0)</f>
        <v>-621685155.61000013</v>
      </c>
      <c r="S78" s="3">
        <f>IF(S$3&lt;=Summary!$C$2,_xlfn.XLOOKUP(Group!$B78,BS_NG!$C:$C,BS_NG!T:T),0)</f>
        <v>-617073935.08000016</v>
      </c>
      <c r="T78" s="3">
        <f>IF(T$3&lt;=Summary!$C$2,_xlfn.XLOOKUP(Group!$B78,BS_NG!$C:$C,BS_NG!U:U),0)</f>
        <v>-612165829.42000008</v>
      </c>
      <c r="U78" s="3">
        <f>IF(U$3&lt;=Summary!$C$2,_xlfn.XLOOKUP(Group!$B78,BS_NG!$C:$C,BS_NG!V:V),0)</f>
        <v>-607600104.93000007</v>
      </c>
      <c r="V78" s="3">
        <f>IF(V$3&lt;=Summary!$C$2,_xlfn.XLOOKUP(Group!$B78,BS_NG!$C:$C,BS_NG!W:W),0)</f>
        <v>-604610433.31000006</v>
      </c>
      <c r="W78" s="3">
        <f>IF(W$3&lt;=Summary!$C$2,_xlfn.XLOOKUP(Group!$B78,BS_NG!$C:$C,BS_NG!X:X),0)</f>
        <v>-630492702.65999997</v>
      </c>
      <c r="X78" s="3">
        <f>IF(X$3&lt;=Summary!$C$2,_xlfn.XLOOKUP(Group!$B78,BS_NG!$C:$C,BS_NG!Y:Y),0)</f>
        <v>-611847505.01000011</v>
      </c>
      <c r="Y78" s="3">
        <f>IF(Y$3&lt;=Summary!$C$2,_xlfn.XLOOKUP(Group!$B78,BS_NG!$C:$C,BS_NG!Z:Z),0)</f>
        <v>-607893006.83000004</v>
      </c>
      <c r="Z78" s="3">
        <f>IF(Z$3&lt;=Summary!$C$2,_xlfn.XLOOKUP(Group!$B78,BS_NG!$C:$C,BS_NG!AA:AA),0)</f>
        <v>-1184527506.54</v>
      </c>
      <c r="AA78" s="3">
        <f>IF(AA$3&lt;=Summary!$C$2,_xlfn.XLOOKUP(Group!$B78,BS_NG!$C:$C,BS_NG!AB:AB),0)</f>
        <v>-1157457828.8099999</v>
      </c>
      <c r="AB78" s="3">
        <f>IF(AB$3&lt;=Summary!$C$2,_xlfn.XLOOKUP(Group!$B78,BS_NG!$C:$C,BS_NG!AC:AC),0)</f>
        <v>-1135126830.0299997</v>
      </c>
      <c r="AC78" s="3">
        <f>IF(AC$3&lt;=Summary!$C$2,_xlfn.XLOOKUP(Group!$B78,BS_NG!$C:$C,BS_NG!AD:AD),0)</f>
        <v>-1109715539.78</v>
      </c>
      <c r="AD78" s="3">
        <f>IF(AD$3&lt;=Summary!$C$2,_xlfn.XLOOKUP(Group!$B78,BS_NG!$C:$C,BS_NG!AE:AE),0)</f>
        <v>-1089905843.3899999</v>
      </c>
      <c r="AE78" s="3">
        <f>IF(AE$3&lt;=Summary!$C$2,_xlfn.XLOOKUP(Group!$B78,BS_NG!$C:$C,BS_NG!AF:AF),0)</f>
        <v>0</v>
      </c>
      <c r="AF78" s="3">
        <f>IF(AF$3&lt;=Summary!$C$2,_xlfn.XLOOKUP(Group!$B78,BS_NG!$C:$C,BS_NG!AG:AG),0)</f>
        <v>0</v>
      </c>
      <c r="AG78" s="3">
        <f>IF(AG$3&lt;=Summary!$C$2,_xlfn.XLOOKUP(Group!$B78,BS_NG!$C:$C,BS_NG!AH:AH),0)</f>
        <v>0</v>
      </c>
      <c r="AH78" s="3">
        <f>IF(AH$3&lt;=Summary!$C$2,_xlfn.XLOOKUP(Group!$B78,BS_NG!$C:$C,BS_NG!AI:AI),0)</f>
        <v>0</v>
      </c>
      <c r="AI78" s="3">
        <f>IF(AI$3&lt;=Summary!$C$2,_xlfn.XLOOKUP(Group!$B78,BS_NG!$C:$C,BS_NG!AJ:AJ),0)</f>
        <v>0</v>
      </c>
      <c r="AJ78" s="3">
        <f>IF(AJ$3&lt;=Summary!$C$2,_xlfn.XLOOKUP(Group!$B78,BS_NG!$C:$C,BS_NG!AK:AK),0)</f>
        <v>0</v>
      </c>
      <c r="AK78" s="3">
        <f>IF(AK$3&lt;=Summary!$C$2,_xlfn.XLOOKUP(Group!$B78,BS_NG!$C:$C,BS_NG!AL:AL),0)</f>
        <v>0</v>
      </c>
      <c r="AL78" s="3">
        <f>IF(AL$3&lt;=Summary!$C$2,_xlfn.XLOOKUP(Group!$B78,BS_NG!$C:$C,BS_NG!AM:AM),0)</f>
        <v>0</v>
      </c>
    </row>
    <row r="79" spans="2:38" x14ac:dyDescent="0.2">
      <c r="B79" s="1" t="s">
        <v>257</v>
      </c>
      <c r="C79" s="3">
        <f>IF(C$3&lt;=Summary!$C$2,_xlfn.XLOOKUP(Group!$B79,BS_NG!$C:$C,BS_NG!D:D),0)</f>
        <v>520056540.63999999</v>
      </c>
      <c r="D79" s="3">
        <f>IF(D$3&lt;=Summary!$C$2,_xlfn.XLOOKUP(Group!$B79,BS_NG!$C:$C,BS_NG!E:E),0)</f>
        <v>520056540.63999999</v>
      </c>
      <c r="E79" s="3">
        <f>IF(E$3&lt;=Summary!$C$2,_xlfn.XLOOKUP(Group!$B79,BS_NG!$C:$C,BS_NG!F:F),0)</f>
        <v>520056540.63999999</v>
      </c>
      <c r="F79" s="3">
        <f>IF(F$3&lt;=Summary!$C$2,_xlfn.XLOOKUP(Group!$B79,BS_NG!$C:$C,BS_NG!G:G),0)</f>
        <v>755041235.00999999</v>
      </c>
      <c r="G79" s="3">
        <f>IF(G$3&lt;=Summary!$C$2,_xlfn.XLOOKUP(Group!$B79,BS_NG!$C:$C,BS_NG!H:H),0)</f>
        <v>755041235.00999999</v>
      </c>
      <c r="H79" s="3">
        <f>IF(H$3&lt;=Summary!$C$2,_xlfn.XLOOKUP(Group!$B79,BS_NG!$C:$C,BS_NG!I:I),0)</f>
        <v>755041235.00999999</v>
      </c>
      <c r="I79" s="3">
        <f>IF(I$3&lt;=Summary!$C$2,_xlfn.XLOOKUP(Group!$B79,BS_NG!$C:$C,BS_NG!J:J),0)</f>
        <v>755041235.00999999</v>
      </c>
      <c r="J79" s="3">
        <f>IF(J$3&lt;=Summary!$C$2,_xlfn.XLOOKUP(Group!$B79,BS_NG!$C:$C,BS_NG!K:K),0)</f>
        <v>881160918.50999999</v>
      </c>
      <c r="K79" s="3">
        <f>IF(K$3&lt;=Summary!$C$2,_xlfn.XLOOKUP(Group!$B79,BS_NG!$C:$C,BS_NG!L:L),0)</f>
        <v>881160918.50999999</v>
      </c>
      <c r="L79" s="3">
        <f>IF(L$3&lt;=Summary!$C$2,_xlfn.XLOOKUP(Group!$B79,BS_NG!$C:$C,BS_NG!M:M),0)</f>
        <v>881160918.50999999</v>
      </c>
      <c r="M79" s="3">
        <f>IF(M$3&lt;=Summary!$C$2,_xlfn.XLOOKUP(Group!$B79,BS_NG!$C:$C,BS_NG!N:N),0)</f>
        <v>881160918.50999999</v>
      </c>
      <c r="N79" s="3">
        <f>IF(N$3&lt;=Summary!$C$2,_xlfn.XLOOKUP(Group!$B79,BS_NG!$C:$C,BS_NG!O:O),0)</f>
        <v>881160918.50999999</v>
      </c>
      <c r="O79" s="3">
        <f>IF(O$3&lt;=Summary!$C$2,_xlfn.XLOOKUP(Group!$B79,BS_NG!$C:$C,BS_NG!P:P),0)</f>
        <v>1005318518.51</v>
      </c>
      <c r="P79" s="3">
        <f>IF(P$3&lt;=Summary!$C$2,_xlfn.XLOOKUP(Group!$B79,BS_NG!$C:$C,BS_NG!Q:Q),0)</f>
        <v>1005318518.51</v>
      </c>
      <c r="Q79" s="3">
        <f>IF(Q$3&lt;=Summary!$C$2,_xlfn.XLOOKUP(Group!$B79,BS_NG!$C:$C,BS_NG!R:R),0)</f>
        <v>1005318518.51</v>
      </c>
      <c r="R79" s="3">
        <f>IF(R$3&lt;=Summary!$C$2,_xlfn.XLOOKUP(Group!$B79,BS_NG!$C:$C,BS_NG!S:S),0)</f>
        <v>1114207018.51</v>
      </c>
      <c r="S79" s="3">
        <f>IF(S$3&lt;=Summary!$C$2,_xlfn.XLOOKUP(Group!$B79,BS_NG!$C:$C,BS_NG!T:T),0)</f>
        <v>1114207018.51</v>
      </c>
      <c r="T79" s="3">
        <f>IF(T$3&lt;=Summary!$C$2,_xlfn.XLOOKUP(Group!$B79,BS_NG!$C:$C,BS_NG!U:U),0)</f>
        <v>1272514018.51</v>
      </c>
      <c r="U79" s="3">
        <f>IF(U$3&lt;=Summary!$C$2,_xlfn.XLOOKUP(Group!$B79,BS_NG!$C:$C,BS_NG!V:V),0)</f>
        <v>1500499973.51</v>
      </c>
      <c r="V79" s="3">
        <f>IF(V$3&lt;=Summary!$C$2,_xlfn.XLOOKUP(Group!$B79,BS_NG!$C:$C,BS_NG!W:W),0)</f>
        <v>1500499973.51</v>
      </c>
      <c r="W79" s="3">
        <f>IF(W$3&lt;=Summary!$C$2,_xlfn.XLOOKUP(Group!$B79,BS_NG!$C:$C,BS_NG!X:X),0)</f>
        <v>1500499973.51</v>
      </c>
      <c r="X79" s="3">
        <f>IF(X$3&lt;=Summary!$C$2,_xlfn.XLOOKUP(Group!$B79,BS_NG!$C:$C,BS_NG!Y:Y),0)</f>
        <v>1500499973.51</v>
      </c>
      <c r="Y79" s="3">
        <f>IF(Y$3&lt;=Summary!$C$2,_xlfn.XLOOKUP(Group!$B79,BS_NG!$C:$C,BS_NG!Z:Z),0)</f>
        <v>1627186907.1099999</v>
      </c>
      <c r="Z79" s="3">
        <f>IF(Z$3&lt;=Summary!$C$2,_xlfn.XLOOKUP(Group!$B79,BS_NG!$C:$C,BS_NG!AA:AA),0)</f>
        <v>1627186907.1099999</v>
      </c>
      <c r="AA79" s="3">
        <f>IF(AA$3&lt;=Summary!$C$2,_xlfn.XLOOKUP(Group!$B79,BS_NG!$C:$C,BS_NG!AB:AB),0)</f>
        <v>1627186907.1099999</v>
      </c>
      <c r="AB79" s="3">
        <f>IF(AB$3&lt;=Summary!$C$2,_xlfn.XLOOKUP(Group!$B79,BS_NG!$C:$C,BS_NG!AC:AC),0)</f>
        <v>1627186907.1099999</v>
      </c>
      <c r="AC79" s="3">
        <f>IF(AC$3&lt;=Summary!$C$2,_xlfn.XLOOKUP(Group!$B79,BS_NG!$C:$C,BS_NG!AD:AD),0)</f>
        <v>1627186907.1099999</v>
      </c>
      <c r="AD79" s="3">
        <f>IF(AD$3&lt;=Summary!$C$2,_xlfn.XLOOKUP(Group!$B79,BS_NG!$C:$C,BS_NG!AE:AE),0)</f>
        <v>1672476283.5899999</v>
      </c>
      <c r="AE79" s="3">
        <f>IF(AE$3&lt;=Summary!$C$2,_xlfn.XLOOKUP(Group!$B79,BS_NG!$C:$C,BS_NG!AF:AF),0)</f>
        <v>0</v>
      </c>
      <c r="AF79" s="3">
        <f>IF(AF$3&lt;=Summary!$C$2,_xlfn.XLOOKUP(Group!$B79,BS_NG!$C:$C,BS_NG!AG:AG),0)</f>
        <v>0</v>
      </c>
      <c r="AG79" s="3">
        <f>IF(AG$3&lt;=Summary!$C$2,_xlfn.XLOOKUP(Group!$B79,BS_NG!$C:$C,BS_NG!AH:AH),0)</f>
        <v>0</v>
      </c>
      <c r="AH79" s="3">
        <f>IF(AH$3&lt;=Summary!$C$2,_xlfn.XLOOKUP(Group!$B79,BS_NG!$C:$C,BS_NG!AI:AI),0)</f>
        <v>0</v>
      </c>
      <c r="AI79" s="3">
        <f>IF(AI$3&lt;=Summary!$C$2,_xlfn.XLOOKUP(Group!$B79,BS_NG!$C:$C,BS_NG!AJ:AJ),0)</f>
        <v>0</v>
      </c>
      <c r="AJ79" s="3">
        <f>IF(AJ$3&lt;=Summary!$C$2,_xlfn.XLOOKUP(Group!$B79,BS_NG!$C:$C,BS_NG!AK:AK),0)</f>
        <v>0</v>
      </c>
      <c r="AK79" s="3">
        <f>IF(AK$3&lt;=Summary!$C$2,_xlfn.XLOOKUP(Group!$B79,BS_NG!$C:$C,BS_NG!AL:AL),0)</f>
        <v>0</v>
      </c>
      <c r="AL79" s="3">
        <f>IF(AL$3&lt;=Summary!$C$2,_xlfn.XLOOKUP(Group!$B79,BS_NG!$C:$C,BS_NG!AM:AM),0)</f>
        <v>0</v>
      </c>
    </row>
    <row r="80" spans="2:38" x14ac:dyDescent="0.2">
      <c r="B80" s="1" t="s">
        <v>258</v>
      </c>
      <c r="C80" s="3">
        <f>IF(C$3&lt;=Summary!$C$2,_xlfn.XLOOKUP(Group!$B80,BS_NG!$C:$C,BS_NG!D:D),0)</f>
        <v>0</v>
      </c>
      <c r="D80" s="3">
        <f>IF(D$3&lt;=Summary!$C$2,_xlfn.XLOOKUP(Group!$B80,BS_NG!$C:$C,BS_NG!E:E),0)</f>
        <v>256479066.40000001</v>
      </c>
      <c r="E80" s="3">
        <f>IF(E$3&lt;=Summary!$C$2,_xlfn.XLOOKUP(Group!$B80,BS_NG!$C:$C,BS_NG!F:F),0)</f>
        <v>271479066.39999998</v>
      </c>
      <c r="F80" s="3">
        <f>IF(F$3&lt;=Summary!$C$2,_xlfn.XLOOKUP(Group!$B80,BS_NG!$C:$C,BS_NG!G:G),0)</f>
        <v>323720767.32999998</v>
      </c>
      <c r="G80" s="3">
        <f>IF(G$3&lt;=Summary!$C$2,_xlfn.XLOOKUP(Group!$B80,BS_NG!$C:$C,BS_NG!H:H),0)</f>
        <v>450724367.32999998</v>
      </c>
      <c r="H80" s="3">
        <f>IF(H$3&lt;=Summary!$C$2,_xlfn.XLOOKUP(Group!$B80,BS_NG!$C:$C,BS_NG!I:I),0)</f>
        <v>450724367.32999998</v>
      </c>
      <c r="I80" s="3">
        <f>IF(I$3&lt;=Summary!$C$2,_xlfn.XLOOKUP(Group!$B80,BS_NG!$C:$C,BS_NG!J:J),0)</f>
        <v>450724367.32999998</v>
      </c>
      <c r="J80" s="3">
        <f>IF(J$3&lt;=Summary!$C$2,_xlfn.XLOOKUP(Group!$B80,BS_NG!$C:$C,BS_NG!K:K),0)</f>
        <v>576450757.33000004</v>
      </c>
      <c r="K80" s="3">
        <f>IF(K$3&lt;=Summary!$C$2,_xlfn.XLOOKUP(Group!$B80,BS_NG!$C:$C,BS_NG!L:L),0)</f>
        <v>576450757.33000004</v>
      </c>
      <c r="L80" s="3">
        <f>IF(L$3&lt;=Summary!$C$2,_xlfn.XLOOKUP(Group!$B80,BS_NG!$C:$C,BS_NG!M:M),0)</f>
        <v>576450757.33000004</v>
      </c>
      <c r="M80" s="3">
        <f>IF(M$3&lt;=Summary!$C$2,_xlfn.XLOOKUP(Group!$B80,BS_NG!$C:$C,BS_NG!N:N),0)</f>
        <v>576450757.33000004</v>
      </c>
      <c r="N80" s="3">
        <f>IF(N$3&lt;=Summary!$C$2,_xlfn.XLOOKUP(Group!$B80,BS_NG!$C:$C,BS_NG!O:O),0)</f>
        <v>594962917.33000004</v>
      </c>
      <c r="O80" s="3">
        <f>IF(O$3&lt;=Summary!$C$2,_xlfn.XLOOKUP(Group!$B80,BS_NG!$C:$C,BS_NG!P:P),0)</f>
        <v>681873237.33000004</v>
      </c>
      <c r="P80" s="3">
        <f>IF(P$3&lt;=Summary!$C$2,_xlfn.XLOOKUP(Group!$B80,BS_NG!$C:$C,BS_NG!Q:Q),0)</f>
        <v>681873237.33000004</v>
      </c>
      <c r="Q80" s="3">
        <f>IF(Q$3&lt;=Summary!$C$2,_xlfn.XLOOKUP(Group!$B80,BS_NG!$C:$C,BS_NG!R:R),0)</f>
        <v>681873237.33000004</v>
      </c>
      <c r="R80" s="3">
        <f>IF(R$3&lt;=Summary!$C$2,_xlfn.XLOOKUP(Group!$B80,BS_NG!$C:$C,BS_NG!S:S),0)</f>
        <v>754984087.33000004</v>
      </c>
      <c r="S80" s="3">
        <f>IF(S$3&lt;=Summary!$C$2,_xlfn.XLOOKUP(Group!$B80,BS_NG!$C:$C,BS_NG!T:T),0)</f>
        <v>754984087.33000004</v>
      </c>
      <c r="T80" s="3">
        <f>IF(T$3&lt;=Summary!$C$2,_xlfn.XLOOKUP(Group!$B80,BS_NG!$C:$C,BS_NG!U:U),0)</f>
        <v>754984087.33000004</v>
      </c>
      <c r="U80" s="3">
        <f>IF(U$3&lt;=Summary!$C$2,_xlfn.XLOOKUP(Group!$B80,BS_NG!$C:$C,BS_NG!V:V),0)</f>
        <v>863450446.94000006</v>
      </c>
      <c r="V80" s="3">
        <f>IF(V$3&lt;=Summary!$C$2,_xlfn.XLOOKUP(Group!$B80,BS_NG!$C:$C,BS_NG!W:W),0)</f>
        <v>863450446.94000006</v>
      </c>
      <c r="W80" s="3">
        <f>IF(W$3&lt;=Summary!$C$2,_xlfn.XLOOKUP(Group!$B80,BS_NG!$C:$C,BS_NG!X:X),0)</f>
        <v>863450446.94000006</v>
      </c>
      <c r="X80" s="3">
        <f>IF(X$3&lt;=Summary!$C$2,_xlfn.XLOOKUP(Group!$B80,BS_NG!$C:$C,BS_NG!Y:Y),0)</f>
        <v>863450446.94000006</v>
      </c>
      <c r="Y80" s="3">
        <f>IF(Y$3&lt;=Summary!$C$2,_xlfn.XLOOKUP(Group!$B80,BS_NG!$C:$C,BS_NG!Z:Z),0)</f>
        <v>903224418.94000006</v>
      </c>
      <c r="Z80" s="3">
        <f>IF(Z$3&lt;=Summary!$C$2,_xlfn.XLOOKUP(Group!$B80,BS_NG!$C:$C,BS_NG!AA:AA),0)</f>
        <v>903224418.94000006</v>
      </c>
      <c r="AA80" s="3">
        <f>IF(AA$3&lt;=Summary!$C$2,_xlfn.XLOOKUP(Group!$B80,BS_NG!$C:$C,BS_NG!AB:AB),0)</f>
        <v>967076718.94000006</v>
      </c>
      <c r="AB80" s="3">
        <f>IF(AB$3&lt;=Summary!$C$2,_xlfn.XLOOKUP(Group!$B80,BS_NG!$C:$C,BS_NG!AC:AC),0)</f>
        <v>967076718.94000006</v>
      </c>
      <c r="AC80" s="3">
        <f>IF(AC$3&lt;=Summary!$C$2,_xlfn.XLOOKUP(Group!$B80,BS_NG!$C:$C,BS_NG!AD:AD),0)</f>
        <v>967076718.94000006</v>
      </c>
      <c r="AD80" s="3">
        <f>IF(AD$3&lt;=Summary!$C$2,_xlfn.XLOOKUP(Group!$B80,BS_NG!$C:$C,BS_NG!AE:AE),0)</f>
        <v>1040395527.16</v>
      </c>
      <c r="AE80" s="3">
        <f>IF(AE$3&lt;=Summary!$C$2,_xlfn.XLOOKUP(Group!$B80,BS_NG!$C:$C,BS_NG!AF:AF),0)</f>
        <v>0</v>
      </c>
      <c r="AF80" s="3">
        <f>IF(AF$3&lt;=Summary!$C$2,_xlfn.XLOOKUP(Group!$B80,BS_NG!$C:$C,BS_NG!AG:AG),0)</f>
        <v>0</v>
      </c>
      <c r="AG80" s="3">
        <f>IF(AG$3&lt;=Summary!$C$2,_xlfn.XLOOKUP(Group!$B80,BS_NG!$C:$C,BS_NG!AH:AH),0)</f>
        <v>0</v>
      </c>
      <c r="AH80" s="3">
        <f>IF(AH$3&lt;=Summary!$C$2,_xlfn.XLOOKUP(Group!$B80,BS_NG!$C:$C,BS_NG!AI:AI),0)</f>
        <v>0</v>
      </c>
      <c r="AI80" s="3">
        <f>IF(AI$3&lt;=Summary!$C$2,_xlfn.XLOOKUP(Group!$B80,BS_NG!$C:$C,BS_NG!AJ:AJ),0)</f>
        <v>0</v>
      </c>
      <c r="AJ80" s="3">
        <f>IF(AJ$3&lt;=Summary!$C$2,_xlfn.XLOOKUP(Group!$B80,BS_NG!$C:$C,BS_NG!AK:AK),0)</f>
        <v>0</v>
      </c>
      <c r="AK80" s="3">
        <f>IF(AK$3&lt;=Summary!$C$2,_xlfn.XLOOKUP(Group!$B80,BS_NG!$C:$C,BS_NG!AL:AL),0)</f>
        <v>0</v>
      </c>
      <c r="AL80" s="3">
        <f>IF(AL$3&lt;=Summary!$C$2,_xlfn.XLOOKUP(Group!$B80,BS_NG!$C:$C,BS_NG!AM:AM),0)</f>
        <v>0</v>
      </c>
    </row>
    <row r="84" spans="2:38" x14ac:dyDescent="0.2">
      <c r="B84" s="1" t="s">
        <v>1715</v>
      </c>
      <c r="C84" s="252">
        <f>PL_NG!D38+PL_NG!D77+PL_UK!D45+PL_UAE!D43+PL_UAE!D110</f>
        <v>-116696395.94358999</v>
      </c>
      <c r="D84" s="1">
        <f>PL_NG!E38+PL_NG!E77+PL_UK!E45+PL_UAE!E43+PL_UAE!E110</f>
        <v>-139936408.61847997</v>
      </c>
      <c r="E84" s="1">
        <f>PL_NG!F38+PL_NG!F77+PL_UK!F45+PL_UAE!F43+PL_UAE!F110</f>
        <v>-438272433.59806001</v>
      </c>
      <c r="F84" s="1">
        <f>PL_NG!G38+PL_NG!G77+PL_UK!G45+PL_UAE!G43+PL_UAE!G110</f>
        <v>-174677431.09503999</v>
      </c>
      <c r="G84" s="1">
        <f>PL_NG!H38+PL_NG!H77+PL_UK!H45+PL_UAE!H43+PL_UAE!H110</f>
        <v>-209600133.81795996</v>
      </c>
      <c r="H84" s="1">
        <f>PL_NG!I38+PL_NG!I77+PL_UK!I45+PL_UAE!I43+PL_UAE!I110</f>
        <v>-184759060.37742001</v>
      </c>
      <c r="I84" s="1">
        <f>PL_NG!J38+PL_NG!J77+PL_UK!J45+PL_UAE!J43+PL_UAE!J110</f>
        <v>-247282304.33788002</v>
      </c>
      <c r="J84" s="1">
        <f>PL_NG!K38+PL_NG!K77+PL_UK!K45+PL_UAE!K43+PL_UAE!K110</f>
        <v>-219465599.18281996</v>
      </c>
      <c r="K84" s="1">
        <f>PL_NG!L38+PL_NG!L77+PL_UK!L45+PL_UAE!L43+PL_UAE!L110</f>
        <v>-253139535.85824999</v>
      </c>
      <c r="L84" s="1">
        <f>PL_NG!M38+PL_NG!M77+PL_UK!M45+PL_UAE!M43+PL_UAE!M110</f>
        <v>-314562970.82697999</v>
      </c>
      <c r="M84" s="1">
        <f>PL_NG!N38+PL_NG!N77+PL_UK!N45+PL_UAE!N43+PL_UAE!N110</f>
        <v>-302085594.67470002</v>
      </c>
      <c r="N84" s="1">
        <f>PL_NG!O38+PL_NG!O77+PL_UK!O45+PL_UAE!O43+PL_UAE!O110</f>
        <v>-328844600.40400004</v>
      </c>
      <c r="O84" s="1">
        <f>PL_NG!P38+PL_NG!P77+PL_UK!P45+PL_UAE!P43+PL_UAE!P110</f>
        <v>-238766019.00969997</v>
      </c>
      <c r="P84" s="1">
        <f>PL_NG!Q38+PL_NG!Q77+PL_UK!Q45+PL_UAE!Q43+PL_UAE!Q110</f>
        <v>-233122830.62164155</v>
      </c>
      <c r="Q84" s="1">
        <f>PL_NG!R38+PL_NG!R77+PL_UK!R45+PL_UAE!R43+PL_UAE!R110</f>
        <v>-258665957.69534001</v>
      </c>
      <c r="R84" s="1">
        <f>PL_NG!S38+PL_NG!S77+PL_UK!S45+PL_UAE!S43+PL_UAE!S110</f>
        <v>-254692458.98695999</v>
      </c>
      <c r="S84" s="1">
        <f>PL_NG!T38+PL_NG!T77+PL_UK!T45+PL_UAE!T43+PL_UAE!T110</f>
        <v>-293733428.51773989</v>
      </c>
      <c r="T84" s="1">
        <f>PL_NG!U38+PL_NG!U77+PL_UK!U45+PL_UAE!U43+PL_UAE!U110</f>
        <v>-235642679.88901997</v>
      </c>
      <c r="U84" s="1">
        <f>PL_NG!V38+PL_NG!V77+PL_UK!V45+PL_UAE!V43+PL_UAE!V110</f>
        <v>-254953057.62901998</v>
      </c>
      <c r="V84" s="1">
        <f>PL_NG!W38+PL_NG!W77+PL_UK!W45+PL_UAE!W43+PL_UAE!W110</f>
        <v>-187751090.05296001</v>
      </c>
      <c r="W84" s="1">
        <f>PL_NG!X38+PL_NG!X77+PL_UK!X45+PL_UAE!X43+PL_UAE!X110</f>
        <v>-287364412.09952003</v>
      </c>
      <c r="X84" s="1">
        <f>PL_NG!Y38+PL_NG!Y77+PL_UK!Y45+PL_UAE!Y43+PL_UAE!Y110</f>
        <v>-258848266.49699995</v>
      </c>
      <c r="Y84" s="1">
        <f>PL_NG!Z38+PL_NG!Z77+PL_UK!Z45+PL_UAE!Z43+PL_UAE!Z110</f>
        <v>-259172223.85474998</v>
      </c>
      <c r="Z84" s="1">
        <f>PL_NG!AA38+PL_NG!AA77+PL_UK!AA45+PL_UAE!AA43+PL_UAE!AA110</f>
        <v>-413117524.15696013</v>
      </c>
      <c r="AA84" s="1">
        <f>PL_NG!AB38+PL_NG!AB77+PL_UK!AB45+PL_UAE!AB43+PL_UAE!AB110</f>
        <v>-236545455.66628</v>
      </c>
      <c r="AB84" s="1">
        <f>PL_NG!AC38+PL_NG!AC77+PL_UK!AC45+PL_UAE!AC43+PL_UAE!AC110</f>
        <v>-224676091.67730001</v>
      </c>
      <c r="AC84" s="1">
        <f>PL_NG!AD38+PL_NG!AD77+PL_UK!AD45+PL_UAE!AD43+PL_UAE!AD110</f>
        <v>-225961017.46263999</v>
      </c>
      <c r="AD84" s="1">
        <f>PL_NG!AE38+PL_NG!AE77+PL_UK!AE45+PL_UAE!AE43+PL_UAE!AE110</f>
        <v>-225380239.54600003</v>
      </c>
      <c r="AE84" s="1">
        <f>PL_NG!AF38+PL_NG!AF77+PL_UK!AF45+PL_UAE!AF43+PL_UAE!AF110</f>
        <v>0</v>
      </c>
      <c r="AF84" s="1">
        <f>PL_NG!AG38+PL_NG!AG77+PL_UK!AG45+PL_UAE!AG43+PL_UAE!AG110</f>
        <v>0</v>
      </c>
      <c r="AG84" s="1">
        <f>PL_NG!AH38+PL_NG!AH77+PL_UK!AH45+PL_UAE!AH43+PL_UAE!AH110</f>
        <v>0</v>
      </c>
      <c r="AH84" s="1">
        <f>PL_NG!AI38+PL_NG!AI77+PL_UK!AI45+PL_UAE!AI43+PL_UAE!AI110</f>
        <v>0</v>
      </c>
      <c r="AI84" s="1">
        <f>PL_NG!AJ38+PL_NG!AJ77+PL_UK!AJ45+PL_UAE!AJ43+PL_UAE!AJ110</f>
        <v>0</v>
      </c>
      <c r="AJ84" s="1">
        <f>PL_NG!AK38+PL_NG!AK77+PL_UK!AK45+PL_UAE!AK43+PL_UAE!AK110</f>
        <v>0</v>
      </c>
      <c r="AK84" s="1">
        <f>PL_NG!AL38+PL_NG!AL77+PL_UK!AL45+PL_UAE!AL43+PL_UAE!AL110</f>
        <v>0</v>
      </c>
      <c r="AL84" s="1">
        <f>PL_NG!AM38+PL_NG!AM77+PL_UK!AM45+PL_UAE!AM43+PL_UAE!AM110</f>
        <v>0</v>
      </c>
    </row>
    <row r="85" spans="2:38" x14ac:dyDescent="0.2">
      <c r="B85" s="1" t="s">
        <v>1716</v>
      </c>
      <c r="C85" s="252">
        <f>PL_NG!D99-PL_NG!D97-PL_NG!D98+PL_UK!D82+PL_UK!D89</f>
        <v>-267374.40080000012</v>
      </c>
      <c r="D85" s="252">
        <f>PL_NG!E99-PL_NG!E97-PL_NG!E98+PL_UK!E82+PL_UK!E89</f>
        <v>-4994384.8800000008</v>
      </c>
      <c r="E85" s="252">
        <f>PL_NG!F99-PL_NG!F97-PL_NG!F98+PL_UK!F82+PL_UK!F89</f>
        <v>-35068497.1281</v>
      </c>
      <c r="F85" s="252">
        <f>PL_NG!G99-PL_NG!G97-PL_NG!G98+PL_UK!G82+PL_UK!G89</f>
        <v>-41350570.219999999</v>
      </c>
      <c r="G85" s="252">
        <f>PL_NG!H99-PL_NG!H97-PL_NG!H98+PL_UK!H82+PL_UK!H89</f>
        <v>-27785454.168599997</v>
      </c>
      <c r="H85" s="252">
        <f>PL_NG!I99-PL_NG!I97-PL_NG!I98+PL_UK!I82+PL_UK!I89</f>
        <v>-56190955.724999994</v>
      </c>
      <c r="I85" s="252">
        <f>PL_NG!J99-PL_NG!J97-PL_NG!J98+PL_UK!J82+PL_UK!J89</f>
        <v>-56230474.819500007</v>
      </c>
      <c r="J85" s="252">
        <f>PL_NG!K99-PL_NG!K97-PL_NG!K98+PL_UK!K82+PL_UK!K89</f>
        <v>-69888282.201200008</v>
      </c>
      <c r="K85" s="252">
        <f>PL_NG!L99-PL_NG!L97-PL_NG!L98+PL_UK!L82+PL_UK!L89</f>
        <v>-50946768.670099996</v>
      </c>
      <c r="L85" s="252">
        <f>PL_NG!M99-PL_NG!M97-PL_NG!M98+PL_UK!M82+PL_UK!M89</f>
        <v>-80001725.825300008</v>
      </c>
      <c r="M85" s="252">
        <f>PL_NG!N99-PL_NG!N97-PL_NG!N98+PL_UK!N82+PL_UK!N89</f>
        <v>-127207842.55899999</v>
      </c>
      <c r="N85" s="252">
        <f>PL_NG!O99-PL_NG!O97-PL_NG!O98+PL_UK!O82+PL_UK!O89</f>
        <v>-36078043.920799971</v>
      </c>
      <c r="O85" s="252">
        <f>PL_NG!P99-PL_NG!P97-PL_NG!P98+PL_UK!P82+PL_UK!P89</f>
        <v>-44282186.271299995</v>
      </c>
      <c r="P85" s="252">
        <f>PL_NG!Q99-PL_NG!Q97-PL_NG!Q98+PL_UK!Q82+PL_UK!Q89</f>
        <v>-92733727.173000187</v>
      </c>
      <c r="Q85" s="252">
        <f>PL_NG!R99-PL_NG!R97-PL_NG!R98+PL_UK!R82+PL_UK!R89</f>
        <v>-93439755.655499995</v>
      </c>
      <c r="R85" s="252">
        <f>PL_NG!S99-PL_NG!S97-PL_NG!S98+PL_UK!S82+PL_UK!S89</f>
        <v>-87386668.932899997</v>
      </c>
      <c r="S85" s="252">
        <f>PL_NG!T99-PL_NG!T97-PL_NG!T98+PL_UK!T82+PL_UK!T89</f>
        <v>-78978873.226500005</v>
      </c>
      <c r="T85" s="252">
        <f>PL_NG!U99-PL_NG!U97-PL_NG!U98+PL_UK!U82+PL_UK!U89</f>
        <v>-55839433.462399989</v>
      </c>
      <c r="U85" s="252">
        <f>PL_NG!V99-PL_NG!V97-PL_NG!V98+PL_UK!V82+PL_UK!V89</f>
        <v>-33936480.588600002</v>
      </c>
      <c r="V85" s="252">
        <f>PL_NG!W99-PL_NG!W97-PL_NG!W98+PL_UK!W82+PL_UK!W89</f>
        <v>-63481833.353099987</v>
      </c>
      <c r="W85" s="252">
        <f>PL_NG!X99-PL_NG!X97-PL_NG!X98+PL_UK!X82+PL_UK!X89</f>
        <v>-74679245.960499987</v>
      </c>
      <c r="X85" s="252">
        <f>PL_NG!Y99-PL_NG!Y97-PL_NG!Y98+PL_UK!Y82+PL_UK!Y89</f>
        <v>-77746303.955000013</v>
      </c>
      <c r="Y85" s="252">
        <f>PL_NG!Z99-PL_NG!Z97-PL_NG!Z98+PL_UK!Z82+PL_UK!Z89</f>
        <v>-97416680.498299986</v>
      </c>
      <c r="Z85" s="252">
        <f>PL_NG!AA99-PL_NG!AA97-PL_NG!AA98+PL_UK!AA82+PL_UK!AA89</f>
        <v>-18746784.675000001</v>
      </c>
      <c r="AA85" s="252">
        <f>PL_NG!AB99-PL_NG!AB97-PL_NG!AB98+PL_UK!AB82+PL_UK!AB89</f>
        <v>-15066043.436000001</v>
      </c>
      <c r="AB85" s="252">
        <f>PL_NG!AC99-PL_NG!AC97-PL_NG!AC98+PL_UK!AC82+PL_UK!AC89</f>
        <v>-37931143.131999999</v>
      </c>
      <c r="AC85" s="252">
        <f>PL_NG!AD99-PL_NG!AD97-PL_NG!AD98+PL_UK!AD82+PL_UK!AD89</f>
        <v>-47993584.888999999</v>
      </c>
      <c r="AD85" s="252">
        <f>PL_NG!AE99-PL_NG!AE97-PL_NG!AE98+PL_UK!AE82+PL_UK!AE89</f>
        <v>-11498928.102</v>
      </c>
      <c r="AE85" s="252">
        <f>PL_NG!AF99-PL_NG!AF97-PL_NG!AF98+PL_UK!AF82+PL_UK!AF89</f>
        <v>0</v>
      </c>
      <c r="AF85" s="252">
        <f>PL_NG!AG99-PL_NG!AG97-PL_NG!AG98+PL_UK!AG82+PL_UK!AG89</f>
        <v>0</v>
      </c>
      <c r="AG85" s="252">
        <f>PL_NG!AH99-PL_NG!AH97-PL_NG!AH98+PL_UK!AH82+PL_UK!AH89</f>
        <v>0</v>
      </c>
      <c r="AH85" s="252">
        <f>PL_NG!AI99-PL_NG!AI97-PL_NG!AI98+PL_UK!AI82+PL_UK!AI89</f>
        <v>0</v>
      </c>
      <c r="AI85" s="252">
        <f>PL_NG!AJ99-PL_NG!AJ97-PL_NG!AJ98+PL_UK!AJ82+PL_UK!AJ89</f>
        <v>0</v>
      </c>
      <c r="AJ85" s="252">
        <f>PL_NG!AK99-PL_NG!AK97-PL_NG!AK98+PL_UK!AK82+PL_UK!AK89</f>
        <v>0</v>
      </c>
      <c r="AK85" s="252">
        <f>PL_NG!AL99-PL_NG!AL97-PL_NG!AL98+PL_UK!AL82+PL_UK!AL89</f>
        <v>0</v>
      </c>
      <c r="AL85" s="252">
        <f>PL_NG!AM99-PL_NG!AM97-PL_NG!AM98+PL_UK!AM82+PL_UK!AM89</f>
        <v>0</v>
      </c>
    </row>
    <row r="86" spans="2:38" hidden="1" x14ac:dyDescent="0.2">
      <c r="B86" s="1" t="s">
        <v>76</v>
      </c>
    </row>
    <row r="87" spans="2:38" hidden="1" x14ac:dyDescent="0.2"/>
    <row r="88" spans="2:38" hidden="1" x14ac:dyDescent="0.2">
      <c r="B88" s="4" t="s">
        <v>77</v>
      </c>
    </row>
    <row r="89" spans="2:38" hidden="1" x14ac:dyDescent="0.2">
      <c r="B89" s="1" t="s">
        <v>78</v>
      </c>
      <c r="O89" s="1">
        <v>175</v>
      </c>
      <c r="P89" s="1">
        <v>177</v>
      </c>
      <c r="Q89" s="1">
        <v>177</v>
      </c>
      <c r="R89" s="1">
        <v>174</v>
      </c>
      <c r="S89" s="1">
        <v>164</v>
      </c>
      <c r="T89" s="1">
        <v>164</v>
      </c>
      <c r="U89" s="1">
        <v>158</v>
      </c>
      <c r="V89" s="1">
        <v>163</v>
      </c>
      <c r="W89" s="83">
        <v>158</v>
      </c>
      <c r="X89" s="259">
        <v>158</v>
      </c>
      <c r="Y89" s="1">
        <v>143</v>
      </c>
    </row>
    <row r="90" spans="2:38" hidden="1" x14ac:dyDescent="0.2">
      <c r="B90" s="1" t="s">
        <v>79</v>
      </c>
      <c r="O90" s="1">
        <v>119</v>
      </c>
      <c r="P90" s="1">
        <v>121</v>
      </c>
      <c r="Q90" s="1">
        <v>120</v>
      </c>
      <c r="R90" s="1">
        <v>120</v>
      </c>
      <c r="S90" s="1">
        <v>121</v>
      </c>
      <c r="T90" s="1">
        <v>124</v>
      </c>
      <c r="U90" s="1">
        <v>120</v>
      </c>
      <c r="V90" s="1">
        <v>123</v>
      </c>
      <c r="W90" s="83">
        <v>119</v>
      </c>
      <c r="X90" s="259">
        <v>117</v>
      </c>
      <c r="Y90" s="1">
        <v>102</v>
      </c>
    </row>
    <row r="91" spans="2:38" hidden="1" x14ac:dyDescent="0.2">
      <c r="B91" s="1" t="s">
        <v>80</v>
      </c>
      <c r="O91" s="1">
        <v>45</v>
      </c>
      <c r="P91" s="1">
        <v>47</v>
      </c>
      <c r="Q91" s="1">
        <v>46</v>
      </c>
      <c r="R91" s="1">
        <v>45</v>
      </c>
      <c r="S91" s="1">
        <v>42</v>
      </c>
      <c r="T91" s="1">
        <v>40</v>
      </c>
      <c r="U91" s="1">
        <v>38</v>
      </c>
      <c r="V91" s="1">
        <v>40</v>
      </c>
      <c r="W91" s="83">
        <v>39</v>
      </c>
      <c r="X91" s="259">
        <v>41</v>
      </c>
      <c r="Y91" s="1">
        <v>35</v>
      </c>
    </row>
    <row r="92" spans="2:38" hidden="1" x14ac:dyDescent="0.2">
      <c r="B92" s="1" t="s">
        <v>81</v>
      </c>
      <c r="O92" s="8">
        <f>IFERROR(O91/O89,"")</f>
        <v>0.25714285714285712</v>
      </c>
      <c r="P92" s="8">
        <f>IFERROR(P91/P89,"")</f>
        <v>0.2655367231638418</v>
      </c>
      <c r="Q92" s="8">
        <f t="shared" ref="Q92:V92" si="18">IFERROR(Q91/Q89,"")</f>
        <v>0.25988700564971751</v>
      </c>
      <c r="R92" s="8">
        <f t="shared" si="18"/>
        <v>0.25862068965517243</v>
      </c>
      <c r="S92" s="8">
        <f t="shared" si="18"/>
        <v>0.25609756097560976</v>
      </c>
      <c r="T92" s="8">
        <f t="shared" si="18"/>
        <v>0.24390243902439024</v>
      </c>
      <c r="U92" s="8">
        <f t="shared" si="18"/>
        <v>0.24050632911392406</v>
      </c>
      <c r="V92" s="8">
        <f t="shared" si="18"/>
        <v>0.24539877300613497</v>
      </c>
      <c r="W92" s="119">
        <v>0.24679999999999999</v>
      </c>
      <c r="X92" s="268">
        <f>X91/X89</f>
        <v>0.25949367088607594</v>
      </c>
      <c r="Y92" s="268">
        <f>Y91/Y89</f>
        <v>0.24475524475524477</v>
      </c>
    </row>
    <row r="93" spans="2:38" hidden="1" x14ac:dyDescent="0.2">
      <c r="B93" s="1" t="s">
        <v>82</v>
      </c>
      <c r="O93" s="1">
        <v>8</v>
      </c>
      <c r="P93" s="1">
        <v>7</v>
      </c>
      <c r="Q93" s="1">
        <v>3</v>
      </c>
      <c r="R93" s="1">
        <v>3</v>
      </c>
      <c r="S93" s="1">
        <v>3</v>
      </c>
      <c r="T93" s="1">
        <v>4</v>
      </c>
      <c r="U93" s="1">
        <v>6</v>
      </c>
      <c r="V93" s="1">
        <v>5</v>
      </c>
      <c r="W93" s="83">
        <v>2</v>
      </c>
      <c r="X93" s="259">
        <v>3</v>
      </c>
    </row>
    <row r="94" spans="2:38" hidden="1" x14ac:dyDescent="0.2">
      <c r="B94" s="1" t="s">
        <v>83</v>
      </c>
      <c r="O94" s="1">
        <v>13</v>
      </c>
      <c r="P94" s="1">
        <v>4</v>
      </c>
      <c r="Q94" s="1">
        <v>7</v>
      </c>
      <c r="R94" s="1">
        <v>9</v>
      </c>
      <c r="S94" s="1">
        <v>4</v>
      </c>
      <c r="T94" s="1">
        <v>4</v>
      </c>
      <c r="U94" s="1">
        <v>8</v>
      </c>
      <c r="V94" s="1">
        <v>6</v>
      </c>
      <c r="W94" s="83">
        <v>7</v>
      </c>
      <c r="X94" s="259">
        <v>8</v>
      </c>
    </row>
    <row r="95" spans="2:38" hidden="1" x14ac:dyDescent="0.2">
      <c r="B95" s="1" t="s">
        <v>84</v>
      </c>
      <c r="O95" s="9">
        <f>IFERROR(O94/AVERAGE($O$89:O89),"")</f>
        <v>7.4285714285714288E-2</v>
      </c>
      <c r="P95" s="9">
        <f>IFERROR(P94/AVERAGE($O$89:P89),"")</f>
        <v>2.2727272727272728E-2</v>
      </c>
      <c r="Q95" s="9">
        <f>IFERROR(Q94/AVERAGE($O$89:Q89),"")</f>
        <v>3.9697542533081283E-2</v>
      </c>
      <c r="R95" s="9">
        <f>IFERROR(R94/AVERAGE($O$89:R89),"")</f>
        <v>5.1209103840682786E-2</v>
      </c>
      <c r="S95" s="9">
        <f>IFERROR(S94/AVERAGE($O$89:S89),"")</f>
        <v>2.306805074971165E-2</v>
      </c>
      <c r="T95" s="9">
        <f>IFERROR(T94/AVERAGE($O$89:T89),"")</f>
        <v>2.3278370514064013E-2</v>
      </c>
      <c r="U95" s="9">
        <f>IFERROR(U94/AVERAGE($O$89:U89),"")</f>
        <v>4.709840201850294E-2</v>
      </c>
      <c r="V95" s="9">
        <f>IFERROR(V94/AVERAGE($O$89:V89),"")</f>
        <v>3.5502958579881658E-2</v>
      </c>
      <c r="W95" s="119">
        <v>4.4299999999999999E-2</v>
      </c>
      <c r="X95" s="268">
        <v>5.0599999999999999E-2</v>
      </c>
    </row>
    <row r="96" spans="2:38" hidden="1" x14ac:dyDescent="0.2"/>
    <row r="97" spans="2:2" hidden="1" x14ac:dyDescent="0.2"/>
    <row r="98" spans="2:2" hidden="1" x14ac:dyDescent="0.2"/>
    <row r="99" spans="2:2" hidden="1" x14ac:dyDescent="0.2"/>
    <row r="100" spans="2:2" hidden="1" x14ac:dyDescent="0.2"/>
    <row r="101" spans="2:2" hidden="1" x14ac:dyDescent="0.2">
      <c r="B101" s="4" t="s">
        <v>85</v>
      </c>
    </row>
    <row r="102" spans="2:2" hidden="1" x14ac:dyDescent="0.2"/>
    <row r="103" spans="2:2" hidden="1" x14ac:dyDescent="0.2"/>
    <row r="104" spans="2:2" hidden="1" x14ac:dyDescent="0.2"/>
    <row r="105" spans="2:2" hidden="1" x14ac:dyDescent="0.2"/>
    <row r="106" spans="2:2" hidden="1" x14ac:dyDescent="0.2">
      <c r="B106" s="4" t="s">
        <v>86</v>
      </c>
    </row>
    <row r="107" spans="2:2" hidden="1" x14ac:dyDescent="0.2"/>
    <row r="108" spans="2:2" hidden="1" x14ac:dyDescent="0.2"/>
    <row r="109" spans="2:2" hidden="1" x14ac:dyDescent="0.2"/>
    <row r="110" spans="2:2" hidden="1" x14ac:dyDescent="0.2"/>
    <row r="111" spans="2:2" hidden="1" x14ac:dyDescent="0.2">
      <c r="B111" s="4" t="s">
        <v>87</v>
      </c>
    </row>
    <row r="112" spans="2:2" hidden="1" x14ac:dyDescent="0.2"/>
    <row r="113" spans="2:2" hidden="1" x14ac:dyDescent="0.2"/>
    <row r="114" spans="2:2" hidden="1" x14ac:dyDescent="0.2"/>
    <row r="115" spans="2:2" hidden="1" x14ac:dyDescent="0.2"/>
    <row r="116" spans="2:2" hidden="1" x14ac:dyDescent="0.2">
      <c r="B116" s="4" t="s">
        <v>88</v>
      </c>
    </row>
    <row r="122" spans="2:2" x14ac:dyDescent="0.2">
      <c r="B122" s="4" t="s">
        <v>89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385E-CB85-4C8B-97B5-ED44CADA5394}">
  <sheetPr codeName="Sheet4"/>
  <dimension ref="A1:BC97"/>
  <sheetViews>
    <sheetView showGridLines="0" topLeftCell="I56" zoomScale="140" zoomScaleNormal="140" workbookViewId="0">
      <selection activeCell="P66" sqref="P66"/>
    </sheetView>
  </sheetViews>
  <sheetFormatPr baseColWidth="10" defaultColWidth="8.83203125" defaultRowHeight="15" outlineLevelCol="1" x14ac:dyDescent="0.2"/>
  <cols>
    <col min="1" max="1" width="14.1640625" bestFit="1" customWidth="1"/>
    <col min="3" max="3" width="32.5" bestFit="1" customWidth="1"/>
    <col min="4" max="4" width="19.1640625" bestFit="1" customWidth="1"/>
    <col min="5" max="6" width="12.83203125" bestFit="1" customWidth="1"/>
    <col min="7" max="8" width="11.1640625" bestFit="1" customWidth="1"/>
    <col min="9" max="9" width="12.83203125" bestFit="1" customWidth="1"/>
    <col min="11" max="11" width="34" style="10" customWidth="1" outlineLevel="1"/>
    <col min="12" max="12" width="16.1640625" customWidth="1" outlineLevel="1"/>
    <col min="13" max="13" width="14.33203125" customWidth="1" outlineLevel="1"/>
    <col min="14" max="14" width="12.5" customWidth="1" outlineLevel="1"/>
    <col min="15" max="15" width="19.5" customWidth="1" outlineLevel="1"/>
    <col min="16" max="19" width="15.5" customWidth="1" outlineLevel="1"/>
    <col min="20" max="20" width="16.83203125" customWidth="1" outlineLevel="1"/>
    <col min="21" max="21" width="12.5" customWidth="1" outlineLevel="1"/>
    <col min="22" max="22" width="14.1640625" style="176" customWidth="1" outlineLevel="1"/>
    <col min="23" max="25" width="15" customWidth="1" outlineLevel="1"/>
    <col min="26" max="26" width="14.1640625" customWidth="1" outlineLevel="1"/>
    <col min="27" max="29" width="12.5" customWidth="1" outlineLevel="1"/>
    <col min="30" max="31" width="8.6640625" customWidth="1" outlineLevel="1"/>
    <col min="35" max="35" width="13" bestFit="1" customWidth="1"/>
    <col min="36" max="36" width="16" bestFit="1" customWidth="1"/>
    <col min="37" max="37" width="11.83203125" bestFit="1" customWidth="1"/>
    <col min="38" max="38" width="11.83203125" customWidth="1"/>
    <col min="39" max="39" width="20.33203125" bestFit="1" customWidth="1"/>
    <col min="40" max="40" width="14.1640625" customWidth="1"/>
    <col min="41" max="41" width="14" bestFit="1" customWidth="1"/>
    <col min="42" max="42" width="13.83203125" bestFit="1" customWidth="1"/>
    <col min="43" max="53" width="13.83203125" customWidth="1"/>
    <col min="54" max="54" width="15.1640625" bestFit="1" customWidth="1"/>
    <col min="55" max="55" width="13" bestFit="1" customWidth="1"/>
  </cols>
  <sheetData>
    <row r="1" spans="1:55" x14ac:dyDescent="0.2">
      <c r="M1" s="45">
        <f>M7+N7</f>
        <v>-198883100.95039999</v>
      </c>
      <c r="O1">
        <v>-14273255.289999999</v>
      </c>
      <c r="P1" s="45">
        <f>P9-M9-N9</f>
        <v>86934332.265200004</v>
      </c>
      <c r="Q1" s="178"/>
      <c r="V1" s="40">
        <f>($P$2*T40)</f>
        <v>96586223.032822922</v>
      </c>
      <c r="AI1" s="357" t="s">
        <v>6</v>
      </c>
      <c r="BA1">
        <f>BA2+AU2</f>
        <v>48868.695391218949</v>
      </c>
    </row>
    <row r="2" spans="1:55" x14ac:dyDescent="0.2">
      <c r="C2" s="358" t="s">
        <v>28</v>
      </c>
      <c r="P2" s="178">
        <v>0.3</v>
      </c>
      <c r="Q2" s="178">
        <v>0.7</v>
      </c>
      <c r="R2" s="179">
        <f>Summary!V6/Summary!$Z$6</f>
        <v>0.74867344228675181</v>
      </c>
      <c r="S2" s="179">
        <f>Summary!W6/Summary!$Z$6</f>
        <v>0.24642828774380873</v>
      </c>
      <c r="T2" s="179">
        <f>Summary!X6/Summary!$Z$6</f>
        <v>4.3321701427400184E-3</v>
      </c>
      <c r="U2" s="179">
        <f>Summary!Y6/Summary!$Z$6</f>
        <v>5.6609982669961819E-4</v>
      </c>
      <c r="AJ2" s="41">
        <f>AJ10/C_RATE</f>
        <v>47192.713899094248</v>
      </c>
      <c r="AO2" s="41">
        <f>AO10/C_RATE</f>
        <v>40305.689258302722</v>
      </c>
      <c r="AU2">
        <f>AU10/C_RATE</f>
        <v>19250.727612673239</v>
      </c>
      <c r="BA2">
        <f>BA10/C_RATE</f>
        <v>29617.967778545706</v>
      </c>
    </row>
    <row r="3" spans="1:55" ht="17" thickBot="1" x14ac:dyDescent="0.25">
      <c r="A3" s="39"/>
      <c r="C3" s="359" t="s">
        <v>1682</v>
      </c>
      <c r="D3" s="206"/>
      <c r="E3" s="347">
        <v>0.49020000000000002</v>
      </c>
      <c r="F3" s="347">
        <v>0.47860000000000003</v>
      </c>
      <c r="G3" s="347">
        <v>1.5299999999999999E-2</v>
      </c>
      <c r="H3" s="347">
        <v>1.5900000000000001E-2</v>
      </c>
      <c r="I3" s="209"/>
      <c r="K3" s="158"/>
      <c r="L3" s="159">
        <f>Summary!$C$2</f>
        <v>46142</v>
      </c>
      <c r="M3" s="160"/>
      <c r="N3" s="160"/>
      <c r="O3" s="160"/>
      <c r="P3" s="163" t="s">
        <v>1356</v>
      </c>
      <c r="Q3" s="433" t="s">
        <v>1357</v>
      </c>
      <c r="R3" s="434"/>
      <c r="S3" s="434"/>
      <c r="T3" s="434"/>
      <c r="U3" s="435"/>
      <c r="V3" s="40">
        <f>Q5+V5</f>
        <v>-492590529.5302012</v>
      </c>
      <c r="W3" s="219" t="s">
        <v>1434</v>
      </c>
      <c r="X3" s="163" t="s">
        <v>1358</v>
      </c>
      <c r="Y3" s="433" t="s">
        <v>1433</v>
      </c>
      <c r="Z3" s="434"/>
      <c r="AA3" s="434"/>
      <c r="AB3" s="434"/>
      <c r="AC3" s="435"/>
      <c r="AI3" s="153" t="s">
        <v>1329</v>
      </c>
      <c r="AJ3" s="154" t="s">
        <v>1332</v>
      </c>
      <c r="AK3" s="154" t="s">
        <v>1333</v>
      </c>
      <c r="AL3" s="154" t="s">
        <v>1683</v>
      </c>
      <c r="AM3" s="154" t="s">
        <v>1334</v>
      </c>
      <c r="AN3" s="154" t="s">
        <v>1335</v>
      </c>
      <c r="AO3" s="154" t="s">
        <v>1336</v>
      </c>
      <c r="AP3" s="154" t="s">
        <v>1337</v>
      </c>
      <c r="AQ3" s="154" t="s">
        <v>1455</v>
      </c>
      <c r="AR3" s="154" t="s">
        <v>1338</v>
      </c>
      <c r="AS3" s="154" t="s">
        <v>1339</v>
      </c>
      <c r="AT3" s="154" t="s">
        <v>1340</v>
      </c>
      <c r="AU3" s="154" t="s">
        <v>1341</v>
      </c>
      <c r="AV3" s="154" t="s">
        <v>636</v>
      </c>
      <c r="AW3" s="154" t="s">
        <v>1342</v>
      </c>
      <c r="AX3" s="154" t="s">
        <v>1343</v>
      </c>
      <c r="AY3" s="154" t="s">
        <v>741</v>
      </c>
      <c r="AZ3" s="154" t="s">
        <v>1344</v>
      </c>
      <c r="BA3" s="154" t="s">
        <v>1345</v>
      </c>
      <c r="BB3" s="154" t="s">
        <v>1346</v>
      </c>
      <c r="BC3" s="155" t="s">
        <v>1329</v>
      </c>
    </row>
    <row r="4" spans="1:55" ht="15" customHeight="1" thickBot="1" x14ac:dyDescent="0.25">
      <c r="A4">
        <f>(6996.16*'FX Rate'!AJ7)+579439.3</f>
        <v>10720303.258400001</v>
      </c>
      <c r="C4" s="206"/>
      <c r="D4" s="348"/>
      <c r="E4" s="436" t="s">
        <v>1651</v>
      </c>
      <c r="F4" s="437"/>
      <c r="G4" s="437"/>
      <c r="H4" s="438"/>
      <c r="I4" s="349" t="s">
        <v>1439</v>
      </c>
      <c r="K4" s="161"/>
      <c r="L4" s="82" t="s">
        <v>1327</v>
      </c>
      <c r="M4" s="82" t="s">
        <v>1302</v>
      </c>
      <c r="N4" s="82" t="s">
        <v>1328</v>
      </c>
      <c r="O4" s="82" t="s">
        <v>1331</v>
      </c>
      <c r="P4" s="164" t="s">
        <v>1296</v>
      </c>
      <c r="Q4" s="165" t="s">
        <v>1330</v>
      </c>
      <c r="R4" s="82" t="s">
        <v>1292</v>
      </c>
      <c r="S4" s="82" t="s">
        <v>1293</v>
      </c>
      <c r="T4" s="82" t="s">
        <v>1294</v>
      </c>
      <c r="U4" s="162" t="s">
        <v>1295</v>
      </c>
      <c r="V4" s="40">
        <f>V3/C_RATE</f>
        <v>-358364.94091171742</v>
      </c>
      <c r="W4" s="220"/>
      <c r="X4" s="164" t="s">
        <v>1296</v>
      </c>
      <c r="Y4" s="165" t="s">
        <v>1330</v>
      </c>
      <c r="Z4" s="82" t="s">
        <v>1292</v>
      </c>
      <c r="AA4" s="82" t="s">
        <v>1293</v>
      </c>
      <c r="AB4" s="82" t="s">
        <v>1294</v>
      </c>
      <c r="AC4" s="162" t="s">
        <v>1295</v>
      </c>
      <c r="AI4" s="144" t="s">
        <v>75</v>
      </c>
      <c r="AJ4" s="376">
        <f>AO23</f>
        <v>39156019.549999997</v>
      </c>
      <c r="AK4" s="109"/>
      <c r="AL4" s="109"/>
      <c r="AM4" s="109"/>
      <c r="AN4" s="109"/>
      <c r="AO4" s="109" t="s">
        <v>1349</v>
      </c>
      <c r="AP4" s="109"/>
      <c r="AQ4" s="109"/>
      <c r="AR4" s="109"/>
      <c r="AS4" s="109"/>
      <c r="AT4" s="109"/>
      <c r="AU4" s="109"/>
      <c r="AV4" s="109"/>
      <c r="AW4" s="109"/>
      <c r="AX4" s="109"/>
      <c r="AY4" s="109" t="s">
        <v>1349</v>
      </c>
      <c r="AZ4" s="109"/>
      <c r="BA4" s="109"/>
      <c r="BB4" s="110">
        <f t="shared" ref="BB4:BB9" si="0">SUM(AJ4:BA4)</f>
        <v>39156019.549999997</v>
      </c>
      <c r="BC4" s="151" t="s">
        <v>1348</v>
      </c>
    </row>
    <row r="5" spans="1:55" ht="16" thickBot="1" x14ac:dyDescent="0.25">
      <c r="A5">
        <f>(6461.58*C_RATE)+541402.29</f>
        <v>9423167.0789999999</v>
      </c>
      <c r="C5" s="209"/>
      <c r="D5" s="212"/>
      <c r="E5" s="350" t="s">
        <v>1652</v>
      </c>
      <c r="F5" s="350" t="s">
        <v>1653</v>
      </c>
      <c r="G5" s="350" t="s">
        <v>1654</v>
      </c>
      <c r="H5" s="350" t="s">
        <v>1655</v>
      </c>
      <c r="I5" s="350" t="s">
        <v>1656</v>
      </c>
      <c r="K5" s="145" t="s">
        <v>5</v>
      </c>
      <c r="L5" s="87">
        <f>SUMIFS(INDEX(PL_NG!$C:$AM, MATCH($K5,PL_NG!$C:$C, 0), ),PL_NG!$C$3:$AM$3, "&gt;="&amp;DATE(YEAR($L$3),1,1),PL_NG!$C$3:$AM$3, "&lt;="&amp;$L$3)</f>
        <v>-505258465.07999998</v>
      </c>
      <c r="M5" s="87">
        <f>SUMIFS(INDEX(PL_UK!$C:$AM, MATCH($K5,PL_UK!$C:$C, 0), ),PL_UK!$C$3:$AM$3, "&gt;="&amp;DATE(YEAR($L$3),1,1),PL_UK!$C$3:$AM$3, "&lt;="&amp;$L$3)</f>
        <v>-10518261.048799999</v>
      </c>
      <c r="N5" s="87">
        <f>SUMIFS(INDEX(PL_UAE!$C:$AM, MATCH($K5,PL_UAE!$C:$C, 0), ),PL_UAE!$C$3:$AM$3, "&gt;="&amp;DATE(YEAR($L$3),1,1),PL_UAE!$C$3:$AM$3, "&lt;="&amp;$L$3)</f>
        <v>0</v>
      </c>
      <c r="O5" s="90">
        <f>SUM(L5:N5)</f>
        <v>-515776726.12879997</v>
      </c>
      <c r="P5" s="87">
        <f>-BB9+SUM(PL_UK!P15:AA15)</f>
        <v>-23186196.598598797</v>
      </c>
      <c r="Q5" s="87">
        <f>SUM(R5:U5)</f>
        <v>-822634814.07360053</v>
      </c>
      <c r="R5" s="87" cm="1">
        <f t="array" ref="R5">-BB6+SUM(PL_UK!P21:AA21-PL_UK!P15:AA15)</f>
        <v>-216976584.70077172</v>
      </c>
      <c r="S5" s="87">
        <f>-BB7</f>
        <v>-483267023.60207683</v>
      </c>
      <c r="T5" s="87">
        <f>-BB8</f>
        <v>-75346210.990775496</v>
      </c>
      <c r="U5" s="142">
        <f>-BB5-BB4</f>
        <v>-47044994.779976524</v>
      </c>
      <c r="V5" s="40">
        <f>O5-P5-Q5</f>
        <v>330044284.54339933</v>
      </c>
      <c r="W5" s="87">
        <f>X5+Y5</f>
        <v>-615343.93850511033</v>
      </c>
      <c r="X5" s="87">
        <f>P5/Summary!$F$3</f>
        <v>-16868.208940088611</v>
      </c>
      <c r="Y5" s="87">
        <f>Q5/Summary!$F$3</f>
        <v>-598475.7295650217</v>
      </c>
      <c r="Z5" s="87">
        <f>R5/Summary!$F$3</f>
        <v>-157852.81343041122</v>
      </c>
      <c r="AA5" s="87">
        <f>S5/Summary!$F$3</f>
        <v>-351581.98945260403</v>
      </c>
      <c r="AB5" s="87">
        <f>T5/Summary!$F$3</f>
        <v>-54815.183871649264</v>
      </c>
      <c r="AC5" s="87">
        <f>U5/Summary!$F$3</f>
        <v>-34225.742810357224</v>
      </c>
      <c r="AI5" s="144" t="s">
        <v>1350</v>
      </c>
      <c r="AJ5" s="109"/>
      <c r="AK5" s="109"/>
      <c r="AL5" s="109"/>
      <c r="AM5" s="109"/>
      <c r="AN5" s="109"/>
      <c r="AO5" s="109">
        <f>24077.84+AP19</f>
        <v>43359.439976529568</v>
      </c>
      <c r="AP5" s="109"/>
      <c r="AQ5" s="109"/>
      <c r="AR5" s="109"/>
      <c r="AS5" s="109"/>
      <c r="AT5" s="109"/>
      <c r="AU5" s="109">
        <v>869300</v>
      </c>
      <c r="AV5" s="109"/>
      <c r="AW5" s="109"/>
      <c r="AX5" s="109"/>
      <c r="AY5" s="109">
        <v>6976315.79</v>
      </c>
      <c r="AZ5" s="109" t="s">
        <v>1349</v>
      </c>
      <c r="BA5" s="109"/>
      <c r="BB5" s="110">
        <f t="shared" si="0"/>
        <v>7888975.2299765293</v>
      </c>
      <c r="BC5" s="151" t="s">
        <v>1350</v>
      </c>
    </row>
    <row r="6" spans="1:55" ht="16" thickBot="1" x14ac:dyDescent="0.25">
      <c r="A6" s="216">
        <f>A4+A5</f>
        <v>20143470.337400001</v>
      </c>
      <c r="B6" s="272"/>
      <c r="C6" s="360" t="s">
        <v>1657</v>
      </c>
      <c r="D6" s="352" t="s">
        <v>1658</v>
      </c>
      <c r="E6" s="352">
        <v>-10582379</v>
      </c>
      <c r="F6" s="352">
        <v>92021816</v>
      </c>
      <c r="G6" s="352">
        <v>718018</v>
      </c>
      <c r="H6" s="352">
        <v>4034071</v>
      </c>
      <c r="I6" s="352">
        <v>2228688178</v>
      </c>
      <c r="J6" s="272"/>
      <c r="K6" s="145" t="s">
        <v>8</v>
      </c>
      <c r="L6" s="87">
        <f>SUMIFS(INDEX(PL_NG!$C:$AM, MATCH($K6,PL_NG!$C:$C, 0), ),PL_NG!$C$3:$AM$3, "&gt;="&amp;DATE(YEAR($L$3),1,1),PL_NG!$C$3:$AM$3, "&lt;="&amp;$L$3)</f>
        <v>72436508.699999988</v>
      </c>
      <c r="M6" s="87">
        <f>SUMIFS(INDEX(PL_UK!$C:$AM, MATCH($K6,PL_UK!$C:$C, 0), ),PL_UK!$C$3:$AM$3, "&gt;="&amp;DATE(YEAR($L$3),1,1),PL_UK!$C$3:$AM$3, "&lt;="&amp;$L$3)</f>
        <v>0</v>
      </c>
      <c r="N6" s="87">
        <f>SUMIFS(INDEX(PL_UAE!$C:$AM, MATCH($K6,PL_UAE!$C:$C, 0), ),PL_UAE!$C$3:$AM$3, "&gt;="&amp;DATE(YEAR($L$3),1,1),PL_UAE!$C$3:$AM$3, "&lt;="&amp;$L$3)</f>
        <v>0</v>
      </c>
      <c r="O6" s="90">
        <f t="shared" ref="O6:O11" si="1">SUM(L6:N6)</f>
        <v>72436508.699999988</v>
      </c>
      <c r="P6" s="87">
        <f>191179580.18+31612210.13+14273255.29+A6</f>
        <v>257208515.93739998</v>
      </c>
      <c r="Q6" s="87">
        <f>O6-P6</f>
        <v>-184772007.2374</v>
      </c>
      <c r="R6" s="87">
        <f>$Q6*R$2</f>
        <v>-138333894.69665688</v>
      </c>
      <c r="S6" s="87">
        <f t="shared" ref="S6:U19" si="2">$Q6*S$2</f>
        <v>-45533049.366499119</v>
      </c>
      <c r="T6" s="87">
        <f t="shared" si="2"/>
        <v>-800463.77296800679</v>
      </c>
      <c r="U6" s="142">
        <f t="shared" si="2"/>
        <v>-104599.40127603273</v>
      </c>
      <c r="V6" s="40">
        <f t="shared" ref="V6:V21" si="3">O6-P6-Q6</f>
        <v>0</v>
      </c>
      <c r="W6" s="87">
        <f t="shared" ref="W6:W20" si="4">X6+Y6</f>
        <v>52698.343967116496</v>
      </c>
      <c r="X6" s="87">
        <f>P6/Summary!$F$3</f>
        <v>187121.9787838929</v>
      </c>
      <c r="Y6" s="87">
        <f>Q6/Summary!$F$3</f>
        <v>-134423.63481677641</v>
      </c>
      <c r="Z6" s="87">
        <f>R6/Summary!$F$3</f>
        <v>-100639.40540297325</v>
      </c>
      <c r="AA6" s="87">
        <f>S6/Summary!$F$3</f>
        <v>-33125.78616019724</v>
      </c>
      <c r="AB6" s="87">
        <f>T6/Summary!$F$3</f>
        <v>-582.34605723182631</v>
      </c>
      <c r="AC6" s="87">
        <f>U6/Summary!$F$3</f>
        <v>-76.097196374109885</v>
      </c>
      <c r="AI6" s="144" t="s">
        <v>1351</v>
      </c>
      <c r="AJ6" s="109"/>
      <c r="AK6" s="109">
        <f>1515475.43+1139710.61</f>
        <v>2655186.04</v>
      </c>
      <c r="AL6" s="376">
        <v>21753952.800000001</v>
      </c>
      <c r="AM6" s="109">
        <v>1569250</v>
      </c>
      <c r="AN6" s="376">
        <v>911050</v>
      </c>
      <c r="AO6" s="109">
        <f>8671609.8+674738.41+AP16</f>
        <v>34846482.897171199</v>
      </c>
      <c r="AP6" s="109"/>
      <c r="AQ6" s="376">
        <f>AP32</f>
        <v>1347891</v>
      </c>
      <c r="AR6" s="376">
        <v>569682.63</v>
      </c>
      <c r="AS6" s="376">
        <v>4354004.5999999996</v>
      </c>
      <c r="AT6" s="376">
        <v>11351780</v>
      </c>
      <c r="AU6" s="376"/>
      <c r="AV6" s="376">
        <f>175100+18000</f>
        <v>193100</v>
      </c>
      <c r="AW6" s="376">
        <v>67111.16</v>
      </c>
      <c r="AX6" s="376">
        <v>1705444.95</v>
      </c>
      <c r="AY6" s="376">
        <v>92561874.489999995</v>
      </c>
      <c r="AZ6" s="376">
        <v>7932306.2199999997</v>
      </c>
      <c r="BA6" s="376">
        <f>AP40</f>
        <v>16680059</v>
      </c>
      <c r="BB6" s="110">
        <f t="shared" si="0"/>
        <v>198499175.78717121</v>
      </c>
      <c r="BC6" s="151" t="s">
        <v>1351</v>
      </c>
    </row>
    <row r="7" spans="1:55" ht="16" thickBot="1" x14ac:dyDescent="0.25">
      <c r="C7" s="351" t="s">
        <v>1659</v>
      </c>
      <c r="D7" s="352" t="s">
        <v>1660</v>
      </c>
      <c r="E7" s="352"/>
      <c r="F7" s="352"/>
      <c r="G7" s="352"/>
      <c r="H7" s="352"/>
      <c r="I7" s="352"/>
      <c r="K7" s="145" t="s">
        <v>125</v>
      </c>
      <c r="L7" s="87">
        <f>SUMIFS(INDEX(PL_NG!$C:$AM, MATCH($K7,PL_NG!$C:$C, 0), ),PL_NG!$C$3:$AM$3, "&gt;="&amp;DATE(YEAR($L$3),1,1),PL_NG!$C$3:$AM$3, "&lt;="&amp;$L$3)-M43</f>
        <v>-698582209.07999992</v>
      </c>
      <c r="M7" s="87">
        <f>SUMIFS(INDEX(PL_UK!$C:$AM, MATCH($K7,PL_UK!$C:$C, 0), ),PL_UK!$C$3:$AM$3, "&gt;="&amp;DATE(YEAR($L$3),1,1),PL_UK!$C$3:$AM$3, "&lt;="&amp;$L$3)</f>
        <v>-116313237.70040001</v>
      </c>
      <c r="N7" s="87">
        <f>SUMIFS(INDEX(PL_UAE!$C:$AM, MATCH($K7,PL_UAE!$C:$C, 0), ),PL_UAE!$C$3:$AM$3, "&gt;="&amp;DATE(YEAR($L$3),1,1),PL_UAE!$C$3:$AM$3, "&lt;="&amp;$L$3)</f>
        <v>-82569863.25</v>
      </c>
      <c r="O7" s="90">
        <f t="shared" si="1"/>
        <v>-897465310.03039992</v>
      </c>
      <c r="P7" s="87">
        <f>M7+N7-T38-T39-M45-M46-M47</f>
        <v>-547012540.69232345</v>
      </c>
      <c r="Q7" s="87">
        <f>O7-P7</f>
        <v>-350452769.33807647</v>
      </c>
      <c r="R7" s="87">
        <f>$Q7*R$2</f>
        <v>-262374681.17926273</v>
      </c>
      <c r="S7" s="87">
        <f t="shared" si="2"/>
        <v>-86361475.883058146</v>
      </c>
      <c r="T7" s="87">
        <f t="shared" si="2"/>
        <v>-1518221.0237669696</v>
      </c>
      <c r="U7" s="142">
        <f t="shared" si="2"/>
        <v>-198391.25198868636</v>
      </c>
      <c r="V7" s="40">
        <f t="shared" si="3"/>
        <v>0</v>
      </c>
      <c r="W7" s="87">
        <f t="shared" si="4"/>
        <v>-652915.7251685278</v>
      </c>
      <c r="X7" s="87">
        <f>P7/Summary!$F$3</f>
        <v>-397957.54297211702</v>
      </c>
      <c r="Y7" s="87">
        <f>Q7/Summary!$F$3</f>
        <v>-254958.18219641081</v>
      </c>
      <c r="Z7" s="87">
        <f>R7/Summary!$F$3</f>
        <v>-190880.4199041597</v>
      </c>
      <c r="AA7" s="87">
        <f>S7/Summary!$F$3</f>
        <v>-62828.90828493554</v>
      </c>
      <c r="AB7" s="87">
        <f>T7/Summary!$F$3</f>
        <v>-1104.5222245585608</v>
      </c>
      <c r="AC7" s="87">
        <f>U7/Summary!$F$3</f>
        <v>-144.33178275703784</v>
      </c>
      <c r="AI7" s="144" t="s">
        <v>1352</v>
      </c>
      <c r="AJ7" s="109">
        <f>AQ23</f>
        <v>25223994.710000001</v>
      </c>
      <c r="AK7" s="109"/>
      <c r="AL7" s="109"/>
      <c r="AM7" s="109"/>
      <c r="AN7" s="109"/>
      <c r="AO7" s="109">
        <f>2958123.58+AP17</f>
        <v>11351575.482076775</v>
      </c>
      <c r="AP7" s="376">
        <v>2705483.35</v>
      </c>
      <c r="AQ7" s="109"/>
      <c r="AR7" s="109"/>
      <c r="AS7" s="109"/>
      <c r="AT7" s="109"/>
      <c r="AU7" s="109">
        <v>27499848.609999999</v>
      </c>
      <c r="AV7" s="109"/>
      <c r="AW7" s="109"/>
      <c r="AX7" s="109"/>
      <c r="AY7" s="109">
        <v>274978257.35000002</v>
      </c>
      <c r="AZ7" s="109">
        <v>117476545.48999999</v>
      </c>
      <c r="BA7" s="109">
        <f>AQ40</f>
        <v>24031318.609999999</v>
      </c>
      <c r="BB7" s="110">
        <f t="shared" si="0"/>
        <v>483267023.60207683</v>
      </c>
      <c r="BC7" s="151" t="s">
        <v>1352</v>
      </c>
    </row>
    <row r="8" spans="1:55" ht="16" thickBot="1" x14ac:dyDescent="0.25">
      <c r="C8" s="353" t="s">
        <v>1661</v>
      </c>
      <c r="D8" s="352">
        <v>87673898</v>
      </c>
      <c r="E8" s="352">
        <v>40830188</v>
      </c>
      <c r="F8" s="352">
        <v>43437617</v>
      </c>
      <c r="G8" s="352">
        <v>2134254</v>
      </c>
      <c r="H8" s="352">
        <v>1271839</v>
      </c>
      <c r="I8" s="352">
        <v>0</v>
      </c>
      <c r="K8" s="145" t="s">
        <v>127</v>
      </c>
      <c r="L8" s="87">
        <f>SUMIFS(INDEX(PL_NG!$C:$AM, MATCH($K8,PL_NG!$C:$C, 0), ),PL_NG!$C$3:$AM$3, "&gt;="&amp;DATE(YEAR($L$3),1,1),PL_NG!$C$3:$AM$3, "&lt;="&amp;$L$3)</f>
        <v>-7945020.4399999995</v>
      </c>
      <c r="M8" s="87">
        <f>SUMIFS(INDEX(PL_UK!$C:$AM, MATCH($K8,PL_UK!$C:$C, 0), ),PL_UK!$C$3:$AM$3, "&gt;="&amp;DATE(YEAR($L$3),1,1),PL_UK!$C$3:$AM$3, "&lt;="&amp;$L$3)</f>
        <v>0</v>
      </c>
      <c r="N8" s="87">
        <f>SUMIFS(INDEX(PL_UAE!$C:$AM, MATCH($K8,PL_UAE!$C:$C, 0), ),PL_UAE!$C$3:$AM$3, "&gt;="&amp;DATE(YEAR($L$3),1,1),PL_UAE!$C$3:$AM$3, "&lt;="&amp;$L$3)</f>
        <v>0</v>
      </c>
      <c r="O8" s="90">
        <f t="shared" si="1"/>
        <v>-7945020.4399999995</v>
      </c>
      <c r="P8" s="87">
        <f>M8+N8+($P$2*$L8)</f>
        <v>-2383506.1319999998</v>
      </c>
      <c r="Q8" s="87">
        <f>$Q$2*L8</f>
        <v>-5561514.3079999993</v>
      </c>
      <c r="R8" s="87">
        <f>$Q8*R$2</f>
        <v>-4163758.0612973818</v>
      </c>
      <c r="S8" s="87">
        <f t="shared" si="2"/>
        <v>-1370514.448183133</v>
      </c>
      <c r="T8" s="87">
        <f t="shared" si="2"/>
        <v>-24093.426233539012</v>
      </c>
      <c r="U8" s="142">
        <f t="shared" si="2"/>
        <v>-3148.3722859462464</v>
      </c>
      <c r="V8" s="40">
        <f>O8-P8-Q8</f>
        <v>0</v>
      </c>
      <c r="W8" s="87">
        <f t="shared" si="4"/>
        <v>-5780.0883489141897</v>
      </c>
      <c r="X8" s="87">
        <f>P8/Summary!$F$3</f>
        <v>-1734.026504674257</v>
      </c>
      <c r="Y8" s="87">
        <f>Q8/Summary!$F$3</f>
        <v>-4046.0618442399327</v>
      </c>
      <c r="Z8" s="87">
        <f>R8/Summary!$F$3</f>
        <v>-3029.1790486321938</v>
      </c>
      <c r="AA8" s="87">
        <f>S8/Summary!$F$3</f>
        <v>-997.06409238160347</v>
      </c>
      <c r="AB8" s="87">
        <f>T8/Summary!$F$3</f>
        <v>-17.528228317295852</v>
      </c>
      <c r="AC8" s="87">
        <f>U8/Summary!$F$3</f>
        <v>-2.2904749088401632</v>
      </c>
      <c r="AI8" s="144" t="s">
        <v>1695</v>
      </c>
      <c r="AJ8" s="109">
        <v>0</v>
      </c>
      <c r="AK8" s="109"/>
      <c r="AL8" s="109"/>
      <c r="AM8" s="109"/>
      <c r="AN8" s="109"/>
      <c r="AO8" s="109">
        <f>9013211.8+AP18</f>
        <v>9160767.3507755026</v>
      </c>
      <c r="AP8" s="109"/>
      <c r="AQ8" s="109"/>
      <c r="AR8" s="109"/>
      <c r="AS8" s="109"/>
      <c r="AT8" s="109"/>
      <c r="AU8" s="109">
        <v>-1908060.97</v>
      </c>
      <c r="AV8" s="109"/>
      <c r="AW8" s="109"/>
      <c r="AX8" s="109"/>
      <c r="AY8" s="109">
        <v>68093504.609999999</v>
      </c>
      <c r="AZ8" s="109"/>
      <c r="BA8" s="109"/>
      <c r="BB8" s="110">
        <f t="shared" si="0"/>
        <v>75346210.990775496</v>
      </c>
      <c r="BC8" s="151" t="s">
        <v>1308</v>
      </c>
    </row>
    <row r="9" spans="1:55" ht="16" thickBot="1" x14ac:dyDescent="0.25">
      <c r="C9" s="353" t="s">
        <v>1662</v>
      </c>
      <c r="D9" s="352">
        <v>109031905</v>
      </c>
      <c r="E9" s="352">
        <v>50776722</v>
      </c>
      <c r="F9" s="352">
        <v>54019341</v>
      </c>
      <c r="G9" s="352">
        <v>2654174</v>
      </c>
      <c r="H9" s="352">
        <v>1581668</v>
      </c>
      <c r="I9" s="352">
        <v>0</v>
      </c>
      <c r="K9" s="145" t="s">
        <v>129</v>
      </c>
      <c r="L9" s="87">
        <f>SUMIFS(INDEX(PL_NG!$C:$AM, MATCH($K9,PL_NG!$C:$C, 0), ),PL_NG!$C$3:$AM$3, "&gt;="&amp;DATE(YEAR($L$3),1,1),PL_NG!$C$3:$AM$3, "&lt;="&amp;$L$3)+M43</f>
        <v>17964044.820000008</v>
      </c>
      <c r="M9" s="87">
        <f>SUMIFS(INDEX(PL_UK!$C:$AM, MATCH($K9,PL_UK!$C:$C, 0), ),PL_UK!$C$3:$AM$3, "&gt;="&amp;DATE(YEAR($L$3),1,1),PL_UK!$C$3:$AM$3, "&lt;="&amp;$L$3)</f>
        <v>-1397450.3679999998</v>
      </c>
      <c r="N9" s="87">
        <f>SUMIFS(INDEX(PL_UAE!$C:$AM, MATCH($K9,PL_UAE!$C:$C, 0), ),PL_UAE!$C$3:$AM$3, "&gt;="&amp;DATE(YEAR($L$3),1,1),PL_UAE!$C$3:$AM$3, "&lt;="&amp;$L$3)</f>
        <v>0</v>
      </c>
      <c r="O9" s="90">
        <f t="shared" si="1"/>
        <v>16566594.452000007</v>
      </c>
      <c r="P9" s="87">
        <f>O9-Q9</f>
        <v>85536881.897200003</v>
      </c>
      <c r="Q9" s="87">
        <f>R9</f>
        <v>-68970287.445199996</v>
      </c>
      <c r="R9" s="87">
        <f>-T44+T46-T45+PL_UK!AT80-T47</f>
        <v>-68970287.445199996</v>
      </c>
      <c r="S9" s="87">
        <v>0</v>
      </c>
      <c r="T9" s="87">
        <v>0</v>
      </c>
      <c r="U9" s="142">
        <v>0</v>
      </c>
      <c r="V9" s="40">
        <f t="shared" si="3"/>
        <v>0</v>
      </c>
      <c r="W9" s="87">
        <f t="shared" si="4"/>
        <v>12052.376742934059</v>
      </c>
      <c r="X9" s="87">
        <f>P9/Summary!$F$3</f>
        <v>62229.007236695652</v>
      </c>
      <c r="Y9" s="87">
        <f>Q9/Summary!$F$3</f>
        <v>-50176.630493761593</v>
      </c>
      <c r="Z9" s="87">
        <f>R9/Summary!$F$3</f>
        <v>-50176.630493761593</v>
      </c>
      <c r="AA9" s="87">
        <f>S9/Summary!$F$3</f>
        <v>0</v>
      </c>
      <c r="AB9" s="87">
        <f>T9/Summary!$F$3</f>
        <v>0</v>
      </c>
      <c r="AC9" s="87">
        <f>U9/Summary!$F$3</f>
        <v>0</v>
      </c>
      <c r="AI9" s="144" t="s">
        <v>1353</v>
      </c>
      <c r="AJ9" s="109">
        <v>488730.63</v>
      </c>
      <c r="AK9" s="109"/>
      <c r="AL9" s="109"/>
      <c r="AM9" s="109"/>
      <c r="AN9" s="109"/>
      <c r="AO9" s="109"/>
      <c r="AP9" s="109"/>
      <c r="AQ9" s="376">
        <f>AK32</f>
        <v>74991.16</v>
      </c>
      <c r="AR9" s="376"/>
      <c r="AS9" s="376"/>
      <c r="AT9" s="376">
        <v>0</v>
      </c>
      <c r="AU9" s="376"/>
      <c r="AV9" s="376"/>
      <c r="AW9" s="376"/>
      <c r="AX9" s="376"/>
      <c r="AY9" s="376"/>
      <c r="AZ9" s="376"/>
      <c r="BA9" s="376"/>
      <c r="BB9" s="110">
        <f t="shared" si="0"/>
        <v>563721.79</v>
      </c>
      <c r="BC9" s="151" t="s">
        <v>1353</v>
      </c>
    </row>
    <row r="10" spans="1:55" ht="16" thickBot="1" x14ac:dyDescent="0.25">
      <c r="C10" s="353" t="s">
        <v>1663</v>
      </c>
      <c r="D10" s="352">
        <v>1294991915</v>
      </c>
      <c r="E10" s="352">
        <v>623794239</v>
      </c>
      <c r="F10" s="352">
        <v>663629946</v>
      </c>
      <c r="G10" s="352">
        <v>32606641</v>
      </c>
      <c r="H10" s="352">
        <v>19430857</v>
      </c>
      <c r="I10" s="352">
        <v>0</v>
      </c>
      <c r="K10" s="145" t="s">
        <v>131</v>
      </c>
      <c r="L10" s="87">
        <f>SUMIFS(INDEX(PL_NG!$C:$AM, MATCH($K10,PL_NG!$C:$C, 0), ),PL_NG!$C$3:$AM$3, "&gt;="&amp;DATE(YEAR($L$3),1,1),PL_NG!$C$3:$AM$3, "&lt;="&amp;$L$3)</f>
        <v>-165120283.16</v>
      </c>
      <c r="M10" s="87">
        <f>SUMIFS(INDEX(PL_UK!$C:$AM, MATCH($K10,PL_UK!$C:$C, 0), ),PL_UK!$C$3:$AM$3, "&gt;="&amp;DATE(YEAR($L$3),1,1),PL_UK!$C$3:$AM$3, "&lt;="&amp;$L$3)</f>
        <v>-8287668.6983999992</v>
      </c>
      <c r="N10" s="87">
        <f>SUMIFS(INDEX(PL_UAE!$C:$AM, MATCH($K10,PL_UAE!$C:$C, 0), ),PL_UAE!$C$3:$AM$3, "&gt;="&amp;DATE(YEAR($L$3),1,1),PL_UAE!$C$3:$AM$3, "&lt;="&amp;$L$3)</f>
        <v>-2890110.8460600004</v>
      </c>
      <c r="O10" s="90">
        <f t="shared" si="1"/>
        <v>-176298062.70446</v>
      </c>
      <c r="P10" s="87">
        <f>M10+N10+($P$2*$L10)</f>
        <v>-60713864.492459998</v>
      </c>
      <c r="Q10" s="87">
        <f>$Q$2*L10</f>
        <v>-115584198.212</v>
      </c>
      <c r="R10" s="87">
        <f t="shared" ref="R10:R19" si="5">$Q10*R$2</f>
        <v>-86534819.549332261</v>
      </c>
      <c r="S10" s="87">
        <f t="shared" si="2"/>
        <v>-28483216.055624157</v>
      </c>
      <c r="T10" s="87">
        <f t="shared" si="2"/>
        <v>-500730.41246657062</v>
      </c>
      <c r="U10" s="142">
        <f t="shared" si="2"/>
        <v>-65432.19457702752</v>
      </c>
      <c r="V10" s="40">
        <f t="shared" si="3"/>
        <v>0</v>
      </c>
      <c r="W10" s="87">
        <f t="shared" si="4"/>
        <v>-128258.74846637809</v>
      </c>
      <c r="X10" s="87">
        <f>P10/Summary!$F$3</f>
        <v>-44169.993446917171</v>
      </c>
      <c r="Y10" s="87">
        <f>Q10/Summary!$F$3</f>
        <v>-84088.755019460921</v>
      </c>
      <c r="Z10" s="87">
        <f>R10/Summary!$F$3</f>
        <v>-62955.017678027179</v>
      </c>
      <c r="AA10" s="87">
        <f>S10/Summary!$F$3</f>
        <v>-20721.847917954354</v>
      </c>
      <c r="AB10" s="87">
        <f>T10/Summary!$F$3</f>
        <v>-364.28679383548842</v>
      </c>
      <c r="AC10" s="87">
        <f>U10/Summary!$F$3</f>
        <v>-47.602629643903477</v>
      </c>
      <c r="AI10" s="156" t="s">
        <v>1347</v>
      </c>
      <c r="AJ10" s="157">
        <f>SUM(AJ4:AJ9)</f>
        <v>64868744.890000001</v>
      </c>
      <c r="AK10" s="157">
        <f t="shared" ref="AK10:BB10" si="6">SUM(AK4:AK9)</f>
        <v>2655186.04</v>
      </c>
      <c r="AL10" s="157">
        <f t="shared" si="6"/>
        <v>21753952.800000001</v>
      </c>
      <c r="AM10" s="157">
        <f t="shared" si="6"/>
        <v>1569250</v>
      </c>
      <c r="AN10" s="157">
        <f t="shared" si="6"/>
        <v>911050</v>
      </c>
      <c r="AO10" s="157">
        <f t="shared" si="6"/>
        <v>55402185.170000009</v>
      </c>
      <c r="AP10" s="157">
        <f t="shared" si="6"/>
        <v>2705483.35</v>
      </c>
      <c r="AQ10" s="157">
        <f t="shared" si="6"/>
        <v>1422882.16</v>
      </c>
      <c r="AR10" s="157">
        <f t="shared" si="6"/>
        <v>569682.63</v>
      </c>
      <c r="AS10" s="157">
        <f t="shared" si="6"/>
        <v>4354004.5999999996</v>
      </c>
      <c r="AT10" s="157">
        <f t="shared" si="6"/>
        <v>11351780</v>
      </c>
      <c r="AU10" s="157">
        <f t="shared" si="6"/>
        <v>26461087.640000001</v>
      </c>
      <c r="AV10" s="157">
        <f t="shared" si="6"/>
        <v>193100</v>
      </c>
      <c r="AW10" s="157">
        <f t="shared" si="6"/>
        <v>67111.16</v>
      </c>
      <c r="AX10" s="157">
        <f t="shared" si="6"/>
        <v>1705444.95</v>
      </c>
      <c r="AY10" s="157">
        <f t="shared" si="6"/>
        <v>442609952.24000001</v>
      </c>
      <c r="AZ10" s="157">
        <f t="shared" si="6"/>
        <v>125408851.70999999</v>
      </c>
      <c r="BA10" s="157">
        <f t="shared" si="6"/>
        <v>40711377.609999999</v>
      </c>
      <c r="BB10" s="157">
        <f t="shared" si="6"/>
        <v>804721126.94999993</v>
      </c>
      <c r="BC10" s="152" t="s">
        <v>1347</v>
      </c>
    </row>
    <row r="11" spans="1:55" ht="16" thickBot="1" x14ac:dyDescent="0.25">
      <c r="C11" s="353" t="s">
        <v>1664</v>
      </c>
      <c r="D11" s="352">
        <v>123625</v>
      </c>
      <c r="E11" s="352">
        <v>57573</v>
      </c>
      <c r="F11" s="352">
        <v>61249</v>
      </c>
      <c r="G11" s="352">
        <v>3009</v>
      </c>
      <c r="H11" s="352">
        <v>1793</v>
      </c>
      <c r="I11" s="352">
        <v>0</v>
      </c>
      <c r="K11" s="145" t="s">
        <v>748</v>
      </c>
      <c r="L11" s="87">
        <f>SUMIFS(INDEX(PL_NG!$C:$AM, MATCH($K11,PL_NG!$C:$C, 0), ),PL_NG!$C$3:$AM$3, "&gt;="&amp;DATE(YEAR($L$3),1,1),PL_NG!$C$3:$AM$3, "&lt;="&amp;$L$3)</f>
        <v>-58819076.850000001</v>
      </c>
      <c r="M11" s="87">
        <f>SUMIFS(INDEX(PL_UK!$C:$AM, MATCH($K11,PL_UK!$C:$C, 0), ),PL_UK!$C$3:$AM$3, "&gt;="&amp;DATE(YEAR($L$3),1,1),PL_UK!$C$3:$AM$3, "&lt;="&amp;$L$3)</f>
        <v>-21656986.080399998</v>
      </c>
      <c r="N11" s="87">
        <f>SUMIFS(INDEX(PL_UAE!$C:$AM, MATCH($K11,PL_UAE!$C:$C, 0), ),PL_UAE!$C$3:$AM$3, "&gt;="&amp;DATE(YEAR($L$3),1,1),PL_UAE!$C$3:$AM$3, "&lt;="&amp;$L$3)</f>
        <v>0</v>
      </c>
      <c r="O11" s="90">
        <f t="shared" si="1"/>
        <v>-80476062.930399999</v>
      </c>
      <c r="P11" s="87">
        <f>M11+N11+($P$2*$L11)</f>
        <v>-39302709.135399997</v>
      </c>
      <c r="Q11" s="87">
        <f>$Q$2*L11</f>
        <v>-41173353.795000002</v>
      </c>
      <c r="R11" s="87">
        <f t="shared" si="5"/>
        <v>-30825396.516192947</v>
      </c>
      <c r="S11" s="87">
        <f t="shared" si="2"/>
        <v>-10146279.076371899</v>
      </c>
      <c r="T11" s="87">
        <f t="shared" si="2"/>
        <v>-178369.97398717044</v>
      </c>
      <c r="U11" s="142">
        <f t="shared" si="2"/>
        <v>-23308.228447991569</v>
      </c>
      <c r="V11" s="40">
        <f t="shared" si="3"/>
        <v>0</v>
      </c>
      <c r="W11" s="87">
        <f t="shared" si="4"/>
        <v>-58547.20667156524</v>
      </c>
      <c r="X11" s="87">
        <f>P11/Summary!$F$3</f>
        <v>-28593.146219053506</v>
      </c>
      <c r="Y11" s="87">
        <f>Q11/Summary!$F$3</f>
        <v>-29954.060452511734</v>
      </c>
      <c r="Z11" s="87">
        <f>R11/Summary!$F$3</f>
        <v>-22425.809549447418</v>
      </c>
      <c r="AA11" s="87">
        <f>S11/Summary!$F$3</f>
        <v>-7381.5278282870022</v>
      </c>
      <c r="AB11" s="87">
        <f>T11/Summary!$F$3</f>
        <v>-129.76608634620089</v>
      </c>
      <c r="AC11" s="87">
        <f>U11/Summary!$F$3</f>
        <v>-16.95698843111678</v>
      </c>
      <c r="BB11" s="45">
        <f>L5+BB10</f>
        <v>299462661.86999995</v>
      </c>
    </row>
    <row r="12" spans="1:55" ht="16" thickBot="1" x14ac:dyDescent="0.25">
      <c r="C12" s="353" t="s">
        <v>1665</v>
      </c>
      <c r="D12" s="352">
        <v>1004188889</v>
      </c>
      <c r="E12" s="352">
        <v>184064111</v>
      </c>
      <c r="F12" s="352">
        <v>195818506</v>
      </c>
      <c r="G12" s="352">
        <v>9621301</v>
      </c>
      <c r="H12" s="352">
        <v>5733499</v>
      </c>
      <c r="I12" s="352">
        <v>0</v>
      </c>
      <c r="K12" s="145" t="s">
        <v>134</v>
      </c>
      <c r="L12" s="87">
        <f>SUMIFS(INDEX(PL_NG!$C:$AM, MATCH($K12,PL_NG!$C:$C, 0), ),PL_NG!$C$3:$AM$3, "&gt;="&amp;DATE(YEAR($L$3),1,1),PL_NG!$C$3:$AM$3, "&lt;="&amp;$L$3)</f>
        <v>-783845.75</v>
      </c>
      <c r="M12" s="87">
        <f>SUMIFS(INDEX(PL_UK!$C:$AM, MATCH($K12,PL_UK!$C:$C, 0), ),PL_UK!$C$3:$AM$3, "&gt;="&amp;DATE(YEAR($L$3),1,1),PL_UK!$C$3:$AM$3, "&lt;="&amp;$L$3)</f>
        <v>-1930318.0109999999</v>
      </c>
      <c r="N12" s="87">
        <f>SUMIFS(INDEX(PL_UAE!$C:$AM, MATCH($K12,PL_UAE!$C:$C, 0), ),PL_UAE!$C$3:$AM$3, "&gt;="&amp;DATE(YEAR($L$3),1,1),PL_UAE!$C$3:$AM$3, "&lt;="&amp;$L$3)</f>
        <v>0</v>
      </c>
      <c r="O12" s="90">
        <f t="shared" ref="O12:O20" si="7">SUM(L12:N12)</f>
        <v>-2714163.7609999999</v>
      </c>
      <c r="P12" s="87">
        <f>M12+N12</f>
        <v>-1930318.0109999999</v>
      </c>
      <c r="Q12" s="87">
        <f>L12</f>
        <v>-783845.75</v>
      </c>
      <c r="R12" s="87">
        <f t="shared" si="5"/>
        <v>-586844.49587434065</v>
      </c>
      <c r="S12" s="87">
        <f t="shared" si="2"/>
        <v>-193161.76602776157</v>
      </c>
      <c r="T12" s="87">
        <f t="shared" si="2"/>
        <v>-3395.7531546636569</v>
      </c>
      <c r="U12" s="142">
        <f t="shared" si="2"/>
        <v>-443.73494323423222</v>
      </c>
      <c r="V12" s="40">
        <f t="shared" si="3"/>
        <v>0</v>
      </c>
      <c r="W12" s="87">
        <f t="shared" si="4"/>
        <v>-1974.5835080571824</v>
      </c>
      <c r="X12" s="87">
        <f>P12/Summary!$F$3</f>
        <v>-1404.3272423702304</v>
      </c>
      <c r="Y12" s="87">
        <f>Q12/Summary!$F$3</f>
        <v>-570.25626568695213</v>
      </c>
      <c r="Z12" s="87">
        <f>R12/Summary!$F$3</f>
        <v>-426.93572141743891</v>
      </c>
      <c r="AA12" s="87">
        <f>S12/Summary!$F$3</f>
        <v>-140.52727512841409</v>
      </c>
      <c r="AB12" s="87">
        <f>T12/Summary!$F$3</f>
        <v>-2.4704471679194331</v>
      </c>
      <c r="AC12" s="87">
        <f>U12/Summary!$F$3</f>
        <v>-0.32282197317975497</v>
      </c>
      <c r="AJ12" s="139">
        <v>55301281.199999996</v>
      </c>
      <c r="AK12" s="139">
        <v>1515475.43</v>
      </c>
      <c r="AL12" s="139"/>
      <c r="AM12" s="139">
        <v>1569250</v>
      </c>
      <c r="AN12" s="139">
        <v>516500</v>
      </c>
      <c r="AO12" s="139">
        <v>35378929.950000003</v>
      </c>
      <c r="AP12" s="139">
        <v>1578281.25</v>
      </c>
      <c r="AQ12" s="139"/>
      <c r="AR12" s="139">
        <v>283290.63</v>
      </c>
      <c r="AS12" s="139">
        <v>2997714.8</v>
      </c>
      <c r="AT12" s="139">
        <v>7415161.1600000001</v>
      </c>
      <c r="AU12" s="139">
        <v>32257037.950000003</v>
      </c>
      <c r="AV12" s="139">
        <v>150100</v>
      </c>
      <c r="AW12" s="139">
        <v>45143.66</v>
      </c>
      <c r="AX12" s="139">
        <v>1225201.1499999999</v>
      </c>
      <c r="AY12" s="139">
        <v>271428807.65999997</v>
      </c>
      <c r="AZ12" s="139">
        <v>4760886.22</v>
      </c>
      <c r="BA12" s="139">
        <v>56125680.210000001</v>
      </c>
      <c r="BB12" s="139">
        <v>472590414.41999996</v>
      </c>
      <c r="BC12" t="s">
        <v>1347</v>
      </c>
    </row>
    <row r="13" spans="1:55" ht="16" thickBot="1" x14ac:dyDescent="0.25">
      <c r="C13" s="353" t="s">
        <v>1666</v>
      </c>
      <c r="D13" s="352">
        <v>91100302</v>
      </c>
      <c r="E13" s="352">
        <v>42425882</v>
      </c>
      <c r="F13" s="352">
        <v>45135213</v>
      </c>
      <c r="G13" s="352">
        <v>2217663</v>
      </c>
      <c r="H13" s="352">
        <v>1321544</v>
      </c>
      <c r="I13" s="352">
        <v>0</v>
      </c>
      <c r="K13" s="145" t="s">
        <v>136</v>
      </c>
      <c r="L13" s="87">
        <f>SUMIFS(INDEX(PL_NG!$C:$AM, MATCH($K13,PL_NG!$C:$C, 0), ),PL_NG!$C$3:$AM$3, "&gt;="&amp;DATE(YEAR($L$3),1,1),PL_NG!$C$3:$AM$3, "&lt;="&amp;$L$3)</f>
        <v>145011.09999999986</v>
      </c>
      <c r="M13" s="87">
        <f>SUMIFS(INDEX(PL_UK!$C:$AM, MATCH($K13,PL_UK!$C:$C, 0), ),PL_UK!$C$3:$AM$3, "&gt;="&amp;DATE(YEAR($L$3),1,1),PL_UK!$C$3:$AM$3, "&lt;="&amp;$L$3)</f>
        <v>-1402518.9228000001</v>
      </c>
      <c r="N13" s="87">
        <f>SUMIFS(INDEX(PL_UAE!$C:$AM, MATCH($K13,PL_UAE!$C:$C, 0), ),PL_UAE!$C$3:$AM$3, "&gt;="&amp;DATE(YEAR($L$3),1,1),PL_UAE!$C$3:$AM$3, "&lt;="&amp;$L$3)</f>
        <v>0</v>
      </c>
      <c r="O13" s="90">
        <f t="shared" si="7"/>
        <v>-1257507.8228000002</v>
      </c>
      <c r="P13" s="87">
        <v>0</v>
      </c>
      <c r="Q13" s="87">
        <f>O13-P13</f>
        <v>-1257507.8228000002</v>
      </c>
      <c r="R13" s="87">
        <f t="shared" si="5"/>
        <v>-941462.71039819485</v>
      </c>
      <c r="S13" s="87">
        <f t="shared" si="2"/>
        <v>-309885.49959704891</v>
      </c>
      <c r="T13" s="87">
        <f t="shared" si="2"/>
        <v>-5447.7378441961664</v>
      </c>
      <c r="U13" s="142">
        <f t="shared" si="2"/>
        <v>-711.87496056049429</v>
      </c>
      <c r="V13" s="40">
        <f t="shared" si="3"/>
        <v>0</v>
      </c>
      <c r="W13" s="87">
        <f t="shared" si="4"/>
        <v>-914.85054948892378</v>
      </c>
      <c r="X13" s="87">
        <f>P13/Summary!$F$3</f>
        <v>0</v>
      </c>
      <c r="Y13" s="87">
        <f>Q13/Summary!$F$3</f>
        <v>-914.85054948892378</v>
      </c>
      <c r="Z13" s="87">
        <f>R13/Summary!$F$3</f>
        <v>-684.924310063799</v>
      </c>
      <c r="AA13" s="87">
        <f>S13/Summary!$F$3</f>
        <v>-225.44505445203805</v>
      </c>
      <c r="AB13" s="87">
        <f>T13/Summary!$F$3</f>
        <v>-3.9632882355652153</v>
      </c>
      <c r="AC13" s="87">
        <f>U13/Summary!$F$3</f>
        <v>-0.51789673752173027</v>
      </c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</row>
    <row r="14" spans="1:55" ht="16" thickBot="1" x14ac:dyDescent="0.25">
      <c r="C14" s="353" t="s">
        <v>1667</v>
      </c>
      <c r="D14" s="352">
        <v>6049982</v>
      </c>
      <c r="E14" s="352">
        <v>2817508</v>
      </c>
      <c r="F14" s="352">
        <v>2997435</v>
      </c>
      <c r="G14" s="352">
        <v>147275</v>
      </c>
      <c r="H14" s="352">
        <v>87764</v>
      </c>
      <c r="I14" s="352">
        <v>0</v>
      </c>
      <c r="K14" s="145" t="s">
        <v>138</v>
      </c>
      <c r="L14" s="87">
        <f>SUMIFS(INDEX(PL_NG!$C:$AM, MATCH($K14,PL_NG!$C:$C, 0), ),PL_NG!$C$3:$AM$3, "&gt;="&amp;DATE(YEAR($L$3),1,1),PL_NG!$C$3:$AM$3, "&lt;="&amp;$L$3)</f>
        <v>-150000</v>
      </c>
      <c r="M14" s="87">
        <f>SUMIFS(INDEX(PL_UK!$C:$AM, MATCH($K14,PL_UK!$C:$C, 0), ),PL_UK!$C$3:$AM$3, "&gt;="&amp;DATE(YEAR($L$3),1,1),PL_UK!$C$3:$AM$3, "&lt;="&amp;$L$3)</f>
        <v>0</v>
      </c>
      <c r="N14" s="87">
        <f>SUMIFS(INDEX(PL_UAE!$C:$AM, MATCH($K14,PL_UAE!$C:$C, 0), ),PL_UAE!$C$3:$AM$3, "&gt;="&amp;DATE(YEAR($L$3),1,1),PL_UAE!$C$3:$AM$3, "&lt;="&amp;$L$3)</f>
        <v>-1859630.59632</v>
      </c>
      <c r="O14" s="90">
        <f t="shared" si="7"/>
        <v>-2009630.59632</v>
      </c>
      <c r="P14" s="87">
        <v>0</v>
      </c>
      <c r="Q14" s="87">
        <f>O14-P14</f>
        <v>-2009630.59632</v>
      </c>
      <c r="R14" s="87">
        <f t="shared" si="5"/>
        <v>-1504557.0562716722</v>
      </c>
      <c r="S14" s="87">
        <f t="shared" si="2"/>
        <v>-495229.82684870687</v>
      </c>
      <c r="T14" s="87">
        <f t="shared" si="2"/>
        <v>-8706.0616673143231</v>
      </c>
      <c r="U14" s="142">
        <f t="shared" si="2"/>
        <v>-1137.6515323070023</v>
      </c>
      <c r="V14" s="40">
        <f t="shared" si="3"/>
        <v>0</v>
      </c>
      <c r="W14" s="87">
        <f t="shared" si="4"/>
        <v>-1462.0280064893966</v>
      </c>
      <c r="X14" s="87">
        <f>P14/Summary!$F$3</f>
        <v>0</v>
      </c>
      <c r="Y14" s="87">
        <f>Q14/Summary!$F$3</f>
        <v>-1462.0280064893966</v>
      </c>
      <c r="Z14" s="87">
        <f>R14/Summary!$F$3</f>
        <v>-1094.5815403380541</v>
      </c>
      <c r="AA14" s="87">
        <f>S14/Summary!$F$3</f>
        <v>-360.28505827267605</v>
      </c>
      <c r="AB14" s="87">
        <f>T14/Summary!$F$3</f>
        <v>-6.3337540775630741</v>
      </c>
      <c r="AC14" s="87">
        <f>U14/Summary!$F$3</f>
        <v>-0.82765380110363562</v>
      </c>
    </row>
    <row r="15" spans="1:55" ht="16" thickBot="1" x14ac:dyDescent="0.25">
      <c r="C15" s="353" t="s">
        <v>1668</v>
      </c>
      <c r="D15" s="352">
        <v>263726800</v>
      </c>
      <c r="E15" s="352">
        <v>122818936</v>
      </c>
      <c r="F15" s="352">
        <v>130662194</v>
      </c>
      <c r="G15" s="352">
        <v>6419926</v>
      </c>
      <c r="H15" s="352">
        <v>3825744</v>
      </c>
      <c r="I15" s="352">
        <v>0</v>
      </c>
      <c r="K15" s="145" t="s">
        <v>140</v>
      </c>
      <c r="L15" s="87">
        <f>SUMIFS(INDEX(PL_NG!$C:$AM, MATCH($K15,PL_NG!$C:$C, 0), ),PL_NG!$C$3:$AM$3, "&gt;="&amp;DATE(YEAR($L$3),1,1),PL_NG!$C$3:$AM$3, "&lt;="&amp;$L$3)</f>
        <v>-26453001.219999999</v>
      </c>
      <c r="M15" s="87">
        <f>SUMIFS(INDEX(PL_UK!$C:$AM, MATCH($K15,PL_UK!$C:$C, 0), ),PL_UK!$C$3:$AM$3, "&gt;="&amp;DATE(YEAR($L$3),1,1),PL_UK!$C$3:$AM$3, "&lt;="&amp;$L$3)</f>
        <v>-729876.93019999994</v>
      </c>
      <c r="N15" s="87">
        <f>SUMIFS(INDEX(PL_UAE!$C:$AM, MATCH($K15,PL_UAE!$C:$C, 0), ),PL_UAE!$C$3:$AM$3, "&gt;="&amp;DATE(YEAR($L$3),1,1),PL_UAE!$C$3:$AM$3, "&lt;="&amp;$L$3)</f>
        <v>-271196.11476000003</v>
      </c>
      <c r="O15" s="90">
        <f t="shared" si="7"/>
        <v>-27454074.264959998</v>
      </c>
      <c r="P15" s="87">
        <v>0</v>
      </c>
      <c r="Q15" s="87">
        <f>O15-P15</f>
        <v>-27454074.264959998</v>
      </c>
      <c r="R15" s="87">
        <f t="shared" si="5"/>
        <v>-20554136.284743726</v>
      </c>
      <c r="S15" s="87">
        <f t="shared" si="2"/>
        <v>-6765460.5127054565</v>
      </c>
      <c r="T15" s="87">
        <f t="shared" si="2"/>
        <v>-118935.72082722682</v>
      </c>
      <c r="U15" s="142">
        <f t="shared" si="2"/>
        <v>-15541.746683592302</v>
      </c>
      <c r="V15" s="40">
        <f t="shared" si="3"/>
        <v>0</v>
      </c>
      <c r="W15" s="87">
        <f t="shared" si="4"/>
        <v>-19973.136128158305</v>
      </c>
      <c r="X15" s="87">
        <f>P15/Summary!$F$3</f>
        <v>0</v>
      </c>
      <c r="Y15" s="87">
        <f>Q15/Summary!$F$3</f>
        <v>-19973.136128158305</v>
      </c>
      <c r="Z15" s="87">
        <f>R15/Summary!$F$3</f>
        <v>-14953.356578330164</v>
      </c>
      <c r="AA15" s="87">
        <f>S15/Summary!$F$3</f>
        <v>-4921.9457369360571</v>
      </c>
      <c r="AB15" s="87">
        <f>T15/Summary!$F$3</f>
        <v>-86.527023991289383</v>
      </c>
      <c r="AC15" s="87">
        <f>U15/Summary!$F$3</f>
        <v>-11.306788900798299</v>
      </c>
      <c r="AO15" s="377">
        <v>34060423.740000002</v>
      </c>
      <c r="AX15">
        <v>5860000</v>
      </c>
      <c r="AY15">
        <f>AY10/C_RATE</f>
        <v>322003.5300571096</v>
      </c>
      <c r="BA15">
        <v>2878666.67</v>
      </c>
      <c r="BB15" s="381">
        <v>804721126.95000005</v>
      </c>
    </row>
    <row r="16" spans="1:55" ht="16" thickBot="1" x14ac:dyDescent="0.25">
      <c r="C16" s="320" t="s">
        <v>1669</v>
      </c>
      <c r="D16" s="206"/>
      <c r="E16" s="354">
        <f>SUM(E6:E15)</f>
        <v>1057002780</v>
      </c>
      <c r="F16" s="354">
        <f>SUM(F6:F15)</f>
        <v>1227783317</v>
      </c>
      <c r="G16" s="354">
        <f>SUM(G6:G15)</f>
        <v>56522261</v>
      </c>
      <c r="H16" s="354">
        <f>SUM(H6:H15)</f>
        <v>37288779</v>
      </c>
      <c r="I16" s="354">
        <f>SUM(I6:I15)</f>
        <v>2228688178</v>
      </c>
      <c r="K16" s="145" t="s">
        <v>144</v>
      </c>
      <c r="L16" s="87">
        <f>SUMIFS(INDEX(PL_NG!$C:$AM, MATCH($K16,PL_NG!$C:$C, 0), ),PL_NG!$C$3:$AM$3, "&gt;="&amp;DATE(YEAR($L$3),1,1),PL_NG!$C$3:$AM$3, "&lt;="&amp;$L$3)</f>
        <v>-2877727.05</v>
      </c>
      <c r="M16" s="87">
        <f>SUMIFS(INDEX(PL_UK!$C:$AM, MATCH($K16,PL_UK!$C:$C, 0), ),PL_UK!$C$3:$AM$3, "&gt;="&amp;DATE(YEAR($L$3),1,1),PL_UK!$C$3:$AM$3, "&lt;="&amp;$L$3)</f>
        <v>-528320.9</v>
      </c>
      <c r="N16" s="87">
        <f>SUMIFS(INDEX(PL_UAE!$C:$AM, MATCH($K16,PL_UAE!$C:$C, 0), ),PL_UAE!$C$3:$AM$3, "&gt;="&amp;DATE(YEAR($L$3),1,1),PL_UAE!$C$3:$AM$3, "&lt;="&amp;$L$3)</f>
        <v>-16389030.33182</v>
      </c>
      <c r="O16" s="90">
        <f t="shared" si="7"/>
        <v>-19795078.281819999</v>
      </c>
      <c r="P16" s="87">
        <f>M16+N16</f>
        <v>-16917351.231819998</v>
      </c>
      <c r="Q16" s="87">
        <f>O16-P16</f>
        <v>-2877727.0500000007</v>
      </c>
      <c r="R16" s="87">
        <f t="shared" si="5"/>
        <v>-2154477.8164852001</v>
      </c>
      <c r="S16" s="87">
        <f t="shared" si="2"/>
        <v>-709153.349525542</v>
      </c>
      <c r="T16" s="87">
        <f t="shared" si="2"/>
        <v>-12466.803204965316</v>
      </c>
      <c r="U16" s="142">
        <f t="shared" si="2"/>
        <v>-1629.0807842938038</v>
      </c>
      <c r="V16" s="40">
        <f t="shared" si="3"/>
        <v>0</v>
      </c>
      <c r="W16" s="87">
        <f t="shared" si="4"/>
        <v>-14401.133666887345</v>
      </c>
      <c r="X16" s="87">
        <f>P16/Summary!$F$3</f>
        <v>-12307.556096045979</v>
      </c>
      <c r="Y16" s="87">
        <f>Q16/Summary!$F$3</f>
        <v>-2093.5775708413667</v>
      </c>
      <c r="Z16" s="87">
        <f>R16/Summary!$F$3</f>
        <v>-1567.4059266561421</v>
      </c>
      <c r="AA16" s="87">
        <f>S16/Summary!$F$3</f>
        <v>-515.91673604128039</v>
      </c>
      <c r="AB16" s="87">
        <f>T16/Summary!$F$3</f>
        <v>-9.0697342439091457</v>
      </c>
      <c r="AC16" s="87">
        <f>U16/Summary!$F$3</f>
        <v>-1.1851739000355053</v>
      </c>
      <c r="AO16" t="s">
        <v>1429</v>
      </c>
      <c r="AP16" s="216">
        <f>R2*AO15</f>
        <v>25500134.687171202</v>
      </c>
      <c r="AQ16" s="216"/>
      <c r="AR16" s="216">
        <v>11404266.395697186</v>
      </c>
      <c r="AS16" s="216"/>
      <c r="AT16" s="216"/>
      <c r="AU16" s="216"/>
      <c r="AV16" s="216"/>
      <c r="AW16" s="216"/>
      <c r="AX16" s="216"/>
      <c r="AY16" s="216"/>
      <c r="AZ16" s="216"/>
      <c r="BA16" s="216"/>
      <c r="BB16" s="39">
        <f>BB15+PL_NG!AT42</f>
        <v>-51094034.999999881</v>
      </c>
    </row>
    <row r="17" spans="3:53" ht="17" thickTop="1" thickBot="1" x14ac:dyDescent="0.25">
      <c r="C17" s="209"/>
      <c r="D17" s="209"/>
      <c r="E17" s="209"/>
      <c r="F17" s="209"/>
      <c r="G17" s="209"/>
      <c r="H17" s="209"/>
      <c r="I17" s="209"/>
      <c r="K17" s="145" t="s">
        <v>142</v>
      </c>
      <c r="L17" s="87">
        <f>SUMIFS(INDEX(PL_NG!$C:$AM, MATCH($K17,PL_NG!$C:$C, 0), ),PL_NG!$C$3:$AM$3, "&gt;="&amp;DATE(YEAR($L$3),1,1),PL_NG!$C$3:$AM$3, "&lt;="&amp;$L$3)</f>
        <v>-110948482.64999999</v>
      </c>
      <c r="M17" s="87">
        <f>SUMIFS(INDEX(PL_UK!$C:$AM, MATCH($K17,PL_UK!$C:$C, 0), ),PL_UK!$C$3:$AM$3, "&gt;="&amp;DATE(YEAR($L$3),1,1),PL_UK!$C$3:$AM$3, "&lt;="&amp;$L$3)</f>
        <v>-18947.611199999999</v>
      </c>
      <c r="N17" s="87">
        <f>SUMIFS(INDEX(PL_UAE!$C:$AM, MATCH($K17,PL_UAE!$C:$C, 0), ),PL_UAE!$C$3:$AM$3, "&gt;="&amp;DATE(YEAR($L$3),1,1),PL_UAE!$C$3:$AM$3, "&lt;="&amp;$L$3)</f>
        <v>10534.960000000001</v>
      </c>
      <c r="O17" s="90">
        <f>SUM(L17:N17)</f>
        <v>-110956895.3012</v>
      </c>
      <c r="P17" s="87">
        <f>O17-Q17</f>
        <v>-112146816.16119994</v>
      </c>
      <c r="Q17" s="87">
        <f>T51</f>
        <v>1189920.8599999351</v>
      </c>
      <c r="R17" s="87">
        <f>$Q17*R$2</f>
        <v>890862.14630496351</v>
      </c>
      <c r="S17" s="87">
        <f>$Q17*S$2</f>
        <v>293230.16008042434</v>
      </c>
      <c r="T17" s="87">
        <f>$Q17*T$2</f>
        <v>5154.9396219152441</v>
      </c>
      <c r="U17" s="142">
        <f>$Q17*U$2</f>
        <v>673.61399263222393</v>
      </c>
      <c r="V17" s="40">
        <f>O17-P17-Q17</f>
        <v>4.6566128730773926E-9</v>
      </c>
      <c r="W17" s="87">
        <f>X17+Y17</f>
        <v>-80722.342076461398</v>
      </c>
      <c r="X17" s="87">
        <f>P17/Summary!$F$3</f>
        <v>-81588.022379105852</v>
      </c>
      <c r="Y17" s="87">
        <f>Q17/Summary!$F$3</f>
        <v>865.68030264445463</v>
      </c>
      <c r="Z17" s="87">
        <f>R17/Summary!$F$3</f>
        <v>648.11185210066094</v>
      </c>
      <c r="AA17" s="87">
        <f>S17/Summary!$F$3</f>
        <v>213.32811471421508</v>
      </c>
      <c r="AB17" s="87">
        <f>T17/Summary!$F$3</f>
        <v>3.750274360274449</v>
      </c>
      <c r="AC17" s="87">
        <f>U17/Summary!$F$3</f>
        <v>0.49006146930429884</v>
      </c>
      <c r="AO17" t="s">
        <v>1430</v>
      </c>
      <c r="AP17">
        <f>S2*AO15</f>
        <v>8393451.9020767752</v>
      </c>
    </row>
    <row r="18" spans="3:53" ht="16" thickBot="1" x14ac:dyDescent="0.25">
      <c r="C18" s="355" t="s">
        <v>1670</v>
      </c>
      <c r="D18" s="352">
        <v>62372636</v>
      </c>
      <c r="E18" s="352">
        <v>29047260</v>
      </c>
      <c r="F18" s="352">
        <v>30902227</v>
      </c>
      <c r="G18" s="352">
        <v>7592394</v>
      </c>
      <c r="H18" s="352">
        <v>904807</v>
      </c>
      <c r="I18" s="352">
        <v>3165810</v>
      </c>
      <c r="K18" s="145" t="s">
        <v>13</v>
      </c>
      <c r="L18" s="87">
        <f>SUMIFS(INDEX(PL_NG!$C:$AM, MATCH($K18,PL_NG!$C:$C, 0), ),PL_NG!$C$3:$AM$3, "&gt;="&amp;DATE(YEAR($L$3),1,1),PL_NG!$C$3:$AM$3, "&lt;="&amp;$L$3)</f>
        <v>-48860521.390000001</v>
      </c>
      <c r="M18" s="87">
        <f>SUMIFS(INDEX(PL_UK!$C:$AM, MATCH($K18,PL_UK!$C:$C, 0), ),PL_UK!$C$3:$AM$3, "&gt;="&amp;DATE(YEAR($L$3),1,1),PL_UK!$C$3:$AM$3, "&lt;="&amp;$L$3)</f>
        <v>-924923.61840000004</v>
      </c>
      <c r="N18" s="87">
        <f>SUMIFS(INDEX(PL_UAE!$C:$AM, MATCH($K18,PL_UAE!$C:$C, 0), ),PL_UAE!$C$3:$AM$3, "&gt;="&amp;DATE(YEAR($L$3),1,1),PL_UAE!$C$3:$AM$3, "&lt;="&amp;$L$3)</f>
        <v>-53623.602800000001</v>
      </c>
      <c r="O18" s="90">
        <f t="shared" si="7"/>
        <v>-49839068.611199997</v>
      </c>
      <c r="P18" s="87">
        <v>0</v>
      </c>
      <c r="Q18" s="87">
        <f>O18</f>
        <v>-49839068.611199997</v>
      </c>
      <c r="R18" s="87">
        <f t="shared" si="5"/>
        <v>-37313187.057512708</v>
      </c>
      <c r="S18" s="87">
        <f t="shared" si="2"/>
        <v>-12281756.34060422</v>
      </c>
      <c r="T18" s="87">
        <f t="shared" si="2"/>
        <v>-215911.32497941187</v>
      </c>
      <c r="U18" s="142">
        <f t="shared" si="2"/>
        <v>-28213.888103670699</v>
      </c>
      <c r="V18" s="40">
        <f t="shared" si="3"/>
        <v>0</v>
      </c>
      <c r="W18" s="87">
        <f t="shared" si="4"/>
        <v>-36258.461759266669</v>
      </c>
      <c r="X18" s="87">
        <f>P18/Summary!$F$3</f>
        <v>0</v>
      </c>
      <c r="Y18" s="87">
        <f>Q18/Summary!$F$3</f>
        <v>-36258.461759266669</v>
      </c>
      <c r="Z18" s="87">
        <f>R18/Summary!$F$3</f>
        <v>-27145.747377332733</v>
      </c>
      <c r="AA18" s="87">
        <f>S18/Summary!$F$3</f>
        <v>-8935.110647560452</v>
      </c>
      <c r="AB18" s="87">
        <f>T18/Summary!$F$3</f>
        <v>-157.0778254551758</v>
      </c>
      <c r="AC18" s="87">
        <f>U18/Summary!$F$3</f>
        <v>-20.525908918315594</v>
      </c>
      <c r="AO18" t="s">
        <v>1650</v>
      </c>
      <c r="AP18">
        <f>T2*AO15</f>
        <v>147555.55077550132</v>
      </c>
      <c r="AR18">
        <v>12227642.37866335</v>
      </c>
    </row>
    <row r="19" spans="3:53" ht="16" thickBot="1" x14ac:dyDescent="0.25">
      <c r="C19" s="353" t="s">
        <v>17</v>
      </c>
      <c r="D19" s="352">
        <v>0</v>
      </c>
      <c r="E19" s="352">
        <v>0</v>
      </c>
      <c r="F19" s="352">
        <v>0</v>
      </c>
      <c r="G19" s="352">
        <v>0</v>
      </c>
      <c r="H19" s="352">
        <v>0</v>
      </c>
      <c r="I19" s="352">
        <v>278268144</v>
      </c>
      <c r="K19" s="145" t="s">
        <v>16</v>
      </c>
      <c r="L19" s="87">
        <f>SUMIFS(INDEX(PL_NG!$C:$AM, MATCH($K19,PL_NG!$C:$C, 0), ),PL_NG!$C$3:$AM$3, "&gt;="&amp;DATE(YEAR($L$3),1,1),PL_NG!$C$3:$AM$3, "&lt;="&amp;$L$3)</f>
        <v>0</v>
      </c>
      <c r="M19" s="87">
        <f>SUMIFS(INDEX(PL_UK!$C:$AM, MATCH($K19,PL_UK!$C:$C, 0), ),PL_UK!$C$3:$AM$3, "&gt;="&amp;DATE(YEAR($L$3),1,1),PL_UK!$C$3:$AM$3, "&lt;="&amp;$L$3)</f>
        <v>0</v>
      </c>
      <c r="N19" s="87">
        <f>SUMIFS(INDEX(PL_UAE!$C:$AM, MATCH($K19,PL_UAE!$C:$C, 0), ),PL_UAE!$C$3:$AM$3, "&gt;="&amp;DATE(YEAR($L$3),1,1),PL_UAE!$C$3:$AM$3, "&lt;="&amp;$L$3)</f>
        <v>0</v>
      </c>
      <c r="O19" s="90">
        <f t="shared" si="7"/>
        <v>0</v>
      </c>
      <c r="P19" s="87">
        <f>M19+N19+L19</f>
        <v>0</v>
      </c>
      <c r="Q19" s="87"/>
      <c r="R19" s="87">
        <f t="shared" si="5"/>
        <v>0</v>
      </c>
      <c r="S19" s="87">
        <f t="shared" si="2"/>
        <v>0</v>
      </c>
      <c r="T19" s="87">
        <f t="shared" si="2"/>
        <v>0</v>
      </c>
      <c r="U19" s="142">
        <f t="shared" si="2"/>
        <v>0</v>
      </c>
      <c r="V19" s="40">
        <f t="shared" si="3"/>
        <v>0</v>
      </c>
      <c r="W19" s="87">
        <f t="shared" si="4"/>
        <v>0</v>
      </c>
      <c r="X19" s="87">
        <f>P19/Summary!$F$3</f>
        <v>0</v>
      </c>
      <c r="Y19" s="87">
        <f>Q19/Summary!$F$3</f>
        <v>0</v>
      </c>
      <c r="Z19" s="87">
        <f>R19/Summary!$F$3</f>
        <v>0</v>
      </c>
      <c r="AA19" s="87">
        <f>S19/Summary!$F$3</f>
        <v>0</v>
      </c>
      <c r="AB19" s="87">
        <f>T19/Summary!$F$3</f>
        <v>0</v>
      </c>
      <c r="AC19" s="87">
        <f>U19/Summary!$F$3</f>
        <v>0</v>
      </c>
      <c r="AO19" t="s">
        <v>1431</v>
      </c>
      <c r="AP19">
        <f>U2*AO15</f>
        <v>19281.599976529564</v>
      </c>
      <c r="AR19">
        <v>1570631.2934144649</v>
      </c>
    </row>
    <row r="20" spans="3:53" ht="16" thickBot="1" x14ac:dyDescent="0.25">
      <c r="C20" s="353" t="s">
        <v>1398</v>
      </c>
      <c r="D20" s="352">
        <v>1009896</v>
      </c>
      <c r="E20" s="352">
        <v>470314</v>
      </c>
      <c r="F20" s="352">
        <v>500348</v>
      </c>
      <c r="G20" s="352">
        <v>24584</v>
      </c>
      <c r="H20" s="352">
        <v>14650</v>
      </c>
      <c r="I20" s="352">
        <v>0</v>
      </c>
      <c r="K20" s="146" t="s">
        <v>19</v>
      </c>
      <c r="L20" s="143">
        <f>SUMIFS(INDEX(PL_NG!$C:$AM, MATCH($K20,PL_NG!$C:$C, 0), ),PL_NG!$C$3:$AM$3, "&gt;="&amp;DATE(YEAR($L$3),1,1),PL_NG!$C$3:$AM$3, "&lt;="&amp;$L$3)</f>
        <v>0</v>
      </c>
      <c r="M20" s="143">
        <f>SUMIFS(INDEX(PL_UK!$C:$AM, MATCH($K20,PL_UK!$C:$C, 0), ),PL_UK!$C$3:$AM$3, "&gt;="&amp;DATE(YEAR($L$3),1,1),PL_UK!$C$3:$AM$3, "&lt;="&amp;$L$3)</f>
        <v>0</v>
      </c>
      <c r="N20" s="143">
        <f>SUMIFS(INDEX(PL_UAE!$C:$AM, MATCH($K20,PL_UAE!$C:$C, 0), ),PL_UAE!$C$3:$AM$3, "&gt;="&amp;DATE(YEAR($L$3),1,1),PL_UAE!$C$3:$AM$3, "&lt;="&amp;$L$3)</f>
        <v>0</v>
      </c>
      <c r="O20" s="124">
        <f t="shared" si="7"/>
        <v>0</v>
      </c>
      <c r="P20" s="143">
        <f>M20+N20</f>
        <v>0</v>
      </c>
      <c r="Q20" s="143">
        <f>L20</f>
        <v>0</v>
      </c>
      <c r="R20" s="87">
        <f>$Q20*R$2</f>
        <v>0</v>
      </c>
      <c r="S20" s="87">
        <f>$Q20*S$2</f>
        <v>0</v>
      </c>
      <c r="T20" s="87">
        <f>$Q20*T$2</f>
        <v>0</v>
      </c>
      <c r="U20" s="142">
        <f>$Q20*U$2</f>
        <v>0</v>
      </c>
      <c r="V20" s="40">
        <f t="shared" si="3"/>
        <v>0</v>
      </c>
      <c r="W20" s="87">
        <f t="shared" si="4"/>
        <v>0</v>
      </c>
      <c r="X20" s="87">
        <f>P20/Summary!$F$3</f>
        <v>0</v>
      </c>
      <c r="Y20" s="87">
        <f>Q20/Summary!$F$3</f>
        <v>0</v>
      </c>
      <c r="Z20" s="87">
        <f>R20/Summary!$F$3</f>
        <v>0</v>
      </c>
      <c r="AA20" s="87">
        <f>S20/Summary!$F$3</f>
        <v>0</v>
      </c>
      <c r="AB20" s="87">
        <f>T20/Summary!$F$3</f>
        <v>0</v>
      </c>
      <c r="AC20" s="87">
        <f>U20/Summary!$F$3</f>
        <v>0</v>
      </c>
      <c r="AP20" s="241">
        <f>SUM(AP16:AP19)</f>
        <v>34060423.74000001</v>
      </c>
      <c r="AR20">
        <v>40259.662224994448</v>
      </c>
    </row>
    <row r="21" spans="3:53" ht="16" thickBot="1" x14ac:dyDescent="0.25">
      <c r="C21" s="356" t="s">
        <v>1671</v>
      </c>
      <c r="D21" s="206"/>
      <c r="E21" s="354">
        <f>SUM(E18:E20)</f>
        <v>29517574</v>
      </c>
      <c r="F21" s="354">
        <f>SUM(F18:F20)</f>
        <v>31402575</v>
      </c>
      <c r="G21" s="354">
        <f>SUM(G18:G20)</f>
        <v>7616978</v>
      </c>
      <c r="H21" s="354">
        <f>SUM(H18:H20)</f>
        <v>919457</v>
      </c>
      <c r="I21" s="354">
        <f>SUM(I18:I20)</f>
        <v>281433954</v>
      </c>
      <c r="O21" s="45">
        <f t="shared" ref="O21:U21" si="8">SUM(O7:O20)</f>
        <v>-1359644280.2925599</v>
      </c>
      <c r="P21" s="45">
        <f t="shared" si="8"/>
        <v>-694870223.95900333</v>
      </c>
      <c r="Q21" s="45">
        <f t="shared" si="8"/>
        <v>-664774056.33355665</v>
      </c>
      <c r="R21" s="45">
        <f t="shared" si="8"/>
        <v>-515032746.02626628</v>
      </c>
      <c r="S21" s="45">
        <f t="shared" si="8"/>
        <v>-146822902.59846562</v>
      </c>
      <c r="T21" s="45">
        <f t="shared" si="8"/>
        <v>-2581123.2985101133</v>
      </c>
      <c r="U21" s="45">
        <f t="shared" si="8"/>
        <v>-337284.41031467792</v>
      </c>
      <c r="V21" s="40">
        <f t="shared" si="3"/>
        <v>0</v>
      </c>
      <c r="W21" s="45">
        <f t="shared" ref="W21:AC21" si="9">SUM(W7:W20)</f>
        <v>-989155.9276072603</v>
      </c>
      <c r="X21" s="45">
        <f t="shared" si="9"/>
        <v>-505525.60762358835</v>
      </c>
      <c r="Y21" s="45">
        <f t="shared" si="9"/>
        <v>-483630.31998367212</v>
      </c>
      <c r="Z21" s="45">
        <f t="shared" si="9"/>
        <v>-374691.89627606579</v>
      </c>
      <c r="AA21" s="45">
        <f t="shared" si="9"/>
        <v>-106815.25051723521</v>
      </c>
      <c r="AB21" s="45">
        <f t="shared" si="9"/>
        <v>-1877.7951318686933</v>
      </c>
      <c r="AC21" s="45">
        <f t="shared" si="9"/>
        <v>-245.37805850254844</v>
      </c>
      <c r="AI21" s="387" t="s">
        <v>1696</v>
      </c>
      <c r="AJ21" s="385"/>
      <c r="AK21" s="388" t="s">
        <v>1697</v>
      </c>
      <c r="AL21" s="389"/>
      <c r="AM21" s="389"/>
      <c r="AN21" s="389"/>
      <c r="AO21" s="389"/>
      <c r="AP21" s="389"/>
      <c r="AQ21" s="389"/>
      <c r="AR21" s="389"/>
      <c r="AS21" s="41"/>
      <c r="AT21" s="41"/>
      <c r="AU21" s="41"/>
      <c r="AV21" s="41"/>
      <c r="AW21" s="41"/>
      <c r="AX21" s="41"/>
      <c r="AY21" s="41"/>
      <c r="AZ21" s="41"/>
      <c r="BA21" s="41"/>
    </row>
    <row r="22" spans="3:53" ht="17" thickTop="1" thickBot="1" x14ac:dyDescent="0.25">
      <c r="C22" s="320" t="s">
        <v>1672</v>
      </c>
      <c r="D22" s="206"/>
      <c r="E22" s="354">
        <f>E16+E21</f>
        <v>1086520354</v>
      </c>
      <c r="F22" s="354">
        <f>F16+F21</f>
        <v>1259185892</v>
      </c>
      <c r="G22" s="354">
        <f>G16+G21</f>
        <v>64139239</v>
      </c>
      <c r="H22" s="354">
        <f>H16+H21</f>
        <v>38208236</v>
      </c>
      <c r="I22" s="354">
        <f>I16+I21</f>
        <v>2510122132</v>
      </c>
      <c r="K22" s="145" t="s">
        <v>4</v>
      </c>
      <c r="L22" s="87">
        <f>SUMIFS(INDEX(PL_NG!$C:$AM, MATCH($K22,PL_NG!$C:$C, 0), ),PL_NG!$C$3:$AM$3, "&gt;="&amp;DATE(YEAR($L$3),1,1),PL_NG!$C$3:$AM$3, "&lt;="&amp;$L$3)</f>
        <v>2363679952.9700003</v>
      </c>
      <c r="M22" s="87">
        <f>SUMIFS(INDEX(PL_UK!$C:$AM, MATCH($K22,PL_UK!$C:$C, 0), ),PL_UK!$C$3:$AM$3, "&gt;="&amp;DATE(YEAR($L$3),1,1),PL_UK!$C$3:$AM$3, "&lt;="&amp;$L$3)</f>
        <v>6809771.2904000003</v>
      </c>
      <c r="N22" s="87">
        <f>SUMIFS(INDEX(PL_UAE!$C:$AM, MATCH($K22,PL_UAE!$C:$C, 0), ),PL_UAE!$C$3:$AM$3, "&gt;="&amp;DATE(YEAR($L$3),1,1),PL_UAE!$C$3:$AM$3, "&lt;="&amp;$L$3)</f>
        <v>0</v>
      </c>
      <c r="O22" s="90">
        <f>SUM(L22:N22)</f>
        <v>2370489724.2604003</v>
      </c>
      <c r="AI22" s="387" t="s">
        <v>90</v>
      </c>
      <c r="AJ22" s="387" t="s">
        <v>1698</v>
      </c>
      <c r="AK22" s="389" t="s">
        <v>1699</v>
      </c>
      <c r="AL22" s="389" t="s">
        <v>1700</v>
      </c>
      <c r="AM22" s="389" t="s">
        <v>1656</v>
      </c>
      <c r="AN22" s="389" t="s">
        <v>1655</v>
      </c>
      <c r="AO22" s="389" t="s">
        <v>1701</v>
      </c>
      <c r="AP22" s="389" t="s">
        <v>1652</v>
      </c>
      <c r="AQ22" s="389" t="s">
        <v>1653</v>
      </c>
      <c r="AR22" s="389" t="s">
        <v>1654</v>
      </c>
    </row>
    <row r="23" spans="3:53" ht="16" thickTop="1" x14ac:dyDescent="0.2">
      <c r="V23" s="343"/>
      <c r="Y23">
        <f>Summary!AA3</f>
        <v>1723933.978516191</v>
      </c>
      <c r="AI23" s="382">
        <v>50000</v>
      </c>
      <c r="AJ23" s="382" t="s">
        <v>518</v>
      </c>
      <c r="AK23" s="384">
        <v>488730.63</v>
      </c>
      <c r="AL23" s="383"/>
      <c r="AM23" s="383"/>
      <c r="AN23" s="383"/>
      <c r="AO23" s="384">
        <v>39156019.549999997</v>
      </c>
      <c r="AP23" s="383"/>
      <c r="AQ23" s="384">
        <v>25223994.710000001</v>
      </c>
      <c r="AR23" s="383"/>
      <c r="AS23" s="39">
        <f>SUM(AK23:AR23)</f>
        <v>64868744.890000001</v>
      </c>
    </row>
    <row r="24" spans="3:53" s="80" customFormat="1" x14ac:dyDescent="0.2">
      <c r="P24" s="241"/>
      <c r="V24" s="177"/>
      <c r="Y24" s="241">
        <f>Y23+V4+SUM(Y6:Y16)</f>
        <v>782907.8642606471</v>
      </c>
      <c r="AI24" s="382">
        <v>53005</v>
      </c>
      <c r="AJ24" s="382" t="s">
        <v>534</v>
      </c>
      <c r="AK24" s="383"/>
      <c r="AL24" s="383"/>
      <c r="AM24" s="383"/>
      <c r="AN24" s="383"/>
      <c r="AO24" s="383"/>
      <c r="AP24" s="384">
        <v>2655186.04</v>
      </c>
      <c r="AQ24" s="383"/>
      <c r="AR24" s="383"/>
      <c r="AS24" s="39">
        <f t="shared" ref="AS24:AS41" si="10">SUM(AK24:AR24)</f>
        <v>2655186.04</v>
      </c>
    </row>
    <row r="25" spans="3:53" x14ac:dyDescent="0.2">
      <c r="D25" s="115">
        <v>12985063.470741149</v>
      </c>
      <c r="E25" s="41">
        <f>E3*$D$25</f>
        <v>6365278.1133573111</v>
      </c>
      <c r="F25" s="41">
        <f>F3*$D$25</f>
        <v>6214651.3770967145</v>
      </c>
      <c r="G25" s="41">
        <f>G3*$D$25</f>
        <v>198671.47110233956</v>
      </c>
      <c r="H25" s="41">
        <f>H3*$D$25</f>
        <v>206462.50918478429</v>
      </c>
      <c r="K25" s="176"/>
      <c r="L25" s="180" t="s">
        <v>1359</v>
      </c>
      <c r="M25" s="180" t="s">
        <v>1360</v>
      </c>
      <c r="N25" s="176"/>
      <c r="O25" s="176"/>
      <c r="P25" s="176"/>
      <c r="Q25" s="176"/>
      <c r="R25" s="176"/>
      <c r="S25" s="176"/>
      <c r="T25" s="232"/>
      <c r="AI25" s="382">
        <v>53025</v>
      </c>
      <c r="AJ25" s="382" t="s">
        <v>538</v>
      </c>
      <c r="AK25" s="383"/>
      <c r="AL25" s="383"/>
      <c r="AM25" s="383"/>
      <c r="AN25" s="383"/>
      <c r="AO25" s="383"/>
      <c r="AP25" s="384">
        <v>21753952.800000001</v>
      </c>
      <c r="AQ25" s="383"/>
      <c r="AR25" s="383"/>
      <c r="AS25" s="39">
        <f t="shared" si="10"/>
        <v>21753952.800000001</v>
      </c>
    </row>
    <row r="26" spans="3:53" x14ac:dyDescent="0.2">
      <c r="K26" s="176"/>
      <c r="L26" s="180" t="s">
        <v>1361</v>
      </c>
      <c r="M26" s="176" t="s">
        <v>1362</v>
      </c>
      <c r="N26" s="176" t="s">
        <v>1363</v>
      </c>
      <c r="O26" s="176" t="s">
        <v>1364</v>
      </c>
      <c r="P26" s="176" t="s">
        <v>1365</v>
      </c>
      <c r="Q26" s="176" t="s">
        <v>1366</v>
      </c>
      <c r="R26" s="176" t="s">
        <v>1367</v>
      </c>
      <c r="S26" s="176" t="s">
        <v>1368</v>
      </c>
      <c r="T26" s="232" t="s">
        <v>1369</v>
      </c>
      <c r="U26" s="236">
        <v>45870</v>
      </c>
      <c r="AI26" s="382">
        <v>53030</v>
      </c>
      <c r="AJ26" s="382" t="s">
        <v>104</v>
      </c>
      <c r="AK26" s="383"/>
      <c r="AL26" s="383"/>
      <c r="AM26" s="383"/>
      <c r="AN26" s="383"/>
      <c r="AO26" s="383"/>
      <c r="AP26" s="384">
        <v>1569250</v>
      </c>
      <c r="AQ26" s="383"/>
      <c r="AR26" s="383"/>
      <c r="AS26" s="39">
        <f t="shared" si="10"/>
        <v>1569250</v>
      </c>
    </row>
    <row r="27" spans="3:53" x14ac:dyDescent="0.2">
      <c r="K27" s="176"/>
      <c r="L27" s="181"/>
      <c r="M27" s="182">
        <v>50929972.609999999</v>
      </c>
      <c r="N27" s="182">
        <v>52121965.359999999</v>
      </c>
      <c r="O27" s="182">
        <v>54884548.659999996</v>
      </c>
      <c r="P27" s="182">
        <v>55021741.68</v>
      </c>
      <c r="Q27" s="182">
        <v>55323596.32</v>
      </c>
      <c r="R27" s="182">
        <v>55536310.280000001</v>
      </c>
      <c r="S27" s="182">
        <v>52839090.920000002</v>
      </c>
      <c r="T27" s="233">
        <v>376657225.82999998</v>
      </c>
      <c r="U27" s="182">
        <v>772500</v>
      </c>
      <c r="AI27" s="382">
        <v>53040</v>
      </c>
      <c r="AJ27" s="382" t="s">
        <v>105</v>
      </c>
      <c r="AK27" s="383"/>
      <c r="AL27" s="383"/>
      <c r="AM27" s="383"/>
      <c r="AN27" s="383"/>
      <c r="AO27" s="383"/>
      <c r="AP27" s="384">
        <v>911050</v>
      </c>
      <c r="AQ27" s="383"/>
      <c r="AR27" s="383"/>
      <c r="AS27" s="39">
        <f t="shared" si="10"/>
        <v>911050</v>
      </c>
    </row>
    <row r="28" spans="3:53" x14ac:dyDescent="0.2">
      <c r="K28" s="183">
        <v>3000</v>
      </c>
      <c r="L28" s="181" t="s">
        <v>1370</v>
      </c>
      <c r="M28" s="182"/>
      <c r="N28" s="182">
        <v>2022448.5</v>
      </c>
      <c r="O28" s="182">
        <v>4607220</v>
      </c>
      <c r="P28" s="182">
        <v>4831620</v>
      </c>
      <c r="Q28" s="182">
        <v>4748220</v>
      </c>
      <c r="R28" s="182">
        <v>4630350</v>
      </c>
      <c r="S28" s="182">
        <v>4583400</v>
      </c>
      <c r="T28" s="233">
        <v>25423258.5</v>
      </c>
      <c r="U28" s="182">
        <v>4604880</v>
      </c>
      <c r="V28" s="182">
        <v>4458780</v>
      </c>
      <c r="AI28" s="382">
        <v>53045</v>
      </c>
      <c r="AJ28" s="382" t="s">
        <v>106</v>
      </c>
      <c r="AK28" s="383"/>
      <c r="AL28" s="384">
        <v>34060423.740000002</v>
      </c>
      <c r="AM28" s="383"/>
      <c r="AN28" s="384">
        <v>24077.84</v>
      </c>
      <c r="AO28" s="383"/>
      <c r="AP28" s="384">
        <v>9346348.2100000009</v>
      </c>
      <c r="AQ28" s="384">
        <v>2958123.58</v>
      </c>
      <c r="AR28" s="384">
        <v>9013211.8000000007</v>
      </c>
      <c r="AS28" s="39">
        <f t="shared" si="10"/>
        <v>55402185.170000002</v>
      </c>
    </row>
    <row r="29" spans="3:53" x14ac:dyDescent="0.2">
      <c r="K29" s="183">
        <v>2500</v>
      </c>
      <c r="L29" s="181" t="s">
        <v>1371</v>
      </c>
      <c r="M29" s="182">
        <v>3662071.88</v>
      </c>
      <c r="N29" s="182">
        <v>3522431.14</v>
      </c>
      <c r="O29" s="182">
        <v>3610908.68</v>
      </c>
      <c r="P29" s="182">
        <v>3786782.18</v>
      </c>
      <c r="Q29" s="182">
        <v>3721417.43</v>
      </c>
      <c r="R29" s="182">
        <v>3858625</v>
      </c>
      <c r="S29" s="182">
        <v>3819500</v>
      </c>
      <c r="T29" s="233">
        <v>25981736.309999999</v>
      </c>
      <c r="U29" s="182">
        <v>3837400</v>
      </c>
      <c r="V29" s="182">
        <v>3715650</v>
      </c>
      <c r="AI29" s="382">
        <v>53055</v>
      </c>
      <c r="AJ29" s="382" t="s">
        <v>107</v>
      </c>
      <c r="AK29" s="383"/>
      <c r="AL29" s="383"/>
      <c r="AM29" s="383"/>
      <c r="AN29" s="383"/>
      <c r="AO29" s="383"/>
      <c r="AP29" s="383"/>
      <c r="AQ29" s="384">
        <v>2705483.35</v>
      </c>
      <c r="AR29" s="383"/>
      <c r="AS29" s="39">
        <f t="shared" si="10"/>
        <v>2705483.35</v>
      </c>
    </row>
    <row r="30" spans="3:53" x14ac:dyDescent="0.2">
      <c r="K30" s="183">
        <v>700</v>
      </c>
      <c r="L30" s="181" t="s">
        <v>1372</v>
      </c>
      <c r="M30" s="182">
        <v>942613.51</v>
      </c>
      <c r="N30" s="182">
        <v>1048677</v>
      </c>
      <c r="O30" s="182">
        <v>1075018</v>
      </c>
      <c r="P30" s="182">
        <v>1127378</v>
      </c>
      <c r="Q30" s="182">
        <v>1107918</v>
      </c>
      <c r="R30" s="182">
        <v>1080415</v>
      </c>
      <c r="S30" s="182">
        <v>1069460</v>
      </c>
      <c r="T30" s="233">
        <v>7451479.5099999998</v>
      </c>
      <c r="U30" s="182">
        <v>1074472</v>
      </c>
      <c r="V30" s="182">
        <v>1040382</v>
      </c>
      <c r="AI30" s="382">
        <v>53060</v>
      </c>
      <c r="AJ30" s="382" t="s">
        <v>108</v>
      </c>
      <c r="AK30" s="383"/>
      <c r="AL30" s="383"/>
      <c r="AM30" s="383"/>
      <c r="AN30" s="383"/>
      <c r="AO30" s="383"/>
      <c r="AP30" s="384">
        <v>569682.63</v>
      </c>
      <c r="AQ30" s="383"/>
      <c r="AR30" s="383"/>
      <c r="AS30" s="39">
        <f t="shared" si="10"/>
        <v>569682.63</v>
      </c>
    </row>
    <row r="31" spans="3:53" x14ac:dyDescent="0.2">
      <c r="K31" s="183">
        <v>2800</v>
      </c>
      <c r="L31" s="181" t="s">
        <v>1373</v>
      </c>
      <c r="M31" s="182">
        <v>4361000</v>
      </c>
      <c r="N31" s="182">
        <v>4194708</v>
      </c>
      <c r="O31" s="182">
        <v>4300072</v>
      </c>
      <c r="P31" s="182">
        <v>4509512</v>
      </c>
      <c r="Q31" s="182">
        <v>4431672</v>
      </c>
      <c r="R31" s="182">
        <v>4321660</v>
      </c>
      <c r="S31" s="182">
        <v>4277840</v>
      </c>
      <c r="T31" s="233">
        <v>30396464</v>
      </c>
      <c r="U31" s="182">
        <v>4297888</v>
      </c>
      <c r="AI31" s="382">
        <v>53065</v>
      </c>
      <c r="AJ31" s="382" t="s">
        <v>110</v>
      </c>
      <c r="AK31" s="383"/>
      <c r="AL31" s="383"/>
      <c r="AM31" s="383"/>
      <c r="AN31" s="383"/>
      <c r="AO31" s="383"/>
      <c r="AP31" s="384">
        <v>4354004.5999999996</v>
      </c>
      <c r="AQ31" s="383"/>
      <c r="AR31" s="383"/>
      <c r="AS31" s="39">
        <f t="shared" si="10"/>
        <v>4354004.5999999996</v>
      </c>
    </row>
    <row r="32" spans="3:53" x14ac:dyDescent="0.2">
      <c r="K32" s="183">
        <v>2700</v>
      </c>
      <c r="L32" s="181" t="s">
        <v>1374</v>
      </c>
      <c r="M32" s="182">
        <v>4205250</v>
      </c>
      <c r="N32" s="182">
        <v>4044897</v>
      </c>
      <c r="O32" s="182">
        <v>4146093</v>
      </c>
      <c r="P32" s="182">
        <v>4348458</v>
      </c>
      <c r="Q32" s="182">
        <v>4273398</v>
      </c>
      <c r="R32" s="182">
        <v>4167315</v>
      </c>
      <c r="S32" s="182">
        <v>4125060</v>
      </c>
      <c r="T32" s="233">
        <v>29310471</v>
      </c>
      <c r="U32" s="182">
        <v>4153221</v>
      </c>
      <c r="AI32" s="382">
        <v>53074</v>
      </c>
      <c r="AJ32" s="382" t="s">
        <v>109</v>
      </c>
      <c r="AK32" s="384">
        <v>74991.16</v>
      </c>
      <c r="AL32" s="383"/>
      <c r="AM32" s="383"/>
      <c r="AN32" s="383"/>
      <c r="AO32" s="383"/>
      <c r="AP32" s="384">
        <v>1347891</v>
      </c>
      <c r="AQ32" s="383"/>
      <c r="AR32" s="383"/>
      <c r="AS32" s="39">
        <f t="shared" si="10"/>
        <v>1422882.16</v>
      </c>
    </row>
    <row r="33" spans="3:45" ht="16" thickBot="1" x14ac:dyDescent="0.25">
      <c r="K33" s="176"/>
      <c r="L33" s="181" t="s">
        <v>1375</v>
      </c>
      <c r="M33" s="182">
        <v>14170000</v>
      </c>
      <c r="N33" s="182">
        <v>13170000</v>
      </c>
      <c r="O33" s="182">
        <v>13170000</v>
      </c>
      <c r="P33" s="182">
        <v>12083684.210000001</v>
      </c>
      <c r="Q33" s="182">
        <v>12615714.289999999</v>
      </c>
      <c r="R33" s="182">
        <v>12057222.23</v>
      </c>
      <c r="S33" s="182">
        <v>12935454.550000001</v>
      </c>
      <c r="T33" s="233">
        <v>90202075.280000001</v>
      </c>
      <c r="U33" s="182">
        <v>62970714.290000007</v>
      </c>
      <c r="AI33" s="382">
        <v>53075</v>
      </c>
      <c r="AJ33" s="382" t="s">
        <v>111</v>
      </c>
      <c r="AK33" s="383"/>
      <c r="AL33" s="383"/>
      <c r="AM33" s="383"/>
      <c r="AN33" s="383"/>
      <c r="AO33" s="383"/>
      <c r="AP33" s="384">
        <v>11351780</v>
      </c>
      <c r="AQ33" s="383"/>
      <c r="AR33" s="383"/>
      <c r="AS33" s="39">
        <f t="shared" si="10"/>
        <v>11351780</v>
      </c>
    </row>
    <row r="34" spans="3:45" ht="16" thickBot="1" x14ac:dyDescent="0.25">
      <c r="C34" s="321"/>
      <c r="D34" s="322"/>
      <c r="E34" s="439" t="s">
        <v>1651</v>
      </c>
      <c r="F34" s="440"/>
      <c r="G34" s="440"/>
      <c r="H34" s="441"/>
      <c r="I34" s="323" t="s">
        <v>1439</v>
      </c>
      <c r="K34" s="176"/>
      <c r="L34" s="181" t="s">
        <v>1369</v>
      </c>
      <c r="M34" s="182">
        <v>78270908</v>
      </c>
      <c r="N34" s="182">
        <v>80125127</v>
      </c>
      <c r="O34" s="182">
        <v>85793860.340000004</v>
      </c>
      <c r="P34" s="182">
        <v>85709176.069999993</v>
      </c>
      <c r="Q34" s="182">
        <v>86221936.039999992</v>
      </c>
      <c r="R34" s="182">
        <v>85651897.510000005</v>
      </c>
      <c r="S34" s="182">
        <v>83649805.469999999</v>
      </c>
      <c r="T34" s="233">
        <v>585422710.42999995</v>
      </c>
      <c r="U34" s="251">
        <f>SUM(U27:U33)</f>
        <v>81711075.290000007</v>
      </c>
      <c r="AI34" s="382">
        <v>53080</v>
      </c>
      <c r="AJ34" s="382" t="s">
        <v>112</v>
      </c>
      <c r="AK34" s="383"/>
      <c r="AL34" s="383"/>
      <c r="AM34" s="383"/>
      <c r="AN34" s="384">
        <v>869300</v>
      </c>
      <c r="AO34" s="383"/>
      <c r="AP34" s="383"/>
      <c r="AQ34" s="384">
        <v>27499848.609999999</v>
      </c>
      <c r="AR34" s="384">
        <v>-1908060.97</v>
      </c>
      <c r="AS34" s="39">
        <f t="shared" si="10"/>
        <v>26461087.640000001</v>
      </c>
    </row>
    <row r="35" spans="3:45" ht="16" thickBot="1" x14ac:dyDescent="0.25">
      <c r="C35" s="324"/>
      <c r="D35" s="325"/>
      <c r="E35" s="326" t="s">
        <v>1652</v>
      </c>
      <c r="F35" s="326" t="s">
        <v>1653</v>
      </c>
      <c r="G35" s="326" t="s">
        <v>1654</v>
      </c>
      <c r="H35" s="326" t="s">
        <v>1655</v>
      </c>
      <c r="I35" s="326" t="s">
        <v>1656</v>
      </c>
      <c r="K35" s="176"/>
      <c r="L35" s="176"/>
      <c r="M35" s="184">
        <v>2351.25</v>
      </c>
      <c r="N35" s="184">
        <v>2351.25</v>
      </c>
      <c r="O35" s="184">
        <v>2351.25</v>
      </c>
      <c r="P35" s="184">
        <v>2351.25</v>
      </c>
      <c r="Q35" s="184">
        <v>2351.25</v>
      </c>
      <c r="R35" s="182">
        <v>2500</v>
      </c>
      <c r="S35" s="182">
        <v>2500</v>
      </c>
      <c r="T35" s="232"/>
      <c r="U35" s="182">
        <v>2500</v>
      </c>
      <c r="V35" s="182">
        <v>2500</v>
      </c>
      <c r="AI35" s="382">
        <v>53090</v>
      </c>
      <c r="AJ35" s="382" t="s">
        <v>113</v>
      </c>
      <c r="AK35" s="383"/>
      <c r="AL35" s="383"/>
      <c r="AM35" s="383"/>
      <c r="AN35" s="383"/>
      <c r="AO35" s="383"/>
      <c r="AP35" s="384">
        <v>193100</v>
      </c>
      <c r="AQ35" s="383"/>
      <c r="AR35" s="383"/>
      <c r="AS35" s="39">
        <f t="shared" si="10"/>
        <v>193100</v>
      </c>
    </row>
    <row r="36" spans="3:45" ht="16" thickBot="1" x14ac:dyDescent="0.25">
      <c r="C36" s="327" t="s">
        <v>1657</v>
      </c>
      <c r="D36" s="328" t="s">
        <v>1658</v>
      </c>
      <c r="E36" s="329">
        <v>63400548</v>
      </c>
      <c r="F36" s="329">
        <v>76849752</v>
      </c>
      <c r="G36" s="329">
        <v>519347</v>
      </c>
      <c r="H36" s="329">
        <v>3449245</v>
      </c>
      <c r="I36" s="329">
        <v>1870061593</v>
      </c>
      <c r="K36" s="176"/>
      <c r="L36" s="176" t="s">
        <v>1644</v>
      </c>
      <c r="M36" s="185">
        <f>M29/M35*2500</f>
        <v>3893750.0053163213</v>
      </c>
      <c r="N36" s="185">
        <f t="shared" ref="N36:V36" si="11">N29/N35*2500</f>
        <v>3745275.0026581604</v>
      </c>
      <c r="O36" s="185">
        <f t="shared" si="11"/>
        <v>3839350.0053163213</v>
      </c>
      <c r="P36" s="185">
        <f t="shared" si="11"/>
        <v>4026350.0053163208</v>
      </c>
      <c r="Q36" s="185">
        <f t="shared" si="11"/>
        <v>3956850.0053163213</v>
      </c>
      <c r="R36" s="185">
        <f t="shared" si="11"/>
        <v>3858625</v>
      </c>
      <c r="S36" s="185">
        <f t="shared" si="11"/>
        <v>3819500</v>
      </c>
      <c r="T36" s="232"/>
      <c r="U36" s="185">
        <f t="shared" si="11"/>
        <v>3837400</v>
      </c>
      <c r="V36" s="185">
        <f t="shared" si="11"/>
        <v>3715650</v>
      </c>
      <c r="AI36" s="382">
        <v>53095</v>
      </c>
      <c r="AJ36" s="382" t="s">
        <v>114</v>
      </c>
      <c r="AK36" s="383"/>
      <c r="AL36" s="383"/>
      <c r="AM36" s="383"/>
      <c r="AN36" s="383"/>
      <c r="AO36" s="383"/>
      <c r="AP36" s="384">
        <v>67111.16</v>
      </c>
      <c r="AQ36" s="383"/>
      <c r="AR36" s="383"/>
      <c r="AS36" s="39">
        <f t="shared" si="10"/>
        <v>67111.16</v>
      </c>
    </row>
    <row r="37" spans="3:45" ht="16" thickBot="1" x14ac:dyDescent="0.25">
      <c r="C37" s="327" t="s">
        <v>1659</v>
      </c>
      <c r="D37" s="328" t="s">
        <v>1660</v>
      </c>
      <c r="E37" s="325"/>
      <c r="F37" s="325"/>
      <c r="G37" s="325"/>
      <c r="H37" s="325"/>
      <c r="I37" s="325"/>
      <c r="K37" s="176"/>
      <c r="L37" s="176"/>
      <c r="M37" s="176"/>
      <c r="N37" s="176"/>
      <c r="O37" s="176"/>
      <c r="P37" s="176"/>
      <c r="Q37" s="176"/>
      <c r="R37" s="176"/>
      <c r="S37" s="176"/>
      <c r="T37" s="232"/>
      <c r="U37" s="176"/>
      <c r="AI37" s="382">
        <v>53110</v>
      </c>
      <c r="AJ37" s="382" t="s">
        <v>115</v>
      </c>
      <c r="AK37" s="383"/>
      <c r="AL37" s="383"/>
      <c r="AM37" s="383"/>
      <c r="AN37" s="383"/>
      <c r="AO37" s="383"/>
      <c r="AP37" s="384">
        <v>1705444.95</v>
      </c>
      <c r="AQ37" s="383"/>
      <c r="AR37" s="383"/>
      <c r="AS37" s="39">
        <f t="shared" si="10"/>
        <v>1705444.95</v>
      </c>
    </row>
    <row r="38" spans="3:45" ht="16" thickBot="1" x14ac:dyDescent="0.25">
      <c r="C38" s="330" t="s">
        <v>1661</v>
      </c>
      <c r="D38" s="329">
        <v>43420679</v>
      </c>
      <c r="E38" s="329">
        <v>21914760</v>
      </c>
      <c r="F38" s="329">
        <v>20035121</v>
      </c>
      <c r="G38" s="329">
        <v>706159</v>
      </c>
      <c r="H38" s="329">
        <v>764639</v>
      </c>
      <c r="I38" s="329">
        <v>0</v>
      </c>
      <c r="K38" s="176"/>
      <c r="L38" s="186" t="s">
        <v>1376</v>
      </c>
      <c r="M38" s="40">
        <f>M28+M31+M32+M36</f>
        <v>12460000.005316321</v>
      </c>
      <c r="N38" s="40">
        <f t="shared" ref="N38:V38" si="12">N28+N31+N32+N36</f>
        <v>14007328.50265816</v>
      </c>
      <c r="O38" s="40">
        <f t="shared" si="12"/>
        <v>16892735.005316321</v>
      </c>
      <c r="P38" s="40">
        <f t="shared" si="12"/>
        <v>17715940.005316321</v>
      </c>
      <c r="Q38" s="40">
        <f t="shared" si="12"/>
        <v>17410140.005316321</v>
      </c>
      <c r="R38" s="40">
        <f t="shared" si="12"/>
        <v>16977950</v>
      </c>
      <c r="S38" s="40">
        <f t="shared" si="12"/>
        <v>16805800</v>
      </c>
      <c r="T38" s="234">
        <f>SUM(M38:S38,U38,V38)</f>
        <v>137337712.52392346</v>
      </c>
      <c r="U38" s="40">
        <f t="shared" si="12"/>
        <v>16893389</v>
      </c>
      <c r="V38" s="40">
        <f t="shared" si="12"/>
        <v>8174430</v>
      </c>
      <c r="AI38" s="382">
        <v>53120</v>
      </c>
      <c r="AJ38" s="382" t="s">
        <v>116</v>
      </c>
      <c r="AK38" s="383"/>
      <c r="AL38" s="383"/>
      <c r="AM38" s="384">
        <v>68093504.609999999</v>
      </c>
      <c r="AN38" s="384">
        <v>6976315.79</v>
      </c>
      <c r="AO38" s="383"/>
      <c r="AP38" s="384">
        <v>92561874.489999995</v>
      </c>
      <c r="AQ38" s="384">
        <v>274978257.35000002</v>
      </c>
      <c r="AR38" s="383"/>
      <c r="AS38" s="39">
        <f t="shared" si="10"/>
        <v>442609952.24000001</v>
      </c>
    </row>
    <row r="39" spans="3:45" ht="16" thickBot="1" x14ac:dyDescent="0.25">
      <c r="C39" s="330" t="s">
        <v>1662</v>
      </c>
      <c r="D39" s="329">
        <v>95100372</v>
      </c>
      <c r="E39" s="329">
        <v>47997911</v>
      </c>
      <c r="F39" s="329">
        <v>43881107</v>
      </c>
      <c r="G39" s="329">
        <v>1546636</v>
      </c>
      <c r="H39" s="329">
        <v>1674719</v>
      </c>
      <c r="I39" s="329">
        <v>0</v>
      </c>
      <c r="K39" s="176"/>
      <c r="L39" s="176" t="s">
        <v>1377</v>
      </c>
      <c r="M39" s="184">
        <v>12119957.609999999</v>
      </c>
      <c r="N39" s="184">
        <v>12879203.020000003</v>
      </c>
      <c r="O39" s="184">
        <v>14758794.060000002</v>
      </c>
      <c r="P39" s="184">
        <v>13321043.100000003</v>
      </c>
      <c r="Q39" s="184">
        <v>14653590.740000004</v>
      </c>
      <c r="R39" s="184">
        <v>14712057.060000002</v>
      </c>
      <c r="S39" s="184">
        <v>15240689.98</v>
      </c>
      <c r="T39" s="234">
        <f>SUM(M39:S39,U39:V39)</f>
        <v>126130921.13000003</v>
      </c>
      <c r="U39" s="184">
        <v>15419123.020000001</v>
      </c>
      <c r="V39" s="184">
        <v>13026462.540000001</v>
      </c>
      <c r="AI39" s="382">
        <v>53140</v>
      </c>
      <c r="AJ39" s="382" t="s">
        <v>117</v>
      </c>
      <c r="AK39" s="383"/>
      <c r="AL39" s="383"/>
      <c r="AM39" s="383"/>
      <c r="AN39" s="383"/>
      <c r="AO39" s="383"/>
      <c r="AP39" s="384">
        <v>7932306.2199999997</v>
      </c>
      <c r="AQ39" s="384">
        <v>117476545.48999999</v>
      </c>
      <c r="AR39" s="383"/>
      <c r="AS39" s="39">
        <f t="shared" si="10"/>
        <v>125408851.70999999</v>
      </c>
    </row>
    <row r="40" spans="3:45" ht="16" thickBot="1" x14ac:dyDescent="0.25">
      <c r="C40" s="330" t="s">
        <v>1663</v>
      </c>
      <c r="D40" s="329">
        <v>900256748</v>
      </c>
      <c r="E40" s="329">
        <v>454366709</v>
      </c>
      <c r="F40" s="329">
        <v>415395454</v>
      </c>
      <c r="G40" s="329">
        <v>14641052</v>
      </c>
      <c r="H40" s="329">
        <v>15853533</v>
      </c>
      <c r="I40" s="329">
        <v>0</v>
      </c>
      <c r="K40" s="176"/>
      <c r="L40" s="176"/>
      <c r="M40" s="176"/>
      <c r="N40" s="176"/>
      <c r="O40" s="176"/>
      <c r="P40" s="176"/>
      <c r="Q40" s="176"/>
      <c r="R40" s="176"/>
      <c r="S40" s="176"/>
      <c r="T40" s="234">
        <f>T34-T38-T39</f>
        <v>321954076.77607644</v>
      </c>
      <c r="U40" s="184"/>
      <c r="AI40" s="382">
        <v>69600</v>
      </c>
      <c r="AJ40" s="382" t="s">
        <v>118</v>
      </c>
      <c r="AK40" s="383"/>
      <c r="AL40" s="383"/>
      <c r="AM40" s="383"/>
      <c r="AN40" s="383"/>
      <c r="AO40" s="383"/>
      <c r="AP40" s="384">
        <v>16680059</v>
      </c>
      <c r="AQ40" s="384">
        <v>24031318.609999999</v>
      </c>
      <c r="AR40" s="383"/>
      <c r="AS40" s="39">
        <f t="shared" si="10"/>
        <v>40711377.609999999</v>
      </c>
    </row>
    <row r="41" spans="3:45" ht="16" thickBot="1" x14ac:dyDescent="0.25">
      <c r="C41" s="330" t="s">
        <v>1664</v>
      </c>
      <c r="D41" s="329">
        <v>49250</v>
      </c>
      <c r="E41" s="329">
        <v>24857</v>
      </c>
      <c r="F41" s="329">
        <v>22725</v>
      </c>
      <c r="G41" s="329">
        <v>801</v>
      </c>
      <c r="H41" s="329">
        <v>867</v>
      </c>
      <c r="I41" s="329">
        <v>0</v>
      </c>
      <c r="K41" s="176"/>
      <c r="L41" s="176"/>
      <c r="M41" s="176"/>
      <c r="N41" s="176"/>
      <c r="O41" s="176"/>
      <c r="P41" s="176"/>
      <c r="Q41" s="176"/>
      <c r="R41" s="176"/>
      <c r="S41" s="176"/>
      <c r="T41" s="40"/>
      <c r="AI41" s="385" t="s">
        <v>1369</v>
      </c>
      <c r="AJ41" s="382"/>
      <c r="AK41" s="386">
        <v>563721.79</v>
      </c>
      <c r="AL41" s="386">
        <v>34060423.740000002</v>
      </c>
      <c r="AM41" s="386">
        <v>68093504.609999999</v>
      </c>
      <c r="AN41" s="386">
        <v>7869693.6299999999</v>
      </c>
      <c r="AO41" s="386">
        <v>39156019.549999997</v>
      </c>
      <c r="AP41" s="386">
        <v>172999041.09999999</v>
      </c>
      <c r="AQ41" s="386">
        <v>474873571.69999999</v>
      </c>
      <c r="AR41" s="386">
        <v>7105150.8300000001</v>
      </c>
      <c r="AS41" s="386">
        <f t="shared" si="10"/>
        <v>804721126.94999993</v>
      </c>
    </row>
    <row r="42" spans="3:45" ht="16" thickBot="1" x14ac:dyDescent="0.25">
      <c r="C42" s="330" t="s">
        <v>1665</v>
      </c>
      <c r="D42" s="329">
        <v>277587895</v>
      </c>
      <c r="E42" s="329">
        <v>140100809</v>
      </c>
      <c r="F42" s="329">
        <v>128084294</v>
      </c>
      <c r="G42" s="329">
        <v>4514466</v>
      </c>
      <c r="H42" s="329">
        <v>4888327</v>
      </c>
      <c r="I42" s="329">
        <v>0</v>
      </c>
    </row>
    <row r="43" spans="3:45" ht="16" thickBot="1" x14ac:dyDescent="0.25">
      <c r="C43" s="330" t="s">
        <v>1666</v>
      </c>
      <c r="D43" s="329">
        <v>75453615</v>
      </c>
      <c r="E43" s="329">
        <v>38082037</v>
      </c>
      <c r="F43" s="329">
        <v>34815722</v>
      </c>
      <c r="G43" s="329">
        <v>1227117</v>
      </c>
      <c r="H43" s="329">
        <v>1328739</v>
      </c>
      <c r="I43" s="329">
        <v>0</v>
      </c>
      <c r="L43" t="s">
        <v>1643</v>
      </c>
      <c r="M43" s="50">
        <f>138825976</f>
        <v>138825976</v>
      </c>
      <c r="N43">
        <v>77378814.159999996</v>
      </c>
      <c r="R43" t="s">
        <v>1379</v>
      </c>
      <c r="T43" s="45">
        <f>-L9</f>
        <v>-17964044.820000008</v>
      </c>
    </row>
    <row r="44" spans="3:45" ht="16" thickBot="1" x14ac:dyDescent="0.25">
      <c r="C44" s="330" t="s">
        <v>1667</v>
      </c>
      <c r="D44" s="329">
        <v>5904696</v>
      </c>
      <c r="E44" s="329">
        <v>2980147</v>
      </c>
      <c r="F44" s="329">
        <v>2724538</v>
      </c>
      <c r="G44" s="329">
        <v>96029</v>
      </c>
      <c r="H44" s="329">
        <v>103982</v>
      </c>
      <c r="I44" s="329">
        <v>0</v>
      </c>
      <c r="R44" t="s">
        <v>1378</v>
      </c>
      <c r="T44" s="39">
        <v>13682409.93</v>
      </c>
    </row>
    <row r="45" spans="3:45" ht="16" thickBot="1" x14ac:dyDescent="0.25">
      <c r="C45" s="330" t="s">
        <v>1668</v>
      </c>
      <c r="D45" s="329">
        <v>228478519</v>
      </c>
      <c r="E45" s="329">
        <v>115314918</v>
      </c>
      <c r="F45" s="329">
        <v>105424300</v>
      </c>
      <c r="G45" s="329">
        <v>3715791</v>
      </c>
      <c r="H45" s="329">
        <v>4023510</v>
      </c>
      <c r="I45" s="329">
        <v>0</v>
      </c>
      <c r="L45" t="s">
        <v>1645</v>
      </c>
      <c r="M45">
        <v>29278402.879999999</v>
      </c>
      <c r="R45" t="s">
        <v>1457</v>
      </c>
      <c r="T45" s="39">
        <v>5723972.9800000004</v>
      </c>
    </row>
    <row r="46" spans="3:45" ht="16" thickBot="1" x14ac:dyDescent="0.25">
      <c r="C46" s="320" t="s">
        <v>1669</v>
      </c>
      <c r="D46" s="321"/>
      <c r="E46" s="332">
        <f>SUM(E36:E45)</f>
        <v>884182696</v>
      </c>
      <c r="F46" s="332">
        <f>SUM(F36:F45)</f>
        <v>827233013</v>
      </c>
      <c r="G46" s="332">
        <f>SUM(G36:G45)</f>
        <v>26967398</v>
      </c>
      <c r="H46" s="332">
        <f>SUM(H36:H45)</f>
        <v>32087561</v>
      </c>
      <c r="I46" s="332">
        <f>SUM(I36:I45)</f>
        <v>1870061593</v>
      </c>
      <c r="L46" t="s">
        <v>1646</v>
      </c>
      <c r="M46">
        <v>32168758.960000001</v>
      </c>
      <c r="R46" t="s">
        <v>1456</v>
      </c>
      <c r="T46">
        <v>784810.01</v>
      </c>
    </row>
    <row r="47" spans="3:45" ht="17" thickTop="1" thickBot="1" x14ac:dyDescent="0.25">
      <c r="C47" s="324"/>
      <c r="D47" s="324"/>
      <c r="E47" s="324"/>
      <c r="F47" s="324"/>
      <c r="G47" s="324"/>
      <c r="H47" s="324"/>
      <c r="I47" s="324"/>
      <c r="L47" s="178">
        <v>0.3</v>
      </c>
      <c r="M47">
        <f>L47*N43</f>
        <v>23213644.248</v>
      </c>
      <c r="N47">
        <v>23213644.248</v>
      </c>
      <c r="T47">
        <v>50000000</v>
      </c>
    </row>
    <row r="48" spans="3:45" ht="16" thickBot="1" x14ac:dyDescent="0.25">
      <c r="C48" s="333" t="s">
        <v>1670</v>
      </c>
      <c r="D48" s="329">
        <v>49185347</v>
      </c>
      <c r="E48" s="329">
        <v>24824234</v>
      </c>
      <c r="F48" s="329">
        <v>22695048</v>
      </c>
      <c r="G48" s="329">
        <v>6873962</v>
      </c>
      <c r="H48" s="329">
        <v>866155</v>
      </c>
      <c r="I48" s="329">
        <v>2669215</v>
      </c>
      <c r="M48" s="45">
        <f>M43-M45-M46-M47</f>
        <v>54165169.912</v>
      </c>
    </row>
    <row r="49" spans="3:22" ht="16" thickBot="1" x14ac:dyDescent="0.25">
      <c r="C49" s="330" t="s">
        <v>17</v>
      </c>
      <c r="D49" s="331">
        <v>0</v>
      </c>
      <c r="E49" s="331">
        <v>0</v>
      </c>
      <c r="F49" s="331">
        <v>0</v>
      </c>
      <c r="G49" s="331">
        <v>0</v>
      </c>
      <c r="H49" s="331">
        <v>0</v>
      </c>
      <c r="I49" s="329">
        <v>278268144</v>
      </c>
      <c r="P49">
        <f>151-89</f>
        <v>62</v>
      </c>
      <c r="R49" t="s">
        <v>1380</v>
      </c>
      <c r="S49" t="s">
        <v>1381</v>
      </c>
      <c r="T49" s="50">
        <v>2229831.239999935</v>
      </c>
    </row>
    <row r="50" spans="3:22" ht="16" thickBot="1" x14ac:dyDescent="0.25">
      <c r="C50" s="330" t="s">
        <v>1398</v>
      </c>
      <c r="D50" s="325"/>
      <c r="E50" s="325"/>
      <c r="F50" s="325"/>
      <c r="G50" s="325"/>
      <c r="H50" s="325"/>
      <c r="I50" s="325"/>
      <c r="S50" t="s">
        <v>1382</v>
      </c>
      <c r="T50" s="50">
        <v>-1039910.38</v>
      </c>
    </row>
    <row r="51" spans="3:22" ht="16" thickBot="1" x14ac:dyDescent="0.25">
      <c r="C51" s="334" t="s">
        <v>1671</v>
      </c>
      <c r="D51" s="321"/>
      <c r="E51" s="332">
        <f>SUM(E48:E50)</f>
        <v>24824234</v>
      </c>
      <c r="F51" s="332">
        <f>SUM(F48:F50)</f>
        <v>22695048</v>
      </c>
      <c r="G51" s="332">
        <f>SUM(G48:G50)</f>
        <v>6873962</v>
      </c>
      <c r="H51" s="332">
        <f>SUM(H48:H50)</f>
        <v>866155</v>
      </c>
      <c r="I51" s="332">
        <f>SUM(I48:I50)</f>
        <v>280937359</v>
      </c>
      <c r="T51" s="187">
        <f>T49+T50</f>
        <v>1189920.8599999351</v>
      </c>
    </row>
    <row r="52" spans="3:22" ht="17" thickTop="1" thickBot="1" x14ac:dyDescent="0.25">
      <c r="C52" s="320" t="s">
        <v>1672</v>
      </c>
      <c r="D52" s="321"/>
      <c r="E52" s="332">
        <f>E51+E46</f>
        <v>909006930</v>
      </c>
      <c r="F52" s="332">
        <f>F51+F46</f>
        <v>849928061</v>
      </c>
      <c r="G52" s="332">
        <f>G51+G46</f>
        <v>33841360</v>
      </c>
      <c r="H52" s="332">
        <f>H51+H46</f>
        <v>32953716</v>
      </c>
      <c r="I52" s="332">
        <f>I51+I46</f>
        <v>2150998952</v>
      </c>
    </row>
    <row r="53" spans="3:22" ht="16" thickTop="1" x14ac:dyDescent="0.2"/>
    <row r="54" spans="3:22" x14ac:dyDescent="0.2">
      <c r="K54" s="158"/>
      <c r="L54" s="159">
        <f>Summary!$C$2</f>
        <v>46142</v>
      </c>
      <c r="M54" s="160"/>
      <c r="N54" s="160"/>
      <c r="O54" s="160"/>
      <c r="P54" s="163" t="s">
        <v>1356</v>
      </c>
      <c r="Q54" s="166" t="s">
        <v>1357</v>
      </c>
      <c r="R54" s="163" t="s">
        <v>1358</v>
      </c>
      <c r="S54" s="166" t="s">
        <v>1433</v>
      </c>
      <c r="T54" s="166" t="s">
        <v>1436</v>
      </c>
    </row>
    <row r="55" spans="3:22" x14ac:dyDescent="0.2">
      <c r="K55" s="161" t="s">
        <v>1384</v>
      </c>
      <c r="L55" s="82" t="s">
        <v>1327</v>
      </c>
      <c r="M55" s="82" t="s">
        <v>1302</v>
      </c>
      <c r="N55" s="82" t="s">
        <v>1328</v>
      </c>
      <c r="O55" s="82" t="s">
        <v>1331</v>
      </c>
      <c r="P55" s="164" t="s">
        <v>1296</v>
      </c>
      <c r="Q55" s="162" t="s">
        <v>1330</v>
      </c>
      <c r="R55" s="164" t="s">
        <v>1296</v>
      </c>
      <c r="S55" s="162" t="s">
        <v>1330</v>
      </c>
      <c r="T55" s="162"/>
    </row>
    <row r="56" spans="3:22" x14ac:dyDescent="0.2">
      <c r="K56" s="145" t="s">
        <v>31</v>
      </c>
      <c r="L56" s="87">
        <f>INDEX(BS_NG!$C$3:$AM$227, MATCH('Segment Report'!$K56, BS_NG!$C$3:$C$227, 0), MATCH('Segment Report'!$L$54, BS_NG!$C$3:$AM$3, 0))</f>
        <v>2458659337.4700003</v>
      </c>
      <c r="M56" s="87">
        <f>INDEX(BS_UK!$C$3:$AM$217, MATCH('Segment Report'!$K56, BS_UK!$C$3:$C$217, 0), MATCH('Segment Report'!$L$54, BS_UK!$C$3:$AM$3, 0))</f>
        <v>94536934.855999991</v>
      </c>
      <c r="N56" s="87">
        <f>INDEX(BS_UAE!$C$3:$AM$216, MATCH('Segment Report'!$K56, BS_UAE!$C$3:$C$216, 0), MATCH('Segment Report'!$L$54, BS_UAE!$C$3:$AM$3, 0))</f>
        <v>90142102.582320005</v>
      </c>
      <c r="O56" s="90">
        <f t="shared" ref="O56:O71" si="13">SUM(L56:N56)</f>
        <v>2643338374.9083204</v>
      </c>
      <c r="P56" s="87">
        <f>P92+M56+N56</f>
        <v>2194817547.0078201</v>
      </c>
      <c r="Q56" s="142">
        <f t="shared" ref="Q56:Q71" si="14">O56-P56</f>
        <v>448520827.9005003</v>
      </c>
      <c r="R56" s="87">
        <f t="shared" ref="R56:R72" si="15">P56/C_RATE</f>
        <v>1596753.5171567569</v>
      </c>
      <c r="S56" s="87">
        <f t="shared" ref="S56:S72" si="16">Q56/C_RATE</f>
        <v>326303.75606598548</v>
      </c>
      <c r="T56" s="87">
        <f>R56+S56</f>
        <v>1923057.2732227424</v>
      </c>
      <c r="V56" s="40">
        <f>O56-P56-Q56</f>
        <v>0</v>
      </c>
    </row>
    <row r="57" spans="3:22" x14ac:dyDescent="0.2">
      <c r="E57" s="391">
        <v>-10582379</v>
      </c>
      <c r="F57" s="391">
        <v>92021816</v>
      </c>
      <c r="G57" s="391">
        <v>718018</v>
      </c>
      <c r="H57" s="391">
        <v>4034071</v>
      </c>
      <c r="K57" s="145" t="s">
        <v>32</v>
      </c>
      <c r="L57" s="87">
        <f>INDEX(BS_NG!$C$3:$AM$227, MATCH('Segment Report'!$K57, BS_NG!$C$3:$C$227, 0), MATCH('Segment Report'!$L$54, BS_NG!$C$3:$AM$3, 0))</f>
        <v>573307915.97000003</v>
      </c>
      <c r="M57" s="87">
        <f>INDEX(BS_UK!$C$3:$AM$217, MATCH('Segment Report'!$K57, BS_UK!$C$3:$C$217, 0), MATCH('Segment Report'!$L$54, BS_UK!$C$3:$AM$3, 0))</f>
        <v>20914026.379999999</v>
      </c>
      <c r="N57" s="87">
        <f>INDEX(BS_UAE!$C$3:$AM$216, MATCH('Segment Report'!$K57, BS_UAE!$C$3:$C$216, 0), MATCH('Segment Report'!$L$54, BS_UAE!$C$3:$AM$3, 0))</f>
        <v>0</v>
      </c>
      <c r="O57" s="90">
        <f t="shared" si="13"/>
        <v>594221942.35000002</v>
      </c>
      <c r="P57" s="87">
        <v>0</v>
      </c>
      <c r="Q57" s="142">
        <f t="shared" si="14"/>
        <v>594221942.35000002</v>
      </c>
      <c r="R57" s="87">
        <f t="shared" si="15"/>
        <v>0</v>
      </c>
      <c r="S57" s="87">
        <f t="shared" si="16"/>
        <v>432302.8935651668</v>
      </c>
      <c r="T57" s="87">
        <f t="shared" ref="T57:T72" si="17">R57+S57</f>
        <v>432302.8935651668</v>
      </c>
      <c r="V57" s="40">
        <f t="shared" ref="V57:V73" si="18">O57-P57-Q57</f>
        <v>0</v>
      </c>
    </row>
    <row r="58" spans="3:22" x14ac:dyDescent="0.2">
      <c r="E58" s="321"/>
      <c r="F58" s="321"/>
      <c r="G58" s="321"/>
      <c r="H58" s="321"/>
      <c r="K58" s="145" t="s">
        <v>34</v>
      </c>
      <c r="L58" s="87">
        <f>INDEX(BS_NG!$C$3:$AM$227, MATCH('Segment Report'!$K58, BS_NG!$C$3:$C$227, 0), MATCH('Segment Report'!$L$54, BS_NG!$C$3:$AM$3, 0))</f>
        <v>45773937.899999999</v>
      </c>
      <c r="M58" s="87">
        <f>INDEX(BS_UK!$C$3:$AM$217, MATCH('Segment Report'!$K58, BS_UK!$C$3:$C$217, 0), MATCH('Segment Report'!$L$54, BS_UK!$C$3:$AM$3, 0))</f>
        <v>3465642.1669999999</v>
      </c>
      <c r="N58" s="87">
        <f>INDEX(BS_UAE!$C$3:$AM$216, MATCH('Segment Report'!$K58, BS_UAE!$C$3:$C$216, 0), MATCH('Segment Report'!$L$54, BS_UAE!$C$3:$AM$3, 0))</f>
        <v>0</v>
      </c>
      <c r="O58" s="90">
        <f t="shared" si="13"/>
        <v>49239580.067000002</v>
      </c>
      <c r="P58" s="87">
        <v>0</v>
      </c>
      <c r="Q58" s="142">
        <f t="shared" si="14"/>
        <v>49239580.067000002</v>
      </c>
      <c r="R58" s="87">
        <f t="shared" si="15"/>
        <v>0</v>
      </c>
      <c r="S58" s="87">
        <f t="shared" si="16"/>
        <v>35822.327355861918</v>
      </c>
      <c r="T58" s="87">
        <f t="shared" si="17"/>
        <v>35822.327355861918</v>
      </c>
      <c r="V58" s="40">
        <f t="shared" si="18"/>
        <v>0</v>
      </c>
    </row>
    <row r="59" spans="3:22" x14ac:dyDescent="0.2">
      <c r="E59" s="391">
        <v>40830188</v>
      </c>
      <c r="F59" s="391">
        <v>43437617</v>
      </c>
      <c r="G59" s="391">
        <v>2134254</v>
      </c>
      <c r="H59" s="391">
        <v>1271839</v>
      </c>
      <c r="K59" s="145" t="s">
        <v>36</v>
      </c>
      <c r="L59" s="87">
        <f>INDEX(BS_NG!$C$3:$AM$227, MATCH('Segment Report'!$K59, BS_NG!$C$3:$C$227, 0), MATCH('Segment Report'!$L$54, BS_NG!$C$3:$AM$3, 0))</f>
        <v>218955544.52999997</v>
      </c>
      <c r="M59" s="87">
        <f>INDEX(BS_UK!$C$3:$AM$217, MATCH('Segment Report'!$K59, BS_UK!$C$3:$C$217, 0), MATCH('Segment Report'!$L$54, BS_UK!$C$3:$AM$3, 0))</f>
        <v>798435.03999999992</v>
      </c>
      <c r="N59" s="87">
        <f>INDEX(BS_UAE!$C$3:$AM$216, MATCH('Segment Report'!$K59, BS_UAE!$C$3:$C$216, 0), MATCH('Segment Report'!$L$54, BS_UAE!$C$3:$AM$3, 0))</f>
        <v>7850695.6933199996</v>
      </c>
      <c r="O59" s="90">
        <f t="shared" si="13"/>
        <v>227604675.26331997</v>
      </c>
      <c r="P59" s="87">
        <v>0</v>
      </c>
      <c r="Q59" s="142">
        <f t="shared" si="14"/>
        <v>227604675.26331997</v>
      </c>
      <c r="R59" s="87">
        <f t="shared" si="15"/>
        <v>0</v>
      </c>
      <c r="S59" s="87">
        <f t="shared" si="16"/>
        <v>165584.86432892218</v>
      </c>
      <c r="T59" s="87">
        <f t="shared" si="17"/>
        <v>165584.86432892218</v>
      </c>
      <c r="V59" s="40">
        <f t="shared" si="18"/>
        <v>0</v>
      </c>
    </row>
    <row r="60" spans="3:22" x14ac:dyDescent="0.2">
      <c r="E60" s="391">
        <v>50776722</v>
      </c>
      <c r="F60" s="391">
        <v>54019341</v>
      </c>
      <c r="G60" s="391">
        <v>2654174</v>
      </c>
      <c r="H60" s="391">
        <v>1581668</v>
      </c>
      <c r="K60" s="145" t="s">
        <v>38</v>
      </c>
      <c r="L60" s="87">
        <f>INDEX(BS_NG!$C$3:$AM$227, MATCH('Segment Report'!$K60, BS_NG!$C$3:$C$227, 0), MATCH('Segment Report'!$L$54, BS_NG!$C$3:$AM$3, 0))</f>
        <v>7688792.6900000004</v>
      </c>
      <c r="M60" s="87">
        <f>INDEX(BS_UK!$C$3:$AM$217, MATCH('Segment Report'!$K60, BS_UK!$C$3:$C$217, 0), MATCH('Segment Report'!$L$54, BS_UK!$C$3:$AM$3, 0))</f>
        <v>1855100</v>
      </c>
      <c r="N60" s="87">
        <f>INDEX(BS_UAE!$C$3:$AM$216, MATCH('Segment Report'!$K60, BS_UAE!$C$3:$C$216, 0), MATCH('Segment Report'!$L$54, BS_UAE!$C$3:$AM$3, 0))</f>
        <v>0</v>
      </c>
      <c r="O60" s="90">
        <f t="shared" si="13"/>
        <v>9543892.6900000013</v>
      </c>
      <c r="P60" s="87">
        <v>0</v>
      </c>
      <c r="Q60" s="142">
        <f t="shared" si="14"/>
        <v>9543892.6900000013</v>
      </c>
      <c r="R60" s="87">
        <f t="shared" si="15"/>
        <v>0</v>
      </c>
      <c r="S60" s="87">
        <f t="shared" si="16"/>
        <v>6943.2852133425495</v>
      </c>
      <c r="T60" s="87">
        <f t="shared" si="17"/>
        <v>6943.2852133425495</v>
      </c>
      <c r="V60" s="40">
        <f t="shared" si="18"/>
        <v>0</v>
      </c>
    </row>
    <row r="61" spans="3:22" x14ac:dyDescent="0.2">
      <c r="E61" s="391">
        <v>623794239</v>
      </c>
      <c r="F61" s="391">
        <v>663629946</v>
      </c>
      <c r="G61" s="391">
        <v>32606641</v>
      </c>
      <c r="H61" s="391">
        <v>19430857</v>
      </c>
      <c r="K61" s="145" t="s">
        <v>40</v>
      </c>
      <c r="L61" s="87">
        <f>INDEX(BS_NG!$C$3:$AM$227, MATCH('Segment Report'!$K61, BS_NG!$C$3:$C$227, 0), MATCH('Segment Report'!$L$54, BS_NG!$C$3:$AM$3, 0))</f>
        <v>572284631.25</v>
      </c>
      <c r="M61" s="87">
        <f>INDEX(BS_UK!$C$3:$AM$217, MATCH('Segment Report'!$K61, BS_UK!$C$3:$C$217, 0), MATCH('Segment Report'!$L$54, BS_UK!$C$3:$AM$3, 0))</f>
        <v>0</v>
      </c>
      <c r="N61" s="87">
        <f>INDEX(BS_UAE!$C$3:$AM$216, MATCH('Segment Report'!$K61, BS_UAE!$C$3:$C$216, 0), MATCH('Segment Report'!$L$54, BS_UAE!$C$3:$AM$3, 0))</f>
        <v>371299.72296000004</v>
      </c>
      <c r="O61" s="90">
        <f t="shared" si="13"/>
        <v>572655930.97296</v>
      </c>
      <c r="P61" s="87"/>
      <c r="Q61" s="142">
        <f t="shared" si="14"/>
        <v>572655930.97296</v>
      </c>
      <c r="R61" s="87">
        <f t="shared" si="15"/>
        <v>0</v>
      </c>
      <c r="S61" s="87">
        <f t="shared" si="16"/>
        <v>416613.38690695865</v>
      </c>
      <c r="T61" s="87">
        <f t="shared" si="17"/>
        <v>416613.38690695865</v>
      </c>
      <c r="V61" s="40">
        <f t="shared" si="18"/>
        <v>0</v>
      </c>
    </row>
    <row r="62" spans="3:22" x14ac:dyDescent="0.2">
      <c r="E62" s="391">
        <v>57573</v>
      </c>
      <c r="F62" s="391">
        <v>61249</v>
      </c>
      <c r="G62" s="391">
        <v>3009</v>
      </c>
      <c r="H62" s="391">
        <v>1793</v>
      </c>
      <c r="K62" s="145" t="s">
        <v>42</v>
      </c>
      <c r="L62" s="87">
        <f>INDEX(BS_NG!$C$3:$AM$227, MATCH('Segment Report'!$K62, BS_NG!$C$3:$C$227, 0), MATCH('Segment Report'!$L$54, BS_NG!$C$3:$AM$3, 0))*0</f>
        <v>0</v>
      </c>
      <c r="M62" s="87">
        <f>INDEX(BS_UK!$C$3:$AM$217, MATCH('Segment Report'!$K62, BS_UK!$C$3:$C$217, 0), MATCH('Segment Report'!$L$54, BS_UK!$C$3:$AM$3, 0))</f>
        <v>0</v>
      </c>
      <c r="N62" s="87">
        <f>INDEX(BS_UAE!$C$3:$AM$216, MATCH('Segment Report'!$K62, BS_UAE!$C$3:$C$216, 0), MATCH('Segment Report'!$L$54, BS_UAE!$C$3:$AM$3, 0))</f>
        <v>0</v>
      </c>
      <c r="O62" s="90">
        <f t="shared" si="13"/>
        <v>0</v>
      </c>
      <c r="P62" s="87"/>
      <c r="Q62" s="142">
        <f>O62-P62</f>
        <v>0</v>
      </c>
      <c r="R62" s="87">
        <f t="shared" si="15"/>
        <v>0</v>
      </c>
      <c r="S62" s="87">
        <f t="shared" si="16"/>
        <v>0</v>
      </c>
      <c r="T62" s="87">
        <f t="shared" si="17"/>
        <v>0</v>
      </c>
      <c r="V62" s="40">
        <f t="shared" si="18"/>
        <v>0</v>
      </c>
    </row>
    <row r="63" spans="3:22" x14ac:dyDescent="0.2">
      <c r="E63" s="391">
        <v>184064111</v>
      </c>
      <c r="F63" s="391">
        <v>195818506</v>
      </c>
      <c r="G63" s="391">
        <v>9621301</v>
      </c>
      <c r="H63" s="391">
        <v>5733499</v>
      </c>
      <c r="K63" s="145" t="s">
        <v>45</v>
      </c>
      <c r="L63" s="87">
        <f>INDEX(BS_NG!$C$3:$AM$227, MATCH('Segment Report'!$K63, BS_NG!$C$3:$C$227, 0), MATCH('Segment Report'!$L$54, BS_NG!$C$3:$AM$3, 0))</f>
        <v>334516283.69000018</v>
      </c>
      <c r="M63" s="87">
        <f>INDEX(BS_UK!$C$3:$AM$217, MATCH('Segment Report'!$K63, BS_UK!$C$3:$C$217, 0), MATCH('Segment Report'!$L$54, BS_UK!$C$3:$AM$3, 0))</f>
        <v>3616907.0209999997</v>
      </c>
      <c r="N63" s="87">
        <f>INDEX(BS_UAE!$C$3:$AM$216, MATCH('Segment Report'!$K63, BS_UAE!$C$3:$C$216, 0), MATCH('Segment Report'!$L$54, BS_UAE!$C$3:$AM$3, 0))</f>
        <v>187543.29324000003</v>
      </c>
      <c r="O63" s="90">
        <f t="shared" si="13"/>
        <v>338320734.00424021</v>
      </c>
      <c r="P63" s="87">
        <v>0</v>
      </c>
      <c r="Q63" s="142">
        <f t="shared" si="14"/>
        <v>338320734.00424021</v>
      </c>
      <c r="R63" s="87">
        <f t="shared" si="15"/>
        <v>0</v>
      </c>
      <c r="S63" s="87">
        <f t="shared" si="16"/>
        <v>246131.99520151337</v>
      </c>
      <c r="T63" s="87">
        <f t="shared" si="17"/>
        <v>246131.99520151337</v>
      </c>
      <c r="V63" s="40">
        <f t="shared" si="18"/>
        <v>0</v>
      </c>
    </row>
    <row r="64" spans="3:22" x14ac:dyDescent="0.2">
      <c r="E64" s="391">
        <v>42425882</v>
      </c>
      <c r="F64" s="391">
        <v>45135213</v>
      </c>
      <c r="G64" s="391">
        <v>2217663</v>
      </c>
      <c r="H64" s="391">
        <v>1321544</v>
      </c>
      <c r="K64" s="145" t="s">
        <v>47</v>
      </c>
      <c r="L64" s="87">
        <f>INDEX(BS_NG!$C$3:$AM$227, MATCH('Segment Report'!$K64, BS_NG!$C$3:$C$227, 0), MATCH('Segment Report'!$L$54, BS_NG!$C$3:$AM$3, 0))</f>
        <v>2425515971.3800001</v>
      </c>
      <c r="M64" s="87">
        <f>INDEX(BS_UK!$C$3:$AM$217, MATCH('Segment Report'!$K64, BS_UK!$C$3:$C$217, 0), MATCH('Segment Report'!$L$54, BS_UK!$C$3:$AM$3, 0))</f>
        <v>0</v>
      </c>
      <c r="N64" s="87">
        <f>INDEX(BS_UAE!$C$3:$AM$216, MATCH('Segment Report'!$K64, BS_UAE!$C$3:$C$216, 0), MATCH('Segment Report'!$L$54, BS_UAE!$C$3:$AM$3, 0))</f>
        <v>0</v>
      </c>
      <c r="O64" s="90">
        <f t="shared" si="13"/>
        <v>2425515971.3800001</v>
      </c>
      <c r="P64" s="87">
        <f>P96</f>
        <v>1399438542.73</v>
      </c>
      <c r="Q64" s="142">
        <f t="shared" si="14"/>
        <v>1026077428.6500001</v>
      </c>
      <c r="R64" s="87">
        <f t="shared" si="15"/>
        <v>1018106.6841730021</v>
      </c>
      <c r="S64" s="87">
        <f t="shared" si="16"/>
        <v>746482.43326907</v>
      </c>
      <c r="T64" s="87">
        <f t="shared" si="17"/>
        <v>1764589.1174420721</v>
      </c>
      <c r="V64" s="40">
        <f t="shared" si="18"/>
        <v>0</v>
      </c>
    </row>
    <row r="65" spans="5:22" x14ac:dyDescent="0.2">
      <c r="E65" s="391">
        <v>2817508</v>
      </c>
      <c r="F65" s="391">
        <v>2997435</v>
      </c>
      <c r="G65" s="391">
        <v>147275</v>
      </c>
      <c r="H65" s="391">
        <v>87764</v>
      </c>
      <c r="K65" s="145" t="s">
        <v>49</v>
      </c>
      <c r="L65" s="87">
        <f>INDEX(BS_NG!$C$3:$AM$227, MATCH('Segment Report'!$K65, BS_NG!$C$3:$C$227, 0), MATCH('Segment Report'!$L$54, BS_NG!$C$3:$AM$3, 0))</f>
        <v>2738957454.1300001</v>
      </c>
      <c r="M65" s="87">
        <f>INDEX(BS_UK!$C$3:$AM$217, MATCH('Segment Report'!$K65, BS_UK!$C$3:$C$217, 0), MATCH('Segment Report'!$L$54, BS_UK!$C$3:$AM$3, 0))</f>
        <v>0</v>
      </c>
      <c r="N65" s="87">
        <f>INDEX(BS_UAE!$C$3:$AM$216, MATCH('Segment Report'!$K65, BS_UAE!$C$3:$C$216, 0), MATCH('Segment Report'!$L$54, BS_UAE!$C$3:$AM$3, 0))</f>
        <v>0</v>
      </c>
      <c r="O65" s="90">
        <f t="shared" si="13"/>
        <v>2738957454.1300001</v>
      </c>
      <c r="P65" s="87"/>
      <c r="Q65" s="142">
        <f>O65-P65-Q77</f>
        <v>-464143600.93319702</v>
      </c>
      <c r="R65" s="87">
        <f t="shared" si="15"/>
        <v>0</v>
      </c>
      <c r="S65" s="87">
        <f t="shared" si="16"/>
        <v>-337669.49251260195</v>
      </c>
      <c r="T65" s="87">
        <f t="shared" si="17"/>
        <v>-337669.49251260195</v>
      </c>
      <c r="V65" s="40">
        <f t="shared" si="18"/>
        <v>3203101055.0631971</v>
      </c>
    </row>
    <row r="66" spans="5:22" x14ac:dyDescent="0.2">
      <c r="E66" s="391">
        <v>122818936</v>
      </c>
      <c r="F66" s="391">
        <v>130662194</v>
      </c>
      <c r="G66" s="391">
        <v>6419926</v>
      </c>
      <c r="H66" s="391">
        <v>3825744</v>
      </c>
      <c r="K66" s="145" t="s">
        <v>53</v>
      </c>
      <c r="L66" s="87">
        <f>INDEX(BS_NG!$C$3:$AM$227, MATCH('Segment Report'!$K66, BS_NG!$C$3:$C$227, 0), MATCH('Segment Report'!$L$54, BS_NG!$C$3:$AM$3, 0))</f>
        <v>21499460.77</v>
      </c>
      <c r="M66" s="87">
        <f>INDEX(BS_UK!$C$3:$AM$217, MATCH('Segment Report'!$K66, BS_UK!$C$3:$C$217, 0), MATCH('Segment Report'!$L$54, BS_UK!$C$3:$AM$3, 0))</f>
        <v>0</v>
      </c>
      <c r="N66" s="87">
        <f>INDEX(BS_UAE!$C$3:$AM$216, MATCH('Segment Report'!$K66, BS_UAE!$C$3:$C$216, 0), MATCH('Segment Report'!$L$54, BS_UAE!$C$3:$AM$3, 0))</f>
        <v>0</v>
      </c>
      <c r="O66" s="90">
        <f t="shared" si="13"/>
        <v>21499460.77</v>
      </c>
      <c r="P66" s="87"/>
      <c r="Q66" s="142">
        <f t="shared" si="14"/>
        <v>21499460.77</v>
      </c>
      <c r="R66" s="87">
        <f t="shared" si="15"/>
        <v>0</v>
      </c>
      <c r="S66" s="87">
        <f t="shared" si="16"/>
        <v>15641.090371394275</v>
      </c>
      <c r="T66" s="87">
        <f t="shared" si="17"/>
        <v>15641.090371394275</v>
      </c>
      <c r="V66" s="40">
        <f t="shared" si="18"/>
        <v>0</v>
      </c>
    </row>
    <row r="67" spans="5:22" x14ac:dyDescent="0.2">
      <c r="K67" s="145" t="s">
        <v>54</v>
      </c>
      <c r="L67" s="87">
        <f>INDEX(BS_NG!$C$3:$AM$227, MATCH('Segment Report'!$K67, BS_NG!$C$3:$C$227, 0), MATCH('Segment Report'!$L$54, BS_NG!$C$3:$AM$3, 0))</f>
        <v>348729568.84000003</v>
      </c>
      <c r="M67" s="87">
        <f>INDEX(BS_UK!$C$3:$AM$217, MATCH('Segment Report'!$K67, BS_UK!$C$3:$C$217, 0), MATCH('Segment Report'!$L$54, BS_UK!$C$3:$AM$3, 0))</f>
        <v>0</v>
      </c>
      <c r="N67" s="87">
        <f>INDEX(BS_UAE!$C$3:$AM$216, MATCH('Segment Report'!$K67, BS_UAE!$C$3:$C$216, 0), MATCH('Segment Report'!$L$54, BS_UAE!$C$3:$AM$3, 0))</f>
        <v>0</v>
      </c>
      <c r="O67" s="90">
        <f t="shared" si="13"/>
        <v>348729568.84000003</v>
      </c>
      <c r="P67" s="87"/>
      <c r="Q67" s="142">
        <f t="shared" si="14"/>
        <v>348729568.84000003</v>
      </c>
      <c r="R67" s="87">
        <f t="shared" si="15"/>
        <v>0</v>
      </c>
      <c r="S67" s="87">
        <f t="shared" si="16"/>
        <v>253704.53518606094</v>
      </c>
      <c r="T67" s="87">
        <f t="shared" si="17"/>
        <v>253704.53518606094</v>
      </c>
      <c r="V67" s="40">
        <f t="shared" si="18"/>
        <v>0</v>
      </c>
    </row>
    <row r="68" spans="5:22" x14ac:dyDescent="0.2">
      <c r="K68" s="145" t="s">
        <v>55</v>
      </c>
      <c r="L68" s="87">
        <f>INDEX(BS_NG!$C$3:$AM$227, MATCH('Segment Report'!$K68, BS_NG!$C$3:$C$227, 0), MATCH('Segment Report'!$L$54, BS_NG!$C$3:$AM$3, 0))</f>
        <v>79280689.140000001</v>
      </c>
      <c r="M68" s="87">
        <f>INDEX(BS_UK!$C$3:$AM$217, MATCH('Segment Report'!$K68, BS_UK!$C$3:$C$217, 0), MATCH('Segment Report'!$L$54, BS_UK!$C$3:$AM$3, 0))</f>
        <v>9120005.5180000011</v>
      </c>
      <c r="N68" s="87">
        <f>INDEX(BS_UAE!$C$3:$AM$216, MATCH('Segment Report'!$K68, BS_UAE!$C$3:$C$216, 0), MATCH('Segment Report'!$L$54, BS_UAE!$C$3:$AM$3, 0))</f>
        <v>0</v>
      </c>
      <c r="O68" s="90">
        <f t="shared" si="13"/>
        <v>88400694.658000007</v>
      </c>
      <c r="P68" s="87"/>
      <c r="Q68" s="142">
        <f t="shared" si="14"/>
        <v>88400694.658000007</v>
      </c>
      <c r="R68" s="87">
        <f t="shared" si="15"/>
        <v>0</v>
      </c>
      <c r="S68" s="87">
        <f t="shared" si="16"/>
        <v>64312.462011567426</v>
      </c>
      <c r="T68" s="87">
        <f t="shared" si="17"/>
        <v>64312.462011567426</v>
      </c>
      <c r="V68" s="40">
        <f t="shared" si="18"/>
        <v>0</v>
      </c>
    </row>
    <row r="69" spans="5:22" x14ac:dyDescent="0.2">
      <c r="K69" s="145" t="s">
        <v>753</v>
      </c>
      <c r="L69" s="87">
        <f>INDEX(BS_NG!$C$3:$AM$227, MATCH('Segment Report'!$K69, BS_NG!$C$3:$C$227, 0), MATCH('Segment Report'!$L$54, BS_NG!$C$3:$AM$3, 0))</f>
        <v>0</v>
      </c>
      <c r="M69" s="87">
        <f>INDEX(BS_UK!$C$3:$AM$217, MATCH('Segment Report'!$K69, BS_UK!$C$3:$C$217, 0), MATCH('Segment Report'!$L$54, BS_UK!$C$3:$AM$3, 0))*0</f>
        <v>0</v>
      </c>
      <c r="N69" s="87">
        <f>INDEX(BS_UAE!$C$3:$AM$216, MATCH('Segment Report'!$K69, BS_UAE!$C$3:$C$216, 0), MATCH('Segment Report'!$L$54, BS_UAE!$C$3:$AM$3, 0))*0</f>
        <v>0</v>
      </c>
      <c r="O69" s="90">
        <f t="shared" si="13"/>
        <v>0</v>
      </c>
      <c r="P69" s="87"/>
      <c r="Q69" s="142">
        <f>O69-P69</f>
        <v>0</v>
      </c>
      <c r="R69" s="87">
        <f t="shared" si="15"/>
        <v>0</v>
      </c>
      <c r="S69" s="87">
        <f t="shared" si="16"/>
        <v>0</v>
      </c>
      <c r="T69" s="87">
        <f t="shared" si="17"/>
        <v>0</v>
      </c>
      <c r="V69" s="40"/>
    </row>
    <row r="70" spans="5:22" x14ac:dyDescent="0.2">
      <c r="K70" s="145" t="s">
        <v>57</v>
      </c>
      <c r="L70" s="87">
        <f>INDEX(BS_NG!$C$3:$AM$227, MATCH('Segment Report'!$K70, BS_NG!$C$3:$C$227, 0), MATCH('Segment Report'!$L$54, BS_NG!$C$3:$AM$3, 0))</f>
        <v>1029069708.7499999</v>
      </c>
      <c r="M70" s="87">
        <f>INDEX(BS_UK!$C$3:$AM$217, MATCH('Segment Report'!$K70, BS_UK!$C$3:$C$217, 0), MATCH('Segment Report'!$L$54, BS_UK!$C$3:$AM$3, 0))</f>
        <v>114952829.78399998</v>
      </c>
      <c r="N70" s="87">
        <f>INDEX(BS_UAE!$C$3:$AM$216, MATCH('Segment Report'!$K70, BS_UAE!$C$3:$C$216, 0), MATCH('Segment Report'!$L$54, BS_UAE!$C$3:$AM$3, 0))</f>
        <v>952328.82000000007</v>
      </c>
      <c r="O70" s="90">
        <f t="shared" si="13"/>
        <v>1144974867.3539999</v>
      </c>
      <c r="P70" s="87">
        <f>L90</f>
        <v>536074.5</v>
      </c>
      <c r="Q70" s="142">
        <f>O70-P70+Q78</f>
        <v>1505192951.3118017</v>
      </c>
      <c r="R70" s="87">
        <f t="shared" si="15"/>
        <v>390</v>
      </c>
      <c r="S70" s="87">
        <f t="shared" si="16"/>
        <v>1095044.1608612286</v>
      </c>
      <c r="T70" s="87">
        <f t="shared" si="17"/>
        <v>1095434.1608612286</v>
      </c>
      <c r="V70" s="40">
        <f t="shared" si="18"/>
        <v>-360754158.45780182</v>
      </c>
    </row>
    <row r="71" spans="5:22" x14ac:dyDescent="0.2">
      <c r="K71" s="145" t="s">
        <v>61</v>
      </c>
      <c r="L71" s="87">
        <f>INDEX(BS_NG!$C$3:$AM$227, MATCH('Segment Report'!$K71, BS_NG!$C$3:$C$227, 0), MATCH('Segment Report'!$L$54, BS_NG!$C$3:$AM$3, 0))</f>
        <v>6706041209.3599997</v>
      </c>
      <c r="M71" s="87">
        <f>INDEX(BS_UK!$C$3:$AM$217, MATCH('Segment Report'!$K71, BS_UK!$C$3:$C$217, 0), MATCH('Segment Report'!$L$54, BS_UK!$C$3:$AM$3, 0))*0</f>
        <v>0</v>
      </c>
      <c r="N71" s="87">
        <f>INDEX(BS_UAE!$C$3:$AM$216, MATCH('Segment Report'!$K71, BS_UAE!$C$3:$C$216, 0), MATCH('Segment Report'!$L$54, BS_UAE!$C$3:$AM$3, 0))*0</f>
        <v>0</v>
      </c>
      <c r="O71" s="90">
        <f t="shared" si="13"/>
        <v>6706041209.3599997</v>
      </c>
      <c r="P71" s="87">
        <v>6489017168</v>
      </c>
      <c r="Q71" s="142">
        <f t="shared" si="14"/>
        <v>217024041.35999966</v>
      </c>
      <c r="R71" s="87">
        <f t="shared" si="15"/>
        <v>4720830.2120694043</v>
      </c>
      <c r="S71" s="87">
        <f t="shared" si="16"/>
        <v>157887.33866356238</v>
      </c>
      <c r="T71" s="87">
        <f t="shared" si="17"/>
        <v>4878717.5507329665</v>
      </c>
      <c r="V71" s="40">
        <f t="shared" si="18"/>
        <v>0</v>
      </c>
    </row>
    <row r="72" spans="5:22" x14ac:dyDescent="0.2">
      <c r="K72" s="146" t="s">
        <v>62</v>
      </c>
      <c r="L72" s="143">
        <f>INDEX(BS_NG!$C$3:$AM$227, MATCH('Segment Report'!$K72, BS_NG!$C$3:$C$227, 0), MATCH('Segment Report'!$L$54, BS_NG!$C$3:$AM$3, 0))</f>
        <v>101133388.76000166</v>
      </c>
      <c r="M72" s="143">
        <f>INDEX(BS_UK!$C$3:$AM$217, MATCH('Segment Report'!$K72, BS_UK!$C$3:$C$217, 0), MATCH('Segment Report'!$L$54, BS_UK!$C$3:$AM$3, 0))</f>
        <v>-1962046329.4899998</v>
      </c>
      <c r="N72" s="143">
        <f>INDEX(BS_UAE!$C$3:$AM$216, MATCH('Segment Report'!$K72, BS_UAE!$C$3:$C$216, 0), MATCH('Segment Report'!$L$54, BS_UAE!$C$3:$AM$3, 0))</f>
        <v>-525557043.41124004</v>
      </c>
      <c r="O72" s="124">
        <f>SUM(L72:N72)</f>
        <v>-2386469984.1412382</v>
      </c>
      <c r="P72" s="143">
        <v>-2820614755.4962997</v>
      </c>
      <c r="Q72" s="142">
        <f>O72-P72</f>
        <v>434144771.35506153</v>
      </c>
      <c r="R72" s="87">
        <f t="shared" si="15"/>
        <v>-2052027.7585364664</v>
      </c>
      <c r="S72" s="87">
        <f t="shared" si="16"/>
        <v>315845.0193554702</v>
      </c>
      <c r="T72" s="87">
        <f t="shared" si="17"/>
        <v>-1736182.7391809961</v>
      </c>
      <c r="V72" s="40">
        <f>O72-P72-Q72</f>
        <v>0</v>
      </c>
    </row>
    <row r="73" spans="5:22" x14ac:dyDescent="0.2">
      <c r="O73" s="45"/>
      <c r="P73" s="45"/>
      <c r="Q73" s="45"/>
      <c r="R73" s="45"/>
      <c r="S73" s="45"/>
      <c r="V73" s="40">
        <f t="shared" si="18"/>
        <v>0</v>
      </c>
    </row>
    <row r="74" spans="5:22" x14ac:dyDescent="0.2">
      <c r="L74" s="45">
        <f t="shared" ref="L74:S74" si="19">SUM(L56:L65)-SUM(L66:L72)</f>
        <v>1089905843.3900013</v>
      </c>
      <c r="M74" s="45">
        <f t="shared" si="19"/>
        <v>1963160539.6519997</v>
      </c>
      <c r="N74" s="45">
        <f t="shared" si="19"/>
        <v>623156355.88308001</v>
      </c>
      <c r="O74" s="45">
        <f t="shared" si="19"/>
        <v>3676222738.9250793</v>
      </c>
      <c r="P74" s="45">
        <f t="shared" si="19"/>
        <v>-74682397.265880108</v>
      </c>
      <c r="Q74" s="45">
        <f t="shared" si="19"/>
        <v>187049922.66996098</v>
      </c>
      <c r="R74" s="45">
        <f t="shared" si="19"/>
        <v>-54332.252203178592</v>
      </c>
      <c r="S74" s="45">
        <f t="shared" si="19"/>
        <v>136080.84294493543</v>
      </c>
    </row>
    <row r="76" spans="5:22" x14ac:dyDescent="0.2">
      <c r="O76">
        <v>1139053759.4329433</v>
      </c>
    </row>
    <row r="77" spans="5:22" x14ac:dyDescent="0.2">
      <c r="P77" s="40">
        <f>P64-(Summary!AA15*C_RATE)</f>
        <v>3675335497.765399</v>
      </c>
      <c r="Q77">
        <v>3203101055.0631971</v>
      </c>
    </row>
    <row r="78" spans="5:22" x14ac:dyDescent="0.2">
      <c r="Q78">
        <v>360754158.45780182</v>
      </c>
    </row>
    <row r="82" spans="11:16" x14ac:dyDescent="0.2">
      <c r="K82" s="190" t="s">
        <v>1385</v>
      </c>
      <c r="M82" s="190" t="s">
        <v>1386</v>
      </c>
      <c r="P82" s="80" t="s">
        <v>1464</v>
      </c>
    </row>
    <row r="83" spans="11:16" x14ac:dyDescent="0.2">
      <c r="K83" t="s">
        <v>792</v>
      </c>
      <c r="L83" s="50">
        <f>936/12*5*Summary!N3</f>
        <v>536074.5</v>
      </c>
      <c r="M83" t="s">
        <v>273</v>
      </c>
      <c r="O83" t="s">
        <v>1465</v>
      </c>
      <c r="P83" s="39">
        <v>0</v>
      </c>
    </row>
    <row r="84" spans="11:16" x14ac:dyDescent="0.2">
      <c r="K84" t="s">
        <v>1387</v>
      </c>
      <c r="L84" s="50"/>
      <c r="M84" t="s">
        <v>1388</v>
      </c>
      <c r="O84" t="s">
        <v>1466</v>
      </c>
      <c r="P84" s="39">
        <v>39434229.729999997</v>
      </c>
    </row>
    <row r="85" spans="11:16" x14ac:dyDescent="0.2">
      <c r="K85" t="s">
        <v>1389</v>
      </c>
      <c r="L85" s="191">
        <v>0</v>
      </c>
      <c r="M85" t="s">
        <v>1390</v>
      </c>
      <c r="P85" s="39">
        <f>P83+P84</f>
        <v>39434229.729999997</v>
      </c>
    </row>
    <row r="86" spans="11:16" x14ac:dyDescent="0.2">
      <c r="K86" s="192" t="s">
        <v>283</v>
      </c>
      <c r="L86" s="50">
        <v>0</v>
      </c>
      <c r="M86" t="s">
        <v>276</v>
      </c>
      <c r="O86" t="s">
        <v>1286</v>
      </c>
      <c r="P86" s="274">
        <f>P85/C_RATE</f>
        <v>28688.828874904513</v>
      </c>
    </row>
    <row r="87" spans="11:16" x14ac:dyDescent="0.2">
      <c r="K87" t="s">
        <v>284</v>
      </c>
      <c r="L87" s="50">
        <v>0</v>
      </c>
      <c r="M87" t="s">
        <v>1391</v>
      </c>
      <c r="O87" t="s">
        <v>1467</v>
      </c>
      <c r="P87" s="274">
        <v>794679.46</v>
      </c>
    </row>
    <row r="88" spans="11:16" x14ac:dyDescent="0.2">
      <c r="K88" t="s">
        <v>285</v>
      </c>
      <c r="L88" s="50">
        <v>0</v>
      </c>
      <c r="M88" t="s">
        <v>791</v>
      </c>
      <c r="N88" s="39">
        <v>32201965.390000001</v>
      </c>
      <c r="O88" s="39" t="s">
        <v>1468</v>
      </c>
      <c r="P88" s="274">
        <v>687.29</v>
      </c>
    </row>
    <row r="89" spans="11:16" x14ac:dyDescent="0.2">
      <c r="K89" t="s">
        <v>1392</v>
      </c>
      <c r="O89" t="s">
        <v>1469</v>
      </c>
      <c r="P89" s="274">
        <v>111841.94</v>
      </c>
    </row>
    <row r="90" spans="11:16" x14ac:dyDescent="0.2">
      <c r="K90"/>
      <c r="L90" s="45">
        <f>SUM(L83:L89)</f>
        <v>536074.5</v>
      </c>
      <c r="O90" t="s">
        <v>1470</v>
      </c>
      <c r="P90" s="272">
        <v>526500</v>
      </c>
    </row>
    <row r="91" spans="11:16" x14ac:dyDescent="0.2">
      <c r="K91"/>
      <c r="P91" s="273">
        <f>SUM(P86:P90)</f>
        <v>1462397.5188749046</v>
      </c>
    </row>
    <row r="92" spans="11:16" x14ac:dyDescent="0.2">
      <c r="P92" s="39">
        <f>P91*C_RATE</f>
        <v>2010138509.5695</v>
      </c>
    </row>
    <row r="95" spans="11:16" x14ac:dyDescent="0.2">
      <c r="P95" t="s">
        <v>1471</v>
      </c>
    </row>
    <row r="96" spans="11:16" x14ac:dyDescent="0.2">
      <c r="P96" s="50">
        <v>1399438542.73</v>
      </c>
    </row>
    <row r="97" spans="16:16" x14ac:dyDescent="0.2">
      <c r="P97" s="50">
        <f>P96/C_RATE</f>
        <v>1018106.6841730021</v>
      </c>
    </row>
  </sheetData>
  <mergeCells count="4">
    <mergeCell ref="Q3:U3"/>
    <mergeCell ref="Y3:AC3"/>
    <mergeCell ref="E4:H4"/>
    <mergeCell ref="E34:H34"/>
  </mergeCells>
  <hyperlinks>
    <hyperlink ref="C3" r:id="rId2" xr:uid="{23D938D7-4A8A-40DC-9636-7F73909B901F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81A1-1ED4-4031-87E0-6EB539F827DD}">
  <sheetPr codeName="Sheet5"/>
  <dimension ref="B1:AS97"/>
  <sheetViews>
    <sheetView showGridLines="0" zoomScale="70" zoomScaleNormal="70" workbookViewId="0">
      <selection activeCell="I13" sqref="I13"/>
    </sheetView>
  </sheetViews>
  <sheetFormatPr baseColWidth="10" defaultColWidth="8.83203125" defaultRowHeight="15" x14ac:dyDescent="0.2"/>
  <cols>
    <col min="2" max="2" width="34" style="10" bestFit="1" customWidth="1"/>
    <col min="3" max="3" width="16.1640625" bestFit="1" customWidth="1"/>
    <col min="4" max="4" width="14.33203125" customWidth="1"/>
    <col min="5" max="5" width="12.5" bestFit="1" customWidth="1"/>
    <col min="6" max="6" width="19.5" bestFit="1" customWidth="1"/>
    <col min="7" max="10" width="15.5" customWidth="1"/>
    <col min="11" max="11" width="16.83203125" customWidth="1"/>
    <col min="12" max="12" width="12.5" customWidth="1"/>
    <col min="13" max="13" width="14.1640625" style="176" customWidth="1"/>
    <col min="14" max="16" width="15" customWidth="1"/>
    <col min="17" max="17" width="14.1640625" bestFit="1" customWidth="1"/>
    <col min="18" max="20" width="12.5" customWidth="1"/>
    <col min="26" max="26" width="13" bestFit="1" customWidth="1"/>
    <col min="27" max="27" width="16" bestFit="1" customWidth="1"/>
    <col min="28" max="28" width="11.83203125" bestFit="1" customWidth="1"/>
    <col min="29" max="29" width="20.33203125" bestFit="1" customWidth="1"/>
    <col min="30" max="30" width="14.1640625" customWidth="1"/>
    <col min="31" max="31" width="14" bestFit="1" customWidth="1"/>
    <col min="32" max="32" width="13.83203125" bestFit="1" customWidth="1"/>
    <col min="33" max="33" width="13.83203125" customWidth="1"/>
    <col min="34" max="34" width="20" bestFit="1" customWidth="1"/>
    <col min="35" max="36" width="10.5" bestFit="1" customWidth="1"/>
    <col min="37" max="37" width="16.5" bestFit="1" customWidth="1"/>
    <col min="38" max="38" width="9.1640625" bestFit="1" customWidth="1"/>
    <col min="39" max="39" width="13.5" bestFit="1" customWidth="1"/>
    <col min="40" max="40" width="14.1640625" bestFit="1" customWidth="1"/>
    <col min="41" max="41" width="12.5" bestFit="1" customWidth="1"/>
    <col min="42" max="42" width="14.33203125" bestFit="1" customWidth="1"/>
    <col min="43" max="43" width="18.5" bestFit="1" customWidth="1"/>
    <col min="44" max="44" width="13.1640625" bestFit="1" customWidth="1"/>
    <col min="45" max="45" width="13" bestFit="1" customWidth="1"/>
  </cols>
  <sheetData>
    <row r="1" spans="2:45" x14ac:dyDescent="0.2">
      <c r="D1" s="45">
        <f>D7+E7</f>
        <v>-198883100.95039999</v>
      </c>
      <c r="F1">
        <v>-14273255.289999999</v>
      </c>
      <c r="G1" s="45">
        <f>G9-D9-E9</f>
        <v>86934332.265200004</v>
      </c>
      <c r="H1" s="178"/>
      <c r="M1" s="40">
        <f>($G$2*K40)</f>
        <v>96586223.032822922</v>
      </c>
      <c r="AQ1" s="41">
        <f>AQ2+AK2</f>
        <v>48241.939558400933</v>
      </c>
    </row>
    <row r="2" spans="2:45" x14ac:dyDescent="0.2">
      <c r="G2" s="178">
        <v>0.3</v>
      </c>
      <c r="H2" s="178">
        <v>0.7</v>
      </c>
      <c r="I2" s="179">
        <f>Summary!V6/Summary!$Z$6</f>
        <v>0.74867344228675181</v>
      </c>
      <c r="J2" s="179">
        <f>Summary!W6/Summary!$Z$6</f>
        <v>0.24642828774380873</v>
      </c>
      <c r="K2" s="179">
        <f>Summary!X6/Summary!$Z$6</f>
        <v>4.3321701427400184E-3</v>
      </c>
      <c r="L2" s="179">
        <f>Summary!Y6/Summary!$Z$6</f>
        <v>5.6609982669961819E-4</v>
      </c>
      <c r="AA2" s="41">
        <f>AA10/C_RATE</f>
        <v>46791.496613437128</v>
      </c>
      <c r="AE2" s="41">
        <f>AE10/C_RATE</f>
        <v>35025.180473609551</v>
      </c>
      <c r="AK2" s="41">
        <f>AK10/C_RATE</f>
        <v>26862.032978065548</v>
      </c>
      <c r="AQ2" s="41">
        <f>AQ10/C_RATE</f>
        <v>21379.906580335384</v>
      </c>
    </row>
    <row r="3" spans="2:45" x14ac:dyDescent="0.2">
      <c r="B3" s="158"/>
      <c r="C3" s="159">
        <f>Summary!$C$2</f>
        <v>46142</v>
      </c>
      <c r="D3" s="160"/>
      <c r="E3" s="160"/>
      <c r="F3" s="160"/>
      <c r="G3" s="163" t="s">
        <v>1356</v>
      </c>
      <c r="H3" s="433" t="s">
        <v>1357</v>
      </c>
      <c r="I3" s="434"/>
      <c r="J3" s="434"/>
      <c r="K3" s="434"/>
      <c r="L3" s="435"/>
      <c r="N3" s="219" t="s">
        <v>1434</v>
      </c>
      <c r="O3" s="163" t="s">
        <v>1358</v>
      </c>
      <c r="P3" s="433" t="s">
        <v>1433</v>
      </c>
      <c r="Q3" s="434"/>
      <c r="R3" s="434"/>
      <c r="S3" s="434"/>
      <c r="T3" s="435"/>
      <c r="Z3" s="153" t="s">
        <v>1329</v>
      </c>
      <c r="AA3" s="154" t="s">
        <v>1332</v>
      </c>
      <c r="AB3" s="154" t="s">
        <v>1333</v>
      </c>
      <c r="AC3" s="154" t="s">
        <v>1334</v>
      </c>
      <c r="AD3" s="154" t="s">
        <v>1335</v>
      </c>
      <c r="AE3" s="154" t="s">
        <v>1336</v>
      </c>
      <c r="AF3" s="154" t="s">
        <v>1337</v>
      </c>
      <c r="AG3" s="154" t="s">
        <v>1455</v>
      </c>
      <c r="AH3" s="154" t="s">
        <v>1338</v>
      </c>
      <c r="AI3" s="154" t="s">
        <v>1339</v>
      </c>
      <c r="AJ3" s="154" t="s">
        <v>1340</v>
      </c>
      <c r="AK3" s="154" t="s">
        <v>1341</v>
      </c>
      <c r="AL3" s="154" t="s">
        <v>636</v>
      </c>
      <c r="AM3" s="154" t="s">
        <v>1342</v>
      </c>
      <c r="AN3" s="154" t="s">
        <v>1343</v>
      </c>
      <c r="AO3" s="154" t="s">
        <v>741</v>
      </c>
      <c r="AP3" s="154" t="s">
        <v>1344</v>
      </c>
      <c r="AQ3" s="154" t="s">
        <v>1345</v>
      </c>
      <c r="AR3" s="154" t="s">
        <v>1346</v>
      </c>
      <c r="AS3" s="155" t="s">
        <v>1329</v>
      </c>
    </row>
    <row r="4" spans="2:45" x14ac:dyDescent="0.2">
      <c r="B4" s="161"/>
      <c r="C4" s="82" t="s">
        <v>1327</v>
      </c>
      <c r="D4" s="82" t="s">
        <v>1302</v>
      </c>
      <c r="E4" s="82" t="s">
        <v>1328</v>
      </c>
      <c r="F4" s="82" t="s">
        <v>1331</v>
      </c>
      <c r="G4" s="164" t="s">
        <v>1296</v>
      </c>
      <c r="H4" s="165" t="s">
        <v>1330</v>
      </c>
      <c r="I4" s="82" t="s">
        <v>1292</v>
      </c>
      <c r="J4" s="82" t="s">
        <v>1293</v>
      </c>
      <c r="K4" s="82" t="s">
        <v>1294</v>
      </c>
      <c r="L4" s="162" t="s">
        <v>1295</v>
      </c>
      <c r="N4" s="220"/>
      <c r="O4" s="164" t="s">
        <v>1296</v>
      </c>
      <c r="P4" s="165" t="s">
        <v>1330</v>
      </c>
      <c r="Q4" s="82" t="s">
        <v>1292</v>
      </c>
      <c r="R4" s="82" t="s">
        <v>1293</v>
      </c>
      <c r="S4" s="82" t="s">
        <v>1294</v>
      </c>
      <c r="T4" s="162" t="s">
        <v>1295</v>
      </c>
      <c r="Z4" s="144" t="s">
        <v>75</v>
      </c>
      <c r="AA4" s="109">
        <v>38604526.329999998</v>
      </c>
      <c r="AB4" s="109"/>
      <c r="AC4" s="109"/>
      <c r="AD4" s="109"/>
      <c r="AE4" s="109" t="s">
        <v>1349</v>
      </c>
      <c r="AF4" s="109"/>
      <c r="AG4" s="109"/>
      <c r="AH4" s="109"/>
      <c r="AI4" s="109"/>
      <c r="AJ4" s="109"/>
      <c r="AK4" s="109"/>
      <c r="AL4" s="109"/>
      <c r="AM4" s="109"/>
      <c r="AN4" s="109"/>
      <c r="AO4" s="109" t="s">
        <v>1349</v>
      </c>
      <c r="AP4" s="109"/>
      <c r="AQ4" s="109"/>
      <c r="AR4" s="110">
        <f t="shared" ref="AR4:AR9" si="0">SUM(AA4:AQ4)</f>
        <v>38604526.329999998</v>
      </c>
      <c r="AS4" s="151" t="s">
        <v>1348</v>
      </c>
    </row>
    <row r="5" spans="2:45" x14ac:dyDescent="0.2">
      <c r="B5" s="145" t="s">
        <v>5</v>
      </c>
      <c r="C5" s="87">
        <f>SUMIFS(INDEX(PL_NG!$C:$AM, MATCH($B5,PL_NG!$C:$C, 0), ),PL_NG!$C$3:$AM$3, "&gt;="&amp;DATE(YEAR($C$3),1,1),PL_NG!$C$3:$AM$3, "&lt;="&amp;$C$3)</f>
        <v>-505258465.07999998</v>
      </c>
      <c r="D5" s="87">
        <f>SUMIFS(INDEX(PL_UK!$C:$AM, MATCH($B5,PL_UK!$C:$C, 0), ),PL_UK!$C$3:$AM$3, "&gt;="&amp;DATE(YEAR($C$3),1,1),PL_UK!$C$3:$AM$3, "&lt;="&amp;$C$3)</f>
        <v>-10518261.048799999</v>
      </c>
      <c r="E5" s="87">
        <f>SUMIFS(INDEX(PL_UAE!$C:$AM, MATCH($B5,PL_UAE!$C:$C, 0), ),PL_UAE!$C$3:$AM$3, "&gt;="&amp;DATE(YEAR($C$3),1,1),PL_UAE!$C$3:$AM$3, "&lt;="&amp;$C$3)</f>
        <v>0</v>
      </c>
      <c r="F5" s="90">
        <f>SUM(C5:E5)</f>
        <v>-515776726.12879997</v>
      </c>
      <c r="G5" s="87">
        <f>-AR9+SUM(PL_UK!P15:AA15)</f>
        <v>-26996196.598598797</v>
      </c>
      <c r="H5" s="87">
        <f>SUM(I5:L5)</f>
        <v>-651449836.56360054</v>
      </c>
      <c r="I5" s="87" cm="1">
        <f t="array" ref="I5">-AR6+SUM(PL_UK!P21:AA21-PL_UK!P15:AA15)</f>
        <v>-152546346.66470248</v>
      </c>
      <c r="J5" s="87">
        <f>-AR7</f>
        <v>-371678974.82287538</v>
      </c>
      <c r="K5" s="87">
        <f>-AR8</f>
        <v>-81563061.382296994</v>
      </c>
      <c r="L5" s="142">
        <f>-AR5-AR4</f>
        <v>-45661453.693725668</v>
      </c>
      <c r="M5" s="40">
        <f>F5-G5-H5</f>
        <v>162669307.03339934</v>
      </c>
      <c r="N5" s="87">
        <f>O5+P5</f>
        <v>-493576.83108086238</v>
      </c>
      <c r="O5" s="87">
        <f>G5/Summary!$F$3</f>
        <v>-19640.025170855042</v>
      </c>
      <c r="P5" s="87">
        <f>H5/Summary!$F$3</f>
        <v>-473936.80591000733</v>
      </c>
      <c r="Q5" s="87">
        <f>I5/Summary!$F$3</f>
        <v>-110979.1180129515</v>
      </c>
      <c r="R5" s="87">
        <f>J5/Summary!$F$3</f>
        <v>-270400.47639072814</v>
      </c>
      <c r="S5" s="87">
        <f>K5/Summary!$F$3</f>
        <v>-59338.009808516967</v>
      </c>
      <c r="T5" s="87">
        <f>L5/Summary!$F$3</f>
        <v>-33219.201697810677</v>
      </c>
      <c r="Z5" s="144" t="s">
        <v>1350</v>
      </c>
      <c r="AA5" s="109"/>
      <c r="AB5" s="109"/>
      <c r="AC5" s="109"/>
      <c r="AD5" s="109"/>
      <c r="AE5" s="109">
        <f>18058.38+AF19</f>
        <v>34611.573725668728</v>
      </c>
      <c r="AF5" s="109"/>
      <c r="AG5" s="109"/>
      <c r="AH5" s="109"/>
      <c r="AI5" s="109"/>
      <c r="AJ5" s="109"/>
      <c r="AK5" s="109">
        <v>1296000</v>
      </c>
      <c r="AL5" s="109"/>
      <c r="AM5" s="109"/>
      <c r="AN5" s="109"/>
      <c r="AO5" s="109">
        <v>5726315.79</v>
      </c>
      <c r="AP5" s="109" t="s">
        <v>1349</v>
      </c>
      <c r="AQ5" s="109"/>
      <c r="AR5" s="110">
        <f t="shared" si="0"/>
        <v>7056927.3637256688</v>
      </c>
      <c r="AS5" s="151" t="s">
        <v>1350</v>
      </c>
    </row>
    <row r="6" spans="2:45" x14ac:dyDescent="0.2">
      <c r="B6" s="145" t="s">
        <v>8</v>
      </c>
      <c r="C6" s="87">
        <f>SUMIFS(INDEX(PL_NG!$C:$AM, MATCH($B6,PL_NG!$C:$C, 0), ),PL_NG!$C$3:$AM$3, "&gt;="&amp;DATE(YEAR($C$3),1,1),PL_NG!$C$3:$AM$3, "&lt;="&amp;$C$3)</f>
        <v>72436508.699999988</v>
      </c>
      <c r="D6" s="87">
        <f>SUMIFS(INDEX(PL_UK!$C:$AM, MATCH($B6,PL_UK!$C:$C, 0), ),PL_UK!$C$3:$AM$3, "&gt;="&amp;DATE(YEAR($C$3),1,1),PL_UK!$C$3:$AM$3, "&lt;="&amp;$C$3)</f>
        <v>0</v>
      </c>
      <c r="E6" s="87">
        <f>SUMIFS(INDEX(PL_UAE!$C:$AM, MATCH($B6,PL_UAE!$C:$C, 0), ),PL_UAE!$C$3:$AM$3, "&gt;="&amp;DATE(YEAR($C$3),1,1),PL_UAE!$C$3:$AM$3, "&lt;="&amp;$C$3)</f>
        <v>0</v>
      </c>
      <c r="F6" s="90">
        <f t="shared" ref="F6:F11" si="1">SUM(C6:E6)</f>
        <v>72436508.699999988</v>
      </c>
      <c r="G6" s="87">
        <f>191179580.18+31612210.13+14273255.29</f>
        <v>237065045.59999999</v>
      </c>
      <c r="H6" s="87">
        <f>F6-G6</f>
        <v>-164628536.90000001</v>
      </c>
      <c r="I6" s="87">
        <f>$H6*I$2</f>
        <v>-123253013.41955455</v>
      </c>
      <c r="J6" s="87">
        <f t="shared" ref="J6:L20" si="2">$H6*J$2</f>
        <v>-40569128.462035432</v>
      </c>
      <c r="K6" s="87">
        <f t="shared" si="2"/>
        <v>-713198.83220115339</v>
      </c>
      <c r="L6" s="142">
        <f t="shared" si="2"/>
        <v>-93196.186208901709</v>
      </c>
      <c r="M6" s="40">
        <f t="shared" ref="M6:M21" si="3">F6-G6-H6</f>
        <v>0</v>
      </c>
      <c r="N6" s="87">
        <f t="shared" ref="N6:N20" si="4">O6+P6</f>
        <v>52698.343967116496</v>
      </c>
      <c r="O6" s="87">
        <f>G6/Summary!$F$3</f>
        <v>172467.38612636863</v>
      </c>
      <c r="P6" s="87">
        <f>H6/Summary!$F$3</f>
        <v>-119769.04215925213</v>
      </c>
      <c r="Q6" s="87">
        <f>I6/Summary!$F$3</f>
        <v>-89667.901072754394</v>
      </c>
      <c r="R6" s="87">
        <f>J6/Summary!$F$3</f>
        <v>-29514.479984020541</v>
      </c>
      <c r="S6" s="87">
        <f>K6/Summary!$F$3</f>
        <v>-518.85986846688252</v>
      </c>
      <c r="T6" s="87">
        <f>L6/Summary!$F$3</f>
        <v>-67.801234010331896</v>
      </c>
      <c r="Z6" s="144" t="s">
        <v>1351</v>
      </c>
      <c r="AA6" s="109"/>
      <c r="AB6" s="109">
        <f>1515475.43+1139710.61</f>
        <v>2655186.04</v>
      </c>
      <c r="AC6" s="109">
        <v>1569250</v>
      </c>
      <c r="AD6" s="109">
        <v>771050</v>
      </c>
      <c r="AE6" s="109">
        <f>8277402.35+AF16</f>
        <v>30169188.821101971</v>
      </c>
      <c r="AF6" s="109"/>
      <c r="AG6" s="109">
        <v>1347891</v>
      </c>
      <c r="AH6" s="109">
        <v>542182.63</v>
      </c>
      <c r="AI6" s="109">
        <v>4354004.5999999996</v>
      </c>
      <c r="AJ6" s="109">
        <v>11288780</v>
      </c>
      <c r="AK6" s="109"/>
      <c r="AL6" s="109">
        <f>175100+18000</f>
        <v>193100</v>
      </c>
      <c r="AM6" s="109">
        <f>47143.66+2000+2000</f>
        <v>51143.66</v>
      </c>
      <c r="AN6" s="109">
        <v>1705444.95</v>
      </c>
      <c r="AO6" s="109">
        <v>63465134.490000002</v>
      </c>
      <c r="AP6" s="109">
        <v>4760886.22</v>
      </c>
      <c r="AQ6" s="109">
        <f>8638794.98+2556900.36</f>
        <v>11195695.34</v>
      </c>
      <c r="AR6" s="110">
        <f t="shared" si="0"/>
        <v>134068937.75110197</v>
      </c>
      <c r="AS6" s="151" t="s">
        <v>1351</v>
      </c>
    </row>
    <row r="7" spans="2:45" x14ac:dyDescent="0.2">
      <c r="B7" s="145" t="s">
        <v>125</v>
      </c>
      <c r="C7" s="87">
        <f>SUMIFS(INDEX(PL_NG!$C:$AM, MATCH($B7,PL_NG!$C:$C, 0), ),PL_NG!$C$3:$AM$3, "&gt;="&amp;DATE(YEAR($C$3),1,1),PL_NG!$C$3:$AM$3, "&lt;="&amp;$C$3)-D43</f>
        <v>-698582209.07999992</v>
      </c>
      <c r="D7" s="87">
        <f>SUMIFS(INDEX(PL_UK!$C:$AM, MATCH($B7,PL_UK!$C:$C, 0), ),PL_UK!$C$3:$AM$3, "&gt;="&amp;DATE(YEAR($C$3),1,1),PL_UK!$C$3:$AM$3, "&lt;="&amp;$C$3)</f>
        <v>-116313237.70040001</v>
      </c>
      <c r="E7" s="87">
        <f>SUMIFS(INDEX(PL_UAE!$C:$AM, MATCH($B7,PL_UAE!$C:$C, 0), ),PL_UAE!$C$3:$AM$3, "&gt;="&amp;DATE(YEAR($C$3),1,1),PL_UAE!$C$3:$AM$3, "&lt;="&amp;$C$3)</f>
        <v>-82569863.25</v>
      </c>
      <c r="F7" s="90">
        <f t="shared" si="1"/>
        <v>-897465310.03039992</v>
      </c>
      <c r="G7" s="87">
        <f>D7+E7-K38-K39-D45-D46-D47</f>
        <v>-547012540.69232345</v>
      </c>
      <c r="H7" s="87">
        <f>F7-G7</f>
        <v>-350452769.33807647</v>
      </c>
      <c r="I7" s="87">
        <f>$H7*I$2</f>
        <v>-262374681.17926273</v>
      </c>
      <c r="J7" s="87">
        <f t="shared" si="2"/>
        <v>-86361475.883058146</v>
      </c>
      <c r="K7" s="87">
        <f t="shared" si="2"/>
        <v>-1518221.0237669696</v>
      </c>
      <c r="L7" s="142">
        <f t="shared" si="2"/>
        <v>-198391.25198868636</v>
      </c>
      <c r="M7" s="40">
        <f t="shared" si="3"/>
        <v>0</v>
      </c>
      <c r="N7" s="87">
        <f t="shared" si="4"/>
        <v>-652915.7251685278</v>
      </c>
      <c r="O7" s="87">
        <f>G7/Summary!$F$3</f>
        <v>-397957.54297211702</v>
      </c>
      <c r="P7" s="87">
        <f>H7/Summary!$F$3</f>
        <v>-254958.18219641081</v>
      </c>
      <c r="Q7" s="87">
        <f>I7/Summary!$F$3</f>
        <v>-190880.4199041597</v>
      </c>
      <c r="R7" s="87">
        <f>J7/Summary!$F$3</f>
        <v>-62828.90828493554</v>
      </c>
      <c r="S7" s="87">
        <f>K7/Summary!$F$3</f>
        <v>-1104.5222245585608</v>
      </c>
      <c r="T7" s="87">
        <f>L7/Summary!$F$3</f>
        <v>-144.33178275703784</v>
      </c>
      <c r="Z7" s="144" t="s">
        <v>1352</v>
      </c>
      <c r="AA7" s="109">
        <v>17523994.710000001</v>
      </c>
      <c r="AB7" s="109"/>
      <c r="AC7" s="109"/>
      <c r="AD7" s="109"/>
      <c r="AE7" s="250">
        <f>2361974.65+AF17</f>
        <v>9567727.0528753679</v>
      </c>
      <c r="AF7" s="109">
        <v>2254602.5099999998</v>
      </c>
      <c r="AG7" s="109"/>
      <c r="AH7" s="109"/>
      <c r="AI7" s="109"/>
      <c r="AJ7" s="109"/>
      <c r="AK7" s="109">
        <f>24000121.47+874931.78+874931.78</f>
        <v>25749985.030000001</v>
      </c>
      <c r="AL7" s="109"/>
      <c r="AM7" s="109"/>
      <c r="AN7" s="109"/>
      <c r="AO7" s="109">
        <v>221189328.78</v>
      </c>
      <c r="AP7" s="109">
        <v>77201281.489999995</v>
      </c>
      <c r="AQ7" s="109">
        <f>15313388.58+2878666.67</f>
        <v>18192055.25</v>
      </c>
      <c r="AR7" s="110">
        <f t="shared" si="0"/>
        <v>371678974.82287538</v>
      </c>
      <c r="AS7" s="151" t="s">
        <v>1352</v>
      </c>
    </row>
    <row r="8" spans="2:45" x14ac:dyDescent="0.2">
      <c r="B8" s="145" t="s">
        <v>127</v>
      </c>
      <c r="C8" s="87">
        <f>SUMIFS(INDEX(PL_NG!$C:$AM, MATCH($B8,PL_NG!$C:$C, 0), ),PL_NG!$C$3:$AM$3, "&gt;="&amp;DATE(YEAR($C$3),1,1),PL_NG!$C$3:$AM$3, "&lt;="&amp;$C$3)</f>
        <v>-7945020.4399999995</v>
      </c>
      <c r="D8" s="87">
        <f>SUMIFS(INDEX(PL_UK!$C:$AM, MATCH($B8,PL_UK!$C:$C, 0), ),PL_UK!$C$3:$AM$3, "&gt;="&amp;DATE(YEAR($C$3),1,1),PL_UK!$C$3:$AM$3, "&lt;="&amp;$C$3)</f>
        <v>0</v>
      </c>
      <c r="E8" s="87">
        <f>SUMIFS(INDEX(PL_UAE!$C:$AM, MATCH($B8,PL_UAE!$C:$C, 0), ),PL_UAE!$C$3:$AM$3, "&gt;="&amp;DATE(YEAR($C$3),1,1),PL_UAE!$C$3:$AM$3, "&lt;="&amp;$C$3)</f>
        <v>0</v>
      </c>
      <c r="F8" s="90">
        <f t="shared" si="1"/>
        <v>-7945020.4399999995</v>
      </c>
      <c r="G8" s="87">
        <f>D8+E8+($G$2*$C8)</f>
        <v>-2383506.1319999998</v>
      </c>
      <c r="H8" s="87">
        <f>$H$2*C8</f>
        <v>-5561514.3079999993</v>
      </c>
      <c r="I8" s="87">
        <f>$H8*I$2</f>
        <v>-4163758.0612973818</v>
      </c>
      <c r="J8" s="87">
        <f t="shared" si="2"/>
        <v>-1370514.448183133</v>
      </c>
      <c r="K8" s="87">
        <f t="shared" si="2"/>
        <v>-24093.426233539012</v>
      </c>
      <c r="L8" s="142">
        <f t="shared" si="2"/>
        <v>-3148.3722859462464</v>
      </c>
      <c r="M8" s="40">
        <f>F8-G8-H8</f>
        <v>0</v>
      </c>
      <c r="N8" s="87">
        <f t="shared" si="4"/>
        <v>-5780.0883489141897</v>
      </c>
      <c r="O8" s="87">
        <f>G8/Summary!$F$3</f>
        <v>-1734.026504674257</v>
      </c>
      <c r="P8" s="87">
        <f>H8/Summary!$F$3</f>
        <v>-4046.0618442399327</v>
      </c>
      <c r="Q8" s="87">
        <f>I8/Summary!$F$3</f>
        <v>-3029.1790486321938</v>
      </c>
      <c r="R8" s="87">
        <f>J8/Summary!$F$3</f>
        <v>-997.06409238160347</v>
      </c>
      <c r="S8" s="87">
        <f>K8/Summary!$F$3</f>
        <v>-17.528228317295852</v>
      </c>
      <c r="T8" s="87">
        <f>L8/Summary!$F$3</f>
        <v>-2.2904749088401632</v>
      </c>
      <c r="Z8" s="144" t="s">
        <v>1648</v>
      </c>
      <c r="AA8" s="109">
        <v>7700000</v>
      </c>
      <c r="AB8" s="109"/>
      <c r="AC8" s="109"/>
      <c r="AD8" s="109"/>
      <c r="AE8" s="109">
        <f>8245658.39+AF18</f>
        <v>8372334.3722969955</v>
      </c>
      <c r="AF8" s="109"/>
      <c r="AG8" s="109"/>
      <c r="AH8" s="109"/>
      <c r="AI8" s="109"/>
      <c r="AJ8" s="109"/>
      <c r="AK8" s="109">
        <f>8778670.03+869157.37+229395</f>
        <v>9877222.3999999985</v>
      </c>
      <c r="AL8" s="109"/>
      <c r="AM8" s="109"/>
      <c r="AN8" s="109"/>
      <c r="AO8" s="109">
        <f>49753504.61+5860000</f>
        <v>55613504.609999999</v>
      </c>
      <c r="AP8" s="109"/>
      <c r="AQ8" s="109"/>
      <c r="AR8" s="110">
        <f t="shared" si="0"/>
        <v>81563061.382296994</v>
      </c>
      <c r="AS8" s="151" t="s">
        <v>1308</v>
      </c>
    </row>
    <row r="9" spans="2:45" x14ac:dyDescent="0.2">
      <c r="B9" s="145" t="s">
        <v>129</v>
      </c>
      <c r="C9" s="87">
        <f>SUMIFS(INDEX(PL_NG!$C:$AM, MATCH($B9,PL_NG!$C:$C, 0), ),PL_NG!$C$3:$AM$3, "&gt;="&amp;DATE(YEAR($C$3),1,1),PL_NG!$C$3:$AM$3, "&lt;="&amp;$C$3)+D43</f>
        <v>17964044.820000008</v>
      </c>
      <c r="D9" s="87">
        <f>SUMIFS(INDEX(PL_UK!$C:$AM, MATCH($B9,PL_UK!$C:$C, 0), ),PL_UK!$C$3:$AM$3, "&gt;="&amp;DATE(YEAR($C$3),1,1),PL_UK!$C$3:$AM$3, "&lt;="&amp;$C$3)</f>
        <v>-1397450.3679999998</v>
      </c>
      <c r="E9" s="87">
        <f>SUMIFS(INDEX(PL_UAE!$C:$AM, MATCH($B9,PL_UAE!$C:$C, 0), ),PL_UAE!$C$3:$AM$3, "&gt;="&amp;DATE(YEAR($C$3),1,1),PL_UAE!$C$3:$AM$3, "&lt;="&amp;$C$3)</f>
        <v>0</v>
      </c>
      <c r="F9" s="90">
        <f t="shared" si="1"/>
        <v>16566594.452000007</v>
      </c>
      <c r="G9" s="87">
        <f>F9-H9</f>
        <v>85536881.897200003</v>
      </c>
      <c r="H9" s="87">
        <f>I9</f>
        <v>-68970287.445199996</v>
      </c>
      <c r="I9" s="87">
        <f>-K44+K46-K45+PL_UK!AT80-K47</f>
        <v>-68970287.445199996</v>
      </c>
      <c r="J9" s="87">
        <v>0</v>
      </c>
      <c r="K9" s="87">
        <v>0</v>
      </c>
      <c r="L9" s="142">
        <v>0</v>
      </c>
      <c r="M9" s="40">
        <f t="shared" si="3"/>
        <v>0</v>
      </c>
      <c r="N9" s="87">
        <f t="shared" si="4"/>
        <v>12052.376742934059</v>
      </c>
      <c r="O9" s="87">
        <f>G9/Summary!$F$3</f>
        <v>62229.007236695652</v>
      </c>
      <c r="P9" s="87">
        <f>H9/Summary!$F$3</f>
        <v>-50176.630493761593</v>
      </c>
      <c r="Q9" s="87">
        <f>I9/Summary!$F$3</f>
        <v>-50176.630493761593</v>
      </c>
      <c r="R9" s="87">
        <f>J9/Summary!$F$3</f>
        <v>0</v>
      </c>
      <c r="S9" s="87">
        <f>K9/Summary!$F$3</f>
        <v>0</v>
      </c>
      <c r="T9" s="87">
        <f>L9/Summary!$F$3</f>
        <v>0</v>
      </c>
      <c r="Z9" s="144" t="s">
        <v>1353</v>
      </c>
      <c r="AA9" s="109">
        <v>488730.63</v>
      </c>
      <c r="AB9" s="109"/>
      <c r="AC9" s="109"/>
      <c r="AD9" s="109"/>
      <c r="AE9" s="109"/>
      <c r="AF9" s="109"/>
      <c r="AG9" s="109">
        <v>74991.16</v>
      </c>
      <c r="AH9" s="109"/>
      <c r="AI9" s="109"/>
      <c r="AJ9" s="109">
        <v>0</v>
      </c>
      <c r="AK9" s="109"/>
      <c r="AL9" s="109"/>
      <c r="AM9" s="109"/>
      <c r="AN9" s="109"/>
      <c r="AO9" s="109">
        <v>3810000</v>
      </c>
      <c r="AP9" s="109"/>
      <c r="AQ9" s="109"/>
      <c r="AR9" s="110">
        <f t="shared" si="0"/>
        <v>4373721.79</v>
      </c>
      <c r="AS9" s="151" t="s">
        <v>1353</v>
      </c>
    </row>
    <row r="10" spans="2:45" x14ac:dyDescent="0.2">
      <c r="B10" s="145" t="s">
        <v>131</v>
      </c>
      <c r="C10" s="87">
        <f>SUMIFS(INDEX(PL_NG!$C:$AM, MATCH($B10,PL_NG!$C:$C, 0), ),PL_NG!$C$3:$AM$3, "&gt;="&amp;DATE(YEAR($C$3),1,1),PL_NG!$C$3:$AM$3, "&lt;="&amp;$C$3)</f>
        <v>-165120283.16</v>
      </c>
      <c r="D10" s="87">
        <f>SUMIFS(INDEX(PL_UK!$C:$AM, MATCH($B10,PL_UK!$C:$C, 0), ),PL_UK!$C$3:$AM$3, "&gt;="&amp;DATE(YEAR($C$3),1,1),PL_UK!$C$3:$AM$3, "&lt;="&amp;$C$3)</f>
        <v>-8287668.6983999992</v>
      </c>
      <c r="E10" s="87">
        <f>SUMIFS(INDEX(PL_UAE!$C:$AM, MATCH($B10,PL_UAE!$C:$C, 0), ),PL_UAE!$C$3:$AM$3, "&gt;="&amp;DATE(YEAR($C$3),1,1),PL_UAE!$C$3:$AM$3, "&lt;="&amp;$C$3)</f>
        <v>-2890110.8460600004</v>
      </c>
      <c r="F10" s="90">
        <f t="shared" si="1"/>
        <v>-176298062.70446</v>
      </c>
      <c r="G10" s="87">
        <f>D10+E10+($G$2*$C10)</f>
        <v>-60713864.492459998</v>
      </c>
      <c r="H10" s="87">
        <f>$H$2*C10</f>
        <v>-115584198.212</v>
      </c>
      <c r="I10" s="87">
        <f t="shared" ref="I10:I19" si="5">$H10*I$2</f>
        <v>-86534819.549332261</v>
      </c>
      <c r="J10" s="87">
        <f t="shared" si="2"/>
        <v>-28483216.055624157</v>
      </c>
      <c r="K10" s="87">
        <f t="shared" si="2"/>
        <v>-500730.41246657062</v>
      </c>
      <c r="L10" s="142">
        <f t="shared" si="2"/>
        <v>-65432.19457702752</v>
      </c>
      <c r="M10" s="40">
        <f t="shared" si="3"/>
        <v>0</v>
      </c>
      <c r="N10" s="87">
        <f t="shared" si="4"/>
        <v>-128258.74846637809</v>
      </c>
      <c r="O10" s="87">
        <f>G10/Summary!$F$3</f>
        <v>-44169.993446917171</v>
      </c>
      <c r="P10" s="87">
        <f>H10/Summary!$F$3</f>
        <v>-84088.755019460921</v>
      </c>
      <c r="Q10" s="87">
        <f>I10/Summary!$F$3</f>
        <v>-62955.017678027179</v>
      </c>
      <c r="R10" s="87">
        <f>J10/Summary!$F$3</f>
        <v>-20721.847917954354</v>
      </c>
      <c r="S10" s="87">
        <f>K10/Summary!$F$3</f>
        <v>-364.28679383548842</v>
      </c>
      <c r="T10" s="87">
        <f>L10/Summary!$F$3</f>
        <v>-47.602629643903477</v>
      </c>
      <c r="Z10" s="156" t="s">
        <v>1347</v>
      </c>
      <c r="AA10" s="157">
        <f>SUM(AA4:AA9)</f>
        <v>64317251.670000002</v>
      </c>
      <c r="AB10" s="157">
        <f t="shared" ref="AB10:AR10" si="6">SUM(AB4:AB9)</f>
        <v>2655186.04</v>
      </c>
      <c r="AC10" s="157">
        <f t="shared" si="6"/>
        <v>1569250</v>
      </c>
      <c r="AD10" s="157">
        <f t="shared" si="6"/>
        <v>771050</v>
      </c>
      <c r="AE10" s="157">
        <f t="shared" si="6"/>
        <v>48143861.820000008</v>
      </c>
      <c r="AF10" s="157">
        <f t="shared" si="6"/>
        <v>2254602.5099999998</v>
      </c>
      <c r="AG10" s="157">
        <f t="shared" si="6"/>
        <v>1422882.16</v>
      </c>
      <c r="AH10" s="157">
        <f t="shared" si="6"/>
        <v>542182.63</v>
      </c>
      <c r="AI10" s="157">
        <f t="shared" si="6"/>
        <v>4354004.5999999996</v>
      </c>
      <c r="AJ10" s="157">
        <f t="shared" si="6"/>
        <v>11288780</v>
      </c>
      <c r="AK10" s="157">
        <f t="shared" si="6"/>
        <v>36923207.43</v>
      </c>
      <c r="AL10" s="157">
        <f t="shared" si="6"/>
        <v>193100</v>
      </c>
      <c r="AM10" s="157">
        <f t="shared" si="6"/>
        <v>51143.66</v>
      </c>
      <c r="AN10" s="157">
        <f t="shared" si="6"/>
        <v>1705444.95</v>
      </c>
      <c r="AO10" s="157">
        <f t="shared" si="6"/>
        <v>349804283.67000002</v>
      </c>
      <c r="AP10" s="157">
        <f t="shared" si="6"/>
        <v>81962167.709999993</v>
      </c>
      <c r="AQ10" s="157">
        <f t="shared" si="6"/>
        <v>29387750.59</v>
      </c>
      <c r="AR10" s="157">
        <f t="shared" si="6"/>
        <v>637346149.44000006</v>
      </c>
      <c r="AS10" s="152" t="s">
        <v>1347</v>
      </c>
    </row>
    <row r="11" spans="2:45" x14ac:dyDescent="0.2">
      <c r="B11" s="145" t="s">
        <v>748</v>
      </c>
      <c r="C11" s="87">
        <f>SUMIFS(INDEX(PL_NG!$C:$AM, MATCH($B11,PL_NG!$C:$C, 0), ),PL_NG!$C$3:$AM$3, "&gt;="&amp;DATE(YEAR($C$3),1,1),PL_NG!$C$3:$AM$3, "&lt;="&amp;$C$3)</f>
        <v>-58819076.850000001</v>
      </c>
      <c r="D11" s="87">
        <f>SUMIFS(INDEX(PL_UK!$C:$AM, MATCH($B11,PL_UK!$C:$C, 0), ),PL_UK!$C$3:$AM$3, "&gt;="&amp;DATE(YEAR($C$3),1,1),PL_UK!$C$3:$AM$3, "&lt;="&amp;$C$3)</f>
        <v>-21656986.080399998</v>
      </c>
      <c r="E11" s="87">
        <f>SUMIFS(INDEX(PL_UAE!$C:$AM, MATCH($B11,PL_UAE!$C:$C, 0), ),PL_UAE!$C$3:$AM$3, "&gt;="&amp;DATE(YEAR($C$3),1,1),PL_UAE!$C$3:$AM$3, "&lt;="&amp;$C$3)</f>
        <v>0</v>
      </c>
      <c r="F11" s="90">
        <f t="shared" si="1"/>
        <v>-80476062.930399999</v>
      </c>
      <c r="G11" s="87">
        <f>D11+E11+($G$2*$C11)</f>
        <v>-39302709.135399997</v>
      </c>
      <c r="H11" s="87">
        <f>$H$2*C11</f>
        <v>-41173353.795000002</v>
      </c>
      <c r="I11" s="87">
        <f t="shared" si="5"/>
        <v>-30825396.516192947</v>
      </c>
      <c r="J11" s="87">
        <f t="shared" si="2"/>
        <v>-10146279.076371899</v>
      </c>
      <c r="K11" s="87">
        <f t="shared" si="2"/>
        <v>-178369.97398717044</v>
      </c>
      <c r="L11" s="142">
        <f t="shared" si="2"/>
        <v>-23308.228447991569</v>
      </c>
      <c r="M11" s="40">
        <f t="shared" si="3"/>
        <v>0</v>
      </c>
      <c r="N11" s="87">
        <f t="shared" si="4"/>
        <v>-58547.20667156524</v>
      </c>
      <c r="O11" s="87">
        <f>G11/Summary!$F$3</f>
        <v>-28593.146219053506</v>
      </c>
      <c r="P11" s="87">
        <f>H11/Summary!$F$3</f>
        <v>-29954.060452511734</v>
      </c>
      <c r="Q11" s="87">
        <f>I11/Summary!$F$3</f>
        <v>-22425.809549447418</v>
      </c>
      <c r="R11" s="87">
        <f>J11/Summary!$F$3</f>
        <v>-7381.5278282870022</v>
      </c>
      <c r="S11" s="87">
        <f>K11/Summary!$F$3</f>
        <v>-129.76608634620089</v>
      </c>
      <c r="T11" s="87">
        <f>L11/Summary!$F$3</f>
        <v>-16.95698843111678</v>
      </c>
      <c r="AR11" s="45">
        <f>C5+AR10</f>
        <v>132087684.36000007</v>
      </c>
    </row>
    <row r="12" spans="2:45" x14ac:dyDescent="0.2">
      <c r="B12" s="145" t="s">
        <v>134</v>
      </c>
      <c r="C12" s="87">
        <f>SUMIFS(INDEX(PL_NG!$C:$AM, MATCH($B12,PL_NG!$C:$C, 0), ),PL_NG!$C$3:$AM$3, "&gt;="&amp;DATE(YEAR($C$3),1,1),PL_NG!$C$3:$AM$3, "&lt;="&amp;$C$3)</f>
        <v>-783845.75</v>
      </c>
      <c r="D12" s="87">
        <f>SUMIFS(INDEX(PL_UK!$C:$AM, MATCH($B12,PL_UK!$C:$C, 0), ),PL_UK!$C$3:$AM$3, "&gt;="&amp;DATE(YEAR($C$3),1,1),PL_UK!$C$3:$AM$3, "&lt;="&amp;$C$3)</f>
        <v>-1930318.0109999999</v>
      </c>
      <c r="E12" s="87">
        <f>SUMIFS(INDEX(PL_UAE!$C:$AM, MATCH($B12,PL_UAE!$C:$C, 0), ),PL_UAE!$C$3:$AM$3, "&gt;="&amp;DATE(YEAR($C$3),1,1),PL_UAE!$C$3:$AM$3, "&lt;="&amp;$C$3)</f>
        <v>0</v>
      </c>
      <c r="F12" s="90">
        <f t="shared" ref="F12:F20" si="7">SUM(C12:E12)</f>
        <v>-2714163.7609999999</v>
      </c>
      <c r="G12" s="87">
        <f>D12+E12</f>
        <v>-1930318.0109999999</v>
      </c>
      <c r="H12" s="87">
        <f>C12</f>
        <v>-783845.75</v>
      </c>
      <c r="I12" s="87">
        <f t="shared" si="5"/>
        <v>-586844.49587434065</v>
      </c>
      <c r="J12" s="87">
        <f t="shared" si="2"/>
        <v>-193161.76602776157</v>
      </c>
      <c r="K12" s="87">
        <f t="shared" si="2"/>
        <v>-3395.7531546636569</v>
      </c>
      <c r="L12" s="142">
        <f t="shared" si="2"/>
        <v>-443.73494323423222</v>
      </c>
      <c r="M12" s="40">
        <f t="shared" si="3"/>
        <v>0</v>
      </c>
      <c r="N12" s="87">
        <f t="shared" si="4"/>
        <v>-1974.5835080571824</v>
      </c>
      <c r="O12" s="87">
        <f>G12/Summary!$F$3</f>
        <v>-1404.3272423702304</v>
      </c>
      <c r="P12" s="87">
        <f>H12/Summary!$F$3</f>
        <v>-570.25626568695213</v>
      </c>
      <c r="Q12" s="87">
        <f>I12/Summary!$F$3</f>
        <v>-426.93572141743891</v>
      </c>
      <c r="R12" s="87">
        <f>J12/Summary!$F$3</f>
        <v>-140.52727512841409</v>
      </c>
      <c r="S12" s="87">
        <f>K12/Summary!$F$3</f>
        <v>-2.4704471679194331</v>
      </c>
      <c r="T12" s="87">
        <f>L12/Summary!$F$3</f>
        <v>-0.32282197317975497</v>
      </c>
      <c r="AA12" s="139">
        <v>55301281.199999996</v>
      </c>
      <c r="AB12" s="139">
        <v>1515475.43</v>
      </c>
      <c r="AC12" s="139">
        <v>1569250</v>
      </c>
      <c r="AD12" s="139">
        <v>516500</v>
      </c>
      <c r="AE12" s="139">
        <v>35378929.950000003</v>
      </c>
      <c r="AF12" s="139">
        <v>1578281.25</v>
      </c>
      <c r="AG12" s="139"/>
      <c r="AH12" s="139">
        <v>283290.63</v>
      </c>
      <c r="AI12" s="139">
        <v>2997714.8</v>
      </c>
      <c r="AJ12" s="139">
        <v>7415161.1600000001</v>
      </c>
      <c r="AK12" s="139">
        <v>32257037.950000003</v>
      </c>
      <c r="AL12" s="139">
        <v>150100</v>
      </c>
      <c r="AM12" s="139">
        <v>45143.66</v>
      </c>
      <c r="AN12" s="139">
        <v>1225201.1499999999</v>
      </c>
      <c r="AO12" s="139">
        <v>271428807.65999997</v>
      </c>
      <c r="AP12" s="139">
        <v>4760886.22</v>
      </c>
      <c r="AQ12" s="139">
        <v>56125680.210000001</v>
      </c>
      <c r="AR12" s="139">
        <v>472590414.41999996</v>
      </c>
      <c r="AS12" t="s">
        <v>1347</v>
      </c>
    </row>
    <row r="13" spans="2:45" x14ac:dyDescent="0.2">
      <c r="B13" s="145" t="s">
        <v>136</v>
      </c>
      <c r="C13" s="87">
        <f>SUMIFS(INDEX(PL_NG!$C:$AM, MATCH($B13,PL_NG!$C:$C, 0), ),PL_NG!$C$3:$AM$3, "&gt;="&amp;DATE(YEAR($C$3),1,1),PL_NG!$C$3:$AM$3, "&lt;="&amp;$C$3)</f>
        <v>145011.09999999986</v>
      </c>
      <c r="D13" s="87">
        <f>SUMIFS(INDEX(PL_UK!$C:$AM, MATCH($B13,PL_UK!$C:$C, 0), ),PL_UK!$C$3:$AM$3, "&gt;="&amp;DATE(YEAR($C$3),1,1),PL_UK!$C$3:$AM$3, "&lt;="&amp;$C$3)</f>
        <v>-1402518.9228000001</v>
      </c>
      <c r="E13" s="87">
        <f>SUMIFS(INDEX(PL_UAE!$C:$AM, MATCH($B13,PL_UAE!$C:$C, 0), ),PL_UAE!$C$3:$AM$3, "&gt;="&amp;DATE(YEAR($C$3),1,1),PL_UAE!$C$3:$AM$3, "&lt;="&amp;$C$3)</f>
        <v>0</v>
      </c>
      <c r="F13" s="90">
        <f t="shared" si="7"/>
        <v>-1257507.8228000002</v>
      </c>
      <c r="G13" s="87">
        <v>0</v>
      </c>
      <c r="H13" s="87">
        <f>F13-G13</f>
        <v>-1257507.8228000002</v>
      </c>
      <c r="I13" s="87">
        <f t="shared" si="5"/>
        <v>-941462.71039819485</v>
      </c>
      <c r="J13" s="87">
        <f t="shared" si="2"/>
        <v>-309885.49959704891</v>
      </c>
      <c r="K13" s="87">
        <f t="shared" si="2"/>
        <v>-5447.7378441961664</v>
      </c>
      <c r="L13" s="142">
        <f t="shared" si="2"/>
        <v>-711.87496056049429</v>
      </c>
      <c r="M13" s="40">
        <f t="shared" si="3"/>
        <v>0</v>
      </c>
      <c r="N13" s="87">
        <f t="shared" si="4"/>
        <v>-914.85054948892378</v>
      </c>
      <c r="O13" s="87">
        <f>G13/Summary!$F$3</f>
        <v>0</v>
      </c>
      <c r="P13" s="87">
        <f>H13/Summary!$F$3</f>
        <v>-914.85054948892378</v>
      </c>
      <c r="Q13" s="87">
        <f>I13/Summary!$F$3</f>
        <v>-684.924310063799</v>
      </c>
      <c r="R13" s="87">
        <f>J13/Summary!$F$3</f>
        <v>-225.44505445203805</v>
      </c>
      <c r="S13" s="87">
        <f>K13/Summary!$F$3</f>
        <v>-3.9632882355652153</v>
      </c>
      <c r="T13" s="87">
        <f>L13/Summary!$F$3</f>
        <v>-0.51789673752173027</v>
      </c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</row>
    <row r="14" spans="2:45" x14ac:dyDescent="0.2">
      <c r="B14" s="145" t="s">
        <v>138</v>
      </c>
      <c r="C14" s="87">
        <f>SUMIFS(INDEX(PL_NG!$C:$AM, MATCH($B14,PL_NG!$C:$C, 0), ),PL_NG!$C$3:$AM$3, "&gt;="&amp;DATE(YEAR($C$3),1,1),PL_NG!$C$3:$AM$3, "&lt;="&amp;$C$3)</f>
        <v>-150000</v>
      </c>
      <c r="D14" s="87">
        <f>SUMIFS(INDEX(PL_UK!$C:$AM, MATCH($B14,PL_UK!$C:$C, 0), ),PL_UK!$C$3:$AM$3, "&gt;="&amp;DATE(YEAR($C$3),1,1),PL_UK!$C$3:$AM$3, "&lt;="&amp;$C$3)</f>
        <v>0</v>
      </c>
      <c r="E14" s="87">
        <f>SUMIFS(INDEX(PL_UAE!$C:$AM, MATCH($B14,PL_UAE!$C:$C, 0), ),PL_UAE!$C$3:$AM$3, "&gt;="&amp;DATE(YEAR($C$3),1,1),PL_UAE!$C$3:$AM$3, "&lt;="&amp;$C$3)</f>
        <v>-1859630.59632</v>
      </c>
      <c r="F14" s="90">
        <f t="shared" si="7"/>
        <v>-2009630.59632</v>
      </c>
      <c r="G14" s="87">
        <v>0</v>
      </c>
      <c r="H14" s="87">
        <f>F14-G14</f>
        <v>-2009630.59632</v>
      </c>
      <c r="I14" s="87">
        <f t="shared" si="5"/>
        <v>-1504557.0562716722</v>
      </c>
      <c r="J14" s="87">
        <f t="shared" si="2"/>
        <v>-495229.82684870687</v>
      </c>
      <c r="K14" s="87">
        <f t="shared" si="2"/>
        <v>-8706.0616673143231</v>
      </c>
      <c r="L14" s="142">
        <f t="shared" si="2"/>
        <v>-1137.6515323070023</v>
      </c>
      <c r="M14" s="40">
        <f t="shared" si="3"/>
        <v>0</v>
      </c>
      <c r="N14" s="87">
        <f t="shared" si="4"/>
        <v>-1462.0280064893966</v>
      </c>
      <c r="O14" s="87">
        <f>G14/Summary!$F$3</f>
        <v>0</v>
      </c>
      <c r="P14" s="87">
        <f>H14/Summary!$F$3</f>
        <v>-1462.0280064893966</v>
      </c>
      <c r="Q14" s="87">
        <f>I14/Summary!$F$3</f>
        <v>-1094.5815403380541</v>
      </c>
      <c r="R14" s="87">
        <f>J14/Summary!$F$3</f>
        <v>-360.28505827267605</v>
      </c>
      <c r="S14" s="87">
        <f>K14/Summary!$F$3</f>
        <v>-6.3337540775630741</v>
      </c>
      <c r="T14" s="87">
        <f>L14/Summary!$F$3</f>
        <v>-0.82765380110363562</v>
      </c>
    </row>
    <row r="15" spans="2:45" x14ac:dyDescent="0.2">
      <c r="B15" s="145" t="s">
        <v>140</v>
      </c>
      <c r="C15" s="87">
        <f>SUMIFS(INDEX(PL_NG!$C:$AM, MATCH($B15,PL_NG!$C:$C, 0), ),PL_NG!$C$3:$AM$3, "&gt;="&amp;DATE(YEAR($C$3),1,1),PL_NG!$C$3:$AM$3, "&lt;="&amp;$C$3)</f>
        <v>-26453001.219999999</v>
      </c>
      <c r="D15" s="87">
        <f>SUMIFS(INDEX(PL_UK!$C:$AM, MATCH($B15,PL_UK!$C:$C, 0), ),PL_UK!$C$3:$AM$3, "&gt;="&amp;DATE(YEAR($C$3),1,1),PL_UK!$C$3:$AM$3, "&lt;="&amp;$C$3)</f>
        <v>-729876.93019999994</v>
      </c>
      <c r="E15" s="87">
        <f>SUMIFS(INDEX(PL_UAE!$C:$AM, MATCH($B15,PL_UAE!$C:$C, 0), ),PL_UAE!$C$3:$AM$3, "&gt;="&amp;DATE(YEAR($C$3),1,1),PL_UAE!$C$3:$AM$3, "&lt;="&amp;$C$3)</f>
        <v>-271196.11476000003</v>
      </c>
      <c r="F15" s="90">
        <f t="shared" si="7"/>
        <v>-27454074.264959998</v>
      </c>
      <c r="G15" s="87">
        <v>0</v>
      </c>
      <c r="H15" s="87">
        <f>F15-G15</f>
        <v>-27454074.264959998</v>
      </c>
      <c r="I15" s="87">
        <f t="shared" si="5"/>
        <v>-20554136.284743726</v>
      </c>
      <c r="J15" s="87">
        <f t="shared" si="2"/>
        <v>-6765460.5127054565</v>
      </c>
      <c r="K15" s="87">
        <f t="shared" si="2"/>
        <v>-118935.72082722682</v>
      </c>
      <c r="L15" s="142">
        <f t="shared" si="2"/>
        <v>-15541.746683592302</v>
      </c>
      <c r="M15" s="40">
        <f t="shared" si="3"/>
        <v>0</v>
      </c>
      <c r="N15" s="87">
        <f t="shared" si="4"/>
        <v>-19973.136128158305</v>
      </c>
      <c r="O15" s="87">
        <f>G15/Summary!$F$3</f>
        <v>0</v>
      </c>
      <c r="P15" s="87">
        <f>H15/Summary!$F$3</f>
        <v>-19973.136128158305</v>
      </c>
      <c r="Q15" s="87">
        <f>I15/Summary!$F$3</f>
        <v>-14953.356578330164</v>
      </c>
      <c r="R15" s="87">
        <f>J15/Summary!$F$3</f>
        <v>-4921.9457369360571</v>
      </c>
      <c r="S15" s="87">
        <f>K15/Summary!$F$3</f>
        <v>-86.527023991289383</v>
      </c>
      <c r="T15" s="87">
        <f>L15/Summary!$F$3</f>
        <v>-11.306788900798299</v>
      </c>
      <c r="AE15">
        <v>29240768.049999997</v>
      </c>
      <c r="AN15">
        <v>5860000</v>
      </c>
      <c r="AO15" s="41">
        <f>AO10/C_RATE</f>
        <v>254486.40185515262</v>
      </c>
      <c r="AQ15">
        <v>2878666.67</v>
      </c>
    </row>
    <row r="16" spans="2:45" x14ac:dyDescent="0.2">
      <c r="B16" s="145" t="s">
        <v>144</v>
      </c>
      <c r="C16" s="87">
        <f>SUMIFS(INDEX(PL_NG!$C:$AM, MATCH($B16,PL_NG!$C:$C, 0), ),PL_NG!$C$3:$AM$3, "&gt;="&amp;DATE(YEAR($C$3),1,1),PL_NG!$C$3:$AM$3, "&lt;="&amp;$C$3)</f>
        <v>-2877727.05</v>
      </c>
      <c r="D16" s="87">
        <f>SUMIFS(INDEX(PL_UK!$C:$AM, MATCH($B16,PL_UK!$C:$C, 0), ),PL_UK!$C$3:$AM$3, "&gt;="&amp;DATE(YEAR($C$3),1,1),PL_UK!$C$3:$AM$3, "&lt;="&amp;$C$3)</f>
        <v>-528320.9</v>
      </c>
      <c r="E16" s="87">
        <f>SUMIFS(INDEX(PL_UAE!$C:$AM, MATCH($B16,PL_UAE!$C:$C, 0), ),PL_UAE!$C$3:$AM$3, "&gt;="&amp;DATE(YEAR($C$3),1,1),PL_UAE!$C$3:$AM$3, "&lt;="&amp;$C$3)</f>
        <v>-16389030.33182</v>
      </c>
      <c r="F16" s="90">
        <f t="shared" si="7"/>
        <v>-19795078.281819999</v>
      </c>
      <c r="G16" s="87">
        <f>D16+E16</f>
        <v>-16917351.231819998</v>
      </c>
      <c r="H16" s="87">
        <f>F16-G16</f>
        <v>-2877727.0500000007</v>
      </c>
      <c r="I16" s="87">
        <f t="shared" si="5"/>
        <v>-2154477.8164852001</v>
      </c>
      <c r="J16" s="87">
        <f t="shared" si="2"/>
        <v>-709153.349525542</v>
      </c>
      <c r="K16" s="87">
        <f t="shared" si="2"/>
        <v>-12466.803204965316</v>
      </c>
      <c r="L16" s="142">
        <f t="shared" si="2"/>
        <v>-1629.0807842938038</v>
      </c>
      <c r="M16" s="40">
        <f t="shared" si="3"/>
        <v>0</v>
      </c>
      <c r="N16" s="87">
        <f t="shared" si="4"/>
        <v>-14401.133666887345</v>
      </c>
      <c r="O16" s="87">
        <f>G16/Summary!$F$3</f>
        <v>-12307.556096045979</v>
      </c>
      <c r="P16" s="87">
        <f>H16/Summary!$F$3</f>
        <v>-2093.5775708413667</v>
      </c>
      <c r="Q16" s="87">
        <f>I16/Summary!$F$3</f>
        <v>-1567.4059266561421</v>
      </c>
      <c r="R16" s="87">
        <f>J16/Summary!$F$3</f>
        <v>-515.91673604128039</v>
      </c>
      <c r="S16" s="87">
        <f>K16/Summary!$F$3</f>
        <v>-9.0697342439091457</v>
      </c>
      <c r="T16" s="87">
        <f>L16/Summary!$F$3</f>
        <v>-1.1851739000355053</v>
      </c>
      <c r="AE16" t="s">
        <v>1429</v>
      </c>
      <c r="AF16" s="216">
        <f>I2*AE15</f>
        <v>21891786.471101969</v>
      </c>
      <c r="AG16" s="216"/>
      <c r="AH16">
        <v>11404266.395697186</v>
      </c>
    </row>
    <row r="17" spans="2:34" x14ac:dyDescent="0.2">
      <c r="B17" s="145" t="s">
        <v>142</v>
      </c>
      <c r="C17" s="87">
        <f>SUMIFS(INDEX(PL_NG!$C:$AM, MATCH($B17,PL_NG!$C:$C, 0), ),PL_NG!$C$3:$AM$3, "&gt;="&amp;DATE(YEAR($C$3),1,1),PL_NG!$C$3:$AM$3, "&lt;="&amp;$C$3)</f>
        <v>-110948482.64999999</v>
      </c>
      <c r="D17" s="87">
        <f>SUMIFS(INDEX(PL_UK!$C:$AM, MATCH($B17,PL_UK!$C:$C, 0), ),PL_UK!$C$3:$AM$3, "&gt;="&amp;DATE(YEAR($C$3),1,1),PL_UK!$C$3:$AM$3, "&lt;="&amp;$C$3)</f>
        <v>-18947.611199999999</v>
      </c>
      <c r="E17" s="87">
        <f>SUMIFS(INDEX(PL_UAE!$C:$AM, MATCH($B17,PL_UAE!$C:$C, 0), ),PL_UAE!$C$3:$AM$3, "&gt;="&amp;DATE(YEAR($C$3),1,1),PL_UAE!$C$3:$AM$3, "&lt;="&amp;$C$3)</f>
        <v>10534.960000000001</v>
      </c>
      <c r="F17" s="90">
        <f>SUM(C17:E17)</f>
        <v>-110956895.3012</v>
      </c>
      <c r="G17" s="87">
        <f>F17-H17</f>
        <v>-112146816.16119994</v>
      </c>
      <c r="H17" s="87">
        <f>K51</f>
        <v>1189920.8599999351</v>
      </c>
      <c r="I17" s="87">
        <f>$H17*I$2</f>
        <v>890862.14630496351</v>
      </c>
      <c r="J17" s="87">
        <f>$H17*J$2</f>
        <v>293230.16008042434</v>
      </c>
      <c r="K17" s="87">
        <f>$H17*K$2</f>
        <v>5154.9396219152441</v>
      </c>
      <c r="L17" s="142">
        <f>$H17*L$2</f>
        <v>673.61399263222393</v>
      </c>
      <c r="M17" s="40">
        <f>F17-G17-H17</f>
        <v>4.6566128730773926E-9</v>
      </c>
      <c r="N17" s="87">
        <f>O17+P17</f>
        <v>-80722.342076461398</v>
      </c>
      <c r="O17" s="87">
        <f>G17/Summary!$F$3</f>
        <v>-81588.022379105852</v>
      </c>
      <c r="P17" s="87">
        <f>H17/Summary!$F$3</f>
        <v>865.68030264445463</v>
      </c>
      <c r="Q17" s="87">
        <f>I17/Summary!$F$3</f>
        <v>648.11185210066094</v>
      </c>
      <c r="R17" s="87">
        <f>J17/Summary!$F$3</f>
        <v>213.32811471421508</v>
      </c>
      <c r="S17" s="87">
        <f>K17/Summary!$F$3</f>
        <v>3.750274360274449</v>
      </c>
      <c r="T17" s="87">
        <f>L17/Summary!$F$3</f>
        <v>0.49006146930429884</v>
      </c>
      <c r="AE17" t="s">
        <v>1430</v>
      </c>
      <c r="AF17">
        <f>J2*AE15</f>
        <v>7205752.4028753685</v>
      </c>
    </row>
    <row r="18" spans="2:34" x14ac:dyDescent="0.2">
      <c r="B18" s="145" t="s">
        <v>13</v>
      </c>
      <c r="C18" s="87">
        <f>SUMIFS(INDEX(PL_NG!$C:$AM, MATCH($B18,PL_NG!$C:$C, 0), ),PL_NG!$C$3:$AM$3, "&gt;="&amp;DATE(YEAR($C$3),1,1),PL_NG!$C$3:$AM$3, "&lt;="&amp;$C$3)</f>
        <v>-48860521.390000001</v>
      </c>
      <c r="D18" s="87">
        <f>SUMIFS(INDEX(PL_UK!$C:$AM, MATCH($B18,PL_UK!$C:$C, 0), ),PL_UK!$C$3:$AM$3, "&gt;="&amp;DATE(YEAR($C$3),1,1),PL_UK!$C$3:$AM$3, "&lt;="&amp;$C$3)</f>
        <v>-924923.61840000004</v>
      </c>
      <c r="E18" s="87">
        <f>SUMIFS(INDEX(PL_UAE!$C:$AM, MATCH($B18,PL_UAE!$C:$C, 0), ),PL_UAE!$C$3:$AM$3, "&gt;="&amp;DATE(YEAR($C$3),1,1),PL_UAE!$C$3:$AM$3, "&lt;="&amp;$C$3)</f>
        <v>-53623.602800000001</v>
      </c>
      <c r="F18" s="90">
        <f t="shared" si="7"/>
        <v>-49839068.611199997</v>
      </c>
      <c r="G18" s="87">
        <v>0</v>
      </c>
      <c r="H18" s="87">
        <f>F18</f>
        <v>-49839068.611199997</v>
      </c>
      <c r="I18" s="87">
        <f t="shared" si="5"/>
        <v>-37313187.057512708</v>
      </c>
      <c r="J18" s="87">
        <f t="shared" si="2"/>
        <v>-12281756.34060422</v>
      </c>
      <c r="K18" s="87">
        <f t="shared" si="2"/>
        <v>-215911.32497941187</v>
      </c>
      <c r="L18" s="142">
        <f t="shared" si="2"/>
        <v>-28213.888103670699</v>
      </c>
      <c r="M18" s="40">
        <f t="shared" si="3"/>
        <v>0</v>
      </c>
      <c r="N18" s="87">
        <f t="shared" si="4"/>
        <v>-36258.461759266669</v>
      </c>
      <c r="O18" s="87">
        <f>G18/Summary!$F$3</f>
        <v>0</v>
      </c>
      <c r="P18" s="87">
        <f>H18/Summary!$F$3</f>
        <v>-36258.461759266669</v>
      </c>
      <c r="Q18" s="87">
        <f>I18/Summary!$F$3</f>
        <v>-27145.747377332733</v>
      </c>
      <c r="R18" s="87">
        <f>J18/Summary!$F$3</f>
        <v>-8935.110647560452</v>
      </c>
      <c r="S18" s="87">
        <f>K18/Summary!$F$3</f>
        <v>-157.0778254551758</v>
      </c>
      <c r="T18" s="87">
        <f>L18/Summary!$F$3</f>
        <v>-20.525908918315594</v>
      </c>
      <c r="AE18" t="s">
        <v>1650</v>
      </c>
      <c r="AF18">
        <f>K2*AE15</f>
        <v>126675.98229699626</v>
      </c>
      <c r="AH18">
        <v>12227642.37866335</v>
      </c>
    </row>
    <row r="19" spans="2:34" x14ac:dyDescent="0.2">
      <c r="B19" s="145" t="s">
        <v>16</v>
      </c>
      <c r="C19" s="87">
        <f>SUMIFS(INDEX(PL_NG!$C:$AM, MATCH($B19,PL_NG!$C:$C, 0), ),PL_NG!$C$3:$AM$3, "&gt;="&amp;DATE(YEAR($C$3),1,1),PL_NG!$C$3:$AM$3, "&lt;="&amp;$C$3)</f>
        <v>0</v>
      </c>
      <c r="D19" s="87">
        <f>SUMIFS(INDEX(PL_UK!$C:$AM, MATCH($B19,PL_UK!$C:$C, 0), ),PL_UK!$C$3:$AM$3, "&gt;="&amp;DATE(YEAR($C$3),1,1),PL_UK!$C$3:$AM$3, "&lt;="&amp;$C$3)</f>
        <v>0</v>
      </c>
      <c r="E19" s="87">
        <f>SUMIFS(INDEX(PL_UAE!$C:$AM, MATCH($B19,PL_UAE!$C:$C, 0), ),PL_UAE!$C$3:$AM$3, "&gt;="&amp;DATE(YEAR($C$3),1,1),PL_UAE!$C$3:$AM$3, "&lt;="&amp;$C$3)</f>
        <v>0</v>
      </c>
      <c r="F19" s="90">
        <f t="shared" si="7"/>
        <v>0</v>
      </c>
      <c r="G19" s="87">
        <f>D19+E19+C19</f>
        <v>0</v>
      </c>
      <c r="H19" s="87"/>
      <c r="I19" s="87">
        <f t="shared" si="5"/>
        <v>0</v>
      </c>
      <c r="J19" s="87">
        <f t="shared" si="2"/>
        <v>0</v>
      </c>
      <c r="K19" s="87">
        <f t="shared" si="2"/>
        <v>0</v>
      </c>
      <c r="L19" s="142">
        <f t="shared" si="2"/>
        <v>0</v>
      </c>
      <c r="M19" s="40">
        <f t="shared" si="3"/>
        <v>0</v>
      </c>
      <c r="N19" s="87">
        <f t="shared" si="4"/>
        <v>0</v>
      </c>
      <c r="O19" s="87">
        <f>G19/Summary!$F$3</f>
        <v>0</v>
      </c>
      <c r="P19" s="87">
        <f>H19/Summary!$F$3</f>
        <v>0</v>
      </c>
      <c r="Q19" s="87">
        <f>I19/Summary!$F$3</f>
        <v>0</v>
      </c>
      <c r="R19" s="87">
        <f>J19/Summary!$F$3</f>
        <v>0</v>
      </c>
      <c r="S19" s="87">
        <f>K19/Summary!$F$3</f>
        <v>0</v>
      </c>
      <c r="T19" s="87">
        <f>L19/Summary!$F$3</f>
        <v>0</v>
      </c>
      <c r="AE19" t="s">
        <v>1431</v>
      </c>
      <c r="AF19">
        <f>L2*AE15</f>
        <v>16553.193725668731</v>
      </c>
      <c r="AH19">
        <v>1570631.2934144649</v>
      </c>
    </row>
    <row r="20" spans="2:34" x14ac:dyDescent="0.2">
      <c r="B20" s="146" t="s">
        <v>19</v>
      </c>
      <c r="C20" s="143">
        <f>SUMIFS(INDEX(PL_NG!$C:$AM, MATCH($B20,PL_NG!$C:$C, 0), ),PL_NG!$C$3:$AM$3, "&gt;="&amp;DATE(YEAR($C$3),1,1),PL_NG!$C$3:$AM$3, "&lt;="&amp;$C$3)</f>
        <v>0</v>
      </c>
      <c r="D20" s="143">
        <f>SUMIFS(INDEX(PL_UK!$C:$AM, MATCH($B20,PL_UK!$C:$C, 0), ),PL_UK!$C$3:$AM$3, "&gt;="&amp;DATE(YEAR($C$3),1,1),PL_UK!$C$3:$AM$3, "&lt;="&amp;$C$3)</f>
        <v>0</v>
      </c>
      <c r="E20" s="143">
        <f>SUMIFS(INDEX(PL_UAE!$C:$AM, MATCH($B20,PL_UAE!$C:$C, 0), ),PL_UAE!$C$3:$AM$3, "&gt;="&amp;DATE(YEAR($C$3),1,1),PL_UAE!$C$3:$AM$3, "&lt;="&amp;$C$3)</f>
        <v>0</v>
      </c>
      <c r="F20" s="124">
        <f t="shared" si="7"/>
        <v>0</v>
      </c>
      <c r="G20" s="143">
        <f>D20+E20</f>
        <v>0</v>
      </c>
      <c r="H20" s="143">
        <f>C20</f>
        <v>0</v>
      </c>
      <c r="I20" s="87">
        <f>$H20*I$2</f>
        <v>0</v>
      </c>
      <c r="J20" s="87">
        <f t="shared" si="2"/>
        <v>0</v>
      </c>
      <c r="K20" s="87">
        <f t="shared" si="2"/>
        <v>0</v>
      </c>
      <c r="L20" s="142">
        <f t="shared" si="2"/>
        <v>0</v>
      </c>
      <c r="M20" s="40">
        <f t="shared" si="3"/>
        <v>0</v>
      </c>
      <c r="N20" s="87">
        <f t="shared" si="4"/>
        <v>0</v>
      </c>
      <c r="O20" s="87">
        <f>G20/Summary!$F$3</f>
        <v>0</v>
      </c>
      <c r="P20" s="87">
        <f>H20/Summary!$F$3</f>
        <v>0</v>
      </c>
      <c r="Q20" s="87">
        <f>I20/Summary!$F$3</f>
        <v>0</v>
      </c>
      <c r="R20" s="87">
        <f>J20/Summary!$F$3</f>
        <v>0</v>
      </c>
      <c r="S20" s="87">
        <f>K20/Summary!$F$3</f>
        <v>0</v>
      </c>
      <c r="T20" s="87">
        <f>L20/Summary!$F$3</f>
        <v>0</v>
      </c>
      <c r="AF20" s="241">
        <f>SUM(AF16:AF19)</f>
        <v>29240768.050000001</v>
      </c>
      <c r="AH20">
        <v>40259.662224994448</v>
      </c>
    </row>
    <row r="21" spans="2:34" x14ac:dyDescent="0.2">
      <c r="F21" s="45">
        <f t="shared" ref="F21:L21" si="8">SUM(F7:F20)</f>
        <v>-1359644280.2925599</v>
      </c>
      <c r="G21" s="45">
        <f t="shared" si="8"/>
        <v>-694870223.95900333</v>
      </c>
      <c r="H21" s="45">
        <f t="shared" si="8"/>
        <v>-664774056.33355665</v>
      </c>
      <c r="I21" s="45">
        <f t="shared" si="8"/>
        <v>-515032746.02626628</v>
      </c>
      <c r="J21" s="45">
        <f t="shared" si="8"/>
        <v>-146822902.59846562</v>
      </c>
      <c r="K21" s="45">
        <f t="shared" si="8"/>
        <v>-2581123.2985101133</v>
      </c>
      <c r="L21" s="45">
        <f t="shared" si="8"/>
        <v>-337284.41031467792</v>
      </c>
      <c r="M21" s="40">
        <f t="shared" si="3"/>
        <v>0</v>
      </c>
      <c r="N21" s="45">
        <f t="shared" ref="N21:T21" si="9">SUM(N7:N20)</f>
        <v>-989155.9276072603</v>
      </c>
      <c r="O21" s="45">
        <f t="shared" si="9"/>
        <v>-505525.60762358835</v>
      </c>
      <c r="P21" s="45">
        <f t="shared" si="9"/>
        <v>-483630.31998367212</v>
      </c>
      <c r="Q21" s="45">
        <f t="shared" si="9"/>
        <v>-374691.89627606579</v>
      </c>
      <c r="R21" s="45">
        <f t="shared" si="9"/>
        <v>-106815.25051723521</v>
      </c>
      <c r="S21" s="45">
        <f t="shared" si="9"/>
        <v>-1877.7951318686933</v>
      </c>
      <c r="T21" s="45">
        <f t="shared" si="9"/>
        <v>-245.37805850254844</v>
      </c>
      <c r="AG21" s="41"/>
    </row>
    <row r="22" spans="2:34" x14ac:dyDescent="0.2">
      <c r="B22" s="145" t="s">
        <v>4</v>
      </c>
      <c r="C22" s="87">
        <f>SUMIFS(INDEX(PL_NG!$C:$AM, MATCH($B22,PL_NG!$C:$C, 0), ),PL_NG!$C$3:$AM$3, "&gt;="&amp;DATE(YEAR($C$3),1,1),PL_NG!$C$3:$AM$3, "&lt;="&amp;$C$3)</f>
        <v>2363679952.9700003</v>
      </c>
      <c r="D22" s="87">
        <f>SUMIFS(INDEX(PL_UK!$C:$AM, MATCH($B22,PL_UK!$C:$C, 0), ),PL_UK!$C$3:$AM$3, "&gt;="&amp;DATE(YEAR($C$3),1,1),PL_UK!$C$3:$AM$3, "&lt;="&amp;$C$3)</f>
        <v>6809771.2904000003</v>
      </c>
      <c r="E22" s="87">
        <f>SUMIFS(INDEX(PL_UAE!$C:$AM, MATCH($B22,PL_UAE!$C:$C, 0), ),PL_UAE!$C$3:$AM$3, "&gt;="&amp;DATE(YEAR($C$3),1,1),PL_UAE!$C$3:$AM$3, "&lt;="&amp;$C$3)</f>
        <v>0</v>
      </c>
      <c r="F22" s="90">
        <f>SUM(C22:E22)</f>
        <v>2370489724.2604003</v>
      </c>
    </row>
    <row r="24" spans="2:34" s="80" customFormat="1" x14ac:dyDescent="0.2">
      <c r="G24" s="241"/>
      <c r="M24" s="177"/>
    </row>
    <row r="25" spans="2:34" x14ac:dyDescent="0.2">
      <c r="B25" s="176"/>
      <c r="C25" s="176" t="s">
        <v>1359</v>
      </c>
      <c r="D25" s="176" t="s">
        <v>1360</v>
      </c>
      <c r="E25" s="176"/>
      <c r="F25" s="176"/>
      <c r="G25" s="176"/>
      <c r="H25" s="176"/>
      <c r="I25" s="176"/>
      <c r="J25" s="176"/>
      <c r="K25" s="232"/>
    </row>
    <row r="26" spans="2:34" x14ac:dyDescent="0.2">
      <c r="B26" s="176"/>
      <c r="C26" s="176" t="s">
        <v>1361</v>
      </c>
      <c r="D26" s="176" t="s">
        <v>1362</v>
      </c>
      <c r="E26" s="176" t="s">
        <v>1363</v>
      </c>
      <c r="F26" s="176" t="s">
        <v>1364</v>
      </c>
      <c r="G26" s="176" t="s">
        <v>1365</v>
      </c>
      <c r="H26" s="176" t="s">
        <v>1366</v>
      </c>
      <c r="I26" s="176" t="s">
        <v>1367</v>
      </c>
      <c r="J26" s="176" t="s">
        <v>1368</v>
      </c>
      <c r="K26" s="232" t="s">
        <v>1369</v>
      </c>
      <c r="L26" s="236">
        <v>45870</v>
      </c>
    </row>
    <row r="27" spans="2:34" x14ac:dyDescent="0.2">
      <c r="B27" s="176"/>
      <c r="C27" s="181"/>
      <c r="D27" s="182">
        <v>50929972.609999999</v>
      </c>
      <c r="E27" s="182">
        <v>52121965.359999999</v>
      </c>
      <c r="F27" s="182">
        <v>54884548.659999996</v>
      </c>
      <c r="G27" s="182">
        <v>55021741.68</v>
      </c>
      <c r="H27" s="182">
        <v>55323596.32</v>
      </c>
      <c r="I27" s="182">
        <v>55536310.280000001</v>
      </c>
      <c r="J27" s="182">
        <v>52839090.920000002</v>
      </c>
      <c r="K27" s="233">
        <v>376657225.82999998</v>
      </c>
      <c r="L27" s="182">
        <v>772500</v>
      </c>
    </row>
    <row r="28" spans="2:34" x14ac:dyDescent="0.2">
      <c r="B28" s="183">
        <v>3000</v>
      </c>
      <c r="C28" s="181" t="s">
        <v>1370</v>
      </c>
      <c r="D28" s="182"/>
      <c r="E28" s="182">
        <v>2022448.5</v>
      </c>
      <c r="F28" s="182">
        <v>4607220</v>
      </c>
      <c r="G28" s="182">
        <v>4831620</v>
      </c>
      <c r="H28" s="182">
        <v>4748220</v>
      </c>
      <c r="I28" s="182">
        <v>4630350</v>
      </c>
      <c r="J28" s="182">
        <v>4583400</v>
      </c>
      <c r="K28" s="233">
        <v>25423258.5</v>
      </c>
      <c r="L28" s="182">
        <v>4604880</v>
      </c>
      <c r="M28" s="182">
        <v>4458780</v>
      </c>
    </row>
    <row r="29" spans="2:34" x14ac:dyDescent="0.2">
      <c r="B29" s="183">
        <v>2500</v>
      </c>
      <c r="C29" s="181" t="s">
        <v>1371</v>
      </c>
      <c r="D29" s="182">
        <v>3662071.88</v>
      </c>
      <c r="E29" s="182">
        <v>3522431.14</v>
      </c>
      <c r="F29" s="182">
        <v>3610908.68</v>
      </c>
      <c r="G29" s="182">
        <v>3786782.18</v>
      </c>
      <c r="H29" s="182">
        <v>3721417.43</v>
      </c>
      <c r="I29" s="182">
        <v>3858625</v>
      </c>
      <c r="J29" s="182">
        <v>3819500</v>
      </c>
      <c r="K29" s="233">
        <v>25981736.309999999</v>
      </c>
      <c r="L29" s="182">
        <v>3837400</v>
      </c>
      <c r="M29" s="182">
        <v>3715650</v>
      </c>
    </row>
    <row r="30" spans="2:34" x14ac:dyDescent="0.2">
      <c r="B30" s="183">
        <v>700</v>
      </c>
      <c r="C30" s="181" t="s">
        <v>1372</v>
      </c>
      <c r="D30" s="182">
        <v>942613.51</v>
      </c>
      <c r="E30" s="182">
        <v>1048677</v>
      </c>
      <c r="F30" s="182">
        <v>1075018</v>
      </c>
      <c r="G30" s="182">
        <v>1127378</v>
      </c>
      <c r="H30" s="182">
        <v>1107918</v>
      </c>
      <c r="I30" s="182">
        <v>1080415</v>
      </c>
      <c r="J30" s="182">
        <v>1069460</v>
      </c>
      <c r="K30" s="233">
        <v>7451479.5099999998</v>
      </c>
      <c r="L30" s="182">
        <v>1074472</v>
      </c>
      <c r="M30" s="182">
        <v>1040382</v>
      </c>
    </row>
    <row r="31" spans="2:34" x14ac:dyDescent="0.2">
      <c r="B31" s="183">
        <v>2800</v>
      </c>
      <c r="C31" s="181" t="s">
        <v>1373</v>
      </c>
      <c r="D31" s="182">
        <v>4361000</v>
      </c>
      <c r="E31" s="182">
        <v>4194708</v>
      </c>
      <c r="F31" s="182">
        <v>4300072</v>
      </c>
      <c r="G31" s="182">
        <v>4509512</v>
      </c>
      <c r="H31" s="182">
        <v>4431672</v>
      </c>
      <c r="I31" s="182">
        <v>4321660</v>
      </c>
      <c r="J31" s="182">
        <v>4277840</v>
      </c>
      <c r="K31" s="233">
        <v>30396464</v>
      </c>
      <c r="L31" s="182">
        <v>4297888</v>
      </c>
    </row>
    <row r="32" spans="2:34" x14ac:dyDescent="0.2">
      <c r="B32" s="183">
        <v>2700</v>
      </c>
      <c r="C32" s="181" t="s">
        <v>1374</v>
      </c>
      <c r="D32" s="182">
        <v>4205250</v>
      </c>
      <c r="E32" s="182">
        <v>4044897</v>
      </c>
      <c r="F32" s="182">
        <v>4146093</v>
      </c>
      <c r="G32" s="182">
        <v>4348458</v>
      </c>
      <c r="H32" s="182">
        <v>4273398</v>
      </c>
      <c r="I32" s="182">
        <v>4167315</v>
      </c>
      <c r="J32" s="182">
        <v>4125060</v>
      </c>
      <c r="K32" s="233">
        <v>29310471</v>
      </c>
      <c r="L32" s="182">
        <v>4153221</v>
      </c>
    </row>
    <row r="33" spans="2:13" x14ac:dyDescent="0.2">
      <c r="B33" s="176"/>
      <c r="C33" s="181" t="s">
        <v>1375</v>
      </c>
      <c r="D33" s="182">
        <v>14170000</v>
      </c>
      <c r="E33" s="182">
        <v>13170000</v>
      </c>
      <c r="F33" s="182">
        <v>13170000</v>
      </c>
      <c r="G33" s="182">
        <v>12083684.210000001</v>
      </c>
      <c r="H33" s="182">
        <v>12615714.289999999</v>
      </c>
      <c r="I33" s="182">
        <v>12057222.23</v>
      </c>
      <c r="J33" s="182">
        <v>12935454.550000001</v>
      </c>
      <c r="K33" s="233">
        <v>90202075.280000001</v>
      </c>
      <c r="L33" s="182">
        <v>62970714.290000007</v>
      </c>
    </row>
    <row r="34" spans="2:13" x14ac:dyDescent="0.2">
      <c r="B34" s="176"/>
      <c r="C34" s="181" t="s">
        <v>1369</v>
      </c>
      <c r="D34" s="182">
        <v>78270908</v>
      </c>
      <c r="E34" s="182">
        <v>80125127</v>
      </c>
      <c r="F34" s="182">
        <v>85793860.340000004</v>
      </c>
      <c r="G34" s="182">
        <v>85709176.069999993</v>
      </c>
      <c r="H34" s="182">
        <v>86221936.039999992</v>
      </c>
      <c r="I34" s="182">
        <v>85651897.510000005</v>
      </c>
      <c r="J34" s="182">
        <v>83649805.469999999</v>
      </c>
      <c r="K34" s="233">
        <v>585422710.42999995</v>
      </c>
      <c r="L34" s="251">
        <f>SUM(L27:L33)</f>
        <v>81711075.290000007</v>
      </c>
    </row>
    <row r="35" spans="2:13" x14ac:dyDescent="0.2">
      <c r="B35" s="176"/>
      <c r="C35" s="176"/>
      <c r="D35" s="184">
        <v>2351.25</v>
      </c>
      <c r="E35" s="184">
        <v>2351.25</v>
      </c>
      <c r="F35" s="184">
        <v>2351.25</v>
      </c>
      <c r="G35" s="184">
        <v>2351.25</v>
      </c>
      <c r="H35" s="184">
        <v>2351.25</v>
      </c>
      <c r="I35" s="182">
        <v>2500</v>
      </c>
      <c r="J35" s="182">
        <v>2500</v>
      </c>
      <c r="K35" s="232"/>
      <c r="L35" s="182">
        <v>2500</v>
      </c>
      <c r="M35" s="182">
        <v>2500</v>
      </c>
    </row>
    <row r="36" spans="2:13" x14ac:dyDescent="0.2">
      <c r="B36" s="176"/>
      <c r="C36" s="176" t="s">
        <v>1644</v>
      </c>
      <c r="D36" s="185">
        <f>D29/D35*2500</f>
        <v>3893750.0053163213</v>
      </c>
      <c r="E36" s="185">
        <f t="shared" ref="E36:M36" si="10">E29/E35*2500</f>
        <v>3745275.0026581604</v>
      </c>
      <c r="F36" s="185">
        <f t="shared" si="10"/>
        <v>3839350.0053163213</v>
      </c>
      <c r="G36" s="185">
        <f t="shared" si="10"/>
        <v>4026350.0053163208</v>
      </c>
      <c r="H36" s="185">
        <f t="shared" si="10"/>
        <v>3956850.0053163213</v>
      </c>
      <c r="I36" s="185">
        <f t="shared" si="10"/>
        <v>3858625</v>
      </c>
      <c r="J36" s="185">
        <f t="shared" si="10"/>
        <v>3819500</v>
      </c>
      <c r="K36" s="232"/>
      <c r="L36" s="185">
        <f t="shared" si="10"/>
        <v>3837400</v>
      </c>
      <c r="M36" s="185">
        <f t="shared" si="10"/>
        <v>3715650</v>
      </c>
    </row>
    <row r="37" spans="2:13" x14ac:dyDescent="0.2">
      <c r="B37" s="176"/>
      <c r="C37" s="176"/>
      <c r="D37" s="176"/>
      <c r="E37" s="176"/>
      <c r="F37" s="176"/>
      <c r="G37" s="176"/>
      <c r="H37" s="176"/>
      <c r="I37" s="176"/>
      <c r="J37" s="176"/>
      <c r="K37" s="232"/>
      <c r="L37" s="176"/>
    </row>
    <row r="38" spans="2:13" x14ac:dyDescent="0.2">
      <c r="B38" s="176"/>
      <c r="C38" s="186" t="s">
        <v>1376</v>
      </c>
      <c r="D38" s="40">
        <f>D28+D31+D32+D36</f>
        <v>12460000.005316321</v>
      </c>
      <c r="E38" s="40">
        <f t="shared" ref="E38:M38" si="11">E28+E31+E32+E36</f>
        <v>14007328.50265816</v>
      </c>
      <c r="F38" s="40">
        <f t="shared" si="11"/>
        <v>16892735.005316321</v>
      </c>
      <c r="G38" s="40">
        <f t="shared" si="11"/>
        <v>17715940.005316321</v>
      </c>
      <c r="H38" s="40">
        <f t="shared" si="11"/>
        <v>17410140.005316321</v>
      </c>
      <c r="I38" s="40">
        <f t="shared" si="11"/>
        <v>16977950</v>
      </c>
      <c r="J38" s="40">
        <f t="shared" si="11"/>
        <v>16805800</v>
      </c>
      <c r="K38" s="234">
        <f>SUM(D38:J38,L38,M38)</f>
        <v>137337712.52392346</v>
      </c>
      <c r="L38" s="40">
        <f t="shared" si="11"/>
        <v>16893389</v>
      </c>
      <c r="M38" s="40">
        <f t="shared" si="11"/>
        <v>8174430</v>
      </c>
    </row>
    <row r="39" spans="2:13" x14ac:dyDescent="0.2">
      <c r="B39" s="176"/>
      <c r="C39" s="176" t="s">
        <v>1377</v>
      </c>
      <c r="D39" s="184">
        <v>12119957.609999999</v>
      </c>
      <c r="E39" s="184">
        <v>12879203.020000003</v>
      </c>
      <c r="F39" s="184">
        <v>14758794.060000002</v>
      </c>
      <c r="G39" s="184">
        <v>13321043.100000003</v>
      </c>
      <c r="H39" s="184">
        <v>14653590.740000004</v>
      </c>
      <c r="I39" s="184">
        <v>14712057.060000002</v>
      </c>
      <c r="J39" s="184">
        <v>15240689.98</v>
      </c>
      <c r="K39" s="234">
        <f>SUM(D39:J39,L39:M39)</f>
        <v>126130921.13000003</v>
      </c>
      <c r="L39" s="184">
        <v>15419123.020000001</v>
      </c>
      <c r="M39" s="184">
        <v>13026462.540000001</v>
      </c>
    </row>
    <row r="40" spans="2:13" x14ac:dyDescent="0.2">
      <c r="B40" s="176"/>
      <c r="C40" s="176"/>
      <c r="D40" s="176"/>
      <c r="E40" s="176"/>
      <c r="F40" s="176"/>
      <c r="G40" s="176"/>
      <c r="H40" s="176"/>
      <c r="I40" s="176"/>
      <c r="J40" s="176"/>
      <c r="K40" s="234">
        <f>K34-K38-K39</f>
        <v>321954076.77607644</v>
      </c>
      <c r="L40" s="184"/>
    </row>
    <row r="41" spans="2:13" x14ac:dyDescent="0.2">
      <c r="B41" s="176"/>
      <c r="C41" s="176"/>
      <c r="D41" s="176"/>
      <c r="E41" s="176"/>
      <c r="F41" s="176"/>
      <c r="G41" s="176"/>
      <c r="H41" s="176"/>
      <c r="I41" s="176"/>
      <c r="J41" s="176"/>
      <c r="K41" s="40"/>
    </row>
    <row r="43" spans="2:13" x14ac:dyDescent="0.2">
      <c r="C43" t="s">
        <v>1643</v>
      </c>
      <c r="D43" s="50">
        <f>138825976</f>
        <v>138825976</v>
      </c>
      <c r="E43">
        <v>77378814.159999996</v>
      </c>
      <c r="I43" t="s">
        <v>1379</v>
      </c>
      <c r="K43" s="45">
        <f>-C9</f>
        <v>-17964044.820000008</v>
      </c>
    </row>
    <row r="44" spans="2:13" x14ac:dyDescent="0.2">
      <c r="I44" t="s">
        <v>1378</v>
      </c>
      <c r="K44" s="39">
        <v>13682409.93</v>
      </c>
    </row>
    <row r="45" spans="2:13" x14ac:dyDescent="0.2">
      <c r="C45" t="s">
        <v>1645</v>
      </c>
      <c r="D45">
        <v>29278402.879999999</v>
      </c>
      <c r="I45" t="s">
        <v>1457</v>
      </c>
      <c r="K45" s="39">
        <v>5723972.9800000004</v>
      </c>
    </row>
    <row r="46" spans="2:13" x14ac:dyDescent="0.2">
      <c r="C46" t="s">
        <v>1646</v>
      </c>
      <c r="D46">
        <v>32168758.960000001</v>
      </c>
      <c r="I46" t="s">
        <v>1456</v>
      </c>
      <c r="K46">
        <v>784810.01</v>
      </c>
    </row>
    <row r="47" spans="2:13" x14ac:dyDescent="0.2">
      <c r="C47" s="178">
        <v>0.3</v>
      </c>
      <c r="D47">
        <f>C47*E43</f>
        <v>23213644.248</v>
      </c>
      <c r="E47">
        <v>23213644.248</v>
      </c>
      <c r="K47">
        <v>50000000</v>
      </c>
    </row>
    <row r="48" spans="2:13" x14ac:dyDescent="0.2">
      <c r="D48" s="45">
        <f>D43-D45-D46-D47</f>
        <v>54165169.912</v>
      </c>
    </row>
    <row r="49" spans="2:13" x14ac:dyDescent="0.2">
      <c r="G49">
        <f>151-89</f>
        <v>62</v>
      </c>
      <c r="I49" t="s">
        <v>1380</v>
      </c>
      <c r="J49" t="s">
        <v>1381</v>
      </c>
      <c r="K49" s="50">
        <v>2229831.239999935</v>
      </c>
    </row>
    <row r="50" spans="2:13" x14ac:dyDescent="0.2">
      <c r="J50" t="s">
        <v>1382</v>
      </c>
      <c r="K50" s="50">
        <v>-1039910.38</v>
      </c>
    </row>
    <row r="51" spans="2:13" x14ac:dyDescent="0.2">
      <c r="K51" s="187">
        <f>K49+K50</f>
        <v>1189920.8599999351</v>
      </c>
    </row>
    <row r="54" spans="2:13" x14ac:dyDescent="0.2">
      <c r="B54" s="158"/>
      <c r="C54" s="159">
        <f>Summary!$C$2</f>
        <v>46142</v>
      </c>
      <c r="D54" s="160"/>
      <c r="E54" s="160"/>
      <c r="F54" s="160"/>
      <c r="G54" s="163" t="s">
        <v>1356</v>
      </c>
      <c r="H54" s="166" t="s">
        <v>1357</v>
      </c>
      <c r="I54" s="163" t="s">
        <v>1358</v>
      </c>
      <c r="J54" s="166" t="s">
        <v>1433</v>
      </c>
      <c r="K54" s="166" t="s">
        <v>1436</v>
      </c>
    </row>
    <row r="55" spans="2:13" x14ac:dyDescent="0.2">
      <c r="B55" s="161" t="s">
        <v>1384</v>
      </c>
      <c r="C55" s="82" t="s">
        <v>1327</v>
      </c>
      <c r="D55" s="82" t="s">
        <v>1302</v>
      </c>
      <c r="E55" s="82" t="s">
        <v>1328</v>
      </c>
      <c r="F55" s="82" t="s">
        <v>1331</v>
      </c>
      <c r="G55" s="164" t="s">
        <v>1296</v>
      </c>
      <c r="H55" s="162" t="s">
        <v>1330</v>
      </c>
      <c r="I55" s="164" t="s">
        <v>1296</v>
      </c>
      <c r="J55" s="162" t="s">
        <v>1330</v>
      </c>
      <c r="K55" s="162"/>
    </row>
    <row r="56" spans="2:13" x14ac:dyDescent="0.2">
      <c r="B56" s="145" t="s">
        <v>31</v>
      </c>
      <c r="C56" s="87">
        <f>INDEX(BS_NG!$C$3:$AM$227, MATCH('Segment Report (3)'!$B56, BS_NG!$C$3:$C$227, 0), MATCH('Segment Report (3)'!$C$54, BS_NG!$C$3:$AM$3, 0))</f>
        <v>2458659337.4700003</v>
      </c>
      <c r="D56" s="87">
        <f>INDEX(BS_UK!$C$3:$AM$217, MATCH('Segment Report (3)'!$B56, BS_UK!$C$3:$C$217, 0), MATCH('Segment Report (3)'!$C$54, BS_UK!$C$3:$AM$3, 0))</f>
        <v>94536934.855999991</v>
      </c>
      <c r="E56" s="87">
        <f>INDEX(BS_UAE!$C$3:$AM$216, MATCH('Segment Report (3)'!$B56, BS_UAE!$C$3:$C$216, 0), MATCH('Segment Report (3)'!$C$54, BS_UAE!$C$3:$AM$3, 0))</f>
        <v>90142102.582320005</v>
      </c>
      <c r="F56" s="90">
        <f t="shared" ref="F56:F72" si="12">SUM(C56:E56)</f>
        <v>2643338374.9083204</v>
      </c>
      <c r="G56" s="87">
        <f>G92+D56+E56</f>
        <v>2523551566.3278198</v>
      </c>
      <c r="H56" s="142">
        <f t="shared" ref="H56:H71" si="13">F56-G56</f>
        <v>119786808.5805006</v>
      </c>
      <c r="I56" s="87">
        <f t="shared" ref="I56:J72" si="14">G56/C_RATE</f>
        <v>1835911.07368071</v>
      </c>
      <c r="J56" s="87">
        <f t="shared" si="14"/>
        <v>87146.19954203238</v>
      </c>
      <c r="K56" s="87">
        <f>I56+J56</f>
        <v>1923057.2732227424</v>
      </c>
      <c r="M56" s="40">
        <f>F56-G56-H56</f>
        <v>0</v>
      </c>
    </row>
    <row r="57" spans="2:13" x14ac:dyDescent="0.2">
      <c r="B57" s="145" t="s">
        <v>32</v>
      </c>
      <c r="C57" s="87">
        <f>INDEX(BS_NG!$C$3:$AM$227, MATCH('Segment Report (3)'!$B57, BS_NG!$C$3:$C$227, 0), MATCH('Segment Report (3)'!$C$54, BS_NG!$C$3:$AM$3, 0))</f>
        <v>573307915.97000003</v>
      </c>
      <c r="D57" s="87">
        <f>INDEX(BS_UK!$C$3:$AM$217, MATCH('Segment Report (3)'!$B57, BS_UK!$C$3:$C$217, 0), MATCH('Segment Report (3)'!$C$54, BS_UK!$C$3:$AM$3, 0))</f>
        <v>20914026.379999999</v>
      </c>
      <c r="E57" s="87">
        <f>INDEX(BS_UAE!$C$3:$AM$216, MATCH('Segment Report (3)'!$B57, BS_UAE!$C$3:$C$216, 0), MATCH('Segment Report (3)'!$C$54, BS_UAE!$C$3:$AM$3, 0))</f>
        <v>0</v>
      </c>
      <c r="F57" s="90">
        <f t="shared" si="12"/>
        <v>594221942.35000002</v>
      </c>
      <c r="G57" s="87">
        <v>0</v>
      </c>
      <c r="H57" s="142">
        <f t="shared" si="13"/>
        <v>594221942.35000002</v>
      </c>
      <c r="I57" s="87">
        <f t="shared" si="14"/>
        <v>0</v>
      </c>
      <c r="J57" s="87">
        <f t="shared" si="14"/>
        <v>432302.8935651668</v>
      </c>
      <c r="K57" s="87">
        <f t="shared" ref="K57:K72" si="15">I57+J57</f>
        <v>432302.8935651668</v>
      </c>
      <c r="M57" s="40">
        <f t="shared" ref="M57:M73" si="16">F57-G57-H57</f>
        <v>0</v>
      </c>
    </row>
    <row r="58" spans="2:13" x14ac:dyDescent="0.2">
      <c r="B58" s="145" t="s">
        <v>34</v>
      </c>
      <c r="C58" s="87">
        <f>INDEX(BS_NG!$C$3:$AM$227, MATCH('Segment Report (3)'!$B58, BS_NG!$C$3:$C$227, 0), MATCH('Segment Report (3)'!$C$54, BS_NG!$C$3:$AM$3, 0))</f>
        <v>45773937.899999999</v>
      </c>
      <c r="D58" s="87">
        <f>INDEX(BS_UK!$C$3:$AM$217, MATCH('Segment Report (3)'!$B58, BS_UK!$C$3:$C$217, 0), MATCH('Segment Report (3)'!$C$54, BS_UK!$C$3:$AM$3, 0))</f>
        <v>3465642.1669999999</v>
      </c>
      <c r="E58" s="87">
        <f>INDEX(BS_UAE!$C$3:$AM$216, MATCH('Segment Report (3)'!$B58, BS_UAE!$C$3:$C$216, 0), MATCH('Segment Report (3)'!$C$54, BS_UAE!$C$3:$AM$3, 0))</f>
        <v>0</v>
      </c>
      <c r="F58" s="90">
        <f t="shared" si="12"/>
        <v>49239580.067000002</v>
      </c>
      <c r="G58" s="87">
        <v>0</v>
      </c>
      <c r="H58" s="142">
        <f t="shared" si="13"/>
        <v>49239580.067000002</v>
      </c>
      <c r="I58" s="87">
        <f t="shared" si="14"/>
        <v>0</v>
      </c>
      <c r="J58" s="87">
        <f t="shared" si="14"/>
        <v>35822.327355861918</v>
      </c>
      <c r="K58" s="87">
        <f t="shared" si="15"/>
        <v>35822.327355861918</v>
      </c>
      <c r="M58" s="40">
        <f t="shared" si="16"/>
        <v>0</v>
      </c>
    </row>
    <row r="59" spans="2:13" x14ac:dyDescent="0.2">
      <c r="B59" s="145" t="s">
        <v>36</v>
      </c>
      <c r="C59" s="87">
        <f>INDEX(BS_NG!$C$3:$AM$227, MATCH('Segment Report (3)'!$B59, BS_NG!$C$3:$C$227, 0), MATCH('Segment Report (3)'!$C$54, BS_NG!$C$3:$AM$3, 0))</f>
        <v>218955544.52999997</v>
      </c>
      <c r="D59" s="87">
        <f>INDEX(BS_UK!$C$3:$AM$217, MATCH('Segment Report (3)'!$B59, BS_UK!$C$3:$C$217, 0), MATCH('Segment Report (3)'!$C$54, BS_UK!$C$3:$AM$3, 0))</f>
        <v>798435.03999999992</v>
      </c>
      <c r="E59" s="87">
        <f>INDEX(BS_UAE!$C$3:$AM$216, MATCH('Segment Report (3)'!$B59, BS_UAE!$C$3:$C$216, 0), MATCH('Segment Report (3)'!$C$54, BS_UAE!$C$3:$AM$3, 0))</f>
        <v>7850695.6933199996</v>
      </c>
      <c r="F59" s="90">
        <f t="shared" si="12"/>
        <v>227604675.26331997</v>
      </c>
      <c r="G59" s="87">
        <v>0</v>
      </c>
      <c r="H59" s="142">
        <f t="shared" si="13"/>
        <v>227604675.26331997</v>
      </c>
      <c r="I59" s="87">
        <f t="shared" si="14"/>
        <v>0</v>
      </c>
      <c r="J59" s="87">
        <f t="shared" si="14"/>
        <v>165584.86432892218</v>
      </c>
      <c r="K59" s="87">
        <f t="shared" si="15"/>
        <v>165584.86432892218</v>
      </c>
      <c r="M59" s="40">
        <f t="shared" si="16"/>
        <v>0</v>
      </c>
    </row>
    <row r="60" spans="2:13" x14ac:dyDescent="0.2">
      <c r="B60" s="145" t="s">
        <v>38</v>
      </c>
      <c r="C60" s="87">
        <f>INDEX(BS_NG!$C$3:$AM$227, MATCH('Segment Report (3)'!$B60, BS_NG!$C$3:$C$227, 0), MATCH('Segment Report (3)'!$C$54, BS_NG!$C$3:$AM$3, 0))</f>
        <v>7688792.6900000004</v>
      </c>
      <c r="D60" s="87">
        <f>INDEX(BS_UK!$C$3:$AM$217, MATCH('Segment Report (3)'!$B60, BS_UK!$C$3:$C$217, 0), MATCH('Segment Report (3)'!$C$54, BS_UK!$C$3:$AM$3, 0))</f>
        <v>1855100</v>
      </c>
      <c r="E60" s="87">
        <f>INDEX(BS_UAE!$C$3:$AM$216, MATCH('Segment Report (3)'!$B60, BS_UAE!$C$3:$C$216, 0), MATCH('Segment Report (3)'!$C$54, BS_UAE!$C$3:$AM$3, 0))</f>
        <v>0</v>
      </c>
      <c r="F60" s="90">
        <f t="shared" si="12"/>
        <v>9543892.6900000013</v>
      </c>
      <c r="G60" s="87">
        <v>0</v>
      </c>
      <c r="H60" s="142">
        <f t="shared" si="13"/>
        <v>9543892.6900000013</v>
      </c>
      <c r="I60" s="87">
        <f t="shared" si="14"/>
        <v>0</v>
      </c>
      <c r="J60" s="87">
        <f t="shared" si="14"/>
        <v>6943.2852133425495</v>
      </c>
      <c r="K60" s="87">
        <f t="shared" si="15"/>
        <v>6943.2852133425495</v>
      </c>
      <c r="M60" s="40">
        <f t="shared" si="16"/>
        <v>0</v>
      </c>
    </row>
    <row r="61" spans="2:13" x14ac:dyDescent="0.2">
      <c r="B61" s="145" t="s">
        <v>40</v>
      </c>
      <c r="C61" s="87">
        <f>INDEX(BS_NG!$C$3:$AM$227, MATCH('Segment Report (3)'!$B61, BS_NG!$C$3:$C$227, 0), MATCH('Segment Report (3)'!$C$54, BS_NG!$C$3:$AM$3, 0))</f>
        <v>572284631.25</v>
      </c>
      <c r="D61" s="87">
        <f>INDEX(BS_UK!$C$3:$AM$217, MATCH('Segment Report (3)'!$B61, BS_UK!$C$3:$C$217, 0), MATCH('Segment Report (3)'!$C$54, BS_UK!$C$3:$AM$3, 0))</f>
        <v>0</v>
      </c>
      <c r="E61" s="87">
        <f>INDEX(BS_UAE!$C$3:$AM$216, MATCH('Segment Report (3)'!$B61, BS_UAE!$C$3:$C$216, 0), MATCH('Segment Report (3)'!$C$54, BS_UAE!$C$3:$AM$3, 0))</f>
        <v>371299.72296000004</v>
      </c>
      <c r="F61" s="90">
        <f t="shared" si="12"/>
        <v>572655930.97296</v>
      </c>
      <c r="G61" s="87"/>
      <c r="H61" s="142">
        <f t="shared" si="13"/>
        <v>572655930.97296</v>
      </c>
      <c r="I61" s="87">
        <f t="shared" si="14"/>
        <v>0</v>
      </c>
      <c r="J61" s="87">
        <f t="shared" si="14"/>
        <v>416613.38690695865</v>
      </c>
      <c r="K61" s="87">
        <f t="shared" si="15"/>
        <v>416613.38690695865</v>
      </c>
      <c r="M61" s="40">
        <f t="shared" si="16"/>
        <v>0</v>
      </c>
    </row>
    <row r="62" spans="2:13" x14ac:dyDescent="0.2">
      <c r="B62" s="145" t="s">
        <v>42</v>
      </c>
      <c r="C62" s="87">
        <f>INDEX(BS_NG!$C$3:$AM$227, MATCH('Segment Report (3)'!$B62, BS_NG!$C$3:$C$227, 0), MATCH('Segment Report (3)'!$C$54, BS_NG!$C$3:$AM$3, 0))*0</f>
        <v>0</v>
      </c>
      <c r="D62" s="87">
        <f>INDEX(BS_UK!$C$3:$AM$217, MATCH('Segment Report (3)'!$B62, BS_UK!$C$3:$C$217, 0), MATCH('Segment Report (3)'!$C$54, BS_UK!$C$3:$AM$3, 0))</f>
        <v>0</v>
      </c>
      <c r="E62" s="87">
        <f>INDEX(BS_UAE!$C$3:$AM$216, MATCH('Segment Report (3)'!$B62, BS_UAE!$C$3:$C$216, 0), MATCH('Segment Report (3)'!$C$54, BS_UAE!$C$3:$AM$3, 0))</f>
        <v>0</v>
      </c>
      <c r="F62" s="90">
        <f t="shared" si="12"/>
        <v>0</v>
      </c>
      <c r="G62" s="87"/>
      <c r="H62" s="142">
        <f>F62-G62</f>
        <v>0</v>
      </c>
      <c r="I62" s="87">
        <f t="shared" si="14"/>
        <v>0</v>
      </c>
      <c r="J62" s="87">
        <f t="shared" si="14"/>
        <v>0</v>
      </c>
      <c r="K62" s="87">
        <f t="shared" si="15"/>
        <v>0</v>
      </c>
      <c r="M62" s="40">
        <f t="shared" si="16"/>
        <v>0</v>
      </c>
    </row>
    <row r="63" spans="2:13" x14ac:dyDescent="0.2">
      <c r="B63" s="145" t="s">
        <v>45</v>
      </c>
      <c r="C63" s="87">
        <f>INDEX(BS_NG!$C$3:$AM$227, MATCH('Segment Report (3)'!$B63, BS_NG!$C$3:$C$227, 0), MATCH('Segment Report (3)'!$C$54, BS_NG!$C$3:$AM$3, 0))</f>
        <v>334516283.69000018</v>
      </c>
      <c r="D63" s="87">
        <f>INDEX(BS_UK!$C$3:$AM$217, MATCH('Segment Report (3)'!$B63, BS_UK!$C$3:$C$217, 0), MATCH('Segment Report (3)'!$C$54, BS_UK!$C$3:$AM$3, 0))</f>
        <v>3616907.0209999997</v>
      </c>
      <c r="E63" s="87">
        <f>INDEX(BS_UAE!$C$3:$AM$216, MATCH('Segment Report (3)'!$B63, BS_UAE!$C$3:$C$216, 0), MATCH('Segment Report (3)'!$C$54, BS_UAE!$C$3:$AM$3, 0))</f>
        <v>187543.29324000003</v>
      </c>
      <c r="F63" s="90">
        <f t="shared" si="12"/>
        <v>338320734.00424021</v>
      </c>
      <c r="G63" s="87">
        <v>0</v>
      </c>
      <c r="H63" s="142">
        <f t="shared" si="13"/>
        <v>338320734.00424021</v>
      </c>
      <c r="I63" s="87">
        <f t="shared" si="14"/>
        <v>0</v>
      </c>
      <c r="J63" s="87">
        <f t="shared" si="14"/>
        <v>246131.99520151337</v>
      </c>
      <c r="K63" s="87">
        <f t="shared" si="15"/>
        <v>246131.99520151337</v>
      </c>
      <c r="M63" s="40">
        <f t="shared" si="16"/>
        <v>0</v>
      </c>
    </row>
    <row r="64" spans="2:13" x14ac:dyDescent="0.2">
      <c r="B64" s="145" t="s">
        <v>47</v>
      </c>
      <c r="C64" s="87">
        <f>INDEX(BS_NG!$C$3:$AM$227, MATCH('Segment Report (3)'!$B64, BS_NG!$C$3:$C$227, 0), MATCH('Segment Report (3)'!$C$54, BS_NG!$C$3:$AM$3, 0))</f>
        <v>2425515971.3800001</v>
      </c>
      <c r="D64" s="87">
        <f>INDEX(BS_UK!$C$3:$AM$217, MATCH('Segment Report (3)'!$B64, BS_UK!$C$3:$C$217, 0), MATCH('Segment Report (3)'!$C$54, BS_UK!$C$3:$AM$3, 0))</f>
        <v>0</v>
      </c>
      <c r="E64" s="87">
        <f>INDEX(BS_UAE!$C$3:$AM$216, MATCH('Segment Report (3)'!$B64, BS_UAE!$C$3:$C$216, 0), MATCH('Segment Report (3)'!$C$54, BS_UAE!$C$3:$AM$3, 0))</f>
        <v>0</v>
      </c>
      <c r="F64" s="90">
        <f t="shared" si="12"/>
        <v>2425515971.3800001</v>
      </c>
      <c r="G64" s="87">
        <f>G96</f>
        <v>1305043294.6800001</v>
      </c>
      <c r="H64" s="142">
        <f t="shared" si="13"/>
        <v>1120472676.7</v>
      </c>
      <c r="I64" s="87">
        <f t="shared" si="14"/>
        <v>949433.11969735555</v>
      </c>
      <c r="J64" s="87">
        <f t="shared" si="14"/>
        <v>815155.99774471647</v>
      </c>
      <c r="K64" s="87">
        <f t="shared" si="15"/>
        <v>1764589.1174420719</v>
      </c>
      <c r="M64" s="40">
        <f t="shared" si="16"/>
        <v>0</v>
      </c>
    </row>
    <row r="65" spans="2:13" x14ac:dyDescent="0.2">
      <c r="B65" s="145" t="s">
        <v>49</v>
      </c>
      <c r="C65" s="87">
        <f>INDEX(BS_NG!$C$3:$AM$227, MATCH('Segment Report (3)'!$B65, BS_NG!$C$3:$C$227, 0), MATCH('Segment Report (3)'!$C$54, BS_NG!$C$3:$AM$3, 0))</f>
        <v>2738957454.1300001</v>
      </c>
      <c r="D65" s="87">
        <f>INDEX(BS_UK!$C$3:$AM$217, MATCH('Segment Report (3)'!$B65, BS_UK!$C$3:$C$217, 0), MATCH('Segment Report (3)'!$C$54, BS_UK!$C$3:$AM$3, 0))</f>
        <v>0</v>
      </c>
      <c r="E65" s="87">
        <f>INDEX(BS_UAE!$C$3:$AM$216, MATCH('Segment Report (3)'!$B65, BS_UAE!$C$3:$C$216, 0), MATCH('Segment Report (3)'!$C$54, BS_UAE!$C$3:$AM$3, 0))</f>
        <v>0</v>
      </c>
      <c r="F65" s="90">
        <f t="shared" si="12"/>
        <v>2738957454.1300001</v>
      </c>
      <c r="G65" s="87"/>
      <c r="H65" s="142">
        <f>F65-G65-H77</f>
        <v>375007033.68000031</v>
      </c>
      <c r="I65" s="87">
        <f t="shared" si="14"/>
        <v>0</v>
      </c>
      <c r="J65" s="87">
        <f t="shared" si="14"/>
        <v>272821.67522461922</v>
      </c>
      <c r="K65" s="87">
        <f t="shared" si="15"/>
        <v>272821.67522461922</v>
      </c>
      <c r="M65" s="40">
        <f t="shared" si="16"/>
        <v>2363950420.4499998</v>
      </c>
    </row>
    <row r="66" spans="2:13" x14ac:dyDescent="0.2">
      <c r="B66" s="145" t="s">
        <v>53</v>
      </c>
      <c r="C66" s="87">
        <f>INDEX(BS_NG!$C$3:$AM$227, MATCH('Segment Report (3)'!$B66, BS_NG!$C$3:$C$227, 0), MATCH('Segment Report (3)'!$C$54, BS_NG!$C$3:$AM$3, 0))</f>
        <v>21499460.77</v>
      </c>
      <c r="D66" s="87">
        <f>INDEX(BS_UK!$C$3:$AM$217, MATCH('Segment Report (3)'!$B66, BS_UK!$C$3:$C$217, 0), MATCH('Segment Report (3)'!$C$54, BS_UK!$C$3:$AM$3, 0))</f>
        <v>0</v>
      </c>
      <c r="E66" s="87">
        <f>INDEX(BS_UAE!$C$3:$AM$216, MATCH('Segment Report (3)'!$B66, BS_UAE!$C$3:$C$216, 0), MATCH('Segment Report (3)'!$C$54, BS_UAE!$C$3:$AM$3, 0))</f>
        <v>0</v>
      </c>
      <c r="F66" s="90">
        <f t="shared" si="12"/>
        <v>21499460.77</v>
      </c>
      <c r="G66" s="87"/>
      <c r="H66" s="142">
        <f t="shared" si="13"/>
        <v>21499460.77</v>
      </c>
      <c r="I66" s="87">
        <f t="shared" si="14"/>
        <v>0</v>
      </c>
      <c r="J66" s="87">
        <f t="shared" si="14"/>
        <v>15641.090371394275</v>
      </c>
      <c r="K66" s="87">
        <f t="shared" si="15"/>
        <v>15641.090371394275</v>
      </c>
      <c r="M66" s="40">
        <f t="shared" si="16"/>
        <v>0</v>
      </c>
    </row>
    <row r="67" spans="2:13" x14ac:dyDescent="0.2">
      <c r="B67" s="145" t="s">
        <v>54</v>
      </c>
      <c r="C67" s="87">
        <f>INDEX(BS_NG!$C$3:$AM$227, MATCH('Segment Report (3)'!$B67, BS_NG!$C$3:$C$227, 0), MATCH('Segment Report (3)'!$C$54, BS_NG!$C$3:$AM$3, 0))</f>
        <v>348729568.84000003</v>
      </c>
      <c r="D67" s="87">
        <f>INDEX(BS_UK!$C$3:$AM$217, MATCH('Segment Report (3)'!$B67, BS_UK!$C$3:$C$217, 0), MATCH('Segment Report (3)'!$C$54, BS_UK!$C$3:$AM$3, 0))</f>
        <v>0</v>
      </c>
      <c r="E67" s="87">
        <f>INDEX(BS_UAE!$C$3:$AM$216, MATCH('Segment Report (3)'!$B67, BS_UAE!$C$3:$C$216, 0), MATCH('Segment Report (3)'!$C$54, BS_UAE!$C$3:$AM$3, 0))</f>
        <v>0</v>
      </c>
      <c r="F67" s="90">
        <f t="shared" si="12"/>
        <v>348729568.84000003</v>
      </c>
      <c r="G67" s="87"/>
      <c r="H67" s="142">
        <f t="shared" si="13"/>
        <v>348729568.84000003</v>
      </c>
      <c r="I67" s="87">
        <f t="shared" si="14"/>
        <v>0</v>
      </c>
      <c r="J67" s="87">
        <f t="shared" si="14"/>
        <v>253704.53518606094</v>
      </c>
      <c r="K67" s="87">
        <f t="shared" si="15"/>
        <v>253704.53518606094</v>
      </c>
      <c r="M67" s="40">
        <f t="shared" si="16"/>
        <v>0</v>
      </c>
    </row>
    <row r="68" spans="2:13" x14ac:dyDescent="0.2">
      <c r="B68" s="145" t="s">
        <v>55</v>
      </c>
      <c r="C68" s="87">
        <f>INDEX(BS_NG!$C$3:$AM$227, MATCH('Segment Report (3)'!$B68, BS_NG!$C$3:$C$227, 0), MATCH('Segment Report (3)'!$C$54, BS_NG!$C$3:$AM$3, 0))</f>
        <v>79280689.140000001</v>
      </c>
      <c r="D68" s="87">
        <f>INDEX(BS_UK!$C$3:$AM$217, MATCH('Segment Report (3)'!$B68, BS_UK!$C$3:$C$217, 0), MATCH('Segment Report (3)'!$C$54, BS_UK!$C$3:$AM$3, 0))</f>
        <v>9120005.5180000011</v>
      </c>
      <c r="E68" s="87">
        <f>INDEX(BS_UAE!$C$3:$AM$216, MATCH('Segment Report (3)'!$B68, BS_UAE!$C$3:$C$216, 0), MATCH('Segment Report (3)'!$C$54, BS_UAE!$C$3:$AM$3, 0))</f>
        <v>0</v>
      </c>
      <c r="F68" s="90">
        <f t="shared" si="12"/>
        <v>88400694.658000007</v>
      </c>
      <c r="G68" s="87"/>
      <c r="H68" s="142">
        <f t="shared" si="13"/>
        <v>88400694.658000007</v>
      </c>
      <c r="I68" s="87">
        <f t="shared" si="14"/>
        <v>0</v>
      </c>
      <c r="J68" s="87">
        <f t="shared" si="14"/>
        <v>64312.462011567426</v>
      </c>
      <c r="K68" s="87">
        <f t="shared" si="15"/>
        <v>64312.462011567426</v>
      </c>
      <c r="M68" s="40">
        <f t="shared" si="16"/>
        <v>0</v>
      </c>
    </row>
    <row r="69" spans="2:13" x14ac:dyDescent="0.2">
      <c r="B69" s="145" t="s">
        <v>753</v>
      </c>
      <c r="C69" s="87">
        <f>INDEX(BS_NG!$C$3:$AM$227, MATCH('Segment Report (3)'!$B69, BS_NG!$C$3:$C$227, 0), MATCH('Segment Report (3)'!$C$54, BS_NG!$C$3:$AM$3, 0))</f>
        <v>0</v>
      </c>
      <c r="D69" s="87">
        <f>INDEX(BS_UK!$C$3:$AM$217, MATCH('Segment Report (3)'!$B69, BS_UK!$C$3:$C$217, 0), MATCH('Segment Report (3)'!$C$54, BS_UK!$C$3:$AM$3, 0))*0</f>
        <v>0</v>
      </c>
      <c r="E69" s="87">
        <f>INDEX(BS_UAE!$C$3:$AM$216, MATCH('Segment Report (3)'!$B69, BS_UAE!$C$3:$C$216, 0), MATCH('Segment Report (3)'!$C$54, BS_UAE!$C$3:$AM$3, 0))*0</f>
        <v>0</v>
      </c>
      <c r="F69" s="90">
        <f t="shared" si="12"/>
        <v>0</v>
      </c>
      <c r="G69" s="87"/>
      <c r="H69" s="142">
        <f>F69-G69</f>
        <v>0</v>
      </c>
      <c r="I69" s="87">
        <f t="shared" si="14"/>
        <v>0</v>
      </c>
      <c r="J69" s="87">
        <f t="shared" si="14"/>
        <v>0</v>
      </c>
      <c r="K69" s="87">
        <f t="shared" si="15"/>
        <v>0</v>
      </c>
      <c r="M69" s="40"/>
    </row>
    <row r="70" spans="2:13" x14ac:dyDescent="0.2">
      <c r="B70" s="145" t="s">
        <v>57</v>
      </c>
      <c r="C70" s="87">
        <f>INDEX(BS_NG!$C$3:$AM$227, MATCH('Segment Report (3)'!$B70, BS_NG!$C$3:$C$227, 0), MATCH('Segment Report (3)'!$C$54, BS_NG!$C$3:$AM$3, 0))</f>
        <v>1029069708.7499999</v>
      </c>
      <c r="D70" s="87">
        <f>INDEX(BS_UK!$C$3:$AM$217, MATCH('Segment Report (3)'!$B70, BS_UK!$C$3:$C$217, 0), MATCH('Segment Report (3)'!$C$54, BS_UK!$C$3:$AM$3, 0))</f>
        <v>114952829.78399998</v>
      </c>
      <c r="E70" s="87">
        <f>INDEX(BS_UAE!$C$3:$AM$216, MATCH('Segment Report (3)'!$B70, BS_UAE!$C$3:$C$216, 0), MATCH('Segment Report (3)'!$C$54, BS_UAE!$C$3:$AM$3, 0))</f>
        <v>952328.82000000007</v>
      </c>
      <c r="F70" s="90">
        <f t="shared" si="12"/>
        <v>1144974867.3539999</v>
      </c>
      <c r="G70" s="87">
        <f>C90</f>
        <v>18055726.902000003</v>
      </c>
      <c r="H70" s="142">
        <f>F70-G70+H78</f>
        <v>1487673298.9098017</v>
      </c>
      <c r="I70" s="87">
        <f t="shared" si="14"/>
        <v>13135.736715288642</v>
      </c>
      <c r="J70" s="87">
        <f t="shared" si="14"/>
        <v>1082298.42414594</v>
      </c>
      <c r="K70" s="87">
        <f t="shared" si="15"/>
        <v>1095434.1608612286</v>
      </c>
      <c r="M70" s="40">
        <f t="shared" si="16"/>
        <v>-360754158.45780182</v>
      </c>
    </row>
    <row r="71" spans="2:13" x14ac:dyDescent="0.2">
      <c r="B71" s="145" t="s">
        <v>61</v>
      </c>
      <c r="C71" s="87">
        <f>INDEX(BS_NG!$C$3:$AM$227, MATCH('Segment Report (3)'!$B71, BS_NG!$C$3:$C$227, 0), MATCH('Segment Report (3)'!$C$54, BS_NG!$C$3:$AM$3, 0))</f>
        <v>6706041209.3599997</v>
      </c>
      <c r="D71" s="87">
        <f>INDEX(BS_UK!$C$3:$AM$217, MATCH('Segment Report (3)'!$B71, BS_UK!$C$3:$C$217, 0), MATCH('Segment Report (3)'!$C$54, BS_UK!$C$3:$AM$3, 0))*0</f>
        <v>0</v>
      </c>
      <c r="E71" s="87">
        <f>INDEX(BS_UAE!$C$3:$AM$216, MATCH('Segment Report (3)'!$B71, BS_UAE!$C$3:$C$216, 0), MATCH('Segment Report (3)'!$C$54, BS_UAE!$C$3:$AM$3, 0))*0</f>
        <v>0</v>
      </c>
      <c r="F71" s="90">
        <f t="shared" si="12"/>
        <v>6706041209.3599997</v>
      </c>
      <c r="G71" s="87">
        <v>6489017168</v>
      </c>
      <c r="H71" s="142">
        <f t="shared" si="13"/>
        <v>217024041.35999966</v>
      </c>
      <c r="I71" s="87">
        <f t="shared" si="14"/>
        <v>4720830.2120694043</v>
      </c>
      <c r="J71" s="87">
        <f t="shared" si="14"/>
        <v>157887.33866356238</v>
      </c>
      <c r="K71" s="87">
        <f t="shared" si="15"/>
        <v>4878717.5507329665</v>
      </c>
      <c r="M71" s="40">
        <f t="shared" si="16"/>
        <v>0</v>
      </c>
    </row>
    <row r="72" spans="2:13" x14ac:dyDescent="0.2">
      <c r="B72" s="146" t="s">
        <v>62</v>
      </c>
      <c r="C72" s="143">
        <f>INDEX(BS_NG!$C$3:$AM$227, MATCH('Segment Report (3)'!$B72, BS_NG!$C$3:$C$227, 0), MATCH('Segment Report (3)'!$C$54, BS_NG!$C$3:$AM$3, 0))</f>
        <v>101133388.76000166</v>
      </c>
      <c r="D72" s="143">
        <f>INDEX(BS_UK!$C$3:$AM$217, MATCH('Segment Report (3)'!$B72, BS_UK!$C$3:$C$217, 0), MATCH('Segment Report (3)'!$C$54, BS_UK!$C$3:$AM$3, 0))</f>
        <v>-1962046329.4899998</v>
      </c>
      <c r="E72" s="143">
        <f>INDEX(BS_UAE!$C$3:$AM$216, MATCH('Segment Report (3)'!$B72, BS_UAE!$C$3:$C$216, 0), MATCH('Segment Report (3)'!$C$54, BS_UAE!$C$3:$AM$3, 0))</f>
        <v>-525557043.41124004</v>
      </c>
      <c r="F72" s="124">
        <f t="shared" si="12"/>
        <v>-2386469984.1412382</v>
      </c>
      <c r="G72" s="143">
        <v>-2546088456.5206995</v>
      </c>
      <c r="H72" s="142">
        <f>F72-G72</f>
        <v>159618472.37946129</v>
      </c>
      <c r="I72" s="87">
        <f t="shared" si="14"/>
        <v>-1852306.9051840235</v>
      </c>
      <c r="J72" s="87">
        <f t="shared" si="14"/>
        <v>116124.16600302739</v>
      </c>
      <c r="K72" s="87">
        <f t="shared" si="15"/>
        <v>-1736182.7391809961</v>
      </c>
      <c r="M72" s="40">
        <f>F72-G72-H72</f>
        <v>0</v>
      </c>
    </row>
    <row r="73" spans="2:13" x14ac:dyDescent="0.2">
      <c r="F73" s="45"/>
      <c r="G73" s="45"/>
      <c r="H73" s="45"/>
      <c r="I73" s="45"/>
      <c r="J73" s="45"/>
      <c r="M73" s="40">
        <f t="shared" si="16"/>
        <v>0</v>
      </c>
    </row>
    <row r="74" spans="2:13" x14ac:dyDescent="0.2">
      <c r="C74" s="45">
        <f t="shared" ref="C74:J74" si="17">SUM(C56:C65)-SUM(C66:C72)</f>
        <v>1089905843.3900013</v>
      </c>
      <c r="D74" s="45">
        <f t="shared" si="17"/>
        <v>1963160539.6519997</v>
      </c>
      <c r="E74" s="45">
        <f t="shared" si="17"/>
        <v>623156355.88308001</v>
      </c>
      <c r="F74" s="45">
        <f t="shared" si="17"/>
        <v>3676222738.9250793</v>
      </c>
      <c r="G74" s="45">
        <f t="shared" si="17"/>
        <v>-132389577.3734808</v>
      </c>
      <c r="H74" s="45">
        <f t="shared" si="17"/>
        <v>1083907737.390759</v>
      </c>
      <c r="I74" s="45">
        <f t="shared" si="17"/>
        <v>-96314.850222603884</v>
      </c>
      <c r="J74" s="45">
        <f t="shared" si="17"/>
        <v>788554.6087015809</v>
      </c>
    </row>
    <row r="76" spans="2:13" x14ac:dyDescent="0.2">
      <c r="F76">
        <v>1139053759.4329433</v>
      </c>
    </row>
    <row r="77" spans="2:13" x14ac:dyDescent="0.2">
      <c r="G77" s="40">
        <f>G64-(Summary!AA15*C_RATE)</f>
        <v>3580940249.7153988</v>
      </c>
      <c r="H77">
        <f>BS_NG!X149+BS_NG!X150</f>
        <v>2363950420.4499998</v>
      </c>
    </row>
    <row r="78" spans="2:13" x14ac:dyDescent="0.2">
      <c r="H78">
        <v>360754158.45780182</v>
      </c>
    </row>
    <row r="82" spans="2:7" x14ac:dyDescent="0.2">
      <c r="B82" s="190" t="s">
        <v>1385</v>
      </c>
      <c r="D82" s="190" t="s">
        <v>1386</v>
      </c>
      <c r="G82" s="80" t="s">
        <v>1464</v>
      </c>
    </row>
    <row r="83" spans="2:7" x14ac:dyDescent="0.2">
      <c r="B83" t="s">
        <v>792</v>
      </c>
      <c r="C83" s="50">
        <f>936*Summary!N3</f>
        <v>1286578.8</v>
      </c>
      <c r="D83" t="s">
        <v>273</v>
      </c>
      <c r="F83" t="s">
        <v>1465</v>
      </c>
      <c r="G83" s="39">
        <v>67758690.920000002</v>
      </c>
    </row>
    <row r="84" spans="2:7" x14ac:dyDescent="0.2">
      <c r="B84" t="s">
        <v>1387</v>
      </c>
      <c r="C84" s="50"/>
      <c r="D84" t="s">
        <v>1388</v>
      </c>
      <c r="F84" t="s">
        <v>1466</v>
      </c>
      <c r="G84" s="39">
        <v>38313388.140000001</v>
      </c>
    </row>
    <row r="85" spans="2:7" x14ac:dyDescent="0.2">
      <c r="B85" t="s">
        <v>1389</v>
      </c>
      <c r="C85" s="191">
        <v>0</v>
      </c>
      <c r="D85" t="s">
        <v>1390</v>
      </c>
      <c r="G85" s="39">
        <f>G83+G84</f>
        <v>106072079.06</v>
      </c>
    </row>
    <row r="86" spans="2:7" x14ac:dyDescent="0.2">
      <c r="B86" s="192" t="s">
        <v>283</v>
      </c>
      <c r="C86" s="50">
        <v>0</v>
      </c>
      <c r="D86" t="s">
        <v>276</v>
      </c>
      <c r="F86" t="s">
        <v>1286</v>
      </c>
      <c r="G86" s="274">
        <f>G85/C_RATE</f>
        <v>77168.585398857816</v>
      </c>
    </row>
    <row r="87" spans="2:7" x14ac:dyDescent="0.2">
      <c r="B87" t="s">
        <v>284</v>
      </c>
      <c r="C87" s="50">
        <f>32201965.39*$G$2</f>
        <v>9660589.6170000006</v>
      </c>
      <c r="D87" t="s">
        <v>1391</v>
      </c>
      <c r="F87" t="s">
        <v>1467</v>
      </c>
      <c r="G87" s="274">
        <v>783141.68</v>
      </c>
    </row>
    <row r="88" spans="2:7" x14ac:dyDescent="0.2">
      <c r="B88" t="s">
        <v>285</v>
      </c>
      <c r="C88" s="50">
        <f>23695194.95*$G$2</f>
        <v>7108558.4849999994</v>
      </c>
      <c r="D88" t="s">
        <v>791</v>
      </c>
      <c r="E88" s="39">
        <v>32201965.390000001</v>
      </c>
      <c r="F88" s="39" t="s">
        <v>1468</v>
      </c>
      <c r="G88" s="274">
        <v>682.18</v>
      </c>
    </row>
    <row r="89" spans="2:7" x14ac:dyDescent="0.2">
      <c r="B89" t="s">
        <v>1392</v>
      </c>
      <c r="F89" t="s">
        <v>1469</v>
      </c>
      <c r="G89" s="274">
        <v>315566.81</v>
      </c>
    </row>
    <row r="90" spans="2:7" x14ac:dyDescent="0.2">
      <c r="B90"/>
      <c r="C90" s="45">
        <f>SUM(C83:C89)</f>
        <v>18055726.902000003</v>
      </c>
      <c r="F90" t="s">
        <v>1470</v>
      </c>
      <c r="G90" s="272">
        <v>524995.81999999995</v>
      </c>
    </row>
    <row r="91" spans="2:7" x14ac:dyDescent="0.2">
      <c r="B91"/>
      <c r="G91" s="273">
        <f>SUM(G86:G90)</f>
        <v>1701555.0753988577</v>
      </c>
    </row>
    <row r="92" spans="2:7" x14ac:dyDescent="0.2">
      <c r="G92" s="39">
        <f>G91*C_RATE</f>
        <v>2338872528.8894997</v>
      </c>
    </row>
    <row r="95" spans="2:7" x14ac:dyDescent="0.2">
      <c r="G95" t="s">
        <v>1471</v>
      </c>
    </row>
    <row r="96" spans="2:7" x14ac:dyDescent="0.2">
      <c r="G96" s="50">
        <v>1305043294.6800001</v>
      </c>
    </row>
    <row r="97" spans="7:7" x14ac:dyDescent="0.2">
      <c r="G97" s="50">
        <f>G96/C_RATE</f>
        <v>949433.11969735555</v>
      </c>
    </row>
  </sheetData>
  <mergeCells count="2">
    <mergeCell ref="H3:L3"/>
    <mergeCell ref="P3:T3"/>
  </mergeCell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D99A-D9EF-4059-AB34-2DBB587386B8}">
  <sheetPr codeName="Sheet6"/>
  <dimension ref="B2:O29"/>
  <sheetViews>
    <sheetView topLeftCell="A7" workbookViewId="0">
      <selection activeCell="F18" sqref="F18"/>
    </sheetView>
  </sheetViews>
  <sheetFormatPr baseColWidth="10" defaultColWidth="8.83203125" defaultRowHeight="15" x14ac:dyDescent="0.2"/>
  <cols>
    <col min="2" max="2" width="28.1640625" customWidth="1"/>
    <col min="3" max="3" width="15.1640625" bestFit="1" customWidth="1"/>
    <col min="4" max="4" width="16.1640625" bestFit="1" customWidth="1"/>
    <col min="9" max="9" width="12.6640625" bestFit="1" customWidth="1"/>
    <col min="10" max="10" width="13.83203125" bestFit="1" customWidth="1"/>
    <col min="13" max="13" width="12.5" bestFit="1" customWidth="1"/>
    <col min="14" max="14" width="13.83203125" style="50" bestFit="1" customWidth="1"/>
    <col min="15" max="15" width="12.6640625" bestFit="1" customWidth="1"/>
  </cols>
  <sheetData>
    <row r="2" spans="2:14" ht="16" thickBot="1" x14ac:dyDescent="0.25"/>
    <row r="3" spans="2:14" ht="27" customHeight="1" thickBot="1" x14ac:dyDescent="0.25">
      <c r="B3" s="201" t="s">
        <v>1399</v>
      </c>
      <c r="C3" s="202">
        <v>2025</v>
      </c>
      <c r="D3" s="202">
        <v>2024</v>
      </c>
      <c r="I3" t="s">
        <v>1416</v>
      </c>
      <c r="J3" t="s">
        <v>1417</v>
      </c>
      <c r="K3" t="s">
        <v>1425</v>
      </c>
    </row>
    <row r="4" spans="2:14" ht="16" thickBot="1" x14ac:dyDescent="0.25">
      <c r="B4" s="203" t="s">
        <v>1400</v>
      </c>
      <c r="C4" s="204">
        <v>68538749229</v>
      </c>
      <c r="D4" s="205">
        <v>46404000000</v>
      </c>
      <c r="I4" t="s">
        <v>1418</v>
      </c>
      <c r="J4" s="39">
        <v>3000</v>
      </c>
      <c r="K4" t="s">
        <v>1280</v>
      </c>
    </row>
    <row r="5" spans="2:14" ht="16" thickBot="1" x14ac:dyDescent="0.25">
      <c r="B5" s="203" t="s">
        <v>1401</v>
      </c>
      <c r="C5" s="204">
        <v>12400000000</v>
      </c>
      <c r="D5" s="205">
        <v>7734000000</v>
      </c>
      <c r="I5" t="s">
        <v>1419</v>
      </c>
      <c r="J5" s="39">
        <v>16000</v>
      </c>
      <c r="K5" t="s">
        <v>1281</v>
      </c>
      <c r="M5" s="215" t="s">
        <v>1361</v>
      </c>
      <c r="N5" s="45" t="s">
        <v>1426</v>
      </c>
    </row>
    <row r="6" spans="2:14" ht="16" thickBot="1" x14ac:dyDescent="0.25">
      <c r="B6" s="203" t="s">
        <v>1402</v>
      </c>
      <c r="C6" s="205">
        <v>4857578184.9799995</v>
      </c>
      <c r="D6" s="205">
        <v>5664044823.5</v>
      </c>
      <c r="I6" t="s">
        <v>72</v>
      </c>
      <c r="J6" s="39">
        <v>56722.77</v>
      </c>
      <c r="K6" t="s">
        <v>1281</v>
      </c>
      <c r="M6" s="10" t="s">
        <v>75</v>
      </c>
      <c r="N6" s="45">
        <v>498700.04</v>
      </c>
    </row>
    <row r="7" spans="2:14" ht="16" thickBot="1" x14ac:dyDescent="0.25">
      <c r="B7" s="203" t="s">
        <v>1403</v>
      </c>
      <c r="C7" s="205">
        <v>628285931.57000005</v>
      </c>
      <c r="D7" s="205">
        <v>3908190930</v>
      </c>
      <c r="I7" t="s">
        <v>1420</v>
      </c>
      <c r="J7" s="39">
        <v>34340000</v>
      </c>
      <c r="K7" t="s">
        <v>1280</v>
      </c>
      <c r="M7" s="10" t="s">
        <v>1281</v>
      </c>
      <c r="N7" s="45">
        <v>1217325.77</v>
      </c>
    </row>
    <row r="8" spans="2:14" ht="16" thickBot="1" x14ac:dyDescent="0.25">
      <c r="B8" s="203" t="s">
        <v>1404</v>
      </c>
      <c r="C8" s="205">
        <v>3090879557.02</v>
      </c>
      <c r="D8" s="205">
        <v>1614293606.9300001</v>
      </c>
      <c r="I8" t="s">
        <v>1420</v>
      </c>
      <c r="J8" s="39">
        <v>2494186.04</v>
      </c>
      <c r="K8" t="s">
        <v>1280</v>
      </c>
      <c r="M8" s="10" t="s">
        <v>1280</v>
      </c>
      <c r="N8" s="45">
        <v>956753372.05999994</v>
      </c>
    </row>
    <row r="9" spans="2:14" x14ac:dyDescent="0.2">
      <c r="B9" s="206"/>
      <c r="C9" s="206"/>
      <c r="D9" s="206"/>
      <c r="I9" t="s">
        <v>1421</v>
      </c>
      <c r="J9">
        <v>0.04</v>
      </c>
      <c r="K9" t="s">
        <v>75</v>
      </c>
      <c r="M9" s="10" t="s">
        <v>1369</v>
      </c>
      <c r="N9" s="45">
        <v>958469397.86999989</v>
      </c>
    </row>
    <row r="10" spans="2:14" x14ac:dyDescent="0.2">
      <c r="B10" s="206"/>
      <c r="C10" s="206"/>
      <c r="D10" s="206"/>
      <c r="I10" t="s">
        <v>1422</v>
      </c>
      <c r="J10">
        <v>0</v>
      </c>
      <c r="K10" t="s">
        <v>1280</v>
      </c>
    </row>
    <row r="11" spans="2:14" x14ac:dyDescent="0.2">
      <c r="B11" s="206" t="s">
        <v>792</v>
      </c>
      <c r="C11" s="207">
        <v>675279409.92999995</v>
      </c>
      <c r="D11" s="207">
        <v>2069955177</v>
      </c>
      <c r="I11" t="s">
        <v>71</v>
      </c>
      <c r="J11" s="39">
        <v>836265</v>
      </c>
      <c r="K11" t="s">
        <v>1281</v>
      </c>
    </row>
    <row r="12" spans="2:14" x14ac:dyDescent="0.2">
      <c r="B12" s="206" t="s">
        <v>1405</v>
      </c>
      <c r="C12" s="207">
        <f>D29</f>
        <v>3485550695.8000002</v>
      </c>
      <c r="D12" s="206"/>
      <c r="I12" t="s">
        <v>71</v>
      </c>
      <c r="J12" s="39">
        <v>308338</v>
      </c>
      <c r="K12" t="s">
        <v>1281</v>
      </c>
      <c r="M12" s="215" t="s">
        <v>1361</v>
      </c>
      <c r="N12" s="45" t="s">
        <v>1428</v>
      </c>
    </row>
    <row r="13" spans="2:14" x14ac:dyDescent="0.2">
      <c r="B13" s="206"/>
      <c r="C13" s="206"/>
      <c r="D13" s="206"/>
      <c r="I13" t="s">
        <v>70</v>
      </c>
      <c r="J13" s="39">
        <v>425553198</v>
      </c>
      <c r="K13" t="s">
        <v>1280</v>
      </c>
      <c r="M13" s="10" t="s">
        <v>1281</v>
      </c>
      <c r="N13" s="45">
        <v>1277945780</v>
      </c>
    </row>
    <row r="14" spans="2:14" x14ac:dyDescent="0.2">
      <c r="B14" s="206"/>
      <c r="C14" s="208">
        <v>4857578185</v>
      </c>
      <c r="D14" s="206"/>
      <c r="I14" t="s">
        <v>1423</v>
      </c>
      <c r="J14" s="39">
        <v>72240000.069999993</v>
      </c>
      <c r="K14" t="s">
        <v>1280</v>
      </c>
      <c r="M14" s="10" t="s">
        <v>1280</v>
      </c>
      <c r="N14" s="45">
        <v>2263546299.4000001</v>
      </c>
    </row>
    <row r="15" spans="2:14" x14ac:dyDescent="0.2">
      <c r="B15" s="442" t="s">
        <v>1406</v>
      </c>
      <c r="C15" s="442"/>
      <c r="D15" s="442"/>
      <c r="I15" t="s">
        <v>1424</v>
      </c>
      <c r="J15" s="39">
        <v>498700</v>
      </c>
      <c r="K15" t="s">
        <v>75</v>
      </c>
      <c r="M15" s="10" t="s">
        <v>1353</v>
      </c>
      <c r="N15" s="45">
        <v>1432557.36</v>
      </c>
    </row>
    <row r="16" spans="2:14" ht="16" thickBot="1" x14ac:dyDescent="0.25">
      <c r="B16" s="209" t="s">
        <v>1427</v>
      </c>
      <c r="C16" s="210" t="s">
        <v>3</v>
      </c>
      <c r="D16" s="210" t="s">
        <v>1407</v>
      </c>
      <c r="E16" t="s">
        <v>1425</v>
      </c>
      <c r="I16" t="s">
        <v>1423</v>
      </c>
      <c r="J16" s="39">
        <v>38400000</v>
      </c>
      <c r="K16" t="s">
        <v>1280</v>
      </c>
      <c r="M16" s="10" t="s">
        <v>1369</v>
      </c>
      <c r="N16" s="45">
        <v>3542924636.7600002</v>
      </c>
    </row>
    <row r="17" spans="2:15" ht="16" thickBot="1" x14ac:dyDescent="0.25">
      <c r="B17" s="203" t="s">
        <v>1284</v>
      </c>
      <c r="C17" s="211">
        <v>223125</v>
      </c>
      <c r="D17" s="204">
        <f>C17*C_RATE</f>
        <v>306696468.75</v>
      </c>
      <c r="E17" t="s">
        <v>1280</v>
      </c>
      <c r="F17">
        <f>C17*0.8</f>
        <v>178500</v>
      </c>
      <c r="I17" t="s">
        <v>1423</v>
      </c>
      <c r="J17" s="39">
        <v>85800000</v>
      </c>
      <c r="K17" t="s">
        <v>1280</v>
      </c>
      <c r="M17" s="10" t="s">
        <v>1429</v>
      </c>
      <c r="N17" s="50">
        <f>GETPIVOTDATA("Closing Balance",$M$5,"Class","Public Sector")+GETPIVOTDATA("Naira",$M$12,"Class","Public Sector")</f>
        <v>1279163105.77</v>
      </c>
      <c r="O17" s="41">
        <f>N17/C_RATE</f>
        <v>930605.00219708274</v>
      </c>
    </row>
    <row r="18" spans="2:15" ht="16" thickBot="1" x14ac:dyDescent="0.25">
      <c r="B18" s="203" t="s">
        <v>73</v>
      </c>
      <c r="C18" s="204">
        <v>108415</v>
      </c>
      <c r="D18" s="204">
        <f>C18*C_RATE</f>
        <v>149021838.25</v>
      </c>
      <c r="E18" t="s">
        <v>1280</v>
      </c>
      <c r="I18" t="s">
        <v>1423</v>
      </c>
      <c r="J18" s="39">
        <v>14733000.01</v>
      </c>
      <c r="K18" t="s">
        <v>1280</v>
      </c>
      <c r="M18" s="10" t="s">
        <v>1430</v>
      </c>
      <c r="N18" s="50">
        <f>GETPIVOTDATA("Closing Balance",$M$5,"Class","Telco")+GETPIVOTDATA("Naira",$M$12,"Class","Telco")</f>
        <v>3220299671.46</v>
      </c>
      <c r="O18" s="41">
        <f>N18/C_RATE</f>
        <v>2342802.8601796953</v>
      </c>
    </row>
    <row r="19" spans="2:15" ht="16" thickBot="1" x14ac:dyDescent="0.25">
      <c r="B19" s="203" t="s">
        <v>73</v>
      </c>
      <c r="C19" s="204">
        <v>35400</v>
      </c>
      <c r="D19" s="204">
        <f>C19*C_RATE</f>
        <v>48659070</v>
      </c>
      <c r="E19" t="s">
        <v>1280</v>
      </c>
      <c r="I19" t="s">
        <v>70</v>
      </c>
      <c r="J19" s="39">
        <v>138043487.94</v>
      </c>
      <c r="K19" t="s">
        <v>1280</v>
      </c>
      <c r="M19" s="10" t="s">
        <v>1353</v>
      </c>
      <c r="N19" s="50">
        <f>GETPIVOTDATA("Naira",$M$12,"Class","IAM")</f>
        <v>1432557.36</v>
      </c>
      <c r="O19" s="41">
        <f>N19/C_RATE</f>
        <v>1042.2009821396093</v>
      </c>
    </row>
    <row r="20" spans="2:15" ht="16" thickBot="1" x14ac:dyDescent="0.25">
      <c r="B20" s="203" t="s">
        <v>1408</v>
      </c>
      <c r="C20" s="212"/>
      <c r="D20" s="204">
        <v>234524856</v>
      </c>
      <c r="E20" t="s">
        <v>1280</v>
      </c>
      <c r="I20" t="s">
        <v>70</v>
      </c>
      <c r="J20" s="39">
        <v>145146500</v>
      </c>
      <c r="K20" t="s">
        <v>1280</v>
      </c>
      <c r="M20" s="10" t="s">
        <v>1431</v>
      </c>
      <c r="N20" s="50">
        <f>GETPIVOTDATA("Closing Balance",$M$5,"Class","Others")</f>
        <v>498700.04</v>
      </c>
      <c r="O20" s="41">
        <f>N20/C_RATE</f>
        <v>362.8096758939289</v>
      </c>
    </row>
    <row r="21" spans="2:15" ht="16" thickBot="1" x14ac:dyDescent="0.25">
      <c r="B21" s="203" t="s">
        <v>1409</v>
      </c>
      <c r="C21" s="212"/>
      <c r="D21" s="204">
        <v>19000000</v>
      </c>
      <c r="E21" t="s">
        <v>1281</v>
      </c>
      <c r="J21" s="214">
        <f>SUM(J4:J20)</f>
        <v>958469397.87000012</v>
      </c>
      <c r="N21" s="187">
        <f>SUM(N17:N20)</f>
        <v>4501394034.6299992</v>
      </c>
      <c r="O21" s="187">
        <f>SUM(O17:O20)</f>
        <v>3274812.8730348111</v>
      </c>
    </row>
    <row r="22" spans="2:15" ht="16" thickBot="1" x14ac:dyDescent="0.25">
      <c r="B22" s="203" t="s">
        <v>1410</v>
      </c>
      <c r="C22" s="212"/>
      <c r="D22" s="204">
        <v>140000000</v>
      </c>
      <c r="E22" t="s">
        <v>1281</v>
      </c>
    </row>
    <row r="23" spans="2:15" ht="16" thickBot="1" x14ac:dyDescent="0.25">
      <c r="B23" s="203" t="s">
        <v>1411</v>
      </c>
      <c r="C23" s="204">
        <v>688000</v>
      </c>
      <c r="D23" s="204">
        <v>1060545120</v>
      </c>
      <c r="E23" t="s">
        <v>1280</v>
      </c>
    </row>
    <row r="24" spans="2:15" ht="30" thickBot="1" x14ac:dyDescent="0.25">
      <c r="B24" s="203" t="s">
        <v>1412</v>
      </c>
      <c r="C24" s="212"/>
      <c r="D24" s="204">
        <v>50693210</v>
      </c>
      <c r="E24" t="s">
        <v>1281</v>
      </c>
    </row>
    <row r="25" spans="2:15" ht="16" thickBot="1" x14ac:dyDescent="0.25">
      <c r="B25" s="203" t="s">
        <v>1413</v>
      </c>
      <c r="C25" s="212"/>
      <c r="D25" s="204">
        <v>156735000</v>
      </c>
      <c r="E25" t="s">
        <v>1280</v>
      </c>
    </row>
    <row r="26" spans="2:15" ht="16" thickBot="1" x14ac:dyDescent="0.25">
      <c r="B26" s="203" t="s">
        <v>1414</v>
      </c>
      <c r="C26" s="212"/>
      <c r="D26" s="204">
        <v>250135984</v>
      </c>
      <c r="E26" t="s">
        <v>1280</v>
      </c>
    </row>
    <row r="27" spans="2:15" ht="16" thickBot="1" x14ac:dyDescent="0.25">
      <c r="B27" s="203" t="s">
        <v>1415</v>
      </c>
      <c r="C27" s="204">
        <v>693000</v>
      </c>
      <c r="D27" s="204">
        <v>1068252570</v>
      </c>
      <c r="E27" t="s">
        <v>1281</v>
      </c>
    </row>
    <row r="28" spans="2:15" ht="16" thickBot="1" x14ac:dyDescent="0.25">
      <c r="B28" s="203" t="s">
        <v>1432</v>
      </c>
      <c r="C28" s="212">
        <v>936</v>
      </c>
      <c r="D28" s="204">
        <f>C28*C_RATE</f>
        <v>1286578.8</v>
      </c>
      <c r="E28" t="s">
        <v>1353</v>
      </c>
    </row>
    <row r="29" spans="2:15" ht="16" thickBot="1" x14ac:dyDescent="0.25">
      <c r="B29" s="203"/>
      <c r="C29" s="212"/>
      <c r="D29" s="213">
        <f>SUM(D17:D28)</f>
        <v>3485550695.8000002</v>
      </c>
      <c r="E29">
        <f>D29/C_RATE</f>
        <v>2535775.8508602818</v>
      </c>
    </row>
  </sheetData>
  <mergeCells count="1">
    <mergeCell ref="B15:D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6C23-38CA-4DE2-A6A5-7315E4D4EBAC}">
  <sheetPr codeName="Sheet7"/>
  <dimension ref="B1:AS96"/>
  <sheetViews>
    <sheetView showGridLines="0" zoomScale="85" zoomScaleNormal="85" workbookViewId="0">
      <selection activeCell="G21" sqref="G21"/>
    </sheetView>
  </sheetViews>
  <sheetFormatPr baseColWidth="10" defaultColWidth="8.83203125" defaultRowHeight="15" x14ac:dyDescent="0.2"/>
  <cols>
    <col min="2" max="2" width="34" style="10" bestFit="1" customWidth="1"/>
    <col min="3" max="3" width="16.1640625" bestFit="1" customWidth="1"/>
    <col min="4" max="4" width="14.33203125" customWidth="1"/>
    <col min="5" max="5" width="12.5" bestFit="1" customWidth="1"/>
    <col min="6" max="6" width="19.5" bestFit="1" customWidth="1"/>
    <col min="7" max="10" width="15.5" customWidth="1"/>
    <col min="11" max="11" width="16.83203125" customWidth="1"/>
    <col min="12" max="12" width="12.5" customWidth="1"/>
    <col min="13" max="13" width="14.1640625" style="176" customWidth="1"/>
    <col min="14" max="16" width="15" customWidth="1"/>
    <col min="17" max="17" width="14.1640625" bestFit="1" customWidth="1"/>
    <col min="18" max="20" width="12.5" customWidth="1"/>
    <col min="26" max="26" width="13" bestFit="1" customWidth="1"/>
    <col min="27" max="27" width="16" bestFit="1" customWidth="1"/>
    <col min="28" max="28" width="11.83203125" bestFit="1" customWidth="1"/>
    <col min="29" max="29" width="20.33203125" bestFit="1" customWidth="1"/>
    <col min="30" max="30" width="14.1640625" customWidth="1"/>
    <col min="31" max="31" width="14" bestFit="1" customWidth="1"/>
    <col min="32" max="32" width="13.83203125" bestFit="1" customWidth="1"/>
    <col min="33" max="33" width="13.83203125" customWidth="1"/>
    <col min="34" max="34" width="20" bestFit="1" customWidth="1"/>
    <col min="35" max="36" width="10.5" bestFit="1" customWidth="1"/>
    <col min="37" max="37" width="16.5" bestFit="1" customWidth="1"/>
    <col min="38" max="38" width="9.1640625" bestFit="1" customWidth="1"/>
    <col min="39" max="39" width="13.5" bestFit="1" customWidth="1"/>
    <col min="40" max="40" width="14.1640625" bestFit="1" customWidth="1"/>
    <col min="41" max="41" width="12.5" bestFit="1" customWidth="1"/>
    <col min="42" max="42" width="14.33203125" bestFit="1" customWidth="1"/>
    <col min="43" max="43" width="18.5" bestFit="1" customWidth="1"/>
    <col min="44" max="44" width="13.1640625" bestFit="1" customWidth="1"/>
    <col min="45" max="45" width="13" bestFit="1" customWidth="1"/>
  </cols>
  <sheetData>
    <row r="1" spans="2:45" x14ac:dyDescent="0.2">
      <c r="F1">
        <v>-14273255.289999999</v>
      </c>
      <c r="H1" s="178"/>
      <c r="AQ1" s="41">
        <f>AQ2+AK2</f>
        <v>45578.357193263248</v>
      </c>
    </row>
    <row r="2" spans="2:45" x14ac:dyDescent="0.2">
      <c r="G2" s="178">
        <v>0.2</v>
      </c>
      <c r="H2" s="178">
        <v>0.8</v>
      </c>
      <c r="I2" s="179">
        <f>Summary!V6/Summary!$Z$6</f>
        <v>0.74867344228675181</v>
      </c>
      <c r="J2" s="179">
        <f>Summary!W6/Summary!$Z$6</f>
        <v>0.24642828774380873</v>
      </c>
      <c r="K2" s="179">
        <f>Summary!X6/Summary!$Z$6</f>
        <v>4.3321701427400184E-3</v>
      </c>
      <c r="L2" s="179">
        <f>Summary!Y6/Summary!$Z$6</f>
        <v>5.6609982669961819E-4</v>
      </c>
      <c r="AA2" s="41">
        <f>AA10/C_RATE</f>
        <v>46791.496613437128</v>
      </c>
      <c r="AE2" s="41">
        <f>AE10/C_RATE</f>
        <v>32327.026990651455</v>
      </c>
      <c r="AK2" s="41">
        <f>AK10/C_RATE</f>
        <v>26058.623294896512</v>
      </c>
      <c r="AQ2" s="41">
        <f>AQ10/C_RATE</f>
        <v>19519.73389836674</v>
      </c>
    </row>
    <row r="3" spans="2:45" x14ac:dyDescent="0.2">
      <c r="B3" s="158"/>
      <c r="C3" s="159">
        <f>Summary!$C$2</f>
        <v>46142</v>
      </c>
      <c r="D3" s="160"/>
      <c r="E3" s="160"/>
      <c r="F3" s="160"/>
      <c r="G3" s="163" t="s">
        <v>1356</v>
      </c>
      <c r="H3" s="433" t="s">
        <v>1357</v>
      </c>
      <c r="I3" s="434"/>
      <c r="J3" s="434"/>
      <c r="K3" s="434"/>
      <c r="L3" s="435"/>
      <c r="N3" s="219" t="s">
        <v>1434</v>
      </c>
      <c r="O3" s="163" t="s">
        <v>1358</v>
      </c>
      <c r="P3" s="433" t="s">
        <v>1433</v>
      </c>
      <c r="Q3" s="434"/>
      <c r="R3" s="434"/>
      <c r="S3" s="434"/>
      <c r="T3" s="435"/>
      <c r="Z3" s="153" t="s">
        <v>1329</v>
      </c>
      <c r="AA3" s="154" t="s">
        <v>1332</v>
      </c>
      <c r="AB3" s="154" t="s">
        <v>1333</v>
      </c>
      <c r="AC3" s="154" t="s">
        <v>1334</v>
      </c>
      <c r="AD3" s="154" t="s">
        <v>1335</v>
      </c>
      <c r="AE3" s="154" t="s">
        <v>1336</v>
      </c>
      <c r="AF3" s="154" t="s">
        <v>1337</v>
      </c>
      <c r="AG3" s="154" t="s">
        <v>1455</v>
      </c>
      <c r="AH3" s="154" t="s">
        <v>1338</v>
      </c>
      <c r="AI3" s="154" t="s">
        <v>1339</v>
      </c>
      <c r="AJ3" s="154" t="s">
        <v>1340</v>
      </c>
      <c r="AK3" s="154" t="s">
        <v>1341</v>
      </c>
      <c r="AL3" s="154" t="s">
        <v>636</v>
      </c>
      <c r="AM3" s="154" t="s">
        <v>1342</v>
      </c>
      <c r="AN3" s="154" t="s">
        <v>1343</v>
      </c>
      <c r="AO3" s="154" t="s">
        <v>741</v>
      </c>
      <c r="AP3" s="154" t="s">
        <v>1344</v>
      </c>
      <c r="AQ3" s="154" t="s">
        <v>1345</v>
      </c>
      <c r="AR3" s="154" t="s">
        <v>1346</v>
      </c>
      <c r="AS3" s="155" t="s">
        <v>1329</v>
      </c>
    </row>
    <row r="4" spans="2:45" x14ac:dyDescent="0.2">
      <c r="B4" s="161"/>
      <c r="C4" s="82" t="s">
        <v>1327</v>
      </c>
      <c r="D4" s="82" t="s">
        <v>1302</v>
      </c>
      <c r="E4" s="82" t="s">
        <v>1328</v>
      </c>
      <c r="F4" s="82" t="s">
        <v>1331</v>
      </c>
      <c r="G4" s="164" t="s">
        <v>1296</v>
      </c>
      <c r="H4" s="165" t="s">
        <v>1330</v>
      </c>
      <c r="I4" s="82" t="s">
        <v>1292</v>
      </c>
      <c r="J4" s="82" t="s">
        <v>1293</v>
      </c>
      <c r="K4" s="82" t="s">
        <v>1294</v>
      </c>
      <c r="L4" s="162" t="s">
        <v>1295</v>
      </c>
      <c r="N4" s="220"/>
      <c r="O4" s="164" t="s">
        <v>1296</v>
      </c>
      <c r="P4" s="165" t="s">
        <v>1330</v>
      </c>
      <c r="Q4" s="82" t="s">
        <v>1292</v>
      </c>
      <c r="R4" s="82" t="s">
        <v>1293</v>
      </c>
      <c r="S4" s="82" t="s">
        <v>1294</v>
      </c>
      <c r="T4" s="162" t="s">
        <v>1295</v>
      </c>
      <c r="Z4" s="144" t="s">
        <v>75</v>
      </c>
      <c r="AA4" s="109">
        <v>38604526.329999998</v>
      </c>
      <c r="AB4" s="109"/>
      <c r="AC4" s="109"/>
      <c r="AD4" s="109"/>
      <c r="AE4" s="109" t="s">
        <v>1349</v>
      </c>
      <c r="AF4" s="109"/>
      <c r="AG4" s="109"/>
      <c r="AH4" s="109"/>
      <c r="AI4" s="109"/>
      <c r="AJ4" s="109"/>
      <c r="AK4" s="109"/>
      <c r="AL4" s="109"/>
      <c r="AM4" s="109"/>
      <c r="AN4" s="109"/>
      <c r="AO4" s="109" t="s">
        <v>1349</v>
      </c>
      <c r="AP4" s="109"/>
      <c r="AQ4" s="109"/>
      <c r="AR4" s="110">
        <f t="shared" ref="AR4:AR9" si="0">SUM(AA4:AQ4)</f>
        <v>38604526.329999998</v>
      </c>
      <c r="AS4" s="151" t="s">
        <v>1348</v>
      </c>
    </row>
    <row r="5" spans="2:45" x14ac:dyDescent="0.2">
      <c r="B5" s="145" t="s">
        <v>5</v>
      </c>
      <c r="C5" s="87">
        <f>SUMIFS(INDEX(PL_NG!$C:$AM, MATCH($B5,PL_NG!$C:$C, 0), ),PL_NG!$C$3:$AM$3, "&gt;="&amp;DATE(YEAR($C$3),1,1),PL_NG!$C$3:$AM$3, "&lt;="&amp;$C$3)</f>
        <v>-505258465.07999998</v>
      </c>
      <c r="D5" s="87"/>
      <c r="E5" s="87"/>
      <c r="F5" s="90">
        <f>SUM(C5:E5)</f>
        <v>-505258465.07999998</v>
      </c>
      <c r="G5" s="87">
        <f>-AR9+SUM(PL_UK!P15:AA15)</f>
        <v>-23111205.438598797</v>
      </c>
      <c r="H5" s="87">
        <f>SUM(I5:L5)</f>
        <v>-588275595.37360048</v>
      </c>
      <c r="I5" s="87" cm="1">
        <f t="array" ref="I5">-AR6+SUM(PL_UK!P21:AA21-PL_UK!P15:AA15)</f>
        <v>-126419556.11929771</v>
      </c>
      <c r="J5" s="87">
        <f>-AR7</f>
        <v>-330735052.4386633</v>
      </c>
      <c r="K5" s="87">
        <f>-AR8</f>
        <v>-85938836.383414462</v>
      </c>
      <c r="L5" s="142">
        <f>-AR5-AR4</f>
        <v>-45182150.432224989</v>
      </c>
      <c r="M5" s="40">
        <f>F5-G5-H5</f>
        <v>106128335.73219931</v>
      </c>
      <c r="N5" s="87">
        <f>O5+P5</f>
        <v>-444790.5138497685</v>
      </c>
      <c r="O5" s="87">
        <f>G5/Summary!$F$3</f>
        <v>-16813.652059655011</v>
      </c>
      <c r="P5" s="87">
        <f>H5/Summary!$F$3</f>
        <v>-427976.8617901135</v>
      </c>
      <c r="Q5" s="87">
        <f>I5/Summary!$F$3</f>
        <v>-91971.595154267008</v>
      </c>
      <c r="R5" s="87">
        <f>J5/Summary!$F$3</f>
        <v>-240613.32977240792</v>
      </c>
      <c r="S5" s="87">
        <f>K5/Summary!$F$3</f>
        <v>-62521.43347525697</v>
      </c>
      <c r="T5" s="87">
        <f>L5/Summary!$F$3</f>
        <v>-32870.503388181576</v>
      </c>
      <c r="Z5" s="144" t="s">
        <v>1350</v>
      </c>
      <c r="AA5" s="109"/>
      <c r="AB5" s="109"/>
      <c r="AC5" s="109"/>
      <c r="AD5" s="109"/>
      <c r="AE5" s="109">
        <f>12038.92+40259.6622249944+3009.73</f>
        <v>55308.312224994399</v>
      </c>
      <c r="AF5" s="109"/>
      <c r="AG5" s="109"/>
      <c r="AH5" s="109"/>
      <c r="AI5" s="109"/>
      <c r="AJ5" s="109"/>
      <c r="AK5" s="109">
        <v>1296000</v>
      </c>
      <c r="AL5" s="109"/>
      <c r="AM5" s="109"/>
      <c r="AN5" s="109"/>
      <c r="AO5" s="109">
        <f>4726315.79+500000</f>
        <v>5226315.79</v>
      </c>
      <c r="AP5" s="109" t="s">
        <v>1349</v>
      </c>
      <c r="AQ5" s="109"/>
      <c r="AR5" s="110">
        <f t="shared" si="0"/>
        <v>6577624.1022249945</v>
      </c>
      <c r="AS5" s="151" t="s">
        <v>1350</v>
      </c>
    </row>
    <row r="6" spans="2:45" x14ac:dyDescent="0.2">
      <c r="B6" s="145" t="s">
        <v>8</v>
      </c>
      <c r="C6" s="87">
        <f>SUMIFS(INDEX(PL_NG!$C:$AM, MATCH($B6,PL_NG!$C:$C, 0), ),PL_NG!$C$3:$AM$3, "&gt;="&amp;DATE(YEAR($C$3),1,1),PL_NG!$C$3:$AM$3, "&lt;="&amp;$C$3)</f>
        <v>72436508.699999988</v>
      </c>
      <c r="D6" s="87"/>
      <c r="E6" s="87"/>
      <c r="F6" s="90">
        <f t="shared" ref="F6:F11" si="1">SUM(C6:E6)</f>
        <v>72436508.699999988</v>
      </c>
      <c r="G6" s="87">
        <f>191179580.18+31612210.13+14273255.29</f>
        <v>237065045.59999999</v>
      </c>
      <c r="H6" s="87">
        <f>F6-G6</f>
        <v>-164628536.90000001</v>
      </c>
      <c r="I6" s="87">
        <f>$H6*I$2</f>
        <v>-123253013.41955455</v>
      </c>
      <c r="J6" s="87">
        <f t="shared" ref="J6:L20" si="2">$H6*J$2</f>
        <v>-40569128.462035432</v>
      </c>
      <c r="K6" s="87">
        <f t="shared" si="2"/>
        <v>-713198.83220115339</v>
      </c>
      <c r="L6" s="142">
        <f t="shared" si="2"/>
        <v>-93196.186208901709</v>
      </c>
      <c r="M6" s="40">
        <f t="shared" ref="M6:M21" si="3">F6-G6-H6</f>
        <v>0</v>
      </c>
      <c r="N6" s="87">
        <f t="shared" ref="N6:N20" si="4">O6+P6</f>
        <v>52698.343967116496</v>
      </c>
      <c r="O6" s="87">
        <f>G6/Summary!$F$3</f>
        <v>172467.38612636863</v>
      </c>
      <c r="P6" s="87">
        <f>H6/Summary!$F$3</f>
        <v>-119769.04215925213</v>
      </c>
      <c r="Q6" s="87">
        <f>I6/Summary!$F$3</f>
        <v>-89667.901072754394</v>
      </c>
      <c r="R6" s="87">
        <f>J6/Summary!$F$3</f>
        <v>-29514.479984020541</v>
      </c>
      <c r="S6" s="87">
        <f>K6/Summary!$F$3</f>
        <v>-518.85986846688252</v>
      </c>
      <c r="T6" s="87">
        <f>L6/Summary!$F$3</f>
        <v>-67.801234010331896</v>
      </c>
      <c r="Z6" s="144" t="s">
        <v>1351</v>
      </c>
      <c r="AA6" s="109"/>
      <c r="AB6" s="109">
        <f>1515475.43+1139710.61</f>
        <v>2655186.04</v>
      </c>
      <c r="AC6" s="109">
        <v>1569250</v>
      </c>
      <c r="AD6" s="109">
        <f>586050+80000</f>
        <v>666050</v>
      </c>
      <c r="AE6" s="109">
        <f>7155522.85+11404266.3956972+560883.39</f>
        <v>19120672.635697201</v>
      </c>
      <c r="AF6" s="109"/>
      <c r="AG6" s="109">
        <v>1351891</v>
      </c>
      <c r="AH6" s="109">
        <f>523682.63+7500</f>
        <v>531182.63</v>
      </c>
      <c r="AI6" s="109">
        <v>4354004.5999999996</v>
      </c>
      <c r="AJ6" s="109">
        <f>7378070+499050</f>
        <v>7877120</v>
      </c>
      <c r="AK6" s="109"/>
      <c r="AL6" s="109">
        <f>175100+18000</f>
        <v>193100</v>
      </c>
      <c r="AM6" s="109">
        <f>47143.66+2000</f>
        <v>49143.66</v>
      </c>
      <c r="AN6" s="109">
        <v>1705444.95</v>
      </c>
      <c r="AO6" s="109">
        <f>46536085.49+7933335</f>
        <v>54469420.490000002</v>
      </c>
      <c r="AP6" s="109">
        <v>4760886.22</v>
      </c>
      <c r="AQ6" s="109">
        <v>8638794.9800000004</v>
      </c>
      <c r="AR6" s="110">
        <f t="shared" si="0"/>
        <v>107942147.20569719</v>
      </c>
      <c r="AS6" s="151" t="s">
        <v>1351</v>
      </c>
    </row>
    <row r="7" spans="2:45" x14ac:dyDescent="0.2">
      <c r="B7" s="145" t="s">
        <v>125</v>
      </c>
      <c r="C7" s="87">
        <f>SUMIFS(INDEX(PL_NG!$C:$AM, MATCH($B7,PL_NG!$C:$C, 0), ),PL_NG!$C$3:$AM$3, "&gt;="&amp;DATE(YEAR($C$3),1,1),PL_NG!$C$3:$AM$3, "&lt;="&amp;$C$3)</f>
        <v>-559756233.07999992</v>
      </c>
      <c r="D7" s="87"/>
      <c r="E7" s="87"/>
      <c r="F7" s="90">
        <f t="shared" si="1"/>
        <v>-559756233.07999992</v>
      </c>
      <c r="G7" s="87">
        <f>D7+E7-K38-K39-(20%*K40)</f>
        <v>-466456551.43313879</v>
      </c>
      <c r="H7" s="87">
        <f>F7-G7</f>
        <v>-93299681.646861136</v>
      </c>
      <c r="I7" s="87">
        <f>$H7*I$2</f>
        <v>-69850993.822813615</v>
      </c>
      <c r="J7" s="87">
        <f t="shared" si="2"/>
        <v>-22991680.795278445</v>
      </c>
      <c r="K7" s="87">
        <f t="shared" si="2"/>
        <v>-404190.09515768068</v>
      </c>
      <c r="L7" s="142">
        <f t="shared" si="2"/>
        <v>-52816.933611417633</v>
      </c>
      <c r="M7" s="40">
        <f t="shared" si="3"/>
        <v>0</v>
      </c>
      <c r="N7" s="87">
        <f t="shared" si="4"/>
        <v>-407228.71709286672</v>
      </c>
      <c r="O7" s="87">
        <f>G7/Summary!$F$3</f>
        <v>-339352.18903142033</v>
      </c>
      <c r="P7" s="87">
        <f>H7/Summary!$F$3</f>
        <v>-67876.528061446399</v>
      </c>
      <c r="Q7" s="87">
        <f>I7/Summary!$F$3</f>
        <v>-50817.353914236381</v>
      </c>
      <c r="R7" s="87">
        <f>J7/Summary!$F$3</f>
        <v>-16726.696588176819</v>
      </c>
      <c r="S7" s="87">
        <f>K7/Summary!$F$3</f>
        <v>-294.05266826065309</v>
      </c>
      <c r="T7" s="87">
        <f>L7/Summary!$F$3</f>
        <v>-38.424890772556573</v>
      </c>
      <c r="Z7" s="144" t="s">
        <v>1352</v>
      </c>
      <c r="AA7" s="109">
        <v>17523994.710000001</v>
      </c>
      <c r="AB7" s="109"/>
      <c r="AC7" s="109"/>
      <c r="AD7" s="109"/>
      <c r="AE7" s="250">
        <f>12227642.3786633+2058538.41</f>
        <v>14286180.7886633</v>
      </c>
      <c r="AF7" s="109">
        <f>1803721.67+225440.42</f>
        <v>2029162.0899999999</v>
      </c>
      <c r="AG7" s="109"/>
      <c r="AH7" s="109"/>
      <c r="AI7" s="109"/>
      <c r="AJ7" s="109"/>
      <c r="AK7" s="109">
        <f>24000121.47+874931.78</f>
        <v>24875053.25</v>
      </c>
      <c r="AL7" s="109"/>
      <c r="AM7" s="109"/>
      <c r="AN7" s="109"/>
      <c r="AO7" s="109">
        <f>173539198.9+24482857.15</f>
        <v>198022056.05000001</v>
      </c>
      <c r="AP7" s="109">
        <f>728290.37+54381065.34+697194.59</f>
        <v>55806550.300000004</v>
      </c>
      <c r="AQ7" s="109">
        <f>15313388.58+2878666.67</f>
        <v>18192055.25</v>
      </c>
      <c r="AR7" s="110">
        <f t="shared" si="0"/>
        <v>330735052.4386633</v>
      </c>
      <c r="AS7" s="151" t="s">
        <v>1352</v>
      </c>
    </row>
    <row r="8" spans="2:45" x14ac:dyDescent="0.2">
      <c r="B8" s="145" t="s">
        <v>127</v>
      </c>
      <c r="C8" s="87">
        <f>SUMIFS(INDEX(PL_NG!$C:$AM, MATCH($B8,PL_NG!$C:$C, 0), ),PL_NG!$C$3:$AM$3, "&gt;="&amp;DATE(YEAR($C$3),1,1),PL_NG!$C$3:$AM$3, "&lt;="&amp;$C$3)</f>
        <v>-7945020.4399999995</v>
      </c>
      <c r="D8" s="87"/>
      <c r="E8" s="87"/>
      <c r="F8" s="90">
        <f t="shared" si="1"/>
        <v>-7945020.4399999995</v>
      </c>
      <c r="G8" s="87">
        <f>SUM(PL_NG!P80:AA80)</f>
        <v>-25433149.700000003</v>
      </c>
      <c r="H8" s="87">
        <f>SUM(PL_NG!P81:AA81)</f>
        <v>-17405062.469999999</v>
      </c>
      <c r="I8" s="87">
        <f>$H8*I$2</f>
        <v>-13030708.032630853</v>
      </c>
      <c r="J8" s="87">
        <f t="shared" si="2"/>
        <v>-4289099.7425561259</v>
      </c>
      <c r="K8" s="87">
        <f t="shared" si="2"/>
        <v>-75401.691965058824</v>
      </c>
      <c r="L8" s="142">
        <f t="shared" si="2"/>
        <v>-9853.0028479630273</v>
      </c>
      <c r="M8" s="40">
        <f>F8-G8-H8</f>
        <v>34893191.730000004</v>
      </c>
      <c r="N8" s="87">
        <f t="shared" si="4"/>
        <v>-31165.26293696119</v>
      </c>
      <c r="O8" s="87">
        <f>G8/Summary!$F$3</f>
        <v>-18502.891637263107</v>
      </c>
      <c r="P8" s="87">
        <f>H8/Summary!$F$3</f>
        <v>-12662.371299698083</v>
      </c>
      <c r="Q8" s="87">
        <f>I8/Summary!$F$3</f>
        <v>-9479.9811084579342</v>
      </c>
      <c r="R8" s="87">
        <f>J8/Summary!$F$3</f>
        <v>-3120.3664781609441</v>
      </c>
      <c r="S8" s="87">
        <f>K8/Summary!$F$3</f>
        <v>-54.855546880840151</v>
      </c>
      <c r="T8" s="87">
        <f>L8/Summary!$F$3</f>
        <v>-7.1681661983653031</v>
      </c>
      <c r="Z8" s="144" t="s">
        <v>1308</v>
      </c>
      <c r="AA8" s="109">
        <v>7700000</v>
      </c>
      <c r="AB8" s="109"/>
      <c r="AC8" s="109"/>
      <c r="AD8" s="109"/>
      <c r="AE8" s="109">
        <f>6178449.31+400908.88+1570631.29341446+2822963.73</f>
        <v>10972953.21341446</v>
      </c>
      <c r="AF8" s="109"/>
      <c r="AG8" s="109"/>
      <c r="AH8" s="109"/>
      <c r="AI8" s="109"/>
      <c r="AJ8" s="109">
        <f>1933560+70991.16</f>
        <v>2004551.16</v>
      </c>
      <c r="AK8" s="109">
        <f>8778670.03+869157.37</f>
        <v>9647827.3999999985</v>
      </c>
      <c r="AL8" s="109"/>
      <c r="AM8" s="109"/>
      <c r="AN8" s="109"/>
      <c r="AO8" s="109">
        <f>49753504.61+5860000</f>
        <v>55613504.609999999</v>
      </c>
      <c r="AP8" s="109"/>
      <c r="AQ8" s="109"/>
      <c r="AR8" s="110">
        <f t="shared" si="0"/>
        <v>85938836.383414462</v>
      </c>
      <c r="AS8" s="151" t="s">
        <v>1308</v>
      </c>
    </row>
    <row r="9" spans="2:45" x14ac:dyDescent="0.2">
      <c r="B9" s="145" t="s">
        <v>129</v>
      </c>
      <c r="C9" s="87">
        <f>SUMIFS(INDEX(PL_NG!$C:$AM, MATCH($B9,PL_NG!$C:$C, 0), ),PL_NG!$C$3:$AM$3, "&gt;="&amp;DATE(YEAR($C$3),1,1),PL_NG!$C$3:$AM$3, "&lt;="&amp;$C$3)</f>
        <v>-120861931.17999999</v>
      </c>
      <c r="D9" s="87"/>
      <c r="E9" s="87"/>
      <c r="F9" s="90">
        <f t="shared" si="1"/>
        <v>-120861931.17999999</v>
      </c>
      <c r="G9" s="87">
        <f>F9-H9</f>
        <v>-102240358.28</v>
      </c>
      <c r="H9" s="87">
        <f>I9</f>
        <v>-18621572.899999999</v>
      </c>
      <c r="I9" s="87">
        <f>-K44+K46-K45</f>
        <v>-18621572.899999999</v>
      </c>
      <c r="J9" s="87">
        <v>0</v>
      </c>
      <c r="K9" s="87">
        <v>0</v>
      </c>
      <c r="L9" s="142">
        <v>0</v>
      </c>
      <c r="M9" s="40">
        <f t="shared" si="3"/>
        <v>0</v>
      </c>
      <c r="N9" s="87">
        <f t="shared" si="4"/>
        <v>-87928.362867847667</v>
      </c>
      <c r="O9" s="87">
        <f>G9/Summary!$F$3</f>
        <v>-74380.967065585108</v>
      </c>
      <c r="P9" s="87">
        <f>H9/Summary!$F$3</f>
        <v>-13547.395802262557</v>
      </c>
      <c r="Q9" s="87">
        <f>I9/Summary!$F$3</f>
        <v>-13547.395802262557</v>
      </c>
      <c r="R9" s="87">
        <f>J9/Summary!$F$3</f>
        <v>0</v>
      </c>
      <c r="S9" s="87">
        <f>K9/Summary!$F$3</f>
        <v>0</v>
      </c>
      <c r="T9" s="87">
        <f>L9/Summary!$F$3</f>
        <v>0</v>
      </c>
      <c r="Z9" s="144" t="s">
        <v>1353</v>
      </c>
      <c r="AA9" s="109">
        <v>488730.63</v>
      </c>
      <c r="AB9" s="109"/>
      <c r="AC9" s="109"/>
      <c r="AD9" s="109"/>
      <c r="AE9" s="109"/>
      <c r="AF9" s="109"/>
      <c r="AG9" s="109"/>
      <c r="AH9" s="109"/>
      <c r="AI9" s="109"/>
      <c r="AJ9" s="109">
        <v>0</v>
      </c>
      <c r="AK9" s="109"/>
      <c r="AL9" s="109"/>
      <c r="AM9" s="109"/>
      <c r="AN9" s="109"/>
      <c r="AO9" s="109"/>
      <c r="AP9" s="109"/>
      <c r="AQ9" s="109"/>
      <c r="AR9" s="110">
        <f t="shared" si="0"/>
        <v>488730.63</v>
      </c>
      <c r="AS9" s="151" t="s">
        <v>1353</v>
      </c>
    </row>
    <row r="10" spans="2:45" x14ac:dyDescent="0.2">
      <c r="B10" s="145" t="s">
        <v>131</v>
      </c>
      <c r="C10" s="87">
        <f>SUMIFS(INDEX(PL_NG!$C:$AM, MATCH($B10,PL_NG!$C:$C, 0), ),PL_NG!$C$3:$AM$3, "&gt;="&amp;DATE(YEAR($C$3),1,1),PL_NG!$C$3:$AM$3, "&lt;="&amp;$C$3)</f>
        <v>-165120283.16</v>
      </c>
      <c r="D10" s="87"/>
      <c r="E10" s="87"/>
      <c r="F10" s="90">
        <f t="shared" si="1"/>
        <v>-165120283.16</v>
      </c>
      <c r="G10" s="87">
        <f>D10+E10+($G$2*$C10)</f>
        <v>-33024056.631999999</v>
      </c>
      <c r="H10" s="87">
        <f>$H$2*C10</f>
        <v>-132096226.528</v>
      </c>
      <c r="I10" s="87">
        <f t="shared" ref="I10:I19" si="5">$H10*I$2</f>
        <v>-98896936.627808303</v>
      </c>
      <c r="J10" s="87">
        <f t="shared" si="2"/>
        <v>-32552246.920713324</v>
      </c>
      <c r="K10" s="87">
        <f t="shared" si="2"/>
        <v>-572263.3285332236</v>
      </c>
      <c r="L10" s="142">
        <f t="shared" si="2"/>
        <v>-74779.650945174304</v>
      </c>
      <c r="M10" s="40">
        <f t="shared" si="3"/>
        <v>0</v>
      </c>
      <c r="N10" s="87">
        <f t="shared" si="4"/>
        <v>-120126.79288494417</v>
      </c>
      <c r="O10" s="87">
        <f>G10/Summary!$F$3</f>
        <v>-24025.358576988834</v>
      </c>
      <c r="P10" s="87">
        <f>H10/Summary!$F$3</f>
        <v>-96101.434307955336</v>
      </c>
      <c r="Q10" s="87">
        <f>I10/Summary!$F$3</f>
        <v>-71948.591632031064</v>
      </c>
      <c r="R10" s="87">
        <f>J10/Summary!$F$3</f>
        <v>-23682.111906233549</v>
      </c>
      <c r="S10" s="87">
        <f>K10/Summary!$F$3</f>
        <v>-416.3277643834154</v>
      </c>
      <c r="T10" s="87">
        <f>L10/Summary!$F$3</f>
        <v>-54.403005307318253</v>
      </c>
      <c r="Z10" s="156" t="s">
        <v>1347</v>
      </c>
      <c r="AA10" s="157">
        <f>SUM(AA4:AA9)</f>
        <v>64317251.670000002</v>
      </c>
      <c r="AB10" s="157">
        <f t="shared" ref="AB10:AR10" si="6">SUM(AB4:AB9)</f>
        <v>2655186.04</v>
      </c>
      <c r="AC10" s="157">
        <f t="shared" si="6"/>
        <v>1569250</v>
      </c>
      <c r="AD10" s="157">
        <f t="shared" si="6"/>
        <v>666050</v>
      </c>
      <c r="AE10" s="157">
        <f t="shared" si="6"/>
        <v>44435114.949999958</v>
      </c>
      <c r="AF10" s="157">
        <f t="shared" si="6"/>
        <v>2029162.0899999999</v>
      </c>
      <c r="AG10" s="157">
        <f t="shared" si="6"/>
        <v>1351891</v>
      </c>
      <c r="AH10" s="157">
        <f t="shared" si="6"/>
        <v>531182.63</v>
      </c>
      <c r="AI10" s="157">
        <f t="shared" si="6"/>
        <v>4354004.5999999996</v>
      </c>
      <c r="AJ10" s="157">
        <f t="shared" si="6"/>
        <v>9881671.1600000001</v>
      </c>
      <c r="AK10" s="157">
        <f t="shared" si="6"/>
        <v>35818880.649999999</v>
      </c>
      <c r="AL10" s="157">
        <f t="shared" si="6"/>
        <v>193100</v>
      </c>
      <c r="AM10" s="157">
        <f t="shared" si="6"/>
        <v>49143.66</v>
      </c>
      <c r="AN10" s="157">
        <f t="shared" si="6"/>
        <v>1705444.95</v>
      </c>
      <c r="AO10" s="157">
        <f t="shared" si="6"/>
        <v>313331296.94</v>
      </c>
      <c r="AP10" s="157">
        <f t="shared" si="6"/>
        <v>60567436.520000003</v>
      </c>
      <c r="AQ10" s="157">
        <f t="shared" si="6"/>
        <v>26830850.23</v>
      </c>
      <c r="AR10" s="157">
        <f t="shared" si="6"/>
        <v>570286917.08999991</v>
      </c>
      <c r="AS10" s="152" t="s">
        <v>1347</v>
      </c>
    </row>
    <row r="11" spans="2:45" x14ac:dyDescent="0.2">
      <c r="B11" s="145" t="s">
        <v>748</v>
      </c>
      <c r="C11" s="87">
        <f>SUMIFS(INDEX(PL_NG!$C:$AM, MATCH($B11,PL_NG!$C:$C, 0), ),PL_NG!$C$3:$AM$3, "&gt;="&amp;DATE(YEAR($C$3),1,1),PL_NG!$C$3:$AM$3, "&lt;="&amp;$C$3)</f>
        <v>-58819076.850000001</v>
      </c>
      <c r="D11" s="87"/>
      <c r="E11" s="87"/>
      <c r="F11" s="90">
        <f t="shared" si="1"/>
        <v>-58819076.850000001</v>
      </c>
      <c r="G11" s="87">
        <f>D11+E11+($G$2*$C11)</f>
        <v>-11763815.370000001</v>
      </c>
      <c r="H11" s="87">
        <f>$H$2*C11</f>
        <v>-47055261.480000004</v>
      </c>
      <c r="I11" s="87">
        <f t="shared" si="5"/>
        <v>-35229024.589934796</v>
      </c>
      <c r="J11" s="87">
        <f t="shared" si="2"/>
        <v>-11595747.515853601</v>
      </c>
      <c r="K11" s="87">
        <f t="shared" si="2"/>
        <v>-203851.3988424805</v>
      </c>
      <c r="L11" s="142">
        <f t="shared" si="2"/>
        <v>-26637.975369133223</v>
      </c>
      <c r="M11" s="40">
        <f t="shared" si="3"/>
        <v>0</v>
      </c>
      <c r="N11" s="87">
        <f t="shared" si="4"/>
        <v>-42791.514932159625</v>
      </c>
      <c r="O11" s="87">
        <f>G11/Summary!$F$3</f>
        <v>-8558.3029864319251</v>
      </c>
      <c r="P11" s="87">
        <f>H11/Summary!$F$3</f>
        <v>-34233.2119457277</v>
      </c>
      <c r="Q11" s="87">
        <f>I11/Summary!$F$3</f>
        <v>-25629.496627939905</v>
      </c>
      <c r="R11" s="87">
        <f>J11/Summary!$F$3</f>
        <v>-8436.0318037565758</v>
      </c>
      <c r="S11" s="87">
        <f>K11/Summary!$F$3</f>
        <v>-148.30409868137247</v>
      </c>
      <c r="T11" s="87">
        <f>L11/Summary!$F$3</f>
        <v>-19.379415349847751</v>
      </c>
      <c r="AR11" s="45">
        <f>C5+AR10</f>
        <v>65028452.009999931</v>
      </c>
    </row>
    <row r="12" spans="2:45" x14ac:dyDescent="0.2">
      <c r="B12" s="145" t="s">
        <v>134</v>
      </c>
      <c r="C12" s="87">
        <f>SUMIFS(INDEX(PL_NG!$C:$AM, MATCH($B12,PL_NG!$C:$C, 0), ),PL_NG!$C$3:$AM$3, "&gt;="&amp;DATE(YEAR($C$3),1,1),PL_NG!$C$3:$AM$3, "&lt;="&amp;$C$3)</f>
        <v>-783845.75</v>
      </c>
      <c r="D12" s="87"/>
      <c r="E12" s="87"/>
      <c r="F12" s="90">
        <f t="shared" ref="F12:F20" si="7">SUM(C12:E12)</f>
        <v>-783845.75</v>
      </c>
      <c r="G12" s="87">
        <f>D12+E12</f>
        <v>0</v>
      </c>
      <c r="H12" s="87">
        <f>C12</f>
        <v>-783845.75</v>
      </c>
      <c r="I12" s="87">
        <f t="shared" si="5"/>
        <v>-586844.49587434065</v>
      </c>
      <c r="J12" s="87">
        <f t="shared" si="2"/>
        <v>-193161.76602776157</v>
      </c>
      <c r="K12" s="87">
        <f t="shared" si="2"/>
        <v>-3395.7531546636569</v>
      </c>
      <c r="L12" s="142">
        <f t="shared" si="2"/>
        <v>-443.73494323423222</v>
      </c>
      <c r="M12" s="40">
        <f t="shared" si="3"/>
        <v>0</v>
      </c>
      <c r="N12" s="87">
        <f t="shared" si="4"/>
        <v>-570.25626568695213</v>
      </c>
      <c r="O12" s="87">
        <f>G12/Summary!$F$3</f>
        <v>0</v>
      </c>
      <c r="P12" s="87">
        <f>H12/Summary!$F$3</f>
        <v>-570.25626568695213</v>
      </c>
      <c r="Q12" s="87">
        <f>I12/Summary!$F$3</f>
        <v>-426.93572141743891</v>
      </c>
      <c r="R12" s="87">
        <f>J12/Summary!$F$3</f>
        <v>-140.52727512841409</v>
      </c>
      <c r="S12" s="87">
        <f>K12/Summary!$F$3</f>
        <v>-2.4704471679194331</v>
      </c>
      <c r="T12" s="87">
        <f>L12/Summary!$F$3</f>
        <v>-0.32282197317975497</v>
      </c>
      <c r="AA12" s="139">
        <v>55301281.199999996</v>
      </c>
      <c r="AB12" s="139">
        <v>1515475.43</v>
      </c>
      <c r="AC12" s="139">
        <v>1569250</v>
      </c>
      <c r="AD12" s="139">
        <v>516500</v>
      </c>
      <c r="AE12" s="139">
        <v>35378929.950000003</v>
      </c>
      <c r="AF12" s="139">
        <v>1578281.25</v>
      </c>
      <c r="AG12" s="139"/>
      <c r="AH12" s="139">
        <v>283290.63</v>
      </c>
      <c r="AI12" s="139">
        <v>2997714.8</v>
      </c>
      <c r="AJ12" s="139">
        <v>7415161.1600000001</v>
      </c>
      <c r="AK12" s="139">
        <v>32257037.950000003</v>
      </c>
      <c r="AL12" s="139">
        <v>150100</v>
      </c>
      <c r="AM12" s="139">
        <v>45143.66</v>
      </c>
      <c r="AN12" s="139">
        <v>1225201.1499999999</v>
      </c>
      <c r="AO12" s="139">
        <v>271428807.65999997</v>
      </c>
      <c r="AP12" s="139">
        <v>4760886.22</v>
      </c>
      <c r="AQ12" s="139">
        <v>56125680.210000001</v>
      </c>
      <c r="AR12" s="139">
        <v>472590414.41999996</v>
      </c>
      <c r="AS12" t="s">
        <v>1347</v>
      </c>
    </row>
    <row r="13" spans="2:45" x14ac:dyDescent="0.2">
      <c r="B13" s="145" t="s">
        <v>136</v>
      </c>
      <c r="C13" s="87">
        <f>SUMIFS(INDEX(PL_NG!$C:$AM, MATCH($B13,PL_NG!$C:$C, 0), ),PL_NG!$C$3:$AM$3, "&gt;="&amp;DATE(YEAR($C$3),1,1),PL_NG!$C$3:$AM$3, "&lt;="&amp;$C$3)</f>
        <v>145011.09999999986</v>
      </c>
      <c r="D13" s="87"/>
      <c r="E13" s="87"/>
      <c r="F13" s="90">
        <f t="shared" si="7"/>
        <v>145011.09999999986</v>
      </c>
      <c r="G13" s="87">
        <v>0</v>
      </c>
      <c r="H13" s="87">
        <f>F13-G13</f>
        <v>145011.09999999986</v>
      </c>
      <c r="I13" s="87">
        <f t="shared" si="5"/>
        <v>108565.95940678829</v>
      </c>
      <c r="J13" s="87">
        <f t="shared" si="2"/>
        <v>35734.83707684619</v>
      </c>
      <c r="K13" s="87">
        <f t="shared" si="2"/>
        <v>628.21275778588642</v>
      </c>
      <c r="L13" s="142">
        <f t="shared" si="2"/>
        <v>82.090758579520923</v>
      </c>
      <c r="M13" s="40">
        <f t="shared" si="3"/>
        <v>0</v>
      </c>
      <c r="N13" s="87">
        <f t="shared" si="4"/>
        <v>105.49714452002463</v>
      </c>
      <c r="O13" s="87">
        <f>G13/Summary!$F$3</f>
        <v>0</v>
      </c>
      <c r="P13" s="87">
        <f>H13/Summary!$F$3</f>
        <v>105.49714452002463</v>
      </c>
      <c r="Q13" s="87">
        <f>I13/Summary!$F$3</f>
        <v>78.982910339229775</v>
      </c>
      <c r="R13" s="87">
        <f>J13/Summary!$F$3</f>
        <v>25.997480685930807</v>
      </c>
      <c r="S13" s="87">
        <f>K13/Summary!$F$3</f>
        <v>0.45703157963397945</v>
      </c>
      <c r="T13" s="87">
        <f>L13/Summary!$F$3</f>
        <v>5.9721915230090523E-2</v>
      </c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</row>
    <row r="14" spans="2:45" x14ac:dyDescent="0.2">
      <c r="B14" s="145" t="s">
        <v>138</v>
      </c>
      <c r="C14" s="87">
        <f>SUMIFS(INDEX(PL_NG!$C:$AM, MATCH($B14,PL_NG!$C:$C, 0), ),PL_NG!$C$3:$AM$3, "&gt;="&amp;DATE(YEAR($C$3),1,1),PL_NG!$C$3:$AM$3, "&lt;="&amp;$C$3)</f>
        <v>-150000</v>
      </c>
      <c r="D14" s="87"/>
      <c r="E14" s="87"/>
      <c r="F14" s="90">
        <f t="shared" si="7"/>
        <v>-150000</v>
      </c>
      <c r="G14" s="87">
        <v>0</v>
      </c>
      <c r="H14" s="87">
        <f>F14-G14</f>
        <v>-150000</v>
      </c>
      <c r="I14" s="87">
        <f t="shared" si="5"/>
        <v>-112301.01634301277</v>
      </c>
      <c r="J14" s="87">
        <f t="shared" si="2"/>
        <v>-36964.243161571307</v>
      </c>
      <c r="K14" s="87">
        <f t="shared" si="2"/>
        <v>-649.8255214110028</v>
      </c>
      <c r="L14" s="142">
        <f t="shared" si="2"/>
        <v>-84.914974004942735</v>
      </c>
      <c r="M14" s="40">
        <f t="shared" si="3"/>
        <v>0</v>
      </c>
      <c r="N14" s="87">
        <f t="shared" si="4"/>
        <v>-109.12662325852098</v>
      </c>
      <c r="O14" s="87">
        <f>G14/Summary!$F$3</f>
        <v>0</v>
      </c>
      <c r="P14" s="87">
        <f>H14/Summary!$F$3</f>
        <v>-109.12662325852098</v>
      </c>
      <c r="Q14" s="87">
        <f>I14/Summary!$F$3</f>
        <v>-81.700204680086415</v>
      </c>
      <c r="R14" s="87">
        <f>J14/Summary!$F$3</f>
        <v>-26.891886916861015</v>
      </c>
      <c r="S14" s="87">
        <f>K14/Summary!$F$3</f>
        <v>-0.47275509905860302</v>
      </c>
      <c r="T14" s="87">
        <f>L14/Summary!$F$3</f>
        <v>-6.1776562514963253E-2</v>
      </c>
    </row>
    <row r="15" spans="2:45" x14ac:dyDescent="0.2">
      <c r="B15" s="145" t="s">
        <v>140</v>
      </c>
      <c r="C15" s="87">
        <f>SUMIFS(INDEX(PL_NG!$C:$AM, MATCH($B15,PL_NG!$C:$C, 0), ),PL_NG!$C$3:$AM$3, "&gt;="&amp;DATE(YEAR($C$3),1,1),PL_NG!$C$3:$AM$3, "&lt;="&amp;$C$3)</f>
        <v>-26453001.219999999</v>
      </c>
      <c r="D15" s="87"/>
      <c r="E15" s="87"/>
      <c r="F15" s="90">
        <f t="shared" si="7"/>
        <v>-26453001.219999999</v>
      </c>
      <c r="G15" s="87">
        <v>0</v>
      </c>
      <c r="H15" s="87">
        <f>F15-G15</f>
        <v>-26453001.219999999</v>
      </c>
      <c r="I15" s="87">
        <f t="shared" si="5"/>
        <v>-19804659.482193045</v>
      </c>
      <c r="J15" s="87">
        <f t="shared" si="2"/>
        <v>-6518767.7963294834</v>
      </c>
      <c r="K15" s="87">
        <f t="shared" si="2"/>
        <v>-114598.90207114928</v>
      </c>
      <c r="L15" s="142">
        <f t="shared" si="2"/>
        <v>-14975.039406326789</v>
      </c>
      <c r="M15" s="40">
        <f t="shared" si="3"/>
        <v>0</v>
      </c>
      <c r="N15" s="87">
        <f t="shared" si="4"/>
        <v>-19244.844654614237</v>
      </c>
      <c r="O15" s="87">
        <f>G15/Summary!$F$3</f>
        <v>0</v>
      </c>
      <c r="P15" s="87">
        <f>H15/Summary!$F$3</f>
        <v>-19244.844654614237</v>
      </c>
      <c r="Q15" s="87">
        <f>I15/Summary!$F$3</f>
        <v>-14408.104093843836</v>
      </c>
      <c r="R15" s="87">
        <f>J15/Summary!$F$3</f>
        <v>-4742.4741161321772</v>
      </c>
      <c r="S15" s="87">
        <f>K15/Summary!$F$3</f>
        <v>-83.371941414389639</v>
      </c>
      <c r="T15" s="87">
        <f>L15/Summary!$F$3</f>
        <v>-10.894503223838194</v>
      </c>
      <c r="AE15">
        <f>22638622.49+2604177.24</f>
        <v>25242799.729999997</v>
      </c>
      <c r="AN15">
        <v>5860000</v>
      </c>
      <c r="AO15" s="41">
        <f>AO10/C_RATE</f>
        <v>227951.90930850097</v>
      </c>
      <c r="AQ15">
        <v>2878666.67</v>
      </c>
    </row>
    <row r="16" spans="2:45" x14ac:dyDescent="0.2">
      <c r="B16" s="145" t="s">
        <v>142</v>
      </c>
      <c r="C16" s="87">
        <f>SUMIFS(INDEX(PL_NG!$C:$AM, MATCH($B16,PL_NG!$C:$C, 0), ),PL_NG!$C$3:$AM$3, "&gt;="&amp;DATE(YEAR($C$3),1,1),PL_NG!$C$3:$AM$3, "&lt;="&amp;$C$3)</f>
        <v>-110948482.64999999</v>
      </c>
      <c r="D16" s="87"/>
      <c r="E16" s="87"/>
      <c r="F16" s="90">
        <f t="shared" si="7"/>
        <v>-110948482.64999999</v>
      </c>
      <c r="G16" s="87">
        <f>F16-H16</f>
        <v>-112138403.50999993</v>
      </c>
      <c r="H16" s="87">
        <f>K50</f>
        <v>1189920.8599999351</v>
      </c>
      <c r="I16" s="87">
        <f t="shared" si="5"/>
        <v>890862.14630496351</v>
      </c>
      <c r="J16" s="87">
        <f t="shared" si="2"/>
        <v>293230.16008042434</v>
      </c>
      <c r="K16" s="87">
        <f t="shared" si="2"/>
        <v>5154.9396219152441</v>
      </c>
      <c r="L16" s="142">
        <f t="shared" si="2"/>
        <v>673.61399263222393</v>
      </c>
      <c r="M16" s="40">
        <f t="shared" si="3"/>
        <v>4.6566128730773926E-9</v>
      </c>
      <c r="N16" s="87">
        <f t="shared" si="4"/>
        <v>-80716.221781674001</v>
      </c>
      <c r="O16" s="87">
        <f>G16/Summary!$F$3</f>
        <v>-81581.902084318455</v>
      </c>
      <c r="P16" s="87">
        <f>H16/Summary!$F$3</f>
        <v>865.68030264445463</v>
      </c>
      <c r="Q16" s="87">
        <f>I16/Summary!$F$3</f>
        <v>648.11185210066094</v>
      </c>
      <c r="R16" s="87">
        <f>J16/Summary!$F$3</f>
        <v>213.32811471421508</v>
      </c>
      <c r="S16" s="87">
        <f>K16/Summary!$F$3</f>
        <v>3.750274360274449</v>
      </c>
      <c r="T16" s="87">
        <f>L16/Summary!$F$3</f>
        <v>0.49006146930429884</v>
      </c>
    </row>
    <row r="17" spans="2:34" x14ac:dyDescent="0.2">
      <c r="B17" s="145" t="s">
        <v>144</v>
      </c>
      <c r="C17" s="87">
        <f>SUMIFS(INDEX(PL_NG!$C:$AM, MATCH($B17,PL_NG!$C:$C, 0), ),PL_NG!$C$3:$AM$3, "&gt;="&amp;DATE(YEAR($C$3),1,1),PL_NG!$C$3:$AM$3, "&lt;="&amp;$C$3)</f>
        <v>-2877727.05</v>
      </c>
      <c r="D17" s="87"/>
      <c r="E17" s="87"/>
      <c r="F17" s="90">
        <f t="shared" si="7"/>
        <v>-2877727.05</v>
      </c>
      <c r="G17" s="87">
        <f>D17+E17</f>
        <v>0</v>
      </c>
      <c r="H17" s="87">
        <f>F17-G17</f>
        <v>-2877727.05</v>
      </c>
      <c r="I17" s="87">
        <f t="shared" si="5"/>
        <v>-2154477.8164851996</v>
      </c>
      <c r="J17" s="87">
        <f t="shared" si="2"/>
        <v>-709153.34952554177</v>
      </c>
      <c r="K17" s="87">
        <f t="shared" si="2"/>
        <v>-12466.803204965312</v>
      </c>
      <c r="L17" s="142">
        <f t="shared" si="2"/>
        <v>-1629.0807842938034</v>
      </c>
      <c r="M17" s="40">
        <f t="shared" si="3"/>
        <v>0</v>
      </c>
      <c r="N17" s="87">
        <f t="shared" si="4"/>
        <v>-2093.5775708413662</v>
      </c>
      <c r="O17" s="87">
        <f>G17/Summary!$F$3</f>
        <v>0</v>
      </c>
      <c r="P17" s="87">
        <f>H17/Summary!$F$3</f>
        <v>-2093.5775708413662</v>
      </c>
      <c r="Q17" s="87">
        <f>I17/Summary!$F$3</f>
        <v>-1567.4059266561417</v>
      </c>
      <c r="R17" s="87">
        <f>J17/Summary!$F$3</f>
        <v>-515.91673604128027</v>
      </c>
      <c r="S17" s="87">
        <f>K17/Summary!$F$3</f>
        <v>-9.0697342439091422</v>
      </c>
      <c r="T17" s="87">
        <f>L17/Summary!$F$3</f>
        <v>-1.185173900035505</v>
      </c>
      <c r="AE17" t="s">
        <v>1429</v>
      </c>
      <c r="AF17" s="216">
        <f>I2*AE15</f>
        <v>18898613.766814187</v>
      </c>
      <c r="AG17" s="216"/>
      <c r="AH17">
        <v>11404266.395697186</v>
      </c>
    </row>
    <row r="18" spans="2:34" x14ac:dyDescent="0.2">
      <c r="B18" s="145" t="s">
        <v>13</v>
      </c>
      <c r="C18" s="87">
        <f>SUMIFS(INDEX(PL_NG!$C:$AM, MATCH($B18,PL_NG!$C:$C, 0), ),PL_NG!$C$3:$AM$3, "&gt;="&amp;DATE(YEAR($C$3),1,1),PL_NG!$C$3:$AM$3, "&lt;="&amp;$C$3)</f>
        <v>-48860521.390000001</v>
      </c>
      <c r="D18" s="87"/>
      <c r="E18" s="87"/>
      <c r="F18" s="90">
        <f t="shared" si="7"/>
        <v>-48860521.390000001</v>
      </c>
      <c r="G18" s="87">
        <v>0</v>
      </c>
      <c r="H18" s="87">
        <f>F18</f>
        <v>-48860521.390000001</v>
      </c>
      <c r="I18" s="87">
        <f t="shared" si="5"/>
        <v>-36580574.740976766</v>
      </c>
      <c r="J18" s="87">
        <f t="shared" si="2"/>
        <v>-12040614.624407442</v>
      </c>
      <c r="K18" s="87">
        <f t="shared" si="2"/>
        <v>-211672.09192446803</v>
      </c>
      <c r="L18" s="142">
        <f t="shared" si="2"/>
        <v>-27659.932691331989</v>
      </c>
      <c r="M18" s="40">
        <f t="shared" si="3"/>
        <v>0</v>
      </c>
      <c r="N18" s="87">
        <f t="shared" si="4"/>
        <v>-35546.558066276237</v>
      </c>
      <c r="O18" s="87">
        <f>G18/Summary!$F$3</f>
        <v>0</v>
      </c>
      <c r="P18" s="87">
        <f>H18/Summary!$F$3</f>
        <v>-35546.558066276237</v>
      </c>
      <c r="Q18" s="87">
        <f>I18/Summary!$F$3</f>
        <v>-26612.763988924933</v>
      </c>
      <c r="R18" s="87">
        <f>J18/Summary!$F$3</f>
        <v>-8759.6774394583263</v>
      </c>
      <c r="S18" s="87">
        <f>K18/Summary!$F$3</f>
        <v>-153.99373753189627</v>
      </c>
      <c r="T18" s="87">
        <f>L18/Summary!$F$3</f>
        <v>-20.122900361086895</v>
      </c>
      <c r="AE18" t="s">
        <v>1430</v>
      </c>
      <c r="AF18">
        <f>J2*AE15</f>
        <v>6220539.9153237762</v>
      </c>
      <c r="AH18">
        <v>12227642.37866335</v>
      </c>
    </row>
    <row r="19" spans="2:34" x14ac:dyDescent="0.2">
      <c r="B19" s="145" t="s">
        <v>16</v>
      </c>
      <c r="C19" s="87">
        <f>SUMIFS(INDEX(PL_NG!$C:$AM, MATCH($B19,PL_NG!$C:$C, 0), ),PL_NG!$C$3:$AM$3, "&gt;="&amp;DATE(YEAR($C$3),1,1),PL_NG!$C$3:$AM$3, "&lt;="&amp;$C$3)</f>
        <v>0</v>
      </c>
      <c r="D19" s="87"/>
      <c r="E19" s="87"/>
      <c r="F19" s="90">
        <f t="shared" si="7"/>
        <v>0</v>
      </c>
      <c r="G19" s="87">
        <f>D19+E19+C19</f>
        <v>0</v>
      </c>
      <c r="H19" s="87"/>
      <c r="I19" s="87">
        <f t="shared" si="5"/>
        <v>0</v>
      </c>
      <c r="J19" s="87">
        <f t="shared" si="2"/>
        <v>0</v>
      </c>
      <c r="K19" s="87">
        <f t="shared" si="2"/>
        <v>0</v>
      </c>
      <c r="L19" s="142">
        <f t="shared" si="2"/>
        <v>0</v>
      </c>
      <c r="M19" s="40">
        <f t="shared" si="3"/>
        <v>0</v>
      </c>
      <c r="N19" s="87">
        <f t="shared" si="4"/>
        <v>0</v>
      </c>
      <c r="O19" s="87">
        <f>G19/Summary!$F$3</f>
        <v>0</v>
      </c>
      <c r="P19" s="87">
        <f>H19/Summary!$F$3</f>
        <v>0</v>
      </c>
      <c r="Q19" s="87">
        <f>I19/Summary!$F$3</f>
        <v>0</v>
      </c>
      <c r="R19" s="87">
        <f>J19/Summary!$F$3</f>
        <v>0</v>
      </c>
      <c r="S19" s="87">
        <f>K19/Summary!$F$3</f>
        <v>0</v>
      </c>
      <c r="T19" s="87">
        <f>L19/Summary!$F$3</f>
        <v>0</v>
      </c>
      <c r="AE19" t="s">
        <v>1442</v>
      </c>
      <c r="AF19">
        <f>K2*AE15</f>
        <v>109356.10330947179</v>
      </c>
      <c r="AH19">
        <v>1570631.2934144649</v>
      </c>
    </row>
    <row r="20" spans="2:34" x14ac:dyDescent="0.2">
      <c r="B20" s="146" t="s">
        <v>19</v>
      </c>
      <c r="C20" s="143">
        <f>SUMIFS(INDEX(PL_NG!$C:$AM, MATCH($B20,PL_NG!$C:$C, 0), ),PL_NG!$C$3:$AM$3, "&gt;="&amp;DATE(YEAR($C$3),1,1),PL_NG!$C$3:$AM$3, "&lt;="&amp;$C$3)</f>
        <v>0</v>
      </c>
      <c r="D20" s="143"/>
      <c r="E20" s="143"/>
      <c r="F20" s="124">
        <f t="shared" si="7"/>
        <v>0</v>
      </c>
      <c r="G20" s="143">
        <f>D20+E20</f>
        <v>0</v>
      </c>
      <c r="H20" s="143">
        <f>C20</f>
        <v>0</v>
      </c>
      <c r="I20" s="87">
        <f>$H20*I$2</f>
        <v>0</v>
      </c>
      <c r="J20" s="87">
        <f t="shared" si="2"/>
        <v>0</v>
      </c>
      <c r="K20" s="87">
        <f t="shared" si="2"/>
        <v>0</v>
      </c>
      <c r="L20" s="142">
        <f t="shared" si="2"/>
        <v>0</v>
      </c>
      <c r="M20" s="40">
        <f t="shared" si="3"/>
        <v>0</v>
      </c>
      <c r="N20" s="87">
        <f t="shared" si="4"/>
        <v>0</v>
      </c>
      <c r="O20" s="87">
        <f>G20/Summary!$F$3</f>
        <v>0</v>
      </c>
      <c r="P20" s="87">
        <f>H20/Summary!$F$3</f>
        <v>0</v>
      </c>
      <c r="Q20" s="87">
        <f>I20/Summary!$F$3</f>
        <v>0</v>
      </c>
      <c r="R20" s="87">
        <f>J20/Summary!$F$3</f>
        <v>0</v>
      </c>
      <c r="S20" s="87">
        <f>K20/Summary!$F$3</f>
        <v>0</v>
      </c>
      <c r="T20" s="87">
        <f>L20/Summary!$F$3</f>
        <v>0</v>
      </c>
      <c r="AE20" t="s">
        <v>1431</v>
      </c>
      <c r="AF20">
        <f>L2*AE15</f>
        <v>14289.944552566167</v>
      </c>
      <c r="AH20">
        <v>40259.662224994448</v>
      </c>
    </row>
    <row r="21" spans="2:34" x14ac:dyDescent="0.2">
      <c r="F21" s="45">
        <f t="shared" ref="F21:L21" si="8">SUM(F7:F20)</f>
        <v>-1102431111.6699998</v>
      </c>
      <c r="G21" s="45">
        <f t="shared" si="8"/>
        <v>-751056334.92513871</v>
      </c>
      <c r="H21" s="45">
        <f t="shared" si="8"/>
        <v>-386267968.47486115</v>
      </c>
      <c r="I21" s="45">
        <f t="shared" si="8"/>
        <v>-293868665.41934818</v>
      </c>
      <c r="J21" s="45">
        <f t="shared" si="8"/>
        <v>-90598471.75669603</v>
      </c>
      <c r="K21" s="45">
        <f t="shared" si="8"/>
        <v>-1592706.7379953996</v>
      </c>
      <c r="L21" s="45">
        <f t="shared" si="8"/>
        <v>-208124.56082166822</v>
      </c>
      <c r="M21" s="40">
        <f t="shared" si="3"/>
        <v>34893191.730000019</v>
      </c>
      <c r="N21" s="45">
        <f t="shared" ref="N21:T21" si="9">SUM(N7:N20)</f>
        <v>-827415.73853261059</v>
      </c>
      <c r="O21" s="45">
        <f t="shared" si="9"/>
        <v>-546401.61138200783</v>
      </c>
      <c r="P21" s="45">
        <f t="shared" si="9"/>
        <v>-281014.12715060287</v>
      </c>
      <c r="Q21" s="45">
        <f t="shared" si="9"/>
        <v>-213792.6342580104</v>
      </c>
      <c r="R21" s="45">
        <f t="shared" si="9"/>
        <v>-65911.36863460482</v>
      </c>
      <c r="S21" s="45">
        <f t="shared" si="9"/>
        <v>-1158.7113877235458</v>
      </c>
      <c r="T21" s="45">
        <f t="shared" si="9"/>
        <v>-151.41287026420881</v>
      </c>
      <c r="AF21" s="41">
        <f>SUM(AF17:AF20)</f>
        <v>25242799.73</v>
      </c>
      <c r="AG21" s="41"/>
    </row>
    <row r="22" spans="2:34" x14ac:dyDescent="0.2">
      <c r="B22" s="145" t="s">
        <v>4</v>
      </c>
      <c r="C22" s="87">
        <f>SUMIFS(INDEX(PL_NG!$C:$AM, MATCH($B22,PL_NG!$C:$C, 0), ),PL_NG!$C$3:$AM$3, "&gt;="&amp;DATE(YEAR($C$3),1,1),PL_NG!$C$3:$AM$3, "&lt;="&amp;$C$3)</f>
        <v>2363679952.9700003</v>
      </c>
      <c r="D22" s="87">
        <f>SUMIFS(INDEX(PL_UK!$C:$AM, MATCH($B22,PL_UK!$C:$C, 0), ),PL_UK!$C$3:$AM$3, "&gt;="&amp;DATE(YEAR($C$3),1,1),PL_UK!$C$3:$AM$3, "&lt;="&amp;$C$3)</f>
        <v>6809771.2904000003</v>
      </c>
      <c r="E22" s="87">
        <f>SUMIFS(INDEX(PL_UAE!$C:$AM, MATCH($B22,PL_UAE!$C:$C, 0), ),PL_UAE!$C$3:$AM$3, "&gt;="&amp;DATE(YEAR($C$3),1,1),PL_UAE!$C$3:$AM$3, "&lt;="&amp;$C$3)</f>
        <v>0</v>
      </c>
      <c r="F22" s="90">
        <f>SUM(C22:E22)</f>
        <v>2370489724.2604003</v>
      </c>
    </row>
    <row r="24" spans="2:34" s="80" customFormat="1" x14ac:dyDescent="0.2">
      <c r="G24" s="241"/>
      <c r="M24" s="177"/>
    </row>
    <row r="25" spans="2:34" x14ac:dyDescent="0.2">
      <c r="B25" s="176"/>
      <c r="C25" s="176" t="s">
        <v>1359</v>
      </c>
      <c r="D25" s="176" t="s">
        <v>1360</v>
      </c>
      <c r="E25" s="176"/>
      <c r="F25" s="176"/>
      <c r="G25" s="176"/>
      <c r="H25" s="176"/>
      <c r="I25" s="176"/>
      <c r="J25" s="176"/>
      <c r="K25" s="232"/>
    </row>
    <row r="26" spans="2:34" x14ac:dyDescent="0.2">
      <c r="B26" s="176"/>
      <c r="C26" s="176" t="s">
        <v>1361</v>
      </c>
      <c r="D26" s="176" t="s">
        <v>1362</v>
      </c>
      <c r="E26" s="176" t="s">
        <v>1363</v>
      </c>
      <c r="F26" s="176" t="s">
        <v>1364</v>
      </c>
      <c r="G26" s="176" t="s">
        <v>1365</v>
      </c>
      <c r="H26" s="176" t="s">
        <v>1366</v>
      </c>
      <c r="I26" s="176" t="s">
        <v>1367</v>
      </c>
      <c r="J26" s="176" t="s">
        <v>1368</v>
      </c>
      <c r="K26" s="232" t="s">
        <v>1369</v>
      </c>
      <c r="L26" s="236">
        <v>45870</v>
      </c>
    </row>
    <row r="27" spans="2:34" x14ac:dyDescent="0.2">
      <c r="B27" s="176"/>
      <c r="C27" s="181"/>
      <c r="D27" s="182">
        <v>50929972.609999999</v>
      </c>
      <c r="E27" s="182">
        <v>52121965.359999999</v>
      </c>
      <c r="F27" s="182">
        <v>54884548.659999996</v>
      </c>
      <c r="G27" s="182">
        <v>55021741.68</v>
      </c>
      <c r="H27" s="182">
        <v>55323596.32</v>
      </c>
      <c r="I27" s="182">
        <v>55536310.280000001</v>
      </c>
      <c r="J27" s="182">
        <v>52839090.920000002</v>
      </c>
      <c r="K27" s="233">
        <v>376657225.82999998</v>
      </c>
      <c r="L27" s="182">
        <v>772500</v>
      </c>
    </row>
    <row r="28" spans="2:34" x14ac:dyDescent="0.2">
      <c r="B28" s="183">
        <v>3000</v>
      </c>
      <c r="C28" s="181" t="s">
        <v>1370</v>
      </c>
      <c r="D28" s="182"/>
      <c r="E28" s="182">
        <v>2022448.5</v>
      </c>
      <c r="F28" s="182">
        <v>4607220</v>
      </c>
      <c r="G28" s="182">
        <v>4831620</v>
      </c>
      <c r="H28" s="182">
        <v>4748220</v>
      </c>
      <c r="I28" s="182">
        <v>4630350</v>
      </c>
      <c r="J28" s="182">
        <v>4583400</v>
      </c>
      <c r="K28" s="233">
        <v>25423258.5</v>
      </c>
      <c r="L28" s="182">
        <v>4604880</v>
      </c>
      <c r="M28" s="182">
        <v>4458780</v>
      </c>
    </row>
    <row r="29" spans="2:34" x14ac:dyDescent="0.2">
      <c r="B29" s="183">
        <v>2500</v>
      </c>
      <c r="C29" s="181" t="s">
        <v>1371</v>
      </c>
      <c r="D29" s="182">
        <v>3662071.88</v>
      </c>
      <c r="E29" s="182">
        <v>3522431.14</v>
      </c>
      <c r="F29" s="182">
        <v>3610908.68</v>
      </c>
      <c r="G29" s="182">
        <v>3786782.18</v>
      </c>
      <c r="H29" s="182">
        <v>3721417.43</v>
      </c>
      <c r="I29" s="182">
        <v>3858625</v>
      </c>
      <c r="J29" s="182">
        <v>3819500</v>
      </c>
      <c r="K29" s="233">
        <v>25981736.309999999</v>
      </c>
      <c r="L29" s="182">
        <v>3837400</v>
      </c>
      <c r="M29" s="182">
        <v>3715650</v>
      </c>
    </row>
    <row r="30" spans="2:34" x14ac:dyDescent="0.2">
      <c r="B30" s="183">
        <v>700</v>
      </c>
      <c r="C30" s="181" t="s">
        <v>1372</v>
      </c>
      <c r="D30" s="182">
        <v>942613.51</v>
      </c>
      <c r="E30" s="182">
        <v>1048677</v>
      </c>
      <c r="F30" s="182">
        <v>1075018</v>
      </c>
      <c r="G30" s="182">
        <v>1127378</v>
      </c>
      <c r="H30" s="182">
        <v>1107918</v>
      </c>
      <c r="I30" s="182">
        <v>1080415</v>
      </c>
      <c r="J30" s="182">
        <v>1069460</v>
      </c>
      <c r="K30" s="233">
        <v>7451479.5099999998</v>
      </c>
      <c r="L30" s="182">
        <v>1074472</v>
      </c>
      <c r="M30" s="182">
        <v>1040382</v>
      </c>
    </row>
    <row r="31" spans="2:34" x14ac:dyDescent="0.2">
      <c r="B31" s="183">
        <v>2800</v>
      </c>
      <c r="C31" s="181" t="s">
        <v>1373</v>
      </c>
      <c r="D31" s="182">
        <v>4361000</v>
      </c>
      <c r="E31" s="182">
        <v>4194708</v>
      </c>
      <c r="F31" s="182">
        <v>4300072</v>
      </c>
      <c r="G31" s="182">
        <v>4509512</v>
      </c>
      <c r="H31" s="182">
        <v>4431672</v>
      </c>
      <c r="I31" s="182">
        <v>4321660</v>
      </c>
      <c r="J31" s="182">
        <v>4277840</v>
      </c>
      <c r="K31" s="233">
        <v>30396464</v>
      </c>
      <c r="L31" s="182">
        <v>4297888</v>
      </c>
    </row>
    <row r="32" spans="2:34" x14ac:dyDescent="0.2">
      <c r="B32" s="183">
        <v>2700</v>
      </c>
      <c r="C32" s="181" t="s">
        <v>1374</v>
      </c>
      <c r="D32" s="182">
        <v>4205250</v>
      </c>
      <c r="E32" s="182">
        <v>4044897</v>
      </c>
      <c r="F32" s="182">
        <v>4146093</v>
      </c>
      <c r="G32" s="182">
        <v>4348458</v>
      </c>
      <c r="H32" s="182">
        <v>4273398</v>
      </c>
      <c r="I32" s="182">
        <v>4167315</v>
      </c>
      <c r="J32" s="182">
        <v>4125060</v>
      </c>
      <c r="K32" s="233">
        <v>29310471</v>
      </c>
      <c r="L32" s="182">
        <v>4153221</v>
      </c>
    </row>
    <row r="33" spans="2:13" x14ac:dyDescent="0.2">
      <c r="B33" s="176"/>
      <c r="C33" s="181" t="s">
        <v>1375</v>
      </c>
      <c r="D33" s="182">
        <v>14170000</v>
      </c>
      <c r="E33" s="182">
        <v>13170000</v>
      </c>
      <c r="F33" s="182">
        <v>13170000</v>
      </c>
      <c r="G33" s="182">
        <v>12083684.210000001</v>
      </c>
      <c r="H33" s="182">
        <v>12615714.289999999</v>
      </c>
      <c r="I33" s="182">
        <v>12057222.23</v>
      </c>
      <c r="J33" s="182">
        <v>12935454.550000001</v>
      </c>
      <c r="K33" s="233">
        <v>90202075.280000001</v>
      </c>
      <c r="L33" s="182">
        <v>62970714.290000007</v>
      </c>
    </row>
    <row r="34" spans="2:13" x14ac:dyDescent="0.2">
      <c r="B34" s="176"/>
      <c r="C34" s="181" t="s">
        <v>1369</v>
      </c>
      <c r="D34" s="182">
        <v>78270908</v>
      </c>
      <c r="E34" s="182">
        <v>80125127</v>
      </c>
      <c r="F34" s="182">
        <v>85793860.340000004</v>
      </c>
      <c r="G34" s="182">
        <v>85709176.069999993</v>
      </c>
      <c r="H34" s="182">
        <v>86221936.039999992</v>
      </c>
      <c r="I34" s="182">
        <v>85651897.510000005</v>
      </c>
      <c r="J34" s="182">
        <v>83649805.469999999</v>
      </c>
      <c r="K34" s="233">
        <v>585422710.42999995</v>
      </c>
      <c r="L34" s="251">
        <f>SUM(L27:L33)</f>
        <v>81711075.290000007</v>
      </c>
    </row>
    <row r="35" spans="2:13" x14ac:dyDescent="0.2">
      <c r="B35" s="176"/>
      <c r="C35" s="176"/>
      <c r="D35" s="184">
        <v>2351.25</v>
      </c>
      <c r="E35" s="184">
        <v>2351.25</v>
      </c>
      <c r="F35" s="184">
        <v>2351.25</v>
      </c>
      <c r="G35" s="184">
        <v>2351.25</v>
      </c>
      <c r="H35" s="184">
        <v>2351.25</v>
      </c>
      <c r="I35" s="182">
        <v>2500</v>
      </c>
      <c r="J35" s="182">
        <v>2500</v>
      </c>
      <c r="K35" s="232"/>
      <c r="L35" s="182">
        <v>2500</v>
      </c>
      <c r="M35" s="182">
        <v>2500</v>
      </c>
    </row>
    <row r="36" spans="2:13" x14ac:dyDescent="0.2">
      <c r="B36" s="176"/>
      <c r="C36" s="176"/>
      <c r="D36" s="185">
        <f>D29/D35*2500</f>
        <v>3893750.0053163213</v>
      </c>
      <c r="E36" s="185">
        <f t="shared" ref="E36:M36" si="10">E29/E35*2500</f>
        <v>3745275.0026581604</v>
      </c>
      <c r="F36" s="185">
        <f t="shared" si="10"/>
        <v>3839350.0053163213</v>
      </c>
      <c r="G36" s="185">
        <f t="shared" si="10"/>
        <v>4026350.0053163208</v>
      </c>
      <c r="H36" s="185">
        <f t="shared" si="10"/>
        <v>3956850.0053163213</v>
      </c>
      <c r="I36" s="185">
        <f t="shared" si="10"/>
        <v>3858625</v>
      </c>
      <c r="J36" s="185">
        <f t="shared" si="10"/>
        <v>3819500</v>
      </c>
      <c r="K36" s="232"/>
      <c r="L36" s="185">
        <f t="shared" si="10"/>
        <v>3837400</v>
      </c>
      <c r="M36" s="185">
        <f t="shared" si="10"/>
        <v>3715650</v>
      </c>
    </row>
    <row r="37" spans="2:13" x14ac:dyDescent="0.2">
      <c r="B37" s="176"/>
      <c r="C37" s="176"/>
      <c r="D37" s="176"/>
      <c r="E37" s="176"/>
      <c r="F37" s="176"/>
      <c r="G37" s="176"/>
      <c r="H37" s="176"/>
      <c r="I37" s="176"/>
      <c r="J37" s="176"/>
      <c r="K37" s="232"/>
      <c r="L37" s="176"/>
    </row>
    <row r="38" spans="2:13" x14ac:dyDescent="0.2">
      <c r="B38" s="176"/>
      <c r="C38" s="186" t="s">
        <v>1376</v>
      </c>
      <c r="D38" s="40">
        <f>D29+D30+D31+D32+D36</f>
        <v>17064685.395316321</v>
      </c>
      <c r="E38" s="40">
        <f t="shared" ref="E38:M38" si="11">E29+E30+E31+E32+E36</f>
        <v>16555988.142658161</v>
      </c>
      <c r="F38" s="40">
        <f t="shared" si="11"/>
        <v>16971441.685316321</v>
      </c>
      <c r="G38" s="40">
        <f t="shared" si="11"/>
        <v>17798480.185316321</v>
      </c>
      <c r="H38" s="40">
        <f t="shared" si="11"/>
        <v>17491255.435316321</v>
      </c>
      <c r="I38" s="40">
        <f t="shared" si="11"/>
        <v>17286640</v>
      </c>
      <c r="J38" s="40">
        <f t="shared" si="11"/>
        <v>17111360</v>
      </c>
      <c r="K38" s="234">
        <f>SUM(D38:J38,L38,M38)</f>
        <v>145951913.84392345</v>
      </c>
      <c r="L38" s="40">
        <f t="shared" si="11"/>
        <v>17200381</v>
      </c>
      <c r="M38" s="40">
        <f t="shared" si="11"/>
        <v>8471682</v>
      </c>
    </row>
    <row r="39" spans="2:13" x14ac:dyDescent="0.2">
      <c r="B39" s="176"/>
      <c r="C39" s="176" t="s">
        <v>1377</v>
      </c>
      <c r="D39" s="184">
        <v>29408132.739999998</v>
      </c>
      <c r="E39" s="184">
        <v>30154398.43</v>
      </c>
      <c r="F39" s="184">
        <v>32073442.039999999</v>
      </c>
      <c r="G39" s="184">
        <v>30705490.98</v>
      </c>
      <c r="H39" s="184">
        <v>32023270.219999999</v>
      </c>
      <c r="I39" s="184">
        <v>32032915.559999999</v>
      </c>
      <c r="J39" s="184">
        <v>31711280.16</v>
      </c>
      <c r="K39" s="234">
        <f>SUM(D39:J39,L39,M39)</f>
        <v>290763097.84000003</v>
      </c>
      <c r="L39" s="184">
        <v>33999924.420000002</v>
      </c>
      <c r="M39" s="184">
        <v>38654243.289999999</v>
      </c>
    </row>
    <row r="40" spans="2:13" x14ac:dyDescent="0.2">
      <c r="B40" s="176"/>
      <c r="C40" s="176"/>
      <c r="D40" s="176"/>
      <c r="E40" s="176"/>
      <c r="F40" s="176"/>
      <c r="G40" s="176"/>
      <c r="H40" s="176"/>
      <c r="I40" s="176"/>
      <c r="J40" s="176"/>
      <c r="K40" s="234">
        <f>K34-K38-K39</f>
        <v>148707698.74607646</v>
      </c>
      <c r="L40" s="184"/>
    </row>
    <row r="41" spans="2:13" x14ac:dyDescent="0.2">
      <c r="B41" s="176"/>
      <c r="C41" s="176"/>
      <c r="D41" s="176"/>
      <c r="E41" s="176"/>
      <c r="F41" s="176"/>
      <c r="G41" s="176"/>
      <c r="H41" s="176"/>
      <c r="I41" s="176"/>
      <c r="J41" s="176"/>
      <c r="K41" s="40"/>
    </row>
    <row r="43" spans="2:13" x14ac:dyDescent="0.2">
      <c r="I43" t="s">
        <v>1379</v>
      </c>
      <c r="K43" s="45">
        <f>-C9</f>
        <v>120861931.17999999</v>
      </c>
    </row>
    <row r="44" spans="2:13" x14ac:dyDescent="0.2">
      <c r="I44" t="s">
        <v>1378</v>
      </c>
      <c r="K44" s="39">
        <v>13682409.93</v>
      </c>
    </row>
    <row r="45" spans="2:13" x14ac:dyDescent="0.2">
      <c r="I45" t="s">
        <v>1457</v>
      </c>
      <c r="K45" s="39">
        <v>5723972.9800000004</v>
      </c>
    </row>
    <row r="46" spans="2:13" x14ac:dyDescent="0.2">
      <c r="I46" t="s">
        <v>1456</v>
      </c>
      <c r="K46">
        <v>784810.01</v>
      </c>
    </row>
    <row r="48" spans="2:13" x14ac:dyDescent="0.2">
      <c r="G48">
        <f>151-89</f>
        <v>62</v>
      </c>
      <c r="I48" t="s">
        <v>1380</v>
      </c>
      <c r="J48" t="s">
        <v>1381</v>
      </c>
      <c r="K48" s="50">
        <v>2229831.239999935</v>
      </c>
    </row>
    <row r="49" spans="2:13" x14ac:dyDescent="0.2">
      <c r="J49" t="s">
        <v>1382</v>
      </c>
      <c r="K49" s="50">
        <v>-1039910.38</v>
      </c>
    </row>
    <row r="50" spans="2:13" x14ac:dyDescent="0.2">
      <c r="K50" s="187">
        <f>K48+K49</f>
        <v>1189920.8599999351</v>
      </c>
    </row>
    <row r="53" spans="2:13" x14ac:dyDescent="0.2">
      <c r="B53" s="158"/>
      <c r="C53" s="159">
        <f>Summary!$C$2</f>
        <v>46142</v>
      </c>
      <c r="D53" s="160"/>
      <c r="E53" s="160"/>
      <c r="F53" s="160"/>
      <c r="G53" s="163" t="s">
        <v>1356</v>
      </c>
      <c r="H53" s="166" t="s">
        <v>1357</v>
      </c>
      <c r="I53" s="163" t="s">
        <v>1358</v>
      </c>
      <c r="J53" s="166" t="s">
        <v>1433</v>
      </c>
      <c r="K53" s="166" t="s">
        <v>1436</v>
      </c>
    </row>
    <row r="54" spans="2:13" x14ac:dyDescent="0.2">
      <c r="B54" s="161" t="s">
        <v>1384</v>
      </c>
      <c r="C54" s="82" t="s">
        <v>1327</v>
      </c>
      <c r="D54" s="82" t="s">
        <v>1302</v>
      </c>
      <c r="E54" s="82" t="s">
        <v>1328</v>
      </c>
      <c r="F54" s="82" t="s">
        <v>1331</v>
      </c>
      <c r="G54" s="164" t="s">
        <v>1296</v>
      </c>
      <c r="H54" s="162" t="s">
        <v>1330</v>
      </c>
      <c r="I54" s="164" t="s">
        <v>1296</v>
      </c>
      <c r="J54" s="162" t="s">
        <v>1330</v>
      </c>
      <c r="K54" s="162"/>
    </row>
    <row r="55" spans="2:13" x14ac:dyDescent="0.2">
      <c r="B55" s="145" t="s">
        <v>31</v>
      </c>
      <c r="C55" s="87">
        <f>INDEX(BS_NG!$C$3:$AM$227, MATCH('Segment Report (2)'!$B55, BS_NG!$C$3:$C$227, 0), MATCH('Segment Report (2)'!$C$53, BS_NG!$C$3:$AM$3, 0))</f>
        <v>2458659337.4700003</v>
      </c>
      <c r="D55" s="87">
        <f>INDEX(BS_UK!$C$3:$AM$217, MATCH('Segment Report (2)'!$B55, BS_UK!$C$3:$C$217, 0), MATCH('Segment Report (2)'!$C$53, BS_UK!$C$3:$AM$3, 0))</f>
        <v>94536934.855999991</v>
      </c>
      <c r="E55" s="87">
        <f>INDEX(BS_UAE!$C$3:$AM$216, MATCH('Segment Report (2)'!$B55, BS_UAE!$C$3:$C$216, 0), MATCH('Segment Report (2)'!$C$53, BS_UAE!$C$3:$AM$3, 0))</f>
        <v>90142102.582320005</v>
      </c>
      <c r="F55" s="90">
        <f t="shared" ref="F55:F71" si="12">SUM(C55:E55)</f>
        <v>2643338374.9083204</v>
      </c>
      <c r="G55" s="87">
        <f>G91+D55+E55</f>
        <v>2523551566.3278198</v>
      </c>
      <c r="H55" s="142">
        <f t="shared" ref="H55:H70" si="13">F55-G55</f>
        <v>119786808.5805006</v>
      </c>
      <c r="I55" s="87">
        <f t="shared" ref="I55:J71" si="14">G55/C_RATE</f>
        <v>1835911.07368071</v>
      </c>
      <c r="J55" s="87">
        <f t="shared" si="14"/>
        <v>87146.19954203238</v>
      </c>
      <c r="K55" s="87">
        <f>I55+J55</f>
        <v>1923057.2732227424</v>
      </c>
      <c r="M55" s="40">
        <f>F55-G55-H55</f>
        <v>0</v>
      </c>
    </row>
    <row r="56" spans="2:13" x14ac:dyDescent="0.2">
      <c r="B56" s="145" t="s">
        <v>32</v>
      </c>
      <c r="C56" s="87">
        <f>INDEX(BS_NG!$C$3:$AM$227, MATCH('Segment Report (2)'!$B56, BS_NG!$C$3:$C$227, 0), MATCH('Segment Report (2)'!$C$53, BS_NG!$C$3:$AM$3, 0))</f>
        <v>573307915.97000003</v>
      </c>
      <c r="D56" s="87">
        <f>INDEX(BS_UK!$C$3:$AM$217, MATCH('Segment Report (2)'!$B56, BS_UK!$C$3:$C$217, 0), MATCH('Segment Report (2)'!$C$53, BS_UK!$C$3:$AM$3, 0))</f>
        <v>20914026.379999999</v>
      </c>
      <c r="E56" s="87">
        <f>INDEX(BS_UAE!$C$3:$AM$216, MATCH('Segment Report (2)'!$B56, BS_UAE!$C$3:$C$216, 0), MATCH('Segment Report (2)'!$C$53, BS_UAE!$C$3:$AM$3, 0))</f>
        <v>0</v>
      </c>
      <c r="F56" s="90">
        <f t="shared" si="12"/>
        <v>594221942.35000002</v>
      </c>
      <c r="G56" s="87">
        <v>0</v>
      </c>
      <c r="H56" s="142">
        <f t="shared" si="13"/>
        <v>594221942.35000002</v>
      </c>
      <c r="I56" s="87">
        <f t="shared" si="14"/>
        <v>0</v>
      </c>
      <c r="J56" s="87">
        <f t="shared" si="14"/>
        <v>432302.8935651668</v>
      </c>
      <c r="K56" s="87">
        <f t="shared" ref="K56:K71" si="15">I56+J56</f>
        <v>432302.8935651668</v>
      </c>
      <c r="M56" s="40">
        <f t="shared" ref="M56:M72" si="16">F56-G56-H56</f>
        <v>0</v>
      </c>
    </row>
    <row r="57" spans="2:13" x14ac:dyDescent="0.2">
      <c r="B57" s="145" t="s">
        <v>34</v>
      </c>
      <c r="C57" s="87">
        <f>INDEX(BS_NG!$C$3:$AM$227, MATCH('Segment Report (2)'!$B57, BS_NG!$C$3:$C$227, 0), MATCH('Segment Report (2)'!$C$53, BS_NG!$C$3:$AM$3, 0))</f>
        <v>45773937.899999999</v>
      </c>
      <c r="D57" s="87">
        <f>INDEX(BS_UK!$C$3:$AM$217, MATCH('Segment Report (2)'!$B57, BS_UK!$C$3:$C$217, 0), MATCH('Segment Report (2)'!$C$53, BS_UK!$C$3:$AM$3, 0))</f>
        <v>3465642.1669999999</v>
      </c>
      <c r="E57" s="87">
        <f>INDEX(BS_UAE!$C$3:$AM$216, MATCH('Segment Report (2)'!$B57, BS_UAE!$C$3:$C$216, 0), MATCH('Segment Report (2)'!$C$53, BS_UAE!$C$3:$AM$3, 0))</f>
        <v>0</v>
      </c>
      <c r="F57" s="90">
        <f t="shared" si="12"/>
        <v>49239580.067000002</v>
      </c>
      <c r="G57" s="87">
        <v>0</v>
      </c>
      <c r="H57" s="142">
        <f t="shared" si="13"/>
        <v>49239580.067000002</v>
      </c>
      <c r="I57" s="87">
        <f t="shared" si="14"/>
        <v>0</v>
      </c>
      <c r="J57" s="87">
        <f t="shared" si="14"/>
        <v>35822.327355861918</v>
      </c>
      <c r="K57" s="87">
        <f t="shared" si="15"/>
        <v>35822.327355861918</v>
      </c>
      <c r="M57" s="40">
        <f t="shared" si="16"/>
        <v>0</v>
      </c>
    </row>
    <row r="58" spans="2:13" x14ac:dyDescent="0.2">
      <c r="B58" s="145" t="s">
        <v>36</v>
      </c>
      <c r="C58" s="87">
        <f>INDEX(BS_NG!$C$3:$AM$227, MATCH('Segment Report (2)'!$B58, BS_NG!$C$3:$C$227, 0), MATCH('Segment Report (2)'!$C$53, BS_NG!$C$3:$AM$3, 0))</f>
        <v>218955544.52999997</v>
      </c>
      <c r="D58" s="87">
        <f>INDEX(BS_UK!$C$3:$AM$217, MATCH('Segment Report (2)'!$B58, BS_UK!$C$3:$C$217, 0), MATCH('Segment Report (2)'!$C$53, BS_UK!$C$3:$AM$3, 0))</f>
        <v>798435.03999999992</v>
      </c>
      <c r="E58" s="87">
        <f>INDEX(BS_UAE!$C$3:$AM$216, MATCH('Segment Report (2)'!$B58, BS_UAE!$C$3:$C$216, 0), MATCH('Segment Report (2)'!$C$53, BS_UAE!$C$3:$AM$3, 0))</f>
        <v>7850695.6933199996</v>
      </c>
      <c r="F58" s="90">
        <f t="shared" si="12"/>
        <v>227604675.26331997</v>
      </c>
      <c r="G58" s="87">
        <v>0</v>
      </c>
      <c r="H58" s="142">
        <f t="shared" si="13"/>
        <v>227604675.26331997</v>
      </c>
      <c r="I58" s="87">
        <f t="shared" si="14"/>
        <v>0</v>
      </c>
      <c r="J58" s="87">
        <f t="shared" si="14"/>
        <v>165584.86432892218</v>
      </c>
      <c r="K58" s="87">
        <f t="shared" si="15"/>
        <v>165584.86432892218</v>
      </c>
      <c r="M58" s="40">
        <f t="shared" si="16"/>
        <v>0</v>
      </c>
    </row>
    <row r="59" spans="2:13" x14ac:dyDescent="0.2">
      <c r="B59" s="145" t="s">
        <v>38</v>
      </c>
      <c r="C59" s="87">
        <f>INDEX(BS_NG!$C$3:$AM$227, MATCH('Segment Report (2)'!$B59, BS_NG!$C$3:$C$227, 0), MATCH('Segment Report (2)'!$C$53, BS_NG!$C$3:$AM$3, 0))</f>
        <v>7688792.6900000004</v>
      </c>
      <c r="D59" s="87">
        <f>INDEX(BS_UK!$C$3:$AM$217, MATCH('Segment Report (2)'!$B59, BS_UK!$C$3:$C$217, 0), MATCH('Segment Report (2)'!$C$53, BS_UK!$C$3:$AM$3, 0))</f>
        <v>1855100</v>
      </c>
      <c r="E59" s="87">
        <f>INDEX(BS_UAE!$C$3:$AM$216, MATCH('Segment Report (2)'!$B59, BS_UAE!$C$3:$C$216, 0), MATCH('Segment Report (2)'!$C$53, BS_UAE!$C$3:$AM$3, 0))</f>
        <v>0</v>
      </c>
      <c r="F59" s="90">
        <f t="shared" si="12"/>
        <v>9543892.6900000013</v>
      </c>
      <c r="G59" s="87">
        <v>0</v>
      </c>
      <c r="H59" s="142">
        <f t="shared" si="13"/>
        <v>9543892.6900000013</v>
      </c>
      <c r="I59" s="87">
        <f t="shared" si="14"/>
        <v>0</v>
      </c>
      <c r="J59" s="87">
        <f t="shared" si="14"/>
        <v>6943.2852133425495</v>
      </c>
      <c r="K59" s="87">
        <f t="shared" si="15"/>
        <v>6943.2852133425495</v>
      </c>
      <c r="M59" s="40">
        <f t="shared" si="16"/>
        <v>0</v>
      </c>
    </row>
    <row r="60" spans="2:13" x14ac:dyDescent="0.2">
      <c r="B60" s="145" t="s">
        <v>40</v>
      </c>
      <c r="C60" s="87">
        <f>INDEX(BS_NG!$C$3:$AM$227, MATCH('Segment Report (2)'!$B60, BS_NG!$C$3:$C$227, 0), MATCH('Segment Report (2)'!$C$53, BS_NG!$C$3:$AM$3, 0))</f>
        <v>572284631.25</v>
      </c>
      <c r="D60" s="87">
        <f>INDEX(BS_UK!$C$3:$AM$217, MATCH('Segment Report (2)'!$B60, BS_UK!$C$3:$C$217, 0), MATCH('Segment Report (2)'!$C$53, BS_UK!$C$3:$AM$3, 0))</f>
        <v>0</v>
      </c>
      <c r="E60" s="87">
        <f>INDEX(BS_UAE!$C$3:$AM$216, MATCH('Segment Report (2)'!$B60, BS_UAE!$C$3:$C$216, 0), MATCH('Segment Report (2)'!$C$53, BS_UAE!$C$3:$AM$3, 0))</f>
        <v>371299.72296000004</v>
      </c>
      <c r="F60" s="90">
        <f t="shared" si="12"/>
        <v>572655930.97296</v>
      </c>
      <c r="G60" s="87"/>
      <c r="H60" s="142">
        <f t="shared" si="13"/>
        <v>572655930.97296</v>
      </c>
      <c r="I60" s="87">
        <f t="shared" si="14"/>
        <v>0</v>
      </c>
      <c r="J60" s="87">
        <f t="shared" si="14"/>
        <v>416613.38690695865</v>
      </c>
      <c r="K60" s="87">
        <f t="shared" si="15"/>
        <v>416613.38690695865</v>
      </c>
      <c r="M60" s="40">
        <f t="shared" si="16"/>
        <v>0</v>
      </c>
    </row>
    <row r="61" spans="2:13" x14ac:dyDescent="0.2">
      <c r="B61" s="145" t="s">
        <v>42</v>
      </c>
      <c r="C61" s="87">
        <f>INDEX(BS_NG!$C$3:$AM$227, MATCH('Segment Report (2)'!$B61, BS_NG!$C$3:$C$227, 0), MATCH('Segment Report (2)'!$C$53, BS_NG!$C$3:$AM$3, 0))*0</f>
        <v>0</v>
      </c>
      <c r="D61" s="87">
        <f>INDEX(BS_UK!$C$3:$AM$217, MATCH('Segment Report (2)'!$B61, BS_UK!$C$3:$C$217, 0), MATCH('Segment Report (2)'!$C$53, BS_UK!$C$3:$AM$3, 0))</f>
        <v>0</v>
      </c>
      <c r="E61" s="87">
        <f>INDEX(BS_UAE!$C$3:$AM$216, MATCH('Segment Report (2)'!$B61, BS_UAE!$C$3:$C$216, 0), MATCH('Segment Report (2)'!$C$53, BS_UAE!$C$3:$AM$3, 0))</f>
        <v>0</v>
      </c>
      <c r="F61" s="90">
        <f t="shared" si="12"/>
        <v>0</v>
      </c>
      <c r="G61" s="87"/>
      <c r="H61" s="142">
        <f>F61-G61</f>
        <v>0</v>
      </c>
      <c r="I61" s="87">
        <f t="shared" si="14"/>
        <v>0</v>
      </c>
      <c r="J61" s="87">
        <f t="shared" si="14"/>
        <v>0</v>
      </c>
      <c r="K61" s="87">
        <f t="shared" si="15"/>
        <v>0</v>
      </c>
      <c r="M61" s="40">
        <f t="shared" si="16"/>
        <v>0</v>
      </c>
    </row>
    <row r="62" spans="2:13" x14ac:dyDescent="0.2">
      <c r="B62" s="145" t="s">
        <v>45</v>
      </c>
      <c r="C62" s="87">
        <f>INDEX(BS_NG!$C$3:$AM$227, MATCH('Segment Report (2)'!$B62, BS_NG!$C$3:$C$227, 0), MATCH('Segment Report (2)'!$C$53, BS_NG!$C$3:$AM$3, 0))</f>
        <v>334516283.69000018</v>
      </c>
      <c r="D62" s="87">
        <f>INDEX(BS_UK!$C$3:$AM$217, MATCH('Segment Report (2)'!$B62, BS_UK!$C$3:$C$217, 0), MATCH('Segment Report (2)'!$C$53, BS_UK!$C$3:$AM$3, 0))</f>
        <v>3616907.0209999997</v>
      </c>
      <c r="E62" s="87">
        <f>INDEX(BS_UAE!$C$3:$AM$216, MATCH('Segment Report (2)'!$B62, BS_UAE!$C$3:$C$216, 0), MATCH('Segment Report (2)'!$C$53, BS_UAE!$C$3:$AM$3, 0))</f>
        <v>187543.29324000003</v>
      </c>
      <c r="F62" s="90">
        <f t="shared" si="12"/>
        <v>338320734.00424021</v>
      </c>
      <c r="G62" s="87">
        <v>0</v>
      </c>
      <c r="H62" s="142">
        <f t="shared" si="13"/>
        <v>338320734.00424021</v>
      </c>
      <c r="I62" s="87">
        <f t="shared" si="14"/>
        <v>0</v>
      </c>
      <c r="J62" s="87">
        <f t="shared" si="14"/>
        <v>246131.99520151337</v>
      </c>
      <c r="K62" s="87">
        <f t="shared" si="15"/>
        <v>246131.99520151337</v>
      </c>
      <c r="M62" s="40">
        <f t="shared" si="16"/>
        <v>0</v>
      </c>
    </row>
    <row r="63" spans="2:13" x14ac:dyDescent="0.2">
      <c r="B63" s="145" t="s">
        <v>47</v>
      </c>
      <c r="C63" s="87">
        <f>INDEX(BS_NG!$C$3:$AM$227, MATCH('Segment Report (2)'!$B63, BS_NG!$C$3:$C$227, 0), MATCH('Segment Report (2)'!$C$53, BS_NG!$C$3:$AM$3, 0))</f>
        <v>2425515971.3800001</v>
      </c>
      <c r="D63" s="87">
        <f>INDEX(BS_UK!$C$3:$AM$217, MATCH('Segment Report (2)'!$B63, BS_UK!$C$3:$C$217, 0), MATCH('Segment Report (2)'!$C$53, BS_UK!$C$3:$AM$3, 0))</f>
        <v>0</v>
      </c>
      <c r="E63" s="87">
        <f>INDEX(BS_UAE!$C$3:$AM$216, MATCH('Segment Report (2)'!$B63, BS_UAE!$C$3:$C$216, 0), MATCH('Segment Report (2)'!$C$53, BS_UAE!$C$3:$AM$3, 0))</f>
        <v>0</v>
      </c>
      <c r="F63" s="90">
        <f t="shared" si="12"/>
        <v>2425515971.3800001</v>
      </c>
      <c r="G63" s="87">
        <f>G95</f>
        <v>1305043294.6800001</v>
      </c>
      <c r="H63" s="142">
        <f t="shared" si="13"/>
        <v>1120472676.7</v>
      </c>
      <c r="I63" s="87">
        <f t="shared" si="14"/>
        <v>949433.11969735555</v>
      </c>
      <c r="J63" s="87">
        <f t="shared" si="14"/>
        <v>815155.99774471647</v>
      </c>
      <c r="K63" s="87">
        <f t="shared" si="15"/>
        <v>1764589.1174420719</v>
      </c>
      <c r="M63" s="40">
        <f t="shared" si="16"/>
        <v>0</v>
      </c>
    </row>
    <row r="64" spans="2:13" x14ac:dyDescent="0.2">
      <c r="B64" s="145" t="s">
        <v>49</v>
      </c>
      <c r="C64" s="87">
        <f>INDEX(BS_NG!$C$3:$AM$227, MATCH('Segment Report (2)'!$B64, BS_NG!$C$3:$C$227, 0), MATCH('Segment Report (2)'!$C$53, BS_NG!$C$3:$AM$3, 0))</f>
        <v>2738957454.1300001</v>
      </c>
      <c r="D64" s="87">
        <f>INDEX(BS_UK!$C$3:$AM$217, MATCH('Segment Report (2)'!$B64, BS_UK!$C$3:$C$217, 0), MATCH('Segment Report (2)'!$C$53, BS_UK!$C$3:$AM$3, 0))</f>
        <v>0</v>
      </c>
      <c r="E64" s="87">
        <f>INDEX(BS_UAE!$C$3:$AM$216, MATCH('Segment Report (2)'!$B64, BS_UAE!$C$3:$C$216, 0), MATCH('Segment Report (2)'!$C$53, BS_UAE!$C$3:$AM$3, 0))</f>
        <v>0</v>
      </c>
      <c r="F64" s="90">
        <f t="shared" si="12"/>
        <v>2738957454.1300001</v>
      </c>
      <c r="G64" s="87"/>
      <c r="H64" s="142">
        <f>F64-G64-H76</f>
        <v>375007033.68000031</v>
      </c>
      <c r="I64" s="87">
        <f t="shared" si="14"/>
        <v>0</v>
      </c>
      <c r="J64" s="87">
        <f t="shared" si="14"/>
        <v>272821.67522461922</v>
      </c>
      <c r="K64" s="87">
        <f t="shared" si="15"/>
        <v>272821.67522461922</v>
      </c>
      <c r="M64" s="40">
        <f t="shared" si="16"/>
        <v>2363950420.4499998</v>
      </c>
    </row>
    <row r="65" spans="2:13" x14ac:dyDescent="0.2">
      <c r="B65" s="145" t="s">
        <v>53</v>
      </c>
      <c r="C65" s="87">
        <f>INDEX(BS_NG!$C$3:$AM$227, MATCH('Segment Report (2)'!$B65, BS_NG!$C$3:$C$227, 0), MATCH('Segment Report (2)'!$C$53, BS_NG!$C$3:$AM$3, 0))</f>
        <v>21499460.77</v>
      </c>
      <c r="D65" s="87">
        <f>INDEX(BS_UK!$C$3:$AM$217, MATCH('Segment Report (2)'!$B65, BS_UK!$C$3:$C$217, 0), MATCH('Segment Report (2)'!$C$53, BS_UK!$C$3:$AM$3, 0))</f>
        <v>0</v>
      </c>
      <c r="E65" s="87">
        <f>INDEX(BS_UAE!$C$3:$AM$216, MATCH('Segment Report (2)'!$B65, BS_UAE!$C$3:$C$216, 0), MATCH('Segment Report (2)'!$C$53, BS_UAE!$C$3:$AM$3, 0))</f>
        <v>0</v>
      </c>
      <c r="F65" s="90">
        <f t="shared" si="12"/>
        <v>21499460.77</v>
      </c>
      <c r="G65" s="87"/>
      <c r="H65" s="142">
        <f t="shared" si="13"/>
        <v>21499460.77</v>
      </c>
      <c r="I65" s="87">
        <f t="shared" si="14"/>
        <v>0</v>
      </c>
      <c r="J65" s="87">
        <f t="shared" si="14"/>
        <v>15641.090371394275</v>
      </c>
      <c r="K65" s="87">
        <f t="shared" si="15"/>
        <v>15641.090371394275</v>
      </c>
      <c r="M65" s="40">
        <f t="shared" si="16"/>
        <v>0</v>
      </c>
    </row>
    <row r="66" spans="2:13" x14ac:dyDescent="0.2">
      <c r="B66" s="145" t="s">
        <v>54</v>
      </c>
      <c r="C66" s="87">
        <f>INDEX(BS_NG!$C$3:$AM$227, MATCH('Segment Report (2)'!$B66, BS_NG!$C$3:$C$227, 0), MATCH('Segment Report (2)'!$C$53, BS_NG!$C$3:$AM$3, 0))</f>
        <v>348729568.84000003</v>
      </c>
      <c r="D66" s="87">
        <f>INDEX(BS_UK!$C$3:$AM$217, MATCH('Segment Report (2)'!$B66, BS_UK!$C$3:$C$217, 0), MATCH('Segment Report (2)'!$C$53, BS_UK!$C$3:$AM$3, 0))</f>
        <v>0</v>
      </c>
      <c r="E66" s="87">
        <f>INDEX(BS_UAE!$C$3:$AM$216, MATCH('Segment Report (2)'!$B66, BS_UAE!$C$3:$C$216, 0), MATCH('Segment Report (2)'!$C$53, BS_UAE!$C$3:$AM$3, 0))</f>
        <v>0</v>
      </c>
      <c r="F66" s="90">
        <f t="shared" si="12"/>
        <v>348729568.84000003</v>
      </c>
      <c r="G66" s="87"/>
      <c r="H66" s="142">
        <f t="shared" si="13"/>
        <v>348729568.84000003</v>
      </c>
      <c r="I66" s="87">
        <f t="shared" si="14"/>
        <v>0</v>
      </c>
      <c r="J66" s="87">
        <f t="shared" si="14"/>
        <v>253704.53518606094</v>
      </c>
      <c r="K66" s="87">
        <f t="shared" si="15"/>
        <v>253704.53518606094</v>
      </c>
      <c r="M66" s="40">
        <f t="shared" si="16"/>
        <v>0</v>
      </c>
    </row>
    <row r="67" spans="2:13" x14ac:dyDescent="0.2">
      <c r="B67" s="145" t="s">
        <v>55</v>
      </c>
      <c r="C67" s="87">
        <f>INDEX(BS_NG!$C$3:$AM$227, MATCH('Segment Report (2)'!$B67, BS_NG!$C$3:$C$227, 0), MATCH('Segment Report (2)'!$C$53, BS_NG!$C$3:$AM$3, 0))</f>
        <v>79280689.140000001</v>
      </c>
      <c r="D67" s="87">
        <f>INDEX(BS_UK!$C$3:$AM$217, MATCH('Segment Report (2)'!$B67, BS_UK!$C$3:$C$217, 0), MATCH('Segment Report (2)'!$C$53, BS_UK!$C$3:$AM$3, 0))</f>
        <v>9120005.5180000011</v>
      </c>
      <c r="E67" s="87">
        <f>INDEX(BS_UAE!$C$3:$AM$216, MATCH('Segment Report (2)'!$B67, BS_UAE!$C$3:$C$216, 0), MATCH('Segment Report (2)'!$C$53, BS_UAE!$C$3:$AM$3, 0))</f>
        <v>0</v>
      </c>
      <c r="F67" s="90">
        <f t="shared" si="12"/>
        <v>88400694.658000007</v>
      </c>
      <c r="G67" s="87"/>
      <c r="H67" s="142">
        <f t="shared" si="13"/>
        <v>88400694.658000007</v>
      </c>
      <c r="I67" s="87">
        <f t="shared" si="14"/>
        <v>0</v>
      </c>
      <c r="J67" s="87">
        <f t="shared" si="14"/>
        <v>64312.462011567426</v>
      </c>
      <c r="K67" s="87">
        <f t="shared" si="15"/>
        <v>64312.462011567426</v>
      </c>
      <c r="M67" s="40">
        <f t="shared" si="16"/>
        <v>0</v>
      </c>
    </row>
    <row r="68" spans="2:13" x14ac:dyDescent="0.2">
      <c r="B68" s="145" t="s">
        <v>753</v>
      </c>
      <c r="C68" s="87">
        <f>INDEX(BS_NG!$C$3:$AM$227, MATCH('Segment Report (2)'!$B68, BS_NG!$C$3:$C$227, 0), MATCH('Segment Report (2)'!$C$53, BS_NG!$C$3:$AM$3, 0))</f>
        <v>0</v>
      </c>
      <c r="D68" s="87">
        <f>INDEX(BS_UK!$C$3:$AM$217, MATCH('Segment Report (2)'!$B68, BS_UK!$C$3:$C$217, 0), MATCH('Segment Report (2)'!$C$53, BS_UK!$C$3:$AM$3, 0))*0</f>
        <v>0</v>
      </c>
      <c r="E68" s="87">
        <f>INDEX(BS_UAE!$C$3:$AM$216, MATCH('Segment Report (2)'!$B68, BS_UAE!$C$3:$C$216, 0), MATCH('Segment Report (2)'!$C$53, BS_UAE!$C$3:$AM$3, 0))*0</f>
        <v>0</v>
      </c>
      <c r="F68" s="90">
        <f t="shared" si="12"/>
        <v>0</v>
      </c>
      <c r="G68" s="87"/>
      <c r="H68" s="142">
        <f>F68-G68</f>
        <v>0</v>
      </c>
      <c r="I68" s="87">
        <f t="shared" si="14"/>
        <v>0</v>
      </c>
      <c r="J68" s="87">
        <f t="shared" si="14"/>
        <v>0</v>
      </c>
      <c r="K68" s="87">
        <f t="shared" si="15"/>
        <v>0</v>
      </c>
      <c r="M68" s="40"/>
    </row>
    <row r="69" spans="2:13" x14ac:dyDescent="0.2">
      <c r="B69" s="145" t="s">
        <v>57</v>
      </c>
      <c r="C69" s="87">
        <f>INDEX(BS_NG!$C$3:$AM$227, MATCH('Segment Report (2)'!$B69, BS_NG!$C$3:$C$227, 0), MATCH('Segment Report (2)'!$C$53, BS_NG!$C$3:$AM$3, 0))</f>
        <v>1029069708.7499999</v>
      </c>
      <c r="D69" s="87">
        <f>INDEX(BS_UK!$C$3:$AM$217, MATCH('Segment Report (2)'!$B69, BS_UK!$C$3:$C$217, 0), MATCH('Segment Report (2)'!$C$53, BS_UK!$C$3:$AM$3, 0))</f>
        <v>114952829.78399998</v>
      </c>
      <c r="E69" s="87">
        <f>INDEX(BS_UAE!$C$3:$AM$216, MATCH('Segment Report (2)'!$B69, BS_UAE!$C$3:$C$216, 0), MATCH('Segment Report (2)'!$C$53, BS_UAE!$C$3:$AM$3, 0))</f>
        <v>952328.82000000007</v>
      </c>
      <c r="F69" s="90">
        <f t="shared" si="12"/>
        <v>1144974867.3539999</v>
      </c>
      <c r="G69" s="87">
        <f>C89</f>
        <v>12466010.868000001</v>
      </c>
      <c r="H69" s="142">
        <f>F69-G69+H77</f>
        <v>1493263014.9438016</v>
      </c>
      <c r="I69" s="87">
        <f t="shared" si="14"/>
        <v>9069.1578101924279</v>
      </c>
      <c r="J69" s="87">
        <f t="shared" si="14"/>
        <v>1086365.003051036</v>
      </c>
      <c r="K69" s="87">
        <f t="shared" si="15"/>
        <v>1095434.1608612284</v>
      </c>
      <c r="M69" s="40">
        <f t="shared" si="16"/>
        <v>-360754158.45780182</v>
      </c>
    </row>
    <row r="70" spans="2:13" x14ac:dyDescent="0.2">
      <c r="B70" s="145" t="s">
        <v>61</v>
      </c>
      <c r="C70" s="87">
        <f>INDEX(BS_NG!$C$3:$AM$227, MATCH('Segment Report (2)'!$B70, BS_NG!$C$3:$C$227, 0), MATCH('Segment Report (2)'!$C$53, BS_NG!$C$3:$AM$3, 0))</f>
        <v>6706041209.3599997</v>
      </c>
      <c r="D70" s="87">
        <f>INDEX(BS_UK!$C$3:$AM$217, MATCH('Segment Report (2)'!$B70, BS_UK!$C$3:$C$217, 0), MATCH('Segment Report (2)'!$C$53, BS_UK!$C$3:$AM$3, 0))*0</f>
        <v>0</v>
      </c>
      <c r="E70" s="87">
        <f>INDEX(BS_UAE!$C$3:$AM$216, MATCH('Segment Report (2)'!$B70, BS_UAE!$C$3:$C$216, 0), MATCH('Segment Report (2)'!$C$53, BS_UAE!$C$3:$AM$3, 0))*0</f>
        <v>0</v>
      </c>
      <c r="F70" s="90">
        <f t="shared" si="12"/>
        <v>6706041209.3599997</v>
      </c>
      <c r="G70" s="87">
        <v>6489017168</v>
      </c>
      <c r="H70" s="142">
        <f t="shared" si="13"/>
        <v>217024041.35999966</v>
      </c>
      <c r="I70" s="87">
        <f t="shared" si="14"/>
        <v>4720830.2120694043</v>
      </c>
      <c r="J70" s="87">
        <f t="shared" si="14"/>
        <v>157887.33866356238</v>
      </c>
      <c r="K70" s="87">
        <f t="shared" si="15"/>
        <v>4878717.5507329665</v>
      </c>
      <c r="M70" s="40">
        <f t="shared" si="16"/>
        <v>0</v>
      </c>
    </row>
    <row r="71" spans="2:13" x14ac:dyDescent="0.2">
      <c r="B71" s="146" t="s">
        <v>62</v>
      </c>
      <c r="C71" s="143">
        <f>INDEX(BS_NG!$C$3:$AM$227, MATCH('Segment Report (2)'!$B71, BS_NG!$C$3:$C$227, 0), MATCH('Segment Report (2)'!$C$53, BS_NG!$C$3:$AM$3, 0))</f>
        <v>101133388.76000166</v>
      </c>
      <c r="D71" s="143">
        <f>INDEX(BS_UK!$C$3:$AM$217, MATCH('Segment Report (2)'!$B71, BS_UK!$C$3:$C$217, 0), MATCH('Segment Report (2)'!$C$53, BS_UK!$C$3:$AM$3, 0))</f>
        <v>-1962046329.4899998</v>
      </c>
      <c r="E71" s="143">
        <f>INDEX(BS_UAE!$C$3:$AM$216, MATCH('Segment Report (2)'!$B71, BS_UAE!$C$3:$C$216, 0), MATCH('Segment Report (2)'!$C$53, BS_UAE!$C$3:$AM$3, 0))</f>
        <v>-525557043.41124004</v>
      </c>
      <c r="F71" s="124">
        <f t="shared" si="12"/>
        <v>-2386469984.1412382</v>
      </c>
      <c r="G71" s="143">
        <v>-2546088456.5206995</v>
      </c>
      <c r="H71" s="142">
        <f>F71-G71</f>
        <v>159618472.37946129</v>
      </c>
      <c r="I71" s="87">
        <f t="shared" si="14"/>
        <v>-1852306.9051840235</v>
      </c>
      <c r="J71" s="87">
        <f t="shared" si="14"/>
        <v>116124.16600302739</v>
      </c>
      <c r="K71" s="87">
        <f t="shared" si="15"/>
        <v>-1736182.7391809961</v>
      </c>
      <c r="M71" s="40">
        <f>F71-G71-H71</f>
        <v>0</v>
      </c>
    </row>
    <row r="72" spans="2:13" x14ac:dyDescent="0.2">
      <c r="F72" s="45"/>
      <c r="G72" s="45"/>
      <c r="H72" s="45"/>
      <c r="I72" s="45"/>
      <c r="J72" s="45"/>
      <c r="M72" s="40">
        <f t="shared" si="16"/>
        <v>0</v>
      </c>
    </row>
    <row r="73" spans="2:13" x14ac:dyDescent="0.2">
      <c r="C73" s="45">
        <f t="shared" ref="C73:J73" si="17">SUM(C55:C64)-SUM(C65:C71)</f>
        <v>1089905843.3900013</v>
      </c>
      <c r="D73" s="45">
        <f t="shared" si="17"/>
        <v>1963160539.6519997</v>
      </c>
      <c r="E73" s="45">
        <f t="shared" si="17"/>
        <v>623156355.88308001</v>
      </c>
      <c r="F73" s="45">
        <f t="shared" si="17"/>
        <v>3676222738.9250793</v>
      </c>
      <c r="G73" s="45">
        <f t="shared" si="17"/>
        <v>-126799861.3394804</v>
      </c>
      <c r="H73" s="45">
        <f t="shared" si="17"/>
        <v>1078318021.3567591</v>
      </c>
      <c r="I73" s="45">
        <f t="shared" si="17"/>
        <v>-92248.271317507606</v>
      </c>
      <c r="J73" s="45">
        <f t="shared" si="17"/>
        <v>784488.02979648509</v>
      </c>
    </row>
    <row r="75" spans="2:13" x14ac:dyDescent="0.2">
      <c r="F75">
        <v>1139053759.4329433</v>
      </c>
    </row>
    <row r="76" spans="2:13" x14ac:dyDescent="0.2">
      <c r="G76" s="40">
        <f>G63-(Summary!AA15*C_RATE)</f>
        <v>3580940249.7153988</v>
      </c>
      <c r="H76">
        <f>BS_NG!X149+BS_NG!X150</f>
        <v>2363950420.4499998</v>
      </c>
    </row>
    <row r="77" spans="2:13" x14ac:dyDescent="0.2">
      <c r="H77">
        <v>360754158.45780182</v>
      </c>
    </row>
    <row r="81" spans="2:7" x14ac:dyDescent="0.2">
      <c r="B81" s="190" t="s">
        <v>1385</v>
      </c>
      <c r="D81" s="190" t="s">
        <v>1386</v>
      </c>
      <c r="G81" s="80" t="s">
        <v>1464</v>
      </c>
    </row>
    <row r="82" spans="2:7" x14ac:dyDescent="0.2">
      <c r="B82" t="s">
        <v>792</v>
      </c>
      <c r="C82" s="50">
        <f>936*Summary!N3</f>
        <v>1286578.8</v>
      </c>
      <c r="D82" t="s">
        <v>273</v>
      </c>
      <c r="F82" t="s">
        <v>1465</v>
      </c>
      <c r="G82" s="39">
        <v>67758690.920000002</v>
      </c>
    </row>
    <row r="83" spans="2:7" x14ac:dyDescent="0.2">
      <c r="B83" t="s">
        <v>1387</v>
      </c>
      <c r="C83" s="50"/>
      <c r="D83" t="s">
        <v>1388</v>
      </c>
      <c r="F83" t="s">
        <v>1466</v>
      </c>
      <c r="G83" s="39">
        <v>38313388.140000001</v>
      </c>
    </row>
    <row r="84" spans="2:7" x14ac:dyDescent="0.2">
      <c r="B84" t="s">
        <v>1389</v>
      </c>
      <c r="C84" s="191">
        <v>0</v>
      </c>
      <c r="D84" t="s">
        <v>1390</v>
      </c>
      <c r="G84" s="39">
        <f>G82+G83</f>
        <v>106072079.06</v>
      </c>
    </row>
    <row r="85" spans="2:7" x14ac:dyDescent="0.2">
      <c r="B85" s="192" t="s">
        <v>283</v>
      </c>
      <c r="C85" s="50">
        <v>0</v>
      </c>
      <c r="D85" t="s">
        <v>276</v>
      </c>
      <c r="F85" t="s">
        <v>1286</v>
      </c>
      <c r="G85" s="274">
        <f>G84/C_RATE</f>
        <v>77168.585398857816</v>
      </c>
    </row>
    <row r="86" spans="2:7" x14ac:dyDescent="0.2">
      <c r="B86" t="s">
        <v>284</v>
      </c>
      <c r="C86" s="50">
        <f>32201965.39*$G$2</f>
        <v>6440393.0780000007</v>
      </c>
      <c r="D86" t="s">
        <v>1391</v>
      </c>
      <c r="F86" t="s">
        <v>1467</v>
      </c>
      <c r="G86" s="274">
        <v>783141.68</v>
      </c>
    </row>
    <row r="87" spans="2:7" x14ac:dyDescent="0.2">
      <c r="B87" t="s">
        <v>285</v>
      </c>
      <c r="C87" s="50">
        <f>23695194.95*$G$2</f>
        <v>4739038.99</v>
      </c>
      <c r="D87" t="s">
        <v>791</v>
      </c>
      <c r="E87" s="39">
        <v>32201965.390000001</v>
      </c>
      <c r="F87" s="39" t="s">
        <v>1468</v>
      </c>
      <c r="G87" s="274">
        <v>682.18</v>
      </c>
    </row>
    <row r="88" spans="2:7" x14ac:dyDescent="0.2">
      <c r="B88" t="s">
        <v>1392</v>
      </c>
      <c r="F88" t="s">
        <v>1469</v>
      </c>
      <c r="G88" s="274">
        <v>315566.81</v>
      </c>
    </row>
    <row r="89" spans="2:7" x14ac:dyDescent="0.2">
      <c r="B89"/>
      <c r="C89" s="45">
        <f>SUM(C82:C88)</f>
        <v>12466010.868000001</v>
      </c>
      <c r="F89" t="s">
        <v>1470</v>
      </c>
      <c r="G89" s="272">
        <v>524995.81999999995</v>
      </c>
    </row>
    <row r="90" spans="2:7" x14ac:dyDescent="0.2">
      <c r="B90"/>
      <c r="G90" s="273">
        <f>SUM(G85:G89)</f>
        <v>1701555.0753988577</v>
      </c>
    </row>
    <row r="91" spans="2:7" x14ac:dyDescent="0.2">
      <c r="G91" s="39">
        <f>G90*C_RATE</f>
        <v>2338872528.8894997</v>
      </c>
    </row>
    <row r="94" spans="2:7" x14ac:dyDescent="0.2">
      <c r="G94" t="s">
        <v>1471</v>
      </c>
    </row>
    <row r="95" spans="2:7" x14ac:dyDescent="0.2">
      <c r="G95" s="50">
        <v>1305043294.6800001</v>
      </c>
    </row>
    <row r="96" spans="2:7" x14ac:dyDescent="0.2">
      <c r="G96" s="50">
        <f>G95/C_RATE</f>
        <v>949433.11969735555</v>
      </c>
    </row>
  </sheetData>
  <mergeCells count="2">
    <mergeCell ref="H3:L3"/>
    <mergeCell ref="P3:T3"/>
  </mergeCell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95909-2D21-483B-AF23-E28C67C06C6B}">
  <sheetPr codeName="Sheet8"/>
  <dimension ref="C1:AC37"/>
  <sheetViews>
    <sheetView showGridLines="0" zoomScale="140" zoomScaleNormal="140" workbookViewId="0">
      <pane xSplit="3" ySplit="1" topLeftCell="K2" activePane="bottomRight" state="frozen"/>
      <selection pane="topRight" activeCell="D1" sqref="D1"/>
      <selection pane="bottomLeft" activeCell="A2" sqref="A2"/>
      <selection pane="bottomRight" activeCell="P19" sqref="P19:S19"/>
    </sheetView>
  </sheetViews>
  <sheetFormatPr baseColWidth="10" defaultColWidth="8.83203125" defaultRowHeight="15" x14ac:dyDescent="0.2"/>
  <cols>
    <col min="3" max="3" width="33.83203125" bestFit="1" customWidth="1"/>
    <col min="4" max="5" width="10.5" bestFit="1" customWidth="1"/>
    <col min="6" max="6" width="11.1640625" bestFit="1" customWidth="1"/>
    <col min="7" max="7" width="12.1640625" bestFit="1" customWidth="1"/>
    <col min="8" max="8" width="10.83203125" bestFit="1" customWidth="1"/>
    <col min="9" max="9" width="11.5" bestFit="1" customWidth="1"/>
    <col min="10" max="10" width="10.5" bestFit="1" customWidth="1"/>
    <col min="11" max="11" width="10.83203125" bestFit="1" customWidth="1"/>
    <col min="12" max="14" width="11.5" bestFit="1" customWidth="1"/>
    <col min="15" max="19" width="12.1640625" bestFit="1" customWidth="1"/>
    <col min="20" max="20" width="11.1640625" bestFit="1" customWidth="1"/>
    <col min="24" max="24" width="12.6640625" bestFit="1" customWidth="1"/>
    <col min="25" max="25" width="13.1640625" bestFit="1" customWidth="1"/>
    <col min="27" max="28" width="14.6640625" bestFit="1" customWidth="1"/>
  </cols>
  <sheetData>
    <row r="1" spans="3:29" x14ac:dyDescent="0.2">
      <c r="D1" s="2">
        <v>45688</v>
      </c>
      <c r="E1" s="2">
        <f t="shared" ref="E1:S1" si="0">EOMONTH(D1,1)</f>
        <v>45716</v>
      </c>
      <c r="F1" s="2">
        <f t="shared" si="0"/>
        <v>45747</v>
      </c>
      <c r="G1" s="2">
        <f t="shared" si="0"/>
        <v>45777</v>
      </c>
      <c r="H1" s="2">
        <f t="shared" si="0"/>
        <v>45808</v>
      </c>
      <c r="I1" s="2">
        <f t="shared" si="0"/>
        <v>45838</v>
      </c>
      <c r="J1" s="2">
        <f t="shared" si="0"/>
        <v>45869</v>
      </c>
      <c r="K1" s="2">
        <f t="shared" si="0"/>
        <v>45900</v>
      </c>
      <c r="L1" s="2">
        <f t="shared" si="0"/>
        <v>45930</v>
      </c>
      <c r="M1" s="2">
        <f t="shared" si="0"/>
        <v>45961</v>
      </c>
      <c r="N1" s="2">
        <f t="shared" si="0"/>
        <v>45991</v>
      </c>
      <c r="O1" s="2">
        <f t="shared" si="0"/>
        <v>46022</v>
      </c>
      <c r="P1" s="2">
        <f t="shared" si="0"/>
        <v>46053</v>
      </c>
      <c r="Q1" s="2">
        <f t="shared" si="0"/>
        <v>46081</v>
      </c>
      <c r="R1" s="2">
        <f t="shared" si="0"/>
        <v>46112</v>
      </c>
      <c r="S1" s="2">
        <f t="shared" si="0"/>
        <v>46142</v>
      </c>
      <c r="X1" s="402" t="s">
        <v>1704</v>
      </c>
      <c r="Y1" s="402" t="s">
        <v>1711</v>
      </c>
    </row>
    <row r="2" spans="3:29" x14ac:dyDescent="0.2">
      <c r="C2" t="s">
        <v>4</v>
      </c>
      <c r="D2" s="3">
        <f>IF(D$1&lt;=Summary!$C$2,(_xlfn.XLOOKUP($C2,PL_NG!$C:$C,PL_NG!P:P)+_xlfn.XLOOKUP($C2,PL_UK!$C:$C,PL_UK!P:P)+_xlfn.XLOOKUP($C2,PL_UAE!$C:$C,PL_UAE!P:P)),0)</f>
        <v>236526831.72309998</v>
      </c>
      <c r="E2" s="3">
        <f>IF(E$1&lt;=Summary!$C$2,(_xlfn.XLOOKUP($C2,PL_NG!$C:$C,PL_NG!Q:Q)+_xlfn.XLOOKUP($C2,PL_UK!$C:$C,PL_UK!Q:Q)+_xlfn.XLOOKUP($C2,PL_UAE!$C:$C,PL_UAE!Q:Q)),0)</f>
        <v>216400238.41400209</v>
      </c>
      <c r="F2" s="3">
        <f>IF(F$1&lt;=Summary!$C$2,(_xlfn.XLOOKUP($C2,PL_NG!$C:$C,PL_NG!R:R)+_xlfn.XLOOKUP($C2,PL_UK!$C:$C,PL_UK!R:R)+_xlfn.XLOOKUP($C2,PL_UAE!$C:$C,PL_UAE!R:R)),0)</f>
        <v>234139423.252</v>
      </c>
      <c r="G2" s="3">
        <f>IF(G$1&lt;=Summary!$C$2,(_xlfn.XLOOKUP($C2,PL_NG!$C:$C,PL_NG!S:S)+_xlfn.XLOOKUP($C2,PL_UK!$C:$C,PL_UK!S:S)+_xlfn.XLOOKUP($C2,PL_UAE!$C:$C,PL_UAE!S:S)),0)</f>
        <v>244541406.36880001</v>
      </c>
      <c r="H2" s="3">
        <f>IF(H$1&lt;=Summary!$C$2,(_xlfn.XLOOKUP($C2,PL_NG!$C:$C,PL_NG!T:T)+_xlfn.XLOOKUP($C2,PL_UK!$C:$C,PL_UK!T:T)+_xlfn.XLOOKUP($C2,PL_UAE!$C:$C,PL_UAE!T:T)),0)</f>
        <v>176826740.79700002</v>
      </c>
      <c r="I2" s="3">
        <f>IF(I$1&lt;=Summary!$C$2,(_xlfn.XLOOKUP($C2,PL_NG!$C:$C,PL_NG!U:U)+_xlfn.XLOOKUP($C2,PL_UK!$C:$C,PL_UK!U:U)+_xlfn.XLOOKUP($C2,PL_UAE!$C:$C,PL_UAE!U:U)),0)</f>
        <v>120193718.29370001</v>
      </c>
      <c r="J2" s="3">
        <f>IF(J$1&lt;=Summary!$C$2,(_xlfn.XLOOKUP($C2,PL_NG!$C:$C,PL_NG!V:V)+_xlfn.XLOOKUP($C2,PL_UK!$C:$C,PL_UK!V:V)+_xlfn.XLOOKUP($C2,PL_UAE!$C:$C,PL_UAE!V:V)),0)</f>
        <v>212140768.91240001</v>
      </c>
      <c r="K2" s="3">
        <f>IF(K$1&lt;=Summary!$C$2,(_xlfn.XLOOKUP($C2,PL_NG!$C:$C,PL_NG!W:W)+_xlfn.XLOOKUP($C2,PL_UK!$C:$C,PL_UK!W:W)+_xlfn.XLOOKUP($C2,PL_UAE!$C:$C,PL_UAE!W:W)),0)</f>
        <v>194501100.77669999</v>
      </c>
      <c r="L2" s="3">
        <f>IF(L$1&lt;=Summary!$C$2,(_xlfn.XLOOKUP($C2,PL_NG!$C:$C,PL_NG!X:X)+_xlfn.XLOOKUP($C2,PL_UK!$C:$C,PL_UK!X:X)+_xlfn.XLOOKUP($C2,PL_UAE!$C:$C,PL_UAE!X:X)),0)</f>
        <v>407253602.74650002</v>
      </c>
      <c r="M2" s="3">
        <f>IF(M$1&lt;=Summary!$C$2,(_xlfn.XLOOKUP($C2,PL_NG!$C:$C,PL_NG!Y:Y)+_xlfn.XLOOKUP($C2,PL_UK!$C:$C,PL_UK!Y:Y)+_xlfn.XLOOKUP($C2,PL_UAE!$C:$C,PL_UAE!Y:Y)),0)</f>
        <v>744361804.21099997</v>
      </c>
      <c r="N2" s="3">
        <f>IF(N$1&lt;=Summary!$C$2,(_xlfn.XLOOKUP($C2,PL_NG!$C:$C,PL_NG!Z:Z)+_xlfn.XLOOKUP($C2,PL_UK!$C:$C,PL_UK!Z:Z)+_xlfn.XLOOKUP($C2,PL_UAE!$C:$C,PL_UAE!Z:Z)),0)</f>
        <v>324738203.38210005</v>
      </c>
      <c r="O2" s="3">
        <f>IF(O$1&lt;=Summary!$C$2,(_xlfn.XLOOKUP($C2,PL_NG!$C:$C,PL_NG!AA:AA)+_xlfn.XLOOKUP($C2,PL_UK!$C:$C,PL_UK!AA:AA)+_xlfn.XLOOKUP($C2,PL_UAE!$C:$C,PL_UAE!AA:AA)),0)</f>
        <v>313228466.65749997</v>
      </c>
      <c r="P2" s="3">
        <f>IF(P$1&lt;=Summary!$C$2,(_xlfn.XLOOKUP($C2,PL_NG!$C:$C,PL_NG!AB:AB)+_xlfn.XLOOKUP($C2,PL_UK!$C:$C,PL_UK!AB:AB)+_xlfn.XLOOKUP($C2,PL_UAE!$C:$C,PL_UAE!AB:AB)),0)</f>
        <v>713982643.47080016</v>
      </c>
      <c r="Q2" s="3">
        <f>IF(Q$1&lt;=Summary!$C$2,(_xlfn.XLOOKUP($C2,PL_NG!$C:$C,PL_NG!AC:AC)+_xlfn.XLOOKUP($C2,PL_UK!$C:$C,PL_UK!AC:AC)+_xlfn.XLOOKUP($C2,PL_UAE!$C:$C,PL_UAE!AC:AC)),0)</f>
        <v>759429822.34560001</v>
      </c>
      <c r="R2" s="3">
        <f>IF(R$1&lt;=Summary!$C$2,(_xlfn.XLOOKUP($C2,PL_NG!$C:$C,PL_NG!AD:AD)+_xlfn.XLOOKUP($C2,PL_UK!$C:$C,PL_UK!AD:AD)+_xlfn.XLOOKUP($C2,PL_UAE!$C:$C,PL_UAE!AD:AD)),0)</f>
        <v>551031859.977</v>
      </c>
      <c r="S2" s="3">
        <f>IF(S$1&lt;=Summary!$C$2,(_xlfn.XLOOKUP($C2,PL_NG!$C:$C,PL_NG!AE:AE)+_xlfn.XLOOKUP($C2,PL_UK!$C:$C,PL_UK!AE:AE)+_xlfn.XLOOKUP($C2,PL_UAE!$C:$C,PL_UAE!AE:AE)),0)</f>
        <v>346045398.46700001</v>
      </c>
      <c r="X2" s="198">
        <f>SUM(D2:O2)</f>
        <v>3424852305.534802</v>
      </c>
      <c r="Y2" s="198">
        <f>SUM(P2:U2)</f>
        <v>2370489724.2603998</v>
      </c>
      <c r="AA2" s="403">
        <f>X2/P_RATE</f>
        <v>2137993.8232940892</v>
      </c>
      <c r="AB2" s="403">
        <f>Y2/C_RATE</f>
        <v>1724556.9271837329</v>
      </c>
      <c r="AC2">
        <f>AB2/AA2</f>
        <v>0.80662390526771577</v>
      </c>
    </row>
    <row r="3" spans="3:29" x14ac:dyDescent="0.2">
      <c r="C3" t="s">
        <v>5</v>
      </c>
      <c r="D3" s="3">
        <f>-IF(D$1&lt;=Summary!$C$2,(_xlfn.XLOOKUP($C3,PL_NG!$C:$C,PL_NG!P:P)+_xlfn.XLOOKUP($C3,PL_UK!$C:$C,PL_UK!P:P)+_xlfn.XLOOKUP($C3,PL_UAE!$C:$C,PL_UAE!P:P)),0)</f>
        <v>78920966.709800005</v>
      </c>
      <c r="E3" s="3">
        <f>-IF(E$1&lt;=Summary!$C$2,(_xlfn.XLOOKUP($C3,PL_NG!$C:$C,PL_NG!Q:Q)+_xlfn.XLOOKUP($C3,PL_UK!$C:$C,PL_UK!Q:Q)+_xlfn.XLOOKUP($C3,PL_UAE!$C:$C,PL_UAE!Q:Q)),0)</f>
        <v>59583746.318999313</v>
      </c>
      <c r="F3" s="3">
        <f>-IF(F$1&lt;=Summary!$C$2,(_xlfn.XLOOKUP($C3,PL_NG!$C:$C,PL_NG!R:R)+_xlfn.XLOOKUP($C3,PL_UK!$C:$C,PL_UK!R:R)+_xlfn.XLOOKUP($C3,PL_UAE!$C:$C,PL_UAE!R:R)),0)</f>
        <v>60763026.979499996</v>
      </c>
      <c r="G3" s="3">
        <f>-IF(G$1&lt;=Summary!$C$2,(_xlfn.XLOOKUP($C3,PL_NG!$C:$C,PL_NG!S:S)+_xlfn.XLOOKUP($C3,PL_UK!$C:$C,PL_UK!S:S)+_xlfn.XLOOKUP($C3,PL_UAE!$C:$C,PL_UAE!S:S)),0)</f>
        <v>59132874.8926</v>
      </c>
      <c r="H3" s="3">
        <f>-IF(H$1&lt;=Summary!$C$2,(_xlfn.XLOOKUP($C3,PL_NG!$C:$C,PL_NG!T:T)+_xlfn.XLOOKUP($C3,PL_UK!$C:$C,PL_UK!T:T)+_xlfn.XLOOKUP($C3,PL_UAE!$C:$C,PL_UAE!T:T)),0)</f>
        <v>70273010.127499998</v>
      </c>
      <c r="I3" s="3">
        <f>-IF(I$1&lt;=Summary!$C$2,(_xlfn.XLOOKUP($C3,PL_NG!$C:$C,PL_NG!U:U)+_xlfn.XLOOKUP($C3,PL_UK!$C:$C,PL_UK!U:U)+_xlfn.XLOOKUP($C3,PL_UAE!$C:$C,PL_UAE!U:U)),0)</f>
        <v>64141908.8521</v>
      </c>
      <c r="J3" s="3">
        <f>-IF(J$1&lt;=Summary!$C$2,(_xlfn.XLOOKUP($C3,PL_NG!$C:$C,PL_NG!V:V)+_xlfn.XLOOKUP($C3,PL_UK!$C:$C,PL_UK!V:V)+_xlfn.XLOOKUP($C3,PL_UAE!$C:$C,PL_UAE!V:V)),0)</f>
        <v>106308769.72729999</v>
      </c>
      <c r="K3" s="3">
        <f>-IF(K$1&lt;=Summary!$C$2,(_xlfn.XLOOKUP($C3,PL_NG!$C:$C,PL_NG!W:W)+_xlfn.XLOOKUP($C3,PL_UK!$C:$C,PL_UK!W:W)+_xlfn.XLOOKUP($C3,PL_UAE!$C:$C,PL_UAE!W:W)),0)</f>
        <v>-8014316.7674000002</v>
      </c>
      <c r="L3" s="3">
        <f>-IF(L$1&lt;=Summary!$C$2,(_xlfn.XLOOKUP($C3,PL_NG!$C:$C,PL_NG!X:X)+_xlfn.XLOOKUP($C3,PL_UK!$C:$C,PL_UK!X:X)+_xlfn.XLOOKUP($C3,PL_UAE!$C:$C,PL_UAE!X:X)),0)</f>
        <v>110812291.8812</v>
      </c>
      <c r="M3" s="3">
        <f>-IF(M$1&lt;=Summary!$C$2,(_xlfn.XLOOKUP($C3,PL_NG!$C:$C,PL_NG!Y:Y)+_xlfn.XLOOKUP($C3,PL_UK!$C:$C,PL_UK!Y:Y)+_xlfn.XLOOKUP($C3,PL_UAE!$C:$C,PL_UAE!Y:Y)),0)</f>
        <v>80546946.923999995</v>
      </c>
      <c r="N3" s="3">
        <f>-IF(N$1&lt;=Summary!$C$2,(_xlfn.XLOOKUP($C3,PL_NG!$C:$C,PL_NG!Z:Z)+_xlfn.XLOOKUP($C3,PL_UK!$C:$C,PL_UK!Z:Z)+_xlfn.XLOOKUP($C3,PL_UAE!$C:$C,PL_UAE!Z:Z)),0)</f>
        <v>64452932.969099998</v>
      </c>
      <c r="O3" s="3">
        <f>-IF(O$1&lt;=Summary!$C$2,(_xlfn.XLOOKUP($C3,PL_NG!$C:$C,PL_NG!AA:AA)+_xlfn.XLOOKUP($C3,PL_UK!$C:$C,PL_UK!AA:AA)+_xlfn.XLOOKUP($C3,PL_UAE!$C:$C,PL_UAE!AA:AA)),0)</f>
        <v>149992887.0575</v>
      </c>
      <c r="P3" s="3">
        <f>-IF(P$1&lt;=Summary!$C$2,(_xlfn.XLOOKUP($C3,PL_NG!$C:$C,PL_NG!AB:AB)+_xlfn.XLOOKUP($C3,PL_UK!$C:$C,PL_UK!AB:AB)+_xlfn.XLOOKUP($C3,PL_UAE!$C:$C,PL_UAE!AB:AB)),0)</f>
        <v>155186180.28940001</v>
      </c>
      <c r="Q3" s="3">
        <f>-IF(Q$1&lt;=Summary!$C$2,(_xlfn.XLOOKUP($C3,PL_NG!$C:$C,PL_NG!AC:AC)+_xlfn.XLOOKUP($C3,PL_UK!$C:$C,PL_UK!AC:AC)+_xlfn.XLOOKUP($C3,PL_UAE!$C:$C,PL_UAE!AC:AC)),0)</f>
        <v>141943216.36839998</v>
      </c>
      <c r="R3" s="3">
        <f>-IF(R$1&lt;=Summary!$C$2,(_xlfn.XLOOKUP($C3,PL_NG!$C:$C,PL_NG!AD:AD)+_xlfn.XLOOKUP($C3,PL_UK!$C:$C,PL_UK!AD:AD)+_xlfn.XLOOKUP($C3,PL_UAE!$C:$C,PL_UAE!AD:AD)),0)</f>
        <v>143899439.59600002</v>
      </c>
      <c r="S3" s="3">
        <f>-IF(S$1&lt;=Summary!$C$2,(_xlfn.XLOOKUP($C3,PL_NG!$C:$C,PL_NG!AE:AE)+_xlfn.XLOOKUP($C3,PL_UK!$C:$C,PL_UK!AE:AE)+_xlfn.XLOOKUP($C3,PL_UAE!$C:$C,PL_UAE!AE:AE)),0)</f>
        <v>74747889.875</v>
      </c>
      <c r="T3" s="198"/>
      <c r="X3" s="198">
        <f>SUM(D3:O3)</f>
        <v>896915045.67219937</v>
      </c>
      <c r="Y3" s="198">
        <f>SUM(P3:U3)</f>
        <v>515776726.12879997</v>
      </c>
      <c r="AA3" s="403">
        <f>X3/P_RATE</f>
        <v>559907.01396603987</v>
      </c>
      <c r="AB3" s="403">
        <f>Y3/C_RATE</f>
        <v>375233.14985180605</v>
      </c>
      <c r="AC3">
        <f>AB3/AA3</f>
        <v>0.67017047561859111</v>
      </c>
    </row>
    <row r="4" spans="3:29" x14ac:dyDescent="0.2">
      <c r="C4" t="s">
        <v>1459</v>
      </c>
      <c r="D4" s="3">
        <f t="shared" ref="D4:Q4" si="1">D2-D3</f>
        <v>157605865.01329997</v>
      </c>
      <c r="E4" s="3">
        <f t="shared" si="1"/>
        <v>156816492.09500277</v>
      </c>
      <c r="F4" s="3">
        <f t="shared" si="1"/>
        <v>173376396.27250001</v>
      </c>
      <c r="G4" s="3">
        <f t="shared" si="1"/>
        <v>185408531.47620001</v>
      </c>
      <c r="H4" s="3">
        <f t="shared" si="1"/>
        <v>106553730.66950002</v>
      </c>
      <c r="I4" s="3">
        <f t="shared" si="1"/>
        <v>56051809.44160001</v>
      </c>
      <c r="J4" s="3">
        <f t="shared" si="1"/>
        <v>105831999.18510002</v>
      </c>
      <c r="K4" s="3">
        <f t="shared" si="1"/>
        <v>202515417.54409999</v>
      </c>
      <c r="L4" s="3">
        <f t="shared" si="1"/>
        <v>296441310.8653</v>
      </c>
      <c r="M4" s="3">
        <f t="shared" si="1"/>
        <v>663814857.28699994</v>
      </c>
      <c r="N4" s="3">
        <f t="shared" si="1"/>
        <v>260285270.41300005</v>
      </c>
      <c r="O4" s="3">
        <f t="shared" si="1"/>
        <v>163235579.59999996</v>
      </c>
      <c r="P4" s="3">
        <f t="shared" si="1"/>
        <v>558796463.18140018</v>
      </c>
      <c r="Q4" s="3">
        <f t="shared" si="1"/>
        <v>617486605.97720003</v>
      </c>
      <c r="R4" s="3">
        <f>R2-R3</f>
        <v>407132420.38099998</v>
      </c>
      <c r="S4" s="3">
        <f>S2-S3</f>
        <v>271297508.59200001</v>
      </c>
      <c r="T4" s="198"/>
      <c r="X4" s="198"/>
      <c r="Y4" s="198"/>
      <c r="AA4" s="403"/>
      <c r="AB4" s="403"/>
    </row>
    <row r="5" spans="3:29" x14ac:dyDescent="0.2">
      <c r="C5" t="s">
        <v>125</v>
      </c>
      <c r="D5" s="3">
        <f>-IF(D$1&lt;=Summary!$C$2,(_xlfn.XLOOKUP($C5,PL_NG!$C:$C,PL_NG!P:P)+_xlfn.XLOOKUP($C5,PL_UK!$C:$C,PL_UK!P:P)+_xlfn.XLOOKUP($C5,PL_UAE!$C:$C,PL_UAE!P:P)),0)</f>
        <v>192227281.6221</v>
      </c>
      <c r="E5" s="3">
        <f>-IF(E$1&lt;=Summary!$C$2,(_xlfn.XLOOKUP($C5,PL_NG!$C:$C,PL_NG!Q:Q)+_xlfn.XLOOKUP($C5,PL_UK!$C:$C,PL_UK!Q:Q)+_xlfn.XLOOKUP($C5,PL_UAE!$C:$C,PL_UAE!Q:Q)),0)</f>
        <v>190966768.46900156</v>
      </c>
      <c r="F5" s="3">
        <f>-IF(F$1&lt;=Summary!$C$2,(_xlfn.XLOOKUP($C5,PL_NG!$C:$C,PL_NG!R:R)+_xlfn.XLOOKUP($C5,PL_UK!$C:$C,PL_UK!R:R)+_xlfn.XLOOKUP($C5,PL_UAE!$C:$C,PL_UAE!R:R)),0)</f>
        <v>215327805.5905</v>
      </c>
      <c r="G5" s="3">
        <f>-IF(G$1&lt;=Summary!$C$2,(_xlfn.XLOOKUP($C5,PL_NG!$C:$C,PL_NG!S:S)+_xlfn.XLOOKUP($C5,PL_UK!$C:$C,PL_UK!S:S)+_xlfn.XLOOKUP($C5,PL_UAE!$C:$C,PL_UAE!S:S)),0)</f>
        <v>211493526.28669998</v>
      </c>
      <c r="H5" s="3">
        <f>-IF(H$1&lt;=Summary!$C$2,(_xlfn.XLOOKUP($C5,PL_NG!$C:$C,PL_NG!T:T)+_xlfn.XLOOKUP($C5,PL_UK!$C:$C,PL_UK!T:T)+_xlfn.XLOOKUP($C5,PL_UAE!$C:$C,PL_UAE!T:T)),0)</f>
        <v>254529970.80449992</v>
      </c>
      <c r="I5" s="3">
        <f>-IF(I$1&lt;=Summary!$C$2,(_xlfn.XLOOKUP($C5,PL_NG!$C:$C,PL_NG!U:U)+_xlfn.XLOOKUP($C5,PL_UK!$C:$C,PL_UK!U:U)+_xlfn.XLOOKUP($C5,PL_UAE!$C:$C,PL_UAE!U:U)),0)</f>
        <v>195883818.73249999</v>
      </c>
      <c r="J5" s="3">
        <f>-IF(J$1&lt;=Summary!$C$2,(_xlfn.XLOOKUP($C5,PL_NG!$C:$C,PL_NG!V:V)+_xlfn.XLOOKUP($C5,PL_UK!$C:$C,PL_UK!V:V)+_xlfn.XLOOKUP($C5,PL_UAE!$C:$C,PL_UAE!V:V)),0)</f>
        <v>210901841.2502</v>
      </c>
      <c r="K5" s="3">
        <f>-IF(K$1&lt;=Summary!$C$2,(_xlfn.XLOOKUP($C5,PL_NG!$C:$C,PL_NG!W:W)+_xlfn.XLOOKUP($C5,PL_UK!$C:$C,PL_UK!W:W)+_xlfn.XLOOKUP($C5,PL_UAE!$C:$C,PL_UAE!W:W)),0)</f>
        <v>180516936.07100001</v>
      </c>
      <c r="L5" s="3">
        <f>-IF(L$1&lt;=Summary!$C$2,(_xlfn.XLOOKUP($C5,PL_NG!$C:$C,PL_NG!X:X)+_xlfn.XLOOKUP($C5,PL_UK!$C:$C,PL_UK!X:X)+_xlfn.XLOOKUP($C5,PL_UAE!$C:$C,PL_UAE!X:X)),0)</f>
        <v>244022717.07819998</v>
      </c>
      <c r="M5" s="3">
        <f>-IF(M$1&lt;=Summary!$C$2,(_xlfn.XLOOKUP($C5,PL_NG!$C:$C,PL_NG!Y:Y)+_xlfn.XLOOKUP($C5,PL_UK!$C:$C,PL_UK!Y:Y)+_xlfn.XLOOKUP($C5,PL_UAE!$C:$C,PL_UAE!Y:Y)),0)</f>
        <v>218457466.04499996</v>
      </c>
      <c r="N5" s="3">
        <f>-IF(N$1&lt;=Summary!$C$2,(_xlfn.XLOOKUP($C5,PL_NG!$C:$C,PL_NG!Z:Z)+_xlfn.XLOOKUP($C5,PL_UK!$C:$C,PL_UK!Z:Z)+_xlfn.XLOOKUP($C5,PL_UAE!$C:$C,PL_UAE!Z:Z)),0)</f>
        <v>218651952.55349997</v>
      </c>
      <c r="O5" s="3">
        <f>-IF(O$1&lt;=Summary!$C$2,(_xlfn.XLOOKUP($C5,PL_NG!$C:$C,PL_NG!AA:AA)+_xlfn.XLOOKUP($C5,PL_UK!$C:$C,PL_UK!AA:AA)+_xlfn.XLOOKUP($C5,PL_UAE!$C:$C,PL_UAE!AA:AA)),0)</f>
        <v>665925488.57500005</v>
      </c>
      <c r="P5" s="3">
        <f>-IF(P$1&lt;=Summary!$C$2,(_xlfn.XLOOKUP($C5,PL_NG!$C:$C,PL_NG!AB:AB)+_xlfn.XLOOKUP($C5,PL_UK!$C:$C,PL_UK!AB:AB)+_xlfn.XLOOKUP($C5,PL_UAE!$C:$C,PL_UAE!AB:AB)),0)</f>
        <v>197935319.82239997</v>
      </c>
      <c r="Q5" s="3">
        <f>-IF(Q$1&lt;=Summary!$C$2,(_xlfn.XLOOKUP($C5,PL_NG!$C:$C,PL_NG!AC:AC)+_xlfn.XLOOKUP($C5,PL_UK!$C:$C,PL_UK!AC:AC)+_xlfn.XLOOKUP($C5,PL_UAE!$C:$C,PL_UAE!AC:AC)),0)</f>
        <v>185771709.85100001</v>
      </c>
      <c r="R5" s="3">
        <f>-IF(R$1&lt;=Summary!$C$2,(_xlfn.XLOOKUP($C5,PL_NG!$C:$C,PL_NG!AD:AD)+_xlfn.XLOOKUP($C5,PL_UK!$C:$C,PL_UK!AD:AD)+_xlfn.XLOOKUP($C5,PL_UAE!$C:$C,PL_UAE!AD:AD)),0)</f>
        <v>187432146.97599998</v>
      </c>
      <c r="S5" s="3">
        <f>-IF(S$1&lt;=Summary!$C$2,(_xlfn.XLOOKUP($C5,PL_NG!$C:$C,PL_NG!AE:AE)+_xlfn.XLOOKUP($C5,PL_UK!$C:$C,PL_UK!AE:AE)+_xlfn.XLOOKUP($C5,PL_UAE!$C:$C,PL_UAE!AE:AE)),0)</f>
        <v>187500157.38099998</v>
      </c>
      <c r="X5" s="198">
        <f>SUM(D5:O5)</f>
        <v>2998905573.0782022</v>
      </c>
      <c r="Y5" s="198">
        <f>SUM(P5:U5)</f>
        <v>758639334.03040004</v>
      </c>
      <c r="AA5" s="403">
        <f>X5/P_RATE</f>
        <v>1872092.8728873227</v>
      </c>
      <c r="AB5" s="403">
        <f>Y5/C_RATE</f>
        <v>551918.32529220474</v>
      </c>
      <c r="AC5">
        <f>AB5/AA5</f>
        <v>0.294813539053211</v>
      </c>
    </row>
    <row r="6" spans="3:29" x14ac:dyDescent="0.2">
      <c r="C6" t="s">
        <v>127</v>
      </c>
      <c r="D6" s="3">
        <f>-IF(D$1&lt;=Summary!$C$2,(_xlfn.XLOOKUP($C6,PL_NG!$C:$C,PL_NG!P:P)+_xlfn.XLOOKUP($C6,PL_UK!$C:$C,PL_UK!P:P)+_xlfn.XLOOKUP($C6,PL_UAE!$C:$C,PL_UAE!P:P)),0)</f>
        <v>3173396.21</v>
      </c>
      <c r="E6" s="3">
        <f>-IF(E$1&lt;=Summary!$C$2,(_xlfn.XLOOKUP($C6,PL_NG!$C:$C,PL_NG!Q:Q)+_xlfn.XLOOKUP($C6,PL_UK!$C:$C,PL_UK!Q:Q)+_xlfn.XLOOKUP($C6,PL_UAE!$C:$C,PL_UAE!Q:Q)),0)</f>
        <v>2647539.85</v>
      </c>
      <c r="F6" s="3">
        <f>-IF(F$1&lt;=Summary!$C$2,(_xlfn.XLOOKUP($C6,PL_NG!$C:$C,PL_NG!R:R)+_xlfn.XLOOKUP($C6,PL_UK!$C:$C,PL_UK!R:R)+_xlfn.XLOOKUP($C6,PL_UAE!$C:$C,PL_UAE!R:R)),0)</f>
        <v>2296213.79</v>
      </c>
      <c r="G6" s="3">
        <f>-IF(G$1&lt;=Summary!$C$2,(_xlfn.XLOOKUP($C6,PL_NG!$C:$C,PL_NG!S:S)+_xlfn.XLOOKUP($C6,PL_UK!$C:$C,PL_UK!S:S)+_xlfn.XLOOKUP($C6,PL_UAE!$C:$C,PL_UAE!S:S)),0)</f>
        <v>2004943.3</v>
      </c>
      <c r="H6" s="3">
        <f>-IF(H$1&lt;=Summary!$C$2,(_xlfn.XLOOKUP($C6,PL_NG!$C:$C,PL_NG!T:T)+_xlfn.XLOOKUP($C6,PL_UK!$C:$C,PL_UK!T:T)+_xlfn.XLOOKUP($C6,PL_UAE!$C:$C,PL_UAE!T:T)),0)</f>
        <v>2388540.35</v>
      </c>
      <c r="I6" s="3">
        <f>-IF(I$1&lt;=Summary!$C$2,(_xlfn.XLOOKUP($C6,PL_NG!$C:$C,PL_NG!U:U)+_xlfn.XLOOKUP($C6,PL_UK!$C:$C,PL_UK!U:U)+_xlfn.XLOOKUP($C6,PL_UAE!$C:$C,PL_UAE!U:U)),0)</f>
        <v>1834897.21</v>
      </c>
      <c r="J6" s="3">
        <f>-IF(J$1&lt;=Summary!$C$2,(_xlfn.XLOOKUP($C6,PL_NG!$C:$C,PL_NG!V:V)+_xlfn.XLOOKUP($C6,PL_UK!$C:$C,PL_UK!V:V)+_xlfn.XLOOKUP($C6,PL_UAE!$C:$C,PL_UAE!V:V)),0)</f>
        <v>1594581.4</v>
      </c>
      <c r="K6" s="3">
        <f>-IF(K$1&lt;=Summary!$C$2,(_xlfn.XLOOKUP($C6,PL_NG!$C:$C,PL_NG!W:W)+_xlfn.XLOOKUP($C6,PL_UK!$C:$C,PL_UK!W:W)+_xlfn.XLOOKUP($C6,PL_UAE!$C:$C,PL_UAE!W:W)),0)</f>
        <v>3859863.84</v>
      </c>
      <c r="L6" s="3">
        <f>-IF(L$1&lt;=Summary!$C$2,(_xlfn.XLOOKUP($C6,PL_NG!$C:$C,PL_NG!X:X)+_xlfn.XLOOKUP($C6,PL_UK!$C:$C,PL_UK!X:X)+_xlfn.XLOOKUP($C6,PL_UAE!$C:$C,PL_UAE!X:X)),0)</f>
        <v>6713038.4699999997</v>
      </c>
      <c r="M6" s="3">
        <f>-IF(M$1&lt;=Summary!$C$2,(_xlfn.XLOOKUP($C6,PL_NG!$C:$C,PL_NG!Y:Y)+_xlfn.XLOOKUP($C6,PL_UK!$C:$C,PL_UK!Y:Y)+_xlfn.XLOOKUP($C6,PL_UAE!$C:$C,PL_UAE!Y:Y)),0)</f>
        <v>4871016.58</v>
      </c>
      <c r="N6" s="3">
        <f>-IF(N$1&lt;=Summary!$C$2,(_xlfn.XLOOKUP($C6,PL_NG!$C:$C,PL_NG!Z:Z)+_xlfn.XLOOKUP($C6,PL_UK!$C:$C,PL_UK!Z:Z)+_xlfn.XLOOKUP($C6,PL_UAE!$C:$C,PL_UAE!Z:Z)),0)</f>
        <v>4044997.52</v>
      </c>
      <c r="O6" s="3">
        <f>-IF(O$1&lt;=Summary!$C$2,(_xlfn.XLOOKUP($C6,PL_NG!$C:$C,PL_NG!AA:AA)+_xlfn.XLOOKUP($C6,PL_UK!$C:$C,PL_UK!AA:AA)+_xlfn.XLOOKUP($C6,PL_UAE!$C:$C,PL_UAE!AA:AA)),0)</f>
        <v>7409183.6500000004</v>
      </c>
      <c r="P6" s="3">
        <f>-IF(P$1&lt;=Summary!$C$2,(_xlfn.XLOOKUP($C6,PL_NG!$C:$C,PL_NG!AB:AB)+_xlfn.XLOOKUP($C6,PL_UK!$C:$C,PL_UK!AB:AB)+_xlfn.XLOOKUP($C6,PL_UAE!$C:$C,PL_UAE!AB:AB)),0)</f>
        <v>2472405.65</v>
      </c>
      <c r="Q6" s="3">
        <f>-IF(Q$1&lt;=Summary!$C$2,(_xlfn.XLOOKUP($C6,PL_NG!$C:$C,PL_NG!AC:AC)+_xlfn.XLOOKUP($C6,PL_UK!$C:$C,PL_UK!AC:AC)+_xlfn.XLOOKUP($C6,PL_UAE!$C:$C,PL_UAE!AC:AC)),0)</f>
        <v>2213454.5</v>
      </c>
      <c r="R6" s="3">
        <f>-IF(R$1&lt;=Summary!$C$2,(_xlfn.XLOOKUP($C6,PL_NG!$C:$C,PL_NG!AD:AD)+_xlfn.XLOOKUP($C6,PL_UK!$C:$C,PL_UK!AD:AD)+_xlfn.XLOOKUP($C6,PL_UAE!$C:$C,PL_UAE!AD:AD)),0)</f>
        <v>1706090.77</v>
      </c>
      <c r="S6" s="3">
        <f>-IF(S$1&lt;=Summary!$C$2,(_xlfn.XLOOKUP($C6,PL_NG!$C:$C,PL_NG!AE:AE)+_xlfn.XLOOKUP($C6,PL_UK!$C:$C,PL_UK!AE:AE)+_xlfn.XLOOKUP($C6,PL_UAE!$C:$C,PL_UAE!AE:AE)),0)</f>
        <v>1553069.52</v>
      </c>
      <c r="X6" s="198">
        <f>SUM(D6:O6)</f>
        <v>42838212.170000002</v>
      </c>
      <c r="Y6" s="198">
        <f>SUM(P6:U6)</f>
        <v>7945020.4399999995</v>
      </c>
      <c r="AA6" s="403">
        <f>X6/P_RATE</f>
        <v>26742.126331231662</v>
      </c>
      <c r="AB6" s="403">
        <f>Y6/C_RATE</f>
        <v>5780.0883489141897</v>
      </c>
      <c r="AC6">
        <f>AB6/AA6</f>
        <v>0.21614168885903906</v>
      </c>
    </row>
    <row r="7" spans="3:29" x14ac:dyDescent="0.2">
      <c r="C7" t="s">
        <v>131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Y7" s="198">
        <f>SUM(P7:U7)</f>
        <v>0</v>
      </c>
    </row>
    <row r="9" spans="3:29" x14ac:dyDescent="0.2">
      <c r="D9">
        <f>PL_NG!P170+PL_UK!P115+PL_UAE!P115</f>
        <v>-280344860.98289996</v>
      </c>
    </row>
    <row r="11" spans="3:29" x14ac:dyDescent="0.2">
      <c r="C11" t="s">
        <v>134</v>
      </c>
      <c r="D11" s="3">
        <f>-IF(D$1&lt;=Summary!$C$2,(_xlfn.XLOOKUP($C11,PL_NG!$C:$C,PL_NG!P:P)+_xlfn.XLOOKUP($C11,PL_UK!$C:$C,PL_UK!P:P)+_xlfn.XLOOKUP($C11,PL_UAE!$C:$C,PL_UAE!P:P)),0)</f>
        <v>2337843.4312999998</v>
      </c>
      <c r="E11" s="3">
        <f>-IF(E$1&lt;=Summary!$C$2,(_xlfn.XLOOKUP($C11,PL_NG!$C:$C,PL_NG!Q:Q)+_xlfn.XLOOKUP($C11,PL_UK!$C:$C,PL_UK!Q:Q)+_xlfn.XLOOKUP($C11,PL_UAE!$C:$C,PL_UAE!Q:Q)),0)</f>
        <v>341671.49800019403</v>
      </c>
      <c r="F11" s="3">
        <f>-IF(F$1&lt;=Summary!$C$2,(_xlfn.XLOOKUP($C11,PL_NG!$C:$C,PL_NG!R:R)+_xlfn.XLOOKUP($C11,PL_UK!$C:$C,PL_UK!R:R)+_xlfn.XLOOKUP($C11,PL_UAE!$C:$C,PL_UAE!R:R)),0)</f>
        <v>651904.45149999997</v>
      </c>
      <c r="G11" s="3">
        <f>-IF(G$1&lt;=Summary!$C$2,(_xlfn.XLOOKUP($C11,PL_NG!$C:$C,PL_NG!S:S)+_xlfn.XLOOKUP($C11,PL_UK!$C:$C,PL_UK!S:S)+_xlfn.XLOOKUP($C11,PL_UAE!$C:$C,PL_UAE!S:S)),0)</f>
        <v>844954.3600000001</v>
      </c>
      <c r="H11" s="3">
        <f>-IF(H$1&lt;=Summary!$C$2,(_xlfn.XLOOKUP($C11,PL_NG!$C:$C,PL_NG!T:T)+_xlfn.XLOOKUP($C11,PL_UK!$C:$C,PL_UK!T:T)+_xlfn.XLOOKUP($C11,PL_UAE!$C:$C,PL_UAE!T:T)),0)</f>
        <v>2631468.1064999993</v>
      </c>
      <c r="I11" s="3">
        <f>-IF(I$1&lt;=Summary!$C$2,(_xlfn.XLOOKUP($C11,PL_NG!$C:$C,PL_NG!U:U)+_xlfn.XLOOKUP($C11,PL_UK!$C:$C,PL_UK!U:U)+_xlfn.XLOOKUP($C11,PL_UAE!$C:$C,PL_UAE!U:U)),0)</f>
        <v>430847.26799999998</v>
      </c>
      <c r="J11" s="3">
        <f>-IF(J$1&lt;=Summary!$C$2,(_xlfn.XLOOKUP($C11,PL_NG!$C:$C,PL_NG!V:V)+_xlfn.XLOOKUP($C11,PL_UK!$C:$C,PL_UK!V:V)+_xlfn.XLOOKUP($C11,PL_UAE!$C:$C,PL_UAE!V:V)),0)</f>
        <v>549002.05999999994</v>
      </c>
      <c r="K11" s="3">
        <f>-IF(K$1&lt;=Summary!$C$2,(_xlfn.XLOOKUP($C11,PL_NG!$C:$C,PL_NG!W:W)+_xlfn.XLOOKUP($C11,PL_UK!$C:$C,PL_UK!W:W)+_xlfn.XLOOKUP($C11,PL_UAE!$C:$C,PL_UAE!W:W)),0)</f>
        <v>688605.51610000001</v>
      </c>
      <c r="L11" s="3">
        <f>-IF(L$1&lt;=Summary!$C$2,(_xlfn.XLOOKUP($C11,PL_NG!$C:$C,PL_NG!X:X)+_xlfn.XLOOKUP($C11,PL_UK!$C:$C,PL_UK!X:X)+_xlfn.XLOOKUP($C11,PL_UAE!$C:$C,PL_UAE!X:X)),0)</f>
        <v>140667.174</v>
      </c>
      <c r="M11" s="3">
        <f>-IF(M$1&lt;=Summary!$C$2,(_xlfn.XLOOKUP($C11,PL_NG!$C:$C,PL_NG!Y:Y)+_xlfn.XLOOKUP($C11,PL_UK!$C:$C,PL_UK!Y:Y)+_xlfn.XLOOKUP($C11,PL_UAE!$C:$C,PL_UAE!Y:Y)),0)</f>
        <v>210033.48</v>
      </c>
      <c r="N11" s="3">
        <f>-IF(N$1&lt;=Summary!$C$2,(_xlfn.XLOOKUP($C11,PL_NG!$C:$C,PL_NG!Z:Z)+_xlfn.XLOOKUP($C11,PL_UK!$C:$C,PL_UK!Z:Z)+_xlfn.XLOOKUP($C11,PL_UAE!$C:$C,PL_UAE!Z:Z)),0)</f>
        <v>379759.50399999996</v>
      </c>
      <c r="O11" s="3">
        <f>-IF(O$1&lt;=Summary!$C$2,(_xlfn.XLOOKUP($C11,PL_NG!$C:$C,PL_NG!AA:AA)+_xlfn.XLOOKUP($C11,PL_UK!$C:$C,PL_UK!AA:AA)+_xlfn.XLOOKUP($C11,PL_UAE!$C:$C,PL_UAE!AA:AA)),0)</f>
        <v>537820.625</v>
      </c>
      <c r="P11" s="3">
        <f>-IF(P$1&lt;=Summary!$C$2,(_xlfn.XLOOKUP($C11,PL_NG!$C:$C,PL_NG!AB:AB)+_xlfn.XLOOKUP($C11,PL_UK!$C:$C,PL_UK!AB:AB)+_xlfn.XLOOKUP($C11,PL_UAE!$C:$C,PL_UAE!AB:AB)),0)</f>
        <v>966285.09600000002</v>
      </c>
      <c r="Q11" s="3">
        <f>-IF(Q$1&lt;=Summary!$C$2,(_xlfn.XLOOKUP($C11,PL_NG!$C:$C,PL_NG!AC:AC)+_xlfn.XLOOKUP($C11,PL_UK!$C:$C,PL_UK!AC:AC)+_xlfn.XLOOKUP($C11,PL_UAE!$C:$C,PL_UAE!AC:AC)),0)</f>
        <v>925933.33200000005</v>
      </c>
      <c r="R11" s="3">
        <f>-IF(R$1&lt;=Summary!$C$2,(_xlfn.XLOOKUP($C11,PL_NG!$C:$C,PL_NG!AD:AD)+_xlfn.XLOOKUP($C11,PL_UK!$C:$C,PL_UK!AD:AD)+_xlfn.XLOOKUP($C11,PL_UAE!$C:$C,PL_UAE!AD:AD)),0)</f>
        <v>185900</v>
      </c>
      <c r="S11" s="3">
        <f>-IF(S$1&lt;=Summary!$C$2,(_xlfn.XLOOKUP($C11,PL_NG!$C:$C,PL_NG!AE:AE)+_xlfn.XLOOKUP($C11,PL_UK!$C:$C,PL_UK!AE:AE)+_xlfn.XLOOKUP($C11,PL_UAE!$C:$C,PL_UAE!AE:AE)),0)</f>
        <v>636045.33299999987</v>
      </c>
    </row>
    <row r="12" spans="3:29" x14ac:dyDescent="0.2">
      <c r="C12" t="s">
        <v>129</v>
      </c>
      <c r="D12" s="3">
        <f>-IF(D$1&lt;=Summary!$C$2,(_xlfn.XLOOKUP($C12,PL_NG!$C:$C,PL_NG!P:P)+_xlfn.XLOOKUP($C12,PL_UK!$C:$C,PL_UK!P:P)+_xlfn.XLOOKUP($C12,PL_UAE!$C:$C,PL_UAE!P:P)),0)</f>
        <v>43278642.839999996</v>
      </c>
      <c r="E12" s="3">
        <f>-IF(E$1&lt;=Summary!$C$2,(_xlfn.XLOOKUP($C12,PL_NG!$C:$C,PL_NG!Q:Q)+_xlfn.XLOOKUP($C12,PL_UK!$C:$C,PL_UK!Q:Q)+_xlfn.XLOOKUP($C12,PL_UAE!$C:$C,PL_UAE!Q:Q)),0)</f>
        <v>92413855.674999997</v>
      </c>
      <c r="F12" s="3">
        <f>-IF(F$1&lt;=Summary!$C$2,(_xlfn.XLOOKUP($C12,PL_NG!$C:$C,PL_NG!R:R)+_xlfn.XLOOKUP($C12,PL_UK!$C:$C,PL_UK!R:R)+_xlfn.XLOOKUP($C12,PL_UAE!$C:$C,PL_UAE!R:R)),0)</f>
        <v>92810301.203999996</v>
      </c>
      <c r="G12" s="3">
        <f>-IF(G$1&lt;=Summary!$C$2,(_xlfn.XLOOKUP($C12,PL_NG!$C:$C,PL_NG!S:S)+_xlfn.XLOOKUP($C12,PL_UK!$C:$C,PL_UK!S:S)+_xlfn.XLOOKUP($C12,PL_UAE!$C:$C,PL_UAE!S:S)),0)</f>
        <v>86652152.112900004</v>
      </c>
      <c r="H12" s="3">
        <f>-IF(H$1&lt;=Summary!$C$2,(_xlfn.XLOOKUP($C12,PL_NG!$C:$C,PL_NG!T:T)+_xlfn.XLOOKUP($C12,PL_UK!$C:$C,PL_UK!T:T)+_xlfn.XLOOKUP($C12,PL_UAE!$C:$C,PL_UAE!T:T)),0)</f>
        <v>137939703.34</v>
      </c>
      <c r="I12" s="3">
        <f>-IF(I$1&lt;=Summary!$C$2,(_xlfn.XLOOKUP($C12,PL_NG!$C:$C,PL_NG!U:U)+_xlfn.XLOOKUP($C12,PL_UK!$C:$C,PL_UK!U:U)+_xlfn.XLOOKUP($C12,PL_UAE!$C:$C,PL_UAE!U:U)),0)</f>
        <v>56998488.310469992</v>
      </c>
      <c r="J12" s="3">
        <f>-IF(J$1&lt;=Summary!$C$2,(_xlfn.XLOOKUP($C12,PL_NG!$C:$C,PL_NG!V:V)+_xlfn.XLOOKUP($C12,PL_UK!$C:$C,PL_UK!V:V)+_xlfn.XLOOKUP($C12,PL_UAE!$C:$C,PL_UAE!V:V)),0)</f>
        <v>69716719.028600007</v>
      </c>
      <c r="K12" s="3">
        <f>-IF(K$1&lt;=Summary!$C$2,(_xlfn.XLOOKUP($C12,PL_NG!$C:$C,PL_NG!W:W)+_xlfn.XLOOKUP($C12,PL_UK!$C:$C,PL_UK!W:W)+_xlfn.XLOOKUP($C12,PL_UAE!$C:$C,PL_UAE!W:W)),0)</f>
        <v>104233856.92699999</v>
      </c>
      <c r="L12" s="3">
        <f>-IF(L$1&lt;=Summary!$C$2,(_xlfn.XLOOKUP($C12,PL_NG!$C:$C,PL_NG!X:X)+_xlfn.XLOOKUP($C12,PL_UK!$C:$C,PL_UK!X:X)+_xlfn.XLOOKUP($C12,PL_UAE!$C:$C,PL_UAE!X:X)),0)</f>
        <v>110122696.09649999</v>
      </c>
      <c r="M12" s="3">
        <f>-IF(M$1&lt;=Summary!$C$2,(_xlfn.XLOOKUP($C12,PL_NG!$C:$C,PL_NG!Y:Y)+_xlfn.XLOOKUP($C12,PL_UK!$C:$C,PL_UK!Y:Y)+_xlfn.XLOOKUP($C12,PL_UAE!$C:$C,PL_UAE!Y:Y)),0)</f>
        <v>77606131.975000009</v>
      </c>
      <c r="N12" s="3">
        <f>-IF(N$1&lt;=Summary!$C$2,(_xlfn.XLOOKUP($C12,PL_NG!$C:$C,PL_NG!Z:Z)+_xlfn.XLOOKUP($C12,PL_UK!$C:$C,PL_UK!Z:Z)+_xlfn.XLOOKUP($C12,PL_UAE!$C:$C,PL_UAE!Z:Z)),0)</f>
        <v>97240203.244299993</v>
      </c>
      <c r="O12" s="3">
        <f>-IF(O$1&lt;=Summary!$C$2,(_xlfn.XLOOKUP($C12,PL_NG!$C:$C,PL_NG!AA:AA)+_xlfn.XLOOKUP($C12,PL_UK!$C:$C,PL_UK!AA:AA)+_xlfn.XLOOKUP($C12,PL_UAE!$C:$C,PL_UAE!AA:AA)),0)</f>
        <v>139712176.77000001</v>
      </c>
      <c r="P12" s="3">
        <f>-IF(P$1&lt;=Summary!$C$2,(_xlfn.XLOOKUP($C12,PL_NG!$C:$C,PL_NG!AB:AB)+_xlfn.XLOOKUP($C12,PL_UK!$C:$C,PL_UK!AB:AB)+_xlfn.XLOOKUP($C12,PL_UAE!$C:$C,PL_UAE!AB:AB)),0)</f>
        <v>14356724.09</v>
      </c>
      <c r="Q12" s="3">
        <f>-IF(Q$1&lt;=Summary!$C$2,(_xlfn.XLOOKUP($C12,PL_NG!$C:$C,PL_NG!AC:AC)+_xlfn.XLOOKUP($C12,PL_UK!$C:$C,PL_UK!AC:AC)+_xlfn.XLOOKUP($C12,PL_UAE!$C:$C,PL_UAE!AC:AC)),0)</f>
        <v>37186589.799999997</v>
      </c>
      <c r="R12" s="3">
        <f>-IF(R$1&lt;=Summary!$C$2,(_xlfn.XLOOKUP($C12,PL_NG!$C:$C,PL_NG!AD:AD)+_xlfn.XLOOKUP($C12,PL_UK!$C:$C,PL_UK!AD:AD)+_xlfn.XLOOKUP($C12,PL_UAE!$C:$C,PL_UAE!AD:AD)),0)</f>
        <v>59693584.888999999</v>
      </c>
      <c r="S12" s="3">
        <f>-IF(S$1&lt;=Summary!$C$2,(_xlfn.XLOOKUP($C12,PL_NG!$C:$C,PL_NG!AE:AE)+_xlfn.XLOOKUP($C12,PL_UK!$C:$C,PL_UK!AE:AE)+_xlfn.XLOOKUP($C12,PL_UAE!$C:$C,PL_UAE!AE:AE)),0)</f>
        <v>11022482.768999999</v>
      </c>
    </row>
    <row r="13" spans="3:29" x14ac:dyDescent="0.2">
      <c r="D13" s="198">
        <f>SUM(D11:D12)</f>
        <v>45616486.271299995</v>
      </c>
      <c r="E13" s="198">
        <f t="shared" ref="E13:J13" si="2">SUM(E11:E12)</f>
        <v>92755527.173000187</v>
      </c>
      <c r="F13" s="198">
        <f t="shared" si="2"/>
        <v>93462205.655499995</v>
      </c>
      <c r="G13" s="198">
        <f t="shared" si="2"/>
        <v>87497106.472900003</v>
      </c>
      <c r="H13" s="198">
        <f t="shared" si="2"/>
        <v>140571171.4465</v>
      </c>
      <c r="I13" s="198">
        <f t="shared" si="2"/>
        <v>57429335.578469992</v>
      </c>
      <c r="J13" s="198">
        <f t="shared" si="2"/>
        <v>70265721.08860001</v>
      </c>
      <c r="K13" s="198">
        <f t="shared" ref="K13:Q13" si="3">SUM(K11:K12)</f>
        <v>104922462.44309999</v>
      </c>
      <c r="L13" s="198">
        <f t="shared" si="3"/>
        <v>110263363.27049999</v>
      </c>
      <c r="M13" s="198">
        <f t="shared" si="3"/>
        <v>77816165.455000013</v>
      </c>
      <c r="N13" s="198">
        <f t="shared" si="3"/>
        <v>97619962.748299986</v>
      </c>
      <c r="O13" s="198">
        <f t="shared" si="3"/>
        <v>140249997.39500001</v>
      </c>
      <c r="P13" s="198">
        <f t="shared" si="3"/>
        <v>15323009.186000001</v>
      </c>
      <c r="Q13" s="198">
        <f t="shared" si="3"/>
        <v>38112523.131999999</v>
      </c>
      <c r="R13" s="198">
        <f t="shared" ref="R13:S13" si="4">SUM(R11:R12)</f>
        <v>59879484.888999999</v>
      </c>
      <c r="S13" s="198">
        <f t="shared" si="4"/>
        <v>11658528.102</v>
      </c>
      <c r="X13" s="198">
        <f>SUM(D13:O13)</f>
        <v>1118469504.9981701</v>
      </c>
      <c r="Y13" s="198">
        <f>SUM(P13:U13)</f>
        <v>124973545.309</v>
      </c>
    </row>
    <row r="15" spans="3:29" x14ac:dyDescent="0.2">
      <c r="C15" t="s">
        <v>131</v>
      </c>
      <c r="D15" s="199">
        <f>D17-SUM(D13,D6,D5)</f>
        <v>39327696.879499972</v>
      </c>
      <c r="E15" s="199">
        <f t="shared" ref="E15:J15" si="5">E17-SUM(E13,E6,E5)</f>
        <v>4608947.9463999867</v>
      </c>
      <c r="F15" s="199">
        <f t="shared" si="5"/>
        <v>-20188614.008440077</v>
      </c>
      <c r="G15" s="199">
        <f t="shared" si="5"/>
        <v>-117802265.38470995</v>
      </c>
      <c r="H15" s="199">
        <f t="shared" si="5"/>
        <v>96582267.454289913</v>
      </c>
      <c r="I15" s="199">
        <f t="shared" si="5"/>
        <v>170051083.29765993</v>
      </c>
      <c r="J15" s="199">
        <f t="shared" si="5"/>
        <v>90001929.470999897</v>
      </c>
      <c r="K15" s="199">
        <f t="shared" ref="K15:Q15" si="6">K17-SUM(K13,K6,K5)</f>
        <v>50182256.999920011</v>
      </c>
      <c r="L15" s="199">
        <f t="shared" si="6"/>
        <v>168492346.70818001</v>
      </c>
      <c r="M15" s="199">
        <f t="shared" si="6"/>
        <v>125290591.29700005</v>
      </c>
      <c r="N15" s="199">
        <f t="shared" si="6"/>
        <v>59074165.873700023</v>
      </c>
      <c r="O15" s="199">
        <f t="shared" si="6"/>
        <v>-220021210.31013024</v>
      </c>
      <c r="P15" s="199">
        <f t="shared" si="6"/>
        <v>153194067.88112</v>
      </c>
      <c r="Q15" s="199">
        <f t="shared" si="6"/>
        <v>111995877.11895004</v>
      </c>
      <c r="R15" s="199">
        <f t="shared" ref="R15:S15" si="7">R17-SUM(R13,R6,R5)</f>
        <v>54984795.593410015</v>
      </c>
      <c r="S15" s="199">
        <f t="shared" si="7"/>
        <v>98072571.308479995</v>
      </c>
      <c r="X15" s="198">
        <f>SUM(D15:O15)</f>
        <v>445599196.22436953</v>
      </c>
      <c r="Y15" s="198">
        <f>SUM(P15:U15)</f>
        <v>418247311.90196002</v>
      </c>
    </row>
    <row r="17" spans="3:25" x14ac:dyDescent="0.2">
      <c r="C17" t="s">
        <v>10</v>
      </c>
      <c r="D17" s="3">
        <f>-IF(D$1&lt;=Summary!$C$2,(_xlfn.XLOOKUP($C17,PL_NG!$C:$C,PL_NG!P:P)+_xlfn.XLOOKUP($C17,PL_UK!$C:$C,PL_UK!P:P)+_xlfn.XLOOKUP($C17,PL_UAE!$C:$C,PL_UAE!P:P)),0)</f>
        <v>280344860.98289996</v>
      </c>
      <c r="E17" s="3">
        <f>-IF(E$1&lt;=Summary!$C$2,(_xlfn.XLOOKUP($C17,PL_NG!$C:$C,PL_NG!Q:Q)+_xlfn.XLOOKUP($C17,PL_UK!$C:$C,PL_UK!Q:Q)+_xlfn.XLOOKUP($C17,PL_UAE!$C:$C,PL_UAE!Q:Q)),0)</f>
        <v>290978783.43840176</v>
      </c>
      <c r="F17" s="3">
        <f>-IF(F$1&lt;=Summary!$C$2,(_xlfn.XLOOKUP($C17,PL_NG!$C:$C,PL_NG!R:R)+_xlfn.XLOOKUP($C17,PL_UK!$C:$C,PL_UK!R:R)+_xlfn.XLOOKUP($C17,PL_UAE!$C:$C,PL_UAE!R:R)),0)</f>
        <v>290897611.02755994</v>
      </c>
      <c r="G17" s="3">
        <f>-IF(G$1&lt;=Summary!$C$2,(_xlfn.XLOOKUP($C17,PL_NG!$C:$C,PL_NG!S:S)+_xlfn.XLOOKUP($C17,PL_UK!$C:$C,PL_UK!S:S)+_xlfn.XLOOKUP($C17,PL_UAE!$C:$C,PL_UAE!S:S)),0)</f>
        <v>183193310.67489004</v>
      </c>
      <c r="H17" s="3">
        <f>-IF(H$1&lt;=Summary!$C$2,(_xlfn.XLOOKUP($C17,PL_NG!$C:$C,PL_NG!T:T)+_xlfn.XLOOKUP($C17,PL_UK!$C:$C,PL_UK!T:T)+_xlfn.XLOOKUP($C17,PL_UAE!$C:$C,PL_UAE!T:T)),0)</f>
        <v>494071950.05528986</v>
      </c>
      <c r="I17" s="3">
        <f>-IF(I$1&lt;=Summary!$C$2,(_xlfn.XLOOKUP($C17,PL_NG!$C:$C,PL_NG!U:U)+_xlfn.XLOOKUP($C17,PL_UK!$C:$C,PL_UK!U:U)+_xlfn.XLOOKUP($C17,PL_UAE!$C:$C,PL_UAE!U:U)),0)</f>
        <v>425199134.81862992</v>
      </c>
      <c r="J17" s="3">
        <f>-IF(J$1&lt;=Summary!$C$2,(_xlfn.XLOOKUP($C17,PL_NG!$C:$C,PL_NG!V:V)+_xlfn.XLOOKUP($C17,PL_UK!$C:$C,PL_UK!V:V)+_xlfn.XLOOKUP($C17,PL_UAE!$C:$C,PL_UAE!V:V)),0)</f>
        <v>372764073.20979995</v>
      </c>
      <c r="K17" s="3">
        <f>-IF(K$1&lt;=Summary!$C$2,(_xlfn.XLOOKUP($C17,PL_NG!$C:$C,PL_NG!W:W)+_xlfn.XLOOKUP($C17,PL_UK!$C:$C,PL_UK!W:W)+_xlfn.XLOOKUP($C17,PL_UAE!$C:$C,PL_UAE!W:W)),0)</f>
        <v>339481519.35402</v>
      </c>
      <c r="L17" s="3">
        <f>-IF(L$1&lt;=Summary!$C$2,(_xlfn.XLOOKUP($C17,PL_NG!$C:$C,PL_NG!X:X)+_xlfn.XLOOKUP($C17,PL_UK!$C:$C,PL_UK!X:X)+_xlfn.XLOOKUP($C17,PL_UAE!$C:$C,PL_UAE!X:X)),0)</f>
        <v>529491465.52687997</v>
      </c>
      <c r="M17" s="3">
        <f>-IF(M$1&lt;=Summary!$C$2,(_xlfn.XLOOKUP($C17,PL_NG!$C:$C,PL_NG!Y:Y)+_xlfn.XLOOKUP($C17,PL_UK!$C:$C,PL_UK!Y:Y)+_xlfn.XLOOKUP($C17,PL_UAE!$C:$C,PL_UAE!Y:Y)),0)</f>
        <v>426435239.37700003</v>
      </c>
      <c r="N17" s="3">
        <f>-IF(N$1&lt;=Summary!$C$2,(_xlfn.XLOOKUP($C17,PL_NG!$C:$C,PL_NG!Z:Z)+_xlfn.XLOOKUP($C17,PL_UK!$C:$C,PL_UK!Z:Z)+_xlfn.XLOOKUP($C17,PL_UAE!$C:$C,PL_UAE!Z:Z)),0)</f>
        <v>379391078.69549996</v>
      </c>
      <c r="O17" s="3">
        <f>-IF(O$1&lt;=Summary!$C$2,(_xlfn.XLOOKUP($C17,PL_NG!$C:$C,PL_NG!AA:AA)+_xlfn.XLOOKUP($C17,PL_UK!$C:$C,PL_UK!AA:AA)+_xlfn.XLOOKUP($C17,PL_UAE!$C:$C,PL_UAE!AA:AA)),0)</f>
        <v>593563459.30986989</v>
      </c>
      <c r="P17" s="3">
        <f>-IF(P$1&lt;=Summary!$C$2,(_xlfn.XLOOKUP($C17,PL_NG!$C:$C,PL_NG!AB:AB)+_xlfn.XLOOKUP($C17,PL_UK!$C:$C,PL_UK!AB:AB)+_xlfn.XLOOKUP($C17,PL_UAE!$C:$C,PL_UAE!AB:AB)),0)</f>
        <v>368924802.53951997</v>
      </c>
      <c r="Q17" s="3">
        <f>-IF(Q$1&lt;=Summary!$C$2,(_xlfn.XLOOKUP($C17,PL_NG!$C:$C,PL_NG!AC:AC)+_xlfn.XLOOKUP($C17,PL_UK!$C:$C,PL_UK!AC:AC)+_xlfn.XLOOKUP($C17,PL_UAE!$C:$C,PL_UAE!AC:AC)),0)</f>
        <v>338093564.60195005</v>
      </c>
      <c r="R17" s="3">
        <f>-IF(R$1&lt;=Summary!$C$2,(_xlfn.XLOOKUP($C17,PL_NG!$C:$C,PL_NG!AD:AD)+_xlfn.XLOOKUP($C17,PL_UK!$C:$C,PL_UK!AD:AD)+_xlfn.XLOOKUP($C17,PL_UAE!$C:$C,PL_UAE!AD:AD)),0)</f>
        <v>304002518.22841001</v>
      </c>
      <c r="S17" s="3">
        <f>-IF(S$1&lt;=Summary!$C$2,(_xlfn.XLOOKUP($C17,PL_NG!$C:$C,PL_NG!AE:AE)+_xlfn.XLOOKUP($C17,PL_UK!$C:$C,PL_UK!AE:AE)+_xlfn.XLOOKUP($C17,PL_UAE!$C:$C,PL_UAE!AE:AE)),0)</f>
        <v>298784326.31147999</v>
      </c>
      <c r="T17" s="198">
        <f>R4-R17</f>
        <v>103129902.15258998</v>
      </c>
      <c r="X17" s="198">
        <f>SUM(D17:O17)</f>
        <v>4605812486.4707413</v>
      </c>
      <c r="Y17" s="198">
        <f>SUM(P17:U17)</f>
        <v>1412935113.83395</v>
      </c>
    </row>
    <row r="19" spans="3:25" x14ac:dyDescent="0.2">
      <c r="C19" t="s">
        <v>12</v>
      </c>
      <c r="D19" s="3">
        <f>-IF(D$1&lt;=Summary!$C$2,(_xlfn.XLOOKUP($C19,PL_NG!$C:$C,PL_NG!P:P)+_xlfn.XLOOKUP($C19,PL_UK!$C:$C,PL_UK!P:P)+_xlfn.XLOOKUP($C19,PL_UAE!$C:$C,PL_UAE!P:P)),0)</f>
        <v>83728537.282899976</v>
      </c>
      <c r="E19" s="3">
        <f>-IF(E$1&lt;=Summary!$C$2,(_xlfn.XLOOKUP($C19,PL_NG!$C:$C,PL_NG!Q:Q)+_xlfn.XLOOKUP($C19,PL_UK!$C:$C,PL_UK!Q:Q)+_xlfn.XLOOKUP($C19,PL_UAE!$C:$C,PL_UAE!Q:Q)),0)</f>
        <v>102860657.24339898</v>
      </c>
      <c r="F19" s="3">
        <f>-IF(F$1&lt;=Summary!$C$2,(_xlfn.XLOOKUP($C19,PL_NG!$C:$C,PL_NG!R:R)+_xlfn.XLOOKUP($C19,PL_UK!$C:$C,PL_UK!R:R)+_xlfn.XLOOKUP($C19,PL_UAE!$C:$C,PL_UAE!R:R)),0)</f>
        <v>89274542.725059941</v>
      </c>
      <c r="G19" s="3">
        <f>-IF(G$1&lt;=Summary!$C$2,(_xlfn.XLOOKUP($C19,PL_NG!$C:$C,PL_NG!S:S)+_xlfn.XLOOKUP($C19,PL_UK!$C:$C,PL_UK!S:S)+_xlfn.XLOOKUP($C19,PL_UAE!$C:$C,PL_UAE!S:S)),0)</f>
        <v>-31914740.311309967</v>
      </c>
      <c r="H19" s="3">
        <f>-IF(H$1&lt;=Summary!$C$2,(_xlfn.XLOOKUP($C19,PL_NG!$C:$C,PL_NG!T:T)+_xlfn.XLOOKUP($C19,PL_UK!$C:$C,PL_UK!T:T)+_xlfn.XLOOKUP($C19,PL_UAE!$C:$C,PL_UAE!T:T)),0)</f>
        <v>364408219.89578986</v>
      </c>
      <c r="I19" s="3">
        <f>-IF(I$1&lt;=Summary!$C$2,(_xlfn.XLOOKUP($C19,PL_NG!$C:$C,PL_NG!U:U)+_xlfn.XLOOKUP($C19,PL_UK!$C:$C,PL_UK!U:U)+_xlfn.XLOOKUP($C19,PL_UAE!$C:$C,PL_UAE!U:U)),0)</f>
        <v>347645739.11702991</v>
      </c>
      <c r="J19" s="3">
        <f>-IF(J$1&lt;=Summary!$C$2,(_xlfn.XLOOKUP($C19,PL_NG!$C:$C,PL_NG!V:V)+_xlfn.XLOOKUP($C19,PL_UK!$C:$C,PL_UK!V:V)+_xlfn.XLOOKUP($C19,PL_UAE!$C:$C,PL_UAE!V:V)),0)</f>
        <v>245592180.52469999</v>
      </c>
      <c r="K19" s="3">
        <f>-IF(K$1&lt;=Summary!$C$2,(_xlfn.XLOOKUP($C19,PL_NG!$C:$C,PL_NG!W:W)+_xlfn.XLOOKUP($C19,PL_UK!$C:$C,PL_UK!W:W)+_xlfn.XLOOKUP($C19,PL_UAE!$C:$C,PL_UAE!W:W)),0)</f>
        <v>104862335.08081998</v>
      </c>
      <c r="L19" s="3">
        <f>-IF(L$1&lt;=Summary!$C$2,(_xlfn.XLOOKUP($C19,PL_NG!$C:$C,PL_NG!X:X)+_xlfn.XLOOKUP($C19,PL_UK!$C:$C,PL_UK!X:X)+_xlfn.XLOOKUP($C19,PL_UAE!$C:$C,PL_UAE!X:X)),0)</f>
        <v>217429970.89157993</v>
      </c>
      <c r="M19" s="3">
        <f>-IF(M$1&lt;=Summary!$C$2,(_xlfn.XLOOKUP($C19,PL_NG!$C:$C,PL_NG!Y:Y)+_xlfn.XLOOKUP($C19,PL_UK!$C:$C,PL_UK!Y:Y)+_xlfn.XLOOKUP($C19,PL_UAE!$C:$C,PL_UAE!Y:Y)),0)</f>
        <v>-253911062.24000004</v>
      </c>
      <c r="N19" s="3">
        <f>-IF(N$1&lt;=Summary!$C$2,(_xlfn.XLOOKUP($C19,PL_NG!$C:$C,PL_NG!Z:Z)+_xlfn.XLOOKUP($C19,PL_UK!$C:$C,PL_UK!Z:Z)+_xlfn.XLOOKUP($C19,PL_UAE!$C:$C,PL_UAE!Z:Z)),0)</f>
        <v>102915848.26249996</v>
      </c>
      <c r="O19" s="3">
        <f>-IF(O$1&lt;=Summary!$C$2,(_xlfn.XLOOKUP($C19,PL_NG!$C:$C,PL_NG!AA:AA)+_xlfn.XLOOKUP($C19,PL_UK!$C:$C,PL_UK!AA:AA)+_xlfn.XLOOKUP($C19,PL_UAE!$C:$C,PL_UAE!AA:AA)),0)</f>
        <v>257363075.29144979</v>
      </c>
      <c r="P19" s="3">
        <f>-IF(P$1&lt;=Summary!$C$2,(_xlfn.XLOOKUP($C19,PL_NG!$C:$C,PL_NG!AB:AB)+_xlfn.XLOOKUP($C19,PL_UK!$C:$C,PL_UK!AB:AB)+_xlfn.XLOOKUP($C19,PL_UAE!$C:$C,PL_UAE!AB:AB)),0)</f>
        <v>-195271196.07188016</v>
      </c>
      <c r="Q19" s="3">
        <f>-IF(Q$1&lt;=Summary!$C$2,(_xlfn.XLOOKUP($C19,PL_NG!$C:$C,PL_NG!AC:AC)+_xlfn.XLOOKUP($C19,PL_UK!$C:$C,PL_UK!AC:AC)+_xlfn.XLOOKUP($C19,PL_UAE!$C:$C,PL_UAE!AC:AC)),0)</f>
        <v>-301709528.07525003</v>
      </c>
      <c r="R19" s="3">
        <f>-IF(R$1&lt;=Summary!$C$2,(_xlfn.XLOOKUP($C19,PL_NG!$C:$C,PL_NG!AD:AD)+_xlfn.XLOOKUP($C19,PL_UK!$C:$C,PL_UK!AD:AD)+_xlfn.XLOOKUP($C19,PL_UAE!$C:$C,PL_UAE!AD:AD)),0)</f>
        <v>-84651869.002590001</v>
      </c>
      <c r="S19" s="3">
        <f>-IF(S$1&lt;=Summary!$C$2,(_xlfn.XLOOKUP($C19,PL_NG!$C:$C,PL_NG!AE:AE)+_xlfn.XLOOKUP($C19,PL_UK!$C:$C,PL_UK!AE:AE)+_xlfn.XLOOKUP($C19,PL_UAE!$C:$C,PL_UAE!AE:AE)),0)</f>
        <v>-35711702.000519991</v>
      </c>
      <c r="X19" s="198">
        <f>SUM(D19:O19)</f>
        <v>1630255303.7639184</v>
      </c>
      <c r="Y19" s="198">
        <f>SUM(P19:U19)</f>
        <v>-617344295.15024018</v>
      </c>
    </row>
    <row r="22" spans="3:25" x14ac:dyDescent="0.2">
      <c r="C22" t="s">
        <v>9</v>
      </c>
      <c r="D22" s="3">
        <f>IF(D$1&lt;=Summary!$C$2,(_xlfn.XLOOKUP($C22,PL_NG!$C:$C,PL_NG!P:P)+_xlfn.XLOOKUP($C22,PL_UK!$C:$C,PL_UK!P:P)+_xlfn.XLOOKUP($C22,PL_UAE!$C:$C,PL_UAE!P:P)),0)+PL_NG!P53</f>
        <v>258986.21669999999</v>
      </c>
      <c r="E22" s="3">
        <f>IF(E$1&lt;=Summary!$C$2,(_xlfn.XLOOKUP($C22,PL_NG!$C:$C,PL_NG!Q:Q)+_xlfn.XLOOKUP($C22,PL_UK!$C:$C,PL_UK!Q:Q)+_xlfn.XLOOKUP($C22,PL_UAE!$C:$C,PL_UAE!Q:Q)),0)+PL_NG!Q53</f>
        <v>116831.67</v>
      </c>
      <c r="F22" s="3">
        <f>IF(F$1&lt;=Summary!$C$2,(_xlfn.XLOOKUP($C22,PL_NG!$C:$C,PL_NG!R:R)+_xlfn.XLOOKUP($C22,PL_UK!$C:$C,PL_UK!R:R)+_xlfn.XLOOKUP($C22,PL_UAE!$C:$C,PL_UAE!R:R)),0)+PL_NG!R53</f>
        <v>127627.63</v>
      </c>
      <c r="G22" s="3">
        <f>IF(G$1&lt;=Summary!$C$2,(_xlfn.XLOOKUP($C22,PL_NG!$C:$C,PL_NG!S:S)+_xlfn.XLOOKUP($C22,PL_UK!$C:$C,PL_UK!S:S)+_xlfn.XLOOKUP($C22,PL_UAE!$C:$C,PL_UAE!S:S)),0)+PL_NG!S53</f>
        <v>147291.04</v>
      </c>
      <c r="H22" s="3">
        <f>IF(H$1&lt;=Summary!$C$2,(_xlfn.XLOOKUP($C22,PL_NG!$C:$C,PL_NG!T:T)+_xlfn.XLOOKUP($C22,PL_UK!$C:$C,PL_UK!T:T)+_xlfn.XLOOKUP($C22,PL_UAE!$C:$C,PL_UAE!T:T)),0)+PL_NG!T53</f>
        <v>61831.68</v>
      </c>
      <c r="I22" s="3">
        <f>IF(I$1&lt;=Summary!$C$2,(_xlfn.XLOOKUP($C22,PL_NG!$C:$C,PL_NG!U:U)+_xlfn.XLOOKUP($C22,PL_UK!$C:$C,PL_UK!U:U)+_xlfn.XLOOKUP($C22,PL_UAE!$C:$C,PL_UAE!U:U)),0)+PL_NG!U53</f>
        <v>178615.67999999999</v>
      </c>
      <c r="J22" s="3">
        <f>IF(J$1&lt;=Summary!$C$2,(_xlfn.XLOOKUP($C22,PL_NG!$C:$C,PL_NG!V:V)+_xlfn.XLOOKUP($C22,PL_UK!$C:$C,PL_UK!V:V)+_xlfn.XLOOKUP($C22,PL_UAE!$C:$C,PL_UAE!V:V)),0)+PL_NG!V53</f>
        <v>163978.25</v>
      </c>
      <c r="K22" s="3">
        <f>IF(K$1&lt;=Summary!$C$2,(_xlfn.XLOOKUP($C22,PL_NG!$C:$C,PL_NG!W:W)+_xlfn.XLOOKUP($C22,PL_UK!$C:$C,PL_UK!W:W)+_xlfn.XLOOKUP($C22,PL_UAE!$C:$C,PL_UAE!W:W)),0)+PL_NG!W53</f>
        <v>340090.46909999999</v>
      </c>
      <c r="L22" s="3">
        <f>IF(L$1&lt;=Summary!$C$2,(_xlfn.XLOOKUP($C22,PL_NG!$C:$C,PL_NG!X:X)+_xlfn.XLOOKUP($C22,PL_UK!$C:$C,PL_UK!X:X)+_xlfn.XLOOKUP($C22,PL_UAE!$C:$C,PL_UAE!X:X)),0)+PL_NG!X53</f>
        <v>158016.72</v>
      </c>
      <c r="M22" s="3">
        <f>IF(M$1&lt;=Summary!$C$2,(_xlfn.XLOOKUP($C22,PL_NG!$C:$C,PL_NG!Y:Y)+_xlfn.XLOOKUP($C22,PL_UK!$C:$C,PL_UK!Y:Y)+_xlfn.XLOOKUP($C22,PL_UAE!$C:$C,PL_UAE!Y:Y)),0)+PL_NG!Y53</f>
        <v>288654.21000000002</v>
      </c>
      <c r="N22" s="3">
        <f>IF(N$1&lt;=Summary!$C$2,(_xlfn.XLOOKUP($C22,PL_NG!$C:$C,PL_NG!Z:Z)+_xlfn.XLOOKUP($C22,PL_UK!$C:$C,PL_UK!Z:Z)+_xlfn.XLOOKUP($C22,PL_UAE!$C:$C,PL_UAE!Z:Z)),0)+PL_NG!Z53</f>
        <v>275219.26</v>
      </c>
      <c r="O22" s="3">
        <f>IF(O$1&lt;=Summary!$C$2,(_xlfn.XLOOKUP($C22,PL_NG!$C:$C,PL_NG!AA:AA)+_xlfn.XLOOKUP($C22,PL_UK!$C:$C,PL_UK!AA:AA)+_xlfn.XLOOKUP($C22,PL_UAE!$C:$C,PL_UAE!AA:AA)),0)+PL_NG!AA53+PL_NG!AA51</f>
        <v>38342740.288419999</v>
      </c>
      <c r="P22" s="3">
        <f>IF(P$1&lt;=Summary!$C$2,(_xlfn.XLOOKUP($C22,PL_NG!$C:$C,PL_NG!AB:AB)+_xlfn.XLOOKUP($C22,PL_UK!$C:$C,PL_UK!AB:AB)+_xlfn.XLOOKUP($C22,PL_UAE!$C:$C,PL_UAE!AB:AB)),0)+PL_NG!AB53+PL_NG!AB51</f>
        <v>182607.23</v>
      </c>
      <c r="Q22" s="3">
        <f>IF(Q$1&lt;=Summary!$C$2,(_xlfn.XLOOKUP($C22,PL_NG!$C:$C,PL_NG!AC:AC)+_xlfn.XLOOKUP($C22,PL_UK!$C:$C,PL_UK!AC:AC)+_xlfn.XLOOKUP($C22,PL_UAE!$C:$C,PL_UAE!AC:AC)),0)+PL_NG!AC53+PL_NG!AC51</f>
        <v>63750.67</v>
      </c>
      <c r="R22" s="3">
        <f>IF(R$1&lt;=Summary!$C$2,(_xlfn.XLOOKUP($C22,PL_NG!$C:$C,PL_NG!AD:AD)+_xlfn.XLOOKUP($C22,PL_UK!$C:$C,PL_UK!AD:AD)+_xlfn.XLOOKUP($C22,PL_UAE!$C:$C,PL_UAE!AD:AD)),0)+PL_NG!AD53+PL_NG!AD51</f>
        <v>58776.08</v>
      </c>
      <c r="S22" s="3">
        <f>IF(S$1&lt;=Summary!$C$2,(_xlfn.XLOOKUP($C22,PL_NG!$C:$C,PL_NG!AE:AE)+_xlfn.XLOOKUP($C22,PL_UK!$C:$C,PL_UK!AE:AE)+_xlfn.XLOOKUP($C22,PL_UAE!$C:$C,PL_UAE!AE:AE)),0)+PL_NG!AE53+PL_NG!AE51</f>
        <v>97500.01</v>
      </c>
      <c r="X22" s="198">
        <f>SUM(D22:O22)</f>
        <v>40459883.114220001</v>
      </c>
      <c r="Y22" s="198">
        <f>SUM(P22:U22)</f>
        <v>402633.99000000005</v>
      </c>
    </row>
    <row r="23" spans="3:25" x14ac:dyDescent="0.2">
      <c r="C23" t="s">
        <v>122</v>
      </c>
      <c r="D23" s="3">
        <f>IF(D$1&lt;=Summary!$C$2,(_xlfn.XLOOKUP($C23,PL_NG!$C:$C,PL_NG!P:P)+_xlfn.XLOOKUP($C23,PL_UK!$C:$C,PL_UK!P:P)+_xlfn.XLOOKUP($C23,PL_UAE!$C:$C,PL_UAE!P:P)),0)</f>
        <v>38751472.469999999</v>
      </c>
      <c r="E23" s="3">
        <f>IF(E$1&lt;=Summary!$C$2,(_xlfn.XLOOKUP($C23,PL_NG!$C:$C,PL_NG!Q:Q)+_xlfn.XLOOKUP($C23,PL_UK!$C:$C,PL_UK!Q:Q)+_xlfn.XLOOKUP($C23,PL_UAE!$C:$C,PL_UAE!Q:Q)),0)</f>
        <v>31184802.43</v>
      </c>
      <c r="F23" s="3">
        <f>IF(F$1&lt;=Summary!$C$2,(_xlfn.XLOOKUP($C23,PL_NG!$C:$C,PL_NG!R:R)+_xlfn.XLOOKUP($C23,PL_UK!$C:$C,PL_UK!R:R)+_xlfn.XLOOKUP($C23,PL_UAE!$C:$C,PL_UAE!R:R)),0)</f>
        <v>28119044.399999999</v>
      </c>
      <c r="G23" s="3">
        <f>IF(G$1&lt;=Summary!$C$2,(_xlfn.XLOOKUP($C23,PL_NG!$C:$C,PL_NG!S:S)+_xlfn.XLOOKUP($C23,PL_UK!$C:$C,PL_UK!S:S)+_xlfn.XLOOKUP($C23,PL_UAE!$C:$C,PL_UAE!S:S)),0)</f>
        <v>29552228.469999999</v>
      </c>
      <c r="H23" s="3">
        <f>IF(H$1&lt;=Summary!$C$2,(_xlfn.XLOOKUP($C23,PL_NG!$C:$C,PL_NG!T:T)+_xlfn.XLOOKUP($C23,PL_UK!$C:$C,PL_UK!T:T)+_xlfn.XLOOKUP($C23,PL_UAE!$C:$C,PL_UAE!T:T)),0)</f>
        <v>23048167.809999999</v>
      </c>
      <c r="I23" s="3">
        <f>IF(I$1&lt;=Summary!$C$2,(_xlfn.XLOOKUP($C23,PL_NG!$C:$C,PL_NG!U:U)+_xlfn.XLOOKUP($C23,PL_UK!$C:$C,PL_UK!U:U)+_xlfn.XLOOKUP($C23,PL_UAE!$C:$C,PL_UAE!U:U)),0)</f>
        <v>21322970.579999998</v>
      </c>
      <c r="J23" s="3">
        <f>IF(J$1&lt;=Summary!$C$2,(_xlfn.XLOOKUP($C23,PL_NG!$C:$C,PL_NG!V:V)+_xlfn.XLOOKUP($C23,PL_UK!$C:$C,PL_UK!V:V)+_xlfn.XLOOKUP($C23,PL_UAE!$C:$C,PL_UAE!V:V)),0)</f>
        <v>21175915.25</v>
      </c>
      <c r="K23" s="3">
        <f>IF(K$1&lt;=Summary!$C$2,(_xlfn.XLOOKUP($C23,PL_NG!$C:$C,PL_NG!W:W)+_xlfn.XLOOKUP($C23,PL_UK!$C:$C,PL_UK!W:W)+_xlfn.XLOOKUP($C23,PL_UAE!$C:$C,PL_UAE!W:W)),0)</f>
        <v>31763676.260000002</v>
      </c>
      <c r="L23" s="3">
        <f>IF(L$1&lt;=Summary!$C$2,(_xlfn.XLOOKUP($C23,PL_NG!$C:$C,PL_NG!X:X)+_xlfn.XLOOKUP($C23,PL_UK!$C:$C,PL_UK!X:X)+_xlfn.XLOOKUP($C23,PL_UAE!$C:$C,PL_UAE!X:X)),0)</f>
        <v>15462167.050000001</v>
      </c>
      <c r="M23" s="3">
        <f>IF(M$1&lt;=Summary!$C$2,(_xlfn.XLOOKUP($C23,PL_NG!$C:$C,PL_NG!Y:Y)+_xlfn.XLOOKUP($C23,PL_UK!$C:$C,PL_UK!Y:Y)+_xlfn.XLOOKUP($C23,PL_UAE!$C:$C,PL_UAE!Y:Y)),0)</f>
        <v>16242790.119999999</v>
      </c>
      <c r="N23" s="3">
        <f>IF(N$1&lt;=Summary!$C$2,(_xlfn.XLOOKUP($C23,PL_NG!$C:$C,PL_NG!Z:Z)+_xlfn.XLOOKUP($C23,PL_UK!$C:$C,PL_UK!Z:Z)+_xlfn.XLOOKUP($C23,PL_UAE!$C:$C,PL_UAE!Z:Z)),0)</f>
        <v>15914740.76</v>
      </c>
      <c r="O23" s="3">
        <f>IF(O$1&lt;=Summary!$C$2,(_xlfn.XLOOKUP($C23,PL_NG!$C:$C,PL_NG!AA:AA)+_xlfn.XLOOKUP($C23,PL_UK!$C:$C,PL_UK!AA:AA)+_xlfn.XLOOKUP($C23,PL_UAE!$C:$C,PL_UAE!AA:AA)),0)</f>
        <v>134622064.13</v>
      </c>
      <c r="P23" s="3">
        <f>IF(P$1&lt;=Summary!$C$2,(_xlfn.XLOOKUP($C23,PL_NG!$C:$C,PL_NG!AB:AB)+_xlfn.XLOOKUP($C23,PL_UK!$C:$C,PL_UK!AB:AB)+_xlfn.XLOOKUP($C23,PL_UAE!$C:$C,PL_UAE!AB:AB)),0)</f>
        <v>5216928.2</v>
      </c>
      <c r="Q23" s="3">
        <f>IF(Q$1&lt;=Summary!$C$2,(_xlfn.XLOOKUP($C23,PL_NG!$C:$C,PL_NG!AC:AC)+_xlfn.XLOOKUP($C23,PL_UK!$C:$C,PL_UK!AC:AC)+_xlfn.XLOOKUP($C23,PL_UAE!$C:$C,PL_UAE!AC:AC)),0)</f>
        <v>22252736.030000001</v>
      </c>
      <c r="R23" s="3">
        <f>IF(R$1&lt;=Summary!$C$2,(_xlfn.XLOOKUP($C23,PL_NG!$C:$C,PL_NG!AD:AD)+_xlfn.XLOOKUP($C23,PL_UK!$C:$C,PL_UK!AD:AD)+_xlfn.XLOOKUP($C23,PL_UAE!$C:$C,PL_UAE!AD:AD)),0)+PL_NG!AD52</f>
        <v>-18536809.23</v>
      </c>
      <c r="S23" s="3">
        <f>IF(S$1&lt;=Summary!$C$2,(_xlfn.XLOOKUP($C23,PL_NG!$C:$C,PL_NG!AE:AE)+_xlfn.XLOOKUP($C23,PL_UK!$C:$C,PL_UK!AE:AE)+_xlfn.XLOOKUP($C23,PL_UAE!$C:$C,PL_UAE!AE:AE)),0)+PL_NG!AE52</f>
        <v>63101019.709999993</v>
      </c>
      <c r="X23" s="198">
        <f>SUM(D23:O23)</f>
        <v>407160039.73000002</v>
      </c>
      <c r="Y23" s="198">
        <f>SUM(P23:U23)</f>
        <v>72033874.709999993</v>
      </c>
    </row>
    <row r="24" spans="3:25" x14ac:dyDescent="0.2">
      <c r="C24" t="s">
        <v>726</v>
      </c>
      <c r="D24" s="3">
        <f>-IF(D$1&lt;=Summary!$C$2,(_xlfn.XLOOKUP($C24,PL_NG!$C:$C,PL_NG!P:P)+_xlfn.XLOOKUP($C24,PL_UK!$C:$C,PL_UK!P:P)+_xlfn.XLOOKUP($C24,PL_UAE!$C:$C,PL_UAE!P:P)),0)</f>
        <v>0</v>
      </c>
      <c r="E24" s="3">
        <f>-IF(E$1&lt;=Summary!$C$2,(_xlfn.XLOOKUP($C24,PL_NG!$C:$C,PL_NG!Q:Q)+_xlfn.XLOOKUP($C24,PL_UK!$C:$C,PL_UK!Q:Q)+_xlfn.XLOOKUP($C24,PL_UAE!$C:$C,PL_UAE!Q:Q)),0)</f>
        <v>0</v>
      </c>
      <c r="F24" s="3">
        <f>-IF(F$1&lt;=Summary!$C$2,(_xlfn.XLOOKUP($C24,PL_NG!$C:$C,PL_NG!R:R)+_xlfn.XLOOKUP($C24,PL_UK!$C:$C,PL_UK!R:R)+_xlfn.XLOOKUP($C24,PL_UAE!$C:$C,PL_UAE!R:R)),0)</f>
        <v>0</v>
      </c>
      <c r="G24" s="3">
        <f>-IF(G$1&lt;=Summary!$C$2,(_xlfn.XLOOKUP($C24,PL_NG!$C:$C,PL_NG!S:S)+_xlfn.XLOOKUP($C24,PL_UK!$C:$C,PL_UK!S:S)+_xlfn.XLOOKUP($C24,PL_UAE!$C:$C,PL_UAE!S:S)),0)</f>
        <v>0</v>
      </c>
      <c r="H24" s="3">
        <f>-IF(H$1&lt;=Summary!$C$2,(_xlfn.XLOOKUP($C24,PL_NG!$C:$C,PL_NG!T:T)+_xlfn.XLOOKUP($C24,PL_UK!$C:$C,PL_UK!T:T)+_xlfn.XLOOKUP($C24,PL_UAE!$C:$C,PL_UAE!T:T)),0)</f>
        <v>144180000</v>
      </c>
      <c r="I24" s="3">
        <f>-IF(I$1&lt;=Summary!$C$2,(_xlfn.XLOOKUP($C24,PL_NG!$C:$C,PL_NG!U:U)+_xlfn.XLOOKUP($C24,PL_UK!$C:$C,PL_UK!U:U)+_xlfn.XLOOKUP($C24,PL_UAE!$C:$C,PL_UAE!U:U)),0)</f>
        <v>0</v>
      </c>
      <c r="J24" s="3">
        <f>-IF(J$1&lt;=Summary!$C$2,(_xlfn.XLOOKUP($C24,PL_NG!$C:$C,PL_NG!V:V)+_xlfn.XLOOKUP($C24,PL_UK!$C:$C,PL_UK!V:V)+_xlfn.XLOOKUP($C24,PL_UAE!$C:$C,PL_UAE!V:V)),0)</f>
        <v>0</v>
      </c>
      <c r="K24" s="3">
        <f>-IF(K$1&lt;=Summary!$C$2,(_xlfn.XLOOKUP($C24,PL_NG!$C:$C,PL_NG!W:W)+_xlfn.XLOOKUP($C24,PL_UK!$C:$C,PL_UK!W:W)+_xlfn.XLOOKUP($C24,PL_UAE!$C:$C,PL_UAE!W:W)),0)</f>
        <v>0</v>
      </c>
      <c r="L24" s="3">
        <f>-IF(L$1&lt;=Summary!$C$2,(_xlfn.XLOOKUP($C24,PL_NG!$C:$C,PL_NG!X:X)+_xlfn.XLOOKUP($C24,PL_UK!$C:$C,PL_UK!X:X)+_xlfn.XLOOKUP($C24,PL_UAE!$C:$C,PL_UAE!X:X)),0)</f>
        <v>0</v>
      </c>
      <c r="M24" s="3">
        <f>-IF(M$1&lt;=Summary!$C$2,(_xlfn.XLOOKUP($C24,PL_NG!$C:$C,PL_NG!Y:Y)+_xlfn.XLOOKUP($C24,PL_UK!$C:$C,PL_UK!Y:Y)+_xlfn.XLOOKUP($C24,PL_UAE!$C:$C,PL_UAE!Y:Y)),0)</f>
        <v>134088144</v>
      </c>
      <c r="N24" s="3">
        <f>-IF(N$1&lt;=Summary!$C$2,(_xlfn.XLOOKUP($C24,PL_NG!$C:$C,PL_NG!Z:Z)+_xlfn.XLOOKUP($C24,PL_UK!$C:$C,PL_UK!Z:Z)+_xlfn.XLOOKUP($C24,PL_UAE!$C:$C,PL_UAE!Z:Z)),0)</f>
        <v>0</v>
      </c>
      <c r="O24" s="3">
        <f>-IF(O$1&lt;=Summary!$C$2,(_xlfn.XLOOKUP($C24,PL_NG!$C:$C,PL_NG!AA:AA)+_xlfn.XLOOKUP($C24,PL_UK!$C:$C,PL_UK!AA:AA)+_xlfn.XLOOKUP($C24,PL_UAE!$C:$C,PL_UAE!AA:AA)),0)</f>
        <v>0</v>
      </c>
      <c r="P24" s="3">
        <f>-IF(P$1&lt;=Summary!$C$2,(_xlfn.XLOOKUP($C24,PL_NG!$C:$C,PL_NG!AB:AB)+_xlfn.XLOOKUP($C24,PL_UK!$C:$C,PL_UK!AB:AB)+_xlfn.XLOOKUP($C24,PL_UAE!$C:$C,PL_UAE!AB:AB)),0)</f>
        <v>0</v>
      </c>
      <c r="Q24" s="3">
        <f>-IF(Q$1&lt;=Summary!$C$2,(_xlfn.XLOOKUP($C24,PL_NG!$C:$C,PL_NG!AC:AC)+_xlfn.XLOOKUP($C24,PL_UK!$C:$C,PL_UK!AC:AC)+_xlfn.XLOOKUP($C24,PL_UAE!$C:$C,PL_UAE!AC:AC)),0)</f>
        <v>0</v>
      </c>
      <c r="R24" s="3">
        <f>-IF(R$1&lt;=Summary!$C$2,(_xlfn.XLOOKUP($C24,PL_NG!$C:$C,PL_NG!AD:AD)+_xlfn.XLOOKUP($C24,PL_UK!$C:$C,PL_UK!AD:AD)+_xlfn.XLOOKUP($C24,PL_UAE!$C:$C,PL_UAE!AD:AD)),0)</f>
        <v>0</v>
      </c>
      <c r="S24" s="3">
        <f>-IF(S$1&lt;=Summary!$C$2,(_xlfn.XLOOKUP($C24,PL_NG!$C:$C,PL_NG!AE:AE)+_xlfn.XLOOKUP($C24,PL_UK!$C:$C,PL_UK!AE:AE)+_xlfn.XLOOKUP($C24,PL_UAE!$C:$C,PL_UAE!AE:AE)),0)</f>
        <v>0</v>
      </c>
      <c r="X24" s="198">
        <f>SUM(D24:O24)</f>
        <v>278268144</v>
      </c>
      <c r="Y24" s="198">
        <f>SUM(P24:U24)</f>
        <v>0</v>
      </c>
    </row>
    <row r="27" spans="3:25" x14ac:dyDescent="0.2">
      <c r="C27" t="s">
        <v>660</v>
      </c>
      <c r="D27" s="3">
        <f>-(PL_NG!P177+PL_UK!P124+PL_UAE!P122)</f>
        <v>3580533.3415999999</v>
      </c>
      <c r="E27" s="3">
        <f>-(PL_NG!Q177+PL_UK!Q124+PL_UAE!Q122)</f>
        <v>3843702.3839999591</v>
      </c>
      <c r="F27" s="3">
        <f>-(PL_NG!R177+PL_UK!R124+PL_UAE!R122)</f>
        <v>3882713.1979999999</v>
      </c>
      <c r="G27" s="3">
        <f>-(PL_NG!S177+PL_UK!S124+PL_UAE!S122)</f>
        <v>3896499.3728</v>
      </c>
      <c r="H27" s="3">
        <f>-(PL_NG!T177+PL_UK!T124+PL_UAE!T122)</f>
        <v>3903088.8359999997</v>
      </c>
      <c r="I27" s="3">
        <f>-(PL_NG!U177+PL_UK!U124+PL_UAE!U122)</f>
        <v>3900039.1631999998</v>
      </c>
      <c r="J27" s="3">
        <f>-(PL_NG!V177+PL_UK!V124+PL_UAE!V122)</f>
        <v>4094373.2476000004</v>
      </c>
      <c r="K27" s="3">
        <f>-(PL_NG!W177+PL_UK!W124+PL_UAE!W122)</f>
        <v>4232577.3136</v>
      </c>
      <c r="L27" s="3">
        <f>-(PL_NG!X177+PL_UK!X124+PL_UAE!X122)</f>
        <v>4188956.1932000001</v>
      </c>
      <c r="M27" s="3">
        <f>-(PL_NG!Y177+PL_UK!Y124+PL_UAE!Y122)</f>
        <v>4172154.926</v>
      </c>
      <c r="N27" s="3">
        <f>-(PL_NG!Z177+PL_UK!Z124+PL_UAE!Z122)</f>
        <v>4387848.1176000005</v>
      </c>
      <c r="O27" s="3">
        <f>-(PL_NG!AA177+PL_UK!AA124+PL_UAE!AA122)</f>
        <v>4436028.1100000003</v>
      </c>
      <c r="P27" s="3">
        <f>-(PL_NG!AB177+PL_UK!AB124+PL_UAE!AB122)</f>
        <v>4056096.6568</v>
      </c>
      <c r="Q27" s="3">
        <f>-(PL_NG!AC177+PL_UK!AC124+PL_UAE!AC122)</f>
        <v>4169801.8056000001</v>
      </c>
      <c r="R27" s="3">
        <f>-(PL_NG!AD177+PL_UK!AD124+PL_UAE!AD122)</f>
        <v>3952356.0279999999</v>
      </c>
      <c r="S27" s="3">
        <f>-(PL_NG!AE177+PL_UK!AE124+PL_UAE!AE122)</f>
        <v>4176826.5579999997</v>
      </c>
      <c r="X27" s="198">
        <f>SUM(D27:O27)</f>
        <v>48518514.20359996</v>
      </c>
      <c r="Y27" s="198">
        <f>SUM(P27:U27)</f>
        <v>16355081.048400002</v>
      </c>
    </row>
    <row r="28" spans="3:25" x14ac:dyDescent="0.2">
      <c r="C28" t="s">
        <v>743</v>
      </c>
      <c r="D28" s="3">
        <f>-(PL_NG!P178+PL_UAE!P123)</f>
        <v>1216061.824</v>
      </c>
      <c r="E28" s="3">
        <f>-(PL_NG!Q178+PL_UAE!Q123)</f>
        <v>1215678.1912</v>
      </c>
      <c r="F28" s="3">
        <f>-(PL_NG!R178+PL_UAE!R123)</f>
        <v>1216042.4561999999</v>
      </c>
      <c r="G28" s="3">
        <f>-(PL_NG!S178+PL_UAE!S123)</f>
        <v>1216687.9301999998</v>
      </c>
      <c r="H28" s="3">
        <f>-(PL_NG!T178+PL_UAE!T123)</f>
        <v>1216551.5322</v>
      </c>
      <c r="I28" s="3">
        <f>-(PL_NG!U178+PL_UAE!U123)</f>
        <v>1216100.8817999999</v>
      </c>
      <c r="J28" s="3">
        <f>-(PL_NG!V178+PL_UAE!V123)</f>
        <v>3645613.6396000003</v>
      </c>
      <c r="K28" s="3">
        <f>-(PL_NG!W178+PL_UAE!W123)</f>
        <v>2430878.4364</v>
      </c>
      <c r="L28" s="3">
        <f>-(PL_NG!X178+PL_UAE!X123)</f>
        <v>2430347.4507999998</v>
      </c>
      <c r="M28" s="3">
        <f>-(PL_NG!Y178+PL_UAE!Y123)</f>
        <v>2430013.58</v>
      </c>
      <c r="N28" s="3">
        <f>-(PL_NG!Z178+PL_UAE!Z123)</f>
        <v>2429992.9950000001</v>
      </c>
      <c r="O28" s="3">
        <f>-(PL_NG!AA178+PL_UAE!AA123)</f>
        <v>2430014.9046</v>
      </c>
      <c r="P28" s="3">
        <f>-(PL_NG!AB178+PL_UAE!AB123)</f>
        <v>8371115.8004000001</v>
      </c>
      <c r="Q28" s="3">
        <f>-(PL_NG!AC178+PL_UAE!AC123)</f>
        <v>8370817.4790000003</v>
      </c>
      <c r="R28" s="3">
        <f>-(PL_NG!AD178+PL_UAE!AD123)</f>
        <v>8371067.0766000003</v>
      </c>
      <c r="S28" s="3">
        <f>-(PL_NG!AE178+PL_UAE!AE123)</f>
        <v>8370987.2067999998</v>
      </c>
      <c r="X28" s="198">
        <f>SUM(D28:O28)</f>
        <v>23093983.821999997</v>
      </c>
      <c r="Y28" s="198">
        <f>SUM(P28:U28)</f>
        <v>33483987.562799998</v>
      </c>
    </row>
    <row r="30" spans="3:25" x14ac:dyDescent="0.2">
      <c r="C30" t="s">
        <v>1398</v>
      </c>
      <c r="D30">
        <f>-(PL_NG!P199+PL_UK!P140+PL_UAE!P140)</f>
        <v>0</v>
      </c>
      <c r="E30">
        <f>-(PL_NG!Q199+PL_UK!Q140+PL_UAE!Q140)</f>
        <v>0</v>
      </c>
      <c r="F30">
        <f>-(PL_NG!R199+PL_UK!R140+PL_UAE!R140)</f>
        <v>0</v>
      </c>
      <c r="G30">
        <f>-(PL_NG!S199+PL_UK!S140+PL_UAE!S140)</f>
        <v>0</v>
      </c>
      <c r="H30">
        <f>-(PL_NG!T199+PL_UK!T140+PL_UAE!T140)</f>
        <v>0</v>
      </c>
      <c r="I30">
        <f>-(PL_NG!U199+PL_UK!U140+PL_UAE!U140)</f>
        <v>0</v>
      </c>
      <c r="J30">
        <f>-(PL_NG!V199+PL_UK!V140+PL_UAE!V140)</f>
        <v>0</v>
      </c>
      <c r="K30">
        <f>-(PL_NG!W199+PL_UK!W140+PL_UAE!W140)</f>
        <v>0</v>
      </c>
      <c r="L30">
        <f>-(PL_NG!X199+PL_UK!X140+PL_UAE!X140)</f>
        <v>0</v>
      </c>
      <c r="M30">
        <f>-(PL_NG!Y199+PL_UK!Y140+PL_UAE!Y140)</f>
        <v>0</v>
      </c>
      <c r="N30">
        <f>-(PL_NG!Z199+PL_UK!Z140+PL_UAE!Z140)</f>
        <v>0</v>
      </c>
      <c r="O30">
        <f>-(PL_NG!AA199+PL_UK!AA140+PL_UAE!AA140)</f>
        <v>0</v>
      </c>
      <c r="P30">
        <f>-(PL_NG!AB199+PL_UK!AB140+PL_UAE!AB140)</f>
        <v>0</v>
      </c>
      <c r="Q30">
        <f>-(PL_NG!AC199+PL_UK!AC140+PL_UAE!AC140)</f>
        <v>0</v>
      </c>
      <c r="R30">
        <f>-(PL_NG!AD199+PL_UK!AD140+PL_UAE!AD140)</f>
        <v>0</v>
      </c>
      <c r="S30">
        <f>-(PL_NG!AE199+PL_UK!AE140+PL_UAE!AE140)</f>
        <v>0</v>
      </c>
      <c r="X30" s="198">
        <f>SUM(D30:O30)</f>
        <v>0</v>
      </c>
      <c r="Y30" s="198">
        <f>SUM(P30:U30)</f>
        <v>0</v>
      </c>
    </row>
    <row r="32" spans="3:25" x14ac:dyDescent="0.2">
      <c r="C32" t="s">
        <v>152</v>
      </c>
      <c r="D32" s="3">
        <f>IF(D$1&lt;=Summary!$C$2,(_xlfn.XLOOKUP($C32,PL_NG!$C:$C,PL_NG!P:P)+_xlfn.XLOOKUP($C32,PL_UK!$C:$C,PL_UK!P:P)+_xlfn.XLOOKUP($C32,PL_UAE!$C:$C,PL_UAE!P:P)),0)</f>
        <v>-88525132.448499978</v>
      </c>
      <c r="E32" s="3">
        <f>IF(E$1&lt;=Summary!$C$2,(_xlfn.XLOOKUP($C32,PL_NG!$C:$C,PL_NG!Q:Q)+_xlfn.XLOOKUP($C32,PL_UK!$C:$C,PL_UK!Q:Q)+_xlfn.XLOOKUP($C32,PL_UAE!$C:$C,PL_UAE!Q:Q)),0)</f>
        <v>-107920037.81859896</v>
      </c>
      <c r="F32" s="3">
        <f>IF(F$1&lt;=Summary!$C$2,(_xlfn.XLOOKUP($C32,PL_NG!$C:$C,PL_NG!R:R)+_xlfn.XLOOKUP($C32,PL_UK!$C:$C,PL_UK!R:R)+_xlfn.XLOOKUP($C32,PL_UAE!$C:$C,PL_UAE!R:R)),0)</f>
        <v>-94373298.379259944</v>
      </c>
      <c r="G32" s="3">
        <f>IF(G$1&lt;=Summary!$C$2,(_xlfn.XLOOKUP($C32,PL_NG!$C:$C,PL_NG!S:S)+_xlfn.XLOOKUP($C32,PL_UK!$C:$C,PL_UK!S:S)+_xlfn.XLOOKUP($C32,PL_UAE!$C:$C,PL_UAE!S:S)),0)</f>
        <v>26801553.008309972</v>
      </c>
      <c r="H32" s="3">
        <f>IF(H$1&lt;=Summary!$C$2,(_xlfn.XLOOKUP($C32,PL_NG!$C:$C,PL_NG!T:T)+_xlfn.XLOOKUP($C32,PL_UK!$C:$C,PL_UK!T:T)+_xlfn.XLOOKUP($C32,PL_UAE!$C:$C,PL_UAE!T:T)),0)</f>
        <v>-513707860.26398993</v>
      </c>
      <c r="I32" s="3">
        <f>IF(I$1&lt;=Summary!$C$2,(_xlfn.XLOOKUP($C32,PL_NG!$C:$C,PL_NG!U:U)+_xlfn.XLOOKUP($C32,PL_UK!$C:$C,PL_UK!U:U)+_xlfn.XLOOKUP($C32,PL_UAE!$C:$C,PL_UAE!U:U)),0)</f>
        <v>-352761879.16202998</v>
      </c>
      <c r="J32" s="3">
        <f>IF(J$1&lt;=Summary!$C$2,(_xlfn.XLOOKUP($C32,PL_NG!$C:$C,PL_NG!V:V)+_xlfn.XLOOKUP($C32,PL_UK!$C:$C,PL_UK!V:V)+_xlfn.XLOOKUP($C32,PL_UAE!$C:$C,PL_UAE!V:V)),0)</f>
        <v>-253332167.41189995</v>
      </c>
      <c r="K32" s="3">
        <f>IF(K$1&lt;=Summary!$C$2,(_xlfn.XLOOKUP($C32,PL_NG!$C:$C,PL_NG!W:W)+_xlfn.XLOOKUP($C32,PL_UK!$C:$C,PL_UK!W:W)+_xlfn.XLOOKUP($C32,PL_UAE!$C:$C,PL_UAE!W:W)),0)</f>
        <v>-111525790.83081996</v>
      </c>
      <c r="L32" s="3">
        <f>IF(L$1&lt;=Summary!$C$2,(_xlfn.XLOOKUP($C32,PL_NG!$C:$C,PL_NG!X:X)+_xlfn.XLOOKUP($C32,PL_UK!$C:$C,PL_UK!X:X)+_xlfn.XLOOKUP($C32,PL_UAE!$C:$C,PL_UAE!X:X)),0)</f>
        <v>-224049274.53557992</v>
      </c>
      <c r="M32" s="3">
        <f>IF(M$1&lt;=Summary!$C$2,(_xlfn.XLOOKUP($C32,PL_NG!$C:$C,PL_NG!Y:Y)+_xlfn.XLOOKUP($C32,PL_UK!$C:$C,PL_UK!Y:Y)+_xlfn.XLOOKUP($C32,PL_UAE!$C:$C,PL_UAE!Y:Y)),0)</f>
        <v>113220749.73400006</v>
      </c>
      <c r="N32" s="3">
        <f>IF(N$1&lt;=Summary!$C$2,(_xlfn.XLOOKUP($C32,PL_NG!$C:$C,PL_NG!Z:Z)+_xlfn.XLOOKUP($C32,PL_UK!$C:$C,PL_UK!Z:Z)+_xlfn.XLOOKUP($C32,PL_UAE!$C:$C,PL_UAE!Z:Z)),0)</f>
        <v>-109733689.37509994</v>
      </c>
      <c r="O32" s="3">
        <f>IF(O$1&lt;=Summary!$C$2,(_xlfn.XLOOKUP($C32,PL_NG!$C:$C,PL_NG!AA:AA)+_xlfn.XLOOKUP($C32,PL_UK!$C:$C,PL_UK!AA:AA)+_xlfn.XLOOKUP($C32,PL_UAE!$C:$C,PL_UAE!AA:AA)),0)</f>
        <v>-264229118.30604988</v>
      </c>
      <c r="P32" s="3">
        <f>IF(P$1&lt;=Summary!$C$2,(_xlfn.XLOOKUP($C32,PL_NG!$C:$C,PL_NG!AB:AB)+_xlfn.XLOOKUP($C32,PL_UK!$C:$C,PL_UK!AB:AB)+_xlfn.XLOOKUP($C32,PL_UAE!$C:$C,PL_UAE!AB:AB)),0)</f>
        <v>182843983.61468014</v>
      </c>
      <c r="Q32" s="3">
        <f>IF(Q$1&lt;=Summary!$C$2,(_xlfn.XLOOKUP($C32,PL_NG!$C:$C,PL_NG!AC:AC)+_xlfn.XLOOKUP($C32,PL_UK!$C:$C,PL_UK!AC:AC)+_xlfn.XLOOKUP($C32,PL_UAE!$C:$C,PL_UAE!AC:AC)),0)</f>
        <v>289168908.79065001</v>
      </c>
      <c r="R32" s="3">
        <f>IF(R$1&lt;=Summary!$C$2,(_xlfn.XLOOKUP($C32,PL_NG!$C:$C,PL_NG!AD:AD)+_xlfn.XLOOKUP($C32,PL_UK!$C:$C,PL_UK!AD:AD)+_xlfn.XLOOKUP($C32,PL_UAE!$C:$C,PL_UAE!AD:AD)),0)</f>
        <v>72328445.897990018</v>
      </c>
      <c r="S32" s="3">
        <f>IF(S$1&lt;=Summary!$C$2,(_xlfn.XLOOKUP($C32,PL_NG!$C:$C,PL_NG!AE:AE)+_xlfn.XLOOKUP($C32,PL_UK!$C:$C,PL_UK!AE:AE)+_xlfn.XLOOKUP($C32,PL_UAE!$C:$C,PL_UAE!AE:AE)),0)</f>
        <v>23163888.235719986</v>
      </c>
      <c r="X32" s="198">
        <f>SUM(D32:O32)</f>
        <v>-1980135945.7895186</v>
      </c>
      <c r="Y32" s="198">
        <f>SUM(P32:U32)</f>
        <v>567505226.53904021</v>
      </c>
    </row>
    <row r="34" spans="4:19" x14ac:dyDescent="0.2">
      <c r="O34" s="390">
        <f>-215649*1000</f>
        <v>-215649000</v>
      </c>
      <c r="P34" s="390">
        <f>-215649*1000</f>
        <v>-215649000</v>
      </c>
      <c r="Q34" s="390">
        <f>-215649*1000</f>
        <v>-215649000</v>
      </c>
      <c r="R34" s="390">
        <f>-215649*1000</f>
        <v>-215649000</v>
      </c>
      <c r="S34" s="390">
        <f>-215649*1000</f>
        <v>-215649000</v>
      </c>
    </row>
    <row r="35" spans="4:19" x14ac:dyDescent="0.2">
      <c r="D35" s="200">
        <v>-78932</v>
      </c>
      <c r="O35" s="198">
        <f>O32-O34</f>
        <v>-48580118.306049883</v>
      </c>
      <c r="P35" s="198">
        <f>P32-P34</f>
        <v>398492983.61468017</v>
      </c>
      <c r="Q35" s="198">
        <f>Q32-Q34</f>
        <v>504817908.79065001</v>
      </c>
      <c r="R35" s="198">
        <f>R32-R34</f>
        <v>287977445.89798999</v>
      </c>
      <c r="S35" s="198">
        <f>S32-S34</f>
        <v>238812888.23571998</v>
      </c>
    </row>
    <row r="36" spans="4:19" x14ac:dyDescent="0.2">
      <c r="D36">
        <f>D35*1000</f>
        <v>-78932000</v>
      </c>
    </row>
    <row r="37" spans="4:19" x14ac:dyDescent="0.2">
      <c r="D37" s="198">
        <f>D32-D36</f>
        <v>-9593132.4484999776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C7C2-E3B5-974B-9F01-FADA3D54316F}">
  <dimension ref="C4:E21"/>
  <sheetViews>
    <sheetView workbookViewId="0">
      <selection activeCell="E22" sqref="E22"/>
    </sheetView>
  </sheetViews>
  <sheetFormatPr baseColWidth="10" defaultRowHeight="15" x14ac:dyDescent="0.2"/>
  <cols>
    <col min="4" max="4" width="35.33203125" bestFit="1" customWidth="1"/>
    <col min="5" max="5" width="16.5" style="50" bestFit="1" customWidth="1"/>
  </cols>
  <sheetData>
    <row r="4" spans="3:5" x14ac:dyDescent="0.2">
      <c r="C4" t="s">
        <v>1694</v>
      </c>
      <c r="D4" s="363" t="s">
        <v>1685</v>
      </c>
      <c r="E4" s="367" t="s">
        <v>2</v>
      </c>
    </row>
    <row r="5" spans="3:5" x14ac:dyDescent="0.2">
      <c r="D5" s="371" t="s">
        <v>1247</v>
      </c>
      <c r="E5" s="372">
        <f>Summary!L8</f>
        <v>2370489724.2603998</v>
      </c>
    </row>
    <row r="6" spans="3:5" x14ac:dyDescent="0.2">
      <c r="D6" s="371" t="s">
        <v>1600</v>
      </c>
      <c r="E6" s="372">
        <f>Summary!L9</f>
        <v>-515776726.12879997</v>
      </c>
    </row>
    <row r="7" spans="3:5" x14ac:dyDescent="0.2">
      <c r="D7" s="364" t="s">
        <v>7</v>
      </c>
      <c r="E7" s="368">
        <f>E5+E6</f>
        <v>1854712998.1315999</v>
      </c>
    </row>
    <row r="8" spans="3:5" x14ac:dyDescent="0.2">
      <c r="D8" s="371" t="s">
        <v>9</v>
      </c>
      <c r="E8" s="372">
        <f>Summary!L11</f>
        <v>72436508.699999988</v>
      </c>
    </row>
    <row r="9" spans="3:5" x14ac:dyDescent="0.2">
      <c r="D9" s="371" t="s">
        <v>1686</v>
      </c>
      <c r="E9" s="372">
        <f>Summary!L12+Summary!L18</f>
        <v>-1309805211.68136</v>
      </c>
    </row>
    <row r="10" spans="3:5" x14ac:dyDescent="0.2">
      <c r="D10" s="364" t="s">
        <v>12</v>
      </c>
      <c r="E10" s="368">
        <f>E7+E8+E9</f>
        <v>617344295.15023994</v>
      </c>
    </row>
    <row r="11" spans="3:5" x14ac:dyDescent="0.2">
      <c r="D11" s="371" t="s">
        <v>1687</v>
      </c>
      <c r="E11" s="372">
        <f>Summary!L14</f>
        <v>-49839068.611200005</v>
      </c>
    </row>
    <row r="12" spans="3:5" x14ac:dyDescent="0.2">
      <c r="D12" s="371" t="s">
        <v>1688</v>
      </c>
      <c r="E12" s="372">
        <f>Summary!L16</f>
        <v>0</v>
      </c>
    </row>
    <row r="13" spans="3:5" x14ac:dyDescent="0.2">
      <c r="D13" s="364" t="s">
        <v>1689</v>
      </c>
      <c r="E13" s="368">
        <f>E10+E11+E12</f>
        <v>567505226.53903997</v>
      </c>
    </row>
    <row r="14" spans="3:5" ht="16" x14ac:dyDescent="0.2">
      <c r="D14" s="365"/>
      <c r="E14" s="369"/>
    </row>
    <row r="15" spans="3:5" x14ac:dyDescent="0.2">
      <c r="D15" s="363" t="s">
        <v>1690</v>
      </c>
    </row>
    <row r="16" spans="3:5" x14ac:dyDescent="0.2">
      <c r="C16" t="s">
        <v>1693</v>
      </c>
      <c r="D16" s="364" t="s">
        <v>1691</v>
      </c>
      <c r="E16" s="368">
        <f>Summary!D100</f>
        <v>8285754025.6200018</v>
      </c>
    </row>
    <row r="17" spans="4:5" x14ac:dyDescent="0.2">
      <c r="D17" s="364" t="s">
        <v>60</v>
      </c>
      <c r="E17" s="368">
        <f>Summary!D106+Summary!D108</f>
        <v>1478579427.5</v>
      </c>
    </row>
    <row r="18" spans="4:5" x14ac:dyDescent="0.2">
      <c r="D18" s="364" t="s">
        <v>1324</v>
      </c>
      <c r="E18" s="368">
        <f>Summary!D112</f>
        <v>6807174598.1200008</v>
      </c>
    </row>
    <row r="19" spans="4:5" x14ac:dyDescent="0.2">
      <c r="D19" s="366"/>
      <c r="E19" s="370"/>
    </row>
    <row r="20" spans="4:5" x14ac:dyDescent="0.2">
      <c r="E20" s="368"/>
    </row>
    <row r="21" spans="4:5" x14ac:dyDescent="0.2">
      <c r="D21" s="364" t="s">
        <v>1692</v>
      </c>
      <c r="E21" s="373">
        <f>Summary!D156</f>
        <v>1379738483.5400012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197A-D91D-4E81-899B-9E4233339F71}">
  <sheetPr codeName="Sheet9">
    <tabColor rgb="FF0070C0"/>
  </sheetPr>
  <dimension ref="A2:F652"/>
  <sheetViews>
    <sheetView zoomScale="70" zoomScaleNormal="70" workbookViewId="0">
      <selection activeCell="D2" sqref="D2"/>
    </sheetView>
  </sheetViews>
  <sheetFormatPr baseColWidth="10" defaultColWidth="8.83203125" defaultRowHeight="15" outlineLevelRow="1" x14ac:dyDescent="0.2"/>
  <cols>
    <col min="1" max="1" width="4.5" style="290" customWidth="1"/>
    <col min="2" max="2" width="8.6640625" style="284"/>
    <col min="3" max="3" width="59.5" style="291" customWidth="1"/>
    <col min="4" max="5" width="17.6640625" style="300" customWidth="1"/>
    <col min="6" max="6" width="17.6640625" style="278" customWidth="1"/>
  </cols>
  <sheetData>
    <row r="2" spans="1:6" ht="20" x14ac:dyDescent="0.2">
      <c r="A2" s="310" t="s">
        <v>1473</v>
      </c>
      <c r="B2" s="310"/>
      <c r="C2" s="310"/>
      <c r="D2" s="317">
        <f>Summary!C2</f>
        <v>46142</v>
      </c>
      <c r="E2" s="310"/>
    </row>
    <row r="3" spans="1:6" ht="20" x14ac:dyDescent="0.2">
      <c r="A3" s="279"/>
      <c r="B3" s="279"/>
      <c r="C3" s="279"/>
      <c r="D3" s="279"/>
      <c r="E3" s="279"/>
    </row>
    <row r="4" spans="1:6" ht="17" x14ac:dyDescent="0.2">
      <c r="A4" s="311" t="s">
        <v>1634</v>
      </c>
      <c r="B4" s="311"/>
      <c r="C4" s="311"/>
      <c r="D4" s="311"/>
      <c r="E4" s="311"/>
    </row>
    <row r="5" spans="1:6" ht="17" x14ac:dyDescent="0.2">
      <c r="A5" s="280"/>
      <c r="B5" s="280"/>
      <c r="C5" s="280"/>
      <c r="D5" s="280">
        <v>2025</v>
      </c>
      <c r="E5" s="280">
        <v>2024</v>
      </c>
    </row>
    <row r="6" spans="1:6" ht="15.75" customHeight="1" x14ac:dyDescent="0.2">
      <c r="A6" s="281" t="s">
        <v>1474</v>
      </c>
      <c r="B6" s="282"/>
      <c r="C6" s="281" t="s">
        <v>1475</v>
      </c>
      <c r="D6" s="283"/>
      <c r="E6" s="283" t="s">
        <v>1476</v>
      </c>
    </row>
    <row r="7" spans="1:6" hidden="1" outlineLevel="1" x14ac:dyDescent="0.2">
      <c r="A7" s="281">
        <v>1</v>
      </c>
      <c r="C7" s="285" t="s">
        <v>1477</v>
      </c>
      <c r="D7" s="283"/>
      <c r="E7" s="283"/>
    </row>
    <row r="8" spans="1:6" hidden="1" outlineLevel="1" x14ac:dyDescent="0.2">
      <c r="A8" s="281"/>
      <c r="B8" s="282">
        <v>15000</v>
      </c>
      <c r="C8" s="286" t="s">
        <v>233</v>
      </c>
      <c r="D8" s="287">
        <f>SUMIFS(INDEX(TB_NG!$A:$AC, MATCH($B8, TB_NG!$A:$A, 0), ),TB_NG!$A$3:$AC$3, "&gt;="&amp;DATE(YEAR($D$2),1,1),TB_NG!$A$3:$AC$3, "&lt;="&amp;$D$2)</f>
        <v>0</v>
      </c>
      <c r="E8" s="287">
        <v>36171942.920000002</v>
      </c>
    </row>
    <row r="9" spans="1:6" hidden="1" outlineLevel="1" x14ac:dyDescent="0.2">
      <c r="A9" s="281"/>
      <c r="B9" s="282">
        <v>15100</v>
      </c>
      <c r="C9" s="286" t="s">
        <v>234</v>
      </c>
      <c r="D9" s="287">
        <f>SUMIFS(INDEX(TB_NG!$A:$AC, MATCH($B9, TB_NG!$A:$A, 0), ),TB_NG!$A$3:$AC$3, "&gt;="&amp;DATE(YEAR($D$2),1,1),TB_NG!$A$3:$AC$3, "&lt;="&amp;$D$2)</f>
        <v>0</v>
      </c>
      <c r="E9" s="287">
        <v>3645000</v>
      </c>
    </row>
    <row r="10" spans="1:6" hidden="1" outlineLevel="1" x14ac:dyDescent="0.2">
      <c r="A10" s="281"/>
      <c r="B10" s="282">
        <v>15200</v>
      </c>
      <c r="C10" s="286" t="s">
        <v>235</v>
      </c>
      <c r="D10" s="287">
        <f>SUMIFS(INDEX(TB_NG!$A:$AC, MATCH($B10, TB_NG!$A:$A, 0), ),TB_NG!$A$3:$AC$3, "&gt;="&amp;DATE(YEAR($D$2),1,1),TB_NG!$A$3:$AC$3, "&lt;="&amp;$D$2)</f>
        <v>0</v>
      </c>
      <c r="E10" s="287">
        <v>302982472.25999999</v>
      </c>
    </row>
    <row r="11" spans="1:6" hidden="1" outlineLevel="1" x14ac:dyDescent="0.2">
      <c r="A11" s="281"/>
      <c r="B11" s="282">
        <v>15300</v>
      </c>
      <c r="C11" s="286" t="s">
        <v>236</v>
      </c>
      <c r="D11" s="287">
        <f>SUMIFS(INDEX(TB_NG!$A:$AC, MATCH($B11, TB_NG!$A:$A, 0), ),TB_NG!$A$3:$AC$3, "&gt;="&amp;DATE(YEAR($D$2),1,1),TB_NG!$A$3:$AC$3, "&lt;="&amp;$D$2)</f>
        <v>0</v>
      </c>
      <c r="E11" s="287">
        <v>16565780.25</v>
      </c>
    </row>
    <row r="12" spans="1:6" hidden="1" outlineLevel="1" x14ac:dyDescent="0.2">
      <c r="A12" s="281"/>
      <c r="B12" s="282">
        <v>15400</v>
      </c>
      <c r="C12" s="286" t="s">
        <v>237</v>
      </c>
      <c r="D12" s="287">
        <f>SUMIFS(INDEX(TB_NG!$A:$AC, MATCH($B12, TB_NG!$A:$A, 0), ),TB_NG!$A$3:$AC$3, "&gt;="&amp;DATE(YEAR($D$2),1,1),TB_NG!$A$3:$AC$3, "&lt;="&amp;$D$2)</f>
        <v>0</v>
      </c>
      <c r="E12" s="287">
        <v>179350495.81</v>
      </c>
    </row>
    <row r="13" spans="1:6" hidden="1" outlineLevel="1" x14ac:dyDescent="0.2">
      <c r="A13" s="281"/>
      <c r="B13" s="282">
        <v>15405</v>
      </c>
      <c r="C13" s="286" t="s">
        <v>238</v>
      </c>
      <c r="D13" s="287">
        <f>SUMIFS(INDEX(TB_NG!$A:$AC, MATCH($B13, TB_NG!$A:$A, 0), ),TB_NG!$A$3:$AC$3, "&gt;="&amp;DATE(YEAR($D$2),1,1),TB_NG!$A$3:$AC$3, "&lt;="&amp;$D$2)</f>
        <v>0</v>
      </c>
      <c r="E13" s="287">
        <v>17904365.100000001</v>
      </c>
    </row>
    <row r="14" spans="1:6" hidden="1" outlineLevel="1" x14ac:dyDescent="0.2">
      <c r="A14" s="281"/>
      <c r="B14" s="282">
        <v>15410</v>
      </c>
      <c r="C14" s="286" t="s">
        <v>239</v>
      </c>
      <c r="D14" s="287">
        <f>SUMIFS(INDEX(TB_NG!$A:$AC, MATCH($B14, TB_NG!$A:$A, 0), ),TB_NG!$A$3:$AC$3, "&gt;="&amp;DATE(YEAR($D$2),1,1),TB_NG!$A$3:$AC$3, "&lt;="&amp;$D$2)</f>
        <v>0</v>
      </c>
      <c r="E14" s="287">
        <v>2410161.5</v>
      </c>
      <c r="F14" s="288">
        <v>559030217.84000003</v>
      </c>
    </row>
    <row r="15" spans="1:6" hidden="1" outlineLevel="1" x14ac:dyDescent="0.2">
      <c r="A15" s="281"/>
      <c r="B15" s="282">
        <v>16000</v>
      </c>
      <c r="C15" s="286" t="s">
        <v>242</v>
      </c>
      <c r="D15" s="287">
        <f>SUMIFS(INDEX(TB_NG!$A:$AC, MATCH($B15, TB_NG!$A:$A, 0), ),TB_NG!$A$3:$AC$3, "&gt;="&amp;DATE(YEAR($D$2),1,1),TB_NG!$A$3:$AC$3, "&lt;="&amp;$D$2)</f>
        <v>0</v>
      </c>
      <c r="E15" s="287">
        <v>-26406453.420000002</v>
      </c>
      <c r="F15" s="289"/>
    </row>
    <row r="16" spans="1:6" hidden="1" outlineLevel="1" x14ac:dyDescent="0.2">
      <c r="A16" s="281"/>
      <c r="B16" s="282">
        <v>16100</v>
      </c>
      <c r="C16" s="286" t="s">
        <v>243</v>
      </c>
      <c r="D16" s="287">
        <f>SUMIFS(INDEX(TB_NG!$A:$AC, MATCH($B16, TB_NG!$A:$A, 0), ),TB_NG!$A$3:$AC$3, "&gt;="&amp;DATE(YEAR($D$2),1,1),TB_NG!$A$3:$AC$3, "&lt;="&amp;$D$2)</f>
        <v>0</v>
      </c>
      <c r="E16" s="287">
        <v>-3644980.0600000024</v>
      </c>
      <c r="F16" s="289"/>
    </row>
    <row r="17" spans="1:6" hidden="1" outlineLevel="1" x14ac:dyDescent="0.2">
      <c r="A17" s="281"/>
      <c r="B17" s="282">
        <v>16200</v>
      </c>
      <c r="C17" s="286" t="s">
        <v>244</v>
      </c>
      <c r="D17" s="287">
        <f>SUMIFS(INDEX(TB_NG!$A:$AC, MATCH($B17, TB_NG!$A:$A, 0), ),TB_NG!$A$3:$AC$3, "&gt;="&amp;DATE(YEAR($D$2),1,1),TB_NG!$A$3:$AC$3, "&lt;="&amp;$D$2)</f>
        <v>0</v>
      </c>
      <c r="E17" s="287">
        <v>-198247565.16</v>
      </c>
      <c r="F17" s="289"/>
    </row>
    <row r="18" spans="1:6" hidden="1" outlineLevel="1" x14ac:dyDescent="0.2">
      <c r="A18" s="281"/>
      <c r="B18" s="282">
        <v>16300</v>
      </c>
      <c r="C18" s="286" t="s">
        <v>245</v>
      </c>
      <c r="D18" s="287">
        <f>SUMIFS(INDEX(TB_NG!$A:$AC, MATCH($B18, TB_NG!$A:$A, 0), ),TB_NG!$A$3:$AC$3, "&gt;="&amp;DATE(YEAR($D$2),1,1),TB_NG!$A$3:$AC$3, "&lt;="&amp;$D$2)</f>
        <v>0</v>
      </c>
      <c r="E18" s="287">
        <v>-13889279.960000001</v>
      </c>
      <c r="F18" s="289"/>
    </row>
    <row r="19" spans="1:6" hidden="1" outlineLevel="1" x14ac:dyDescent="0.2">
      <c r="A19" s="281"/>
      <c r="B19" s="282">
        <v>16500</v>
      </c>
      <c r="C19" s="286" t="s">
        <v>254</v>
      </c>
      <c r="D19" s="287">
        <f>SUMIFS(INDEX(TB_NG!$A:$AC, MATCH($B19, TB_NG!$A:$A, 0), ),TB_NG!$A$3:$AC$3, "&gt;="&amp;DATE(YEAR($D$2),1,1),TB_NG!$A$3:$AC$3, "&lt;="&amp;$D$2)</f>
        <v>0</v>
      </c>
      <c r="E19" s="287">
        <v>-17904365.100000001</v>
      </c>
      <c r="F19" s="288">
        <v>-260092643.69999999</v>
      </c>
    </row>
    <row r="20" spans="1:6" ht="16" hidden="1" outlineLevel="1" thickBot="1" x14ac:dyDescent="0.25">
      <c r="D20" s="292"/>
      <c r="E20" s="292">
        <v>298937574.14000005</v>
      </c>
      <c r="F20" s="288">
        <v>298937574.14000005</v>
      </c>
    </row>
    <row r="21" spans="1:6" ht="16" hidden="1" outlineLevel="1" thickTop="1" x14ac:dyDescent="0.2">
      <c r="A21" s="281"/>
      <c r="B21" s="282"/>
      <c r="C21" s="286"/>
      <c r="D21" s="293"/>
      <c r="E21" s="293"/>
      <c r="F21" s="294">
        <v>-1.0099999308586121</v>
      </c>
    </row>
    <row r="22" spans="1:6" hidden="1" outlineLevel="1" x14ac:dyDescent="0.2">
      <c r="A22" s="281">
        <v>2</v>
      </c>
      <c r="B22" s="282"/>
      <c r="C22" s="285" t="s">
        <v>247</v>
      </c>
      <c r="D22" s="293"/>
      <c r="E22" s="293"/>
    </row>
    <row r="23" spans="1:6" hidden="1" outlineLevel="1" x14ac:dyDescent="0.2">
      <c r="A23" s="281"/>
      <c r="B23" s="282" t="s">
        <v>975</v>
      </c>
      <c r="C23" s="286" t="s">
        <v>249</v>
      </c>
      <c r="D23" s="293"/>
      <c r="E23" s="293">
        <v>61627057.890000001</v>
      </c>
    </row>
    <row r="24" spans="1:6" hidden="1" outlineLevel="1" x14ac:dyDescent="0.2">
      <c r="A24" s="281"/>
      <c r="B24" s="282" t="s">
        <v>1478</v>
      </c>
      <c r="C24" s="286" t="s">
        <v>250</v>
      </c>
      <c r="D24" s="293"/>
      <c r="E24" s="293">
        <v>608045544.54999995</v>
      </c>
    </row>
    <row r="25" spans="1:6" hidden="1" outlineLevel="1" x14ac:dyDescent="0.2">
      <c r="A25" s="281"/>
      <c r="B25" s="282" t="s">
        <v>1479</v>
      </c>
      <c r="C25" s="286" t="s">
        <v>251</v>
      </c>
      <c r="D25" s="293"/>
      <c r="E25" s="293">
        <v>8503671.5099999998</v>
      </c>
    </row>
    <row r="26" spans="1:6" hidden="1" outlineLevel="1" x14ac:dyDescent="0.2">
      <c r="A26" s="281"/>
      <c r="B26" s="282" t="s">
        <v>1480</v>
      </c>
      <c r="C26" s="286" t="s">
        <v>252</v>
      </c>
      <c r="D26" s="293"/>
      <c r="E26" s="293">
        <v>4400000</v>
      </c>
    </row>
    <row r="27" spans="1:6" hidden="1" outlineLevel="1" x14ac:dyDescent="0.2">
      <c r="A27" s="281"/>
      <c r="B27" s="282" t="s">
        <v>1481</v>
      </c>
      <c r="C27" s="286" t="s">
        <v>253</v>
      </c>
      <c r="D27" s="293"/>
      <c r="E27" s="293">
        <v>425611613.13999999</v>
      </c>
      <c r="F27" s="295">
        <v>1108187887.0899999</v>
      </c>
    </row>
    <row r="28" spans="1:6" hidden="1" outlineLevel="1" x14ac:dyDescent="0.2">
      <c r="A28" s="281"/>
      <c r="B28" s="282" t="s">
        <v>1482</v>
      </c>
      <c r="C28" s="286" t="s">
        <v>255</v>
      </c>
      <c r="D28" s="287"/>
      <c r="E28" s="287">
        <v>-22053681.350000001</v>
      </c>
      <c r="F28" s="295">
        <v>-22053681.350000001</v>
      </c>
    </row>
    <row r="29" spans="1:6" ht="16" hidden="1" outlineLevel="1" thickBot="1" x14ac:dyDescent="0.25">
      <c r="A29" s="281"/>
      <c r="B29" s="282"/>
      <c r="C29" s="281"/>
      <c r="D29" s="292"/>
      <c r="E29" s="292">
        <v>1086134205.74</v>
      </c>
    </row>
    <row r="30" spans="1:6" ht="16" hidden="1" outlineLevel="1" thickTop="1" x14ac:dyDescent="0.2">
      <c r="A30" s="281"/>
      <c r="B30" s="282"/>
      <c r="C30" s="281"/>
      <c r="D30" s="283"/>
      <c r="E30" s="283"/>
      <c r="F30" s="296"/>
    </row>
    <row r="31" spans="1:6" hidden="1" outlineLevel="1" x14ac:dyDescent="0.2">
      <c r="A31" s="281">
        <v>3</v>
      </c>
      <c r="B31" s="282"/>
      <c r="C31" s="285" t="s">
        <v>1483</v>
      </c>
      <c r="D31" s="293"/>
      <c r="E31" s="293"/>
    </row>
    <row r="32" spans="1:6" hidden="1" outlineLevel="1" x14ac:dyDescent="0.2">
      <c r="A32" s="281"/>
      <c r="B32" s="282" t="s">
        <v>1484</v>
      </c>
      <c r="C32" s="286" t="s">
        <v>257</v>
      </c>
      <c r="D32" s="293"/>
      <c r="E32" s="293">
        <v>881160918.50999999</v>
      </c>
    </row>
    <row r="33" spans="1:6" hidden="1" outlineLevel="1" x14ac:dyDescent="0.2">
      <c r="A33" s="281"/>
      <c r="B33" s="282" t="s">
        <v>1485</v>
      </c>
      <c r="C33" s="286" t="s">
        <v>258</v>
      </c>
      <c r="D33" s="293"/>
      <c r="E33" s="293">
        <v>594962917.33000004</v>
      </c>
    </row>
    <row r="34" spans="1:6" hidden="1" outlineLevel="1" x14ac:dyDescent="0.2">
      <c r="A34" s="281"/>
      <c r="B34" s="282" t="s">
        <v>1486</v>
      </c>
      <c r="C34" s="286" t="s">
        <v>259</v>
      </c>
      <c r="D34" s="293"/>
      <c r="E34" s="293">
        <v>417482.5</v>
      </c>
      <c r="F34" s="297"/>
    </row>
    <row r="35" spans="1:6" hidden="1" outlineLevel="1" x14ac:dyDescent="0.2">
      <c r="A35" s="281"/>
      <c r="B35" s="282" t="s">
        <v>1487</v>
      </c>
      <c r="C35" s="286" t="s">
        <v>260</v>
      </c>
      <c r="D35" s="293"/>
      <c r="E35" s="293">
        <v>1726190.7</v>
      </c>
      <c r="F35" s="297"/>
    </row>
    <row r="36" spans="1:6" hidden="1" outlineLevel="1" x14ac:dyDescent="0.2">
      <c r="A36" s="281"/>
      <c r="B36" s="282" t="s">
        <v>1488</v>
      </c>
      <c r="C36" s="286" t="s">
        <v>261</v>
      </c>
      <c r="D36" s="293"/>
      <c r="E36" s="293">
        <v>1000000</v>
      </c>
      <c r="F36" s="297"/>
    </row>
    <row r="37" spans="1:6" hidden="1" outlineLevel="1" x14ac:dyDescent="0.2">
      <c r="A37" s="281"/>
      <c r="B37" s="282" t="s">
        <v>1489</v>
      </c>
      <c r="C37" s="286" t="s">
        <v>262</v>
      </c>
      <c r="D37" s="293"/>
      <c r="E37" s="293">
        <v>0</v>
      </c>
      <c r="F37" s="297"/>
    </row>
    <row r="38" spans="1:6" ht="16" hidden="1" outlineLevel="1" thickBot="1" x14ac:dyDescent="0.25">
      <c r="A38" s="281"/>
      <c r="B38" s="282"/>
      <c r="C38" s="286"/>
      <c r="D38" s="298"/>
      <c r="E38" s="298">
        <v>1479267509.0400002</v>
      </c>
    </row>
    <row r="39" spans="1:6" ht="16" hidden="1" outlineLevel="1" thickTop="1" x14ac:dyDescent="0.2">
      <c r="A39" s="281"/>
      <c r="B39" s="282"/>
      <c r="C39" s="286"/>
      <c r="D39" s="293"/>
      <c r="E39" s="293"/>
    </row>
    <row r="40" spans="1:6" hidden="1" outlineLevel="1" x14ac:dyDescent="0.2">
      <c r="A40" s="281">
        <v>4</v>
      </c>
      <c r="B40" s="282"/>
      <c r="C40" s="285" t="s">
        <v>1490</v>
      </c>
      <c r="D40" s="293"/>
      <c r="E40" s="293"/>
    </row>
    <row r="41" spans="1:6" hidden="1" outlineLevel="1" x14ac:dyDescent="0.2">
      <c r="A41" s="281"/>
      <c r="B41" s="282" t="s">
        <v>1491</v>
      </c>
      <c r="C41" s="286" t="s">
        <v>263</v>
      </c>
      <c r="D41" s="293"/>
      <c r="E41" s="293">
        <v>20280000</v>
      </c>
    </row>
    <row r="42" spans="1:6" hidden="1" outlineLevel="1" x14ac:dyDescent="0.2">
      <c r="A42" s="281"/>
      <c r="B42" s="282" t="s">
        <v>1492</v>
      </c>
      <c r="C42" s="286" t="s">
        <v>191</v>
      </c>
      <c r="D42" s="293"/>
      <c r="E42" s="293">
        <v>454454462.16000003</v>
      </c>
    </row>
    <row r="43" spans="1:6" hidden="1" outlineLevel="1" x14ac:dyDescent="0.2">
      <c r="A43" s="281"/>
      <c r="B43" s="282" t="s">
        <v>1493</v>
      </c>
      <c r="C43" s="286" t="s">
        <v>193</v>
      </c>
      <c r="D43" s="293"/>
      <c r="E43" s="293">
        <v>5275410726.1400003</v>
      </c>
    </row>
    <row r="44" spans="1:6" ht="16" hidden="1" outlineLevel="1" thickBot="1" x14ac:dyDescent="0.25">
      <c r="A44" s="281"/>
      <c r="B44" s="282"/>
      <c r="C44" s="286"/>
      <c r="D44" s="298"/>
      <c r="E44" s="298">
        <v>5750145188.3000002</v>
      </c>
    </row>
    <row r="45" spans="1:6" ht="16" hidden="1" outlineLevel="1" thickTop="1" x14ac:dyDescent="0.2">
      <c r="A45" s="281"/>
      <c r="B45" s="282"/>
      <c r="C45" s="281"/>
      <c r="D45" s="293"/>
      <c r="E45" s="293"/>
    </row>
    <row r="46" spans="1:6" hidden="1" outlineLevel="1" x14ac:dyDescent="0.2">
      <c r="A46" s="281">
        <v>5</v>
      </c>
      <c r="B46" s="282"/>
      <c r="C46" s="285" t="s">
        <v>1494</v>
      </c>
      <c r="D46" s="293"/>
      <c r="E46" s="293"/>
    </row>
    <row r="47" spans="1:6" hidden="1" outlineLevel="1" x14ac:dyDescent="0.2">
      <c r="A47" s="281"/>
      <c r="B47" s="282" t="s">
        <v>930</v>
      </c>
      <c r="C47" s="286" t="s">
        <v>203</v>
      </c>
      <c r="D47" s="293"/>
      <c r="E47" s="293">
        <v>94581089.150000006</v>
      </c>
    </row>
    <row r="48" spans="1:6" ht="16" hidden="1" outlineLevel="1" thickBot="1" x14ac:dyDescent="0.25">
      <c r="A48" s="281"/>
      <c r="B48" s="282"/>
      <c r="C48" s="281"/>
      <c r="D48" s="298"/>
      <c r="E48" s="298">
        <v>94581089.150000006</v>
      </c>
    </row>
    <row r="49" spans="1:5" ht="16" hidden="1" outlineLevel="1" thickTop="1" x14ac:dyDescent="0.2">
      <c r="A49" s="281"/>
      <c r="B49" s="282"/>
      <c r="C49" s="281"/>
      <c r="D49" s="293"/>
      <c r="E49" s="293"/>
    </row>
    <row r="50" spans="1:5" hidden="1" outlineLevel="1" x14ac:dyDescent="0.2">
      <c r="A50" s="281">
        <v>6</v>
      </c>
      <c r="B50" s="282"/>
      <c r="C50" s="285" t="s">
        <v>1495</v>
      </c>
      <c r="D50" s="293"/>
      <c r="E50" s="293"/>
    </row>
    <row r="51" spans="1:5" hidden="1" outlineLevel="1" x14ac:dyDescent="0.2">
      <c r="A51" s="281"/>
      <c r="B51" s="282" t="s">
        <v>927</v>
      </c>
      <c r="C51" s="286" t="s">
        <v>195</v>
      </c>
      <c r="D51" s="293"/>
      <c r="E51" s="293">
        <v>1302620819.0799999</v>
      </c>
    </row>
    <row r="52" spans="1:5" ht="16" hidden="1" outlineLevel="1" thickBot="1" x14ac:dyDescent="0.25">
      <c r="A52" s="281"/>
      <c r="B52" s="282"/>
      <c r="C52" s="281"/>
      <c r="D52" s="298"/>
      <c r="E52" s="298">
        <v>1302620819.0799999</v>
      </c>
    </row>
    <row r="53" spans="1:5" ht="16" hidden="1" outlineLevel="1" thickTop="1" x14ac:dyDescent="0.2">
      <c r="A53" s="281"/>
      <c r="B53" s="282"/>
      <c r="C53" s="281"/>
      <c r="D53" s="293"/>
      <c r="E53" s="293"/>
    </row>
    <row r="54" spans="1:5" hidden="1" outlineLevel="1" x14ac:dyDescent="0.2">
      <c r="A54" s="281">
        <v>7</v>
      </c>
      <c r="B54" s="282"/>
      <c r="C54" s="299" t="s">
        <v>1496</v>
      </c>
      <c r="D54" s="293"/>
      <c r="E54" s="293"/>
    </row>
    <row r="55" spans="1:5" hidden="1" outlineLevel="1" x14ac:dyDescent="0.2">
      <c r="A55" s="281"/>
      <c r="B55" s="282" t="s">
        <v>958</v>
      </c>
      <c r="C55" s="286" t="s">
        <v>39</v>
      </c>
      <c r="D55" s="293"/>
      <c r="E55" s="293">
        <v>2660413.5099999998</v>
      </c>
    </row>
    <row r="56" spans="1:5" hidden="1" outlineLevel="1" x14ac:dyDescent="0.2">
      <c r="A56" s="281"/>
      <c r="B56" s="282" t="s">
        <v>1497</v>
      </c>
      <c r="C56" s="286" t="s">
        <v>385</v>
      </c>
      <c r="D56" s="293"/>
      <c r="E56" s="293">
        <v>0</v>
      </c>
    </row>
    <row r="57" spans="1:5" hidden="1" outlineLevel="1" x14ac:dyDescent="0.2">
      <c r="A57" s="281"/>
      <c r="B57" s="282" t="s">
        <v>1498</v>
      </c>
      <c r="C57" s="286" t="s">
        <v>213</v>
      </c>
      <c r="D57" s="293"/>
      <c r="E57" s="293">
        <v>600000</v>
      </c>
    </row>
    <row r="58" spans="1:5" hidden="1" outlineLevel="1" x14ac:dyDescent="0.2">
      <c r="A58" s="281"/>
      <c r="B58" s="282" t="s">
        <v>959</v>
      </c>
      <c r="C58" s="286" t="s">
        <v>216</v>
      </c>
      <c r="D58" s="293"/>
      <c r="E58" s="293">
        <v>19858168.43</v>
      </c>
    </row>
    <row r="59" spans="1:5" ht="16" hidden="1" outlineLevel="1" thickBot="1" x14ac:dyDescent="0.25">
      <c r="A59" s="281"/>
      <c r="B59" s="282"/>
      <c r="C59" s="286"/>
      <c r="D59" s="298"/>
      <c r="E59" s="298">
        <v>23118581.939999998</v>
      </c>
    </row>
    <row r="60" spans="1:5" ht="16" hidden="1" outlineLevel="1" thickTop="1" x14ac:dyDescent="0.2">
      <c r="A60" s="281"/>
      <c r="B60" s="282"/>
      <c r="C60" s="286"/>
      <c r="D60" s="293"/>
      <c r="E60" s="293"/>
    </row>
    <row r="61" spans="1:5" hidden="1" outlineLevel="1" x14ac:dyDescent="0.2">
      <c r="A61" s="281"/>
      <c r="B61" s="282"/>
      <c r="C61" s="286"/>
      <c r="D61" s="293"/>
      <c r="E61" s="293"/>
    </row>
    <row r="62" spans="1:5" hidden="1" outlineLevel="1" x14ac:dyDescent="0.2">
      <c r="A62" s="281"/>
      <c r="B62" s="282"/>
      <c r="C62" s="286"/>
      <c r="D62" s="293"/>
      <c r="E62" s="293"/>
    </row>
    <row r="63" spans="1:5" hidden="1" outlineLevel="1" x14ac:dyDescent="0.2">
      <c r="A63" s="281">
        <v>8</v>
      </c>
      <c r="B63" s="282"/>
      <c r="C63" s="299" t="s">
        <v>1499</v>
      </c>
      <c r="D63" s="293"/>
      <c r="E63" s="293"/>
    </row>
    <row r="64" spans="1:5" hidden="1" outlineLevel="1" x14ac:dyDescent="0.2">
      <c r="A64" s="281"/>
      <c r="B64" s="282" t="s">
        <v>1500</v>
      </c>
      <c r="C64" s="286" t="s">
        <v>218</v>
      </c>
      <c r="D64" s="293"/>
      <c r="E64" s="293">
        <v>466104687.24000001</v>
      </c>
    </row>
    <row r="65" spans="1:5" ht="16" hidden="1" outlineLevel="1" thickBot="1" x14ac:dyDescent="0.25">
      <c r="A65" s="281"/>
      <c r="B65" s="282"/>
      <c r="C65" s="281"/>
      <c r="D65" s="298"/>
      <c r="E65" s="298">
        <v>466104687.24000001</v>
      </c>
    </row>
    <row r="66" spans="1:5" ht="16" hidden="1" outlineLevel="1" thickTop="1" x14ac:dyDescent="0.2">
      <c r="A66" s="281"/>
      <c r="B66" s="282"/>
      <c r="C66" s="281"/>
      <c r="D66" s="293"/>
      <c r="E66" s="293"/>
    </row>
    <row r="67" spans="1:5" hidden="1" outlineLevel="1" x14ac:dyDescent="0.2">
      <c r="A67" s="281">
        <v>9</v>
      </c>
      <c r="B67" s="282"/>
      <c r="C67" s="299" t="s">
        <v>1501</v>
      </c>
      <c r="D67" s="293"/>
      <c r="E67" s="293"/>
    </row>
    <row r="68" spans="1:5" hidden="1" outlineLevel="1" x14ac:dyDescent="0.2">
      <c r="A68" s="281"/>
      <c r="B68" s="282" t="s">
        <v>1502</v>
      </c>
      <c r="C68" s="286" t="s">
        <v>215</v>
      </c>
      <c r="D68" s="293"/>
      <c r="E68" s="293">
        <v>1440000</v>
      </c>
    </row>
    <row r="69" spans="1:5" hidden="1" outlineLevel="1" x14ac:dyDescent="0.2">
      <c r="A69" s="281"/>
      <c r="B69" s="282" t="s">
        <v>1503</v>
      </c>
      <c r="C69" s="286" t="s">
        <v>409</v>
      </c>
      <c r="D69" s="293"/>
      <c r="E69" s="293">
        <v>0</v>
      </c>
    </row>
    <row r="70" spans="1:5" hidden="1" outlineLevel="1" x14ac:dyDescent="0.2">
      <c r="A70" s="281"/>
      <c r="B70" s="282" t="s">
        <v>1504</v>
      </c>
      <c r="C70" s="286" t="s">
        <v>221</v>
      </c>
      <c r="D70" s="293"/>
      <c r="E70" s="293">
        <v>0.35000002384185791</v>
      </c>
    </row>
    <row r="71" spans="1:5" hidden="1" outlineLevel="1" x14ac:dyDescent="0.2">
      <c r="A71" s="281"/>
      <c r="B71" s="282" t="s">
        <v>1505</v>
      </c>
      <c r="C71" s="286" t="s">
        <v>222</v>
      </c>
      <c r="D71" s="293"/>
      <c r="E71" s="293">
        <v>0.42000001668930054</v>
      </c>
    </row>
    <row r="72" spans="1:5" hidden="1" outlineLevel="1" x14ac:dyDescent="0.2">
      <c r="A72" s="281"/>
      <c r="B72" s="282" t="s">
        <v>1506</v>
      </c>
      <c r="C72" s="286" t="s">
        <v>223</v>
      </c>
      <c r="D72" s="293"/>
      <c r="E72" s="293">
        <v>7493927.7300000004</v>
      </c>
    </row>
    <row r="73" spans="1:5" hidden="1" outlineLevel="1" x14ac:dyDescent="0.2">
      <c r="A73" s="281"/>
      <c r="B73" s="282" t="s">
        <v>1507</v>
      </c>
      <c r="C73" s="286" t="s">
        <v>225</v>
      </c>
      <c r="D73" s="293"/>
      <c r="E73" s="293">
        <v>40465810.390000001</v>
      </c>
    </row>
    <row r="74" spans="1:5" hidden="1" outlineLevel="1" x14ac:dyDescent="0.2">
      <c r="A74" s="281"/>
      <c r="B74" s="282" t="s">
        <v>1508</v>
      </c>
      <c r="C74" s="286" t="s">
        <v>414</v>
      </c>
      <c r="D74" s="293"/>
      <c r="E74" s="293">
        <v>0</v>
      </c>
    </row>
    <row r="75" spans="1:5" hidden="1" outlineLevel="1" x14ac:dyDescent="0.2">
      <c r="A75" s="281"/>
      <c r="B75" s="282" t="s">
        <v>1509</v>
      </c>
      <c r="C75" s="286" t="s">
        <v>226</v>
      </c>
      <c r="D75" s="293"/>
      <c r="E75" s="293">
        <v>19576056.48</v>
      </c>
    </row>
    <row r="76" spans="1:5" hidden="1" outlineLevel="1" x14ac:dyDescent="0.2">
      <c r="A76" s="281"/>
      <c r="B76" s="282" t="s">
        <v>1510</v>
      </c>
      <c r="C76" s="286" t="s">
        <v>227</v>
      </c>
      <c r="D76" s="293"/>
      <c r="E76" s="293">
        <v>0</v>
      </c>
    </row>
    <row r="77" spans="1:5" hidden="1" outlineLevel="1" x14ac:dyDescent="0.2">
      <c r="A77" s="281"/>
      <c r="B77" s="282" t="s">
        <v>1511</v>
      </c>
      <c r="C77" s="286" t="s">
        <v>228</v>
      </c>
      <c r="D77" s="293"/>
      <c r="E77" s="293">
        <v>0</v>
      </c>
    </row>
    <row r="78" spans="1:5" hidden="1" outlineLevel="1" x14ac:dyDescent="0.2">
      <c r="A78" s="281"/>
      <c r="B78" s="282" t="s">
        <v>1512</v>
      </c>
      <c r="C78" s="286" t="s">
        <v>229</v>
      </c>
      <c r="D78" s="293"/>
      <c r="E78" s="293">
        <v>1481337</v>
      </c>
    </row>
    <row r="79" spans="1:5" hidden="1" outlineLevel="1" x14ac:dyDescent="0.2">
      <c r="A79" s="281"/>
      <c r="B79" s="282" t="s">
        <v>1513</v>
      </c>
      <c r="C79" s="286" t="s">
        <v>230</v>
      </c>
      <c r="D79" s="293"/>
      <c r="E79" s="293">
        <v>2523980.39</v>
      </c>
    </row>
    <row r="80" spans="1:5" hidden="1" outlineLevel="1" x14ac:dyDescent="0.2">
      <c r="A80" s="281"/>
    </row>
    <row r="81" spans="1:5" ht="16" hidden="1" outlineLevel="1" thickBot="1" x14ac:dyDescent="0.25">
      <c r="A81" s="281"/>
      <c r="B81" s="282"/>
      <c r="C81" s="286"/>
      <c r="D81" s="298"/>
      <c r="E81" s="298">
        <v>72981112.76000005</v>
      </c>
    </row>
    <row r="82" spans="1:5" ht="16" hidden="1" outlineLevel="1" thickTop="1" x14ac:dyDescent="0.2">
      <c r="A82" s="281"/>
      <c r="B82" s="282"/>
      <c r="C82" s="286"/>
      <c r="D82" s="293"/>
      <c r="E82" s="293"/>
    </row>
    <row r="83" spans="1:5" hidden="1" outlineLevel="1" x14ac:dyDescent="0.2">
      <c r="A83" s="281">
        <v>10</v>
      </c>
      <c r="B83" s="282"/>
      <c r="C83" s="299" t="s">
        <v>1514</v>
      </c>
      <c r="D83" s="293"/>
      <c r="E83" s="293"/>
    </row>
    <row r="84" spans="1:5" hidden="1" outlineLevel="1" x14ac:dyDescent="0.2">
      <c r="A84" s="281"/>
      <c r="B84" s="282" t="s">
        <v>960</v>
      </c>
      <c r="C84" s="286" t="s">
        <v>209</v>
      </c>
      <c r="D84" s="293"/>
      <c r="E84" s="293">
        <v>75063432.430000007</v>
      </c>
    </row>
    <row r="85" spans="1:5" hidden="1" outlineLevel="1" x14ac:dyDescent="0.2">
      <c r="A85" s="281"/>
      <c r="B85" s="282" t="s">
        <v>961</v>
      </c>
      <c r="C85" s="286" t="s">
        <v>210</v>
      </c>
      <c r="D85" s="293"/>
      <c r="E85" s="293">
        <v>13037097.65</v>
      </c>
    </row>
    <row r="86" spans="1:5" hidden="1" outlineLevel="1" x14ac:dyDescent="0.2">
      <c r="A86" s="281"/>
      <c r="B86" s="282" t="s">
        <v>1515</v>
      </c>
      <c r="C86" s="286" t="s">
        <v>211</v>
      </c>
      <c r="D86" s="293"/>
      <c r="E86" s="293">
        <v>4074074.16</v>
      </c>
    </row>
    <row r="87" spans="1:5" hidden="1" outlineLevel="1" x14ac:dyDescent="0.2">
      <c r="A87" s="281"/>
      <c r="B87" s="282" t="s">
        <v>1516</v>
      </c>
      <c r="C87" s="286" t="s">
        <v>208</v>
      </c>
      <c r="D87" s="293"/>
      <c r="E87" s="293">
        <v>111900</v>
      </c>
    </row>
    <row r="88" spans="1:5" hidden="1" outlineLevel="1" x14ac:dyDescent="0.2">
      <c r="A88" s="281"/>
      <c r="B88" s="282" t="s">
        <v>962</v>
      </c>
      <c r="C88" s="286" t="s">
        <v>217</v>
      </c>
      <c r="D88" s="293"/>
      <c r="E88" s="293">
        <v>10898024.300000001</v>
      </c>
    </row>
    <row r="89" spans="1:5" ht="16" hidden="1" outlineLevel="1" thickBot="1" x14ac:dyDescent="0.25">
      <c r="A89" s="281"/>
      <c r="B89" s="282"/>
      <c r="C89" s="286"/>
      <c r="D89" s="298"/>
      <c r="E89" s="298">
        <v>103184528.54000001</v>
      </c>
    </row>
    <row r="90" spans="1:5" ht="16" hidden="1" outlineLevel="1" thickTop="1" x14ac:dyDescent="0.2">
      <c r="A90" s="281"/>
      <c r="B90" s="282"/>
      <c r="C90" s="286"/>
      <c r="D90" s="293"/>
      <c r="E90" s="293"/>
    </row>
    <row r="91" spans="1:5" hidden="1" outlineLevel="1" x14ac:dyDescent="0.2">
      <c r="A91" s="281">
        <v>11</v>
      </c>
      <c r="B91" s="282"/>
      <c r="C91" s="299" t="s">
        <v>1517</v>
      </c>
      <c r="D91" s="293"/>
      <c r="E91" s="293"/>
    </row>
    <row r="92" spans="1:5" hidden="1" outlineLevel="1" x14ac:dyDescent="0.2">
      <c r="A92" s="281"/>
      <c r="B92" s="282">
        <v>10100</v>
      </c>
      <c r="C92" s="286" t="s">
        <v>155</v>
      </c>
      <c r="D92" s="293">
        <f>SUMIFS(INDEX(TB_NG!$A:$AC, MATCH($B92, TB_NG!$A:$A, 0), ),TB_NG!$A$3:$AC$3, "&gt;="&amp;DATE(YEAR($D$2),1,1),TB_NG!$A$3:$AC$3, "&lt;="&amp;$D$2)</f>
        <v>0</v>
      </c>
      <c r="E92" s="293">
        <v>225546.42</v>
      </c>
    </row>
    <row r="93" spans="1:5" hidden="1" outlineLevel="1" x14ac:dyDescent="0.2">
      <c r="A93" s="281"/>
      <c r="B93" s="282">
        <v>10103</v>
      </c>
      <c r="C93" s="286" t="s">
        <v>306</v>
      </c>
      <c r="D93" s="293">
        <f>SUMIFS(INDEX(TB_NG!$A:$AC, MATCH($B93, TB_NG!$A:$A, 0), ),TB_NG!$A$3:$AC$3, "&gt;="&amp;DATE(YEAR($D$2),1,1),TB_NG!$A$3:$AC$3, "&lt;="&amp;$D$2)</f>
        <v>0</v>
      </c>
      <c r="E93" s="293">
        <v>0</v>
      </c>
    </row>
    <row r="94" spans="1:5" hidden="1" outlineLevel="1" x14ac:dyDescent="0.2">
      <c r="A94" s="281"/>
      <c r="B94" s="282">
        <v>10104</v>
      </c>
      <c r="C94" s="286" t="s">
        <v>156</v>
      </c>
      <c r="D94" s="293">
        <f>SUMIFS(INDEX(TB_NG!$A:$AC, MATCH($B94, TB_NG!$A:$A, 0), ),TB_NG!$A$3:$AC$3, "&gt;="&amp;DATE(YEAR($D$2),1,1),TB_NG!$A$3:$AC$3, "&lt;="&amp;$D$2)</f>
        <v>0</v>
      </c>
      <c r="E94" s="293">
        <v>5307070.8</v>
      </c>
    </row>
    <row r="95" spans="1:5" ht="16" hidden="1" outlineLevel="1" thickBot="1" x14ac:dyDescent="0.25">
      <c r="A95" s="281"/>
      <c r="B95" s="282"/>
      <c r="C95" s="286"/>
      <c r="D95" s="301"/>
      <c r="E95" s="301">
        <v>5532617.2199999997</v>
      </c>
    </row>
    <row r="96" spans="1:5" hidden="1" outlineLevel="1" x14ac:dyDescent="0.2">
      <c r="A96" s="281"/>
      <c r="B96" s="282"/>
      <c r="C96" s="286"/>
      <c r="D96" s="293"/>
      <c r="E96" s="293"/>
    </row>
    <row r="97" spans="1:5" hidden="1" outlineLevel="1" x14ac:dyDescent="0.2">
      <c r="A97" s="281">
        <v>12</v>
      </c>
      <c r="B97" s="282"/>
      <c r="C97" s="299" t="s">
        <v>1518</v>
      </c>
      <c r="D97" s="293"/>
      <c r="E97" s="293"/>
    </row>
    <row r="98" spans="1:5" hidden="1" outlineLevel="1" x14ac:dyDescent="0.2">
      <c r="A98" s="281"/>
      <c r="B98" s="282" t="s">
        <v>1519</v>
      </c>
      <c r="C98" s="286" t="s">
        <v>157</v>
      </c>
      <c r="D98" s="293"/>
      <c r="E98" s="293">
        <v>11745.64</v>
      </c>
    </row>
    <row r="99" spans="1:5" hidden="1" outlineLevel="1" x14ac:dyDescent="0.2">
      <c r="A99" s="281"/>
      <c r="B99" s="282" t="s">
        <v>1520</v>
      </c>
      <c r="C99" s="286" t="s">
        <v>158</v>
      </c>
      <c r="D99" s="293"/>
      <c r="E99" s="293">
        <v>73124.13</v>
      </c>
    </row>
    <row r="100" spans="1:5" hidden="1" outlineLevel="1" x14ac:dyDescent="0.2">
      <c r="A100" s="281"/>
      <c r="B100" s="282" t="s">
        <v>1521</v>
      </c>
      <c r="C100" s="286" t="s">
        <v>159</v>
      </c>
      <c r="D100" s="293"/>
      <c r="E100" s="293">
        <v>20000</v>
      </c>
    </row>
    <row r="101" spans="1:5" hidden="1" outlineLevel="1" x14ac:dyDescent="0.2">
      <c r="A101" s="281"/>
      <c r="B101" s="282" t="s">
        <v>1522</v>
      </c>
      <c r="C101" s="286" t="s">
        <v>160</v>
      </c>
      <c r="D101" s="293"/>
      <c r="E101" s="293">
        <v>16485718.939999999</v>
      </c>
    </row>
    <row r="102" spans="1:5" hidden="1" outlineLevel="1" x14ac:dyDescent="0.2">
      <c r="A102" s="281"/>
      <c r="B102" s="282" t="s">
        <v>1523</v>
      </c>
      <c r="C102" s="286" t="s">
        <v>161</v>
      </c>
      <c r="D102" s="293"/>
      <c r="E102" s="293">
        <v>989850.45</v>
      </c>
    </row>
    <row r="103" spans="1:5" hidden="1" outlineLevel="1" x14ac:dyDescent="0.2">
      <c r="A103" s="281"/>
      <c r="B103" s="282" t="s">
        <v>1524</v>
      </c>
      <c r="C103" s="286" t="s">
        <v>162</v>
      </c>
      <c r="D103" s="293"/>
      <c r="E103" s="293">
        <v>5846.9</v>
      </c>
    </row>
    <row r="104" spans="1:5" hidden="1" outlineLevel="1" x14ac:dyDescent="0.2">
      <c r="A104" s="281"/>
      <c r="B104" s="282" t="s">
        <v>1525</v>
      </c>
      <c r="C104" s="286" t="s">
        <v>163</v>
      </c>
      <c r="D104" s="293"/>
      <c r="E104" s="293">
        <v>30.94</v>
      </c>
    </row>
    <row r="105" spans="1:5" hidden="1" outlineLevel="1" x14ac:dyDescent="0.2">
      <c r="A105" s="281"/>
      <c r="B105" s="282" t="s">
        <v>1526</v>
      </c>
      <c r="C105" s="286" t="s">
        <v>164</v>
      </c>
      <c r="D105" s="293"/>
      <c r="E105" s="293">
        <v>18974773.579999998</v>
      </c>
    </row>
    <row r="106" spans="1:5" hidden="1" outlineLevel="1" x14ac:dyDescent="0.2">
      <c r="A106" s="281"/>
      <c r="B106" s="282" t="s">
        <v>1527</v>
      </c>
      <c r="C106" s="286" t="s">
        <v>165</v>
      </c>
      <c r="D106" s="293"/>
      <c r="E106" s="293">
        <v>6300640.9400000004</v>
      </c>
    </row>
    <row r="107" spans="1:5" hidden="1" outlineLevel="1" x14ac:dyDescent="0.2">
      <c r="A107" s="281"/>
      <c r="B107" s="282" t="s">
        <v>1528</v>
      </c>
      <c r="C107" s="286" t="s">
        <v>1529</v>
      </c>
      <c r="D107" s="293"/>
      <c r="E107" s="293">
        <v>14829712.98</v>
      </c>
    </row>
    <row r="108" spans="1:5" hidden="1" outlineLevel="1" x14ac:dyDescent="0.2">
      <c r="A108" s="281"/>
      <c r="B108" s="282" t="s">
        <v>1530</v>
      </c>
      <c r="C108" s="286" t="s">
        <v>311</v>
      </c>
      <c r="D108" s="293"/>
      <c r="E108" s="293">
        <v>0</v>
      </c>
    </row>
    <row r="109" spans="1:5" hidden="1" outlineLevel="1" x14ac:dyDescent="0.2">
      <c r="A109" s="281"/>
      <c r="B109" s="282" t="s">
        <v>1531</v>
      </c>
      <c r="C109" s="286" t="s">
        <v>167</v>
      </c>
      <c r="D109" s="293"/>
      <c r="E109" s="293">
        <v>7139972.3799999999</v>
      </c>
    </row>
    <row r="110" spans="1:5" hidden="1" outlineLevel="1" x14ac:dyDescent="0.2">
      <c r="A110" s="281"/>
      <c r="B110" s="282" t="s">
        <v>1532</v>
      </c>
      <c r="C110" s="286" t="s">
        <v>168</v>
      </c>
      <c r="D110" s="293"/>
      <c r="E110" s="293">
        <v>31493.46</v>
      </c>
    </row>
    <row r="111" spans="1:5" hidden="1" outlineLevel="1" x14ac:dyDescent="0.2">
      <c r="A111" s="281"/>
      <c r="B111" s="282" t="s">
        <v>1533</v>
      </c>
      <c r="C111" s="286" t="s">
        <v>169</v>
      </c>
      <c r="D111" s="293"/>
      <c r="E111" s="293">
        <v>208999.86</v>
      </c>
    </row>
    <row r="112" spans="1:5" hidden="1" outlineLevel="1" x14ac:dyDescent="0.2">
      <c r="A112" s="281"/>
      <c r="B112" s="282" t="s">
        <v>1534</v>
      </c>
      <c r="C112" s="286" t="s">
        <v>312</v>
      </c>
      <c r="D112" s="293"/>
      <c r="E112" s="293">
        <v>0</v>
      </c>
    </row>
    <row r="113" spans="1:5" hidden="1" outlineLevel="1" x14ac:dyDescent="0.2">
      <c r="A113" s="281"/>
      <c r="B113" s="282" t="s">
        <v>1535</v>
      </c>
      <c r="C113" s="286" t="s">
        <v>170</v>
      </c>
      <c r="D113" s="293"/>
      <c r="E113" s="293">
        <v>736446.95</v>
      </c>
    </row>
    <row r="114" spans="1:5" hidden="1" outlineLevel="1" x14ac:dyDescent="0.2">
      <c r="A114" s="281"/>
      <c r="B114" s="282" t="s">
        <v>1536</v>
      </c>
      <c r="C114" s="286" t="s">
        <v>171</v>
      </c>
      <c r="D114" s="293"/>
      <c r="E114" s="293">
        <v>1692570.56</v>
      </c>
    </row>
    <row r="115" spans="1:5" hidden="1" outlineLevel="1" x14ac:dyDescent="0.2">
      <c r="A115" s="281"/>
      <c r="B115" s="282" t="s">
        <v>1537</v>
      </c>
      <c r="C115" s="286" t="s">
        <v>172</v>
      </c>
      <c r="D115" s="293"/>
      <c r="E115" s="293">
        <v>1189396.3899999999</v>
      </c>
    </row>
    <row r="116" spans="1:5" hidden="1" outlineLevel="1" x14ac:dyDescent="0.2">
      <c r="A116" s="281"/>
      <c r="B116" s="282" t="s">
        <v>1538</v>
      </c>
      <c r="C116" s="286" t="s">
        <v>173</v>
      </c>
      <c r="D116" s="293"/>
      <c r="E116" s="293">
        <v>0</v>
      </c>
    </row>
    <row r="117" spans="1:5" hidden="1" outlineLevel="1" x14ac:dyDescent="0.2">
      <c r="A117" s="281"/>
      <c r="B117" s="282" t="s">
        <v>1539</v>
      </c>
      <c r="C117" s="286" t="s">
        <v>1540</v>
      </c>
      <c r="D117" s="293"/>
      <c r="E117" s="293">
        <v>1397820.26</v>
      </c>
    </row>
    <row r="118" spans="1:5" hidden="1" outlineLevel="1" x14ac:dyDescent="0.2">
      <c r="A118" s="281"/>
      <c r="B118" s="282" t="s">
        <v>1541</v>
      </c>
      <c r="C118" s="286" t="s">
        <v>175</v>
      </c>
      <c r="D118" s="293"/>
      <c r="E118" s="293">
        <v>18373650.23</v>
      </c>
    </row>
    <row r="119" spans="1:5" hidden="1" outlineLevel="1" x14ac:dyDescent="0.2">
      <c r="A119" s="281"/>
      <c r="B119" s="282" t="s">
        <v>1542</v>
      </c>
      <c r="C119" s="286" t="s">
        <v>176</v>
      </c>
      <c r="D119" s="293"/>
      <c r="E119" s="293">
        <v>563903.84</v>
      </c>
    </row>
    <row r="120" spans="1:5" hidden="1" outlineLevel="1" x14ac:dyDescent="0.2">
      <c r="A120" s="281"/>
      <c r="B120" s="282" t="s">
        <v>1543</v>
      </c>
      <c r="C120" s="286" t="s">
        <v>177</v>
      </c>
      <c r="D120" s="293"/>
      <c r="E120" s="293">
        <v>9020498.2300000004</v>
      </c>
    </row>
    <row r="121" spans="1:5" hidden="1" outlineLevel="1" x14ac:dyDescent="0.2">
      <c r="A121" s="281"/>
      <c r="B121" s="282" t="s">
        <v>1544</v>
      </c>
      <c r="C121" s="286" t="s">
        <v>1545</v>
      </c>
      <c r="D121" s="293"/>
      <c r="E121" s="293">
        <v>386421.58</v>
      </c>
    </row>
    <row r="122" spans="1:5" hidden="1" outlineLevel="1" x14ac:dyDescent="0.2">
      <c r="A122" s="281"/>
      <c r="B122" s="282" t="s">
        <v>1546</v>
      </c>
      <c r="C122" s="286" t="s">
        <v>179</v>
      </c>
      <c r="D122" s="293"/>
      <c r="E122" s="293">
        <v>4695.28</v>
      </c>
    </row>
    <row r="123" spans="1:5" hidden="1" outlineLevel="1" x14ac:dyDescent="0.2">
      <c r="A123" s="281"/>
      <c r="B123" s="282" t="s">
        <v>1547</v>
      </c>
      <c r="C123" s="286" t="s">
        <v>1548</v>
      </c>
      <c r="D123" s="293"/>
      <c r="E123" s="293">
        <v>6105534.4100000001</v>
      </c>
    </row>
    <row r="124" spans="1:5" hidden="1" outlineLevel="1" x14ac:dyDescent="0.2">
      <c r="A124" s="281"/>
      <c r="B124" s="282" t="s">
        <v>1549</v>
      </c>
      <c r="C124" s="286" t="s">
        <v>181</v>
      </c>
      <c r="D124" s="293"/>
      <c r="E124" s="293">
        <v>6886059.71</v>
      </c>
    </row>
    <row r="125" spans="1:5" hidden="1" outlineLevel="1" x14ac:dyDescent="0.2">
      <c r="A125" s="281"/>
      <c r="B125" s="282" t="s">
        <v>1550</v>
      </c>
      <c r="C125" s="286" t="s">
        <v>182</v>
      </c>
      <c r="D125" s="293"/>
      <c r="E125" s="293">
        <v>101797.4</v>
      </c>
    </row>
    <row r="126" spans="1:5" hidden="1" outlineLevel="1" x14ac:dyDescent="0.2">
      <c r="A126" s="281"/>
      <c r="B126" s="282" t="s">
        <v>1551</v>
      </c>
      <c r="C126" s="286" t="s">
        <v>183</v>
      </c>
      <c r="D126" s="293"/>
      <c r="E126" s="293">
        <v>53.75</v>
      </c>
    </row>
    <row r="127" spans="1:5" hidden="1" outlineLevel="1" x14ac:dyDescent="0.2">
      <c r="A127" s="281"/>
      <c r="B127" s="282" t="s">
        <v>1552</v>
      </c>
      <c r="C127" s="286" t="s">
        <v>184</v>
      </c>
      <c r="D127" s="293"/>
      <c r="E127" s="293">
        <v>1477354.01</v>
      </c>
    </row>
    <row r="128" spans="1:5" hidden="1" outlineLevel="1" x14ac:dyDescent="0.2">
      <c r="A128" s="281"/>
      <c r="B128" s="282" t="s">
        <v>1553</v>
      </c>
      <c r="C128" s="286" t="s">
        <v>1554</v>
      </c>
      <c r="D128" s="293"/>
      <c r="E128" s="293">
        <v>19912975.34</v>
      </c>
    </row>
    <row r="129" spans="1:5" hidden="1" outlineLevel="1" x14ac:dyDescent="0.2">
      <c r="A129" s="281"/>
      <c r="B129" s="282" t="s">
        <v>1555</v>
      </c>
      <c r="C129" s="286" t="s">
        <v>186</v>
      </c>
      <c r="D129" s="293"/>
      <c r="E129" s="293">
        <v>19567.02</v>
      </c>
    </row>
    <row r="130" spans="1:5" hidden="1" outlineLevel="1" x14ac:dyDescent="0.2">
      <c r="A130" s="281"/>
      <c r="B130" s="282" t="s">
        <v>1556</v>
      </c>
      <c r="C130" s="286" t="s">
        <v>189</v>
      </c>
      <c r="D130" s="293"/>
      <c r="E130" s="293">
        <v>2800612.01</v>
      </c>
    </row>
    <row r="131" spans="1:5" hidden="1" outlineLevel="1" x14ac:dyDescent="0.2">
      <c r="A131" s="281"/>
      <c r="B131" s="282" t="s">
        <v>926</v>
      </c>
      <c r="C131" s="286" t="s">
        <v>361</v>
      </c>
      <c r="D131" s="293"/>
      <c r="E131" s="293">
        <v>0</v>
      </c>
    </row>
    <row r="132" spans="1:5" hidden="1" outlineLevel="1" x14ac:dyDescent="0.2">
      <c r="A132" s="281"/>
      <c r="B132" s="282" t="s">
        <v>1557</v>
      </c>
      <c r="C132" s="286" t="s">
        <v>1558</v>
      </c>
      <c r="D132" s="293"/>
      <c r="E132" s="293">
        <v>-77340</v>
      </c>
    </row>
    <row r="133" spans="1:5" hidden="1" outlineLevel="1" x14ac:dyDescent="0.2">
      <c r="A133" s="281"/>
      <c r="B133" s="282" t="s">
        <v>1559</v>
      </c>
      <c r="C133" s="286" t="s">
        <v>192</v>
      </c>
      <c r="D133" s="293"/>
      <c r="E133" s="293">
        <v>25676.880000000001</v>
      </c>
    </row>
    <row r="134" spans="1:5" ht="16" hidden="1" outlineLevel="1" thickBot="1" x14ac:dyDescent="0.25">
      <c r="A134" s="281"/>
      <c r="B134" s="282"/>
      <c r="C134" s="286"/>
      <c r="D134" s="301"/>
      <c r="E134" s="301">
        <v>135689604.05000001</v>
      </c>
    </row>
    <row r="135" spans="1:5" hidden="1" outlineLevel="1" x14ac:dyDescent="0.2">
      <c r="A135" s="281"/>
      <c r="B135" s="282"/>
      <c r="C135" s="286"/>
      <c r="D135" s="302"/>
      <c r="E135" s="302"/>
    </row>
    <row r="136" spans="1:5" ht="16" hidden="1" outlineLevel="1" thickBot="1" x14ac:dyDescent="0.25">
      <c r="A136" s="281"/>
      <c r="B136" s="282"/>
      <c r="C136" s="299" t="s">
        <v>1560</v>
      </c>
      <c r="D136" s="303"/>
      <c r="E136" s="303">
        <v>141222221.27000001</v>
      </c>
    </row>
    <row r="137" spans="1:5" ht="16" hidden="1" outlineLevel="1" thickTop="1" x14ac:dyDescent="0.2">
      <c r="A137" s="281"/>
      <c r="B137" s="282"/>
      <c r="C137" s="286"/>
      <c r="D137" s="293"/>
      <c r="E137" s="293"/>
    </row>
    <row r="138" spans="1:5" hidden="1" outlineLevel="1" x14ac:dyDescent="0.2">
      <c r="A138" s="281">
        <v>13</v>
      </c>
      <c r="B138" s="282"/>
      <c r="C138" s="299" t="s">
        <v>1561</v>
      </c>
      <c r="D138" s="293"/>
      <c r="E138" s="293"/>
    </row>
    <row r="139" spans="1:5" hidden="1" outlineLevel="1" x14ac:dyDescent="0.2">
      <c r="A139" s="281"/>
      <c r="B139" s="282" t="s">
        <v>933</v>
      </c>
      <c r="C139" s="286" t="s">
        <v>219</v>
      </c>
      <c r="D139" s="293"/>
      <c r="E139" s="293">
        <v>302198656.10000002</v>
      </c>
    </row>
    <row r="140" spans="1:5" hidden="1" outlineLevel="1" x14ac:dyDescent="0.2">
      <c r="A140" s="281"/>
      <c r="B140" s="282" t="s">
        <v>1009</v>
      </c>
      <c r="C140" s="286" t="s">
        <v>273</v>
      </c>
      <c r="D140" s="293"/>
      <c r="E140" s="293">
        <v>-1354903224.0899999</v>
      </c>
    </row>
    <row r="141" spans="1:5" hidden="1" outlineLevel="1" x14ac:dyDescent="0.2">
      <c r="A141" s="281"/>
      <c r="B141" s="282" t="s">
        <v>1010</v>
      </c>
      <c r="C141" s="286" t="s">
        <v>274</v>
      </c>
      <c r="D141" s="293"/>
      <c r="E141" s="293">
        <v>904471947.03999996</v>
      </c>
    </row>
    <row r="142" spans="1:5" hidden="1" outlineLevel="1" x14ac:dyDescent="0.2">
      <c r="A142" s="281"/>
      <c r="B142" s="282" t="s">
        <v>1562</v>
      </c>
      <c r="C142" s="286" t="s">
        <v>275</v>
      </c>
      <c r="D142" s="293"/>
      <c r="E142" s="293">
        <v>51599186.399999999</v>
      </c>
    </row>
    <row r="143" spans="1:5" ht="16" hidden="1" outlineLevel="1" thickBot="1" x14ac:dyDescent="0.25">
      <c r="A143" s="281"/>
      <c r="B143" s="282"/>
      <c r="C143" s="286"/>
      <c r="D143" s="298"/>
      <c r="E143" s="298">
        <v>-96633434.549999923</v>
      </c>
    </row>
    <row r="144" spans="1:5" ht="16" hidden="1" outlineLevel="1" thickTop="1" x14ac:dyDescent="0.2">
      <c r="A144" s="281"/>
      <c r="B144" s="282"/>
      <c r="C144" s="286"/>
      <c r="D144" s="293"/>
      <c r="E144" s="293"/>
    </row>
    <row r="145" spans="1:5" hidden="1" outlineLevel="1" x14ac:dyDescent="0.2">
      <c r="A145" s="281">
        <v>14</v>
      </c>
      <c r="B145" s="282"/>
      <c r="C145" s="299" t="s">
        <v>1563</v>
      </c>
      <c r="D145" s="293"/>
      <c r="E145" s="293"/>
    </row>
    <row r="146" spans="1:5" hidden="1" outlineLevel="1" x14ac:dyDescent="0.2">
      <c r="A146" s="281"/>
      <c r="B146" s="282" t="s">
        <v>936</v>
      </c>
      <c r="C146" s="286" t="s">
        <v>269</v>
      </c>
      <c r="D146" s="293"/>
      <c r="E146" s="293">
        <v>-1001385514.12</v>
      </c>
    </row>
    <row r="147" spans="1:5" hidden="1" outlineLevel="1" x14ac:dyDescent="0.2">
      <c r="A147" s="281"/>
      <c r="B147" s="282" t="s">
        <v>986</v>
      </c>
      <c r="C147" s="286" t="s">
        <v>270</v>
      </c>
      <c r="D147" s="293"/>
      <c r="E147" s="293">
        <v>-902176569.55999994</v>
      </c>
    </row>
    <row r="148" spans="1:5" ht="16" hidden="1" outlineLevel="1" thickBot="1" x14ac:dyDescent="0.25">
      <c r="A148" s="281"/>
      <c r="B148" s="282"/>
      <c r="C148" s="286"/>
      <c r="D148" s="298"/>
      <c r="E148" s="298">
        <v>-1903562083.6799998</v>
      </c>
    </row>
    <row r="149" spans="1:5" ht="16" hidden="1" outlineLevel="1" thickTop="1" x14ac:dyDescent="0.2">
      <c r="A149" s="281"/>
      <c r="B149" s="282"/>
      <c r="C149" s="286"/>
      <c r="D149" s="293"/>
      <c r="E149" s="293"/>
    </row>
    <row r="150" spans="1:5" hidden="1" outlineLevel="1" x14ac:dyDescent="0.2">
      <c r="A150" s="281">
        <v>15</v>
      </c>
      <c r="B150" s="282"/>
      <c r="C150" s="299" t="s">
        <v>1564</v>
      </c>
      <c r="D150" s="293"/>
      <c r="E150" s="293"/>
    </row>
    <row r="151" spans="1:5" hidden="1" outlineLevel="1" x14ac:dyDescent="0.2">
      <c r="A151" s="281"/>
      <c r="B151" s="282" t="s">
        <v>1565</v>
      </c>
      <c r="C151" s="286" t="s">
        <v>431</v>
      </c>
      <c r="D151" s="293"/>
      <c r="E151" s="293">
        <v>-9675000</v>
      </c>
    </row>
    <row r="152" spans="1:5" hidden="1" outlineLevel="1" x14ac:dyDescent="0.2">
      <c r="A152" s="281"/>
      <c r="B152" s="282" t="s">
        <v>1566</v>
      </c>
      <c r="C152" s="286" t="s">
        <v>279</v>
      </c>
      <c r="D152" s="293"/>
      <c r="E152" s="293">
        <v>-12431023.710000001</v>
      </c>
    </row>
    <row r="153" spans="1:5" hidden="1" outlineLevel="1" x14ac:dyDescent="0.2">
      <c r="A153" s="281"/>
      <c r="B153" s="282" t="s">
        <v>1567</v>
      </c>
      <c r="C153" s="286" t="s">
        <v>436</v>
      </c>
      <c r="D153" s="293"/>
      <c r="E153" s="293">
        <v>0</v>
      </c>
    </row>
    <row r="154" spans="1:5" hidden="1" outlineLevel="1" x14ac:dyDescent="0.2">
      <c r="A154" s="281"/>
      <c r="B154" s="282" t="s">
        <v>1568</v>
      </c>
      <c r="C154" s="286" t="s">
        <v>280</v>
      </c>
      <c r="D154" s="293"/>
      <c r="E154" s="293">
        <v>-899922289.13999999</v>
      </c>
    </row>
    <row r="155" spans="1:5" hidden="1" outlineLevel="1" x14ac:dyDescent="0.2">
      <c r="A155" s="281"/>
      <c r="B155" s="282" t="s">
        <v>1569</v>
      </c>
      <c r="C155" s="286" t="s">
        <v>281</v>
      </c>
      <c r="D155" s="293"/>
      <c r="E155" s="293">
        <v>59891429</v>
      </c>
    </row>
    <row r="156" spans="1:5" hidden="1" outlineLevel="1" x14ac:dyDescent="0.2">
      <c r="A156" s="281"/>
      <c r="B156" s="282" t="s">
        <v>1006</v>
      </c>
      <c r="C156" s="286" t="s">
        <v>282</v>
      </c>
      <c r="D156" s="293"/>
      <c r="E156" s="293">
        <v>-129874666.33000001</v>
      </c>
    </row>
    <row r="157" spans="1:5" hidden="1" outlineLevel="1" x14ac:dyDescent="0.2">
      <c r="A157" s="281"/>
      <c r="B157" s="282" t="s">
        <v>1570</v>
      </c>
      <c r="C157" s="286" t="s">
        <v>283</v>
      </c>
      <c r="D157" s="293"/>
      <c r="E157" s="293">
        <v>0.25</v>
      </c>
    </row>
    <row r="158" spans="1:5" hidden="1" outlineLevel="1" x14ac:dyDescent="0.2">
      <c r="A158" s="281"/>
      <c r="B158" s="282" t="s">
        <v>1008</v>
      </c>
      <c r="C158" s="286" t="s">
        <v>284</v>
      </c>
      <c r="D158" s="293"/>
      <c r="E158" s="293">
        <v>-7219553.4400000004</v>
      </c>
    </row>
    <row r="159" spans="1:5" hidden="1" outlineLevel="1" x14ac:dyDescent="0.2">
      <c r="A159" s="281"/>
      <c r="B159" s="282" t="s">
        <v>1012</v>
      </c>
      <c r="C159" s="286" t="s">
        <v>285</v>
      </c>
      <c r="D159" s="293"/>
      <c r="E159" s="293">
        <v>-21842868.859999999</v>
      </c>
    </row>
    <row r="160" spans="1:5" ht="16" hidden="1" outlineLevel="1" thickBot="1" x14ac:dyDescent="0.25">
      <c r="A160" s="281"/>
      <c r="B160" s="282"/>
      <c r="C160" s="286"/>
      <c r="D160" s="298"/>
      <c r="E160" s="298">
        <v>-1021073972.2300001</v>
      </c>
    </row>
    <row r="161" spans="1:5" ht="16" hidden="1" outlineLevel="1" thickTop="1" x14ac:dyDescent="0.2">
      <c r="A161" s="281"/>
      <c r="B161" s="282"/>
      <c r="C161" s="286"/>
      <c r="D161" s="293"/>
      <c r="E161" s="293"/>
    </row>
    <row r="162" spans="1:5" hidden="1" outlineLevel="1" x14ac:dyDescent="0.2">
      <c r="A162" s="281">
        <v>16</v>
      </c>
      <c r="B162" s="282"/>
      <c r="C162" s="299" t="s">
        <v>1571</v>
      </c>
      <c r="D162" s="293"/>
      <c r="E162" s="293"/>
    </row>
    <row r="163" spans="1:5" hidden="1" outlineLevel="1" x14ac:dyDescent="0.2">
      <c r="A163" s="281"/>
      <c r="B163" s="282" t="s">
        <v>1011</v>
      </c>
      <c r="C163" s="286" t="s">
        <v>276</v>
      </c>
      <c r="D163" s="293"/>
      <c r="E163" s="293">
        <v>-14586581.59</v>
      </c>
    </row>
    <row r="164" spans="1:5" ht="16" hidden="1" outlineLevel="1" thickBot="1" x14ac:dyDescent="0.25">
      <c r="A164" s="281"/>
      <c r="B164" s="282"/>
      <c r="C164" s="286"/>
      <c r="D164" s="298"/>
      <c r="E164" s="298">
        <v>-14586581.59</v>
      </c>
    </row>
    <row r="165" spans="1:5" ht="16" hidden="1" outlineLevel="1" thickTop="1" x14ac:dyDescent="0.2">
      <c r="A165" s="281"/>
      <c r="B165" s="282"/>
      <c r="C165" s="286"/>
      <c r="D165" s="293"/>
      <c r="E165" s="293"/>
    </row>
    <row r="166" spans="1:5" hidden="1" outlineLevel="1" x14ac:dyDescent="0.2">
      <c r="A166" s="281" t="s">
        <v>1572</v>
      </c>
      <c r="B166" s="282"/>
      <c r="C166" s="299" t="s">
        <v>1573</v>
      </c>
      <c r="D166" s="293"/>
      <c r="E166" s="293"/>
    </row>
    <row r="167" spans="1:5" hidden="1" outlineLevel="1" x14ac:dyDescent="0.2">
      <c r="A167" s="281"/>
      <c r="B167" s="282" t="s">
        <v>940</v>
      </c>
      <c r="C167" s="286" t="s">
        <v>289</v>
      </c>
      <c r="D167" s="293"/>
      <c r="E167" s="293">
        <v>-107359858</v>
      </c>
    </row>
    <row r="168" spans="1:5" hidden="1" outlineLevel="1" x14ac:dyDescent="0.2">
      <c r="A168" s="281"/>
      <c r="B168" s="282" t="s">
        <v>1574</v>
      </c>
      <c r="C168" s="286" t="s">
        <v>290</v>
      </c>
      <c r="D168" s="293"/>
      <c r="E168" s="293">
        <v>-7359858</v>
      </c>
    </row>
    <row r="169" spans="1:5" ht="16" hidden="1" outlineLevel="1" thickBot="1" x14ac:dyDescent="0.25">
      <c r="A169" s="281"/>
      <c r="B169" s="282"/>
      <c r="C169" s="286"/>
      <c r="D169" s="298"/>
      <c r="E169" s="298">
        <v>-114719716</v>
      </c>
    </row>
    <row r="170" spans="1:5" ht="16" hidden="1" outlineLevel="1" thickTop="1" x14ac:dyDescent="0.2">
      <c r="A170" s="281"/>
      <c r="B170" s="282"/>
      <c r="C170" s="286"/>
      <c r="D170" s="293"/>
      <c r="E170" s="293"/>
    </row>
    <row r="171" spans="1:5" hidden="1" outlineLevel="1" x14ac:dyDescent="0.2">
      <c r="A171" s="281" t="s">
        <v>1575</v>
      </c>
      <c r="B171" s="282"/>
      <c r="C171" s="299" t="s">
        <v>1576</v>
      </c>
      <c r="D171" s="293"/>
      <c r="E171" s="293"/>
    </row>
    <row r="172" spans="1:5" hidden="1" outlineLevel="1" x14ac:dyDescent="0.2">
      <c r="A172" s="281"/>
      <c r="B172" s="282" t="s">
        <v>1577</v>
      </c>
      <c r="C172" s="286" t="s">
        <v>291</v>
      </c>
      <c r="D172" s="293"/>
      <c r="E172" s="293">
        <v>-114297251.5</v>
      </c>
    </row>
    <row r="173" spans="1:5" hidden="1" outlineLevel="1" x14ac:dyDescent="0.2">
      <c r="A173" s="281"/>
      <c r="B173" s="282" t="s">
        <v>1578</v>
      </c>
      <c r="C173" s="286" t="s">
        <v>292</v>
      </c>
      <c r="D173" s="293"/>
      <c r="E173" s="293">
        <v>-6573262400</v>
      </c>
    </row>
    <row r="174" spans="1:5" ht="16" hidden="1" outlineLevel="1" thickBot="1" x14ac:dyDescent="0.25">
      <c r="A174" s="281"/>
      <c r="B174" s="282"/>
      <c r="C174" s="286"/>
      <c r="D174" s="298"/>
      <c r="E174" s="298">
        <v>-6687559651.5</v>
      </c>
    </row>
    <row r="175" spans="1:5" ht="16" hidden="1" outlineLevel="1" thickTop="1" x14ac:dyDescent="0.2">
      <c r="A175" s="281"/>
      <c r="B175" s="282"/>
      <c r="C175" s="286"/>
      <c r="D175" s="293"/>
      <c r="E175" s="293"/>
    </row>
    <row r="176" spans="1:5" hidden="1" outlineLevel="1" x14ac:dyDescent="0.2">
      <c r="A176" s="281" t="s">
        <v>1579</v>
      </c>
      <c r="B176" s="282"/>
      <c r="C176" s="299" t="s">
        <v>1580</v>
      </c>
      <c r="D176" s="293"/>
      <c r="E176" s="293"/>
    </row>
    <row r="177" spans="1:6" hidden="1" outlineLevel="1" x14ac:dyDescent="0.2">
      <c r="A177" s="281"/>
      <c r="B177" s="282" t="s">
        <v>1581</v>
      </c>
      <c r="C177" s="286" t="s">
        <v>294</v>
      </c>
      <c r="D177" s="293"/>
      <c r="E177" s="293">
        <v>0.34999999403953552</v>
      </c>
    </row>
    <row r="178" spans="1:6" hidden="1" outlineLevel="1" x14ac:dyDescent="0.2">
      <c r="A178" s="281"/>
      <c r="B178" s="282" t="s">
        <v>941</v>
      </c>
      <c r="C178" s="286" t="s">
        <v>63</v>
      </c>
      <c r="D178" s="293"/>
      <c r="E178" s="293">
        <v>-1009303693.6300001</v>
      </c>
      <c r="F178" s="289"/>
    </row>
    <row r="179" spans="1:6" hidden="1" outlineLevel="1" x14ac:dyDescent="0.2">
      <c r="A179" s="281"/>
      <c r="B179" s="282" t="s">
        <v>1020</v>
      </c>
      <c r="C179" s="286" t="s">
        <v>288</v>
      </c>
      <c r="D179" s="293"/>
      <c r="E179" s="293">
        <v>96238158.140000001</v>
      </c>
    </row>
    <row r="180" spans="1:6" ht="16" hidden="1" outlineLevel="1" thickBot="1" x14ac:dyDescent="0.25">
      <c r="A180" s="281"/>
      <c r="B180" s="282"/>
      <c r="C180" s="286"/>
      <c r="D180" s="298"/>
      <c r="E180" s="298">
        <v>-913065535.1400001</v>
      </c>
    </row>
    <row r="181" spans="1:6" ht="16" hidden="1" outlineLevel="1" thickTop="1" x14ac:dyDescent="0.2">
      <c r="A181" s="281"/>
      <c r="B181" s="282"/>
      <c r="C181" s="286"/>
      <c r="D181" s="293"/>
      <c r="E181" s="293"/>
    </row>
    <row r="182" spans="1:6" hidden="1" outlineLevel="1" x14ac:dyDescent="0.2">
      <c r="A182" s="281" t="s">
        <v>1582</v>
      </c>
      <c r="B182" s="282"/>
      <c r="C182" s="299" t="s">
        <v>1583</v>
      </c>
      <c r="D182" s="293"/>
      <c r="E182" s="293"/>
    </row>
    <row r="183" spans="1:6" hidden="1" outlineLevel="1" x14ac:dyDescent="0.2">
      <c r="A183" s="281"/>
      <c r="B183" s="282" t="s">
        <v>1013</v>
      </c>
      <c r="C183" s="286" t="s">
        <v>277</v>
      </c>
      <c r="D183" s="304"/>
      <c r="E183" s="304">
        <v>-26231969.757949959</v>
      </c>
    </row>
    <row r="184" spans="1:6" hidden="1" outlineLevel="1" x14ac:dyDescent="0.2">
      <c r="A184" s="281"/>
      <c r="B184" s="282">
        <v>0</v>
      </c>
      <c r="C184" s="286" t="s">
        <v>1584</v>
      </c>
      <c r="D184" s="304"/>
      <c r="E184" s="304">
        <v>-311912.90138199233</v>
      </c>
    </row>
    <row r="185" spans="1:6" hidden="1" outlineLevel="1" x14ac:dyDescent="0.2">
      <c r="A185" s="281"/>
      <c r="B185" s="282" t="s">
        <v>1585</v>
      </c>
      <c r="C185" s="286" t="s">
        <v>266</v>
      </c>
      <c r="D185" s="293"/>
      <c r="E185" s="293">
        <v>-32949171.200999986</v>
      </c>
    </row>
    <row r="186" spans="1:6" ht="16" hidden="1" outlineLevel="1" thickBot="1" x14ac:dyDescent="0.25">
      <c r="A186" s="281"/>
      <c r="B186" s="282"/>
      <c r="C186" s="286"/>
      <c r="D186" s="298"/>
      <c r="E186" s="298">
        <v>-59493053.860331938</v>
      </c>
    </row>
    <row r="187" spans="1:6" collapsed="1" x14ac:dyDescent="0.2">
      <c r="A187" s="281"/>
      <c r="B187" s="282"/>
      <c r="C187" s="286"/>
      <c r="D187" s="293"/>
      <c r="E187" s="293"/>
    </row>
    <row r="188" spans="1:6" x14ac:dyDescent="0.2">
      <c r="A188" s="281">
        <v>18</v>
      </c>
      <c r="B188" s="282"/>
      <c r="C188" s="299" t="s">
        <v>1586</v>
      </c>
      <c r="D188" s="293"/>
      <c r="E188" s="293"/>
    </row>
    <row r="189" spans="1:6" x14ac:dyDescent="0.2">
      <c r="A189" s="281"/>
      <c r="B189" s="282">
        <v>40015</v>
      </c>
      <c r="C189" s="286" t="s">
        <v>93</v>
      </c>
      <c r="D189" s="287">
        <f>SUMIFS(INDEX(TB_NG!$A:$AC, MATCH($B189, TB_NG!$A:$A, 0), ),TB_NG!$A$3:$AC$3, "&gt;="&amp;DATE(YEAR($D$2),1,1),TB_NG!$A$3:$AC$3, "&lt;="&amp;$D$2)</f>
        <v>0</v>
      </c>
      <c r="E189" s="287">
        <v>-122822279.06</v>
      </c>
      <c r="F189" s="278">
        <v>40056</v>
      </c>
    </row>
    <row r="190" spans="1:6" x14ac:dyDescent="0.2">
      <c r="A190" s="281"/>
      <c r="B190" s="282">
        <v>40020</v>
      </c>
      <c r="C190" s="286" t="s">
        <v>94</v>
      </c>
      <c r="D190" s="287">
        <f>SUMIFS(INDEX(TB_NG!$A:$AC, MATCH($B190, TB_NG!$A:$A, 0), ),TB_NG!$A$3:$AC$3, "&gt;="&amp;DATE(YEAR($D$2),1,1),TB_NG!$A$3:$AC$3, "&lt;="&amp;$D$2)</f>
        <v>0</v>
      </c>
      <c r="E190" s="287">
        <v>-78808172.530000001</v>
      </c>
      <c r="F190" s="278">
        <v>40095</v>
      </c>
    </row>
    <row r="191" spans="1:6" x14ac:dyDescent="0.2">
      <c r="A191" s="281"/>
      <c r="B191" s="282">
        <v>40025</v>
      </c>
      <c r="C191" s="286" t="s">
        <v>95</v>
      </c>
      <c r="D191" s="287">
        <f>SUMIFS(INDEX(TB_NG!$A:$AC, MATCH($B191, TB_NG!$A:$A, 0), ),TB_NG!$A$3:$AC$3, "&gt;="&amp;DATE(YEAR($D$2),1,1),TB_NG!$A$3:$AC$3, "&lt;="&amp;$D$2)</f>
        <v>0</v>
      </c>
      <c r="E191" s="287">
        <v>-869007951.85000002</v>
      </c>
      <c r="F191" s="278">
        <v>40161</v>
      </c>
    </row>
    <row r="192" spans="1:6" x14ac:dyDescent="0.2">
      <c r="A192" s="281"/>
      <c r="B192" s="282">
        <v>40055</v>
      </c>
      <c r="C192" s="286" t="s">
        <v>96</v>
      </c>
      <c r="D192" s="287">
        <f>SUMIFS(INDEX(TB_NG!$A:$AC, MATCH($B192, TB_NG!$A:$A, 0), ),TB_NG!$A$3:$AC$3, "&gt;="&amp;DATE(YEAR($D$2),1,1),TB_NG!$A$3:$AC$3, "&lt;="&amp;$D$2)</f>
        <v>0</v>
      </c>
      <c r="E192" s="287">
        <v>-93344611.890000001</v>
      </c>
      <c r="F192" s="278">
        <v>40162</v>
      </c>
    </row>
    <row r="193" spans="1:6" x14ac:dyDescent="0.2">
      <c r="A193" s="281"/>
      <c r="B193" s="282">
        <v>40056</v>
      </c>
      <c r="C193" s="286" t="s">
        <v>97</v>
      </c>
      <c r="D193" s="287">
        <f>SUMIFS(INDEX(TB_NG!$A:$AC, MATCH($B193, TB_NG!$A:$A, 0), ),TB_NG!$A$3:$AC$3, "&gt;="&amp;DATE(YEAR($D$2),1,1),TB_NG!$A$3:$AC$3, "&lt;="&amp;$D$2)</f>
        <v>0</v>
      </c>
      <c r="E193" s="287">
        <v>-2695302.33</v>
      </c>
      <c r="F193" s="278">
        <v>40163</v>
      </c>
    </row>
    <row r="194" spans="1:6" x14ac:dyDescent="0.2">
      <c r="A194" s="281"/>
      <c r="B194" s="282">
        <v>40155</v>
      </c>
      <c r="C194" s="286" t="s">
        <v>98</v>
      </c>
      <c r="D194" s="287">
        <f>SUMIFS(INDEX(TB_NG!$A:$AC, MATCH($B194, TB_NG!$A:$A, 0), ),TB_NG!$A$3:$AC$3, "&gt;="&amp;DATE(YEAR($D$2),1,1),TB_NG!$A$3:$AC$3, "&lt;="&amp;$D$2)</f>
        <v>0</v>
      </c>
      <c r="E194" s="287">
        <v>-898791372.82000005</v>
      </c>
      <c r="F194" s="278">
        <v>49405</v>
      </c>
    </row>
    <row r="195" spans="1:6" x14ac:dyDescent="0.2">
      <c r="A195" s="281"/>
      <c r="B195" s="282">
        <v>49405</v>
      </c>
      <c r="C195" s="286" t="s">
        <v>102</v>
      </c>
      <c r="D195" s="287">
        <f>SUMIFS(INDEX(TB_NG!$A:$AC, MATCH($B195, TB_NG!$A:$A, 0), ),TB_NG!$A$3:$AC$3, "&gt;="&amp;DATE(YEAR($D$2),1,1),TB_NG!$A$3:$AC$3, "&lt;="&amp;$D$2)</f>
        <v>0</v>
      </c>
      <c r="E195" s="287">
        <v>-1764703636.3699999</v>
      </c>
    </row>
    <row r="196" spans="1:6" x14ac:dyDescent="0.2">
      <c r="A196" s="281"/>
      <c r="B196" s="282">
        <v>40095</v>
      </c>
      <c r="C196" s="286" t="str">
        <f>_xlfn.XLOOKUP(B196,TB_NG!A:A,TB_NG!E:E)</f>
        <v>Hardware Supplies - Income</v>
      </c>
      <c r="D196" s="287">
        <f>SUMIFS(INDEX(TB_NG!$A:$AC, MATCH($B196, TB_NG!$A:$A, 0), ),TB_NG!$A$3:$AC$3, "&gt;="&amp;DATE(YEAR($D$2),1,1),TB_NG!$A$3:$AC$3, "&lt;="&amp;$D$2)</f>
        <v>0</v>
      </c>
      <c r="E196" s="287"/>
    </row>
    <row r="197" spans="1:6" x14ac:dyDescent="0.2">
      <c r="A197" s="281"/>
      <c r="B197" s="282">
        <v>40161</v>
      </c>
      <c r="C197" s="286" t="str">
        <f>_xlfn.XLOOKUP(B197,TB_NG!A:A,TB_NG!E:E)</f>
        <v>Public Sector Income</v>
      </c>
      <c r="D197" s="287">
        <f>SUMIFS(INDEX(TB_NG!$A:$AC, MATCH($B197, TB_NG!$A:$A, 0), ),TB_NG!$A$3:$AC$3, "&gt;="&amp;DATE(YEAR($D$2),1,1),TB_NG!$A$3:$AC$3, "&lt;="&amp;$D$2)</f>
        <v>0</v>
      </c>
      <c r="E197" s="287"/>
    </row>
    <row r="198" spans="1:6" x14ac:dyDescent="0.2">
      <c r="A198" s="281"/>
      <c r="B198" s="282">
        <v>40162</v>
      </c>
      <c r="C198" s="286" t="str">
        <f>_xlfn.XLOOKUP(B198,TB_NG!A:A,TB_NG!E:E)</f>
        <v>Telco Suite Income</v>
      </c>
      <c r="D198" s="287">
        <f>SUMIFS(INDEX(TB_NG!$A:$AC, MATCH($B198, TB_NG!$A:$A, 0), ),TB_NG!$A$3:$AC$3, "&gt;="&amp;DATE(YEAR($D$2),1,1),TB_NG!$A$3:$AC$3, "&lt;="&amp;$D$2)</f>
        <v>0</v>
      </c>
      <c r="E198" s="287"/>
    </row>
    <row r="199" spans="1:6" x14ac:dyDescent="0.2">
      <c r="A199" s="281"/>
      <c r="B199" s="282">
        <v>40163</v>
      </c>
      <c r="C199" s="286" t="str">
        <f>_xlfn.XLOOKUP(B199,TB_NG!A:A,TB_NG!E:E)</f>
        <v>Identity Suite Income</v>
      </c>
      <c r="D199" s="287">
        <f>SUMIFS(INDEX(TB_NG!$A:$AC, MATCH($B199, TB_NG!$A:$A, 0), ),TB_NG!$A$3:$AC$3, "&gt;="&amp;DATE(YEAR($D$2),1,1),TB_NG!$A$3:$AC$3, "&lt;="&amp;$D$2)</f>
        <v>0</v>
      </c>
      <c r="E199" s="287"/>
    </row>
    <row r="200" spans="1:6" x14ac:dyDescent="0.2">
      <c r="A200" s="281"/>
      <c r="B200" s="282">
        <v>49405</v>
      </c>
      <c r="C200" s="286" t="str">
        <f>_xlfn.XLOOKUP(B200,TB_NG!A:A,TB_NG!E:E)</f>
        <v>Biosmart Income</v>
      </c>
      <c r="D200" s="287">
        <f>SUMIFS(INDEX(TB_NG!$A:$AC, MATCH($B200, TB_NG!$A:$A, 0), ),TB_NG!$A$3:$AC$3, "&gt;="&amp;DATE(YEAR($D$2),1,1),TB_NG!$A$3:$AC$3, "&lt;="&amp;$D$2)</f>
        <v>0</v>
      </c>
      <c r="E200" s="287"/>
    </row>
    <row r="201" spans="1:6" ht="16" thickBot="1" x14ac:dyDescent="0.25">
      <c r="A201" s="281"/>
      <c r="B201" s="282"/>
      <c r="C201" s="286"/>
      <c r="D201" s="292">
        <f>SUM(D189:D200)</f>
        <v>0</v>
      </c>
      <c r="E201" s="292">
        <f>SUM(E189:E200)</f>
        <v>-3830173326.8499999</v>
      </c>
    </row>
    <row r="202" spans="1:6" ht="16" thickTop="1" x14ac:dyDescent="0.2">
      <c r="A202" s="281"/>
      <c r="B202" s="282"/>
      <c r="C202" s="286"/>
      <c r="D202" s="287"/>
      <c r="E202" s="287"/>
    </row>
    <row r="203" spans="1:6" x14ac:dyDescent="0.2">
      <c r="A203" s="281">
        <v>19</v>
      </c>
      <c r="B203" s="282"/>
      <c r="C203" s="299" t="s">
        <v>1587</v>
      </c>
      <c r="D203" s="287"/>
      <c r="E203" s="287"/>
    </row>
    <row r="204" spans="1:6" x14ac:dyDescent="0.2">
      <c r="A204" s="281"/>
      <c r="B204" s="282" t="s">
        <v>1588</v>
      </c>
      <c r="C204" s="286" t="s">
        <v>1589</v>
      </c>
      <c r="D204" s="287">
        <f>SUMIFS(INDEX(TB_NG!$A:$AC, MATCH($B204, TB_NG!$B:$B, 0), ),TB_NG!$A$3:$AC$3, "&gt;="&amp;DATE(YEAR($D$2),1,1),TB_NG!$A$3:$AC$3, "&lt;="&amp;$D$2)</f>
        <v>0</v>
      </c>
      <c r="E204" s="287">
        <v>-1401699.1</v>
      </c>
    </row>
    <row r="205" spans="1:6" x14ac:dyDescent="0.2">
      <c r="A205" s="281"/>
      <c r="B205" s="282" t="s">
        <v>890</v>
      </c>
      <c r="C205" s="286" t="s">
        <v>122</v>
      </c>
      <c r="D205" s="287">
        <f>SUMIFS(INDEX(TB_NG!$A:$AC, MATCH($B205, TB_NG!$B:$B, 0), ),TB_NG!$A$3:$AC$3, "&gt;="&amp;DATE(YEAR($D$2),1,1),TB_NG!$A$3:$AC$3, "&lt;="&amp;$D$2)</f>
        <v>0</v>
      </c>
      <c r="E205" s="287">
        <v>-271420832.38</v>
      </c>
    </row>
    <row r="206" spans="1:6" x14ac:dyDescent="0.2">
      <c r="B206" s="282" t="s">
        <v>917</v>
      </c>
      <c r="C206" s="286" t="s">
        <v>735</v>
      </c>
      <c r="D206" s="312">
        <f>SUMIFS(INDEX(TB_NG!$A:$AC, MATCH($B206, TB_NG!$B:$B, 0), ),TB_NG!$A$3:$AC$3, "&gt;="&amp;DATE(YEAR($D$2),1,1),TB_NG!$A$3:$AC$3, "&lt;="&amp;$D$2)</f>
        <v>0</v>
      </c>
      <c r="E206" s="312">
        <v>-231488855.53999999</v>
      </c>
    </row>
    <row r="207" spans="1:6" x14ac:dyDescent="0.2">
      <c r="C207" s="291" t="s">
        <v>489</v>
      </c>
      <c r="D207" s="305"/>
      <c r="E207" s="305">
        <v>0</v>
      </c>
    </row>
    <row r="208" spans="1:6" x14ac:dyDescent="0.2">
      <c r="C208" s="306" t="s">
        <v>1590</v>
      </c>
      <c r="D208" s="305"/>
      <c r="E208" s="305">
        <v>0</v>
      </c>
    </row>
    <row r="209" spans="1:6" ht="16" thickBot="1" x14ac:dyDescent="0.25">
      <c r="A209" s="281"/>
      <c r="B209" s="282"/>
      <c r="C209" s="286"/>
      <c r="D209" s="292">
        <f>SUM(D204:D208)</f>
        <v>0</v>
      </c>
      <c r="E209" s="292">
        <f>SUM(E204:E208)</f>
        <v>-504311387.01999998</v>
      </c>
    </row>
    <row r="210" spans="1:6" ht="16" thickTop="1" x14ac:dyDescent="0.2"/>
    <row r="211" spans="1:6" x14ac:dyDescent="0.2">
      <c r="A211" s="281">
        <v>20</v>
      </c>
      <c r="B211" s="282"/>
      <c r="C211" s="299" t="s">
        <v>1591</v>
      </c>
      <c r="D211" s="287"/>
      <c r="E211" s="287"/>
    </row>
    <row r="212" spans="1:6" x14ac:dyDescent="0.2">
      <c r="A212" s="281" t="s">
        <v>1592</v>
      </c>
      <c r="B212" s="282"/>
      <c r="C212" s="299" t="s">
        <v>1593</v>
      </c>
      <c r="D212" s="287"/>
      <c r="E212" s="287"/>
    </row>
    <row r="213" spans="1:6" x14ac:dyDescent="0.2">
      <c r="A213" s="281"/>
      <c r="B213" s="282" t="s">
        <v>1130</v>
      </c>
      <c r="C213" s="286" t="s">
        <v>116</v>
      </c>
      <c r="D213" s="287">
        <f>SUMIFS(INDEX(TB_NG!$A:$AC, MATCH($B213, TB_NG!$B:$B, 0), ),TB_NG!$A$3:$AC$3, "&gt;="&amp;DATE(YEAR($D$2),1,1),TB_NG!$A$3:$AC$3, "&lt;="&amp;$D$2)</f>
        <v>0</v>
      </c>
      <c r="E213" s="287">
        <v>39267607.179999948</v>
      </c>
      <c r="F213" s="278">
        <f>PL_NG!AT38</f>
        <v>-442609952.23999995</v>
      </c>
    </row>
    <row r="214" spans="1:6" x14ac:dyDescent="0.2">
      <c r="A214" s="281"/>
      <c r="B214" s="282" t="s">
        <v>1117</v>
      </c>
      <c r="C214" s="286" t="s">
        <v>104</v>
      </c>
      <c r="D214" s="287">
        <f>SUMIFS(INDEX(TB_NG!$A:$AC, MATCH($B214, TB_NG!$B:$B, 0), ),TB_NG!$A$3:$AC$3, "&gt;="&amp;DATE(YEAR($D$2),1,1),TB_NG!$A$3:$AC$3, "&lt;="&amp;$D$2)</f>
        <v>0</v>
      </c>
      <c r="E214" s="287">
        <v>253429775.53999999</v>
      </c>
      <c r="F214" s="278">
        <f>PL_NG!AT26</f>
        <v>-1569250</v>
      </c>
    </row>
    <row r="215" spans="1:6" x14ac:dyDescent="0.2">
      <c r="A215" s="281"/>
      <c r="B215" s="282" t="s">
        <v>1125</v>
      </c>
      <c r="C215" s="286" t="s">
        <v>112</v>
      </c>
      <c r="D215" s="287">
        <f>SUMIFS(INDEX(TB_NG!$A:$AC, MATCH($B215, TB_NG!$B:$B, 0), ),TB_NG!$A$3:$AC$3, "&gt;="&amp;DATE(YEAR($D$2),1,1),TB_NG!$A$3:$AC$3, "&lt;="&amp;$D$2)</f>
        <v>0</v>
      </c>
      <c r="E215" s="287">
        <v>322701149.16000003</v>
      </c>
    </row>
    <row r="216" spans="1:6" x14ac:dyDescent="0.2">
      <c r="A216" s="281"/>
      <c r="B216" s="282" t="s">
        <v>1594</v>
      </c>
      <c r="C216" s="286" t="s">
        <v>109</v>
      </c>
      <c r="D216" s="287">
        <f>SUMIFS(INDEX(TB_NG!$A:$AC, MATCH($B216, TB_NG!$B:$B, 0), ),TB_NG!$A$3:$AC$3, "&gt;="&amp;DATE(YEAR($D$2),1,1),TB_NG!$A$3:$AC$3, "&lt;="&amp;$D$2)</f>
        <v>0</v>
      </c>
      <c r="E216" s="287">
        <v>154956.88</v>
      </c>
    </row>
    <row r="217" spans="1:6" x14ac:dyDescent="0.2">
      <c r="A217" s="281"/>
      <c r="B217" s="282" t="s">
        <v>1218</v>
      </c>
      <c r="C217" s="286" t="s">
        <v>118</v>
      </c>
      <c r="D217" s="287">
        <f>SUMIFS(INDEX(TB_NG!$A:$AC, MATCH($B217, TB_NG!$B:$B, 0), ),TB_NG!$A$3:$AC$3, "&gt;="&amp;DATE(YEAR($D$2),1,1),TB_NG!$A$3:$AC$3, "&lt;="&amp;$D$2)</f>
        <v>0</v>
      </c>
      <c r="E217" s="287">
        <v>52553435.450000003</v>
      </c>
    </row>
    <row r="218" spans="1:6" x14ac:dyDescent="0.2">
      <c r="A218" s="281"/>
      <c r="B218" s="282" t="s">
        <v>1176</v>
      </c>
      <c r="C218" s="286" t="s">
        <v>611</v>
      </c>
      <c r="D218" s="287">
        <f>SUMIFS(INDEX(TB_NG!$A:$AC, MATCH($B218, TB_NG!$B:$B, 0), ),TB_NG!$A$3:$AC$3, "&gt;="&amp;DATE(YEAR($D$2),1,1),TB_NG!$A$3:$AC$3, "&lt;="&amp;$D$2)*0</f>
        <v>0</v>
      </c>
      <c r="E218" s="287">
        <v>25576789.98</v>
      </c>
    </row>
    <row r="219" spans="1:6" ht="16" thickBot="1" x14ac:dyDescent="0.25">
      <c r="A219" s="281"/>
      <c r="B219" s="282"/>
      <c r="C219" s="299"/>
      <c r="D219" s="292">
        <f>SUM(D213:D218)</f>
        <v>0</v>
      </c>
      <c r="E219" s="292">
        <v>693683714.18999994</v>
      </c>
    </row>
    <row r="220" spans="1:6" ht="16" thickTop="1" x14ac:dyDescent="0.2">
      <c r="A220" s="281"/>
      <c r="B220" s="282"/>
      <c r="C220" s="299"/>
      <c r="D220" s="287"/>
      <c r="E220" s="287"/>
    </row>
    <row r="221" spans="1:6" x14ac:dyDescent="0.2">
      <c r="A221" s="281"/>
      <c r="B221" s="282"/>
      <c r="C221" s="299" t="s">
        <v>1595</v>
      </c>
      <c r="D221" s="287"/>
      <c r="E221" s="287"/>
    </row>
    <row r="222" spans="1:6" x14ac:dyDescent="0.2">
      <c r="A222" s="281"/>
      <c r="B222" s="282"/>
      <c r="C222" s="299"/>
      <c r="D222" s="287"/>
      <c r="E222" s="287"/>
    </row>
    <row r="223" spans="1:6" x14ac:dyDescent="0.2">
      <c r="A223" s="281" t="s">
        <v>1596</v>
      </c>
      <c r="B223" s="282"/>
      <c r="C223" s="285" t="s">
        <v>1597</v>
      </c>
      <c r="D223" s="287"/>
      <c r="E223" s="287"/>
    </row>
    <row r="224" spans="1:6" x14ac:dyDescent="0.2">
      <c r="A224" s="281"/>
      <c r="B224" s="282" t="s">
        <v>887</v>
      </c>
      <c r="C224" s="286" t="s">
        <v>518</v>
      </c>
      <c r="D224" s="287">
        <f>_xlfn.IFNA(SUMIFS(INDEX(TB_NG!$A:$AC, MATCH($B224, TB_NG!$B:$B, 0), ),TB_NG!$A$3:$AC$3, "&gt;="&amp;DATE(YEAR($D$2),1,1),TB_NG!$A$3:$AC$3, "&lt;="&amp;$D$2),0)</f>
        <v>0</v>
      </c>
      <c r="E224" s="287">
        <v>42791360</v>
      </c>
    </row>
    <row r="225" spans="1:5" x14ac:dyDescent="0.2">
      <c r="A225" s="281"/>
      <c r="B225" s="282" t="s">
        <v>1111</v>
      </c>
      <c r="C225" s="286" t="s">
        <v>534</v>
      </c>
      <c r="D225" s="287">
        <f>_xlfn.IFNA(SUMIFS(INDEX(TB_NG!$A:$AC, MATCH($B225, TB_NG!$B:$B, 0), ),TB_NG!$A$3:$AC$3, "&gt;="&amp;DATE(YEAR($D$2),1,1),TB_NG!$A$3:$AC$3, "&lt;="&amp;$D$2),0)</f>
        <v>0</v>
      </c>
      <c r="E225" s="287">
        <v>57500000</v>
      </c>
    </row>
    <row r="226" spans="1:5" x14ac:dyDescent="0.2">
      <c r="A226" s="281"/>
      <c r="B226" s="282" t="s">
        <v>1116</v>
      </c>
      <c r="C226" s="286" t="s">
        <v>538</v>
      </c>
      <c r="D226" s="287">
        <f>_xlfn.IFNA(SUMIFS(INDEX(TB_NG!$A:$AC, MATCH($B226, TB_NG!$B:$B, 0), ),TB_NG!$A$3:$AC$3, "&gt;="&amp;DATE(YEAR($D$2),1,1),TB_NG!$A$3:$AC$3, "&lt;="&amp;$D$2),0)</f>
        <v>0</v>
      </c>
      <c r="E226" s="287">
        <v>0</v>
      </c>
    </row>
    <row r="227" spans="1:5" x14ac:dyDescent="0.2">
      <c r="A227" s="281"/>
      <c r="B227" s="282" t="s">
        <v>1119</v>
      </c>
      <c r="C227" s="286" t="s">
        <v>105</v>
      </c>
      <c r="D227" s="287">
        <f>_xlfn.IFNA(SUMIFS(INDEX(TB_NG!$A:$AC, MATCH($B227, TB_NG!$B:$B, 0), ),TB_NG!$A$3:$AC$3, "&gt;="&amp;DATE(YEAR($D$2),1,1),TB_NG!$A$3:$AC$3, "&lt;="&amp;$D$2),0)</f>
        <v>0</v>
      </c>
      <c r="E227" s="287">
        <v>10072200</v>
      </c>
    </row>
    <row r="228" spans="1:5" x14ac:dyDescent="0.2">
      <c r="A228" s="281"/>
      <c r="B228" s="282" t="s">
        <v>1120</v>
      </c>
      <c r="C228" s="286" t="s">
        <v>106</v>
      </c>
      <c r="D228" s="287">
        <f>_xlfn.IFNA(SUMIFS(INDEX(TB_NG!$A:$AC, MATCH($B228, TB_NG!$B:$B, 0), ),TB_NG!$A$3:$AC$3, "&gt;="&amp;DATE(YEAR($D$2),1,1),TB_NG!$A$3:$AC$3, "&lt;="&amp;$D$2),0)</f>
        <v>0</v>
      </c>
      <c r="E228" s="287">
        <v>233170770.78999999</v>
      </c>
    </row>
    <row r="229" spans="1:5" x14ac:dyDescent="0.2">
      <c r="A229" s="281"/>
      <c r="B229" s="282" t="s">
        <v>1121</v>
      </c>
      <c r="C229" s="286" t="s">
        <v>107</v>
      </c>
      <c r="D229" s="287">
        <f>_xlfn.IFNA(SUMIFS(INDEX(TB_NG!$A:$AC, MATCH($B229, TB_NG!$B:$B, 0), ),TB_NG!$A$3:$AC$3, "&gt;="&amp;DATE(YEAR($D$2),1,1),TB_NG!$A$3:$AC$3, "&lt;="&amp;$D$2),0)</f>
        <v>0</v>
      </c>
      <c r="E229" s="287">
        <v>9600797.8300000001</v>
      </c>
    </row>
    <row r="230" spans="1:5" x14ac:dyDescent="0.2">
      <c r="A230" s="281"/>
      <c r="B230" s="282" t="s">
        <v>1122</v>
      </c>
      <c r="C230" s="286" t="s">
        <v>108</v>
      </c>
      <c r="D230" s="287">
        <f>_xlfn.IFNA(SUMIFS(INDEX(TB_NG!$A:$AC, MATCH($B230, TB_NG!$B:$B, 0), ),TB_NG!$A$3:$AC$3, "&gt;="&amp;DATE(YEAR($D$2),1,1),TB_NG!$A$3:$AC$3, "&lt;="&amp;$D$2),0)</f>
        <v>0</v>
      </c>
      <c r="E230" s="287">
        <v>8657000</v>
      </c>
    </row>
    <row r="231" spans="1:5" x14ac:dyDescent="0.2">
      <c r="A231" s="281"/>
      <c r="B231" s="314" t="s">
        <v>1123</v>
      </c>
      <c r="C231" s="286" t="s">
        <v>110</v>
      </c>
      <c r="D231" s="287">
        <f>_xlfn.IFNA(SUMIFS(INDEX(TB_NG!$A:$AC, MATCH($B231, TB_NG!$B:$B, 0), ),TB_NG!$A$3:$AC$3, "&gt;="&amp;DATE(YEAR($D$2),1,1),TB_NG!$A$3:$AC$3, "&lt;="&amp;$D$2),0)</f>
        <v>0</v>
      </c>
      <c r="E231" s="287">
        <v>2286035</v>
      </c>
    </row>
    <row r="232" spans="1:5" x14ac:dyDescent="0.2">
      <c r="A232" s="281"/>
      <c r="B232" s="282" t="s">
        <v>1124</v>
      </c>
      <c r="C232" s="286" t="s">
        <v>111</v>
      </c>
      <c r="D232" s="287">
        <f>_xlfn.IFNA(SUMIFS(INDEX(TB_NG!$A:$AC, MATCH($B232, TB_NG!$B:$B, 0), ),TB_NG!$A$3:$AC$3, "&gt;="&amp;DATE(YEAR($D$2),1,1),TB_NG!$A$3:$AC$3, "&lt;="&amp;$D$2),0)</f>
        <v>0</v>
      </c>
      <c r="E232" s="287">
        <v>8934200</v>
      </c>
    </row>
    <row r="233" spans="1:5" x14ac:dyDescent="0.2">
      <c r="A233" s="281"/>
      <c r="B233" s="282" t="s">
        <v>1126</v>
      </c>
      <c r="C233" s="286" t="s">
        <v>113</v>
      </c>
      <c r="D233" s="287">
        <f>_xlfn.IFNA(SUMIFS(INDEX(TB_NG!$A:$AC, MATCH($B233, TB_NG!$B:$B, 0), ),TB_NG!$A$3:$AC$3, "&gt;="&amp;DATE(YEAR($D$2),1,1),TB_NG!$A$3:$AC$3, "&lt;="&amp;$D$2),0)</f>
        <v>0</v>
      </c>
      <c r="E233" s="287">
        <v>4132200</v>
      </c>
    </row>
    <row r="234" spans="1:5" x14ac:dyDescent="0.2">
      <c r="A234" s="281"/>
      <c r="B234" s="282" t="s">
        <v>1127</v>
      </c>
      <c r="C234" s="286" t="s">
        <v>114</v>
      </c>
      <c r="D234" s="287">
        <f>_xlfn.IFNA(SUMIFS(INDEX(TB_NG!$A:$AC, MATCH($B234, TB_NG!$B:$B, 0), ),TB_NG!$A$3:$AC$3, "&gt;="&amp;DATE(YEAR($D$2),1,1),TB_NG!$A$3:$AC$3, "&lt;="&amp;$D$2),0)</f>
        <v>0</v>
      </c>
      <c r="E234" s="287">
        <v>49000</v>
      </c>
    </row>
    <row r="235" spans="1:5" x14ac:dyDescent="0.2">
      <c r="A235" s="281"/>
      <c r="B235" s="282" t="s">
        <v>1129</v>
      </c>
      <c r="C235" s="286" t="s">
        <v>115</v>
      </c>
      <c r="D235" s="287">
        <f>_xlfn.IFNA(SUMIFS(INDEX(TB_NG!$A:$AC, MATCH($B235, TB_NG!$B:$B, 0), ),TB_NG!$A$3:$AC$3, "&gt;="&amp;DATE(YEAR($D$2),1,1),TB_NG!$A$3:$AC$3, "&lt;="&amp;$D$2),0)</f>
        <v>0</v>
      </c>
      <c r="E235" s="287">
        <v>10064000</v>
      </c>
    </row>
    <row r="236" spans="1:5" x14ac:dyDescent="0.2">
      <c r="A236" s="281"/>
      <c r="B236" s="282" t="s">
        <v>1131</v>
      </c>
      <c r="C236" s="286" t="s">
        <v>117</v>
      </c>
      <c r="D236" s="287">
        <f>_xlfn.IFNA(SUMIFS(INDEX(TB_NG!$A:$AC, MATCH($B236, TB_NG!$B:$B, 0), ),TB_NG!$A$3:$AC$3, "&gt;="&amp;DATE(YEAR($D$2),1,1),TB_NG!$A$3:$AC$3, "&lt;="&amp;$D$2),0)</f>
        <v>0</v>
      </c>
      <c r="E236" s="287">
        <v>6785167.5</v>
      </c>
    </row>
    <row r="237" spans="1:5" x14ac:dyDescent="0.2">
      <c r="A237" s="281"/>
      <c r="B237" s="282" t="s">
        <v>1198</v>
      </c>
      <c r="C237" s="286" t="s">
        <v>675</v>
      </c>
      <c r="D237" s="287">
        <f>_xlfn.IFNA(SUMIFS(INDEX(TB_NG!$A:$AC, MATCH($B237, TB_NG!$B:$B, 0), ),TB_NG!$A$3:$AC$3, "&gt;="&amp;DATE(YEAR($D$2),1,1),TB_NG!$A$3:$AC$3, "&lt;="&amp;$D$2),0)*0</f>
        <v>0</v>
      </c>
      <c r="E237" s="287">
        <v>105124689.09999999</v>
      </c>
    </row>
    <row r="238" spans="1:5" ht="16" thickBot="1" x14ac:dyDescent="0.25">
      <c r="A238" s="281"/>
      <c r="B238" s="282"/>
      <c r="C238" s="286"/>
      <c r="D238" s="292">
        <f>SUM(D224:D237)</f>
        <v>0</v>
      </c>
      <c r="E238" s="292">
        <f>SUM(E224:E237)</f>
        <v>499167420.21999991</v>
      </c>
    </row>
    <row r="239" spans="1:5" ht="16" thickTop="1" x14ac:dyDescent="0.2">
      <c r="A239" s="281"/>
      <c r="B239" s="282"/>
      <c r="C239" s="286"/>
      <c r="D239" s="307"/>
      <c r="E239" s="307"/>
    </row>
    <row r="240" spans="1:5" x14ac:dyDescent="0.2">
      <c r="A240" s="281" t="s">
        <v>1598</v>
      </c>
      <c r="B240" s="282"/>
      <c r="C240" s="299" t="s">
        <v>1599</v>
      </c>
      <c r="D240" s="287"/>
      <c r="E240" s="287"/>
    </row>
    <row r="241" spans="1:5" x14ac:dyDescent="0.2">
      <c r="A241" s="281"/>
      <c r="B241" s="282" t="s">
        <v>909</v>
      </c>
      <c r="C241" s="286" t="s">
        <v>618</v>
      </c>
      <c r="D241" s="287">
        <f>_xlfn.IFNA(SUMIFS(INDEX(TB_NG!$A:$AC, MATCH($B241, TB_NG!$B:$B, 0), ),TB_NG!$A$3:$AC$3, "&gt;="&amp;DATE(YEAR($D$2),1,1),TB_NG!$A$3:$AC$3, "&lt;="&amp;$D$2),0)*0</f>
        <v>0</v>
      </c>
      <c r="E241" s="287">
        <v>21754610.540000007</v>
      </c>
    </row>
    <row r="242" spans="1:5" ht="16" thickBot="1" x14ac:dyDescent="0.25">
      <c r="A242" s="281"/>
      <c r="B242" s="282"/>
      <c r="C242" s="286"/>
      <c r="D242" s="292">
        <f>D241</f>
        <v>0</v>
      </c>
      <c r="E242" s="292">
        <f>E241</f>
        <v>21754610.540000007</v>
      </c>
    </row>
    <row r="243" spans="1:5" ht="16" thickTop="1" x14ac:dyDescent="0.2">
      <c r="A243" s="281"/>
      <c r="B243" s="282"/>
      <c r="C243" s="299" t="s">
        <v>1600</v>
      </c>
      <c r="D243" s="302">
        <f>D242+D238+D219</f>
        <v>0</v>
      </c>
      <c r="E243" s="302">
        <f>E242+E238+E219</f>
        <v>1214605744.9499998</v>
      </c>
    </row>
    <row r="244" spans="1:5" x14ac:dyDescent="0.2">
      <c r="A244" s="281"/>
      <c r="B244" s="282"/>
      <c r="C244" s="299"/>
      <c r="D244" s="302"/>
      <c r="E244" s="302"/>
    </row>
    <row r="245" spans="1:5" x14ac:dyDescent="0.2">
      <c r="A245" s="281"/>
      <c r="B245" s="282"/>
      <c r="C245" s="299"/>
      <c r="D245" s="302"/>
      <c r="E245" s="302"/>
    </row>
    <row r="246" spans="1:5" x14ac:dyDescent="0.2">
      <c r="A246" s="281">
        <v>21</v>
      </c>
      <c r="B246" s="282"/>
      <c r="C246" s="308" t="s">
        <v>1601</v>
      </c>
      <c r="D246" s="293"/>
      <c r="E246" s="293"/>
    </row>
    <row r="247" spans="1:5" x14ac:dyDescent="0.2">
      <c r="A247" s="281"/>
      <c r="B247" s="282" t="s">
        <v>902</v>
      </c>
      <c r="C247" s="286" t="s">
        <v>554</v>
      </c>
      <c r="D247" s="293">
        <f>_xlfn.IFNA(SUMIFS(INDEX(TB_NG!$A:$AC, MATCH($B247, TB_NG!$B:$B, 0), ),TB_NG!$A$3:$AC$3, "&gt;="&amp;DATE(YEAR($D$2),1,1),TB_NG!$A$3:$AC$3, "&lt;="&amp;$D$2),0)</f>
        <v>0</v>
      </c>
      <c r="E247" s="293">
        <v>23570370.390000001</v>
      </c>
    </row>
    <row r="248" spans="1:5" ht="16" thickBot="1" x14ac:dyDescent="0.25">
      <c r="A248" s="281"/>
      <c r="B248" s="282"/>
      <c r="C248" s="286"/>
      <c r="D248" s="298">
        <f>D247</f>
        <v>0</v>
      </c>
      <c r="E248" s="298">
        <f>E247</f>
        <v>23570370.390000001</v>
      </c>
    </row>
    <row r="249" spans="1:5" ht="16" thickTop="1" x14ac:dyDescent="0.2">
      <c r="A249" s="281"/>
      <c r="B249" s="282"/>
      <c r="C249" s="286"/>
      <c r="D249" s="293"/>
      <c r="E249" s="293"/>
    </row>
    <row r="250" spans="1:5" x14ac:dyDescent="0.2">
      <c r="A250" s="281"/>
      <c r="B250" s="282"/>
      <c r="C250" s="286"/>
      <c r="D250" s="293"/>
      <c r="E250" s="293"/>
    </row>
    <row r="251" spans="1:5" x14ac:dyDescent="0.2">
      <c r="A251" s="281"/>
      <c r="B251" s="282"/>
      <c r="C251" s="286"/>
      <c r="D251" s="293"/>
      <c r="E251" s="293"/>
    </row>
    <row r="252" spans="1:5" x14ac:dyDescent="0.2">
      <c r="A252" s="281"/>
      <c r="B252" s="282"/>
      <c r="C252" s="286"/>
      <c r="D252" s="293"/>
      <c r="E252" s="293"/>
    </row>
    <row r="253" spans="1:5" x14ac:dyDescent="0.2">
      <c r="A253" s="281"/>
      <c r="B253" s="282"/>
      <c r="C253" s="286"/>
      <c r="D253" s="293"/>
      <c r="E253" s="293"/>
    </row>
    <row r="254" spans="1:5" x14ac:dyDescent="0.2">
      <c r="A254" s="281"/>
      <c r="B254" s="282"/>
      <c r="C254" s="286"/>
      <c r="D254" s="293"/>
      <c r="E254" s="293"/>
    </row>
    <row r="255" spans="1:5" x14ac:dyDescent="0.2">
      <c r="A255" s="281">
        <v>22</v>
      </c>
      <c r="B255" s="282"/>
      <c r="C255" s="299" t="s">
        <v>1602</v>
      </c>
      <c r="D255" s="293"/>
      <c r="E255" s="293"/>
    </row>
    <row r="256" spans="1:5" x14ac:dyDescent="0.2">
      <c r="A256" s="281"/>
      <c r="B256" s="282" t="s">
        <v>1135</v>
      </c>
      <c r="C256" s="286" t="s">
        <v>556</v>
      </c>
      <c r="D256" s="293">
        <f>_xlfn.IFNA(SUMIFS(INDEX(TB_NG!$A:$AC, MATCH($B256, TB_NG!$B:$B, 0), ),TB_NG!$A$3:$AC$3, "&gt;="&amp;DATE(YEAR($D$2),1,1),TB_NG!$A$3:$AC$3, "&lt;="&amp;$D$2),0)</f>
        <v>0</v>
      </c>
      <c r="E256" s="293">
        <v>13136542.26</v>
      </c>
    </row>
    <row r="257" spans="1:5" x14ac:dyDescent="0.2">
      <c r="A257" s="281"/>
      <c r="B257" s="282" t="s">
        <v>1136</v>
      </c>
      <c r="C257" s="286" t="s">
        <v>557</v>
      </c>
      <c r="D257" s="293">
        <f>_xlfn.IFNA(SUMIFS(INDEX(TB_NG!$A:$AC, MATCH($B257, TB_NG!$B:$B, 0), ),TB_NG!$A$3:$AC$3, "&gt;="&amp;DATE(YEAR($D$2),1,1),TB_NG!$A$3:$AC$3, "&lt;="&amp;$D$2),0)</f>
        <v>0</v>
      </c>
      <c r="E257" s="293">
        <v>29859150</v>
      </c>
    </row>
    <row r="258" spans="1:5" x14ac:dyDescent="0.2">
      <c r="A258" s="281"/>
      <c r="B258" s="282" t="s">
        <v>1137</v>
      </c>
      <c r="C258" s="286" t="s">
        <v>558</v>
      </c>
      <c r="D258" s="293">
        <f>_xlfn.IFNA(SUMIFS(INDEX(TB_NG!$A:$AC, MATCH($B258, TB_NG!$B:$B, 0), ),TB_NG!$A$3:$AC$3, "&gt;="&amp;DATE(YEAR($D$2),1,1),TB_NG!$A$3:$AC$3, "&lt;="&amp;$D$2),0)</f>
        <v>0</v>
      </c>
      <c r="E258" s="293">
        <v>11788375</v>
      </c>
    </row>
    <row r="259" spans="1:5" x14ac:dyDescent="0.2">
      <c r="A259" s="281"/>
      <c r="B259" s="282" t="s">
        <v>1143</v>
      </c>
      <c r="C259" s="286" t="s">
        <v>567</v>
      </c>
      <c r="D259" s="293">
        <f>_xlfn.IFNA(SUMIFS(INDEX(TB_NG!$A:$AC, MATCH($B259, TB_NG!$B:$B, 0), ),TB_NG!$A$3:$AC$3, "&gt;="&amp;DATE(YEAR($D$2),1,1),TB_NG!$A$3:$AC$3, "&lt;="&amp;$D$2),0)</f>
        <v>0</v>
      </c>
      <c r="E259" s="293">
        <v>175000</v>
      </c>
    </row>
    <row r="260" spans="1:5" x14ac:dyDescent="0.2">
      <c r="A260" s="281"/>
      <c r="B260" s="282" t="s">
        <v>1180</v>
      </c>
      <c r="C260" s="286" t="s">
        <v>624</v>
      </c>
      <c r="D260" s="293">
        <f>_xlfn.IFNA(SUMIFS(INDEX(TB_NG!$A:$AC, MATCH($B260, TB_NG!$B:$B, 0), ),TB_NG!$A$3:$AC$3, "&gt;="&amp;DATE(YEAR($D$2),1,1),TB_NG!$A$3:$AC$3, "&lt;="&amp;$D$2),0)</f>
        <v>0</v>
      </c>
      <c r="E260" s="293">
        <v>499552</v>
      </c>
    </row>
    <row r="261" spans="1:5" x14ac:dyDescent="0.2">
      <c r="A261" s="281"/>
      <c r="B261" s="282" t="s">
        <v>1184</v>
      </c>
      <c r="C261" s="286" t="s">
        <v>636</v>
      </c>
      <c r="D261" s="293">
        <f>_xlfn.IFNA(SUMIFS(INDEX(TB_NG!$A:$AC, MATCH($B261, TB_NG!$B:$B, 0), ),TB_NG!$A$3:$AC$3, "&gt;="&amp;DATE(YEAR($D$2),1,1),TB_NG!$A$3:$AC$3, "&lt;="&amp;$D$2),0)</f>
        <v>0</v>
      </c>
      <c r="E261" s="293">
        <v>11815000</v>
      </c>
    </row>
    <row r="262" spans="1:5" ht="16" thickBot="1" x14ac:dyDescent="0.25">
      <c r="A262" s="281"/>
      <c r="B262" s="282"/>
      <c r="C262" s="286"/>
      <c r="D262" s="298">
        <f>SUM(D256:D261)</f>
        <v>0</v>
      </c>
      <c r="E262" s="298">
        <f>SUM(E256:E261)</f>
        <v>67273619.25999999</v>
      </c>
    </row>
    <row r="263" spans="1:5" ht="16" thickTop="1" x14ac:dyDescent="0.2">
      <c r="A263" s="281"/>
      <c r="B263" s="282"/>
      <c r="C263" s="286"/>
      <c r="D263" s="293"/>
      <c r="E263" s="293"/>
    </row>
    <row r="264" spans="1:5" x14ac:dyDescent="0.2">
      <c r="A264" s="281">
        <v>23</v>
      </c>
      <c r="B264" s="282"/>
      <c r="C264" s="299" t="s">
        <v>1603</v>
      </c>
      <c r="D264" s="293"/>
      <c r="E264" s="293"/>
    </row>
    <row r="265" spans="1:5" x14ac:dyDescent="0.2">
      <c r="A265" s="281"/>
      <c r="B265" s="282" t="s">
        <v>1149</v>
      </c>
      <c r="C265" s="286" t="s">
        <v>575</v>
      </c>
      <c r="D265" s="293">
        <f>_xlfn.IFNA(SUMIFS(INDEX(TB_NG!$A:$AC, MATCH($B265, TB_NG!$B:$B, 0), ),TB_NG!$A$3:$AC$3, "&gt;="&amp;DATE(YEAR($D$2),1,1),TB_NG!$A$3:$AC$3, "&lt;="&amp;$D$2),0)</f>
        <v>0</v>
      </c>
      <c r="E265" s="293">
        <v>93582191.489999995</v>
      </c>
    </row>
    <row r="266" spans="1:5" x14ac:dyDescent="0.2">
      <c r="A266" s="281"/>
      <c r="B266" s="282" t="s">
        <v>1150</v>
      </c>
      <c r="C266" s="286" t="s">
        <v>576</v>
      </c>
      <c r="D266" s="293">
        <f>_xlfn.IFNA(SUMIFS(INDEX(TB_NG!$A:$AC, MATCH($B266, TB_NG!$B:$B, 0), ),TB_NG!$A$3:$AC$3, "&gt;="&amp;DATE(YEAR($D$2),1,1),TB_NG!$A$3:$AC$3, "&lt;="&amp;$D$2),0)</f>
        <v>0</v>
      </c>
      <c r="E266" s="293">
        <v>3184000</v>
      </c>
    </row>
    <row r="267" spans="1:5" x14ac:dyDescent="0.2">
      <c r="A267" s="281"/>
      <c r="B267" s="282" t="s">
        <v>1151</v>
      </c>
      <c r="C267" s="286" t="s">
        <v>577</v>
      </c>
      <c r="D267" s="293">
        <f>_xlfn.IFNA(SUMIFS(INDEX(TB_NG!$A:$AC, MATCH($B267, TB_NG!$B:$B, 0), ),TB_NG!$A$3:$AC$3, "&gt;="&amp;DATE(YEAR($D$2),1,1),TB_NG!$A$3:$AC$3, "&lt;="&amp;$D$2),0)</f>
        <v>0</v>
      </c>
      <c r="E267" s="293">
        <v>32542887.260000002</v>
      </c>
    </row>
    <row r="268" spans="1:5" x14ac:dyDescent="0.2">
      <c r="A268" s="281"/>
      <c r="B268" s="282" t="s">
        <v>1153</v>
      </c>
      <c r="C268" s="286" t="s">
        <v>579</v>
      </c>
      <c r="D268" s="293">
        <f>_xlfn.IFNA(SUMIFS(INDEX(TB_NG!$A:$AC, MATCH($B268, TB_NG!$B:$B, 0), ),TB_NG!$A$3:$AC$3, "&gt;="&amp;DATE(YEAR($D$2),1,1),TB_NG!$A$3:$AC$3, "&lt;="&amp;$D$2),0)</f>
        <v>0</v>
      </c>
      <c r="E268" s="293">
        <v>80116109</v>
      </c>
    </row>
    <row r="269" spans="1:5" ht="16" thickBot="1" x14ac:dyDescent="0.25">
      <c r="A269" s="281"/>
      <c r="B269" s="282"/>
      <c r="C269" s="286"/>
      <c r="D269" s="298">
        <f>SUM(D265:D268)</f>
        <v>0</v>
      </c>
      <c r="E269" s="298">
        <f>SUM(E265:E268)</f>
        <v>209425187.75</v>
      </c>
    </row>
    <row r="270" spans="1:5" ht="16" thickTop="1" x14ac:dyDescent="0.2">
      <c r="A270" s="281"/>
      <c r="B270" s="282"/>
      <c r="C270" s="286"/>
      <c r="D270" s="293"/>
      <c r="E270" s="293"/>
    </row>
    <row r="271" spans="1:5" x14ac:dyDescent="0.2">
      <c r="A271" s="281">
        <v>24</v>
      </c>
      <c r="B271" s="282"/>
      <c r="C271" s="299" t="s">
        <v>1604</v>
      </c>
      <c r="D271" s="293"/>
      <c r="E271" s="293"/>
    </row>
    <row r="272" spans="1:5" x14ac:dyDescent="0.2">
      <c r="A272" s="281"/>
      <c r="B272" s="282" t="s">
        <v>907</v>
      </c>
      <c r="C272" s="286" t="s">
        <v>580</v>
      </c>
      <c r="D272" s="293">
        <f>_xlfn.IFNA(SUMIFS(INDEX(TB_NG!$A:$AC, MATCH($B272, TB_NG!$B:$B, 0), ),TB_NG!$A$3:$AC$3, "&gt;="&amp;DATE(YEAR($D$2),1,1),TB_NG!$A$3:$AC$3, "&lt;="&amp;$D$2),0)</f>
        <v>0</v>
      </c>
      <c r="E272" s="293">
        <v>15291284.59</v>
      </c>
    </row>
    <row r="273" spans="1:5" x14ac:dyDescent="0.2">
      <c r="A273" s="281"/>
      <c r="B273" s="282" t="s">
        <v>1154</v>
      </c>
      <c r="C273" s="286" t="s">
        <v>581</v>
      </c>
      <c r="D273" s="293">
        <f>_xlfn.IFNA(SUMIFS(INDEX(TB_NG!$A:$AC, MATCH($B273, TB_NG!$B:$B, 0), ),TB_NG!$A$3:$AC$3, "&gt;="&amp;DATE(YEAR($D$2),1,1),TB_NG!$A$3:$AC$3, "&lt;="&amp;$D$2),0)</f>
        <v>0</v>
      </c>
      <c r="E273" s="293">
        <v>47820882.899999999</v>
      </c>
    </row>
    <row r="274" spans="1:5" x14ac:dyDescent="0.2">
      <c r="A274" s="281"/>
      <c r="B274" s="282" t="s">
        <v>1158</v>
      </c>
      <c r="C274" s="286" t="s">
        <v>585</v>
      </c>
      <c r="D274" s="293">
        <f>_xlfn.IFNA(SUMIFS(INDEX(TB_NG!$A:$AC, MATCH($B274, TB_NG!$B:$B, 0), ),TB_NG!$A$3:$AC$3, "&gt;="&amp;DATE(YEAR($D$2),1,1),TB_NG!$A$3:$AC$3, "&lt;="&amp;$D$2),0)</f>
        <v>0</v>
      </c>
      <c r="E274" s="293">
        <v>4082888.58</v>
      </c>
    </row>
    <row r="275" spans="1:5" x14ac:dyDescent="0.2">
      <c r="A275" s="281"/>
      <c r="B275" s="282" t="s">
        <v>1159</v>
      </c>
      <c r="C275" s="286" t="s">
        <v>586</v>
      </c>
      <c r="D275" s="293">
        <f>_xlfn.IFNA(SUMIFS(INDEX(TB_NG!$A:$AC, MATCH($B275, TB_NG!$B:$B, 0), ),TB_NG!$A$3:$AC$3, "&gt;="&amp;DATE(YEAR($D$2),1,1),TB_NG!$A$3:$AC$3, "&lt;="&amp;$D$2),0)</f>
        <v>0</v>
      </c>
      <c r="E275" s="293">
        <v>35973006.539999999</v>
      </c>
    </row>
    <row r="276" spans="1:5" x14ac:dyDescent="0.2">
      <c r="A276" s="281"/>
      <c r="B276" s="282" t="s">
        <v>1163</v>
      </c>
      <c r="C276" s="286" t="s">
        <v>590</v>
      </c>
      <c r="D276" s="293">
        <f>_xlfn.IFNA(SUMIFS(INDEX(TB_NG!$A:$AC, MATCH($B276, TB_NG!$B:$B, 0), ),TB_NG!$A$3:$AC$3, "&gt;="&amp;DATE(YEAR($D$2),1,1),TB_NG!$A$3:$AC$3, "&lt;="&amp;$D$2),0)</f>
        <v>0</v>
      </c>
      <c r="E276" s="293">
        <v>86407846.079999998</v>
      </c>
    </row>
    <row r="277" spans="1:5" x14ac:dyDescent="0.2">
      <c r="A277" s="281"/>
      <c r="B277" s="282" t="s">
        <v>1164</v>
      </c>
      <c r="C277" s="286" t="s">
        <v>591</v>
      </c>
      <c r="D277" s="293">
        <f>_xlfn.IFNA(SUMIFS(INDEX(TB_NG!$A:$AC, MATCH($B277, TB_NG!$B:$B, 0), ),TB_NG!$A$3:$AC$3, "&gt;="&amp;DATE(YEAR($D$2),1,1),TB_NG!$A$3:$AC$3, "&lt;="&amp;$D$2),0)</f>
        <v>0</v>
      </c>
      <c r="E277" s="293">
        <v>7877705.8399999999</v>
      </c>
    </row>
    <row r="278" spans="1:5" x14ac:dyDescent="0.2">
      <c r="A278" s="281"/>
      <c r="B278" s="282" t="s">
        <v>914</v>
      </c>
      <c r="C278" s="286" t="s">
        <v>594</v>
      </c>
      <c r="D278" s="293">
        <f>_xlfn.IFNA(SUMIFS(INDEX(TB_NG!$A:$AC, MATCH($B278, TB_NG!$B:$B, 0), ),TB_NG!$A$3:$AC$3, "&gt;="&amp;DATE(YEAR($D$2),1,1),TB_NG!$A$3:$AC$3, "&lt;="&amp;$D$2),0)</f>
        <v>0</v>
      </c>
      <c r="E278" s="293">
        <v>1167600</v>
      </c>
    </row>
    <row r="279" spans="1:5" x14ac:dyDescent="0.2">
      <c r="A279" s="281"/>
    </row>
    <row r="280" spans="1:5" ht="16" thickBot="1" x14ac:dyDescent="0.25">
      <c r="A280" s="281"/>
      <c r="B280" s="282"/>
      <c r="C280" s="286"/>
      <c r="D280" s="298">
        <f>SUM(D272:D279)</f>
        <v>0</v>
      </c>
      <c r="E280" s="298">
        <f>SUM(E272:E279)</f>
        <v>198621214.53</v>
      </c>
    </row>
    <row r="281" spans="1:5" ht="16" thickTop="1" x14ac:dyDescent="0.2">
      <c r="A281" s="281"/>
      <c r="B281" s="282"/>
      <c r="C281" s="286"/>
      <c r="D281" s="302"/>
      <c r="E281" s="302"/>
    </row>
    <row r="282" spans="1:5" x14ac:dyDescent="0.2">
      <c r="A282" s="281"/>
      <c r="B282" s="282"/>
      <c r="C282" s="299" t="s">
        <v>1605</v>
      </c>
      <c r="D282" s="302"/>
      <c r="E282" s="302"/>
    </row>
    <row r="283" spans="1:5" x14ac:dyDescent="0.2">
      <c r="A283" s="281"/>
      <c r="B283" s="282" t="s">
        <v>1140</v>
      </c>
      <c r="C283" s="286" t="s">
        <v>563</v>
      </c>
      <c r="D283" s="293">
        <f>_xlfn.IFNA(SUMIFS(INDEX(TB_NG!$A:$AC, MATCH($B283, TB_NG!$B:$B, 0), ),TB_NG!$A$3:$AC$3, "&gt;="&amp;DATE(YEAR($D$2),1,1),TB_NG!$A$3:$AC$3, "&lt;="&amp;$D$2),0)</f>
        <v>0</v>
      </c>
      <c r="E283" s="293">
        <v>120033036.56999999</v>
      </c>
    </row>
    <row r="284" spans="1:5" ht="16" thickBot="1" x14ac:dyDescent="0.25">
      <c r="A284" s="281"/>
      <c r="B284" s="282"/>
      <c r="C284" s="286"/>
      <c r="D284" s="298">
        <f>D283</f>
        <v>0</v>
      </c>
      <c r="E284" s="298">
        <v>120033036.56999999</v>
      </c>
    </row>
    <row r="285" spans="1:5" ht="16" thickTop="1" x14ac:dyDescent="0.2">
      <c r="A285" s="281"/>
      <c r="B285" s="282"/>
      <c r="C285" s="286"/>
      <c r="D285" s="302"/>
      <c r="E285" s="302"/>
    </row>
    <row r="286" spans="1:5" x14ac:dyDescent="0.2">
      <c r="A286" s="281">
        <v>25</v>
      </c>
      <c r="B286" s="282"/>
      <c r="C286" s="299" t="s">
        <v>1606</v>
      </c>
      <c r="D286" s="302"/>
      <c r="E286" s="302"/>
    </row>
    <row r="287" spans="1:5" x14ac:dyDescent="0.2">
      <c r="A287" s="281"/>
      <c r="B287" s="282" t="s">
        <v>1139</v>
      </c>
      <c r="C287" s="286" t="s">
        <v>560</v>
      </c>
      <c r="D287" s="293">
        <f>_xlfn.IFNA(SUMIFS(INDEX(TB_NG!$A:$AC, MATCH($B287, TB_NG!$B:$B, 0), ),TB_NG!$A$3:$AC$3, "&gt;="&amp;DATE(YEAR($D$2),1,1),TB_NG!$A$3:$AC$3, "&lt;="&amp;$D$2),0)</f>
        <v>0</v>
      </c>
      <c r="E287" s="293">
        <v>19596120</v>
      </c>
    </row>
    <row r="288" spans="1:5" x14ac:dyDescent="0.2">
      <c r="A288" s="281"/>
      <c r="B288" s="282" t="s">
        <v>1181</v>
      </c>
      <c r="C288" s="286" t="s">
        <v>625</v>
      </c>
      <c r="D288" s="293">
        <f>_xlfn.IFNA(SUMIFS(INDEX(TB_NG!$A:$AC, MATCH($B288, TB_NG!$B:$B, 0), ),TB_NG!$A$3:$AC$3, "&gt;="&amp;DATE(YEAR($D$2),1,1),TB_NG!$A$3:$AC$3, "&lt;="&amp;$D$2),0)</f>
        <v>0</v>
      </c>
      <c r="E288" s="293">
        <v>14941080</v>
      </c>
    </row>
    <row r="289" spans="1:5" x14ac:dyDescent="0.2">
      <c r="A289" s="281"/>
      <c r="B289" s="282" t="s">
        <v>1182</v>
      </c>
      <c r="C289" s="286" t="s">
        <v>627</v>
      </c>
      <c r="D289" s="293">
        <f>_xlfn.IFNA(SUMIFS(INDEX(TB_NG!$A:$AC, MATCH($B289, TB_NG!$B:$B, 0), ),TB_NG!$A$3:$AC$3, "&gt;="&amp;DATE(YEAR($D$2),1,1),TB_NG!$A$3:$AC$3, "&lt;="&amp;$D$2),0)</f>
        <v>0</v>
      </c>
      <c r="E289" s="293">
        <v>9888150</v>
      </c>
    </row>
    <row r="290" spans="1:5" ht="16" thickBot="1" x14ac:dyDescent="0.25">
      <c r="A290" s="281"/>
      <c r="B290" s="282"/>
      <c r="C290" s="286"/>
      <c r="D290" s="298">
        <f>SUM(D287:D289)</f>
        <v>0</v>
      </c>
      <c r="E290" s="298">
        <v>44425350</v>
      </c>
    </row>
    <row r="291" spans="1:5" ht="16" thickTop="1" x14ac:dyDescent="0.2">
      <c r="A291" s="281"/>
      <c r="B291" s="282"/>
      <c r="C291" s="286"/>
      <c r="D291" s="302"/>
      <c r="E291" s="302"/>
    </row>
    <row r="292" spans="1:5" x14ac:dyDescent="0.2">
      <c r="A292" s="281">
        <v>26</v>
      </c>
      <c r="B292" s="282"/>
      <c r="C292" s="299" t="s">
        <v>1607</v>
      </c>
      <c r="D292" s="302"/>
      <c r="E292" s="302"/>
    </row>
    <row r="293" spans="1:5" x14ac:dyDescent="0.2">
      <c r="A293" s="281"/>
      <c r="B293" s="282" t="s">
        <v>903</v>
      </c>
      <c r="C293" s="286" t="s">
        <v>561</v>
      </c>
      <c r="D293" s="293">
        <f>_xlfn.IFNA(SUMIFS(INDEX(TB_NG!$A:$AC, MATCH($B293, TB_NG!$B:$B, 0), ),TB_NG!$A$3:$AC$3, "&gt;="&amp;DATE(YEAR($D$2),1,1),TB_NG!$A$3:$AC$3, "&lt;="&amp;$D$2),0)</f>
        <v>0</v>
      </c>
      <c r="E293" s="293">
        <v>49071712.25</v>
      </c>
    </row>
    <row r="294" spans="1:5" x14ac:dyDescent="0.2">
      <c r="A294" s="281"/>
      <c r="B294" s="282" t="s">
        <v>904</v>
      </c>
      <c r="C294" s="286" t="s">
        <v>612</v>
      </c>
      <c r="D294" s="293">
        <f>_xlfn.IFNA(SUMIFS(INDEX(TB_NG!$A:$AC, MATCH($B294, TB_NG!$B:$B, 0), ),TB_NG!$A$3:$AC$3, "&gt;="&amp;DATE(YEAR($D$2),1,1),TB_NG!$A$3:$AC$3, "&lt;="&amp;$D$2),0)</f>
        <v>0</v>
      </c>
      <c r="E294" s="293">
        <v>84726847.590000004</v>
      </c>
    </row>
    <row r="295" spans="1:5" ht="16" thickBot="1" x14ac:dyDescent="0.25">
      <c r="D295" s="298">
        <f>SUM(D292:D294)</f>
        <v>0</v>
      </c>
      <c r="E295" s="298">
        <f>SUM(E292:E294)</f>
        <v>133798559.84</v>
      </c>
    </row>
    <row r="296" spans="1:5" ht="16" thickTop="1" x14ac:dyDescent="0.2"/>
    <row r="298" spans="1:5" x14ac:dyDescent="0.2">
      <c r="A298" s="290">
        <v>27</v>
      </c>
      <c r="C298" s="308" t="s">
        <v>1608</v>
      </c>
    </row>
    <row r="299" spans="1:5" x14ac:dyDescent="0.2">
      <c r="A299" s="281"/>
      <c r="B299" s="282" t="s">
        <v>1142</v>
      </c>
      <c r="C299" s="286" t="s">
        <v>566</v>
      </c>
      <c r="D299" s="293">
        <f>_xlfn.IFNA(SUMIFS(INDEX(TB_NG!$A:$AC, MATCH($B299, TB_NG!$B:$B, 0), ),TB_NG!$A$3:$AC$3, "&gt;="&amp;DATE(YEAR($D$2),1,1),TB_NG!$A$3:$AC$3, "&lt;="&amp;$D$2),0)</f>
        <v>0</v>
      </c>
      <c r="E299" s="293">
        <v>12927678.220000001</v>
      </c>
    </row>
    <row r="300" spans="1:5" x14ac:dyDescent="0.2">
      <c r="A300" s="281"/>
      <c r="B300" s="282" t="s">
        <v>1144</v>
      </c>
      <c r="C300" s="286" t="s">
        <v>568</v>
      </c>
      <c r="D300" s="293">
        <f>_xlfn.IFNA(SUMIFS(INDEX(TB_NG!$A:$AC, MATCH($B300, TB_NG!$B:$B, 0), ),TB_NG!$A$3:$AC$3, "&gt;="&amp;DATE(YEAR($D$2),1,1),TB_NG!$A$3:$AC$3, "&lt;="&amp;$D$2),0)</f>
        <v>0</v>
      </c>
      <c r="E300" s="293">
        <v>52205390.109999999</v>
      </c>
    </row>
    <row r="301" spans="1:5" x14ac:dyDescent="0.2">
      <c r="A301" s="281"/>
      <c r="B301" s="282" t="s">
        <v>1145</v>
      </c>
      <c r="C301" s="286" t="s">
        <v>569</v>
      </c>
      <c r="D301" s="293">
        <f>_xlfn.IFNA(SUMIFS(INDEX(TB_NG!$A:$AC, MATCH($B301, TB_NG!$B:$B, 0), ),TB_NG!$A$3:$AC$3, "&gt;="&amp;DATE(YEAR($D$2),1,1),TB_NG!$A$3:$AC$3, "&lt;="&amp;$D$2),0)</f>
        <v>0</v>
      </c>
      <c r="E301" s="293">
        <v>12835495.880000001</v>
      </c>
    </row>
    <row r="302" spans="1:5" x14ac:dyDescent="0.2">
      <c r="A302" s="281"/>
      <c r="B302" s="282" t="s">
        <v>1146</v>
      </c>
      <c r="C302" s="286" t="s">
        <v>570</v>
      </c>
      <c r="D302" s="293">
        <f>_xlfn.IFNA(SUMIFS(INDEX(TB_NG!$A:$AC, MATCH($B302, TB_NG!$B:$B, 0), ),TB_NG!$A$3:$AC$3, "&gt;="&amp;DATE(YEAR($D$2),1,1),TB_NG!$A$3:$AC$3, "&lt;="&amp;$D$2),0)</f>
        <v>0</v>
      </c>
      <c r="E302" s="293">
        <v>123520521.34999999</v>
      </c>
    </row>
    <row r="303" spans="1:5" x14ac:dyDescent="0.2">
      <c r="A303" s="281"/>
      <c r="B303" s="282" t="s">
        <v>1186</v>
      </c>
      <c r="C303" s="286" t="s">
        <v>640</v>
      </c>
      <c r="D303" s="293">
        <f>_xlfn.IFNA(SUMIFS(INDEX(TB_NG!$A:$AC, MATCH($B303, TB_NG!$B:$B, 0), ),TB_NG!$A$3:$AC$3, "&gt;="&amp;DATE(YEAR($D$2),1,1),TB_NG!$A$3:$AC$3, "&lt;="&amp;$D$2),0)</f>
        <v>0</v>
      </c>
      <c r="E303" s="293">
        <v>28524791.620000001</v>
      </c>
    </row>
    <row r="304" spans="1:5" x14ac:dyDescent="0.2">
      <c r="A304" s="281"/>
      <c r="B304" s="282" t="s">
        <v>894</v>
      </c>
      <c r="C304" s="286" t="s">
        <v>642</v>
      </c>
      <c r="D304" s="293">
        <f>_xlfn.IFNA(SUMIFS(INDEX(TB_NG!$A:$AC, MATCH($B304, TB_NG!$B:$B, 0), ),TB_NG!$A$3:$AC$3, "&gt;="&amp;DATE(YEAR($D$2),1,1),TB_NG!$A$3:$AC$3, "&lt;="&amp;$D$2),0)</f>
        <v>0</v>
      </c>
      <c r="E304" s="293">
        <v>93421509.399999991</v>
      </c>
    </row>
    <row r="305" spans="1:5" x14ac:dyDescent="0.2">
      <c r="A305" s="281"/>
      <c r="B305" s="282" t="s">
        <v>1192</v>
      </c>
      <c r="C305" s="286" t="s">
        <v>661</v>
      </c>
      <c r="D305" s="293">
        <f>_xlfn.IFNA(SUMIFS(INDEX(TB_NG!$A:$AC, MATCH($B305, TB_NG!$B:$B, 0), ),TB_NG!$A$3:$AC$3, "&gt;="&amp;DATE(YEAR($D$2),1,1),TB_NG!$A$3:$AC$3, "&lt;="&amp;$D$2),0)</f>
        <v>0</v>
      </c>
      <c r="E305" s="293">
        <v>3587533.33</v>
      </c>
    </row>
    <row r="306" spans="1:5" ht="16" thickBot="1" x14ac:dyDescent="0.25">
      <c r="A306" s="281"/>
      <c r="B306" s="282"/>
      <c r="C306" s="286"/>
      <c r="D306" s="298">
        <f>SUM(D299:D305)</f>
        <v>0</v>
      </c>
      <c r="E306" s="298">
        <f>SUM(E299:E305)</f>
        <v>327022919.90999997</v>
      </c>
    </row>
    <row r="307" spans="1:5" ht="16" thickTop="1" x14ac:dyDescent="0.2">
      <c r="A307" s="281"/>
      <c r="B307" s="282"/>
      <c r="C307" s="286"/>
      <c r="D307" s="293"/>
      <c r="E307" s="293"/>
    </row>
    <row r="308" spans="1:5" x14ac:dyDescent="0.2">
      <c r="A308" s="281">
        <v>28</v>
      </c>
      <c r="B308" s="282"/>
      <c r="C308" s="299" t="s">
        <v>1609</v>
      </c>
      <c r="D308" s="293"/>
      <c r="E308" s="293"/>
    </row>
    <row r="309" spans="1:5" x14ac:dyDescent="0.2">
      <c r="A309" s="281"/>
      <c r="B309" s="282" t="s">
        <v>1173</v>
      </c>
      <c r="C309" s="286" t="s">
        <v>605</v>
      </c>
      <c r="D309" s="293">
        <f>_xlfn.IFNA(SUMIFS(INDEX(TB_NG!$A:$AC, MATCH($B309, TB_NG!$B:$B, 0), ),TB_NG!$A$3:$AC$3, "&gt;="&amp;DATE(YEAR($D$2),1,1),TB_NG!$A$3:$AC$3, "&lt;="&amp;$D$2),0)</f>
        <v>0</v>
      </c>
      <c r="E309" s="293">
        <v>31686509.27</v>
      </c>
    </row>
    <row r="310" spans="1:5" x14ac:dyDescent="0.2">
      <c r="A310" s="281"/>
      <c r="B310" s="282" t="s">
        <v>1174</v>
      </c>
      <c r="C310" s="286" t="s">
        <v>606</v>
      </c>
      <c r="D310" s="293">
        <f>_xlfn.IFNA(SUMIFS(INDEX(TB_NG!$A:$AC, MATCH($B310, TB_NG!$B:$B, 0), ),TB_NG!$A$3:$AC$3, "&gt;="&amp;DATE(YEAR($D$2),1,1),TB_NG!$A$3:$AC$3, "&lt;="&amp;$D$2),0)</f>
        <v>0</v>
      </c>
      <c r="E310" s="293">
        <v>12741400</v>
      </c>
    </row>
    <row r="311" spans="1:5" x14ac:dyDescent="0.2">
      <c r="A311" s="281"/>
      <c r="B311" s="282" t="s">
        <v>1175</v>
      </c>
      <c r="C311" s="286" t="s">
        <v>607</v>
      </c>
      <c r="D311" s="293">
        <f>_xlfn.IFNA(SUMIFS(INDEX(TB_NG!$A:$AC, MATCH($B311, TB_NG!$B:$B, 0), ),TB_NG!$A$3:$AC$3, "&gt;="&amp;DATE(YEAR($D$2),1,1),TB_NG!$A$3:$AC$3, "&lt;="&amp;$D$2),0)</f>
        <v>0</v>
      </c>
      <c r="E311" s="293">
        <v>5821459.54</v>
      </c>
    </row>
    <row r="312" spans="1:5" ht="16" thickBot="1" x14ac:dyDescent="0.25">
      <c r="D312" s="298">
        <f>SUM(D309:D311)</f>
        <v>0</v>
      </c>
      <c r="E312" s="298">
        <v>50249368.809999995</v>
      </c>
    </row>
    <row r="313" spans="1:5" ht="16" thickTop="1" x14ac:dyDescent="0.2"/>
    <row r="316" spans="1:5" x14ac:dyDescent="0.2">
      <c r="A316" s="290">
        <v>29</v>
      </c>
      <c r="C316" s="308" t="s">
        <v>1610</v>
      </c>
    </row>
    <row r="317" spans="1:5" x14ac:dyDescent="0.2">
      <c r="A317" s="281"/>
      <c r="B317" s="282" t="s">
        <v>1166</v>
      </c>
      <c r="C317" s="286" t="s">
        <v>595</v>
      </c>
      <c r="D317" s="293">
        <f>_xlfn.IFNA(SUMIFS(INDEX(TB_NG!$A:$AC, MATCH($B317, TB_NG!$B:$B, 0), ),TB_NG!$A$3:$AC$3, "&gt;="&amp;DATE(YEAR($D$2),1,1),TB_NG!$A$3:$AC$3, "&lt;="&amp;$D$2),0)</f>
        <v>0</v>
      </c>
      <c r="E317" s="293">
        <v>1255200</v>
      </c>
    </row>
    <row r="318" spans="1:5" x14ac:dyDescent="0.2">
      <c r="A318" s="281"/>
      <c r="B318" s="282" t="s">
        <v>1201</v>
      </c>
      <c r="C318" s="286" t="s">
        <v>680</v>
      </c>
      <c r="D318" s="293">
        <f>_xlfn.IFNA(SUMIFS(INDEX(TB_NG!$A:$AC, MATCH($B318, TB_NG!$B:$B, 0), ),TB_NG!$A$3:$AC$3, "&gt;="&amp;DATE(YEAR($D$2),1,1),TB_NG!$A$3:$AC$3, "&lt;="&amp;$D$2),0)</f>
        <v>0</v>
      </c>
      <c r="E318" s="293">
        <v>5750050</v>
      </c>
    </row>
    <row r="319" spans="1:5" ht="16" thickBot="1" x14ac:dyDescent="0.25">
      <c r="D319" s="298">
        <f>SUM(D317:D318)</f>
        <v>0</v>
      </c>
      <c r="E319" s="298">
        <f>SUM(E317:E318)</f>
        <v>7005250</v>
      </c>
    </row>
    <row r="320" spans="1:5" ht="16" thickTop="1" x14ac:dyDescent="0.2"/>
    <row r="321" spans="1:5" x14ac:dyDescent="0.2">
      <c r="A321" s="290">
        <v>30</v>
      </c>
      <c r="C321" s="308" t="s">
        <v>1611</v>
      </c>
    </row>
    <row r="322" spans="1:5" x14ac:dyDescent="0.2">
      <c r="A322" s="281"/>
      <c r="B322" s="282" t="s">
        <v>921</v>
      </c>
      <c r="C322" s="286" t="s">
        <v>660</v>
      </c>
      <c r="D322" s="293">
        <f>_xlfn.IFNA(SUMIFS(INDEX(TB_NG!$A:$AC, MATCH($B322, TB_NG!$B:$B, 0), ),TB_NG!$A$3:$AC$3, "&gt;="&amp;DATE(YEAR($D$2),1,1),TB_NG!$A$3:$AC$3, "&lt;="&amp;$D$2),0)</f>
        <v>0</v>
      </c>
      <c r="E322" s="293">
        <v>36117350.5</v>
      </c>
    </row>
    <row r="323" spans="1:5" x14ac:dyDescent="0.2">
      <c r="A323" s="281"/>
      <c r="B323" s="282" t="s">
        <v>1219</v>
      </c>
      <c r="C323" s="286" t="s">
        <v>743</v>
      </c>
      <c r="D323" s="293">
        <f>_xlfn.IFNA(SUMIFS(INDEX(TB_NG!$A:$AC, MATCH($B323, TB_NG!$B:$B, 0), ),TB_NG!$A$3:$AC$3, "&gt;="&amp;DATE(YEAR($D$2),1,1),TB_NG!$A$3:$AC$3, "&lt;="&amp;$D$2),0)</f>
        <v>0</v>
      </c>
      <c r="E323" s="293">
        <v>6005383.29</v>
      </c>
    </row>
    <row r="324" spans="1:5" ht="16" thickBot="1" x14ac:dyDescent="0.25">
      <c r="D324" s="298">
        <f>SUM(D322:D323)</f>
        <v>0</v>
      </c>
      <c r="E324" s="298">
        <f>SUM(E322:E323)</f>
        <v>42122733.789999999</v>
      </c>
    </row>
    <row r="325" spans="1:5" ht="16" thickTop="1" x14ac:dyDescent="0.2"/>
    <row r="326" spans="1:5" x14ac:dyDescent="0.2">
      <c r="A326" s="290">
        <v>31</v>
      </c>
      <c r="C326" s="308" t="s">
        <v>1612</v>
      </c>
    </row>
    <row r="327" spans="1:5" x14ac:dyDescent="0.2">
      <c r="A327" s="281"/>
      <c r="B327" s="282" t="s">
        <v>913</v>
      </c>
      <c r="C327" s="286" t="s">
        <v>614</v>
      </c>
      <c r="D327" s="293">
        <f>_xlfn.IFNA(SUMIFS(INDEX(TB_NG!$A:$AC, MATCH($B327, TB_NG!$B:$B, 0), ),TB_NG!$A$3:$AC$3, "&gt;="&amp;DATE(YEAR($D$2),1,1),TB_NG!$A$3:$AC$3, "&lt;="&amp;$D$2),0)</f>
        <v>0</v>
      </c>
      <c r="E327" s="293">
        <v>6758680.0499999998</v>
      </c>
    </row>
    <row r="328" spans="1:5" ht="16" thickBot="1" x14ac:dyDescent="0.25">
      <c r="D328" s="298">
        <f>D327</f>
        <v>0</v>
      </c>
      <c r="E328" s="298">
        <f>E327</f>
        <v>6758680.0499999998</v>
      </c>
    </row>
    <row r="329" spans="1:5" ht="16" thickTop="1" x14ac:dyDescent="0.2"/>
    <row r="330" spans="1:5" x14ac:dyDescent="0.2">
      <c r="A330" s="290">
        <v>32</v>
      </c>
      <c r="C330" s="308" t="s">
        <v>1613</v>
      </c>
    </row>
    <row r="331" spans="1:5" x14ac:dyDescent="0.2">
      <c r="A331" s="281"/>
      <c r="B331" s="282" t="s">
        <v>1195</v>
      </c>
      <c r="C331" s="286" t="s">
        <v>668</v>
      </c>
      <c r="D331" s="293">
        <f>_xlfn.IFNA(SUMIFS(INDEX(TB_NG!$A:$AC, MATCH($B331, TB_NG!$B:$B, 0), ),TB_NG!$A$3:$AC$3, "&gt;="&amp;DATE(YEAR($D$2),1,1),TB_NG!$A$3:$AC$3, "&lt;="&amp;$D$2),0)</f>
        <v>0</v>
      </c>
      <c r="E331" s="293">
        <v>163764312.99000001</v>
      </c>
    </row>
    <row r="332" spans="1:5" x14ac:dyDescent="0.2">
      <c r="A332" s="281"/>
      <c r="B332" s="282" t="s">
        <v>1196</v>
      </c>
      <c r="C332" s="286" t="s">
        <v>671</v>
      </c>
      <c r="D332" s="293">
        <f>_xlfn.IFNA(SUMIFS(INDEX(TB_NG!$A:$AC, MATCH($B332, TB_NG!$B:$B, 0), ),TB_NG!$A$3:$AC$3, "&gt;="&amp;DATE(YEAR($D$2),1,1),TB_NG!$A$3:$AC$3, "&lt;="&amp;$D$2),0)</f>
        <v>0</v>
      </c>
      <c r="E332" s="293">
        <v>648290411.07000005</v>
      </c>
    </row>
    <row r="333" spans="1:5" ht="16" thickBot="1" x14ac:dyDescent="0.25">
      <c r="D333" s="298">
        <f>SUM(D331:D332)</f>
        <v>0</v>
      </c>
      <c r="E333" s="298">
        <f>SUM(E331:E332)</f>
        <v>812054724.06000006</v>
      </c>
    </row>
    <row r="334" spans="1:5" ht="16" thickTop="1" x14ac:dyDescent="0.2"/>
    <row r="335" spans="1:5" x14ac:dyDescent="0.2">
      <c r="C335" s="308" t="s">
        <v>1614</v>
      </c>
    </row>
    <row r="336" spans="1:5" x14ac:dyDescent="0.2">
      <c r="A336" s="281"/>
      <c r="B336" s="282" t="s">
        <v>1199</v>
      </c>
      <c r="C336" s="286" t="s">
        <v>676</v>
      </c>
      <c r="D336" s="293">
        <f>_xlfn.IFNA(SUMIFS(INDEX(TB_NG!$A:$AC, MATCH($B336, TB_NG!$B:$B, 0), ),TB_NG!$A$3:$AC$3, "&gt;="&amp;DATE(YEAR($D$2),1,1),TB_NG!$A$3:$AC$3, "&lt;="&amp;$D$2),0)</f>
        <v>0</v>
      </c>
      <c r="E336" s="293">
        <v>39203958.960000001</v>
      </c>
    </row>
    <row r="337" spans="1:5" ht="16" thickBot="1" x14ac:dyDescent="0.25">
      <c r="D337" s="298">
        <f>D336</f>
        <v>0</v>
      </c>
      <c r="E337" s="298">
        <f>E336</f>
        <v>39203958.960000001</v>
      </c>
    </row>
    <row r="338" spans="1:5" ht="16" thickTop="1" x14ac:dyDescent="0.2"/>
    <row r="339" spans="1:5" x14ac:dyDescent="0.2">
      <c r="A339" s="290">
        <v>33</v>
      </c>
      <c r="C339" s="285" t="s">
        <v>1615</v>
      </c>
    </row>
    <row r="340" spans="1:5" x14ac:dyDescent="0.2">
      <c r="A340" s="281"/>
      <c r="B340" s="282" t="s">
        <v>1616</v>
      </c>
      <c r="C340" s="286" t="s">
        <v>1617</v>
      </c>
      <c r="D340" s="293">
        <f>_xlfn.IFNA(SUMIFS(INDEX(TB_NG!$A:$AC, MATCH($B340, TB_NG!$B:$B, 0), ),TB_NG!$A$3:$AC$3, "&gt;="&amp;DATE(YEAR($D$2),1,1),TB_NG!$A$3:$AC$3, "&lt;="&amp;$D$2),0)</f>
        <v>0</v>
      </c>
      <c r="E340" s="293">
        <v>513297555.69999999</v>
      </c>
    </row>
    <row r="341" spans="1:5" ht="16" thickBot="1" x14ac:dyDescent="0.25">
      <c r="D341" s="298">
        <f>D340</f>
        <v>0</v>
      </c>
      <c r="E341" s="298">
        <f>E340</f>
        <v>513297555.69999999</v>
      </c>
    </row>
    <row r="342" spans="1:5" ht="16" thickTop="1" x14ac:dyDescent="0.2"/>
    <row r="343" spans="1:5" x14ac:dyDescent="0.2">
      <c r="A343" s="290">
        <v>34</v>
      </c>
      <c r="C343" s="285" t="s">
        <v>1618</v>
      </c>
    </row>
    <row r="344" spans="1:5" x14ac:dyDescent="0.2">
      <c r="A344" s="281"/>
      <c r="B344" s="282" t="s">
        <v>910</v>
      </c>
      <c r="C344" s="286" t="s">
        <v>644</v>
      </c>
      <c r="D344" s="293">
        <f>_xlfn.IFNA(SUMIFS(INDEX(TB_NG!$A:$AC, MATCH($B344, TB_NG!$B:$B, 0), ),TB_NG!$A$3:$AC$3, "&gt;="&amp;DATE(YEAR($D$2),1,1),TB_NG!$A$3:$AC$3, "&lt;="&amp;$D$2),0)</f>
        <v>0</v>
      </c>
      <c r="E344" s="293">
        <v>91358005.739999995</v>
      </c>
    </row>
    <row r="345" spans="1:5" x14ac:dyDescent="0.2">
      <c r="A345" s="281"/>
      <c r="B345" s="282" t="s">
        <v>1178</v>
      </c>
      <c r="C345" s="286" t="s">
        <v>619</v>
      </c>
      <c r="D345" s="293">
        <f>_xlfn.IFNA(SUMIFS(INDEX(TB_NG!$A:$AC, MATCH($B345, TB_NG!$B:$B, 0), ),TB_NG!$A$3:$AC$3, "&gt;="&amp;DATE(YEAR($D$2),1,1),TB_NG!$A$3:$AC$3, "&lt;="&amp;$D$2),0)</f>
        <v>0</v>
      </c>
      <c r="E345" s="293">
        <v>5927810</v>
      </c>
    </row>
    <row r="346" spans="1:5" x14ac:dyDescent="0.2">
      <c r="A346" s="281"/>
      <c r="B346" s="282" t="s">
        <v>1191</v>
      </c>
      <c r="C346" s="286" t="s">
        <v>659</v>
      </c>
      <c r="D346" s="293">
        <f>_xlfn.IFNA(SUMIFS(INDEX(TB_NG!$A:$AC, MATCH($B346, TB_NG!$B:$B, 0), ),TB_NG!$A$3:$AC$3, "&gt;="&amp;DATE(YEAR($D$2),1,1),TB_NG!$A$3:$AC$3, "&lt;="&amp;$D$2),0)</f>
        <v>0</v>
      </c>
      <c r="E346" s="293">
        <v>0</v>
      </c>
    </row>
    <row r="347" spans="1:5" ht="16" thickBot="1" x14ac:dyDescent="0.25">
      <c r="D347" s="298">
        <f>SUM(D344:D346)</f>
        <v>0</v>
      </c>
      <c r="E347" s="298">
        <f>SUM(E344:E346)</f>
        <v>97285815.739999995</v>
      </c>
    </row>
    <row r="348" spans="1:5" ht="16" thickTop="1" x14ac:dyDescent="0.2"/>
    <row r="349" spans="1:5" x14ac:dyDescent="0.2">
      <c r="A349" s="290">
        <v>35</v>
      </c>
      <c r="C349" s="285" t="s">
        <v>1619</v>
      </c>
    </row>
    <row r="350" spans="1:5" x14ac:dyDescent="0.2">
      <c r="A350" s="281"/>
      <c r="B350" s="282" t="s">
        <v>1183</v>
      </c>
      <c r="C350" s="286" t="s">
        <v>630</v>
      </c>
      <c r="D350" s="293">
        <f>_xlfn.IFNA(SUMIFS(INDEX(TB_NG!$A:$AC, MATCH($B350, TB_NG!$B:$B, 0), ),TB_NG!$A$3:$AC$3, "&gt;="&amp;DATE(YEAR($D$2),1,1),TB_NG!$A$3:$AC$3, "&lt;="&amp;$D$2),0)</f>
        <v>0</v>
      </c>
      <c r="E350" s="293">
        <v>23501543.34</v>
      </c>
    </row>
    <row r="351" spans="1:5" x14ac:dyDescent="0.2">
      <c r="A351" s="281"/>
      <c r="B351" s="282" t="s">
        <v>1216</v>
      </c>
      <c r="C351" s="286" t="s">
        <v>737</v>
      </c>
      <c r="D351" s="293">
        <f>_xlfn.IFNA(SUMIFS(INDEX(TB_NG!$A:$AC, MATCH($B351, TB_NG!$B:$B, 0), ),TB_NG!$A$3:$AC$3, "&gt;="&amp;DATE(YEAR($D$2),1,1),TB_NG!$A$3:$AC$3, "&lt;="&amp;$D$2),0)</f>
        <v>0</v>
      </c>
      <c r="E351" s="293">
        <v>23691956.829999998</v>
      </c>
    </row>
    <row r="352" spans="1:5" x14ac:dyDescent="0.2">
      <c r="A352" s="281"/>
      <c r="B352" s="282" t="s">
        <v>1217</v>
      </c>
      <c r="C352" s="286" t="s">
        <v>739</v>
      </c>
      <c r="D352" s="293">
        <f>_xlfn.IFNA(SUMIFS(INDEX(TB_NG!$A:$AC, MATCH($B352, TB_NG!$B:$B, 0), ),TB_NG!$A$3:$AC$3, "&gt;="&amp;DATE(YEAR($D$2),1,1),TB_NG!$A$3:$AC$3, "&lt;="&amp;$D$2),0)</f>
        <v>0</v>
      </c>
      <c r="E352" s="293">
        <v>-638375.25</v>
      </c>
    </row>
    <row r="353" spans="1:5" x14ac:dyDescent="0.2">
      <c r="A353" s="281"/>
      <c r="B353" s="282" t="s">
        <v>896</v>
      </c>
      <c r="C353" s="286" t="s">
        <v>740</v>
      </c>
      <c r="D353" s="293">
        <f>_xlfn.IFNA(SUMIFS(INDEX(TB_NG!$A:$AC, MATCH($B353, TB_NG!$B:$B, 0), ),TB_NG!$A$3:$AC$3, "&gt;="&amp;DATE(YEAR($D$2),1,1),TB_NG!$A$3:$AC$3, "&lt;="&amp;$D$2),0)</f>
        <v>0</v>
      </c>
      <c r="E353" s="293">
        <v>14883588.23</v>
      </c>
    </row>
    <row r="354" spans="1:5" ht="16" thickBot="1" x14ac:dyDescent="0.25">
      <c r="D354" s="298">
        <f>SUM(D350:D353)</f>
        <v>0</v>
      </c>
      <c r="E354" s="298">
        <f>SUM(E350:E353)</f>
        <v>61438713.150000006</v>
      </c>
    </row>
    <row r="355" spans="1:5" ht="16" thickTop="1" x14ac:dyDescent="0.2"/>
    <row r="356" spans="1:5" x14ac:dyDescent="0.2">
      <c r="C356" s="285" t="s">
        <v>1620</v>
      </c>
    </row>
    <row r="357" spans="1:5" x14ac:dyDescent="0.2">
      <c r="C357" s="286" t="s">
        <v>1621</v>
      </c>
      <c r="D357" s="293">
        <f>_xlfn.IFNA(SUMIFS(INDEX(TB_NG!$A:$AC, MATCH($B357, TB_NG!$B:$B, 0), ),TB_NG!$A$3:$AC$3, "&gt;="&amp;DATE(YEAR($D$2),1,1),TB_NG!$A$3:$AC$3, "&lt;="&amp;$D$2),0)</f>
        <v>0</v>
      </c>
      <c r="E357" s="293">
        <v>9675000</v>
      </c>
    </row>
    <row r="358" spans="1:5" ht="16" thickBot="1" x14ac:dyDescent="0.25">
      <c r="D358" s="298">
        <f>D357</f>
        <v>0</v>
      </c>
      <c r="E358" s="298">
        <f>E357</f>
        <v>9675000</v>
      </c>
    </row>
    <row r="359" spans="1:5" ht="16" thickTop="1" x14ac:dyDescent="0.2"/>
    <row r="360" spans="1:5" x14ac:dyDescent="0.2">
      <c r="A360" s="290">
        <v>36</v>
      </c>
      <c r="C360" s="285" t="s">
        <v>1622</v>
      </c>
    </row>
    <row r="361" spans="1:5" x14ac:dyDescent="0.2">
      <c r="B361" s="282" t="s">
        <v>1190</v>
      </c>
      <c r="C361" s="286" t="s">
        <v>656</v>
      </c>
      <c r="D361" s="304">
        <f>_xlfn.IFNA(SUMIFS(INDEX(TB_NG!$A:$AC, MATCH($B361, TB_NG!$B:$B, 0), ),TB_NG!$A$3:$AC$3, "&gt;="&amp;DATE(YEAR($D$2),1,1),TB_NG!$A$3:$AC$3, "&lt;="&amp;$D$2),0)</f>
        <v>0</v>
      </c>
      <c r="E361" s="304">
        <v>-0.12000000476837158</v>
      </c>
    </row>
    <row r="362" spans="1:5" x14ac:dyDescent="0.2">
      <c r="B362" s="309" t="s">
        <v>1191</v>
      </c>
      <c r="C362" s="286" t="s">
        <v>659</v>
      </c>
      <c r="D362" s="293">
        <f>_xlfn.IFNA(SUMIFS(INDEX(TB_NG!$A:$AC, MATCH($B362, TB_NG!$B:$B, 0), ),TB_NG!$A$3:$AC$3, "&gt;="&amp;DATE(YEAR($D$2),1,1),TB_NG!$A$3:$AC$3, "&lt;="&amp;$D$2),0)</f>
        <v>0</v>
      </c>
      <c r="E362" s="293">
        <v>13553220.329999998</v>
      </c>
    </row>
    <row r="363" spans="1:5" x14ac:dyDescent="0.2">
      <c r="B363" s="282" t="s">
        <v>1194</v>
      </c>
      <c r="C363" s="286" t="s">
        <v>665</v>
      </c>
      <c r="D363" s="293">
        <f>_xlfn.IFNA(SUMIFS(INDEX(TB_NG!$A:$AC, MATCH($B363, TB_NG!$B:$B, 0), ),TB_NG!$A$3:$AC$3, "&gt;="&amp;DATE(YEAR($D$2),1,1),TB_NG!$A$3:$AC$3, "&lt;="&amp;$D$2),0)</f>
        <v>0</v>
      </c>
      <c r="E363" s="293">
        <v>1999840</v>
      </c>
    </row>
    <row r="364" spans="1:5" x14ac:dyDescent="0.2">
      <c r="A364" s="281"/>
      <c r="B364" s="291"/>
      <c r="C364" s="291" t="s">
        <v>1623</v>
      </c>
      <c r="D364" s="293">
        <f>_xlfn.IFNA(SUMIFS(INDEX(TB_NG!$A:$AC, MATCH($B364, TB_NG!$B:$B, 0), ),TB_NG!$A$3:$AC$3, "&gt;="&amp;DATE(YEAR($D$2),1,1),TB_NG!$A$3:$AC$3, "&lt;="&amp;$D$2),0)</f>
        <v>0</v>
      </c>
      <c r="E364" s="293">
        <v>14645000</v>
      </c>
    </row>
    <row r="365" spans="1:5" x14ac:dyDescent="0.2">
      <c r="A365" s="281"/>
      <c r="B365" s="291"/>
      <c r="C365" s="291" t="s">
        <v>1624</v>
      </c>
      <c r="D365" s="293">
        <f>_xlfn.IFNA(SUMIFS(INDEX(TB_NG!$A:$AC, MATCH($B365, TB_NG!$B:$B, 0), ),TB_NG!$A$3:$AC$3, "&gt;="&amp;DATE(YEAR($D$2),1,1),TB_NG!$A$3:$AC$3, "&lt;="&amp;$D$2),0)</f>
        <v>0</v>
      </c>
      <c r="E365" s="293">
        <v>16600000</v>
      </c>
    </row>
    <row r="366" spans="1:5" ht="16" thickBot="1" x14ac:dyDescent="0.25">
      <c r="D366" s="298">
        <f>SUM(D361:D365)</f>
        <v>0</v>
      </c>
      <c r="E366" s="298">
        <f>SUM(E361:E365)</f>
        <v>46798060.209999993</v>
      </c>
    </row>
    <row r="367" spans="1:5" ht="16" thickTop="1" x14ac:dyDescent="0.2"/>
    <row r="368" spans="1:5" x14ac:dyDescent="0.2">
      <c r="A368" s="290">
        <v>37</v>
      </c>
      <c r="C368" s="299" t="s">
        <v>1625</v>
      </c>
    </row>
    <row r="369" spans="1:5" x14ac:dyDescent="0.2">
      <c r="A369" s="281"/>
      <c r="B369" s="282" t="s">
        <v>916</v>
      </c>
      <c r="C369" s="286" t="s">
        <v>602</v>
      </c>
      <c r="D369" s="293">
        <f>_xlfn.IFNA(SUMIFS(INDEX(TB_NG!$A:$AC, MATCH($B369, TB_NG!$B:$B, 0), ),TB_NG!$A$3:$AC$3, "&gt;="&amp;DATE(YEAR($D$2),1,1),TB_NG!$A$3:$AC$3, "&lt;="&amp;$D$2),0)</f>
        <v>0</v>
      </c>
      <c r="E369" s="293">
        <v>44878877.240000002</v>
      </c>
    </row>
    <row r="370" spans="1:5" x14ac:dyDescent="0.2">
      <c r="A370" s="281"/>
      <c r="B370" s="282" t="s">
        <v>1626</v>
      </c>
      <c r="C370" s="286" t="s">
        <v>685</v>
      </c>
      <c r="D370" s="293">
        <f>_xlfn.IFNA(SUMIFS(INDEX(TB_NG!$A:$AC, MATCH($B370, TB_NG!$B:$B, 0), ),TB_NG!$A$3:$AC$3, "&gt;="&amp;DATE(YEAR($D$2),1,1),TB_NG!$A$3:$AC$3, "&lt;="&amp;$D$2),0)</f>
        <v>0</v>
      </c>
      <c r="E370" s="293">
        <v>10317633.699999999</v>
      </c>
    </row>
    <row r="371" spans="1:5" ht="16" thickBot="1" x14ac:dyDescent="0.25">
      <c r="D371" s="298">
        <f>SUM(D369:D370)</f>
        <v>0</v>
      </c>
      <c r="E371" s="298">
        <v>55196510.939999998</v>
      </c>
    </row>
    <row r="372" spans="1:5" ht="16" thickTop="1" x14ac:dyDescent="0.2"/>
    <row r="373" spans="1:5" x14ac:dyDescent="0.2">
      <c r="C373" s="308" t="s">
        <v>1627</v>
      </c>
    </row>
    <row r="374" spans="1:5" x14ac:dyDescent="0.2">
      <c r="A374" s="281">
        <v>38</v>
      </c>
      <c r="B374" s="282" t="s">
        <v>1169</v>
      </c>
      <c r="C374" s="286" t="s">
        <v>598</v>
      </c>
      <c r="D374" s="293">
        <f>_xlfn.IFNA(SUMIFS(INDEX(TB_NG!$A:$AC, MATCH($B374, TB_NG!$B:$B, 0), ),TB_NG!$A$3:$AC$3, "&gt;="&amp;DATE(YEAR($D$2),1,1),TB_NG!$A$3:$AC$3, "&lt;="&amp;$D$2),0)</f>
        <v>0</v>
      </c>
      <c r="E374" s="293">
        <v>52078634.600000001</v>
      </c>
    </row>
    <row r="375" spans="1:5" ht="16" thickBot="1" x14ac:dyDescent="0.25">
      <c r="D375" s="298">
        <f>SUM(D374)</f>
        <v>0</v>
      </c>
      <c r="E375" s="298">
        <f>SUM(E374)</f>
        <v>52078634.600000001</v>
      </c>
    </row>
    <row r="376" spans="1:5" ht="16" thickTop="1" x14ac:dyDescent="0.2"/>
    <row r="378" spans="1:5" x14ac:dyDescent="0.2">
      <c r="A378" s="290">
        <v>39</v>
      </c>
      <c r="C378" s="308" t="s">
        <v>151</v>
      </c>
    </row>
    <row r="379" spans="1:5" x14ac:dyDescent="0.2">
      <c r="B379" s="282" t="s">
        <v>1210</v>
      </c>
      <c r="C379" s="286" t="s">
        <v>727</v>
      </c>
      <c r="D379" s="293">
        <f>_xlfn.IFNA(SUMIFS(INDEX(TB_NG!$A:$AC, MATCH($B379, TB_NG!$B:$B, 0), ),TB_NG!$A$3:$AC$3, "&gt;="&amp;DATE(YEAR($D$2),1,1),TB_NG!$A$3:$AC$3, "&lt;="&amp;$D$2),0)</f>
        <v>0</v>
      </c>
      <c r="E379" s="293">
        <v>23952196.838649981</v>
      </c>
    </row>
    <row r="380" spans="1:5" x14ac:dyDescent="0.2">
      <c r="B380" s="282">
        <v>0</v>
      </c>
      <c r="C380" s="286" t="s">
        <v>1584</v>
      </c>
      <c r="D380" s="293">
        <f>_xlfn.IFNA(SUMIFS(INDEX(TB_NG!$A:$AC, MATCH($B380, TB_NG!$B:$B, 0), ),TB_NG!$A$3:$AC$3, "&gt;="&amp;DATE(YEAR($D$2),1,1),TB_NG!$A$3:$AC$3, "&lt;="&amp;$D$2),0)</f>
        <v>0</v>
      </c>
      <c r="E380" s="293">
        <v>311912.90138199233</v>
      </c>
    </row>
    <row r="381" spans="1:5" x14ac:dyDescent="0.2">
      <c r="A381" s="281"/>
      <c r="B381" s="282">
        <v>0</v>
      </c>
      <c r="C381" s="286" t="s">
        <v>266</v>
      </c>
      <c r="D381" s="293">
        <f>_xlfn.IFNA(SUMIFS(INDEX(TB_NG!$A:$AC, MATCH($B381, TB_NG!$B:$B, 0), ),TB_NG!$A$3:$AC$3, "&gt;="&amp;DATE(YEAR($D$2),1,1),TB_NG!$A$3:$AC$3, "&lt;="&amp;$D$2),0)</f>
        <v>0</v>
      </c>
      <c r="E381" s="293">
        <v>-9293753.0190000124</v>
      </c>
    </row>
    <row r="382" spans="1:5" ht="16" thickBot="1" x14ac:dyDescent="0.25">
      <c r="D382" s="298">
        <f>SUM(D379:D381)</f>
        <v>0</v>
      </c>
      <c r="E382" s="298">
        <v>14970356.72103196</v>
      </c>
    </row>
    <row r="383" spans="1:5" ht="16" thickTop="1" x14ac:dyDescent="0.2"/>
    <row r="384" spans="1:5" x14ac:dyDescent="0.2">
      <c r="A384" s="290">
        <v>40</v>
      </c>
      <c r="C384" s="308" t="s">
        <v>1628</v>
      </c>
    </row>
    <row r="385" spans="1:5" x14ac:dyDescent="0.2">
      <c r="A385" s="281"/>
      <c r="B385" s="282" t="s">
        <v>1147</v>
      </c>
      <c r="C385" s="286" t="s">
        <v>571</v>
      </c>
      <c r="D385" s="293">
        <f>_xlfn.IFNA(SUMIFS(INDEX(TB_NG!$A:$AC, MATCH($B385, TB_NG!$B:$B, 0), ),TB_NG!$A$3:$AC$3, "&gt;="&amp;DATE(YEAR($D$2),1,1),TB_NG!$A$3:$AC$3, "&lt;="&amp;$D$2),0)</f>
        <v>0</v>
      </c>
      <c r="E385" s="293">
        <v>0</v>
      </c>
    </row>
    <row r="386" spans="1:5" x14ac:dyDescent="0.2">
      <c r="A386" s="281"/>
      <c r="B386" s="282" t="s">
        <v>1141</v>
      </c>
      <c r="C386" s="286" t="s">
        <v>564</v>
      </c>
      <c r="D386" s="287">
        <f>_xlfn.IFNA(SUMIFS(INDEX(TB_NG!$A:$AC, MATCH($B386, TB_NG!$B:$B, 0), ),TB_NG!$A$3:$AC$3, "&gt;="&amp;DATE(YEAR($D$2),1,1),TB_NG!$A$3:$AC$3, "&lt;="&amp;$D$2),0)</f>
        <v>0</v>
      </c>
      <c r="E386" s="287">
        <v>120894873.81</v>
      </c>
    </row>
    <row r="387" spans="1:5" x14ac:dyDescent="0.2">
      <c r="A387" s="281"/>
      <c r="B387" s="282" t="s">
        <v>1205</v>
      </c>
      <c r="C387" s="286" t="s">
        <v>690</v>
      </c>
      <c r="D387" s="293">
        <f>_xlfn.IFNA(SUMIFS(INDEX(TB_NG!$A:$AC, MATCH($B387, TB_NG!$B:$B, 0), ),TB_NG!$A$3:$AC$3, "&gt;="&amp;DATE(YEAR($D$2),1,1),TB_NG!$A$3:$AC$3, "&lt;="&amp;$D$2),0)</f>
        <v>0</v>
      </c>
      <c r="E387" s="293">
        <v>15021474.17</v>
      </c>
    </row>
    <row r="388" spans="1:5" x14ac:dyDescent="0.2">
      <c r="A388" s="281"/>
      <c r="B388" s="282" t="s">
        <v>1629</v>
      </c>
      <c r="C388" s="286" t="s">
        <v>1630</v>
      </c>
      <c r="D388" s="293">
        <f>_xlfn.IFNA(SUMIFS(INDEX(TB_NG!$A:$AC, MATCH($B388, TB_NG!$B:$B, 0), ),TB_NG!$A$3:$AC$3, "&gt;="&amp;DATE(YEAR($D$2),1,1),TB_NG!$A$3:$AC$3, "&lt;="&amp;$D$2),0)</f>
        <v>0</v>
      </c>
      <c r="E388" s="293">
        <v>1335951.07</v>
      </c>
    </row>
    <row r="389" spans="1:5" x14ac:dyDescent="0.2">
      <c r="A389" s="281"/>
      <c r="B389" s="282"/>
      <c r="C389" s="286"/>
      <c r="D389" s="293"/>
      <c r="E389" s="293"/>
    </row>
    <row r="390" spans="1:5" x14ac:dyDescent="0.2">
      <c r="A390" s="281"/>
      <c r="B390" s="282" t="s">
        <v>1215</v>
      </c>
      <c r="C390" s="286" t="s">
        <v>736</v>
      </c>
      <c r="D390" s="293">
        <f>_xlfn.IFNA(SUMIFS(INDEX(TB_NG!$A:$AC, MATCH($B390, TB_NG!$B:$B, 0), ),TB_NG!$A$3:$AC$3, "&gt;="&amp;DATE(YEAR($D$2),1,1),TB_NG!$A$3:$AC$3, "&lt;="&amp;$D$2),0)</f>
        <v>0</v>
      </c>
      <c r="E390" s="293">
        <v>2.35</v>
      </c>
    </row>
    <row r="391" spans="1:5" x14ac:dyDescent="0.2">
      <c r="A391" s="281"/>
      <c r="B391" s="282" t="s">
        <v>1179</v>
      </c>
      <c r="C391" s="286" t="s">
        <v>623</v>
      </c>
      <c r="D391" s="293">
        <f>_xlfn.IFNA(SUMIFS(INDEX(TB_NG!$A:$AC, MATCH($B391, TB_NG!$B:$B, 0), ),TB_NG!$A$3:$AC$3, "&gt;="&amp;DATE(YEAR($D$2),1,1),TB_NG!$A$3:$AC$3, "&lt;="&amp;$D$2),0)</f>
        <v>0</v>
      </c>
      <c r="E391" s="293">
        <v>40437788.969999999</v>
      </c>
    </row>
    <row r="392" spans="1:5" x14ac:dyDescent="0.2">
      <c r="A392" s="281"/>
      <c r="B392" s="282"/>
      <c r="C392" s="286" t="s">
        <v>1631</v>
      </c>
      <c r="D392" s="293">
        <f>_xlfn.IFNA(SUMIFS(INDEX(TB_NG!$A:$AC, MATCH($B392, TB_NG!$B:$B, 0), ),TB_NG!$A$3:$AC$3, "&gt;="&amp;DATE(YEAR($D$2),1,1),TB_NG!$A$3:$AC$3, "&lt;="&amp;$D$2),0)</f>
        <v>0</v>
      </c>
      <c r="E392" s="293">
        <v>0</v>
      </c>
    </row>
    <row r="393" spans="1:5" x14ac:dyDescent="0.2">
      <c r="A393" s="281"/>
      <c r="B393" s="282"/>
      <c r="C393" s="286" t="s">
        <v>1632</v>
      </c>
      <c r="D393" s="293">
        <f>_xlfn.IFNA(SUMIFS(INDEX(TB_NG!$A:$AC, MATCH($B393, TB_NG!$B:$B, 0), ),TB_NG!$A$3:$AC$3, "&gt;="&amp;DATE(YEAR($D$2),1,1),TB_NG!$A$3:$AC$3, "&lt;="&amp;$D$2),0)</f>
        <v>0</v>
      </c>
      <c r="E393" s="293">
        <v>6700175.4100000001</v>
      </c>
    </row>
    <row r="394" spans="1:5" x14ac:dyDescent="0.2">
      <c r="A394" s="281"/>
      <c r="B394" s="282"/>
      <c r="C394" s="286" t="s">
        <v>1633</v>
      </c>
      <c r="D394" s="293">
        <f>_xlfn.IFNA(SUMIFS(INDEX(TB_NG!$A:$AC, MATCH($B394, TB_NG!$B:$B, 0), ),TB_NG!$A$3:$AC$3, "&gt;="&amp;DATE(YEAR($D$2),1,1),TB_NG!$A$3:$AC$3, "&lt;="&amp;$D$2),0)</f>
        <v>0</v>
      </c>
      <c r="E394" s="293">
        <v>0</v>
      </c>
    </row>
    <row r="395" spans="1:5" ht="16" thickBot="1" x14ac:dyDescent="0.25">
      <c r="D395" s="298">
        <f>SUM(D385:D394)</f>
        <v>0</v>
      </c>
      <c r="E395" s="298">
        <v>184390265.77999997</v>
      </c>
    </row>
    <row r="396" spans="1:5" ht="16" thickTop="1" x14ac:dyDescent="0.2"/>
    <row r="399" spans="1:5" x14ac:dyDescent="0.2">
      <c r="A399" s="281"/>
      <c r="B399" s="282"/>
      <c r="C399" s="286"/>
      <c r="D399" s="293"/>
      <c r="E399" s="293"/>
    </row>
    <row r="400" spans="1:5" x14ac:dyDescent="0.2">
      <c r="A400" s="281"/>
      <c r="B400" s="282"/>
      <c r="C400" s="286"/>
      <c r="D400" s="293"/>
      <c r="E400" s="293"/>
    </row>
    <row r="401" spans="1:5" x14ac:dyDescent="0.2">
      <c r="A401" s="281"/>
      <c r="B401" s="282"/>
      <c r="C401" s="286"/>
      <c r="D401" s="293"/>
      <c r="E401" s="293"/>
    </row>
    <row r="402" spans="1:5" x14ac:dyDescent="0.2">
      <c r="A402" s="281"/>
      <c r="B402" s="282"/>
      <c r="C402" s="286"/>
      <c r="D402" s="293"/>
      <c r="E402" s="293"/>
    </row>
    <row r="403" spans="1:5" x14ac:dyDescent="0.2">
      <c r="A403" s="281"/>
      <c r="B403" s="282"/>
      <c r="C403" s="286"/>
      <c r="D403" s="293"/>
      <c r="E403" s="293"/>
    </row>
    <row r="404" spans="1:5" x14ac:dyDescent="0.2">
      <c r="A404" s="281"/>
      <c r="B404" s="282"/>
      <c r="C404" s="286"/>
      <c r="D404" s="293"/>
      <c r="E404" s="293"/>
    </row>
    <row r="405" spans="1:5" x14ac:dyDescent="0.2">
      <c r="A405" s="281"/>
      <c r="B405" s="282"/>
      <c r="C405" s="286"/>
      <c r="D405" s="293"/>
      <c r="E405" s="293"/>
    </row>
    <row r="406" spans="1:5" x14ac:dyDescent="0.2">
      <c r="A406" s="281"/>
      <c r="B406" s="282"/>
      <c r="C406" s="286"/>
      <c r="D406" s="293"/>
      <c r="E406" s="293"/>
    </row>
    <row r="407" spans="1:5" x14ac:dyDescent="0.2">
      <c r="A407" s="281"/>
      <c r="B407" s="282"/>
      <c r="C407" s="286"/>
      <c r="D407" s="293"/>
      <c r="E407" s="293"/>
    </row>
    <row r="408" spans="1:5" x14ac:dyDescent="0.2">
      <c r="A408" s="281"/>
      <c r="B408" s="282"/>
      <c r="C408" s="286"/>
      <c r="D408" s="293"/>
      <c r="E408" s="293"/>
    </row>
    <row r="409" spans="1:5" x14ac:dyDescent="0.2">
      <c r="A409" s="281"/>
      <c r="B409" s="282"/>
      <c r="C409" s="286"/>
      <c r="D409" s="293"/>
      <c r="E409" s="293"/>
    </row>
    <row r="410" spans="1:5" x14ac:dyDescent="0.2">
      <c r="A410" s="281"/>
      <c r="B410" s="282"/>
      <c r="C410" s="286"/>
      <c r="D410" s="293"/>
      <c r="E410" s="293"/>
    </row>
    <row r="411" spans="1:5" x14ac:dyDescent="0.2">
      <c r="A411" s="281"/>
      <c r="B411" s="282"/>
      <c r="C411" s="286"/>
      <c r="D411" s="293"/>
      <c r="E411" s="293"/>
    </row>
    <row r="412" spans="1:5" x14ac:dyDescent="0.2">
      <c r="A412" s="281"/>
      <c r="B412" s="282"/>
      <c r="C412" s="286"/>
      <c r="D412" s="293"/>
      <c r="E412" s="293"/>
    </row>
    <row r="413" spans="1:5" x14ac:dyDescent="0.2">
      <c r="A413" s="281"/>
      <c r="B413" s="282"/>
      <c r="C413" s="286"/>
      <c r="D413" s="293"/>
      <c r="E413" s="293"/>
    </row>
    <row r="414" spans="1:5" x14ac:dyDescent="0.2">
      <c r="A414" s="281"/>
      <c r="B414" s="282"/>
      <c r="C414" s="286"/>
      <c r="D414" s="293"/>
      <c r="E414" s="293"/>
    </row>
    <row r="415" spans="1:5" x14ac:dyDescent="0.2">
      <c r="A415" s="281"/>
      <c r="B415" s="282"/>
      <c r="C415" s="286"/>
      <c r="D415" s="293"/>
      <c r="E415" s="293"/>
    </row>
    <row r="416" spans="1:5" x14ac:dyDescent="0.2">
      <c r="A416" s="281"/>
      <c r="B416" s="282"/>
      <c r="C416" s="286"/>
      <c r="D416" s="293"/>
      <c r="E416" s="293"/>
    </row>
    <row r="417" spans="1:5" x14ac:dyDescent="0.2">
      <c r="A417" s="281"/>
      <c r="B417" s="282"/>
      <c r="C417" s="286"/>
      <c r="D417" s="293"/>
      <c r="E417" s="293"/>
    </row>
    <row r="418" spans="1:5" x14ac:dyDescent="0.2">
      <c r="A418" s="281"/>
      <c r="B418" s="282"/>
      <c r="C418" s="286"/>
      <c r="D418" s="293"/>
      <c r="E418" s="293"/>
    </row>
    <row r="419" spans="1:5" x14ac:dyDescent="0.2">
      <c r="A419" s="281"/>
      <c r="B419" s="282"/>
      <c r="C419" s="286"/>
      <c r="D419" s="293"/>
      <c r="E419" s="293"/>
    </row>
    <row r="420" spans="1:5" x14ac:dyDescent="0.2">
      <c r="A420" s="281"/>
      <c r="B420" s="282"/>
      <c r="C420" s="286"/>
      <c r="D420" s="293"/>
      <c r="E420" s="293"/>
    </row>
    <row r="421" spans="1:5" x14ac:dyDescent="0.2">
      <c r="A421" s="281"/>
      <c r="B421" s="282"/>
      <c r="C421" s="286"/>
      <c r="D421" s="293"/>
      <c r="E421" s="293"/>
    </row>
    <row r="422" spans="1:5" x14ac:dyDescent="0.2">
      <c r="A422" s="281"/>
      <c r="B422" s="282"/>
      <c r="C422" s="286"/>
      <c r="D422" s="293"/>
      <c r="E422" s="293"/>
    </row>
    <row r="423" spans="1:5" x14ac:dyDescent="0.2">
      <c r="A423" s="281"/>
      <c r="B423" s="282"/>
      <c r="C423" s="286"/>
      <c r="D423" s="293"/>
      <c r="E423" s="293"/>
    </row>
    <row r="424" spans="1:5" x14ac:dyDescent="0.2">
      <c r="A424" s="281"/>
      <c r="B424" s="282"/>
      <c r="C424" s="286"/>
      <c r="D424" s="293"/>
      <c r="E424" s="293"/>
    </row>
    <row r="425" spans="1:5" x14ac:dyDescent="0.2">
      <c r="A425" s="281"/>
      <c r="B425" s="282"/>
      <c r="C425" s="286"/>
      <c r="D425" s="293"/>
      <c r="E425" s="293"/>
    </row>
    <row r="426" spans="1:5" x14ac:dyDescent="0.2">
      <c r="A426" s="281"/>
      <c r="B426" s="282"/>
      <c r="C426" s="286"/>
      <c r="D426" s="293"/>
      <c r="E426" s="293"/>
    </row>
    <row r="427" spans="1:5" x14ac:dyDescent="0.2">
      <c r="A427" s="281"/>
      <c r="B427" s="282"/>
      <c r="C427" s="286"/>
      <c r="D427" s="293"/>
      <c r="E427" s="293"/>
    </row>
    <row r="428" spans="1:5" x14ac:dyDescent="0.2">
      <c r="A428" s="281"/>
      <c r="B428" s="282"/>
      <c r="C428" s="286"/>
      <c r="D428" s="293"/>
      <c r="E428" s="293"/>
    </row>
    <row r="429" spans="1:5" x14ac:dyDescent="0.2">
      <c r="A429" s="281"/>
      <c r="B429" s="282"/>
      <c r="C429" s="286"/>
      <c r="D429" s="293"/>
      <c r="E429" s="293"/>
    </row>
    <row r="430" spans="1:5" x14ac:dyDescent="0.2">
      <c r="A430" s="281"/>
      <c r="B430" s="282"/>
      <c r="C430" s="286"/>
      <c r="D430" s="293"/>
      <c r="E430" s="293"/>
    </row>
    <row r="431" spans="1:5" x14ac:dyDescent="0.2">
      <c r="A431" s="281"/>
      <c r="B431" s="282"/>
      <c r="C431" s="286"/>
      <c r="D431" s="293"/>
      <c r="E431" s="293"/>
    </row>
    <row r="432" spans="1:5" x14ac:dyDescent="0.2">
      <c r="A432" s="281"/>
      <c r="B432" s="282"/>
      <c r="C432" s="286"/>
      <c r="D432" s="293"/>
      <c r="E432" s="293"/>
    </row>
    <row r="433" spans="1:5" x14ac:dyDescent="0.2">
      <c r="A433" s="281"/>
      <c r="B433" s="282"/>
      <c r="C433" s="286"/>
      <c r="D433" s="293"/>
      <c r="E433" s="293"/>
    </row>
    <row r="434" spans="1:5" x14ac:dyDescent="0.2">
      <c r="A434" s="281"/>
      <c r="B434" s="282"/>
      <c r="C434" s="286"/>
      <c r="D434" s="293"/>
      <c r="E434" s="293"/>
    </row>
    <row r="435" spans="1:5" x14ac:dyDescent="0.2">
      <c r="A435" s="281"/>
      <c r="B435" s="282"/>
      <c r="C435" s="286"/>
      <c r="D435" s="293"/>
      <c r="E435" s="293"/>
    </row>
    <row r="436" spans="1:5" x14ac:dyDescent="0.2">
      <c r="A436" s="281"/>
      <c r="B436" s="282"/>
      <c r="C436" s="286"/>
      <c r="D436" s="293"/>
      <c r="E436" s="293"/>
    </row>
    <row r="437" spans="1:5" x14ac:dyDescent="0.2">
      <c r="A437" s="281"/>
      <c r="B437" s="282"/>
      <c r="C437" s="286"/>
      <c r="D437" s="293"/>
      <c r="E437" s="293"/>
    </row>
    <row r="438" spans="1:5" x14ac:dyDescent="0.2">
      <c r="A438" s="281"/>
      <c r="B438" s="282"/>
      <c r="C438" s="286"/>
      <c r="D438" s="293"/>
      <c r="E438" s="293"/>
    </row>
    <row r="439" spans="1:5" x14ac:dyDescent="0.2">
      <c r="A439" s="281"/>
      <c r="B439" s="282"/>
      <c r="C439" s="286"/>
      <c r="D439" s="293"/>
      <c r="E439" s="293"/>
    </row>
    <row r="440" spans="1:5" x14ac:dyDescent="0.2">
      <c r="A440" s="281"/>
      <c r="B440" s="282"/>
      <c r="C440" s="286"/>
      <c r="D440" s="293"/>
      <c r="E440" s="293"/>
    </row>
    <row r="441" spans="1:5" x14ac:dyDescent="0.2">
      <c r="A441" s="281"/>
      <c r="B441" s="282"/>
      <c r="C441" s="286"/>
      <c r="D441" s="293"/>
      <c r="E441" s="293"/>
    </row>
    <row r="442" spans="1:5" x14ac:dyDescent="0.2">
      <c r="A442" s="281"/>
      <c r="B442" s="282"/>
      <c r="C442" s="286"/>
      <c r="D442" s="293"/>
      <c r="E442" s="293"/>
    </row>
    <row r="443" spans="1:5" x14ac:dyDescent="0.2">
      <c r="A443" s="281"/>
      <c r="B443" s="282"/>
      <c r="C443" s="286"/>
      <c r="D443" s="293"/>
      <c r="E443" s="293"/>
    </row>
    <row r="444" spans="1:5" x14ac:dyDescent="0.2">
      <c r="A444" s="281"/>
      <c r="B444" s="282"/>
      <c r="C444" s="286"/>
      <c r="D444" s="293"/>
      <c r="E444" s="293"/>
    </row>
    <row r="445" spans="1:5" x14ac:dyDescent="0.2">
      <c r="A445" s="281"/>
      <c r="B445" s="282"/>
      <c r="C445" s="286"/>
      <c r="D445" s="293"/>
      <c r="E445" s="293"/>
    </row>
    <row r="446" spans="1:5" x14ac:dyDescent="0.2">
      <c r="A446" s="281"/>
      <c r="B446" s="282"/>
      <c r="C446" s="286"/>
      <c r="D446" s="293"/>
      <c r="E446" s="293"/>
    </row>
    <row r="447" spans="1:5" x14ac:dyDescent="0.2">
      <c r="A447" s="281"/>
      <c r="B447" s="282"/>
      <c r="C447" s="286"/>
      <c r="D447" s="293"/>
      <c r="E447" s="293"/>
    </row>
    <row r="448" spans="1:5" x14ac:dyDescent="0.2">
      <c r="A448" s="281"/>
      <c r="B448" s="282"/>
      <c r="C448" s="286"/>
      <c r="D448" s="293"/>
      <c r="E448" s="293"/>
    </row>
    <row r="449" spans="1:5" x14ac:dyDescent="0.2">
      <c r="A449" s="281"/>
      <c r="B449" s="282"/>
      <c r="C449" s="286"/>
      <c r="D449" s="293"/>
      <c r="E449" s="293"/>
    </row>
    <row r="450" spans="1:5" x14ac:dyDescent="0.2">
      <c r="A450" s="281"/>
      <c r="B450" s="282"/>
      <c r="C450" s="286"/>
      <c r="D450" s="293"/>
      <c r="E450" s="293"/>
    </row>
    <row r="451" spans="1:5" x14ac:dyDescent="0.2">
      <c r="A451" s="281"/>
      <c r="B451" s="282"/>
      <c r="C451" s="286"/>
      <c r="D451" s="293"/>
      <c r="E451" s="293"/>
    </row>
    <row r="452" spans="1:5" x14ac:dyDescent="0.2">
      <c r="A452" s="281"/>
      <c r="B452" s="282"/>
      <c r="C452" s="286"/>
      <c r="D452" s="293"/>
      <c r="E452" s="293"/>
    </row>
    <row r="453" spans="1:5" x14ac:dyDescent="0.2">
      <c r="A453" s="281"/>
      <c r="B453" s="282"/>
      <c r="C453" s="286"/>
      <c r="D453" s="293"/>
      <c r="E453" s="293"/>
    </row>
    <row r="454" spans="1:5" x14ac:dyDescent="0.2">
      <c r="A454" s="281"/>
      <c r="B454" s="282"/>
      <c r="C454" s="286"/>
      <c r="D454" s="293"/>
      <c r="E454" s="293"/>
    </row>
    <row r="455" spans="1:5" x14ac:dyDescent="0.2">
      <c r="A455" s="281"/>
      <c r="B455" s="282"/>
      <c r="C455" s="286"/>
      <c r="D455" s="293"/>
      <c r="E455" s="293"/>
    </row>
    <row r="456" spans="1:5" x14ac:dyDescent="0.2">
      <c r="A456" s="281"/>
      <c r="B456" s="282"/>
      <c r="C456" s="286"/>
      <c r="D456" s="293"/>
      <c r="E456" s="293"/>
    </row>
    <row r="457" spans="1:5" x14ac:dyDescent="0.2">
      <c r="A457" s="281"/>
      <c r="B457" s="282"/>
      <c r="C457" s="286"/>
      <c r="D457" s="293"/>
      <c r="E457" s="293"/>
    </row>
    <row r="458" spans="1:5" x14ac:dyDescent="0.2">
      <c r="A458" s="281"/>
      <c r="B458" s="282"/>
      <c r="C458" s="286"/>
      <c r="D458" s="293"/>
      <c r="E458" s="293"/>
    </row>
    <row r="459" spans="1:5" x14ac:dyDescent="0.2">
      <c r="A459" s="281"/>
      <c r="B459" s="282"/>
      <c r="C459" s="286"/>
      <c r="D459" s="293"/>
      <c r="E459" s="293"/>
    </row>
    <row r="460" spans="1:5" x14ac:dyDescent="0.2">
      <c r="A460" s="281"/>
      <c r="B460" s="282"/>
      <c r="C460" s="286"/>
      <c r="D460" s="293"/>
      <c r="E460" s="293"/>
    </row>
    <row r="461" spans="1:5" x14ac:dyDescent="0.2">
      <c r="A461" s="281"/>
      <c r="B461" s="282"/>
      <c r="C461" s="286"/>
      <c r="D461" s="293"/>
      <c r="E461" s="293"/>
    </row>
    <row r="462" spans="1:5" x14ac:dyDescent="0.2">
      <c r="A462" s="281"/>
      <c r="B462" s="282"/>
      <c r="C462" s="286"/>
      <c r="D462" s="293"/>
      <c r="E462" s="293"/>
    </row>
    <row r="463" spans="1:5" x14ac:dyDescent="0.2">
      <c r="A463" s="281"/>
      <c r="B463" s="282"/>
      <c r="C463" s="286"/>
      <c r="D463" s="293"/>
      <c r="E463" s="293"/>
    </row>
    <row r="464" spans="1:5" x14ac:dyDescent="0.2">
      <c r="A464" s="281"/>
      <c r="B464" s="282"/>
      <c r="C464" s="286"/>
      <c r="D464" s="293"/>
      <c r="E464" s="293"/>
    </row>
    <row r="465" spans="1:5" x14ac:dyDescent="0.2">
      <c r="A465" s="281"/>
      <c r="B465" s="282"/>
      <c r="C465" s="286"/>
      <c r="D465" s="293"/>
      <c r="E465" s="293"/>
    </row>
    <row r="466" spans="1:5" x14ac:dyDescent="0.2">
      <c r="A466" s="281"/>
      <c r="B466" s="282"/>
      <c r="C466" s="286"/>
      <c r="D466" s="293"/>
      <c r="E466" s="293"/>
    </row>
    <row r="467" spans="1:5" x14ac:dyDescent="0.2">
      <c r="A467" s="281"/>
      <c r="B467" s="282"/>
      <c r="C467" s="286"/>
      <c r="D467" s="293"/>
      <c r="E467" s="293"/>
    </row>
    <row r="468" spans="1:5" x14ac:dyDescent="0.2">
      <c r="A468" s="281"/>
      <c r="B468" s="282"/>
      <c r="C468" s="286"/>
      <c r="D468" s="293"/>
      <c r="E468" s="293"/>
    </row>
    <row r="469" spans="1:5" x14ac:dyDescent="0.2">
      <c r="A469" s="281"/>
      <c r="B469" s="282"/>
      <c r="C469" s="286"/>
      <c r="D469" s="293"/>
      <c r="E469" s="293"/>
    </row>
    <row r="470" spans="1:5" x14ac:dyDescent="0.2">
      <c r="A470" s="281"/>
      <c r="B470" s="282"/>
      <c r="C470" s="286"/>
      <c r="D470" s="293"/>
      <c r="E470" s="293"/>
    </row>
    <row r="471" spans="1:5" x14ac:dyDescent="0.2">
      <c r="A471" s="281"/>
      <c r="B471" s="282"/>
      <c r="C471" s="286"/>
      <c r="D471" s="293"/>
      <c r="E471" s="293"/>
    </row>
    <row r="472" spans="1:5" x14ac:dyDescent="0.2">
      <c r="A472" s="281"/>
      <c r="B472" s="282"/>
      <c r="C472" s="286"/>
      <c r="D472" s="293"/>
      <c r="E472" s="293"/>
    </row>
    <row r="473" spans="1:5" x14ac:dyDescent="0.2">
      <c r="A473" s="281"/>
      <c r="B473" s="282"/>
      <c r="C473" s="286"/>
      <c r="D473" s="293"/>
      <c r="E473" s="293"/>
    </row>
    <row r="474" spans="1:5" x14ac:dyDescent="0.2">
      <c r="A474" s="281"/>
      <c r="B474" s="282"/>
      <c r="C474" s="286"/>
      <c r="D474" s="293"/>
      <c r="E474" s="293"/>
    </row>
    <row r="475" spans="1:5" x14ac:dyDescent="0.2">
      <c r="A475" s="281"/>
      <c r="B475" s="282"/>
      <c r="C475" s="286"/>
      <c r="D475" s="293"/>
      <c r="E475" s="293"/>
    </row>
    <row r="476" spans="1:5" x14ac:dyDescent="0.2">
      <c r="A476" s="281"/>
      <c r="B476" s="282"/>
      <c r="C476" s="286"/>
      <c r="D476" s="293"/>
      <c r="E476" s="293"/>
    </row>
    <row r="477" spans="1:5" x14ac:dyDescent="0.2">
      <c r="A477" s="281"/>
      <c r="B477" s="282"/>
      <c r="C477" s="286"/>
      <c r="D477" s="293"/>
      <c r="E477" s="293"/>
    </row>
    <row r="478" spans="1:5" x14ac:dyDescent="0.2">
      <c r="A478" s="281"/>
      <c r="B478" s="282"/>
      <c r="C478" s="286"/>
      <c r="D478" s="293"/>
      <c r="E478" s="293"/>
    </row>
    <row r="479" spans="1:5" x14ac:dyDescent="0.2">
      <c r="A479" s="281"/>
      <c r="B479" s="282"/>
      <c r="C479" s="286"/>
      <c r="D479" s="293"/>
      <c r="E479" s="293"/>
    </row>
    <row r="480" spans="1:5" x14ac:dyDescent="0.2">
      <c r="A480" s="281"/>
      <c r="B480" s="282"/>
      <c r="C480" s="286"/>
      <c r="D480" s="293"/>
      <c r="E480" s="293"/>
    </row>
    <row r="481" spans="1:5" x14ac:dyDescent="0.2">
      <c r="A481" s="281"/>
      <c r="B481" s="282"/>
      <c r="C481" s="286"/>
      <c r="D481" s="293"/>
      <c r="E481" s="293"/>
    </row>
    <row r="482" spans="1:5" x14ac:dyDescent="0.2">
      <c r="A482" s="281"/>
      <c r="B482" s="282"/>
      <c r="C482" s="286"/>
      <c r="D482" s="293"/>
      <c r="E482" s="293"/>
    </row>
    <row r="483" spans="1:5" x14ac:dyDescent="0.2">
      <c r="A483" s="281"/>
      <c r="B483" s="282"/>
      <c r="C483" s="286"/>
      <c r="D483" s="293"/>
      <c r="E483" s="293"/>
    </row>
    <row r="484" spans="1:5" x14ac:dyDescent="0.2">
      <c r="A484" s="281"/>
      <c r="B484" s="282"/>
      <c r="C484" s="286"/>
      <c r="D484" s="293"/>
      <c r="E484" s="293"/>
    </row>
    <row r="485" spans="1:5" x14ac:dyDescent="0.2">
      <c r="A485" s="281"/>
      <c r="B485" s="282"/>
      <c r="C485" s="286"/>
      <c r="D485" s="293"/>
      <c r="E485" s="293"/>
    </row>
    <row r="486" spans="1:5" x14ac:dyDescent="0.2">
      <c r="A486" s="281"/>
      <c r="B486" s="282"/>
      <c r="C486" s="286"/>
      <c r="D486" s="293"/>
      <c r="E486" s="293"/>
    </row>
    <row r="487" spans="1:5" x14ac:dyDescent="0.2">
      <c r="A487" s="281"/>
      <c r="B487" s="282"/>
      <c r="C487" s="286"/>
      <c r="D487" s="293"/>
      <c r="E487" s="293"/>
    </row>
    <row r="488" spans="1:5" x14ac:dyDescent="0.2">
      <c r="A488" s="281"/>
      <c r="B488" s="282"/>
      <c r="C488" s="286"/>
      <c r="D488" s="293"/>
      <c r="E488" s="293"/>
    </row>
    <row r="489" spans="1:5" x14ac:dyDescent="0.2">
      <c r="A489" s="281"/>
      <c r="B489" s="282"/>
      <c r="C489" s="286"/>
      <c r="D489" s="293"/>
      <c r="E489" s="293"/>
    </row>
    <row r="490" spans="1:5" x14ac:dyDescent="0.2">
      <c r="A490" s="281"/>
      <c r="B490" s="282"/>
      <c r="C490" s="286"/>
      <c r="D490" s="293"/>
      <c r="E490" s="293"/>
    </row>
    <row r="491" spans="1:5" x14ac:dyDescent="0.2">
      <c r="A491" s="281"/>
      <c r="B491" s="282"/>
      <c r="C491" s="286"/>
      <c r="D491" s="293"/>
      <c r="E491" s="293"/>
    </row>
    <row r="492" spans="1:5" x14ac:dyDescent="0.2">
      <c r="A492" s="281"/>
      <c r="B492" s="282"/>
      <c r="C492" s="286"/>
      <c r="D492" s="293"/>
      <c r="E492" s="293"/>
    </row>
    <row r="493" spans="1:5" x14ac:dyDescent="0.2">
      <c r="A493" s="281"/>
      <c r="B493" s="282"/>
      <c r="C493" s="286"/>
      <c r="D493" s="293"/>
      <c r="E493" s="293"/>
    </row>
    <row r="494" spans="1:5" x14ac:dyDescent="0.2">
      <c r="A494" s="281"/>
      <c r="B494" s="282"/>
      <c r="C494" s="286"/>
      <c r="D494" s="293"/>
      <c r="E494" s="293"/>
    </row>
    <row r="495" spans="1:5" x14ac:dyDescent="0.2">
      <c r="A495" s="281"/>
      <c r="B495" s="282"/>
      <c r="C495" s="286"/>
      <c r="D495" s="293"/>
      <c r="E495" s="293"/>
    </row>
    <row r="496" spans="1:5" x14ac:dyDescent="0.2">
      <c r="A496" s="281"/>
      <c r="B496" s="282"/>
      <c r="C496" s="286"/>
      <c r="D496" s="293"/>
      <c r="E496" s="293"/>
    </row>
    <row r="497" spans="1:5" x14ac:dyDescent="0.2">
      <c r="A497" s="281"/>
      <c r="B497" s="282"/>
      <c r="C497" s="286"/>
      <c r="D497" s="293"/>
      <c r="E497" s="293"/>
    </row>
    <row r="498" spans="1:5" x14ac:dyDescent="0.2">
      <c r="A498" s="281"/>
      <c r="B498" s="282"/>
      <c r="C498" s="286"/>
      <c r="D498" s="293"/>
      <c r="E498" s="293"/>
    </row>
    <row r="499" spans="1:5" x14ac:dyDescent="0.2">
      <c r="A499" s="281"/>
      <c r="B499" s="282"/>
      <c r="C499" s="286"/>
      <c r="D499" s="293"/>
      <c r="E499" s="293"/>
    </row>
    <row r="500" spans="1:5" x14ac:dyDescent="0.2">
      <c r="A500" s="281"/>
      <c r="B500" s="282"/>
      <c r="C500" s="286"/>
      <c r="D500" s="293"/>
      <c r="E500" s="293"/>
    </row>
    <row r="501" spans="1:5" x14ac:dyDescent="0.2">
      <c r="A501" s="281"/>
      <c r="B501" s="282"/>
      <c r="C501" s="286"/>
      <c r="D501" s="293"/>
      <c r="E501" s="293"/>
    </row>
    <row r="502" spans="1:5" x14ac:dyDescent="0.2">
      <c r="A502" s="281"/>
      <c r="B502" s="282"/>
      <c r="C502" s="286"/>
      <c r="D502" s="293"/>
      <c r="E502" s="293"/>
    </row>
    <row r="503" spans="1:5" x14ac:dyDescent="0.2">
      <c r="A503" s="281"/>
      <c r="B503" s="282"/>
      <c r="C503" s="286"/>
      <c r="D503" s="293"/>
      <c r="E503" s="293"/>
    </row>
    <row r="504" spans="1:5" x14ac:dyDescent="0.2">
      <c r="A504" s="281"/>
      <c r="B504" s="282"/>
      <c r="C504" s="286"/>
      <c r="D504" s="293"/>
      <c r="E504" s="293"/>
    </row>
    <row r="505" spans="1:5" x14ac:dyDescent="0.2">
      <c r="A505" s="281"/>
      <c r="B505" s="282"/>
      <c r="C505" s="286"/>
      <c r="D505" s="293"/>
      <c r="E505" s="293"/>
    </row>
    <row r="506" spans="1:5" x14ac:dyDescent="0.2">
      <c r="A506" s="281"/>
      <c r="B506" s="282"/>
      <c r="C506" s="286"/>
      <c r="D506" s="293"/>
      <c r="E506" s="293"/>
    </row>
    <row r="507" spans="1:5" x14ac:dyDescent="0.2">
      <c r="A507" s="281"/>
      <c r="B507" s="282"/>
      <c r="C507" s="286"/>
      <c r="D507" s="293"/>
      <c r="E507" s="293"/>
    </row>
    <row r="508" spans="1:5" x14ac:dyDescent="0.2">
      <c r="A508" s="281"/>
      <c r="B508" s="282"/>
      <c r="C508" s="286"/>
      <c r="D508" s="293"/>
      <c r="E508" s="293"/>
    </row>
    <row r="509" spans="1:5" x14ac:dyDescent="0.2">
      <c r="A509" s="281"/>
      <c r="B509" s="282"/>
      <c r="C509" s="286"/>
      <c r="D509" s="293"/>
      <c r="E509" s="293"/>
    </row>
    <row r="510" spans="1:5" x14ac:dyDescent="0.2">
      <c r="A510" s="281"/>
      <c r="B510" s="282"/>
      <c r="C510" s="286"/>
      <c r="D510" s="293"/>
      <c r="E510" s="293"/>
    </row>
    <row r="511" spans="1:5" x14ac:dyDescent="0.2">
      <c r="A511" s="281"/>
      <c r="B511" s="282"/>
      <c r="C511" s="286"/>
      <c r="D511" s="293"/>
      <c r="E511" s="293"/>
    </row>
    <row r="512" spans="1:5" x14ac:dyDescent="0.2">
      <c r="A512" s="281"/>
      <c r="B512" s="282"/>
      <c r="C512" s="286"/>
      <c r="D512" s="293"/>
      <c r="E512" s="293"/>
    </row>
    <row r="513" spans="1:5" x14ac:dyDescent="0.2">
      <c r="A513" s="281"/>
      <c r="B513" s="282"/>
      <c r="C513" s="286"/>
      <c r="D513" s="293"/>
      <c r="E513" s="293"/>
    </row>
    <row r="514" spans="1:5" x14ac:dyDescent="0.2">
      <c r="A514" s="281"/>
      <c r="B514" s="282"/>
      <c r="C514" s="286"/>
      <c r="D514" s="293"/>
      <c r="E514" s="293"/>
    </row>
    <row r="515" spans="1:5" x14ac:dyDescent="0.2">
      <c r="A515" s="281"/>
      <c r="B515" s="282"/>
      <c r="C515" s="286"/>
      <c r="D515" s="293"/>
      <c r="E515" s="293"/>
    </row>
    <row r="516" spans="1:5" x14ac:dyDescent="0.2">
      <c r="A516" s="281"/>
      <c r="B516" s="282"/>
      <c r="C516" s="286"/>
      <c r="D516" s="293"/>
      <c r="E516" s="293"/>
    </row>
    <row r="517" spans="1:5" x14ac:dyDescent="0.2">
      <c r="A517" s="281"/>
      <c r="B517" s="282"/>
      <c r="C517" s="286"/>
      <c r="D517" s="293"/>
      <c r="E517" s="293"/>
    </row>
    <row r="518" spans="1:5" x14ac:dyDescent="0.2">
      <c r="A518" s="281"/>
      <c r="B518" s="282"/>
      <c r="C518" s="286"/>
      <c r="D518" s="293"/>
      <c r="E518" s="293"/>
    </row>
    <row r="519" spans="1:5" x14ac:dyDescent="0.2">
      <c r="A519" s="281"/>
      <c r="B519" s="282"/>
      <c r="C519" s="286"/>
      <c r="D519" s="293"/>
      <c r="E519" s="293"/>
    </row>
    <row r="520" spans="1:5" x14ac:dyDescent="0.2">
      <c r="A520" s="281"/>
      <c r="B520" s="282"/>
      <c r="C520" s="286"/>
      <c r="D520" s="293"/>
      <c r="E520" s="293"/>
    </row>
    <row r="521" spans="1:5" x14ac:dyDescent="0.2">
      <c r="A521" s="281"/>
      <c r="B521" s="282"/>
      <c r="C521" s="286"/>
      <c r="D521" s="293"/>
      <c r="E521" s="293"/>
    </row>
    <row r="522" spans="1:5" x14ac:dyDescent="0.2">
      <c r="A522" s="281"/>
      <c r="B522" s="282"/>
      <c r="C522" s="286"/>
      <c r="D522" s="293"/>
      <c r="E522" s="293"/>
    </row>
    <row r="523" spans="1:5" x14ac:dyDescent="0.2">
      <c r="A523" s="281"/>
      <c r="B523" s="282"/>
      <c r="C523" s="286"/>
      <c r="D523" s="293"/>
      <c r="E523" s="293"/>
    </row>
    <row r="524" spans="1:5" x14ac:dyDescent="0.2">
      <c r="A524" s="281"/>
      <c r="B524" s="282"/>
      <c r="C524" s="286"/>
      <c r="D524" s="293"/>
      <c r="E524" s="293"/>
    </row>
    <row r="525" spans="1:5" x14ac:dyDescent="0.2">
      <c r="A525" s="281"/>
      <c r="B525" s="282"/>
      <c r="C525" s="286"/>
      <c r="D525" s="293"/>
      <c r="E525" s="293"/>
    </row>
    <row r="526" spans="1:5" x14ac:dyDescent="0.2">
      <c r="A526" s="281"/>
      <c r="B526" s="282"/>
      <c r="C526" s="286"/>
      <c r="D526" s="293"/>
      <c r="E526" s="293"/>
    </row>
    <row r="527" spans="1:5" x14ac:dyDescent="0.2">
      <c r="A527" s="281"/>
      <c r="B527" s="282"/>
      <c r="C527" s="286"/>
      <c r="D527" s="293"/>
      <c r="E527" s="293"/>
    </row>
    <row r="528" spans="1:5" x14ac:dyDescent="0.2">
      <c r="A528" s="281"/>
      <c r="B528" s="282"/>
      <c r="C528" s="286"/>
      <c r="D528" s="293"/>
      <c r="E528" s="293"/>
    </row>
    <row r="529" spans="1:5" x14ac:dyDescent="0.2">
      <c r="A529" s="281"/>
      <c r="B529" s="282"/>
      <c r="C529" s="286"/>
      <c r="D529" s="293"/>
      <c r="E529" s="293"/>
    </row>
    <row r="530" spans="1:5" x14ac:dyDescent="0.2">
      <c r="A530" s="281"/>
      <c r="B530" s="282"/>
      <c r="C530" s="286"/>
      <c r="D530" s="293"/>
      <c r="E530" s="293"/>
    </row>
    <row r="531" spans="1:5" x14ac:dyDescent="0.2">
      <c r="A531" s="281"/>
      <c r="B531" s="282"/>
      <c r="C531" s="286"/>
      <c r="D531" s="293"/>
      <c r="E531" s="293"/>
    </row>
    <row r="532" spans="1:5" x14ac:dyDescent="0.2">
      <c r="A532" s="281"/>
      <c r="B532" s="282"/>
      <c r="C532" s="286"/>
      <c r="D532" s="293"/>
      <c r="E532" s="293"/>
    </row>
    <row r="533" spans="1:5" x14ac:dyDescent="0.2">
      <c r="A533" s="281"/>
      <c r="B533" s="282"/>
      <c r="C533" s="286"/>
      <c r="D533" s="293"/>
      <c r="E533" s="293"/>
    </row>
    <row r="534" spans="1:5" x14ac:dyDescent="0.2">
      <c r="A534" s="281"/>
      <c r="B534" s="282"/>
      <c r="C534" s="286"/>
      <c r="D534" s="293"/>
      <c r="E534" s="293"/>
    </row>
    <row r="535" spans="1:5" x14ac:dyDescent="0.2">
      <c r="A535" s="281"/>
      <c r="B535" s="282"/>
      <c r="C535" s="286"/>
      <c r="D535" s="293"/>
      <c r="E535" s="293"/>
    </row>
    <row r="536" spans="1:5" x14ac:dyDescent="0.2">
      <c r="A536" s="281"/>
      <c r="B536" s="282"/>
      <c r="C536" s="286"/>
      <c r="D536" s="293"/>
      <c r="E536" s="293"/>
    </row>
    <row r="537" spans="1:5" x14ac:dyDescent="0.2">
      <c r="A537" s="281"/>
      <c r="B537" s="282"/>
      <c r="C537" s="286"/>
      <c r="D537" s="293"/>
      <c r="E537" s="293"/>
    </row>
    <row r="538" spans="1:5" x14ac:dyDescent="0.2">
      <c r="A538" s="281"/>
      <c r="B538" s="282"/>
      <c r="C538" s="286"/>
      <c r="D538" s="293"/>
      <c r="E538" s="293"/>
    </row>
    <row r="539" spans="1:5" x14ac:dyDescent="0.2">
      <c r="A539" s="281"/>
      <c r="B539" s="282"/>
      <c r="C539" s="286"/>
      <c r="D539" s="293"/>
      <c r="E539" s="293"/>
    </row>
    <row r="540" spans="1:5" x14ac:dyDescent="0.2">
      <c r="A540" s="281"/>
      <c r="B540" s="282"/>
      <c r="C540" s="286"/>
      <c r="D540" s="293"/>
      <c r="E540" s="293"/>
    </row>
    <row r="541" spans="1:5" x14ac:dyDescent="0.2">
      <c r="A541" s="281"/>
      <c r="B541" s="282"/>
      <c r="C541" s="286"/>
      <c r="D541" s="293"/>
      <c r="E541" s="293"/>
    </row>
    <row r="542" spans="1:5" x14ac:dyDescent="0.2">
      <c r="A542" s="281"/>
      <c r="B542" s="282"/>
      <c r="C542" s="286"/>
      <c r="D542" s="293"/>
      <c r="E542" s="293"/>
    </row>
    <row r="543" spans="1:5" x14ac:dyDescent="0.2">
      <c r="A543" s="281"/>
      <c r="B543" s="282"/>
      <c r="C543" s="286"/>
      <c r="D543" s="293"/>
      <c r="E543" s="293"/>
    </row>
    <row r="544" spans="1:5" x14ac:dyDescent="0.2">
      <c r="A544" s="281"/>
      <c r="B544" s="282"/>
      <c r="C544" s="286"/>
      <c r="D544" s="293"/>
      <c r="E544" s="293"/>
    </row>
    <row r="545" spans="1:5" x14ac:dyDescent="0.2">
      <c r="A545" s="281"/>
      <c r="B545" s="282"/>
      <c r="C545" s="286"/>
      <c r="D545" s="293"/>
      <c r="E545" s="293"/>
    </row>
    <row r="546" spans="1:5" x14ac:dyDescent="0.2">
      <c r="A546" s="281"/>
      <c r="B546" s="282"/>
      <c r="C546" s="286"/>
      <c r="D546" s="293"/>
      <c r="E546" s="293"/>
    </row>
    <row r="547" spans="1:5" x14ac:dyDescent="0.2">
      <c r="A547" s="281"/>
    </row>
    <row r="548" spans="1:5" x14ac:dyDescent="0.2">
      <c r="A548" s="308"/>
    </row>
    <row r="549" spans="1:5" x14ac:dyDescent="0.2">
      <c r="A549" s="308"/>
      <c r="B549" s="291"/>
      <c r="D549" s="291"/>
      <c r="E549" s="291"/>
    </row>
    <row r="550" spans="1:5" x14ac:dyDescent="0.2">
      <c r="A550" s="308"/>
      <c r="B550" s="291"/>
      <c r="D550" s="291"/>
      <c r="E550" s="291"/>
    </row>
    <row r="551" spans="1:5" x14ac:dyDescent="0.2">
      <c r="A551" s="308"/>
      <c r="B551" s="291"/>
      <c r="D551" s="291"/>
      <c r="E551" s="291"/>
    </row>
    <row r="552" spans="1:5" x14ac:dyDescent="0.2">
      <c r="A552" s="308"/>
      <c r="B552" s="291"/>
      <c r="D552" s="291"/>
      <c r="E552" s="291"/>
    </row>
    <row r="553" spans="1:5" x14ac:dyDescent="0.2">
      <c r="A553" s="308"/>
      <c r="B553" s="291"/>
      <c r="D553" s="291"/>
      <c r="E553" s="291"/>
    </row>
    <row r="554" spans="1:5" x14ac:dyDescent="0.2">
      <c r="A554" s="308"/>
      <c r="B554" s="291"/>
      <c r="D554" s="291"/>
      <c r="E554" s="291"/>
    </row>
    <row r="555" spans="1:5" x14ac:dyDescent="0.2">
      <c r="A555" s="308"/>
      <c r="B555" s="291"/>
      <c r="D555" s="291"/>
      <c r="E555" s="291"/>
    </row>
    <row r="556" spans="1:5" x14ac:dyDescent="0.2">
      <c r="A556" s="308"/>
      <c r="B556" s="291"/>
      <c r="D556" s="291"/>
      <c r="E556" s="291"/>
    </row>
    <row r="557" spans="1:5" x14ac:dyDescent="0.2">
      <c r="A557" s="308"/>
      <c r="B557" s="291"/>
      <c r="D557" s="291"/>
      <c r="E557" s="291"/>
    </row>
    <row r="558" spans="1:5" x14ac:dyDescent="0.2">
      <c r="A558" s="308"/>
      <c r="B558" s="291"/>
      <c r="D558" s="291"/>
      <c r="E558" s="291"/>
    </row>
    <row r="559" spans="1:5" x14ac:dyDescent="0.2">
      <c r="A559" s="281"/>
    </row>
    <row r="560" spans="1:5" x14ac:dyDescent="0.2">
      <c r="A560" s="281"/>
    </row>
    <row r="561" spans="1:5" x14ac:dyDescent="0.2">
      <c r="A561" s="281"/>
    </row>
    <row r="562" spans="1:5" x14ac:dyDescent="0.2">
      <c r="A562" s="281"/>
    </row>
    <row r="563" spans="1:5" x14ac:dyDescent="0.2">
      <c r="A563" s="281"/>
    </row>
    <row r="564" spans="1:5" x14ac:dyDescent="0.2">
      <c r="A564" s="281"/>
    </row>
    <row r="565" spans="1:5" x14ac:dyDescent="0.2">
      <c r="A565" s="281"/>
    </row>
    <row r="566" spans="1:5" x14ac:dyDescent="0.2">
      <c r="A566" s="281"/>
    </row>
    <row r="567" spans="1:5" x14ac:dyDescent="0.2">
      <c r="A567" s="281"/>
    </row>
    <row r="568" spans="1:5" x14ac:dyDescent="0.2">
      <c r="A568" s="281"/>
    </row>
    <row r="569" spans="1:5" x14ac:dyDescent="0.2">
      <c r="A569" s="281"/>
    </row>
    <row r="570" spans="1:5" x14ac:dyDescent="0.2">
      <c r="A570" s="281"/>
    </row>
    <row r="571" spans="1:5" x14ac:dyDescent="0.2">
      <c r="A571" s="281"/>
    </row>
    <row r="572" spans="1:5" x14ac:dyDescent="0.2">
      <c r="A572" s="281"/>
      <c r="B572" s="291"/>
      <c r="D572" s="291"/>
      <c r="E572" s="291"/>
    </row>
    <row r="573" spans="1:5" x14ac:dyDescent="0.2">
      <c r="A573" s="281"/>
      <c r="B573" s="291"/>
      <c r="D573" s="291"/>
      <c r="E573" s="291"/>
    </row>
    <row r="574" spans="1:5" x14ac:dyDescent="0.2">
      <c r="A574" s="281"/>
      <c r="B574" s="291"/>
      <c r="D574" s="291"/>
      <c r="E574" s="291"/>
    </row>
    <row r="575" spans="1:5" x14ac:dyDescent="0.2">
      <c r="A575" s="281"/>
      <c r="B575" s="291"/>
      <c r="D575" s="291"/>
      <c r="E575" s="291"/>
    </row>
    <row r="576" spans="1:5" x14ac:dyDescent="0.2">
      <c r="A576" s="281"/>
      <c r="B576" s="291"/>
      <c r="D576" s="291"/>
      <c r="E576" s="291"/>
    </row>
    <row r="577" spans="1:5" x14ac:dyDescent="0.2">
      <c r="A577" s="281"/>
      <c r="B577" s="291"/>
      <c r="D577" s="291"/>
      <c r="E577" s="291"/>
    </row>
    <row r="578" spans="1:5" x14ac:dyDescent="0.2">
      <c r="A578" s="281"/>
      <c r="B578" s="291"/>
      <c r="D578" s="291"/>
      <c r="E578" s="291"/>
    </row>
    <row r="579" spans="1:5" x14ac:dyDescent="0.2">
      <c r="A579" s="281"/>
      <c r="B579" s="291"/>
      <c r="D579" s="291"/>
      <c r="E579" s="291"/>
    </row>
    <row r="580" spans="1:5" x14ac:dyDescent="0.2">
      <c r="A580" s="281"/>
      <c r="B580" s="291"/>
      <c r="D580" s="291"/>
      <c r="E580" s="291"/>
    </row>
    <row r="581" spans="1:5" x14ac:dyDescent="0.2">
      <c r="A581" s="281"/>
      <c r="B581" s="291"/>
      <c r="D581" s="291"/>
      <c r="E581" s="291"/>
    </row>
    <row r="582" spans="1:5" x14ac:dyDescent="0.2">
      <c r="A582" s="281"/>
      <c r="B582" s="291"/>
      <c r="D582" s="291"/>
      <c r="E582" s="291"/>
    </row>
    <row r="583" spans="1:5" x14ac:dyDescent="0.2">
      <c r="A583" s="281"/>
      <c r="B583" s="291"/>
      <c r="D583" s="291"/>
      <c r="E583" s="291"/>
    </row>
    <row r="584" spans="1:5" x14ac:dyDescent="0.2">
      <c r="A584" s="281"/>
      <c r="B584" s="291"/>
      <c r="D584" s="291"/>
      <c r="E584" s="291"/>
    </row>
    <row r="585" spans="1:5" x14ac:dyDescent="0.2">
      <c r="A585" s="281"/>
      <c r="B585" s="291"/>
      <c r="D585" s="291"/>
      <c r="E585" s="291"/>
    </row>
    <row r="586" spans="1:5" x14ac:dyDescent="0.2">
      <c r="A586" s="281"/>
      <c r="B586" s="291"/>
      <c r="D586" s="291"/>
      <c r="E586" s="291"/>
    </row>
    <row r="587" spans="1:5" x14ac:dyDescent="0.2">
      <c r="A587" s="281"/>
      <c r="B587" s="291"/>
      <c r="D587" s="291"/>
      <c r="E587" s="291"/>
    </row>
    <row r="588" spans="1:5" x14ac:dyDescent="0.2">
      <c r="A588" s="281"/>
      <c r="B588" s="291"/>
      <c r="D588" s="291"/>
      <c r="E588" s="291"/>
    </row>
    <row r="589" spans="1:5" x14ac:dyDescent="0.2">
      <c r="A589" s="281"/>
      <c r="B589" s="291"/>
      <c r="D589" s="291"/>
      <c r="E589" s="291"/>
    </row>
    <row r="590" spans="1:5" x14ac:dyDescent="0.2">
      <c r="A590" s="281"/>
      <c r="B590" s="291"/>
      <c r="D590" s="291"/>
      <c r="E590" s="291"/>
    </row>
    <row r="591" spans="1:5" x14ac:dyDescent="0.2">
      <c r="A591" s="281"/>
      <c r="B591" s="291"/>
      <c r="D591" s="291"/>
      <c r="E591" s="291"/>
    </row>
    <row r="592" spans="1:5" x14ac:dyDescent="0.2">
      <c r="A592" s="281"/>
      <c r="B592" s="291"/>
      <c r="D592" s="291"/>
      <c r="E592" s="291"/>
    </row>
    <row r="593" spans="1:5" x14ac:dyDescent="0.2">
      <c r="A593" s="281"/>
      <c r="B593" s="291"/>
      <c r="D593" s="291"/>
      <c r="E593" s="291"/>
    </row>
    <row r="594" spans="1:5" x14ac:dyDescent="0.2">
      <c r="A594" s="281"/>
      <c r="B594" s="291"/>
      <c r="D594" s="291"/>
      <c r="E594" s="291"/>
    </row>
    <row r="595" spans="1:5" x14ac:dyDescent="0.2">
      <c r="A595" s="281"/>
      <c r="B595" s="291"/>
      <c r="D595" s="291"/>
      <c r="E595" s="291"/>
    </row>
    <row r="596" spans="1:5" x14ac:dyDescent="0.2">
      <c r="A596" s="281"/>
      <c r="B596" s="291"/>
      <c r="D596" s="291"/>
      <c r="E596" s="291"/>
    </row>
    <row r="597" spans="1:5" x14ac:dyDescent="0.2">
      <c r="A597" s="281"/>
      <c r="B597" s="291"/>
      <c r="D597" s="291"/>
      <c r="E597" s="291"/>
    </row>
    <row r="598" spans="1:5" x14ac:dyDescent="0.2">
      <c r="A598" s="281"/>
      <c r="B598" s="291"/>
      <c r="D598" s="291"/>
      <c r="E598" s="291"/>
    </row>
    <row r="599" spans="1:5" x14ac:dyDescent="0.2">
      <c r="A599" s="281"/>
      <c r="B599" s="291"/>
      <c r="D599" s="291"/>
      <c r="E599" s="291"/>
    </row>
    <row r="600" spans="1:5" x14ac:dyDescent="0.2">
      <c r="A600" s="281"/>
      <c r="B600" s="291"/>
      <c r="D600" s="291"/>
      <c r="E600" s="291"/>
    </row>
    <row r="601" spans="1:5" x14ac:dyDescent="0.2">
      <c r="A601" s="281"/>
      <c r="B601" s="291"/>
      <c r="D601" s="291"/>
      <c r="E601" s="291"/>
    </row>
    <row r="602" spans="1:5" x14ac:dyDescent="0.2">
      <c r="A602" s="281"/>
      <c r="B602" s="291"/>
      <c r="D602" s="291"/>
      <c r="E602" s="291"/>
    </row>
    <row r="603" spans="1:5" x14ac:dyDescent="0.2">
      <c r="A603" s="281"/>
      <c r="B603" s="291"/>
      <c r="D603" s="291"/>
      <c r="E603" s="291"/>
    </row>
    <row r="604" spans="1:5" x14ac:dyDescent="0.2">
      <c r="A604" s="281"/>
      <c r="B604" s="291"/>
      <c r="D604" s="291"/>
      <c r="E604" s="291"/>
    </row>
    <row r="605" spans="1:5" x14ac:dyDescent="0.2">
      <c r="A605" s="281"/>
      <c r="B605" s="291"/>
      <c r="D605" s="291"/>
      <c r="E605" s="291"/>
    </row>
    <row r="606" spans="1:5" x14ac:dyDescent="0.2">
      <c r="A606" s="281"/>
      <c r="B606" s="291"/>
      <c r="D606" s="291"/>
      <c r="E606" s="291"/>
    </row>
    <row r="607" spans="1:5" x14ac:dyDescent="0.2">
      <c r="A607" s="281"/>
      <c r="B607" s="291"/>
      <c r="D607" s="291"/>
      <c r="E607" s="291"/>
    </row>
    <row r="608" spans="1:5" x14ac:dyDescent="0.2">
      <c r="A608" s="281"/>
      <c r="B608" s="291"/>
      <c r="D608" s="291"/>
      <c r="E608" s="291"/>
    </row>
    <row r="609" spans="1:5" x14ac:dyDescent="0.2">
      <c r="A609" s="281"/>
      <c r="B609" s="291"/>
      <c r="D609" s="291"/>
      <c r="E609" s="291"/>
    </row>
    <row r="610" spans="1:5" x14ac:dyDescent="0.2">
      <c r="A610" s="281"/>
      <c r="B610" s="291"/>
      <c r="D610" s="291"/>
      <c r="E610" s="291"/>
    </row>
    <row r="611" spans="1:5" x14ac:dyDescent="0.2">
      <c r="A611" s="281"/>
      <c r="B611" s="291"/>
      <c r="D611" s="291"/>
      <c r="E611" s="291"/>
    </row>
    <row r="612" spans="1:5" x14ac:dyDescent="0.2">
      <c r="A612" s="281"/>
      <c r="B612" s="291"/>
      <c r="D612" s="291"/>
      <c r="E612" s="291"/>
    </row>
    <row r="613" spans="1:5" x14ac:dyDescent="0.2">
      <c r="A613" s="281"/>
      <c r="B613" s="291"/>
      <c r="D613" s="291"/>
      <c r="E613" s="291"/>
    </row>
    <row r="614" spans="1:5" x14ac:dyDescent="0.2">
      <c r="A614" s="281"/>
      <c r="B614" s="291"/>
      <c r="D614" s="291"/>
      <c r="E614" s="291"/>
    </row>
    <row r="615" spans="1:5" x14ac:dyDescent="0.2">
      <c r="A615" s="281"/>
      <c r="B615" s="291"/>
      <c r="D615" s="291"/>
      <c r="E615" s="291"/>
    </row>
    <row r="616" spans="1:5" x14ac:dyDescent="0.2">
      <c r="A616" s="281"/>
      <c r="B616" s="291"/>
      <c r="D616" s="291"/>
      <c r="E616" s="291"/>
    </row>
    <row r="617" spans="1:5" x14ac:dyDescent="0.2">
      <c r="A617" s="281"/>
      <c r="B617" s="291"/>
      <c r="D617" s="291"/>
      <c r="E617" s="291"/>
    </row>
    <row r="618" spans="1:5" x14ac:dyDescent="0.2">
      <c r="A618" s="281"/>
      <c r="B618" s="291"/>
      <c r="D618" s="291"/>
      <c r="E618" s="291"/>
    </row>
    <row r="619" spans="1:5" x14ac:dyDescent="0.2">
      <c r="A619" s="281"/>
      <c r="B619" s="291"/>
      <c r="D619" s="291"/>
      <c r="E619" s="291"/>
    </row>
    <row r="620" spans="1:5" x14ac:dyDescent="0.2">
      <c r="A620" s="281"/>
      <c r="B620" s="291"/>
      <c r="D620" s="291"/>
      <c r="E620" s="291"/>
    </row>
    <row r="621" spans="1:5" x14ac:dyDescent="0.2">
      <c r="A621" s="281"/>
      <c r="B621" s="291"/>
      <c r="D621" s="291"/>
      <c r="E621" s="291"/>
    </row>
    <row r="622" spans="1:5" x14ac:dyDescent="0.2">
      <c r="A622" s="281"/>
      <c r="B622" s="291"/>
      <c r="D622" s="291"/>
      <c r="E622" s="291"/>
    </row>
    <row r="623" spans="1:5" x14ac:dyDescent="0.2">
      <c r="A623" s="281"/>
      <c r="B623" s="291"/>
      <c r="D623" s="291"/>
      <c r="E623" s="291"/>
    </row>
    <row r="624" spans="1:5" x14ac:dyDescent="0.2">
      <c r="A624" s="281"/>
      <c r="B624" s="291"/>
      <c r="D624" s="291"/>
      <c r="E624" s="291"/>
    </row>
    <row r="625" spans="1:5" x14ac:dyDescent="0.2">
      <c r="A625" s="281"/>
      <c r="B625" s="291"/>
      <c r="D625" s="291"/>
      <c r="E625" s="291"/>
    </row>
    <row r="626" spans="1:5" x14ac:dyDescent="0.2">
      <c r="A626" s="281"/>
      <c r="B626" s="291"/>
      <c r="D626" s="291"/>
      <c r="E626" s="291"/>
    </row>
    <row r="627" spans="1:5" x14ac:dyDescent="0.2">
      <c r="A627" s="281"/>
      <c r="B627" s="291"/>
      <c r="D627" s="291"/>
      <c r="E627" s="291"/>
    </row>
    <row r="628" spans="1:5" x14ac:dyDescent="0.2">
      <c r="A628" s="281"/>
      <c r="B628" s="291"/>
      <c r="D628" s="291"/>
      <c r="E628" s="291"/>
    </row>
    <row r="629" spans="1:5" x14ac:dyDescent="0.2">
      <c r="A629" s="281"/>
      <c r="B629" s="291"/>
      <c r="D629" s="291"/>
      <c r="E629" s="291"/>
    </row>
    <row r="630" spans="1:5" x14ac:dyDescent="0.2">
      <c r="A630" s="281"/>
      <c r="B630" s="291"/>
      <c r="D630" s="291"/>
      <c r="E630" s="291"/>
    </row>
    <row r="631" spans="1:5" x14ac:dyDescent="0.2">
      <c r="A631" s="281"/>
      <c r="B631" s="291"/>
      <c r="D631" s="291"/>
      <c r="E631" s="291"/>
    </row>
    <row r="632" spans="1:5" x14ac:dyDescent="0.2">
      <c r="A632" s="281"/>
      <c r="B632" s="291"/>
      <c r="D632" s="291"/>
      <c r="E632" s="291"/>
    </row>
    <row r="633" spans="1:5" x14ac:dyDescent="0.2">
      <c r="A633" s="281"/>
      <c r="B633" s="291"/>
      <c r="D633" s="291"/>
      <c r="E633" s="291"/>
    </row>
    <row r="634" spans="1:5" x14ac:dyDescent="0.2">
      <c r="A634" s="281"/>
      <c r="B634" s="291"/>
      <c r="D634" s="291"/>
      <c r="E634" s="291"/>
    </row>
    <row r="635" spans="1:5" x14ac:dyDescent="0.2">
      <c r="A635" s="281"/>
      <c r="B635" s="291"/>
      <c r="D635" s="291"/>
      <c r="E635" s="291"/>
    </row>
    <row r="636" spans="1:5" x14ac:dyDescent="0.2">
      <c r="A636" s="281"/>
      <c r="B636" s="291"/>
      <c r="D636" s="291"/>
      <c r="E636" s="291"/>
    </row>
    <row r="637" spans="1:5" x14ac:dyDescent="0.2">
      <c r="A637" s="281"/>
      <c r="B637" s="291"/>
      <c r="D637" s="291"/>
      <c r="E637" s="291"/>
    </row>
    <row r="638" spans="1:5" x14ac:dyDescent="0.2">
      <c r="A638" s="281"/>
      <c r="B638" s="291"/>
      <c r="D638" s="291"/>
      <c r="E638" s="291"/>
    </row>
    <row r="639" spans="1:5" x14ac:dyDescent="0.2">
      <c r="A639" s="281"/>
      <c r="B639" s="291"/>
      <c r="D639" s="291"/>
      <c r="E639" s="291"/>
    </row>
    <row r="640" spans="1:5" x14ac:dyDescent="0.2">
      <c r="A640" s="281"/>
      <c r="B640" s="291"/>
      <c r="D640" s="291"/>
      <c r="E640" s="291"/>
    </row>
    <row r="641" spans="1:5" x14ac:dyDescent="0.2">
      <c r="A641" s="281"/>
      <c r="B641" s="291"/>
      <c r="D641" s="291"/>
      <c r="E641" s="291"/>
    </row>
    <row r="642" spans="1:5" x14ac:dyDescent="0.2">
      <c r="A642" s="281"/>
      <c r="B642" s="291"/>
      <c r="D642" s="291"/>
      <c r="E642" s="291"/>
    </row>
    <row r="643" spans="1:5" x14ac:dyDescent="0.2">
      <c r="A643" s="281"/>
      <c r="B643" s="291"/>
      <c r="D643" s="291"/>
      <c r="E643" s="291"/>
    </row>
    <row r="644" spans="1:5" x14ac:dyDescent="0.2">
      <c r="A644" s="281"/>
      <c r="B644" s="291"/>
      <c r="D644" s="291"/>
      <c r="E644" s="291"/>
    </row>
    <row r="645" spans="1:5" x14ac:dyDescent="0.2">
      <c r="A645" s="281"/>
      <c r="B645" s="291"/>
      <c r="D645" s="291"/>
      <c r="E645" s="291"/>
    </row>
    <row r="646" spans="1:5" x14ac:dyDescent="0.2">
      <c r="A646" s="281"/>
      <c r="B646" s="291"/>
      <c r="D646" s="291"/>
      <c r="E646" s="291"/>
    </row>
    <row r="647" spans="1:5" x14ac:dyDescent="0.2">
      <c r="A647" s="281"/>
      <c r="B647" s="291"/>
      <c r="D647" s="291"/>
      <c r="E647" s="291"/>
    </row>
    <row r="648" spans="1:5" x14ac:dyDescent="0.2">
      <c r="A648" s="281"/>
      <c r="B648" s="291"/>
      <c r="D648" s="291"/>
      <c r="E648" s="291"/>
    </row>
    <row r="649" spans="1:5" x14ac:dyDescent="0.2">
      <c r="A649" s="281"/>
      <c r="B649" s="291"/>
      <c r="D649" s="291"/>
      <c r="E649" s="291"/>
    </row>
    <row r="650" spans="1:5" x14ac:dyDescent="0.2">
      <c r="A650" s="281"/>
      <c r="B650" s="291"/>
      <c r="D650" s="291"/>
      <c r="E650" s="291"/>
    </row>
    <row r="651" spans="1:5" x14ac:dyDescent="0.2">
      <c r="A651" s="281"/>
      <c r="B651" s="291"/>
      <c r="D651" s="291"/>
      <c r="E651" s="291"/>
    </row>
    <row r="652" spans="1:5" x14ac:dyDescent="0.2">
      <c r="A652" s="281"/>
      <c r="B652" s="291"/>
      <c r="D652" s="291"/>
      <c r="E652" s="29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B49A-703F-4DAF-A3A7-967537C71112}">
  <sheetPr codeName="Sheet10">
    <tabColor rgb="FF00B050"/>
  </sheetPr>
  <dimension ref="A1:AW207"/>
  <sheetViews>
    <sheetView showGridLines="0" zoomScale="140" zoomScaleNormal="140" workbookViewId="0">
      <pane xSplit="3" ySplit="3" topLeftCell="AC4" activePane="bottomRight" state="frozen"/>
      <selection activeCell="L13" sqref="L13"/>
      <selection pane="topRight" activeCell="L13" sqref="L13"/>
      <selection pane="bottomLeft" activeCell="L13" sqref="L13"/>
      <selection pane="bottomRight" activeCell="AB1" sqref="AB1:AE1"/>
    </sheetView>
  </sheetViews>
  <sheetFormatPr baseColWidth="10" defaultColWidth="8.83203125" defaultRowHeight="15" x14ac:dyDescent="0.2"/>
  <cols>
    <col min="2" max="2" width="8.83203125" style="10" customWidth="1"/>
    <col min="3" max="3" width="37.83203125" style="10" customWidth="1"/>
    <col min="4" max="4" width="15.33203125" bestFit="1" customWidth="1"/>
    <col min="5" max="5" width="15" bestFit="1" customWidth="1"/>
    <col min="6" max="7" width="15.33203125" bestFit="1" customWidth="1"/>
    <col min="8" max="9" width="15.5" bestFit="1" customWidth="1"/>
    <col min="10" max="11" width="15.33203125" bestFit="1" customWidth="1"/>
    <col min="12" max="12" width="15" bestFit="1" customWidth="1"/>
    <col min="13" max="13" width="15.5" bestFit="1" customWidth="1"/>
    <col min="14" max="14" width="15.33203125" bestFit="1" customWidth="1"/>
    <col min="15" max="15" width="15.5" bestFit="1" customWidth="1"/>
    <col min="16" max="19" width="15.33203125" bestFit="1" customWidth="1"/>
    <col min="20" max="20" width="15.5" bestFit="1" customWidth="1"/>
    <col min="21" max="21" width="15.33203125" bestFit="1" customWidth="1"/>
    <col min="22" max="22" width="15.5" bestFit="1" customWidth="1"/>
    <col min="23" max="23" width="15.33203125" bestFit="1" customWidth="1"/>
    <col min="24" max="24" width="15.5" bestFit="1" customWidth="1"/>
    <col min="25" max="25" width="14.6640625" bestFit="1" customWidth="1"/>
    <col min="26" max="26" width="15.33203125" bestFit="1" customWidth="1"/>
    <col min="27" max="27" width="14.1640625" bestFit="1" customWidth="1"/>
    <col min="28" max="39" width="10.6640625" customWidth="1"/>
    <col min="42" max="42" width="11.1640625" bestFit="1" customWidth="1"/>
    <col min="43" max="43" width="12.6640625" bestFit="1" customWidth="1"/>
    <col min="45" max="46" width="17.1640625" bestFit="1" customWidth="1"/>
    <col min="48" max="48" width="13.1640625" bestFit="1" customWidth="1"/>
  </cols>
  <sheetData>
    <row r="1" spans="2:46" x14ac:dyDescent="0.2">
      <c r="B1" s="342">
        <f>SUM(Y16:Z16,PL_UK!W8:Z8)/'FX Rate'!AK7</f>
        <v>622.9486675418899</v>
      </c>
      <c r="P1" s="377">
        <f>P77+P38+PL_UK!P45+PL_UAE!P43</f>
        <v>-235208834.08209997</v>
      </c>
      <c r="Q1" s="377">
        <f>Q77+Q38+PL_UK!Q45+PL_UAE!Q43</f>
        <v>-229419013.55900154</v>
      </c>
      <c r="R1" s="377">
        <f>R77+R38+PL_UK!R45+PL_UAE!R43</f>
        <v>-254695607.2105</v>
      </c>
      <c r="S1" s="377">
        <f>S77+S38+PL_UK!S45+PL_UAE!S43</f>
        <v>-250873567.27669999</v>
      </c>
      <c r="T1" s="377">
        <f>T77+T38+PL_UK!T45+PL_UAE!T43</f>
        <v>-289782425.6444999</v>
      </c>
      <c r="U1" s="377">
        <f>U77+U38+PL_UK!U45+PL_UAE!U43</f>
        <v>-231699400.81249997</v>
      </c>
      <c r="V1" s="377">
        <f>V77+V38+PL_UK!V45+PL_UAE!V43</f>
        <v>-251080971.83019999</v>
      </c>
      <c r="W1" s="377">
        <f>W77+W38+PL_UK!W45+PL_UAE!W43</f>
        <v>-183643233.20100001</v>
      </c>
      <c r="X1" s="377">
        <f>X77+X38+PL_UK!X45+PL_UAE!X43</f>
        <v>-282798909.22820002</v>
      </c>
      <c r="Y1" s="377">
        <f>Y77+Y38+PL_UK!Y45+PL_UAE!Y43</f>
        <v>-254930452.77499995</v>
      </c>
      <c r="Z1" s="377">
        <f>Z77+Z38+PL_UK!Z45+PL_UAE!Z43</f>
        <v>-255143692.55349997</v>
      </c>
      <c r="AA1" s="377">
        <f>AA77+AA38+PL_UK!AA45+PL_UAE!AA43</f>
        <v>-722239417.1450001</v>
      </c>
      <c r="AB1" s="377">
        <f>AB77+AB38+PL_UK!AB45+PL_UAE!AB43</f>
        <v>-232854652.02239999</v>
      </c>
      <c r="AC1" s="377">
        <f>AC77+AC38+PL_UK!AC45+PL_UAE!AC43</f>
        <v>-220500562.991</v>
      </c>
      <c r="AD1" s="377">
        <f>AD77+AD38+PL_UK!AD45+PL_UAE!AD43</f>
        <v>-221733621.79599997</v>
      </c>
      <c r="AE1" s="377">
        <f>AE77+AE38+PL_UK!AE45+PL_UAE!AE43</f>
        <v>-221084937.21100003</v>
      </c>
      <c r="AF1" s="377">
        <f>AF77+AF38+PL_UK!AF45+PL_UAE!AF43</f>
        <v>0</v>
      </c>
      <c r="AG1" s="377">
        <f>AG77+AG38+PL_UK!AG45+PL_UAE!AG43</f>
        <v>0</v>
      </c>
      <c r="AH1" s="377">
        <f>AH77+AH38+PL_UK!AH45+PL_UAE!AH43</f>
        <v>0</v>
      </c>
      <c r="AI1" s="377">
        <f>AI77+AI38+PL_UK!AI45+PL_UAE!AI43</f>
        <v>0</v>
      </c>
      <c r="AJ1" s="377">
        <f>AJ77+AJ38+PL_UK!AJ45+PL_UAE!AJ43</f>
        <v>0</v>
      </c>
      <c r="AK1" s="377">
        <f>AK77+AK38+PL_UK!AK45+PL_UAE!AK43</f>
        <v>0</v>
      </c>
      <c r="AL1" s="377">
        <f>AL77+AL38+PL_UK!AL45+PL_UAE!AL43</f>
        <v>0</v>
      </c>
      <c r="AM1" s="377">
        <f>AM77+AM38+PL_UK!AM45+PL_UAE!AM43</f>
        <v>0</v>
      </c>
    </row>
    <row r="2" spans="2:46" s="176" customFormat="1" ht="11" x14ac:dyDescent="0.15">
      <c r="B2" s="181"/>
      <c r="C2" s="181"/>
      <c r="P2" s="377">
        <v>213268613.94999999</v>
      </c>
      <c r="Q2" s="377">
        <v>197048675.78999999</v>
      </c>
      <c r="R2" s="377">
        <v>222403034.56</v>
      </c>
      <c r="S2" s="377">
        <v>242700217.53999999</v>
      </c>
      <c r="T2" s="377">
        <v>174492162.37</v>
      </c>
      <c r="U2" s="377">
        <v>119740942.55</v>
      </c>
      <c r="V2" s="377">
        <v>209164534.53</v>
      </c>
      <c r="W2" s="377">
        <v>183988509.75999999</v>
      </c>
      <c r="X2" s="377">
        <v>401196208.57999998</v>
      </c>
      <c r="Y2" s="377">
        <v>755003168.23000002</v>
      </c>
      <c r="Z2" s="377">
        <v>322667121.81</v>
      </c>
      <c r="AA2" s="377">
        <v>312136747.44999999</v>
      </c>
    </row>
    <row r="3" spans="2:46" ht="16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  <c r="AS3" s="14" t="s">
        <v>1636</v>
      </c>
      <c r="AT3" s="14" t="s">
        <v>1635</v>
      </c>
    </row>
    <row r="4" spans="2:46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  <c r="AS4" s="17"/>
      <c r="AT4" s="17"/>
    </row>
    <row r="5" spans="2:46" x14ac:dyDescent="0.2">
      <c r="B5" s="19"/>
      <c r="C5" s="20" t="s">
        <v>92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  <c r="AS5" s="17"/>
      <c r="AT5" s="17"/>
    </row>
    <row r="6" spans="2:46" x14ac:dyDescent="0.2">
      <c r="B6" s="21">
        <f>_xlfn.XLOOKUP($C6,TB_NG!$E:$E,TB_NG!A:A)</f>
        <v>40015</v>
      </c>
      <c r="C6" s="16" t="s">
        <v>93</v>
      </c>
      <c r="D6" s="17">
        <f>-_xlfn.XLOOKUP($C6,TB_NG!$E:$E,TB_NG!F:F)</f>
        <v>1638139.53</v>
      </c>
      <c r="E6" s="17">
        <f>-_xlfn.XLOOKUP($C6,TB_NG!$E:$E,TB_NG!G:G)</f>
        <v>8048186.0499999998</v>
      </c>
      <c r="F6" s="17">
        <f>-_xlfn.XLOOKUP($C6,TB_NG!$E:$E,TB_NG!H:H)</f>
        <v>5571348.8399999999</v>
      </c>
      <c r="G6" s="17">
        <f>-_xlfn.XLOOKUP($C6,TB_NG!$E:$E,TB_NG!I:I)</f>
        <v>14634418.6</v>
      </c>
      <c r="H6" s="17">
        <f>-_xlfn.XLOOKUP($C6,TB_NG!$E:$E,TB_NG!J:J)</f>
        <v>34558697.670000002</v>
      </c>
      <c r="I6" s="17">
        <f>-_xlfn.XLOOKUP($C6,TB_NG!$E:$E,TB_NG!K:K)</f>
        <v>16373953.49</v>
      </c>
      <c r="J6" s="17">
        <f>-_xlfn.XLOOKUP($C6,TB_NG!$E:$E,TB_NG!L:L)</f>
        <v>21312372.09</v>
      </c>
      <c r="K6" s="17">
        <f>-_xlfn.XLOOKUP($C6,TB_NG!$E:$E,TB_NG!M:M)</f>
        <v>7687813.9500000002</v>
      </c>
      <c r="L6" s="17">
        <f>-_xlfn.XLOOKUP($C6,TB_NG!$E:$E,TB_NG!N:N)</f>
        <v>2009488.37</v>
      </c>
      <c r="M6" s="17">
        <f>-_xlfn.XLOOKUP($C6,TB_NG!$E:$E,TB_NG!O:O)</f>
        <v>3087069.77</v>
      </c>
      <c r="N6" s="17">
        <f>-_xlfn.XLOOKUP($C6,TB_NG!$E:$E,TB_NG!P:P)</f>
        <v>5157906.9800000004</v>
      </c>
      <c r="O6" s="17">
        <f>-_xlfn.XLOOKUP($C6,TB_NG!$E:$E,TB_NG!Q:Q)</f>
        <v>2742883.72</v>
      </c>
      <c r="P6" s="17">
        <f>-_xlfn.XLOOKUP($C6,TB_NG!$E:$E,TB_NG!R:R)</f>
        <v>0</v>
      </c>
      <c r="Q6" s="17">
        <f>-_xlfn.XLOOKUP($C6,TB_NG!$E:$E,TB_NG!S:S)</f>
        <v>0</v>
      </c>
      <c r="R6" s="17">
        <f>-_xlfn.XLOOKUP($C6,TB_NG!$E:$E,TB_NG!T:T)</f>
        <v>0</v>
      </c>
      <c r="S6" s="17">
        <f>-_xlfn.XLOOKUP($C6,TB_NG!$E:$E,TB_NG!U:U)</f>
        <v>0</v>
      </c>
      <c r="T6" s="17">
        <f>-_xlfn.XLOOKUP($C6,TB_NG!$E:$E,TB_NG!V:V)</f>
        <v>0</v>
      </c>
      <c r="U6" s="17">
        <f>-_xlfn.XLOOKUP($C6,TB_NG!$E:$E,TB_NG!W:W)</f>
        <v>0</v>
      </c>
      <c r="V6" s="17">
        <f>-_xlfn.XLOOKUP($C6,TB_NG!$E:$E,TB_NG!X:X)</f>
        <v>0</v>
      </c>
      <c r="W6" s="17">
        <f>-_xlfn.XLOOKUP($C6,TB_NG!$E:$E,TB_NG!Y:Y)</f>
        <v>0</v>
      </c>
      <c r="X6" s="17">
        <f>-_xlfn.XLOOKUP($C6,TB_NG!$E:$E,TB_NG!Z:Z)</f>
        <v>0</v>
      </c>
      <c r="Y6" s="17">
        <f>-_xlfn.XLOOKUP($C6,TB_NG!$E:$E,TB_NG!AA:AA)</f>
        <v>0</v>
      </c>
      <c r="Z6" s="17">
        <f>-_xlfn.XLOOKUP($C6,TB_NG!$E:$E,TB_NG!AB:AB)</f>
        <v>0</v>
      </c>
      <c r="AA6" s="17">
        <f>-_xlfn.XLOOKUP($C6,TB_NG!$E:$E,TB_NG!AC:AC)</f>
        <v>0</v>
      </c>
      <c r="AB6" s="17">
        <f>-_xlfn.XLOOKUP($C6,TB_NG!$E:$E,TB_NG!AD:AD)</f>
        <v>0</v>
      </c>
      <c r="AC6" s="17">
        <f>-_xlfn.XLOOKUP($C6,TB_NG!$E:$E,TB_NG!AE:AE)</f>
        <v>0</v>
      </c>
      <c r="AD6" s="17">
        <f>-_xlfn.XLOOKUP($C6,TB_NG!$E:$E,TB_NG!AF:AF)</f>
        <v>0</v>
      </c>
      <c r="AE6" s="17">
        <f>-_xlfn.XLOOKUP($C6,TB_NG!$E:$E,TB_NG!AG:AG)</f>
        <v>0</v>
      </c>
      <c r="AF6" s="17">
        <f>-_xlfn.XLOOKUP($C6,TB_NG!$E:$E,TB_NG!AH:AH)</f>
        <v>0</v>
      </c>
      <c r="AG6" s="17">
        <f>-_xlfn.XLOOKUP($C6,TB_NG!$E:$E,TB_NG!AI:AI)</f>
        <v>0</v>
      </c>
      <c r="AH6" s="17">
        <f>-_xlfn.XLOOKUP($C6,TB_NG!$E:$E,TB_NG!AJ:AJ)</f>
        <v>0</v>
      </c>
      <c r="AI6" s="17">
        <f>-_xlfn.XLOOKUP($C6,TB_NG!$E:$E,TB_NG!AK:AK)</f>
        <v>0</v>
      </c>
      <c r="AJ6" s="17">
        <f>-_xlfn.XLOOKUP($C6,TB_NG!$E:$E,TB_NG!AL:AL)</f>
        <v>0</v>
      </c>
      <c r="AK6" s="17">
        <f>-_xlfn.XLOOKUP($C6,TB_NG!$E:$E,TB_NG!AM:AM)</f>
        <v>0</v>
      </c>
      <c r="AL6" s="17">
        <f>-_xlfn.XLOOKUP($C6,TB_NG!$E:$E,TB_NG!AN:AN)</f>
        <v>0</v>
      </c>
      <c r="AM6" s="17">
        <f>-_xlfn.XLOOKUP($C6,TB_NG!$E:$E,TB_NG!AO:AO)</f>
        <v>0</v>
      </c>
      <c r="AS6" s="17">
        <f t="shared" ref="AS6:AS17" si="1">SUM(D6:O6)</f>
        <v>122822279.06</v>
      </c>
      <c r="AT6" s="17">
        <f t="shared" ref="AT6:AT17" si="2">SUM(P6:AA6)</f>
        <v>0</v>
      </c>
    </row>
    <row r="7" spans="2:46" x14ac:dyDescent="0.2">
      <c r="B7" s="21">
        <f>_xlfn.XLOOKUP($C7,TB_NG!$E:$E,TB_NG!A:A)</f>
        <v>40020</v>
      </c>
      <c r="C7" s="16" t="s">
        <v>94</v>
      </c>
      <c r="D7" s="17">
        <f>-_xlfn.XLOOKUP($C7,TB_NG!$E:$E,TB_NG!F:F)</f>
        <v>0</v>
      </c>
      <c r="E7" s="17">
        <f>-_xlfn.XLOOKUP($C7,TB_NG!$E:$E,TB_NG!G:G)</f>
        <v>0</v>
      </c>
      <c r="F7" s="17">
        <f>-_xlfn.XLOOKUP($C7,TB_NG!$E:$E,TB_NG!H:H)</f>
        <v>0</v>
      </c>
      <c r="G7" s="17">
        <f>-_xlfn.XLOOKUP($C7,TB_NG!$E:$E,TB_NG!I:I)</f>
        <v>293333.33</v>
      </c>
      <c r="H7" s="17">
        <f>-_xlfn.XLOOKUP($C7,TB_NG!$E:$E,TB_NG!J:J)</f>
        <v>293333.33</v>
      </c>
      <c r="I7" s="17">
        <f>-_xlfn.XLOOKUP($C7,TB_NG!$E:$E,TB_NG!K:K)</f>
        <v>293333.33</v>
      </c>
      <c r="J7" s="17">
        <f>-_xlfn.XLOOKUP($C7,TB_NG!$E:$E,TB_NG!L:L)</f>
        <v>293333.33</v>
      </c>
      <c r="K7" s="17">
        <f>-_xlfn.XLOOKUP($C7,TB_NG!$E:$E,TB_NG!M:M)</f>
        <v>76424296.590000004</v>
      </c>
      <c r="L7" s="17">
        <f>-_xlfn.XLOOKUP($C7,TB_NG!$E:$E,TB_NG!N:N)</f>
        <v>293333.33</v>
      </c>
      <c r="M7" s="17">
        <f>-_xlfn.XLOOKUP($C7,TB_NG!$E:$E,TB_NG!O:O)</f>
        <v>293333.33</v>
      </c>
      <c r="N7" s="17">
        <f>-_xlfn.XLOOKUP($C7,TB_NG!$E:$E,TB_NG!P:P)</f>
        <v>293333.33</v>
      </c>
      <c r="O7" s="17">
        <f>-_xlfn.XLOOKUP($C7,TB_NG!$E:$E,TB_NG!Q:Q)</f>
        <v>330542.63</v>
      </c>
      <c r="P7" s="17">
        <f>-_xlfn.XLOOKUP($C7,TB_NG!$E:$E,TB_NG!R:R)</f>
        <v>293333.33</v>
      </c>
      <c r="Q7" s="17">
        <f>-_xlfn.XLOOKUP($C7,TB_NG!$E:$E,TB_NG!S:S)</f>
        <v>307333.32999999996</v>
      </c>
      <c r="R7" s="17">
        <f>-_xlfn.XLOOKUP($C7,TB_NG!$E:$E,TB_NG!T:T)</f>
        <v>293333.33</v>
      </c>
      <c r="S7" s="17">
        <f>-_xlfn.XLOOKUP($C7,TB_NG!$E:$E,TB_NG!U:U)</f>
        <v>0</v>
      </c>
      <c r="T7" s="17">
        <f>-_xlfn.XLOOKUP($C7,TB_NG!$E:$E,TB_NG!V:V)</f>
        <v>0</v>
      </c>
      <c r="U7" s="17">
        <f>-_xlfn.XLOOKUP($C7,TB_NG!$E:$E,TB_NG!W:W)</f>
        <v>0</v>
      </c>
      <c r="V7" s="17">
        <f>-_xlfn.XLOOKUP($C7,TB_NG!$E:$E,TB_NG!X:X)</f>
        <v>0</v>
      </c>
      <c r="W7" s="17">
        <f>-_xlfn.XLOOKUP($C7,TB_NG!$E:$E,TB_NG!Y:Y)</f>
        <v>0</v>
      </c>
      <c r="X7" s="17">
        <f>-_xlfn.XLOOKUP($C7,TB_NG!$E:$E,TB_NG!Z:Z)</f>
        <v>0</v>
      </c>
      <c r="Y7" s="17">
        <f>-_xlfn.XLOOKUP($C7,TB_NG!$E:$E,TB_NG!AA:AA)</f>
        <v>0</v>
      </c>
      <c r="Z7" s="17">
        <f>-_xlfn.XLOOKUP($C7,TB_NG!$E:$E,TB_NG!AB:AB)</f>
        <v>0</v>
      </c>
      <c r="AA7" s="17">
        <f>-_xlfn.XLOOKUP($C7,TB_NG!$E:$E,TB_NG!AC:AC)</f>
        <v>0</v>
      </c>
      <c r="AB7" s="17">
        <f>-_xlfn.XLOOKUP($C7,TB_NG!$E:$E,TB_NG!AD:AD)</f>
        <v>0</v>
      </c>
      <c r="AC7" s="17">
        <f>-_xlfn.XLOOKUP($C7,TB_NG!$E:$E,TB_NG!AE:AE)</f>
        <v>0</v>
      </c>
      <c r="AD7" s="17">
        <f>-_xlfn.XLOOKUP($C7,TB_NG!$E:$E,TB_NG!AF:AF)</f>
        <v>0</v>
      </c>
      <c r="AE7" s="17">
        <f>-_xlfn.XLOOKUP($C7,TB_NG!$E:$E,TB_NG!AG:AG)</f>
        <v>0</v>
      </c>
      <c r="AF7" s="17">
        <f>-_xlfn.XLOOKUP($C7,TB_NG!$E:$E,TB_NG!AH:AH)</f>
        <v>0</v>
      </c>
      <c r="AG7" s="17">
        <f>-_xlfn.XLOOKUP($C7,TB_NG!$E:$E,TB_NG!AI:AI)</f>
        <v>0</v>
      </c>
      <c r="AH7" s="17">
        <f>-_xlfn.XLOOKUP($C7,TB_NG!$E:$E,TB_NG!AJ:AJ)</f>
        <v>0</v>
      </c>
      <c r="AI7" s="17">
        <f>-_xlfn.XLOOKUP($C7,TB_NG!$E:$E,TB_NG!AK:AK)</f>
        <v>0</v>
      </c>
      <c r="AJ7" s="17">
        <f>-_xlfn.XLOOKUP($C7,TB_NG!$E:$E,TB_NG!AL:AL)</f>
        <v>0</v>
      </c>
      <c r="AK7" s="17">
        <f>-_xlfn.XLOOKUP($C7,TB_NG!$E:$E,TB_NG!AM:AM)</f>
        <v>0</v>
      </c>
      <c r="AL7" s="17">
        <f>-_xlfn.XLOOKUP($C7,TB_NG!$E:$E,TB_NG!AN:AN)</f>
        <v>0</v>
      </c>
      <c r="AM7" s="17">
        <f>-_xlfn.XLOOKUP($C7,TB_NG!$E:$E,TB_NG!AO:AO)</f>
        <v>0</v>
      </c>
      <c r="AS7" s="17">
        <f t="shared" si="1"/>
        <v>78808172.529999986</v>
      </c>
      <c r="AT7" s="17">
        <f t="shared" si="2"/>
        <v>893999.99</v>
      </c>
    </row>
    <row r="8" spans="2:46" x14ac:dyDescent="0.2">
      <c r="B8" s="21">
        <f>_xlfn.XLOOKUP($C8,TB_NG!$E:$E,TB_NG!A:A)</f>
        <v>40025</v>
      </c>
      <c r="C8" s="16" t="s">
        <v>95</v>
      </c>
      <c r="D8" s="17">
        <f>-_xlfn.XLOOKUP($C8,TB_NG!$E:$E,TB_NG!F:F)</f>
        <v>40971906.979999997</v>
      </c>
      <c r="E8" s="17">
        <f>-_xlfn.XLOOKUP($C8,TB_NG!$E:$E,TB_NG!G:G)</f>
        <v>576744.18999999994</v>
      </c>
      <c r="F8" s="17">
        <f>-_xlfn.XLOOKUP($C8,TB_NG!$E:$E,TB_NG!H:H)</f>
        <v>10669767.439999999</v>
      </c>
      <c r="G8" s="17">
        <f>-_xlfn.XLOOKUP($C8,TB_NG!$E:$E,TB_NG!I:I)</f>
        <v>11660399.26</v>
      </c>
      <c r="H8" s="17">
        <f>-_xlfn.XLOOKUP($C8,TB_NG!$E:$E,TB_NG!J:J)</f>
        <v>99960637.040000007</v>
      </c>
      <c r="I8" s="17">
        <f>-_xlfn.XLOOKUP($C8,TB_NG!$E:$E,TB_NG!K:K)</f>
        <v>32270245.579999998</v>
      </c>
      <c r="J8" s="17">
        <f>-_xlfn.XLOOKUP($C8,TB_NG!$E:$E,TB_NG!L:L)</f>
        <v>35637651.159999996</v>
      </c>
      <c r="K8" s="17">
        <f>-_xlfn.XLOOKUP($C8,TB_NG!$E:$E,TB_NG!M:M)</f>
        <v>33619046.509999998</v>
      </c>
      <c r="L8" s="17">
        <f>-_xlfn.XLOOKUP($C8,TB_NG!$E:$E,TB_NG!N:N)</f>
        <v>36214395.350000001</v>
      </c>
      <c r="M8" s="17">
        <f>-_xlfn.XLOOKUP($C8,TB_NG!$E:$E,TB_NG!O:O)</f>
        <v>46595790.700000003</v>
      </c>
      <c r="N8" s="17">
        <f>-_xlfn.XLOOKUP($C8,TB_NG!$E:$E,TB_NG!P:P)</f>
        <v>66297576.75</v>
      </c>
      <c r="O8" s="17">
        <f>-_xlfn.XLOOKUP($C8,TB_NG!$E:$E,TB_NG!Q:Q)</f>
        <v>454533790.82999992</v>
      </c>
      <c r="P8" s="17">
        <f>-_xlfn.XLOOKUP($C8,TB_NG!$E:$E,TB_NG!R:R)</f>
        <v>0</v>
      </c>
      <c r="Q8" s="17">
        <f>-_xlfn.XLOOKUP($C8,TB_NG!$E:$E,TB_NG!S:S)</f>
        <v>0</v>
      </c>
      <c r="R8" s="17">
        <f>-_xlfn.XLOOKUP($C8,TB_NG!$E:$E,TB_NG!T:T)</f>
        <v>0</v>
      </c>
      <c r="S8" s="17">
        <f>-_xlfn.XLOOKUP($C8,TB_NG!$E:$E,TB_NG!U:U)</f>
        <v>0</v>
      </c>
      <c r="T8" s="17">
        <f>-_xlfn.XLOOKUP($C8,TB_NG!$E:$E,TB_NG!V:V)</f>
        <v>0</v>
      </c>
      <c r="U8" s="17">
        <f>-_xlfn.XLOOKUP($C8,TB_NG!$E:$E,TB_NG!W:W)</f>
        <v>0</v>
      </c>
      <c r="V8" s="17">
        <f>-_xlfn.XLOOKUP($C8,TB_NG!$E:$E,TB_NG!X:X)</f>
        <v>0</v>
      </c>
      <c r="W8" s="17">
        <f>-_xlfn.XLOOKUP($C8,TB_NG!$E:$E,TB_NG!Y:Y)</f>
        <v>0</v>
      </c>
      <c r="X8" s="17">
        <f>-_xlfn.XLOOKUP($C8,TB_NG!$E:$E,TB_NG!Z:Z)</f>
        <v>0</v>
      </c>
      <c r="Y8" s="17">
        <f>-_xlfn.XLOOKUP($C8,TB_NG!$E:$E,TB_NG!AA:AA)</f>
        <v>0</v>
      </c>
      <c r="Z8" s="17">
        <f>-_xlfn.XLOOKUP($C8,TB_NG!$E:$E,TB_NG!AB:AB)</f>
        <v>0</v>
      </c>
      <c r="AA8" s="17">
        <f>-_xlfn.XLOOKUP($C8,TB_NG!$E:$E,TB_NG!AC:AC)</f>
        <v>0</v>
      </c>
      <c r="AB8" s="17">
        <f>-_xlfn.XLOOKUP($C8,TB_NG!$E:$E,TB_NG!AD:AD)</f>
        <v>0</v>
      </c>
      <c r="AC8" s="17">
        <f>-_xlfn.XLOOKUP($C8,TB_NG!$E:$E,TB_NG!AE:AE)</f>
        <v>0</v>
      </c>
      <c r="AD8" s="17">
        <f>-_xlfn.XLOOKUP($C8,TB_NG!$E:$E,TB_NG!AF:AF)</f>
        <v>0</v>
      </c>
      <c r="AE8" s="17">
        <f>-_xlfn.XLOOKUP($C8,TB_NG!$E:$E,TB_NG!AG:AG)</f>
        <v>0</v>
      </c>
      <c r="AF8" s="17">
        <f>-_xlfn.XLOOKUP($C8,TB_NG!$E:$E,TB_NG!AH:AH)</f>
        <v>0</v>
      </c>
      <c r="AG8" s="17">
        <f>-_xlfn.XLOOKUP($C8,TB_NG!$E:$E,TB_NG!AI:AI)</f>
        <v>0</v>
      </c>
      <c r="AH8" s="17">
        <f>-_xlfn.XLOOKUP($C8,TB_NG!$E:$E,TB_NG!AJ:AJ)</f>
        <v>0</v>
      </c>
      <c r="AI8" s="17">
        <f>-_xlfn.XLOOKUP($C8,TB_NG!$E:$E,TB_NG!AK:AK)</f>
        <v>0</v>
      </c>
      <c r="AJ8" s="17">
        <f>-_xlfn.XLOOKUP($C8,TB_NG!$E:$E,TB_NG!AL:AL)</f>
        <v>0</v>
      </c>
      <c r="AK8" s="17">
        <f>-_xlfn.XLOOKUP($C8,TB_NG!$E:$E,TB_NG!AM:AM)</f>
        <v>0</v>
      </c>
      <c r="AL8" s="17">
        <f>-_xlfn.XLOOKUP($C8,TB_NG!$E:$E,TB_NG!AN:AN)</f>
        <v>0</v>
      </c>
      <c r="AM8" s="17">
        <f>-_xlfn.XLOOKUP($C8,TB_NG!$E:$E,TB_NG!AO:AO)</f>
        <v>0</v>
      </c>
      <c r="AS8" s="17">
        <f t="shared" si="1"/>
        <v>869007951.78999996</v>
      </c>
      <c r="AT8" s="17">
        <f t="shared" si="2"/>
        <v>0</v>
      </c>
    </row>
    <row r="9" spans="2:46" x14ac:dyDescent="0.2">
      <c r="B9" s="21">
        <f>_xlfn.XLOOKUP($C9,TB_NG!$E:$E,TB_NG!A:A)</f>
        <v>40055</v>
      </c>
      <c r="C9" s="16" t="s">
        <v>96</v>
      </c>
      <c r="D9" s="17">
        <f>-_xlfn.XLOOKUP($C9,TB_NG!$E:$E,TB_NG!F:F)</f>
        <v>7240716.3899999997</v>
      </c>
      <c r="E9" s="17">
        <f>-_xlfn.XLOOKUP($C9,TB_NG!$E:$E,TB_NG!G:G)</f>
        <v>8561147.3900000006</v>
      </c>
      <c r="F9" s="17">
        <f>-_xlfn.XLOOKUP($C9,TB_NG!$E:$E,TB_NG!H:H)</f>
        <v>7273948.0199999996</v>
      </c>
      <c r="G9" s="17">
        <f>-_xlfn.XLOOKUP($C9,TB_NG!$E:$E,TB_NG!I:I)</f>
        <v>5904259.1900000004</v>
      </c>
      <c r="H9" s="17">
        <f>-_xlfn.XLOOKUP($C9,TB_NG!$E:$E,TB_NG!J:J)</f>
        <v>7946784.0599999996</v>
      </c>
      <c r="I9" s="17">
        <f>-_xlfn.XLOOKUP($C9,TB_NG!$E:$E,TB_NG!K:K)</f>
        <v>6488596.6699999999</v>
      </c>
      <c r="J9" s="17">
        <f>-_xlfn.XLOOKUP($C9,TB_NG!$E:$E,TB_NG!L:L)</f>
        <v>7402596.0499999998</v>
      </c>
      <c r="K9" s="17">
        <f>-_xlfn.XLOOKUP($C9,TB_NG!$E:$E,TB_NG!M:M)</f>
        <v>7739593.3700000001</v>
      </c>
      <c r="L9" s="17">
        <f>-_xlfn.XLOOKUP($C9,TB_NG!$E:$E,TB_NG!N:N)</f>
        <v>9238597.2200000007</v>
      </c>
      <c r="M9" s="17">
        <f>-_xlfn.XLOOKUP($C9,TB_NG!$E:$E,TB_NG!O:O)</f>
        <v>9648401.0999999996</v>
      </c>
      <c r="N9" s="17">
        <f>-_xlfn.XLOOKUP($C9,TB_NG!$E:$E,TB_NG!P:P)</f>
        <v>8255267.0800000001</v>
      </c>
      <c r="O9" s="17">
        <f>-_xlfn.XLOOKUP($C9,TB_NG!$E:$E,TB_NG!Q:Q)</f>
        <v>7644705.3499999996</v>
      </c>
      <c r="P9" s="17">
        <f>-_xlfn.XLOOKUP($C9,TB_NG!$E:$E,TB_NG!R:R)</f>
        <v>0</v>
      </c>
      <c r="Q9" s="17">
        <f>-_xlfn.XLOOKUP($C9,TB_NG!$E:$E,TB_NG!S:S)</f>
        <v>0</v>
      </c>
      <c r="R9" s="17">
        <f>-_xlfn.XLOOKUP($C9,TB_NG!$E:$E,TB_NG!T:T)</f>
        <v>0</v>
      </c>
      <c r="S9" s="17">
        <f>-_xlfn.XLOOKUP($C9,TB_NG!$E:$E,TB_NG!U:U)</f>
        <v>0</v>
      </c>
      <c r="T9" s="17">
        <f>-_xlfn.XLOOKUP($C9,TB_NG!$E:$E,TB_NG!V:V)</f>
        <v>0</v>
      </c>
      <c r="U9" s="17">
        <f>-_xlfn.XLOOKUP($C9,TB_NG!$E:$E,TB_NG!W:W)</f>
        <v>0</v>
      </c>
      <c r="V9" s="17">
        <f>-_xlfn.XLOOKUP($C9,TB_NG!$E:$E,TB_NG!X:X)</f>
        <v>0</v>
      </c>
      <c r="W9" s="17">
        <f>-_xlfn.XLOOKUP($C9,TB_NG!$E:$E,TB_NG!Y:Y)</f>
        <v>0</v>
      </c>
      <c r="X9" s="17">
        <f>-_xlfn.XLOOKUP($C9,TB_NG!$E:$E,TB_NG!Z:Z)</f>
        <v>0</v>
      </c>
      <c r="Y9" s="17">
        <f>-_xlfn.XLOOKUP($C9,TB_NG!$E:$E,TB_NG!AA:AA)</f>
        <v>0</v>
      </c>
      <c r="Z9" s="17">
        <f>-_xlfn.XLOOKUP($C9,TB_NG!$E:$E,TB_NG!AB:AB)</f>
        <v>0</v>
      </c>
      <c r="AA9" s="17">
        <f>-_xlfn.XLOOKUP($C9,TB_NG!$E:$E,TB_NG!AC:AC)</f>
        <v>0</v>
      </c>
      <c r="AB9" s="17">
        <f>-_xlfn.XLOOKUP($C9,TB_NG!$E:$E,TB_NG!AD:AD)</f>
        <v>0</v>
      </c>
      <c r="AC9" s="17">
        <f>-_xlfn.XLOOKUP($C9,TB_NG!$E:$E,TB_NG!AE:AE)</f>
        <v>0</v>
      </c>
      <c r="AD9" s="17">
        <f>-_xlfn.XLOOKUP($C9,TB_NG!$E:$E,TB_NG!AF:AF)</f>
        <v>0</v>
      </c>
      <c r="AE9" s="17">
        <f>-_xlfn.XLOOKUP($C9,TB_NG!$E:$E,TB_NG!AG:AG)</f>
        <v>0</v>
      </c>
      <c r="AF9" s="17">
        <f>-_xlfn.XLOOKUP($C9,TB_NG!$E:$E,TB_NG!AH:AH)</f>
        <v>0</v>
      </c>
      <c r="AG9" s="17">
        <f>-_xlfn.XLOOKUP($C9,TB_NG!$E:$E,TB_NG!AI:AI)</f>
        <v>0</v>
      </c>
      <c r="AH9" s="17">
        <f>-_xlfn.XLOOKUP($C9,TB_NG!$E:$E,TB_NG!AJ:AJ)</f>
        <v>0</v>
      </c>
      <c r="AI9" s="17">
        <f>-_xlfn.XLOOKUP($C9,TB_NG!$E:$E,TB_NG!AK:AK)</f>
        <v>0</v>
      </c>
      <c r="AJ9" s="17">
        <f>-_xlfn.XLOOKUP($C9,TB_NG!$E:$E,TB_NG!AL:AL)</f>
        <v>0</v>
      </c>
      <c r="AK9" s="17">
        <f>-_xlfn.XLOOKUP($C9,TB_NG!$E:$E,TB_NG!AM:AM)</f>
        <v>0</v>
      </c>
      <c r="AL9" s="17">
        <f>-_xlfn.XLOOKUP($C9,TB_NG!$E:$E,TB_NG!AN:AN)</f>
        <v>0</v>
      </c>
      <c r="AM9" s="17">
        <f>-_xlfn.XLOOKUP($C9,TB_NG!$E:$E,TB_NG!AO:AO)</f>
        <v>0</v>
      </c>
      <c r="AS9" s="17">
        <f t="shared" si="1"/>
        <v>93344611.889999986</v>
      </c>
      <c r="AT9" s="17">
        <f t="shared" si="2"/>
        <v>0</v>
      </c>
    </row>
    <row r="10" spans="2:46" x14ac:dyDescent="0.2">
      <c r="B10" s="21">
        <f>_xlfn.XLOOKUP($C10,TB_NG!$E:$E,TB_NG!A:A)</f>
        <v>40056</v>
      </c>
      <c r="C10" s="16" t="s">
        <v>97</v>
      </c>
      <c r="D10" s="17">
        <f>-_xlfn.XLOOKUP($C10,TB_NG!$E:$E,TB_NG!F:F)</f>
        <v>318104.65000000002</v>
      </c>
      <c r="E10" s="17">
        <f>-_xlfn.XLOOKUP($C10,TB_NG!$E:$E,TB_NG!G:G)</f>
        <v>282511.63</v>
      </c>
      <c r="F10" s="17">
        <f>-_xlfn.XLOOKUP($C10,TB_NG!$E:$E,TB_NG!H:H)</f>
        <v>0</v>
      </c>
      <c r="G10" s="17">
        <f>-_xlfn.XLOOKUP($C10,TB_NG!$E:$E,TB_NG!I:I)</f>
        <v>0</v>
      </c>
      <c r="H10" s="17">
        <f>-_xlfn.XLOOKUP($C10,TB_NG!$E:$E,TB_NG!J:J)</f>
        <v>670465.12</v>
      </c>
      <c r="I10" s="17">
        <f>-_xlfn.XLOOKUP($C10,TB_NG!$E:$E,TB_NG!K:K)</f>
        <v>91441.86</v>
      </c>
      <c r="J10" s="17">
        <f>-_xlfn.XLOOKUP($C10,TB_NG!$E:$E,TB_NG!L:L)</f>
        <v>93023.26</v>
      </c>
      <c r="K10" s="17">
        <f>-_xlfn.XLOOKUP($C10,TB_NG!$E:$E,TB_NG!M:M)</f>
        <v>460883.72</v>
      </c>
      <c r="L10" s="17">
        <f>-_xlfn.XLOOKUP($C10,TB_NG!$E:$E,TB_NG!N:N)</f>
        <v>232558.14</v>
      </c>
      <c r="M10" s="17">
        <f>-_xlfn.XLOOKUP($C10,TB_NG!$E:$E,TB_NG!O:O)</f>
        <v>186046.51</v>
      </c>
      <c r="N10" s="17">
        <f>-_xlfn.XLOOKUP($C10,TB_NG!$E:$E,TB_NG!P:P)</f>
        <v>0</v>
      </c>
      <c r="O10" s="17">
        <f>-_xlfn.XLOOKUP($C10,TB_NG!$E:$E,TB_NG!Q:Q)</f>
        <v>360267.44</v>
      </c>
      <c r="P10" s="17">
        <f>-_xlfn.XLOOKUP($C10,TB_NG!$E:$E,TB_NG!R:R)</f>
        <v>277209.3</v>
      </c>
      <c r="Q10" s="17">
        <f>-_xlfn.XLOOKUP($C10,TB_NG!$E:$E,TB_NG!S:S)</f>
        <v>278279.07</v>
      </c>
      <c r="R10" s="17">
        <f>-_xlfn.XLOOKUP($C10,TB_NG!$E:$E,TB_NG!T:T)</f>
        <v>836423.44000000018</v>
      </c>
      <c r="S10" s="17">
        <f>-_xlfn.XLOOKUP($C10,TB_NG!$E:$E,TB_NG!U:U)</f>
        <v>279069.77</v>
      </c>
      <c r="T10" s="17">
        <f>-_xlfn.XLOOKUP($C10,TB_NG!$E:$E,TB_NG!V:V)</f>
        <v>0</v>
      </c>
      <c r="U10" s="17">
        <f>-_xlfn.XLOOKUP($C10,TB_NG!$E:$E,TB_NG!W:W)</f>
        <v>0</v>
      </c>
      <c r="V10" s="17">
        <f>-_xlfn.XLOOKUP($C10,TB_NG!$E:$E,TB_NG!X:X)</f>
        <v>45720.93</v>
      </c>
      <c r="W10" s="17">
        <f>-_xlfn.XLOOKUP($C10,TB_NG!$E:$E,TB_NG!Y:Y)</f>
        <v>0</v>
      </c>
      <c r="X10" s="17">
        <f>-_xlfn.XLOOKUP($C10,TB_NG!$E:$E,TB_NG!Z:Z)</f>
        <v>-46511.63</v>
      </c>
      <c r="Y10" s="17">
        <f>-_xlfn.XLOOKUP($C10,TB_NG!$E:$E,TB_NG!AA:AA)</f>
        <v>0</v>
      </c>
      <c r="Z10" s="17">
        <f>-_xlfn.XLOOKUP($C10,TB_NG!$E:$E,TB_NG!AB:AB)</f>
        <v>0</v>
      </c>
      <c r="AA10" s="17">
        <f>-_xlfn.XLOOKUP($C10,TB_NG!$E:$E,TB_NG!AC:AC)</f>
        <v>0</v>
      </c>
      <c r="AB10" s="17">
        <f>-_xlfn.XLOOKUP($C10,TB_NG!$E:$E,TB_NG!AD:AD)</f>
        <v>0</v>
      </c>
      <c r="AC10" s="17">
        <f>-_xlfn.XLOOKUP($C10,TB_NG!$E:$E,TB_NG!AE:AE)</f>
        <v>0</v>
      </c>
      <c r="AD10" s="17">
        <f>-_xlfn.XLOOKUP($C10,TB_NG!$E:$E,TB_NG!AF:AF)</f>
        <v>0</v>
      </c>
      <c r="AE10" s="17">
        <f>-_xlfn.XLOOKUP($C10,TB_NG!$E:$E,TB_NG!AG:AG)</f>
        <v>0</v>
      </c>
      <c r="AF10" s="17">
        <f>-_xlfn.XLOOKUP($C10,TB_NG!$E:$E,TB_NG!AH:AH)</f>
        <v>0</v>
      </c>
      <c r="AG10" s="17">
        <f>-_xlfn.XLOOKUP($C10,TB_NG!$E:$E,TB_NG!AI:AI)</f>
        <v>0</v>
      </c>
      <c r="AH10" s="17">
        <f>-_xlfn.XLOOKUP($C10,TB_NG!$E:$E,TB_NG!AJ:AJ)</f>
        <v>0</v>
      </c>
      <c r="AI10" s="17">
        <f>-_xlfn.XLOOKUP($C10,TB_NG!$E:$E,TB_NG!AK:AK)</f>
        <v>0</v>
      </c>
      <c r="AJ10" s="17">
        <f>-_xlfn.XLOOKUP($C10,TB_NG!$E:$E,TB_NG!AL:AL)</f>
        <v>0</v>
      </c>
      <c r="AK10" s="17">
        <f>-_xlfn.XLOOKUP($C10,TB_NG!$E:$E,TB_NG!AM:AM)</f>
        <v>0</v>
      </c>
      <c r="AL10" s="17">
        <f>-_xlfn.XLOOKUP($C10,TB_NG!$E:$E,TB_NG!AN:AN)</f>
        <v>0</v>
      </c>
      <c r="AM10" s="17">
        <f>-_xlfn.XLOOKUP($C10,TB_NG!$E:$E,TB_NG!AO:AO)</f>
        <v>0</v>
      </c>
      <c r="AS10" s="17">
        <f t="shared" si="1"/>
        <v>2695302.3299999996</v>
      </c>
      <c r="AT10" s="17">
        <f t="shared" si="2"/>
        <v>1670190.8800000001</v>
      </c>
    </row>
    <row r="11" spans="2:46" x14ac:dyDescent="0.2">
      <c r="B11" s="21">
        <f>_xlfn.XLOOKUP($C11,TB_NG!$E:$E,TB_NG!A:A)</f>
        <v>40155</v>
      </c>
      <c r="C11" s="16" t="s">
        <v>98</v>
      </c>
      <c r="D11" s="17">
        <f>-_xlfn.XLOOKUP($C11,TB_NG!$E:$E,TB_NG!F:F)</f>
        <v>64801682.240000002</v>
      </c>
      <c r="E11" s="17">
        <f>-_xlfn.XLOOKUP($C11,TB_NG!$E:$E,TB_NG!G:G)</f>
        <v>272395971.13</v>
      </c>
      <c r="F11" s="17">
        <f>-_xlfn.XLOOKUP($C11,TB_NG!$E:$E,TB_NG!H:H)</f>
        <v>203769463</v>
      </c>
      <c r="G11" s="17">
        <f>-_xlfn.XLOOKUP($C11,TB_NG!$E:$E,TB_NG!I:I)</f>
        <v>187583071.31</v>
      </c>
      <c r="H11" s="17">
        <f>-_xlfn.XLOOKUP($C11,TB_NG!$E:$E,TB_NG!J:J)</f>
        <v>16202777.220000003</v>
      </c>
      <c r="I11" s="17">
        <f>-_xlfn.XLOOKUP($C11,TB_NG!$E:$E,TB_NG!K:K)</f>
        <v>7782409.6200000001</v>
      </c>
      <c r="J11" s="17">
        <f>-_xlfn.XLOOKUP($C11,TB_NG!$E:$E,TB_NG!L:L)</f>
        <v>580358.16</v>
      </c>
      <c r="K11" s="17">
        <f>-_xlfn.XLOOKUP($C11,TB_NG!$E:$E,TB_NG!M:M)</f>
        <v>58548978.049999997</v>
      </c>
      <c r="L11" s="17">
        <f>-_xlfn.XLOOKUP($C11,TB_NG!$E:$E,TB_NG!N:N)</f>
        <v>10393353.07</v>
      </c>
      <c r="M11" s="17">
        <f>-_xlfn.XLOOKUP($C11,TB_NG!$E:$E,TB_NG!O:O)</f>
        <v>9199126.2300000004</v>
      </c>
      <c r="N11" s="17">
        <f>-_xlfn.XLOOKUP($C11,TB_NG!$E:$E,TB_NG!P:P)</f>
        <v>51922181.310000002</v>
      </c>
      <c r="O11" s="17">
        <f>-_xlfn.XLOOKUP($C11,TB_NG!$E:$E,TB_NG!Q:Q)</f>
        <v>15612001.41</v>
      </c>
      <c r="P11" s="17">
        <f>-_xlfn.XLOOKUP($C11,TB_NG!$E:$E,TB_NG!R:R)</f>
        <v>0</v>
      </c>
      <c r="Q11" s="17">
        <f>-_xlfn.XLOOKUP($C11,TB_NG!$E:$E,TB_NG!S:S)</f>
        <v>0</v>
      </c>
      <c r="R11" s="17">
        <f>-_xlfn.XLOOKUP($C11,TB_NG!$E:$E,TB_NG!T:T)</f>
        <v>0</v>
      </c>
      <c r="S11" s="17">
        <f>-_xlfn.XLOOKUP($C11,TB_NG!$E:$E,TB_NG!U:U)</f>
        <v>0</v>
      </c>
      <c r="T11" s="17">
        <f>-_xlfn.XLOOKUP($C11,TB_NG!$E:$E,TB_NG!V:V)</f>
        <v>0</v>
      </c>
      <c r="U11" s="17">
        <f>-_xlfn.XLOOKUP($C11,TB_NG!$E:$E,TB_NG!W:W)</f>
        <v>0</v>
      </c>
      <c r="V11" s="17">
        <f>-_xlfn.XLOOKUP($C11,TB_NG!$E:$E,TB_NG!X:X)</f>
        <v>0</v>
      </c>
      <c r="W11" s="17">
        <f>-_xlfn.XLOOKUP($C11,TB_NG!$E:$E,TB_NG!Y:Y)</f>
        <v>0</v>
      </c>
      <c r="X11" s="17">
        <f>-_xlfn.XLOOKUP($C11,TB_NG!$E:$E,TB_NG!Z:Z)</f>
        <v>0</v>
      </c>
      <c r="Y11" s="17">
        <f>-_xlfn.XLOOKUP($C11,TB_NG!$E:$E,TB_NG!AA:AA)</f>
        <v>0</v>
      </c>
      <c r="Z11" s="17">
        <f>-_xlfn.XLOOKUP($C11,TB_NG!$E:$E,TB_NG!AB:AB)</f>
        <v>0</v>
      </c>
      <c r="AA11" s="17">
        <f>-_xlfn.XLOOKUP($C11,TB_NG!$E:$E,TB_NG!AC:AC)</f>
        <v>0</v>
      </c>
      <c r="AB11" s="17">
        <f>-_xlfn.XLOOKUP($C11,TB_NG!$E:$E,TB_NG!AD:AD)</f>
        <v>0</v>
      </c>
      <c r="AC11" s="17">
        <f>-_xlfn.XLOOKUP($C11,TB_NG!$E:$E,TB_NG!AE:AE)</f>
        <v>0</v>
      </c>
      <c r="AD11" s="17">
        <f>-_xlfn.XLOOKUP($C11,TB_NG!$E:$E,TB_NG!AF:AF)</f>
        <v>0</v>
      </c>
      <c r="AE11" s="17">
        <f>-_xlfn.XLOOKUP($C11,TB_NG!$E:$E,TB_NG!AG:AG)</f>
        <v>0</v>
      </c>
      <c r="AF11" s="17">
        <f>-_xlfn.XLOOKUP($C11,TB_NG!$E:$E,TB_NG!AH:AH)</f>
        <v>0</v>
      </c>
      <c r="AG11" s="17">
        <f>-_xlfn.XLOOKUP($C11,TB_NG!$E:$E,TB_NG!AI:AI)</f>
        <v>0</v>
      </c>
      <c r="AH11" s="17">
        <f>-_xlfn.XLOOKUP($C11,TB_NG!$E:$E,TB_NG!AJ:AJ)</f>
        <v>0</v>
      </c>
      <c r="AI11" s="17">
        <f>-_xlfn.XLOOKUP($C11,TB_NG!$E:$E,TB_NG!AK:AK)</f>
        <v>0</v>
      </c>
      <c r="AJ11" s="17">
        <f>-_xlfn.XLOOKUP($C11,TB_NG!$E:$E,TB_NG!AL:AL)</f>
        <v>0</v>
      </c>
      <c r="AK11" s="17">
        <f>-_xlfn.XLOOKUP($C11,TB_NG!$E:$E,TB_NG!AM:AM)</f>
        <v>0</v>
      </c>
      <c r="AL11" s="17">
        <f>-_xlfn.XLOOKUP($C11,TB_NG!$E:$E,TB_NG!AN:AN)</f>
        <v>0</v>
      </c>
      <c r="AM11" s="17">
        <f>-_xlfn.XLOOKUP($C11,TB_NG!$E:$E,TB_NG!AO:AO)</f>
        <v>0</v>
      </c>
      <c r="AS11" s="17">
        <f t="shared" si="1"/>
        <v>898791372.75000012</v>
      </c>
      <c r="AT11" s="17">
        <f t="shared" si="2"/>
        <v>0</v>
      </c>
    </row>
    <row r="12" spans="2:46" x14ac:dyDescent="0.2">
      <c r="B12" s="21">
        <f>_xlfn.XLOOKUP($C12,TB_NG!$E:$E,TB_NG!A:A)</f>
        <v>40095</v>
      </c>
      <c r="C12" s="16" t="s">
        <v>491</v>
      </c>
      <c r="D12" s="17">
        <f>-_xlfn.XLOOKUP($C12,TB_NG!$E:$E,TB_NG!F:F)</f>
        <v>0</v>
      </c>
      <c r="E12" s="17">
        <f>-_xlfn.XLOOKUP($C12,TB_NG!$E:$E,TB_NG!G:G)</f>
        <v>0</v>
      </c>
      <c r="F12" s="17">
        <f>-_xlfn.XLOOKUP($C12,TB_NG!$E:$E,TB_NG!H:H)</f>
        <v>0</v>
      </c>
      <c r="G12" s="17">
        <f>-_xlfn.XLOOKUP($C12,TB_NG!$E:$E,TB_NG!I:I)</f>
        <v>0</v>
      </c>
      <c r="H12" s="17">
        <f>-_xlfn.XLOOKUP($C12,TB_NG!$E:$E,TB_NG!J:J)</f>
        <v>0</v>
      </c>
      <c r="I12" s="17">
        <f>-_xlfn.XLOOKUP($C12,TB_NG!$E:$E,TB_NG!K:K)</f>
        <v>0</v>
      </c>
      <c r="J12" s="17">
        <f>-_xlfn.XLOOKUP($C12,TB_NG!$E:$E,TB_NG!L:L)</f>
        <v>0</v>
      </c>
      <c r="K12" s="17">
        <f>-_xlfn.XLOOKUP($C12,TB_NG!$E:$E,TB_NG!M:M)</f>
        <v>0</v>
      </c>
      <c r="L12" s="17">
        <f>-_xlfn.XLOOKUP($C12,TB_NG!$E:$E,TB_NG!N:N)</f>
        <v>0</v>
      </c>
      <c r="M12" s="17">
        <f>-_xlfn.XLOOKUP($C12,TB_NG!$E:$E,TB_NG!O:O)</f>
        <v>0</v>
      </c>
      <c r="N12" s="17">
        <f>-_xlfn.XLOOKUP($C12,TB_NG!$E:$E,TB_NG!P:P)</f>
        <v>0</v>
      </c>
      <c r="O12" s="17">
        <f>-_xlfn.XLOOKUP($C12,TB_NG!$E:$E,TB_NG!Q:Q)</f>
        <v>0</v>
      </c>
      <c r="P12" s="17">
        <f>-_xlfn.XLOOKUP($C12,TB_NG!$E:$E,TB_NG!R:R)</f>
        <v>0</v>
      </c>
      <c r="Q12" s="17">
        <f>-_xlfn.XLOOKUP($C12,TB_NG!$E:$E,TB_NG!S:S)</f>
        <v>303000</v>
      </c>
      <c r="R12" s="17">
        <f>-_xlfn.XLOOKUP($C12,TB_NG!$E:$E,TB_NG!T:T)</f>
        <v>6976744.1900000004</v>
      </c>
      <c r="S12" s="17">
        <f>-_xlfn.XLOOKUP($C12,TB_NG!$E:$E,TB_NG!U:U)</f>
        <v>8930232.5600000005</v>
      </c>
      <c r="T12" s="17">
        <f>-_xlfn.XLOOKUP($C12,TB_NG!$E:$E,TB_NG!V:V)</f>
        <v>7534883.7800000003</v>
      </c>
      <c r="U12" s="17">
        <f>-_xlfn.XLOOKUP($C12,TB_NG!$E:$E,TB_NG!W:W)</f>
        <v>0</v>
      </c>
      <c r="V12" s="17">
        <f>-_xlfn.XLOOKUP($C12,TB_NG!$E:$E,TB_NG!X:X)</f>
        <v>14511628.029999999</v>
      </c>
      <c r="W12" s="17">
        <f>-_xlfn.XLOOKUP($C12,TB_NG!$E:$E,TB_NG!Y:Y)</f>
        <v>0</v>
      </c>
      <c r="X12" s="17">
        <f>-_xlfn.XLOOKUP($C12,TB_NG!$E:$E,TB_NG!Z:Z)</f>
        <v>837209.3</v>
      </c>
      <c r="Y12" s="17">
        <f>-_xlfn.XLOOKUP($C12,TB_NG!$E:$E,TB_NG!AA:AA)</f>
        <v>0</v>
      </c>
      <c r="Z12" s="17">
        <f>-_xlfn.XLOOKUP($C12,TB_NG!$E:$E,TB_NG!AB:AB)</f>
        <v>279069.77</v>
      </c>
      <c r="AA12" s="17">
        <f>-_xlfn.XLOOKUP($C12,TB_NG!$E:$E,TB_NG!AC:AC)</f>
        <v>289069.77</v>
      </c>
      <c r="AB12" s="17">
        <f>-_xlfn.XLOOKUP($C12,TB_NG!$E:$E,TB_NG!AD:AD)</f>
        <v>837209.29999999888</v>
      </c>
      <c r="AC12" s="17">
        <f>-_xlfn.XLOOKUP($C12,TB_NG!$E:$E,TB_NG!AE:AE)</f>
        <v>8093023.2599999998</v>
      </c>
      <c r="AD12" s="17">
        <f>-_xlfn.XLOOKUP($C12,TB_NG!$E:$E,TB_NG!AF:AF)</f>
        <v>0</v>
      </c>
      <c r="AE12" s="17">
        <f>-_xlfn.XLOOKUP($C12,TB_NG!$E:$E,TB_NG!AG:AG)</f>
        <v>539534.88</v>
      </c>
      <c r="AF12" s="17">
        <f>-_xlfn.XLOOKUP($C12,TB_NG!$E:$E,TB_NG!AH:AH)</f>
        <v>0</v>
      </c>
      <c r="AG12" s="17">
        <f>-_xlfn.XLOOKUP($C12,TB_NG!$E:$E,TB_NG!AI:AI)</f>
        <v>0</v>
      </c>
      <c r="AH12" s="17">
        <f>-_xlfn.XLOOKUP($C12,TB_NG!$E:$E,TB_NG!AJ:AJ)</f>
        <v>0</v>
      </c>
      <c r="AI12" s="17">
        <f>-_xlfn.XLOOKUP($C12,TB_NG!$E:$E,TB_NG!AK:AK)</f>
        <v>0</v>
      </c>
      <c r="AJ12" s="17">
        <f>-_xlfn.XLOOKUP($C12,TB_NG!$E:$E,TB_NG!AL:AL)</f>
        <v>0</v>
      </c>
      <c r="AK12" s="17">
        <f>-_xlfn.XLOOKUP($C12,TB_NG!$E:$E,TB_NG!AM:AM)</f>
        <v>0</v>
      </c>
      <c r="AL12" s="17">
        <f>-_xlfn.XLOOKUP($C12,TB_NG!$E:$E,TB_NG!AN:AN)</f>
        <v>0</v>
      </c>
      <c r="AM12" s="17">
        <f>-_xlfn.XLOOKUP($C12,TB_NG!$E:$E,TB_NG!AO:AO)</f>
        <v>0</v>
      </c>
      <c r="AS12" s="17">
        <f t="shared" si="1"/>
        <v>0</v>
      </c>
      <c r="AT12" s="17">
        <f t="shared" si="2"/>
        <v>39661837.400000006</v>
      </c>
    </row>
    <row r="13" spans="2:46" x14ac:dyDescent="0.2">
      <c r="B13" s="21">
        <f>_xlfn.XLOOKUP($C13,TB_NG!$E:$E,TB_NG!A:A)</f>
        <v>40161</v>
      </c>
      <c r="C13" s="16" t="s">
        <v>99</v>
      </c>
      <c r="D13" s="17">
        <f>-_xlfn.XLOOKUP($C13,TB_NG!$E:$E,TB_NG!F:F)</f>
        <v>0</v>
      </c>
      <c r="E13" s="17">
        <f>-_xlfn.XLOOKUP($C13,TB_NG!$E:$E,TB_NG!G:G)</f>
        <v>0</v>
      </c>
      <c r="F13" s="17">
        <f>-_xlfn.XLOOKUP($C13,TB_NG!$E:$E,TB_NG!H:H)</f>
        <v>0</v>
      </c>
      <c r="G13" s="17">
        <f>-_xlfn.XLOOKUP($C13,TB_NG!$E:$E,TB_NG!I:I)</f>
        <v>0</v>
      </c>
      <c r="H13" s="17">
        <f>-_xlfn.XLOOKUP($C13,TB_NG!$E:$E,TB_NG!J:J)</f>
        <v>0</v>
      </c>
      <c r="I13" s="17">
        <f>-_xlfn.XLOOKUP($C13,TB_NG!$E:$E,TB_NG!K:K)</f>
        <v>0</v>
      </c>
      <c r="J13" s="17">
        <f>-_xlfn.XLOOKUP($C13,TB_NG!$E:$E,TB_NG!L:L)</f>
        <v>0</v>
      </c>
      <c r="K13" s="17">
        <f>-_xlfn.XLOOKUP($C13,TB_NG!$E:$E,TB_NG!M:M)</f>
        <v>0</v>
      </c>
      <c r="L13" s="17">
        <f>-_xlfn.XLOOKUP($C13,TB_NG!$E:$E,TB_NG!N:N)</f>
        <v>0</v>
      </c>
      <c r="M13" s="17">
        <f>-_xlfn.XLOOKUP($C13,TB_NG!$E:$E,TB_NG!O:O)</f>
        <v>0</v>
      </c>
      <c r="N13" s="17">
        <f>-_xlfn.XLOOKUP($C13,TB_NG!$E:$E,TB_NG!P:P)</f>
        <v>0</v>
      </c>
      <c r="O13" s="17">
        <f>-_xlfn.XLOOKUP($C13,TB_NG!$E:$E,TB_NG!Q:Q)</f>
        <v>0</v>
      </c>
      <c r="P13" s="17">
        <f>-_xlfn.XLOOKUP($C13,TB_NG!$E:$E,TB_NG!R:R)</f>
        <v>85691343.159999996</v>
      </c>
      <c r="Q13" s="17">
        <f>-_xlfn.XLOOKUP($C13,TB_NG!$E:$E,TB_NG!S:S)</f>
        <v>97435401.840000004</v>
      </c>
      <c r="R13" s="17">
        <f>-_xlfn.XLOOKUP($C13,TB_NG!$E:$E,TB_NG!T:T)</f>
        <v>100125370.29000001</v>
      </c>
      <c r="S13" s="17">
        <f>-_xlfn.XLOOKUP($C13,TB_NG!$E:$E,TB_NG!U:U)</f>
        <v>144786586.78</v>
      </c>
      <c r="T13" s="17">
        <f>-_xlfn.XLOOKUP($C13,TB_NG!$E:$E,TB_NG!V:V)</f>
        <v>78252950.219999999</v>
      </c>
      <c r="U13" s="17">
        <f>-_xlfn.XLOOKUP($C13,TB_NG!$E:$E,TB_NG!W:W)</f>
        <v>31036614.120000001</v>
      </c>
      <c r="V13" s="17">
        <f>-_xlfn.XLOOKUP($C13,TB_NG!$E:$E,TB_NG!X:X)</f>
        <v>59746304.189999998</v>
      </c>
      <c r="W13" s="17">
        <f>-_xlfn.XLOOKUP($C13,TB_NG!$E:$E,TB_NG!Y:Y)</f>
        <v>43269404.280000001</v>
      </c>
      <c r="X13" s="17">
        <f>-_xlfn.XLOOKUP($C13,TB_NG!$E:$E,TB_NG!Z:Z)</f>
        <v>196474253.28999999</v>
      </c>
      <c r="Y13" s="17">
        <f>-_xlfn.XLOOKUP($C13,TB_NG!$E:$E,TB_NG!AA:AA)</f>
        <v>508492066.73000002</v>
      </c>
      <c r="Z13" s="17">
        <f>-_xlfn.XLOOKUP($C13,TB_NG!$E:$E,TB_NG!AB:AB)</f>
        <v>109696885.64000002</v>
      </c>
      <c r="AA13" s="17">
        <f>-_xlfn.XLOOKUP($C13,TB_NG!$E:$E,TB_NG!AC:AC)</f>
        <v>95359504.679999992</v>
      </c>
      <c r="AB13" s="17">
        <f>-_xlfn.XLOOKUP($C13,TB_NG!$E:$E,TB_NG!AD:AD)</f>
        <v>509148230.61000001</v>
      </c>
      <c r="AC13" s="17">
        <f>-_xlfn.XLOOKUP($C13,TB_NG!$E:$E,TB_NG!AE:AE)</f>
        <v>587609832.84000003</v>
      </c>
      <c r="AD13" s="17">
        <f>-_xlfn.XLOOKUP($C13,TB_NG!$E:$E,TB_NG!AF:AF)</f>
        <v>370592133.63</v>
      </c>
      <c r="AE13" s="17">
        <f>-_xlfn.XLOOKUP($C13,TB_NG!$E:$E,TB_NG!AG:AG)</f>
        <v>142500282.04000002</v>
      </c>
      <c r="AF13" s="17">
        <f>-_xlfn.XLOOKUP($C13,TB_NG!$E:$E,TB_NG!AH:AH)</f>
        <v>0</v>
      </c>
      <c r="AG13" s="17">
        <f>-_xlfn.XLOOKUP($C13,TB_NG!$E:$E,TB_NG!AI:AI)</f>
        <v>0</v>
      </c>
      <c r="AH13" s="17">
        <f>-_xlfn.XLOOKUP($C13,TB_NG!$E:$E,TB_NG!AJ:AJ)</f>
        <v>0</v>
      </c>
      <c r="AI13" s="17">
        <f>-_xlfn.XLOOKUP($C13,TB_NG!$E:$E,TB_NG!AK:AK)</f>
        <v>0</v>
      </c>
      <c r="AJ13" s="17">
        <f>-_xlfn.XLOOKUP($C13,TB_NG!$E:$E,TB_NG!AL:AL)</f>
        <v>0</v>
      </c>
      <c r="AK13" s="17">
        <f>-_xlfn.XLOOKUP($C13,TB_NG!$E:$E,TB_NG!AM:AM)</f>
        <v>0</v>
      </c>
      <c r="AL13" s="17">
        <f>-_xlfn.XLOOKUP($C13,TB_NG!$E:$E,TB_NG!AN:AN)</f>
        <v>0</v>
      </c>
      <c r="AM13" s="17">
        <f>-_xlfn.XLOOKUP($C13,TB_NG!$E:$E,TB_NG!AO:AO)</f>
        <v>0</v>
      </c>
      <c r="AS13" s="17">
        <f t="shared" si="1"/>
        <v>0</v>
      </c>
      <c r="AT13" s="17">
        <f t="shared" si="2"/>
        <v>1550366685.2200003</v>
      </c>
    </row>
    <row r="14" spans="2:46" x14ac:dyDescent="0.2">
      <c r="B14" s="21">
        <f>_xlfn.XLOOKUP($C14,TB_NG!$E:$E,TB_NG!A:A)</f>
        <v>40162</v>
      </c>
      <c r="C14" s="16" t="s">
        <v>100</v>
      </c>
      <c r="D14" s="17">
        <f>-_xlfn.XLOOKUP($C14,TB_NG!$E:$E,TB_NG!F:F)</f>
        <v>0</v>
      </c>
      <c r="E14" s="17">
        <f>-_xlfn.XLOOKUP($C14,TB_NG!$E:$E,TB_NG!G:G)</f>
        <v>0</v>
      </c>
      <c r="F14" s="17">
        <f>-_xlfn.XLOOKUP($C14,TB_NG!$E:$E,TB_NG!H:H)</f>
        <v>0</v>
      </c>
      <c r="G14" s="17">
        <f>-_xlfn.XLOOKUP($C14,TB_NG!$E:$E,TB_NG!I:I)</f>
        <v>0</v>
      </c>
      <c r="H14" s="17">
        <f>-_xlfn.XLOOKUP($C14,TB_NG!$E:$E,TB_NG!J:J)</f>
        <v>0</v>
      </c>
      <c r="I14" s="17">
        <f>-_xlfn.XLOOKUP($C14,TB_NG!$E:$E,TB_NG!K:K)</f>
        <v>0</v>
      </c>
      <c r="J14" s="17">
        <f>-_xlfn.XLOOKUP($C14,TB_NG!$E:$E,TB_NG!L:L)</f>
        <v>0</v>
      </c>
      <c r="K14" s="17">
        <f>-_xlfn.XLOOKUP($C14,TB_NG!$E:$E,TB_NG!M:M)</f>
        <v>0</v>
      </c>
      <c r="L14" s="17">
        <f>-_xlfn.XLOOKUP($C14,TB_NG!$E:$E,TB_NG!N:N)</f>
        <v>0</v>
      </c>
      <c r="M14" s="17">
        <f>-_xlfn.XLOOKUP($C14,TB_NG!$E:$E,TB_NG!O:O)</f>
        <v>0</v>
      </c>
      <c r="N14" s="17">
        <f>-_xlfn.XLOOKUP($C14,TB_NG!$E:$E,TB_NG!P:P)</f>
        <v>0</v>
      </c>
      <c r="O14" s="17">
        <f>-_xlfn.XLOOKUP($C14,TB_NG!$E:$E,TB_NG!Q:Q)</f>
        <v>0</v>
      </c>
      <c r="P14" s="17">
        <f>-_xlfn.XLOOKUP($C14,TB_NG!$E:$E,TB_NG!R:R)</f>
        <v>98724661.549999997</v>
      </c>
      <c r="Q14" s="17">
        <f>-_xlfn.XLOOKUP($C14,TB_NG!$E:$E,TB_NG!S:S)</f>
        <v>98724661.549999997</v>
      </c>
      <c r="R14" s="17">
        <f>-_xlfn.XLOOKUP($C14,TB_NG!$E:$E,TB_NG!T:T)</f>
        <v>113414116.79000001</v>
      </c>
      <c r="S14" s="17">
        <f>-_xlfn.XLOOKUP($C14,TB_NG!$E:$E,TB_NG!U:U)</f>
        <v>88704328.430000007</v>
      </c>
      <c r="T14" s="17">
        <f>-_xlfn.XLOOKUP($C14,TB_NG!$E:$E,TB_NG!V:V)</f>
        <v>88704328.430000007</v>
      </c>
      <c r="U14" s="17">
        <f>-_xlfn.XLOOKUP($C14,TB_NG!$E:$E,TB_NG!W:W)</f>
        <v>88704328.430000007</v>
      </c>
      <c r="V14" s="17">
        <f>-_xlfn.XLOOKUP($C14,TB_NG!$E:$E,TB_NG!X:X)</f>
        <v>113945656.47999999</v>
      </c>
      <c r="W14" s="17">
        <f>-_xlfn.XLOOKUP($C14,TB_NG!$E:$E,TB_NG!Y:Y)</f>
        <v>99955995.099999994</v>
      </c>
      <c r="X14" s="17">
        <f>-_xlfn.XLOOKUP($C14,TB_NG!$E:$E,TB_NG!Z:Z)</f>
        <v>183672892.78</v>
      </c>
      <c r="Y14" s="17">
        <f>-_xlfn.XLOOKUP($C14,TB_NG!$E:$E,TB_NG!AA:AA)</f>
        <v>228666440.90000001</v>
      </c>
      <c r="Z14" s="17">
        <f>-_xlfn.XLOOKUP($C14,TB_NG!$E:$E,TB_NG!AB:AB)</f>
        <v>194540540.38</v>
      </c>
      <c r="AA14" s="17">
        <f>-_xlfn.XLOOKUP($C14,TB_NG!$E:$E,TB_NG!AC:AC)</f>
        <v>164041756.19</v>
      </c>
      <c r="AB14" s="17">
        <f>-_xlfn.XLOOKUP($C14,TB_NG!$E:$E,TB_NG!AD:AD)</f>
        <v>175815249.25999999</v>
      </c>
      <c r="AC14" s="17">
        <f>-_xlfn.XLOOKUP($C14,TB_NG!$E:$E,TB_NG!AE:AE)</f>
        <v>144469368.19</v>
      </c>
      <c r="AD14" s="17">
        <f>-_xlfn.XLOOKUP($C14,TB_NG!$E:$E,TB_NG!AF:AF)</f>
        <v>151509898.69</v>
      </c>
      <c r="AE14" s="17">
        <f>-_xlfn.XLOOKUP($C14,TB_NG!$E:$E,TB_NG!AG:AG)</f>
        <v>203556268.21000001</v>
      </c>
      <c r="AF14" s="17">
        <f>-_xlfn.XLOOKUP($C14,TB_NG!$E:$E,TB_NG!AH:AH)</f>
        <v>0</v>
      </c>
      <c r="AG14" s="17">
        <f>-_xlfn.XLOOKUP($C14,TB_NG!$E:$E,TB_NG!AI:AI)</f>
        <v>0</v>
      </c>
      <c r="AH14" s="17">
        <f>-_xlfn.XLOOKUP($C14,TB_NG!$E:$E,TB_NG!AJ:AJ)</f>
        <v>0</v>
      </c>
      <c r="AI14" s="17">
        <f>-_xlfn.XLOOKUP($C14,TB_NG!$E:$E,TB_NG!AK:AK)</f>
        <v>0</v>
      </c>
      <c r="AJ14" s="17">
        <f>-_xlfn.XLOOKUP($C14,TB_NG!$E:$E,TB_NG!AL:AL)</f>
        <v>0</v>
      </c>
      <c r="AK14" s="17">
        <f>-_xlfn.XLOOKUP($C14,TB_NG!$E:$E,TB_NG!AM:AM)</f>
        <v>0</v>
      </c>
      <c r="AL14" s="17">
        <f>-_xlfn.XLOOKUP($C14,TB_NG!$E:$E,TB_NG!AN:AN)</f>
        <v>0</v>
      </c>
      <c r="AM14" s="17">
        <f>-_xlfn.XLOOKUP($C14,TB_NG!$E:$E,TB_NG!AO:AO)</f>
        <v>0</v>
      </c>
      <c r="AS14" s="17">
        <f t="shared" si="1"/>
        <v>0</v>
      </c>
      <c r="AT14" s="17">
        <f t="shared" si="2"/>
        <v>1561799707.0100002</v>
      </c>
    </row>
    <row r="15" spans="2:46" x14ac:dyDescent="0.2">
      <c r="B15" s="21">
        <f>_xlfn.XLOOKUP($C15,TB_NG!$E:$E,TB_NG!A:A)</f>
        <v>40163</v>
      </c>
      <c r="C15" s="16" t="s">
        <v>101</v>
      </c>
      <c r="D15" s="17">
        <f>-_xlfn.XLOOKUP($C15,TB_NG!$E:$E,TB_NG!F:F)</f>
        <v>0</v>
      </c>
      <c r="E15" s="17">
        <f>-_xlfn.XLOOKUP($C15,TB_NG!$E:$E,TB_NG!G:G)</f>
        <v>0</v>
      </c>
      <c r="F15" s="17">
        <f>-_xlfn.XLOOKUP($C15,TB_NG!$E:$E,TB_NG!H:H)</f>
        <v>0</v>
      </c>
      <c r="G15" s="17">
        <f>-_xlfn.XLOOKUP($C15,TB_NG!$E:$E,TB_NG!I:I)</f>
        <v>0</v>
      </c>
      <c r="H15" s="17">
        <f>-_xlfn.XLOOKUP($C15,TB_NG!$E:$E,TB_NG!J:J)</f>
        <v>0</v>
      </c>
      <c r="I15" s="17">
        <f>-_xlfn.XLOOKUP($C15,TB_NG!$E:$E,TB_NG!K:K)</f>
        <v>0</v>
      </c>
      <c r="J15" s="17">
        <f>-_xlfn.XLOOKUP($C15,TB_NG!$E:$E,TB_NG!L:L)</f>
        <v>0</v>
      </c>
      <c r="K15" s="17">
        <f>-_xlfn.XLOOKUP($C15,TB_NG!$E:$E,TB_NG!M:M)</f>
        <v>0</v>
      </c>
      <c r="L15" s="17">
        <f>-_xlfn.XLOOKUP($C15,TB_NG!$E:$E,TB_NG!N:N)</f>
        <v>0</v>
      </c>
      <c r="M15" s="17">
        <f>-_xlfn.XLOOKUP($C15,TB_NG!$E:$E,TB_NG!O:O)</f>
        <v>0</v>
      </c>
      <c r="N15" s="17">
        <f>-_xlfn.XLOOKUP($C15,TB_NG!$E:$E,TB_NG!P:P)</f>
        <v>0</v>
      </c>
      <c r="O15" s="17">
        <f>-_xlfn.XLOOKUP($C15,TB_NG!$E:$E,TB_NG!Q:Q)</f>
        <v>0</v>
      </c>
      <c r="P15" s="17">
        <f>-_xlfn.XLOOKUP($C15,TB_NG!$E:$E,TB_NG!R:R)</f>
        <v>28282066.609999999</v>
      </c>
      <c r="Q15" s="17">
        <f>-_xlfn.XLOOKUP($C15,TB_NG!$E:$E,TB_NG!S:S)</f>
        <v>0</v>
      </c>
      <c r="R15" s="17">
        <f>-_xlfn.XLOOKUP($C15,TB_NG!$E:$E,TB_NG!T:T)</f>
        <v>757046.50999999791</v>
      </c>
      <c r="S15" s="17">
        <f>-_xlfn.XLOOKUP($C15,TB_NG!$E:$E,TB_NG!U:U)</f>
        <v>0</v>
      </c>
      <c r="T15" s="17">
        <f>-_xlfn.XLOOKUP($C15,TB_NG!$E:$E,TB_NG!V:V)</f>
        <v>0</v>
      </c>
      <c r="U15" s="17">
        <f>-_xlfn.XLOOKUP($C15,TB_NG!$E:$E,TB_NG!W:W)</f>
        <v>0</v>
      </c>
      <c r="V15" s="17">
        <f>-_xlfn.XLOOKUP($C15,TB_NG!$E:$E,TB_NG!X:X)</f>
        <v>20915224.899999999</v>
      </c>
      <c r="W15" s="17">
        <f>-_xlfn.XLOOKUP($C15,TB_NG!$E:$E,TB_NG!Y:Y)</f>
        <v>40763110.369999997</v>
      </c>
      <c r="X15" s="17">
        <f>-_xlfn.XLOOKUP($C15,TB_NG!$E:$E,TB_NG!Z:Z)</f>
        <v>20258364.849999998</v>
      </c>
      <c r="Y15" s="17">
        <f>-_xlfn.XLOOKUP($C15,TB_NG!$E:$E,TB_NG!AA:AA)</f>
        <v>17665110.609999999</v>
      </c>
      <c r="Z15" s="17">
        <f>-_xlfn.XLOOKUP($C15,TB_NG!$E:$E,TB_NG!AB:AB)</f>
        <v>18090639.48</v>
      </c>
      <c r="AA15" s="17">
        <f>-_xlfn.XLOOKUP($C15,TB_NG!$E:$E,TB_NG!AC:AC)</f>
        <v>52385123.599999994</v>
      </c>
      <c r="AB15" s="17">
        <f>-_xlfn.XLOOKUP($C15,TB_NG!$E:$E,TB_NG!AD:AD)</f>
        <v>27079335.390000001</v>
      </c>
      <c r="AC15" s="17">
        <f>-_xlfn.XLOOKUP($C15,TB_NG!$E:$E,TB_NG!AE:AE)</f>
        <v>16963638.57</v>
      </c>
      <c r="AD15" s="17">
        <f>-_xlfn.XLOOKUP($C15,TB_NG!$E:$E,TB_NG!AF:AF)</f>
        <v>26958203.530000001</v>
      </c>
      <c r="AE15" s="17">
        <f>-_xlfn.XLOOKUP($C15,TB_NG!$E:$E,TB_NG!AG:AG)</f>
        <v>-2224747.4499999993</v>
      </c>
      <c r="AF15" s="17">
        <f>-_xlfn.XLOOKUP($C15,TB_NG!$E:$E,TB_NG!AH:AH)</f>
        <v>0</v>
      </c>
      <c r="AG15" s="17">
        <f>-_xlfn.XLOOKUP($C15,TB_NG!$E:$E,TB_NG!AI:AI)</f>
        <v>0</v>
      </c>
      <c r="AH15" s="17">
        <f>-_xlfn.XLOOKUP($C15,TB_NG!$E:$E,TB_NG!AJ:AJ)</f>
        <v>0</v>
      </c>
      <c r="AI15" s="17">
        <f>-_xlfn.XLOOKUP($C15,TB_NG!$E:$E,TB_NG!AK:AK)</f>
        <v>0</v>
      </c>
      <c r="AJ15" s="17">
        <f>-_xlfn.XLOOKUP($C15,TB_NG!$E:$E,TB_NG!AL:AL)</f>
        <v>0</v>
      </c>
      <c r="AK15" s="17">
        <f>-_xlfn.XLOOKUP($C15,TB_NG!$E:$E,TB_NG!AM:AM)</f>
        <v>0</v>
      </c>
      <c r="AL15" s="17">
        <f>-_xlfn.XLOOKUP($C15,TB_NG!$E:$E,TB_NG!AN:AN)</f>
        <v>0</v>
      </c>
      <c r="AM15" s="17">
        <f>-_xlfn.XLOOKUP($C15,TB_NG!$E:$E,TB_NG!AO:AO)</f>
        <v>0</v>
      </c>
      <c r="AS15" s="17">
        <f t="shared" si="1"/>
        <v>0</v>
      </c>
      <c r="AT15" s="17">
        <f t="shared" si="2"/>
        <v>199116686.92999998</v>
      </c>
    </row>
    <row r="16" spans="2:46" x14ac:dyDescent="0.2">
      <c r="B16" s="21">
        <f>_xlfn.XLOOKUP($C16,TB_NG!$E:$E,TB_NG!A:A)</f>
        <v>40166</v>
      </c>
      <c r="C16" s="16" t="s">
        <v>504</v>
      </c>
      <c r="D16" s="17">
        <f>-_xlfn.XLOOKUP($C16,TB_NG!$E:$E,TB_NG!F:F)</f>
        <v>0</v>
      </c>
      <c r="E16" s="17">
        <f>-_xlfn.XLOOKUP($C16,TB_NG!$E:$E,TB_NG!G:G)</f>
        <v>0</v>
      </c>
      <c r="F16" s="17">
        <f>-_xlfn.XLOOKUP($C16,TB_NG!$E:$E,TB_NG!H:H)</f>
        <v>0</v>
      </c>
      <c r="G16" s="17">
        <f>-_xlfn.XLOOKUP($C16,TB_NG!$E:$E,TB_NG!I:I)</f>
        <v>0</v>
      </c>
      <c r="H16" s="17">
        <f>-_xlfn.XLOOKUP($C16,TB_NG!$E:$E,TB_NG!J:J)</f>
        <v>0</v>
      </c>
      <c r="I16" s="17">
        <f>-_xlfn.XLOOKUP($C16,TB_NG!$E:$E,TB_NG!K:K)</f>
        <v>0</v>
      </c>
      <c r="J16" s="17">
        <f>-_xlfn.XLOOKUP($C16,TB_NG!$E:$E,TB_NG!L:L)</f>
        <v>0</v>
      </c>
      <c r="K16" s="17">
        <f>-_xlfn.XLOOKUP($C16,TB_NG!$E:$E,TB_NG!M:M)</f>
        <v>0</v>
      </c>
      <c r="L16" s="17">
        <f>-_xlfn.XLOOKUP($C16,TB_NG!$E:$E,TB_NG!N:N)</f>
        <v>0</v>
      </c>
      <c r="M16" s="17">
        <f>-_xlfn.XLOOKUP($C16,TB_NG!$E:$E,TB_NG!O:O)</f>
        <v>0</v>
      </c>
      <c r="N16" s="17">
        <f>-_xlfn.XLOOKUP($C16,TB_NG!$E:$E,TB_NG!P:P)</f>
        <v>0</v>
      </c>
      <c r="O16" s="17">
        <f>-_xlfn.XLOOKUP($C16,TB_NG!$E:$E,TB_NG!Q:Q)</f>
        <v>0</v>
      </c>
      <c r="P16" s="17">
        <f>-_xlfn.XLOOKUP($C16,TB_NG!$E:$E,TB_NG!R:R)</f>
        <v>0</v>
      </c>
      <c r="Q16" s="17">
        <f>-_xlfn.XLOOKUP($C16,TB_NG!$E:$E,TB_NG!S:S)</f>
        <v>0</v>
      </c>
      <c r="R16" s="17">
        <f>-_xlfn.XLOOKUP($C16,TB_NG!$E:$E,TB_NG!T:T)</f>
        <v>0</v>
      </c>
      <c r="S16" s="17">
        <f>-_xlfn.XLOOKUP($C16,TB_NG!$E:$E,TB_NG!U:U)</f>
        <v>0</v>
      </c>
      <c r="T16" s="17">
        <f>-_xlfn.XLOOKUP($C16,TB_NG!$E:$E,TB_NG!V:V)</f>
        <v>0</v>
      </c>
      <c r="U16" s="17">
        <f>-_xlfn.XLOOKUP($C16,TB_NG!$E:$E,TB_NG!W:W)</f>
        <v>0</v>
      </c>
      <c r="V16" s="17">
        <f>-_xlfn.XLOOKUP($C16,TB_NG!$E:$E,TB_NG!X:X)</f>
        <v>0</v>
      </c>
      <c r="W16" s="17">
        <f>-_xlfn.XLOOKUP($C16,TB_NG!$E:$E,TB_NG!Y:Y)</f>
        <v>0</v>
      </c>
      <c r="X16" s="17">
        <f>-_xlfn.XLOOKUP($C16,TB_NG!$E:$E,TB_NG!Z:Z)</f>
        <v>0</v>
      </c>
      <c r="Y16" s="17">
        <f>-_xlfn.XLOOKUP($C16,TB_NG!$E:$E,TB_NG!AA:AA)</f>
        <v>179549.99</v>
      </c>
      <c r="Z16" s="17">
        <f>-_xlfn.XLOOKUP($C16,TB_NG!$E:$E,TB_NG!AB:AB)</f>
        <v>59986.95</v>
      </c>
      <c r="AA16" s="17">
        <f>-_xlfn.XLOOKUP($C16,TB_NG!$E:$E,TB_NG!AC:AC)</f>
        <v>61293.21</v>
      </c>
      <c r="AB16" s="17">
        <f>-_xlfn.XLOOKUP($C16,TB_NG!$E:$E,TB_NG!AD:AD)</f>
        <v>59742.19</v>
      </c>
      <c r="AC16" s="17">
        <f>-_xlfn.XLOOKUP($C16,TB_NG!$E:$E,TB_NG!AE:AE)</f>
        <v>57318.349999999991</v>
      </c>
      <c r="AD16" s="17">
        <f>-_xlfn.XLOOKUP($C16,TB_NG!$E:$E,TB_NG!AF:AF)</f>
        <v>57292.65</v>
      </c>
      <c r="AE16" s="17">
        <f>-_xlfn.XLOOKUP($C16,TB_NG!$E:$E,TB_NG!AG:AG)</f>
        <v>58138.83</v>
      </c>
      <c r="AF16" s="17">
        <f>-_xlfn.XLOOKUP($C16,TB_NG!$E:$E,TB_NG!AH:AH)</f>
        <v>0</v>
      </c>
      <c r="AG16" s="17">
        <f>-_xlfn.XLOOKUP($C16,TB_NG!$E:$E,TB_NG!AI:AI)</f>
        <v>0</v>
      </c>
      <c r="AH16" s="17">
        <f>-_xlfn.XLOOKUP($C16,TB_NG!$E:$E,TB_NG!AJ:AJ)</f>
        <v>0</v>
      </c>
      <c r="AI16" s="17">
        <f>-_xlfn.XLOOKUP($C16,TB_NG!$E:$E,TB_NG!AK:AK)</f>
        <v>0</v>
      </c>
      <c r="AJ16" s="17">
        <f>-_xlfn.XLOOKUP($C16,TB_NG!$E:$E,TB_NG!AL:AL)</f>
        <v>0</v>
      </c>
      <c r="AK16" s="17">
        <f>-_xlfn.XLOOKUP($C16,TB_NG!$E:$E,TB_NG!AM:AM)</f>
        <v>0</v>
      </c>
      <c r="AL16" s="17">
        <f>-_xlfn.XLOOKUP($C16,TB_NG!$E:$E,TB_NG!AN:AN)</f>
        <v>0</v>
      </c>
      <c r="AM16" s="17">
        <f>-_xlfn.XLOOKUP($C16,TB_NG!$E:$E,TB_NG!AO:AO)</f>
        <v>0</v>
      </c>
      <c r="AS16" s="17"/>
      <c r="AT16" s="17"/>
    </row>
    <row r="17" spans="1:46" x14ac:dyDescent="0.2">
      <c r="A17">
        <f>735/1150</f>
        <v>0.63913043478260867</v>
      </c>
      <c r="B17" s="21">
        <f>_xlfn.XLOOKUP($C17,TB_NG!$E:$E,TB_NG!A:A)</f>
        <v>49405</v>
      </c>
      <c r="C17" s="16" t="s">
        <v>102</v>
      </c>
      <c r="D17" s="17">
        <f>-_xlfn.XLOOKUP($C17,TB_NG!$E:$E,TB_NG!F:F)</f>
        <v>60200431.150000006</v>
      </c>
      <c r="E17" s="17">
        <f>-_xlfn.XLOOKUP($C17,TB_NG!$E:$E,TB_NG!G:G)</f>
        <v>228624829.49000001</v>
      </c>
      <c r="F17" s="17">
        <f>-_xlfn.XLOOKUP($C17,TB_NG!$E:$E,TB_NG!H:H)</f>
        <v>299729715</v>
      </c>
      <c r="G17" s="17">
        <f>-_xlfn.XLOOKUP($C17,TB_NG!$E:$E,TB_NG!I:I)</f>
        <v>321764374.33999997</v>
      </c>
      <c r="H17" s="17">
        <f>-_xlfn.XLOOKUP($C17,TB_NG!$E:$E,TB_NG!J:J)</f>
        <v>47095107.030000001</v>
      </c>
      <c r="I17" s="17">
        <f>-_xlfn.XLOOKUP($C17,TB_NG!$E:$E,TB_NG!K:K)</f>
        <v>156139964.66000003</v>
      </c>
      <c r="J17" s="17">
        <f>-_xlfn.XLOOKUP($C17,TB_NG!$E:$E,TB_NG!L:L)</f>
        <v>148519491.08000001</v>
      </c>
      <c r="K17" s="17">
        <f>-_xlfn.XLOOKUP($C17,TB_NG!$E:$E,TB_NG!M:M)</f>
        <v>128723830.66000001</v>
      </c>
      <c r="L17" s="17">
        <f>-_xlfn.XLOOKUP($C17,TB_NG!$E:$E,TB_NG!N:N)</f>
        <v>63438498.210000008</v>
      </c>
      <c r="M17" s="17">
        <f>-_xlfn.XLOOKUP($C17,TB_NG!$E:$E,TB_NG!O:O)</f>
        <v>104367954.59</v>
      </c>
      <c r="N17" s="17">
        <f>-_xlfn.XLOOKUP($C17,TB_NG!$E:$E,TB_NG!P:P)</f>
        <v>95065629.00999999</v>
      </c>
      <c r="O17" s="17">
        <f>-_xlfn.XLOOKUP($C17,TB_NG!$E:$E,TB_NG!Q:Q)</f>
        <v>111033811.51000001</v>
      </c>
      <c r="P17" s="17">
        <f>-_xlfn.XLOOKUP($C17,TB_NG!$E:$E,TB_NG!R:R)</f>
        <v>0</v>
      </c>
      <c r="Q17" s="17">
        <f>-_xlfn.XLOOKUP($C17,TB_NG!$E:$E,TB_NG!S:S)</f>
        <v>0</v>
      </c>
      <c r="R17" s="17">
        <f>-_xlfn.XLOOKUP($C17,TB_NG!$E:$E,TB_NG!T:T)</f>
        <v>0</v>
      </c>
      <c r="S17" s="17">
        <f>-_xlfn.XLOOKUP($C17,TB_NG!$E:$E,TB_NG!U:U)</f>
        <v>0</v>
      </c>
      <c r="T17" s="17">
        <f>-_xlfn.XLOOKUP($C17,TB_NG!$E:$E,TB_NG!V:V)</f>
        <v>0</v>
      </c>
      <c r="U17" s="17">
        <f>-_xlfn.XLOOKUP($C17,TB_NG!$E:$E,TB_NG!W:W)</f>
        <v>0</v>
      </c>
      <c r="V17" s="17">
        <f>-_xlfn.XLOOKUP($C17,TB_NG!$E:$E,TB_NG!X:X)</f>
        <v>0</v>
      </c>
      <c r="W17" s="17">
        <f>-_xlfn.XLOOKUP($C17,TB_NG!$E:$E,TB_NG!Y:Y)</f>
        <v>0</v>
      </c>
      <c r="X17" s="17">
        <f>-_xlfn.XLOOKUP($C17,TB_NG!$E:$E,TB_NG!Z:Z)</f>
        <v>0</v>
      </c>
      <c r="Y17" s="17">
        <f>-_xlfn.XLOOKUP($C17,TB_NG!$E:$E,TB_NG!AA:AA)</f>
        <v>0</v>
      </c>
      <c r="Z17" s="17">
        <f>-_xlfn.XLOOKUP($C17,TB_NG!$E:$E,TB_NG!AB:AB)</f>
        <v>0</v>
      </c>
      <c r="AA17" s="17">
        <f>-_xlfn.XLOOKUP($C17,TB_NG!$E:$E,TB_NG!AC:AC)</f>
        <v>0</v>
      </c>
      <c r="AB17" s="17">
        <f>-_xlfn.XLOOKUP($C17,TB_NG!$E:$E,TB_NG!AD:AD)</f>
        <v>0</v>
      </c>
      <c r="AC17" s="17">
        <f>-_xlfn.XLOOKUP($C17,TB_NG!$E:$E,TB_NG!AE:AE)</f>
        <v>0</v>
      </c>
      <c r="AD17" s="17">
        <f>-_xlfn.XLOOKUP($C17,TB_NG!$E:$E,TB_NG!AF:AF)</f>
        <v>0</v>
      </c>
      <c r="AE17" s="17">
        <f>-_xlfn.XLOOKUP($C17,TB_NG!$E:$E,TB_NG!AG:AG)</f>
        <v>0</v>
      </c>
      <c r="AF17" s="17">
        <f>-_xlfn.XLOOKUP($C17,TB_NG!$E:$E,TB_NG!AH:AH)</f>
        <v>0</v>
      </c>
      <c r="AG17" s="17">
        <f>-_xlfn.XLOOKUP($C17,TB_NG!$E:$E,TB_NG!AI:AI)</f>
        <v>0</v>
      </c>
      <c r="AH17" s="17">
        <f>-_xlfn.XLOOKUP($C17,TB_NG!$E:$E,TB_NG!AJ:AJ)</f>
        <v>0</v>
      </c>
      <c r="AI17" s="17">
        <f>-_xlfn.XLOOKUP($C17,TB_NG!$E:$E,TB_NG!AK:AK)</f>
        <v>0</v>
      </c>
      <c r="AJ17" s="17">
        <f>-_xlfn.XLOOKUP($C17,TB_NG!$E:$E,TB_NG!AL:AL)</f>
        <v>0</v>
      </c>
      <c r="AK17" s="17">
        <f>-_xlfn.XLOOKUP($C17,TB_NG!$E:$E,TB_NG!AM:AM)</f>
        <v>0</v>
      </c>
      <c r="AL17" s="17">
        <f>-_xlfn.XLOOKUP($C17,TB_NG!$E:$E,TB_NG!AN:AN)</f>
        <v>0</v>
      </c>
      <c r="AM17" s="17">
        <f>-_xlfn.XLOOKUP($C17,TB_NG!$E:$E,TB_NG!AO:AO)</f>
        <v>0</v>
      </c>
      <c r="AS17" s="17">
        <f t="shared" si="1"/>
        <v>1764703636.73</v>
      </c>
      <c r="AT17" s="17">
        <f t="shared" si="2"/>
        <v>0</v>
      </c>
    </row>
    <row r="18" spans="1:46" x14ac:dyDescent="0.2">
      <c r="A18">
        <f>1-A17</f>
        <v>0.36086956521739133</v>
      </c>
      <c r="B18" s="15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8"/>
      <c r="AS18" s="17"/>
      <c r="AT18" s="17"/>
    </row>
    <row r="19" spans="1:46" x14ac:dyDescent="0.2">
      <c r="B19" s="15"/>
      <c r="C19" s="22" t="s">
        <v>4</v>
      </c>
      <c r="D19" s="23">
        <f>SUM(D6:D18)</f>
        <v>175170980.94</v>
      </c>
      <c r="E19" s="23">
        <f t="shared" ref="E19:AM19" si="3">SUM(E6:E18)</f>
        <v>518489389.88</v>
      </c>
      <c r="F19" s="23">
        <f t="shared" si="3"/>
        <v>527014242.30000001</v>
      </c>
      <c r="G19" s="23">
        <f t="shared" si="3"/>
        <v>541839856.02999997</v>
      </c>
      <c r="H19" s="23">
        <f t="shared" si="3"/>
        <v>206727801.47000003</v>
      </c>
      <c r="I19" s="23">
        <f t="shared" si="3"/>
        <v>219439945.21000004</v>
      </c>
      <c r="J19" s="23">
        <f t="shared" si="3"/>
        <v>213838825.13</v>
      </c>
      <c r="K19" s="23">
        <f t="shared" si="3"/>
        <v>313204442.85000002</v>
      </c>
      <c r="L19" s="23">
        <f t="shared" si="3"/>
        <v>121820223.69000001</v>
      </c>
      <c r="M19" s="23">
        <f t="shared" si="3"/>
        <v>173377722.23000002</v>
      </c>
      <c r="N19" s="23">
        <f t="shared" si="3"/>
        <v>226991894.45999998</v>
      </c>
      <c r="O19" s="23">
        <f t="shared" si="3"/>
        <v>592258002.88999999</v>
      </c>
      <c r="P19" s="23">
        <f t="shared" si="3"/>
        <v>213268613.94999999</v>
      </c>
      <c r="Q19" s="23">
        <f t="shared" si="3"/>
        <v>197048675.79000002</v>
      </c>
      <c r="R19" s="23">
        <f t="shared" si="3"/>
        <v>222403034.55000001</v>
      </c>
      <c r="S19" s="23">
        <f t="shared" si="3"/>
        <v>242700217.54000002</v>
      </c>
      <c r="T19" s="23">
        <f t="shared" si="3"/>
        <v>174492162.43000001</v>
      </c>
      <c r="U19" s="23">
        <f t="shared" si="3"/>
        <v>119740942.55000001</v>
      </c>
      <c r="V19" s="23">
        <f t="shared" si="3"/>
        <v>209164534.53</v>
      </c>
      <c r="W19" s="23">
        <f t="shared" si="3"/>
        <v>183988509.75</v>
      </c>
      <c r="X19" s="23">
        <f t="shared" si="3"/>
        <v>401196208.59000003</v>
      </c>
      <c r="Y19" s="23">
        <f>SUM(Y6:Y18)</f>
        <v>755003168.23000002</v>
      </c>
      <c r="Z19" s="23">
        <f t="shared" si="3"/>
        <v>322667122.22000003</v>
      </c>
      <c r="AA19" s="23">
        <f t="shared" si="3"/>
        <v>312136747.44999999</v>
      </c>
      <c r="AB19" s="23">
        <f t="shared" si="3"/>
        <v>712939766.75000012</v>
      </c>
      <c r="AC19" s="23">
        <f t="shared" si="3"/>
        <v>757193181.21000004</v>
      </c>
      <c r="AD19" s="23">
        <f t="shared" si="3"/>
        <v>549117528.5</v>
      </c>
      <c r="AE19" s="23">
        <f t="shared" si="3"/>
        <v>344429476.50999999</v>
      </c>
      <c r="AF19" s="23">
        <f t="shared" si="3"/>
        <v>0</v>
      </c>
      <c r="AG19" s="23">
        <f t="shared" si="3"/>
        <v>0</v>
      </c>
      <c r="AH19" s="23">
        <f t="shared" si="3"/>
        <v>0</v>
      </c>
      <c r="AI19" s="23">
        <f t="shared" si="3"/>
        <v>0</v>
      </c>
      <c r="AJ19" s="23">
        <f t="shared" si="3"/>
        <v>0</v>
      </c>
      <c r="AK19" s="23">
        <f t="shared" si="3"/>
        <v>0</v>
      </c>
      <c r="AL19" s="23">
        <f t="shared" si="3"/>
        <v>0</v>
      </c>
      <c r="AM19" s="23">
        <f t="shared" si="3"/>
        <v>0</v>
      </c>
      <c r="AS19" s="23">
        <f>SUM(D19:O19)</f>
        <v>3830173327.0799999</v>
      </c>
      <c r="AT19" s="23">
        <f>SUM(P19:AA19)</f>
        <v>3353809937.5799999</v>
      </c>
    </row>
    <row r="20" spans="1:46" x14ac:dyDescent="0.2">
      <c r="B20" s="15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8"/>
    </row>
    <row r="21" spans="1:46" x14ac:dyDescent="0.2">
      <c r="B21" s="15"/>
      <c r="C21" s="20" t="s">
        <v>103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8"/>
    </row>
    <row r="22" spans="1:46" x14ac:dyDescent="0.2">
      <c r="B22" s="21">
        <v>50000</v>
      </c>
      <c r="C22" s="16" t="str">
        <f>_xlfn.XLOOKUP(B22,TB_NG!A:A,TB_NG!E:E)</f>
        <v>COS - Hardware Purchases</v>
      </c>
      <c r="D22" s="17">
        <f>-_xlfn.XLOOKUP($C22,TB_NG!$E:$E,TB_NG!F:F)</f>
        <v>0</v>
      </c>
      <c r="E22" s="17">
        <f>-_xlfn.XLOOKUP($C22,TB_NG!$E:$E,TB_NG!G:G)</f>
        <v>0</v>
      </c>
      <c r="F22" s="17">
        <f>-_xlfn.XLOOKUP($C22,TB_NG!$E:$E,TB_NG!H:H)</f>
        <v>0</v>
      </c>
      <c r="G22" s="17">
        <f>-_xlfn.XLOOKUP($C22,TB_NG!$E:$E,TB_NG!I:I)</f>
        <v>0</v>
      </c>
      <c r="H22" s="17">
        <f>-_xlfn.XLOOKUP($C22,TB_NG!$E:$E,TB_NG!J:J)</f>
        <v>0</v>
      </c>
      <c r="I22" s="17">
        <f>-_xlfn.XLOOKUP($C22,TB_NG!$E:$E,TB_NG!K:K)</f>
        <v>0</v>
      </c>
      <c r="J22" s="17">
        <f>-_xlfn.XLOOKUP($C22,TB_NG!$E:$E,TB_NG!L:L)</f>
        <v>0</v>
      </c>
      <c r="K22" s="17">
        <f>-_xlfn.XLOOKUP($C22,TB_NG!$E:$E,TB_NG!M:M)</f>
        <v>-46990400</v>
      </c>
      <c r="L22" s="17">
        <f>-_xlfn.XLOOKUP($C22,TB_NG!$E:$E,TB_NG!N:N)</f>
        <v>4199040</v>
      </c>
      <c r="M22" s="17">
        <f>-_xlfn.XLOOKUP($C22,TB_NG!$E:$E,TB_NG!O:O)</f>
        <v>0</v>
      </c>
      <c r="N22" s="17">
        <f>-_xlfn.XLOOKUP($C22,TB_NG!$E:$E,TB_NG!P:P)</f>
        <v>0</v>
      </c>
      <c r="O22" s="17">
        <f>-_xlfn.XLOOKUP($C22,TB_NG!$E:$E,TB_NG!Q:Q)</f>
        <v>0</v>
      </c>
      <c r="P22" s="17">
        <f>-_xlfn.XLOOKUP($C22,TB_NG!$E:$E,TB_NG!R:R)</f>
        <v>0</v>
      </c>
      <c r="Q22" s="17">
        <f>-_xlfn.XLOOKUP($C22,TB_NG!$E:$E,TB_NG!S:S)</f>
        <v>0</v>
      </c>
      <c r="R22" s="17">
        <f>-_xlfn.XLOOKUP($C22,TB_NG!$E:$E,TB_NG!T:T)</f>
        <v>-7169412.0099999998</v>
      </c>
      <c r="S22" s="17">
        <f>-_xlfn.XLOOKUP($C22,TB_NG!$E:$E,TB_NG!U:U)</f>
        <v>-8823891.8399999999</v>
      </c>
      <c r="T22" s="17">
        <f>-_xlfn.XLOOKUP($C22,TB_NG!$E:$E,TB_NG!V:V)</f>
        <v>-7445158.6200000001</v>
      </c>
      <c r="U22" s="17">
        <f>-_xlfn.XLOOKUP($C22,TB_NG!$E:$E,TB_NG!W:W)</f>
        <v>0</v>
      </c>
      <c r="V22" s="17">
        <f>-_xlfn.XLOOKUP($C22,TB_NG!$E:$E,TB_NG!X:X)</f>
        <v>-31862818.73</v>
      </c>
      <c r="W22" s="17">
        <f>-_xlfn.XLOOKUP($C22,TB_NG!$E:$E,TB_NG!Y:Y)</f>
        <v>-7700000</v>
      </c>
      <c r="X22" s="17">
        <f>-_xlfn.XLOOKUP($C22,TB_NG!$E:$E,TB_NG!Z:Z)</f>
        <v>-1315970.4700000002</v>
      </c>
      <c r="Y22" s="17">
        <f>-_xlfn.XLOOKUP($C22,TB_NG!$E:$E,TB_NG!AA:AA)</f>
        <v>0</v>
      </c>
      <c r="Z22" s="17">
        <f>-_xlfn.XLOOKUP($C22,TB_NG!$E:$E,TB_NG!AB:AB)</f>
        <v>-275746.61</v>
      </c>
      <c r="AA22" s="17">
        <f>-_xlfn.XLOOKUP($C22,TB_NG!$E:$E,TB_NG!AC:AC)</f>
        <v>-51369781.609999999</v>
      </c>
      <c r="AB22" s="17">
        <f>-_xlfn.XLOOKUP($C22,TB_NG!$E:$E,TB_NG!AD:AD)</f>
        <v>-827239.8599999994</v>
      </c>
      <c r="AC22" s="17">
        <f>-_xlfn.XLOOKUP($C22,TB_NG!$E:$E,TB_NG!AE:AE)</f>
        <v>-8272398.5999999996</v>
      </c>
      <c r="AD22" s="17">
        <f>-_xlfn.XLOOKUP($C22,TB_NG!$E:$E,TB_NG!AF:AF)</f>
        <v>0</v>
      </c>
      <c r="AE22" s="17">
        <f>-_xlfn.XLOOKUP($C22,TB_NG!$E:$E,TB_NG!AG:AG)</f>
        <v>-551493.24</v>
      </c>
      <c r="AF22" s="17">
        <f>-_xlfn.XLOOKUP($C22,TB_NG!$E:$E,TB_NG!AH:AH)</f>
        <v>0</v>
      </c>
      <c r="AG22" s="17">
        <f>-_xlfn.XLOOKUP($C22,TB_NG!$E:$E,TB_NG!AI:AI)</f>
        <v>0</v>
      </c>
      <c r="AH22" s="17">
        <f>-_xlfn.XLOOKUP($C22,TB_NG!$E:$E,TB_NG!AJ:AJ)</f>
        <v>0</v>
      </c>
      <c r="AI22" s="17">
        <f>-_xlfn.XLOOKUP($C22,TB_NG!$E:$E,TB_NG!AK:AK)</f>
        <v>0</v>
      </c>
      <c r="AJ22" s="17">
        <f>-_xlfn.XLOOKUP($C22,TB_NG!$E:$E,TB_NG!AL:AL)</f>
        <v>0</v>
      </c>
      <c r="AK22" s="17">
        <f>-_xlfn.XLOOKUP($C22,TB_NG!$E:$E,TB_NG!AM:AM)</f>
        <v>0</v>
      </c>
      <c r="AL22" s="17">
        <f>-_xlfn.XLOOKUP($C22,TB_NG!$E:$E,TB_NG!AN:AN)</f>
        <v>0</v>
      </c>
      <c r="AM22" s="17">
        <f>-_xlfn.XLOOKUP($C22,TB_NG!$E:$E,TB_NG!AO:AO)</f>
        <v>0</v>
      </c>
      <c r="AS22" s="17">
        <f t="shared" ref="AS22:AS40" si="4">SUM(D22:O22)</f>
        <v>-42791360</v>
      </c>
      <c r="AT22" s="313">
        <f t="shared" ref="AT22:AT40" si="5">SUM(P22:AA22)</f>
        <v>-115962779.89</v>
      </c>
    </row>
    <row r="23" spans="1:46" x14ac:dyDescent="0.2">
      <c r="B23" s="21">
        <v>50005</v>
      </c>
      <c r="C23" s="16" t="str">
        <f>_xlfn.XLOOKUP(B23,TB_NG!A:A,TB_NG!E:E)</f>
        <v>Hardware Purchases</v>
      </c>
      <c r="D23" s="17">
        <f>-_xlfn.XLOOKUP($C23,TB_NG!$E:$E,TB_NG!F:F)</f>
        <v>0</v>
      </c>
      <c r="E23" s="17">
        <f>-_xlfn.XLOOKUP($C23,TB_NG!$E:$E,TB_NG!G:G)</f>
        <v>0</v>
      </c>
      <c r="F23" s="17">
        <f>-_xlfn.XLOOKUP($C23,TB_NG!$E:$E,TB_NG!H:H)</f>
        <v>0</v>
      </c>
      <c r="G23" s="17">
        <f>-_xlfn.XLOOKUP($C23,TB_NG!$E:$E,TB_NG!I:I)</f>
        <v>0</v>
      </c>
      <c r="H23" s="17">
        <f>-_xlfn.XLOOKUP($C23,TB_NG!$E:$E,TB_NG!J:J)</f>
        <v>0</v>
      </c>
      <c r="I23" s="17">
        <f>-_xlfn.XLOOKUP($C23,TB_NG!$E:$E,TB_NG!K:K)</f>
        <v>0</v>
      </c>
      <c r="J23" s="17">
        <f>-_xlfn.XLOOKUP($C23,TB_NG!$E:$E,TB_NG!L:L)</f>
        <v>0</v>
      </c>
      <c r="K23" s="17">
        <f>-_xlfn.XLOOKUP($C23,TB_NG!$E:$E,TB_NG!M:M)</f>
        <v>0</v>
      </c>
      <c r="L23" s="17">
        <f>-_xlfn.XLOOKUP($C23,TB_NG!$E:$E,TB_NG!N:N)</f>
        <v>0</v>
      </c>
      <c r="M23" s="17">
        <f>-_xlfn.XLOOKUP($C23,TB_NG!$E:$E,TB_NG!O:O)</f>
        <v>0</v>
      </c>
      <c r="N23" s="17">
        <f>-_xlfn.XLOOKUP($C23,TB_NG!$E:$E,TB_NG!P:P)</f>
        <v>0</v>
      </c>
      <c r="O23" s="17">
        <f>-_xlfn.XLOOKUP($C23,TB_NG!$E:$E,TB_NG!Q:Q)</f>
        <v>0</v>
      </c>
      <c r="P23" s="17">
        <f>-_xlfn.XLOOKUP($C23,TB_NG!$E:$E,TB_NG!R:R)</f>
        <v>0</v>
      </c>
      <c r="Q23" s="17">
        <f>-_xlfn.XLOOKUP($C23,TB_NG!$E:$E,TB_NG!S:S)</f>
        <v>0</v>
      </c>
      <c r="R23" s="17">
        <f>-_xlfn.XLOOKUP($C23,TB_NG!$E:$E,TB_NG!T:T)</f>
        <v>0</v>
      </c>
      <c r="S23" s="17">
        <f>-_xlfn.XLOOKUP($C23,TB_NG!$E:$E,TB_NG!U:U)</f>
        <v>0</v>
      </c>
      <c r="T23" s="17">
        <f>-_xlfn.XLOOKUP($C23,TB_NG!$E:$E,TB_NG!V:V)</f>
        <v>0</v>
      </c>
      <c r="U23" s="17">
        <f>-_xlfn.XLOOKUP($C23,TB_NG!$E:$E,TB_NG!W:W)</f>
        <v>0</v>
      </c>
      <c r="V23" s="17">
        <f>-_xlfn.XLOOKUP($C23,TB_NG!$E:$E,TB_NG!X:X)</f>
        <v>0</v>
      </c>
      <c r="W23" s="17">
        <f>-_xlfn.XLOOKUP($C23,TB_NG!$E:$E,TB_NG!Y:Y)</f>
        <v>0</v>
      </c>
      <c r="X23" s="17">
        <f>-_xlfn.XLOOKUP($C23,TB_NG!$E:$E,TB_NG!Z:Z)</f>
        <v>0</v>
      </c>
      <c r="Y23" s="17">
        <f>-_xlfn.XLOOKUP($C23,TB_NG!$E:$E,TB_NG!AA:AA)</f>
        <v>0</v>
      </c>
      <c r="Z23" s="17">
        <f>-_xlfn.XLOOKUP($C23,TB_NG!$E:$E,TB_NG!AB:AB)</f>
        <v>0</v>
      </c>
      <c r="AA23" s="17">
        <f>-_xlfn.XLOOKUP($C23,TB_NG!$E:$E,TB_NG!AC:AC)</f>
        <v>0</v>
      </c>
      <c r="AB23" s="17">
        <f>-_xlfn.XLOOKUP($C23,TB_NG!$E:$E,TB_NG!AD:AD)</f>
        <v>0</v>
      </c>
      <c r="AC23" s="17">
        <f>-_xlfn.XLOOKUP($C23,TB_NG!$E:$E,TB_NG!AE:AE)</f>
        <v>0</v>
      </c>
      <c r="AD23" s="17">
        <f>-_xlfn.XLOOKUP($C23,TB_NG!$E:$E,TB_NG!AF:AF)</f>
        <v>0</v>
      </c>
      <c r="AE23" s="17">
        <f>-_xlfn.XLOOKUP($C23,TB_NG!$E:$E,TB_NG!AG:AG)</f>
        <v>0</v>
      </c>
      <c r="AF23" s="17">
        <f>-_xlfn.XLOOKUP($C23,TB_NG!$E:$E,TB_NG!AH:AH)</f>
        <v>0</v>
      </c>
      <c r="AG23" s="17">
        <f>-_xlfn.XLOOKUP($C23,TB_NG!$E:$E,TB_NG!AI:AI)</f>
        <v>0</v>
      </c>
      <c r="AH23" s="17">
        <f>-_xlfn.XLOOKUP($C23,TB_NG!$E:$E,TB_NG!AJ:AJ)</f>
        <v>0</v>
      </c>
      <c r="AI23" s="17">
        <f>-_xlfn.XLOOKUP($C23,TB_NG!$E:$E,TB_NG!AK:AK)</f>
        <v>0</v>
      </c>
      <c r="AJ23" s="17">
        <f>-_xlfn.XLOOKUP($C23,TB_NG!$E:$E,TB_NG!AL:AL)</f>
        <v>0</v>
      </c>
      <c r="AK23" s="17">
        <f>-_xlfn.XLOOKUP($C23,TB_NG!$E:$E,TB_NG!AM:AM)</f>
        <v>0</v>
      </c>
      <c r="AL23" s="17">
        <f>-_xlfn.XLOOKUP($C23,TB_NG!$E:$E,TB_NG!AN:AN)</f>
        <v>0</v>
      </c>
      <c r="AM23" s="17">
        <f>-_xlfn.XLOOKUP($C23,TB_NG!$E:$E,TB_NG!AO:AO)</f>
        <v>0</v>
      </c>
      <c r="AS23" s="17">
        <f t="shared" si="4"/>
        <v>0</v>
      </c>
      <c r="AT23" s="17">
        <f t="shared" si="5"/>
        <v>0</v>
      </c>
    </row>
    <row r="24" spans="1:46" x14ac:dyDescent="0.2">
      <c r="B24" s="21">
        <v>53005</v>
      </c>
      <c r="C24" s="16" t="str">
        <f>_xlfn.XLOOKUP(B24,TB_NG!A:A,TB_NG!E:E)</f>
        <v>COS - Accommodation</v>
      </c>
      <c r="D24" s="17">
        <f>-_xlfn.XLOOKUP($C24,TB_NG!$E:$E,TB_NG!F:F)</f>
        <v>0</v>
      </c>
      <c r="E24" s="17">
        <f>-_xlfn.XLOOKUP($C24,TB_NG!$E:$E,TB_NG!G:G)</f>
        <v>0</v>
      </c>
      <c r="F24" s="17">
        <f>-_xlfn.XLOOKUP($C24,TB_NG!$E:$E,TB_NG!H:H)</f>
        <v>0</v>
      </c>
      <c r="G24" s="17">
        <f>-_xlfn.XLOOKUP($C24,TB_NG!$E:$E,TB_NG!I:I)</f>
        <v>0</v>
      </c>
      <c r="H24" s="17">
        <f>-_xlfn.XLOOKUP($C24,TB_NG!$E:$E,TB_NG!J:J)</f>
        <v>0</v>
      </c>
      <c r="I24" s="17">
        <f>-_xlfn.XLOOKUP($C24,TB_NG!$E:$E,TB_NG!K:K)</f>
        <v>0</v>
      </c>
      <c r="J24" s="17">
        <f>-_xlfn.XLOOKUP($C24,TB_NG!$E:$E,TB_NG!L:L)</f>
        <v>0</v>
      </c>
      <c r="K24" s="17">
        <f>-_xlfn.XLOOKUP($C24,TB_NG!$E:$E,TB_NG!M:M)</f>
        <v>0</v>
      </c>
      <c r="L24" s="17">
        <f>-_xlfn.XLOOKUP($C24,TB_NG!$E:$E,TB_NG!N:N)</f>
        <v>0</v>
      </c>
      <c r="M24" s="17">
        <f>-_xlfn.XLOOKUP($C24,TB_NG!$E:$E,TB_NG!O:O)</f>
        <v>0</v>
      </c>
      <c r="N24" s="17">
        <f>-_xlfn.XLOOKUP($C24,TB_NG!$E:$E,TB_NG!P:P)</f>
        <v>0</v>
      </c>
      <c r="O24" s="17">
        <f>-_xlfn.XLOOKUP($C24,TB_NG!$E:$E,TB_NG!Q:Q)</f>
        <v>0</v>
      </c>
      <c r="P24" s="17">
        <f>-_xlfn.XLOOKUP($C24,TB_NG!$E:$E,TB_NG!R:R)</f>
        <v>0</v>
      </c>
      <c r="Q24" s="17">
        <f>-_xlfn.XLOOKUP($C24,TB_NG!$E:$E,TB_NG!S:S)</f>
        <v>0</v>
      </c>
      <c r="R24" s="17">
        <f>-_xlfn.XLOOKUP($C24,TB_NG!$E:$E,TB_NG!T:T)</f>
        <v>-220352.43</v>
      </c>
      <c r="S24" s="17">
        <f>-_xlfn.XLOOKUP($C24,TB_NG!$E:$E,TB_NG!U:U)</f>
        <v>0</v>
      </c>
      <c r="T24" s="17">
        <f>-_xlfn.XLOOKUP($C24,TB_NG!$E:$E,TB_NG!V:V)</f>
        <v>0</v>
      </c>
      <c r="U24" s="17">
        <f>-_xlfn.XLOOKUP($C24,TB_NG!$E:$E,TB_NG!W:W)</f>
        <v>0</v>
      </c>
      <c r="V24" s="17">
        <f>-_xlfn.XLOOKUP($C24,TB_NG!$E:$E,TB_NG!X:X)</f>
        <v>-1295123</v>
      </c>
      <c r="W24" s="17">
        <f>-_xlfn.XLOOKUP($C24,TB_NG!$E:$E,TB_NG!Y:Y)</f>
        <v>-1139710.6100000001</v>
      </c>
      <c r="X24" s="17">
        <f>-_xlfn.XLOOKUP($C24,TB_NG!$E:$E,TB_NG!Z:Z)</f>
        <v>0</v>
      </c>
      <c r="Y24" s="17">
        <f>-_xlfn.XLOOKUP($C24,TB_NG!$E:$E,TB_NG!AA:AA)</f>
        <v>0</v>
      </c>
      <c r="Z24" s="17">
        <f>-_xlfn.XLOOKUP($C24,TB_NG!$E:$E,TB_NG!AB:AB)</f>
        <v>0</v>
      </c>
      <c r="AA24" s="17">
        <f>-_xlfn.XLOOKUP($C24,TB_NG!$E:$E,TB_NG!AC:AC)</f>
        <v>0</v>
      </c>
      <c r="AB24" s="17">
        <f>-_xlfn.XLOOKUP($C24,TB_NG!$E:$E,TB_NG!AD:AD)</f>
        <v>0</v>
      </c>
      <c r="AC24" s="17">
        <f>-_xlfn.XLOOKUP($C24,TB_NG!$E:$E,TB_NG!AE:AE)</f>
        <v>0</v>
      </c>
      <c r="AD24" s="17">
        <f>-_xlfn.XLOOKUP($C24,TB_NG!$E:$E,TB_NG!AF:AF)</f>
        <v>0</v>
      </c>
      <c r="AE24" s="17">
        <f>-_xlfn.XLOOKUP($C24,TB_NG!$E:$E,TB_NG!AG:AG)</f>
        <v>0</v>
      </c>
      <c r="AF24" s="17">
        <f>-_xlfn.XLOOKUP($C24,TB_NG!$E:$E,TB_NG!AH:AH)</f>
        <v>0</v>
      </c>
      <c r="AG24" s="17">
        <f>-_xlfn.XLOOKUP($C24,TB_NG!$E:$E,TB_NG!AI:AI)</f>
        <v>0</v>
      </c>
      <c r="AH24" s="17">
        <f>-_xlfn.XLOOKUP($C24,TB_NG!$E:$E,TB_NG!AJ:AJ)</f>
        <v>0</v>
      </c>
      <c r="AI24" s="17">
        <f>-_xlfn.XLOOKUP($C24,TB_NG!$E:$E,TB_NG!AK:AK)</f>
        <v>0</v>
      </c>
      <c r="AJ24" s="17">
        <f>-_xlfn.XLOOKUP($C24,TB_NG!$E:$E,TB_NG!AL:AL)</f>
        <v>0</v>
      </c>
      <c r="AK24" s="17">
        <f>-_xlfn.XLOOKUP($C24,TB_NG!$E:$E,TB_NG!AM:AM)</f>
        <v>0</v>
      </c>
      <c r="AL24" s="17">
        <f>-_xlfn.XLOOKUP($C24,TB_NG!$E:$E,TB_NG!AN:AN)</f>
        <v>0</v>
      </c>
      <c r="AM24" s="17">
        <f>-_xlfn.XLOOKUP($C24,TB_NG!$E:$E,TB_NG!AO:AO)</f>
        <v>0</v>
      </c>
      <c r="AS24" s="17">
        <f t="shared" si="4"/>
        <v>0</v>
      </c>
      <c r="AT24" s="313">
        <f t="shared" si="5"/>
        <v>-2655186.04</v>
      </c>
    </row>
    <row r="25" spans="1:46" x14ac:dyDescent="0.2">
      <c r="B25" s="21">
        <v>53025</v>
      </c>
      <c r="C25" s="16" t="str">
        <f>_xlfn.XLOOKUP(B25,TB_NG!A:A,TB_NG!E:E)</f>
        <v>COS - Consultancy</v>
      </c>
      <c r="D25" s="17">
        <f>-_xlfn.XLOOKUP($C25,TB_NG!$E:$E,TB_NG!F:F)</f>
        <v>0</v>
      </c>
      <c r="E25" s="17">
        <f>-_xlfn.XLOOKUP($C25,TB_NG!$E:$E,TB_NG!G:G)</f>
        <v>0</v>
      </c>
      <c r="F25" s="17">
        <f>-_xlfn.XLOOKUP($C25,TB_NG!$E:$E,TB_NG!H:H)</f>
        <v>0</v>
      </c>
      <c r="G25" s="17">
        <f>-_xlfn.XLOOKUP($C25,TB_NG!$E:$E,TB_NG!I:I)</f>
        <v>0</v>
      </c>
      <c r="H25" s="17">
        <f>-_xlfn.XLOOKUP($C25,TB_NG!$E:$E,TB_NG!J:J)</f>
        <v>0</v>
      </c>
      <c r="I25" s="17">
        <f>-_xlfn.XLOOKUP($C25,TB_NG!$E:$E,TB_NG!K:K)</f>
        <v>0</v>
      </c>
      <c r="J25" s="17">
        <f>-_xlfn.XLOOKUP($C25,TB_NG!$E:$E,TB_NG!L:L)</f>
        <v>0</v>
      </c>
      <c r="K25" s="17">
        <f>-_xlfn.XLOOKUP($C25,TB_NG!$E:$E,TB_NG!M:M)</f>
        <v>0</v>
      </c>
      <c r="L25" s="17">
        <f>-_xlfn.XLOOKUP($C25,TB_NG!$E:$E,TB_NG!N:N)</f>
        <v>0</v>
      </c>
      <c r="M25" s="17">
        <f>-_xlfn.XLOOKUP($C25,TB_NG!$E:$E,TB_NG!O:O)</f>
        <v>0</v>
      </c>
      <c r="N25" s="17">
        <f>-_xlfn.XLOOKUP($C25,TB_NG!$E:$E,TB_NG!P:P)</f>
        <v>0</v>
      </c>
      <c r="O25" s="17">
        <f>-_xlfn.XLOOKUP($C25,TB_NG!$E:$E,TB_NG!Q:Q)</f>
        <v>0</v>
      </c>
      <c r="P25" s="17">
        <f>-_xlfn.XLOOKUP($C25,TB_NG!$E:$E,TB_NG!R:R)</f>
        <v>0</v>
      </c>
      <c r="Q25" s="17">
        <f>-_xlfn.XLOOKUP($C25,TB_NG!$E:$E,TB_NG!S:S)</f>
        <v>0</v>
      </c>
      <c r="R25" s="17">
        <f>-_xlfn.XLOOKUP($C25,TB_NG!$E:$E,TB_NG!T:T)</f>
        <v>0</v>
      </c>
      <c r="S25" s="17">
        <f>-_xlfn.XLOOKUP($C25,TB_NG!$E:$E,TB_NG!U:U)</f>
        <v>0</v>
      </c>
      <c r="T25" s="17">
        <f>-_xlfn.XLOOKUP($C25,TB_NG!$E:$E,TB_NG!V:V)</f>
        <v>0</v>
      </c>
      <c r="U25" s="17">
        <f>-_xlfn.XLOOKUP($C25,TB_NG!$E:$E,TB_NG!W:W)</f>
        <v>0</v>
      </c>
      <c r="V25" s="17">
        <f>-_xlfn.XLOOKUP($C25,TB_NG!$E:$E,TB_NG!X:X)</f>
        <v>0</v>
      </c>
      <c r="W25" s="17">
        <f>-_xlfn.XLOOKUP($C25,TB_NG!$E:$E,TB_NG!Y:Y)</f>
        <v>0</v>
      </c>
      <c r="X25" s="17">
        <f>-_xlfn.XLOOKUP($C25,TB_NG!$E:$E,TB_NG!Z:Z)</f>
        <v>0</v>
      </c>
      <c r="Y25" s="17">
        <f>-_xlfn.XLOOKUP($C25,TB_NG!$E:$E,TB_NG!AA:AA)</f>
        <v>-8872504.3900000006</v>
      </c>
      <c r="Z25" s="17">
        <f>-_xlfn.XLOOKUP($C25,TB_NG!$E:$E,TB_NG!AB:AB)</f>
        <v>-8079710.5700000003</v>
      </c>
      <c r="AA25" s="17">
        <f>-_xlfn.XLOOKUP($C25,TB_NG!$E:$E,TB_NG!AC:AC)</f>
        <v>-4801737.84</v>
      </c>
      <c r="AB25" s="17">
        <f>-_xlfn.XLOOKUP($C25,TB_NG!$E:$E,TB_NG!AD:AD)</f>
        <v>-75819310.510000005</v>
      </c>
      <c r="AC25" s="17">
        <f>-_xlfn.XLOOKUP($C25,TB_NG!$E:$E,TB_NG!AE:AE)</f>
        <v>-65349879.950000003</v>
      </c>
      <c r="AD25" s="17">
        <f>-_xlfn.XLOOKUP($C25,TB_NG!$E:$E,TB_NG!AF:AF)</f>
        <v>-78127784.150000006</v>
      </c>
      <c r="AE25" s="17">
        <f>-_xlfn.XLOOKUP($C25,TB_NG!$E:$E,TB_NG!AG:AG)</f>
        <v>-12814345.060000002</v>
      </c>
      <c r="AF25" s="17">
        <f>-_xlfn.XLOOKUP($C25,TB_NG!$E:$E,TB_NG!AH:AH)</f>
        <v>0</v>
      </c>
      <c r="AG25" s="17">
        <f>-_xlfn.XLOOKUP($C25,TB_NG!$E:$E,TB_NG!AI:AI)</f>
        <v>0</v>
      </c>
      <c r="AH25" s="17">
        <f>-_xlfn.XLOOKUP($C25,TB_NG!$E:$E,TB_NG!AJ:AJ)</f>
        <v>0</v>
      </c>
      <c r="AI25" s="17">
        <f>-_xlfn.XLOOKUP($C25,TB_NG!$E:$E,TB_NG!AK:AK)</f>
        <v>0</v>
      </c>
      <c r="AJ25" s="17">
        <f>-_xlfn.XLOOKUP($C25,TB_NG!$E:$E,TB_NG!AL:AL)</f>
        <v>0</v>
      </c>
      <c r="AK25" s="17">
        <f>-_xlfn.XLOOKUP($C25,TB_NG!$E:$E,TB_NG!AM:AM)</f>
        <v>0</v>
      </c>
      <c r="AL25" s="17">
        <f>-_xlfn.XLOOKUP($C25,TB_NG!$E:$E,TB_NG!AN:AN)</f>
        <v>0</v>
      </c>
      <c r="AM25" s="17">
        <f>-_xlfn.XLOOKUP($C25,TB_NG!$E:$E,TB_NG!AO:AO)</f>
        <v>0</v>
      </c>
      <c r="AS25" s="17"/>
      <c r="AT25" s="313"/>
    </row>
    <row r="26" spans="1:46" x14ac:dyDescent="0.2">
      <c r="B26" s="21">
        <f>_xlfn.XLOOKUP($C26,TB_NG!$E:$E,TB_NG!A:A)</f>
        <v>53030</v>
      </c>
      <c r="C26" s="16" t="s">
        <v>104</v>
      </c>
      <c r="D26" s="17">
        <f>-_xlfn.XLOOKUP($C26,TB_NG!$E:$E,TB_NG!F:F)</f>
        <v>-658500</v>
      </c>
      <c r="E26" s="17">
        <f>-_xlfn.XLOOKUP($C26,TB_NG!$E:$E,TB_NG!G:G)</f>
        <v>-14000</v>
      </c>
      <c r="F26" s="17">
        <f>-_xlfn.XLOOKUP($C26,TB_NG!$E:$E,TB_NG!H:H)</f>
        <v>0</v>
      </c>
      <c r="G26" s="17">
        <f>-_xlfn.XLOOKUP($C26,TB_NG!$E:$E,TB_NG!I:I)</f>
        <v>-29195322.539999999</v>
      </c>
      <c r="H26" s="17">
        <f>-_xlfn.XLOOKUP($C26,TB_NG!$E:$E,TB_NG!J:J)</f>
        <v>-10302250</v>
      </c>
      <c r="I26" s="17">
        <f>-_xlfn.XLOOKUP($C26,TB_NG!$E:$E,TB_NG!K:K)</f>
        <v>-6000</v>
      </c>
      <c r="J26" s="17">
        <f>-_xlfn.XLOOKUP($C26,TB_NG!$E:$E,TB_NG!L:L)</f>
        <v>-90000</v>
      </c>
      <c r="K26" s="17">
        <f>-_xlfn.XLOOKUP($C26,TB_NG!$E:$E,TB_NG!M:M)</f>
        <v>-20500</v>
      </c>
      <c r="L26" s="17">
        <f>-_xlfn.XLOOKUP($C26,TB_NG!$E:$E,TB_NG!N:N)</f>
        <v>0</v>
      </c>
      <c r="M26" s="17">
        <f>-_xlfn.XLOOKUP($C26,TB_NG!$E:$E,TB_NG!O:O)</f>
        <v>0</v>
      </c>
      <c r="N26" s="17">
        <f>-_xlfn.XLOOKUP($C26,TB_NG!$E:$E,TB_NG!P:P)</f>
        <v>0</v>
      </c>
      <c r="O26" s="17">
        <f>-_xlfn.XLOOKUP($C26,TB_NG!$E:$E,TB_NG!Q:Q)</f>
        <v>0</v>
      </c>
      <c r="P26" s="17">
        <f>-_xlfn.XLOOKUP($C26,TB_NG!$E:$E,TB_NG!R:R)</f>
        <v>0</v>
      </c>
      <c r="Q26" s="17">
        <f>-_xlfn.XLOOKUP($C26,TB_NG!$E:$E,TB_NG!S:S)</f>
        <v>0</v>
      </c>
      <c r="R26" s="17">
        <f>-_xlfn.XLOOKUP($C26,TB_NG!$E:$E,TB_NG!T:T)</f>
        <v>0</v>
      </c>
      <c r="S26" s="17">
        <f>-_xlfn.XLOOKUP($C26,TB_NG!$E:$E,TB_NG!U:U)</f>
        <v>0</v>
      </c>
      <c r="T26" s="17">
        <f>-_xlfn.XLOOKUP($C26,TB_NG!$E:$E,TB_NG!V:V)</f>
        <v>-1569250</v>
      </c>
      <c r="U26" s="17">
        <f>-_xlfn.XLOOKUP($C26,TB_NG!$E:$E,TB_NG!W:W)</f>
        <v>0</v>
      </c>
      <c r="V26" s="17">
        <f>-_xlfn.XLOOKUP($C26,TB_NG!$E:$E,TB_NG!X:X)</f>
        <v>0</v>
      </c>
      <c r="W26" s="17">
        <f>-_xlfn.XLOOKUP($C26,TB_NG!$E:$E,TB_NG!Y:Y)</f>
        <v>0</v>
      </c>
      <c r="X26" s="17">
        <f>-_xlfn.XLOOKUP($C26,TB_NG!$E:$E,TB_NG!Z:Z)</f>
        <v>0</v>
      </c>
      <c r="Y26" s="17">
        <f>-_xlfn.XLOOKUP($C26,TB_NG!$E:$E,TB_NG!AA:AA)</f>
        <v>0</v>
      </c>
      <c r="Z26" s="17">
        <f>-_xlfn.XLOOKUP($C26,TB_NG!$E:$E,TB_NG!AB:AB)</f>
        <v>0</v>
      </c>
      <c r="AA26" s="17">
        <f>-_xlfn.XLOOKUP($C26,TB_NG!$E:$E,TB_NG!AC:AC)</f>
        <v>0</v>
      </c>
      <c r="AB26" s="17">
        <f>-_xlfn.XLOOKUP($C26,TB_NG!$E:$E,TB_NG!AD:AD)</f>
        <v>0</v>
      </c>
      <c r="AC26" s="17">
        <f>-_xlfn.XLOOKUP($C26,TB_NG!$E:$E,TB_NG!AE:AE)</f>
        <v>0</v>
      </c>
      <c r="AD26" s="17">
        <f>-_xlfn.XLOOKUP($C26,TB_NG!$E:$E,TB_NG!AF:AF)</f>
        <v>0</v>
      </c>
      <c r="AE26" s="17">
        <f>-_xlfn.XLOOKUP($C26,TB_NG!$E:$E,TB_NG!AG:AG)</f>
        <v>0</v>
      </c>
      <c r="AF26" s="17">
        <f>-_xlfn.XLOOKUP($C26,TB_NG!$E:$E,TB_NG!AH:AH)</f>
        <v>0</v>
      </c>
      <c r="AG26" s="17">
        <f>-_xlfn.XLOOKUP($C26,TB_NG!$E:$E,TB_NG!AI:AI)</f>
        <v>0</v>
      </c>
      <c r="AH26" s="17">
        <f>-_xlfn.XLOOKUP($C26,TB_NG!$E:$E,TB_NG!AJ:AJ)</f>
        <v>0</v>
      </c>
      <c r="AI26" s="17">
        <f>-_xlfn.XLOOKUP($C26,TB_NG!$E:$E,TB_NG!AK:AK)</f>
        <v>0</v>
      </c>
      <c r="AJ26" s="17">
        <f>-_xlfn.XLOOKUP($C26,TB_NG!$E:$E,TB_NG!AL:AL)</f>
        <v>0</v>
      </c>
      <c r="AK26" s="17">
        <f>-_xlfn.XLOOKUP($C26,TB_NG!$E:$E,TB_NG!AM:AM)</f>
        <v>0</v>
      </c>
      <c r="AL26" s="17">
        <f>-_xlfn.XLOOKUP($C26,TB_NG!$E:$E,TB_NG!AN:AN)</f>
        <v>0</v>
      </c>
      <c r="AM26" s="17">
        <f>-_xlfn.XLOOKUP($C26,TB_NG!$E:$E,TB_NG!AO:AO)</f>
        <v>0</v>
      </c>
      <c r="AS26" s="17">
        <f t="shared" si="4"/>
        <v>-40286572.539999999</v>
      </c>
      <c r="AT26" s="313">
        <f t="shared" si="5"/>
        <v>-1569250</v>
      </c>
    </row>
    <row r="27" spans="1:46" x14ac:dyDescent="0.2">
      <c r="B27" s="21">
        <f>_xlfn.XLOOKUP($C27,TB_NG!$E:$E,TB_NG!A:A)</f>
        <v>53040</v>
      </c>
      <c r="C27" s="16" t="s">
        <v>105</v>
      </c>
      <c r="D27" s="17">
        <f>-_xlfn.XLOOKUP($C27,TB_NG!$E:$E,TB_NG!F:F)</f>
        <v>-114000</v>
      </c>
      <c r="E27" s="17">
        <f>-_xlfn.XLOOKUP($C27,TB_NG!$E:$E,TB_NG!G:G)</f>
        <v>-122000</v>
      </c>
      <c r="F27" s="17">
        <f>-_xlfn.XLOOKUP($C27,TB_NG!$E:$E,TB_NG!H:H)</f>
        <v>0</v>
      </c>
      <c r="G27" s="17">
        <f>-_xlfn.XLOOKUP($C27,TB_NG!$E:$E,TB_NG!I:I)</f>
        <v>-75000</v>
      </c>
      <c r="H27" s="17">
        <f>-_xlfn.XLOOKUP($C27,TB_NG!$E:$E,TB_NG!J:J)</f>
        <v>-100500</v>
      </c>
      <c r="I27" s="17">
        <f>-_xlfn.XLOOKUP($C27,TB_NG!$E:$E,TB_NG!K:K)</f>
        <v>-108450</v>
      </c>
      <c r="J27" s="17">
        <f>-_xlfn.XLOOKUP($C27,TB_NG!$E:$E,TB_NG!L:L)</f>
        <v>0</v>
      </c>
      <c r="K27" s="17">
        <f>-_xlfn.XLOOKUP($C27,TB_NG!$E:$E,TB_NG!M:M)</f>
        <v>-187750</v>
      </c>
      <c r="L27" s="17">
        <f>-_xlfn.XLOOKUP($C27,TB_NG!$E:$E,TB_NG!N:N)</f>
        <v>-114500</v>
      </c>
      <c r="M27" s="17">
        <f>-_xlfn.XLOOKUP($C27,TB_NG!$E:$E,TB_NG!O:O)</f>
        <v>-100000</v>
      </c>
      <c r="N27" s="17">
        <f>-_xlfn.XLOOKUP($C27,TB_NG!$E:$E,TB_NG!P:P)</f>
        <v>-80000</v>
      </c>
      <c r="O27" s="17">
        <f>-_xlfn.XLOOKUP($C27,TB_NG!$E:$E,TB_NG!Q:Q)</f>
        <v>-70000</v>
      </c>
      <c r="P27" s="17">
        <f>-_xlfn.XLOOKUP($C27,TB_NG!$E:$E,TB_NG!R:R)</f>
        <v>-100000</v>
      </c>
      <c r="Q27" s="17">
        <f>-_xlfn.XLOOKUP($C27,TB_NG!$E:$E,TB_NG!S:S)</f>
        <v>-100000</v>
      </c>
      <c r="R27" s="17">
        <f>-_xlfn.XLOOKUP($C27,TB_NG!$E:$E,TB_NG!T:T)</f>
        <v>-47100</v>
      </c>
      <c r="S27" s="17">
        <f>-_xlfn.XLOOKUP($C27,TB_NG!$E:$E,TB_NG!U:U)</f>
        <v>-53400</v>
      </c>
      <c r="T27" s="17">
        <f>-_xlfn.XLOOKUP($C27,TB_NG!$E:$E,TB_NG!V:V)</f>
        <v>-88000</v>
      </c>
      <c r="U27" s="17">
        <f>-_xlfn.XLOOKUP($C27,TB_NG!$E:$E,TB_NG!W:W)</f>
        <v>-64000</v>
      </c>
      <c r="V27" s="17">
        <f>-_xlfn.XLOOKUP($C27,TB_NG!$E:$E,TB_NG!X:X)</f>
        <v>-64000</v>
      </c>
      <c r="W27" s="17">
        <f>-_xlfn.XLOOKUP($C27,TB_NG!$E:$E,TB_NG!Y:Y)</f>
        <v>-69550</v>
      </c>
      <c r="X27" s="17">
        <f>-_xlfn.XLOOKUP($C27,TB_NG!$E:$E,TB_NG!Z:Z)</f>
        <v>-80000</v>
      </c>
      <c r="Y27" s="17">
        <f>-_xlfn.XLOOKUP($C27,TB_NG!$E:$E,TB_NG!AA:AA)</f>
        <v>-105000</v>
      </c>
      <c r="Z27" s="17">
        <f>-_xlfn.XLOOKUP($C27,TB_NG!$E:$E,TB_NG!AB:AB)</f>
        <v>-80000</v>
      </c>
      <c r="AA27" s="17">
        <f>-_xlfn.XLOOKUP($C27,TB_NG!$E:$E,TB_NG!AC:AC)</f>
        <v>-60000</v>
      </c>
      <c r="AB27" s="17">
        <f>-_xlfn.XLOOKUP($C27,TB_NG!$E:$E,TB_NG!AD:AD)</f>
        <v>-80000</v>
      </c>
      <c r="AC27" s="17">
        <f>-_xlfn.XLOOKUP($C27,TB_NG!$E:$E,TB_NG!AE:AE)</f>
        <v>-85000</v>
      </c>
      <c r="AD27" s="17">
        <f>-_xlfn.XLOOKUP($C27,TB_NG!$E:$E,TB_NG!AF:AF)</f>
        <v>-106500</v>
      </c>
      <c r="AE27" s="17">
        <f>-_xlfn.XLOOKUP($C27,TB_NG!$E:$E,TB_NG!AG:AG)</f>
        <v>-91800</v>
      </c>
      <c r="AF27" s="17">
        <f>-_xlfn.XLOOKUP($C27,TB_NG!$E:$E,TB_NG!AH:AH)</f>
        <v>0</v>
      </c>
      <c r="AG27" s="17">
        <f>-_xlfn.XLOOKUP($C27,TB_NG!$E:$E,TB_NG!AI:AI)</f>
        <v>0</v>
      </c>
      <c r="AH27" s="17">
        <f>-_xlfn.XLOOKUP($C27,TB_NG!$E:$E,TB_NG!AJ:AJ)</f>
        <v>0</v>
      </c>
      <c r="AI27" s="17">
        <f>-_xlfn.XLOOKUP($C27,TB_NG!$E:$E,TB_NG!AK:AK)</f>
        <v>0</v>
      </c>
      <c r="AJ27" s="17">
        <f>-_xlfn.XLOOKUP($C27,TB_NG!$E:$E,TB_NG!AL:AL)</f>
        <v>0</v>
      </c>
      <c r="AK27" s="17">
        <f>-_xlfn.XLOOKUP($C27,TB_NG!$E:$E,TB_NG!AM:AM)</f>
        <v>0</v>
      </c>
      <c r="AL27" s="17">
        <f>-_xlfn.XLOOKUP($C27,TB_NG!$E:$E,TB_NG!AN:AN)</f>
        <v>0</v>
      </c>
      <c r="AM27" s="17">
        <f>-_xlfn.XLOOKUP($C27,TB_NG!$E:$E,TB_NG!AO:AO)</f>
        <v>0</v>
      </c>
      <c r="AS27" s="17">
        <f t="shared" si="4"/>
        <v>-1072200</v>
      </c>
      <c r="AT27" s="313">
        <f t="shared" si="5"/>
        <v>-911050</v>
      </c>
    </row>
    <row r="28" spans="1:46" x14ac:dyDescent="0.2">
      <c r="B28" s="21">
        <f>_xlfn.XLOOKUP($C28,TB_NG!$E:$E,TB_NG!A:A)</f>
        <v>53045</v>
      </c>
      <c r="C28" s="16" t="s">
        <v>106</v>
      </c>
      <c r="D28" s="17">
        <f>-_xlfn.XLOOKUP($C28,TB_NG!$E:$E,TB_NG!F:F)</f>
        <v>-38866178.399999999</v>
      </c>
      <c r="E28" s="17">
        <f>-_xlfn.XLOOKUP($C28,TB_NG!$E:$E,TB_NG!G:G)</f>
        <v>-50911525</v>
      </c>
      <c r="F28" s="17">
        <f>-_xlfn.XLOOKUP($C28,TB_NG!$E:$E,TB_NG!H:H)</f>
        <v>-32951806.880000003</v>
      </c>
      <c r="G28" s="17">
        <f>-_xlfn.XLOOKUP($C28,TB_NG!$E:$E,TB_NG!I:I)</f>
        <v>-285450.62</v>
      </c>
      <c r="H28" s="17">
        <f>-_xlfn.XLOOKUP($C28,TB_NG!$E:$E,TB_NG!J:J)</f>
        <v>-10730270.67</v>
      </c>
      <c r="I28" s="17">
        <f>-_xlfn.XLOOKUP($C28,TB_NG!$E:$E,TB_NG!K:K)</f>
        <v>-19013806.149999999</v>
      </c>
      <c r="J28" s="17">
        <f>-_xlfn.XLOOKUP($C28,TB_NG!$E:$E,TB_NG!L:L)</f>
        <v>-4833328.6399999997</v>
      </c>
      <c r="K28" s="17">
        <f>-_xlfn.XLOOKUP($C28,TB_NG!$E:$E,TB_NG!M:M)</f>
        <v>-18857116.809999999</v>
      </c>
      <c r="L28" s="17">
        <f>-_xlfn.XLOOKUP($C28,TB_NG!$E:$E,TB_NG!N:N)</f>
        <v>-17097354.640000001</v>
      </c>
      <c r="M28" s="17">
        <f>-_xlfn.XLOOKUP($C28,TB_NG!$E:$E,TB_NG!O:O)</f>
        <v>-14692363.43</v>
      </c>
      <c r="N28" s="17">
        <f>-_xlfn.XLOOKUP($C28,TB_NG!$E:$E,TB_NG!P:P)</f>
        <v>-13507770.949999999</v>
      </c>
      <c r="O28" s="17">
        <f>-_xlfn.XLOOKUP($C28,TB_NG!$E:$E,TB_NG!Q:Q)</f>
        <v>-11423798.600000001</v>
      </c>
      <c r="P28" s="17">
        <f>-_xlfn.XLOOKUP($C28,TB_NG!$E:$E,TB_NG!R:R)</f>
        <v>-7336015.7800000003</v>
      </c>
      <c r="Q28" s="17">
        <f>-_xlfn.XLOOKUP($C28,TB_NG!$E:$E,TB_NG!S:S)</f>
        <v>-6331537.21</v>
      </c>
      <c r="R28" s="17">
        <f>-_xlfn.XLOOKUP($C28,TB_NG!$E:$E,TB_NG!T:T)</f>
        <v>-6232729.4800000004</v>
      </c>
      <c r="S28" s="17">
        <f>-_xlfn.XLOOKUP($C28,TB_NG!$E:$E,TB_NG!U:U)</f>
        <v>-4670820.0199999996</v>
      </c>
      <c r="T28" s="17">
        <f>-_xlfn.XLOOKUP($C28,TB_NG!$E:$E,TB_NG!V:V)</f>
        <v>-3847732.07</v>
      </c>
      <c r="U28" s="17">
        <f>-_xlfn.XLOOKUP($C28,TB_NG!$E:$E,TB_NG!W:W)</f>
        <v>-3426551.11</v>
      </c>
      <c r="V28" s="17">
        <f>-_xlfn.XLOOKUP($C28,TB_NG!$E:$E,TB_NG!X:X)</f>
        <v>-3533544.28</v>
      </c>
      <c r="W28" s="17">
        <f>-_xlfn.XLOOKUP($C28,TB_NG!$E:$E,TB_NG!Y:Y)</f>
        <v>-3610789.74</v>
      </c>
      <c r="X28" s="17">
        <f>-_xlfn.XLOOKUP($C28,TB_NG!$E:$E,TB_NG!Z:Z)</f>
        <v>-5445395.2599999998</v>
      </c>
      <c r="Y28" s="17">
        <f>-_xlfn.XLOOKUP($C28,TB_NG!$E:$E,TB_NG!AA:AA)</f>
        <v>-3708746.87</v>
      </c>
      <c r="Z28" s="17">
        <f>-_xlfn.XLOOKUP($C28,TB_NG!$E:$E,TB_NG!AB:AB)</f>
        <v>-3561855.38</v>
      </c>
      <c r="AA28" s="17">
        <f>-_xlfn.XLOOKUP($C28,TB_NG!$E:$E,TB_NG!AC:AC)</f>
        <v>-3696467.97</v>
      </c>
      <c r="AB28" s="17">
        <f>-_xlfn.XLOOKUP($C28,TB_NG!$E:$E,TB_NG!AD:AD)</f>
        <v>-3326478.03</v>
      </c>
      <c r="AC28" s="17">
        <f>-_xlfn.XLOOKUP($C28,TB_NG!$E:$E,TB_NG!AE:AE)</f>
        <v>-2958968.88</v>
      </c>
      <c r="AD28" s="17">
        <f>-_xlfn.XLOOKUP($C28,TB_NG!$E:$E,TB_NG!AF:AF)</f>
        <v>-3212340.38</v>
      </c>
      <c r="AE28" s="17">
        <f>-_xlfn.XLOOKUP($C28,TB_NG!$E:$E,TB_NG!AG:AG)</f>
        <v>-3412760.25</v>
      </c>
      <c r="AF28" s="17">
        <f>-_xlfn.XLOOKUP($C28,TB_NG!$E:$E,TB_NG!AH:AH)</f>
        <v>0</v>
      </c>
      <c r="AG28" s="17">
        <f>-_xlfn.XLOOKUP($C28,TB_NG!$E:$E,TB_NG!AI:AI)</f>
        <v>0</v>
      </c>
      <c r="AH28" s="17">
        <f>-_xlfn.XLOOKUP($C28,TB_NG!$E:$E,TB_NG!AJ:AJ)</f>
        <v>0</v>
      </c>
      <c r="AI28" s="17">
        <f>-_xlfn.XLOOKUP($C28,TB_NG!$E:$E,TB_NG!AK:AK)</f>
        <v>0</v>
      </c>
      <c r="AJ28" s="17">
        <f>-_xlfn.XLOOKUP($C28,TB_NG!$E:$E,TB_NG!AL:AL)</f>
        <v>0</v>
      </c>
      <c r="AK28" s="17">
        <f>-_xlfn.XLOOKUP($C28,TB_NG!$E:$E,TB_NG!AM:AM)</f>
        <v>0</v>
      </c>
      <c r="AL28" s="17">
        <f>-_xlfn.XLOOKUP($C28,TB_NG!$E:$E,TB_NG!AN:AN)</f>
        <v>0</v>
      </c>
      <c r="AM28" s="17">
        <f>-_xlfn.XLOOKUP($C28,TB_NG!$E:$E,TB_NG!AO:AO)</f>
        <v>0</v>
      </c>
      <c r="AS28" s="17">
        <f t="shared" si="4"/>
        <v>-233170770.78999999</v>
      </c>
      <c r="AT28" s="313">
        <f t="shared" si="5"/>
        <v>-55402185.169999994</v>
      </c>
    </row>
    <row r="29" spans="1:46" x14ac:dyDescent="0.2">
      <c r="B29" s="21">
        <f>_xlfn.XLOOKUP($C29,TB_NG!$E:$E,TB_NG!A:A)</f>
        <v>53055</v>
      </c>
      <c r="C29" s="16" t="s">
        <v>107</v>
      </c>
      <c r="D29" s="17">
        <f>-_xlfn.XLOOKUP($C29,TB_NG!$E:$E,TB_NG!F:F)</f>
        <v>-225468.75</v>
      </c>
      <c r="E29" s="17">
        <f>-_xlfn.XLOOKUP($C29,TB_NG!$E:$E,TB_NG!G:G)</f>
        <v>-225468.75</v>
      </c>
      <c r="F29" s="17">
        <f>-_xlfn.XLOOKUP($C29,TB_NG!$E:$E,TB_NG!H:H)</f>
        <v>-225468.75</v>
      </c>
      <c r="G29" s="17">
        <f>-_xlfn.XLOOKUP($C29,TB_NG!$E:$E,TB_NG!I:I)</f>
        <v>-225468.75</v>
      </c>
      <c r="H29" s="17">
        <f>-_xlfn.XLOOKUP($C29,TB_NG!$E:$E,TB_NG!J:J)</f>
        <v>-225468.75</v>
      </c>
      <c r="I29" s="17">
        <f>-_xlfn.XLOOKUP($C29,TB_NG!$E:$E,TB_NG!K:K)</f>
        <v>-225468.75</v>
      </c>
      <c r="J29" s="17">
        <f>-_xlfn.XLOOKUP($C29,TB_NG!$E:$E,TB_NG!L:L)</f>
        <v>-7120641.5800000001</v>
      </c>
      <c r="K29" s="17">
        <f>-_xlfn.XLOOKUP($C29,TB_NG!$E:$E,TB_NG!M:M)</f>
        <v>-225468.75</v>
      </c>
      <c r="L29" s="17">
        <f>-_xlfn.XLOOKUP($C29,TB_NG!$E:$E,TB_NG!N:N)</f>
        <v>-225468.75</v>
      </c>
      <c r="M29" s="17">
        <f>-_xlfn.XLOOKUP($C29,TB_NG!$E:$E,TB_NG!O:O)</f>
        <v>-225468.75</v>
      </c>
      <c r="N29" s="17">
        <f>-_xlfn.XLOOKUP($C29,TB_NG!$E:$E,TB_NG!P:P)</f>
        <v>-225468.75</v>
      </c>
      <c r="O29" s="17">
        <f>-_xlfn.XLOOKUP($C29,TB_NG!$E:$E,TB_NG!Q:Q)</f>
        <v>-225468.75</v>
      </c>
      <c r="P29" s="17">
        <f>-_xlfn.XLOOKUP($C29,TB_NG!$E:$E,TB_NG!R:R)</f>
        <v>-225468.75</v>
      </c>
      <c r="Q29" s="17">
        <f>-_xlfn.XLOOKUP($C29,TB_NG!$E:$E,TB_NG!S:S)</f>
        <v>-225468.75</v>
      </c>
      <c r="R29" s="17">
        <f>-_xlfn.XLOOKUP($C29,TB_NG!$E:$E,TB_NG!T:T)</f>
        <v>-225468.75</v>
      </c>
      <c r="S29" s="17">
        <f>-_xlfn.XLOOKUP($C29,TB_NG!$E:$E,TB_NG!U:U)</f>
        <v>-225468.75</v>
      </c>
      <c r="T29" s="17">
        <f>-_xlfn.XLOOKUP($C29,TB_NG!$E:$E,TB_NG!V:V)</f>
        <v>-225468.75</v>
      </c>
      <c r="U29" s="17">
        <f>-_xlfn.XLOOKUP($C29,TB_NG!$E:$E,TB_NG!W:W)</f>
        <v>-225468.75</v>
      </c>
      <c r="V29" s="17">
        <f>-_xlfn.XLOOKUP($C29,TB_NG!$E:$E,TB_NG!X:X)</f>
        <v>-225468.75</v>
      </c>
      <c r="W29" s="17">
        <f>-_xlfn.XLOOKUP($C29,TB_NG!$E:$E,TB_NG!Y:Y)</f>
        <v>-225440.42</v>
      </c>
      <c r="X29" s="17">
        <f>-_xlfn.XLOOKUP($C29,TB_NG!$E:$E,TB_NG!Z:Z)</f>
        <v>-225440.42</v>
      </c>
      <c r="Y29" s="17">
        <f>-_xlfn.XLOOKUP($C29,TB_NG!$E:$E,TB_NG!AA:AA)</f>
        <v>-225440.42</v>
      </c>
      <c r="Z29" s="17">
        <f>-_xlfn.XLOOKUP($C29,TB_NG!$E:$E,TB_NG!AB:AB)</f>
        <v>-225440.42</v>
      </c>
      <c r="AA29" s="17">
        <f>-_xlfn.XLOOKUP($C29,TB_NG!$E:$E,TB_NG!AC:AC)</f>
        <v>-225440.42</v>
      </c>
      <c r="AB29" s="17">
        <f>-_xlfn.XLOOKUP($C29,TB_NG!$E:$E,TB_NG!AD:AD)</f>
        <v>-225440.42</v>
      </c>
      <c r="AC29" s="17">
        <f>-_xlfn.XLOOKUP($C29,TB_NG!$E:$E,TB_NG!AE:AE)</f>
        <v>-225440.42</v>
      </c>
      <c r="AD29" s="17">
        <f>-_xlfn.XLOOKUP($C29,TB_NG!$E:$E,TB_NG!AF:AF)</f>
        <v>-225440.42</v>
      </c>
      <c r="AE29" s="17">
        <f>-_xlfn.XLOOKUP($C29,TB_NG!$E:$E,TB_NG!AG:AG)</f>
        <v>-225440.42</v>
      </c>
      <c r="AF29" s="17">
        <f>-_xlfn.XLOOKUP($C29,TB_NG!$E:$E,TB_NG!AH:AH)</f>
        <v>0</v>
      </c>
      <c r="AG29" s="17">
        <f>-_xlfn.XLOOKUP($C29,TB_NG!$E:$E,TB_NG!AI:AI)</f>
        <v>0</v>
      </c>
      <c r="AH29" s="17">
        <f>-_xlfn.XLOOKUP($C29,TB_NG!$E:$E,TB_NG!AJ:AJ)</f>
        <v>0</v>
      </c>
      <c r="AI29" s="17">
        <f>-_xlfn.XLOOKUP($C29,TB_NG!$E:$E,TB_NG!AK:AK)</f>
        <v>0</v>
      </c>
      <c r="AJ29" s="17">
        <f>-_xlfn.XLOOKUP($C29,TB_NG!$E:$E,TB_NG!AL:AL)</f>
        <v>0</v>
      </c>
      <c r="AK29" s="17">
        <f>-_xlfn.XLOOKUP($C29,TB_NG!$E:$E,TB_NG!AM:AM)</f>
        <v>0</v>
      </c>
      <c r="AL29" s="17">
        <f>-_xlfn.XLOOKUP($C29,TB_NG!$E:$E,TB_NG!AN:AN)</f>
        <v>0</v>
      </c>
      <c r="AM29" s="17">
        <f>-_xlfn.XLOOKUP($C29,TB_NG!$E:$E,TB_NG!AO:AO)</f>
        <v>0</v>
      </c>
      <c r="AS29" s="17">
        <f t="shared" si="4"/>
        <v>-9600797.8300000001</v>
      </c>
      <c r="AT29" s="313">
        <f t="shared" si="5"/>
        <v>-2705483.3499999996</v>
      </c>
    </row>
    <row r="30" spans="1:46" x14ac:dyDescent="0.2">
      <c r="B30" s="21">
        <f>_xlfn.XLOOKUP($C30,TB_NG!$E:$E,TB_NG!A:A)</f>
        <v>53060</v>
      </c>
      <c r="C30" s="16" t="s">
        <v>108</v>
      </c>
      <c r="D30" s="17">
        <f>-_xlfn.XLOOKUP($C30,TB_NG!$E:$E,TB_NG!F:F)</f>
        <v>-12500</v>
      </c>
      <c r="E30" s="17">
        <f>-_xlfn.XLOOKUP($C30,TB_NG!$E:$E,TB_NG!G:G)</f>
        <v>-11000</v>
      </c>
      <c r="F30" s="17">
        <f>-_xlfn.XLOOKUP($C30,TB_NG!$E:$E,TB_NG!H:H)</f>
        <v>0</v>
      </c>
      <c r="G30" s="17">
        <f>-_xlfn.XLOOKUP($C30,TB_NG!$E:$E,TB_NG!I:I)</f>
        <v>-11000</v>
      </c>
      <c r="H30" s="17">
        <f>-_xlfn.XLOOKUP($C30,TB_NG!$E:$E,TB_NG!J:J)</f>
        <v>-6500</v>
      </c>
      <c r="I30" s="17">
        <f>-_xlfn.XLOOKUP($C30,TB_NG!$E:$E,TB_NG!K:K)</f>
        <v>-6500</v>
      </c>
      <c r="J30" s="17">
        <f>-_xlfn.XLOOKUP($C30,TB_NG!$E:$E,TB_NG!L:L)</f>
        <v>0</v>
      </c>
      <c r="K30" s="17">
        <f>-_xlfn.XLOOKUP($C30,TB_NG!$E:$E,TB_NG!M:M)</f>
        <v>-64500</v>
      </c>
      <c r="L30" s="17">
        <f>-_xlfn.XLOOKUP($C30,TB_NG!$E:$E,TB_NG!N:N)</f>
        <v>-6500</v>
      </c>
      <c r="M30" s="17">
        <f>-_xlfn.XLOOKUP($C30,TB_NG!$E:$E,TB_NG!O:O)</f>
        <v>-6500</v>
      </c>
      <c r="N30" s="17">
        <f>-_xlfn.XLOOKUP($C30,TB_NG!$E:$E,TB_NG!P:P)</f>
        <v>-16000</v>
      </c>
      <c r="O30" s="17">
        <f>-_xlfn.XLOOKUP($C30,TB_NG!$E:$E,TB_NG!Q:Q)</f>
        <v>-16000</v>
      </c>
      <c r="P30" s="17">
        <f>-_xlfn.XLOOKUP($C30,TB_NG!$E:$E,TB_NG!R:R)</f>
        <v>-11500</v>
      </c>
      <c r="Q30" s="17">
        <f>-_xlfn.XLOOKUP($C30,TB_NG!$E:$E,TB_NG!S:S)</f>
        <v>-12000</v>
      </c>
      <c r="R30" s="17">
        <f>-_xlfn.XLOOKUP($C30,TB_NG!$E:$E,TB_NG!T:T)</f>
        <v>-119861.43</v>
      </c>
      <c r="S30" s="17">
        <f>-_xlfn.XLOOKUP($C30,TB_NG!$E:$E,TB_NG!U:U)</f>
        <v>-10000</v>
      </c>
      <c r="T30" s="17">
        <f>-_xlfn.XLOOKUP($C30,TB_NG!$E:$E,TB_NG!V:V)</f>
        <v>-10500</v>
      </c>
      <c r="U30" s="17">
        <f>-_xlfn.XLOOKUP($C30,TB_NG!$E:$E,TB_NG!W:W)</f>
        <v>-10500</v>
      </c>
      <c r="V30" s="17">
        <f>-_xlfn.XLOOKUP($C30,TB_NG!$E:$E,TB_NG!X:X)</f>
        <v>-108929.2</v>
      </c>
      <c r="W30" s="17">
        <f>-_xlfn.XLOOKUP($C30,TB_NG!$E:$E,TB_NG!Y:Y)</f>
        <v>-240392</v>
      </c>
      <c r="X30" s="17">
        <f>-_xlfn.XLOOKUP($C30,TB_NG!$E:$E,TB_NG!Z:Z)</f>
        <v>-7500</v>
      </c>
      <c r="Y30" s="17">
        <f>-_xlfn.XLOOKUP($C30,TB_NG!$E:$E,TB_NG!AA:AA)</f>
        <v>-11000</v>
      </c>
      <c r="Z30" s="17">
        <f>-_xlfn.XLOOKUP($C30,TB_NG!$E:$E,TB_NG!AB:AB)</f>
        <v>-15000</v>
      </c>
      <c r="AA30" s="17">
        <f>-_xlfn.XLOOKUP($C30,TB_NG!$E:$E,TB_NG!AC:AC)</f>
        <v>-12500</v>
      </c>
      <c r="AB30" s="17">
        <f>-_xlfn.XLOOKUP($C30,TB_NG!$E:$E,TB_NG!AD:AD)</f>
        <v>-11000</v>
      </c>
      <c r="AC30" s="17">
        <f>-_xlfn.XLOOKUP($C30,TB_NG!$E:$E,TB_NG!AE:AE)</f>
        <v>-13000</v>
      </c>
      <c r="AD30" s="17">
        <f>-_xlfn.XLOOKUP($C30,TB_NG!$E:$E,TB_NG!AF:AF)</f>
        <v>-14000</v>
      </c>
      <c r="AE30" s="17">
        <f>-_xlfn.XLOOKUP($C30,TB_NG!$E:$E,TB_NG!AG:AG)</f>
        <v>-19700</v>
      </c>
      <c r="AF30" s="17">
        <f>-_xlfn.XLOOKUP($C30,TB_NG!$E:$E,TB_NG!AH:AH)</f>
        <v>0</v>
      </c>
      <c r="AG30" s="17">
        <f>-_xlfn.XLOOKUP($C30,TB_NG!$E:$E,TB_NG!AI:AI)</f>
        <v>0</v>
      </c>
      <c r="AH30" s="17">
        <f>-_xlfn.XLOOKUP($C30,TB_NG!$E:$E,TB_NG!AJ:AJ)</f>
        <v>0</v>
      </c>
      <c r="AI30" s="17">
        <f>-_xlfn.XLOOKUP($C30,TB_NG!$E:$E,TB_NG!AK:AK)</f>
        <v>0</v>
      </c>
      <c r="AJ30" s="17">
        <f>-_xlfn.XLOOKUP($C30,TB_NG!$E:$E,TB_NG!AL:AL)</f>
        <v>0</v>
      </c>
      <c r="AK30" s="17">
        <f>-_xlfn.XLOOKUP($C30,TB_NG!$E:$E,TB_NG!AM:AM)</f>
        <v>0</v>
      </c>
      <c r="AL30" s="17">
        <f>-_xlfn.XLOOKUP($C30,TB_NG!$E:$E,TB_NG!AN:AN)</f>
        <v>0</v>
      </c>
      <c r="AM30" s="17">
        <f>-_xlfn.XLOOKUP($C30,TB_NG!$E:$E,TB_NG!AO:AO)</f>
        <v>0</v>
      </c>
      <c r="AS30" s="17">
        <f t="shared" si="4"/>
        <v>-157000</v>
      </c>
      <c r="AT30" s="313">
        <f t="shared" si="5"/>
        <v>-569682.63</v>
      </c>
    </row>
    <row r="31" spans="1:46" x14ac:dyDescent="0.2">
      <c r="B31" s="21">
        <f>_xlfn.XLOOKUP($C31,TB_NG!$E:$E,TB_NG!A:A)</f>
        <v>53074</v>
      </c>
      <c r="C31" s="16" t="s">
        <v>109</v>
      </c>
      <c r="D31" s="17">
        <f>-_xlfn.XLOOKUP($C31,TB_NG!$E:$E,TB_NG!F:F)</f>
        <v>0</v>
      </c>
      <c r="E31" s="17">
        <f>-_xlfn.XLOOKUP($C31,TB_NG!$E:$E,TB_NG!G:G)</f>
        <v>0</v>
      </c>
      <c r="F31" s="17">
        <f>-_xlfn.XLOOKUP($C31,TB_NG!$E:$E,TB_NG!H:H)</f>
        <v>0</v>
      </c>
      <c r="G31" s="17">
        <f>-_xlfn.XLOOKUP($C31,TB_NG!$E:$E,TB_NG!I:I)</f>
        <v>0</v>
      </c>
      <c r="H31" s="17">
        <f>-_xlfn.XLOOKUP($C31,TB_NG!$E:$E,TB_NG!J:J)</f>
        <v>0</v>
      </c>
      <c r="I31" s="17">
        <f>-_xlfn.XLOOKUP($C31,TB_NG!$E:$E,TB_NG!K:K)</f>
        <v>0</v>
      </c>
      <c r="J31" s="17">
        <f>-_xlfn.XLOOKUP($C31,TB_NG!$E:$E,TB_NG!L:L)</f>
        <v>-129956.88</v>
      </c>
      <c r="K31" s="17">
        <f>-_xlfn.XLOOKUP($C31,TB_NG!$E:$E,TB_NG!M:M)</f>
        <v>0</v>
      </c>
      <c r="L31" s="17">
        <f>-_xlfn.XLOOKUP($C31,TB_NG!$E:$E,TB_NG!N:N)</f>
        <v>0</v>
      </c>
      <c r="M31" s="17">
        <f>-_xlfn.XLOOKUP($C31,TB_NG!$E:$E,TB_NG!O:O)</f>
        <v>0</v>
      </c>
      <c r="N31" s="17">
        <f>-_xlfn.XLOOKUP($C31,TB_NG!$E:$E,TB_NG!P:P)</f>
        <v>0</v>
      </c>
      <c r="O31" s="17">
        <f>-_xlfn.XLOOKUP($C31,TB_NG!$E:$E,TB_NG!Q:Q)</f>
        <v>-25000</v>
      </c>
      <c r="P31" s="17">
        <f>-_xlfn.XLOOKUP($C31,TB_NG!$E:$E,TB_NG!R:R)</f>
        <v>0</v>
      </c>
      <c r="Q31" s="17">
        <f>-_xlfn.XLOOKUP($C31,TB_NG!$E:$E,TB_NG!S:S)</f>
        <v>-29318.01</v>
      </c>
      <c r="R31" s="17">
        <f>-_xlfn.XLOOKUP($C31,TB_NG!$E:$E,TB_NG!T:T)</f>
        <v>0</v>
      </c>
      <c r="S31" s="17">
        <f>-_xlfn.XLOOKUP($C31,TB_NG!$E:$E,TB_NG!U:U)</f>
        <v>0</v>
      </c>
      <c r="T31" s="17">
        <f>-_xlfn.XLOOKUP($C31,TB_NG!$E:$E,TB_NG!V:V)</f>
        <v>0</v>
      </c>
      <c r="U31" s="17">
        <f>-_xlfn.XLOOKUP($C31,TB_NG!$E:$E,TB_NG!W:W)</f>
        <v>-41673.15</v>
      </c>
      <c r="V31" s="17">
        <f>-_xlfn.XLOOKUP($C31,TB_NG!$E:$E,TB_NG!X:X)</f>
        <v>0</v>
      </c>
      <c r="W31" s="17">
        <f>-_xlfn.XLOOKUP($C31,TB_NG!$E:$E,TB_NG!Y:Y)</f>
        <v>0</v>
      </c>
      <c r="X31" s="17">
        <f>-_xlfn.XLOOKUP($C31,TB_NG!$E:$E,TB_NG!Z:Z)</f>
        <v>-1351891</v>
      </c>
      <c r="Y31" s="17">
        <f>-_xlfn.XLOOKUP($C31,TB_NG!$E:$E,TB_NG!AA:AA)</f>
        <v>0</v>
      </c>
      <c r="Z31" s="17">
        <f>-_xlfn.XLOOKUP($C31,TB_NG!$E:$E,TB_NG!AB:AB)</f>
        <v>0</v>
      </c>
      <c r="AA31" s="17">
        <f>-_xlfn.XLOOKUP($C31,TB_NG!$E:$E,TB_NG!AC:AC)</f>
        <v>0</v>
      </c>
      <c r="AB31" s="17">
        <f>-_xlfn.XLOOKUP($C31,TB_NG!$E:$E,TB_NG!AD:AD)</f>
        <v>0</v>
      </c>
      <c r="AC31" s="17">
        <f>-_xlfn.XLOOKUP($C31,TB_NG!$E:$E,TB_NG!AE:AE)</f>
        <v>-10161.25</v>
      </c>
      <c r="AD31" s="17">
        <f>-_xlfn.XLOOKUP($C31,TB_NG!$E:$E,TB_NG!AF:AF)</f>
        <v>0</v>
      </c>
      <c r="AE31" s="17">
        <f>-_xlfn.XLOOKUP($C31,TB_NG!$E:$E,TB_NG!AG:AG)</f>
        <v>0</v>
      </c>
      <c r="AF31" s="17">
        <f>-_xlfn.XLOOKUP($C31,TB_NG!$E:$E,TB_NG!AH:AH)</f>
        <v>0</v>
      </c>
      <c r="AG31" s="17">
        <f>-_xlfn.XLOOKUP($C31,TB_NG!$E:$E,TB_NG!AI:AI)</f>
        <v>0</v>
      </c>
      <c r="AH31" s="17">
        <f>-_xlfn.XLOOKUP($C31,TB_NG!$E:$E,TB_NG!AJ:AJ)</f>
        <v>0</v>
      </c>
      <c r="AI31" s="17">
        <f>-_xlfn.XLOOKUP($C31,TB_NG!$E:$E,TB_NG!AK:AK)</f>
        <v>0</v>
      </c>
      <c r="AJ31" s="17">
        <f>-_xlfn.XLOOKUP($C31,TB_NG!$E:$E,TB_NG!AL:AL)</f>
        <v>0</v>
      </c>
      <c r="AK31" s="17">
        <f>-_xlfn.XLOOKUP($C31,TB_NG!$E:$E,TB_NG!AM:AM)</f>
        <v>0</v>
      </c>
      <c r="AL31" s="17">
        <f>-_xlfn.XLOOKUP($C31,TB_NG!$E:$E,TB_NG!AN:AN)</f>
        <v>0</v>
      </c>
      <c r="AM31" s="17">
        <f>-_xlfn.XLOOKUP($C31,TB_NG!$E:$E,TB_NG!AO:AO)</f>
        <v>0</v>
      </c>
      <c r="AS31" s="17">
        <f t="shared" si="4"/>
        <v>-154956.88</v>
      </c>
      <c r="AT31" s="313">
        <f t="shared" si="5"/>
        <v>-1422882.16</v>
      </c>
    </row>
    <row r="32" spans="1:46" x14ac:dyDescent="0.2">
      <c r="B32" s="21">
        <f>_xlfn.XLOOKUP($C32,TB_NG!$E:$E,TB_NG!A:A)</f>
        <v>53065</v>
      </c>
      <c r="C32" s="16" t="s">
        <v>110</v>
      </c>
      <c r="D32" s="17">
        <f>-_xlfn.XLOOKUP($C32,TB_NG!$E:$E,TB_NG!F:F)</f>
        <v>0</v>
      </c>
      <c r="E32" s="17">
        <f>-_xlfn.XLOOKUP($C32,TB_NG!$E:$E,TB_NG!G:G)</f>
        <v>0</v>
      </c>
      <c r="F32" s="17">
        <f>-_xlfn.XLOOKUP($C32,TB_NG!$E:$E,TB_NG!H:H)</f>
        <v>0</v>
      </c>
      <c r="G32" s="17">
        <f>-_xlfn.XLOOKUP($C32,TB_NG!$E:$E,TB_NG!I:I)</f>
        <v>0</v>
      </c>
      <c r="H32" s="17">
        <f>-_xlfn.XLOOKUP($C32,TB_NG!$E:$E,TB_NG!J:J)</f>
        <v>0</v>
      </c>
      <c r="I32" s="17">
        <f>-_xlfn.XLOOKUP($C32,TB_NG!$E:$E,TB_NG!K:K)</f>
        <v>0</v>
      </c>
      <c r="J32" s="17">
        <f>-_xlfn.XLOOKUP($C32,TB_NG!$E:$E,TB_NG!L:L)</f>
        <v>0</v>
      </c>
      <c r="K32" s="17">
        <f>-_xlfn.XLOOKUP($C32,TB_NG!$E:$E,TB_NG!M:M)</f>
        <v>0</v>
      </c>
      <c r="L32" s="17">
        <f>-_xlfn.XLOOKUP($C32,TB_NG!$E:$E,TB_NG!N:N)</f>
        <v>0</v>
      </c>
      <c r="M32" s="17">
        <f>-_xlfn.XLOOKUP($C32,TB_NG!$E:$E,TB_NG!O:O)</f>
        <v>0</v>
      </c>
      <c r="N32" s="17">
        <f>-_xlfn.XLOOKUP($C32,TB_NG!$E:$E,TB_NG!P:P)</f>
        <v>0</v>
      </c>
      <c r="O32" s="17">
        <f>-_xlfn.XLOOKUP($C32,TB_NG!$E:$E,TB_NG!Q:Q)</f>
        <v>0</v>
      </c>
      <c r="P32" s="17">
        <f>-_xlfn.XLOOKUP($C32,TB_NG!$E:$E,TB_NG!R:R)</f>
        <v>0</v>
      </c>
      <c r="Q32" s="17">
        <f>-_xlfn.XLOOKUP($C32,TB_NG!$E:$E,TB_NG!S:S)</f>
        <v>0</v>
      </c>
      <c r="R32" s="17">
        <f>-_xlfn.XLOOKUP($C32,TB_NG!$E:$E,TB_NG!T:T)</f>
        <v>-822120.6</v>
      </c>
      <c r="S32" s="17">
        <f>-_xlfn.XLOOKUP($C32,TB_NG!$E:$E,TB_NG!U:U)</f>
        <v>0</v>
      </c>
      <c r="T32" s="17">
        <f>-_xlfn.XLOOKUP($C32,TB_NG!$E:$E,TB_NG!V:V)</f>
        <v>-1360414</v>
      </c>
      <c r="U32" s="17">
        <f>-_xlfn.XLOOKUP($C32,TB_NG!$E:$E,TB_NG!W:W)</f>
        <v>0</v>
      </c>
      <c r="V32" s="17">
        <f>-_xlfn.XLOOKUP($C32,TB_NG!$E:$E,TB_NG!X:X)</f>
        <v>-856853.2</v>
      </c>
      <c r="W32" s="17">
        <f>-_xlfn.XLOOKUP($C32,TB_NG!$E:$E,TB_NG!Y:Y)</f>
        <v>-1314616.8</v>
      </c>
      <c r="X32" s="17">
        <f>-_xlfn.XLOOKUP($C32,TB_NG!$E:$E,TB_NG!Z:Z)</f>
        <v>0</v>
      </c>
      <c r="Y32" s="17">
        <f>-_xlfn.XLOOKUP($C32,TB_NG!$E:$E,TB_NG!AA:AA)</f>
        <v>0</v>
      </c>
      <c r="Z32" s="17">
        <f>-_xlfn.XLOOKUP($C32,TB_NG!$E:$E,TB_NG!AB:AB)</f>
        <v>0</v>
      </c>
      <c r="AA32" s="17">
        <f>-_xlfn.XLOOKUP($C32,TB_NG!$E:$E,TB_NG!AC:AC)</f>
        <v>0</v>
      </c>
      <c r="AB32" s="17">
        <f>-_xlfn.XLOOKUP($C32,TB_NG!$E:$E,TB_NG!AD:AD)</f>
        <v>0</v>
      </c>
      <c r="AC32" s="17">
        <f>-_xlfn.XLOOKUP($C32,TB_NG!$E:$E,TB_NG!AE:AE)</f>
        <v>0</v>
      </c>
      <c r="AD32" s="17">
        <f>-_xlfn.XLOOKUP($C32,TB_NG!$E:$E,TB_NG!AF:AF)</f>
        <v>0</v>
      </c>
      <c r="AE32" s="17">
        <f>-_xlfn.XLOOKUP($C32,TB_NG!$E:$E,TB_NG!AG:AG)</f>
        <v>0</v>
      </c>
      <c r="AF32" s="17">
        <f>-_xlfn.XLOOKUP($C32,TB_NG!$E:$E,TB_NG!AH:AH)</f>
        <v>0</v>
      </c>
      <c r="AG32" s="17">
        <f>-_xlfn.XLOOKUP($C32,TB_NG!$E:$E,TB_NG!AI:AI)</f>
        <v>0</v>
      </c>
      <c r="AH32" s="17">
        <f>-_xlfn.XLOOKUP($C32,TB_NG!$E:$E,TB_NG!AJ:AJ)</f>
        <v>0</v>
      </c>
      <c r="AI32" s="17">
        <f>-_xlfn.XLOOKUP($C32,TB_NG!$E:$E,TB_NG!AK:AK)</f>
        <v>0</v>
      </c>
      <c r="AJ32" s="17">
        <f>-_xlfn.XLOOKUP($C32,TB_NG!$E:$E,TB_NG!AL:AL)</f>
        <v>0</v>
      </c>
      <c r="AK32" s="17">
        <f>-_xlfn.XLOOKUP($C32,TB_NG!$E:$E,TB_NG!AM:AM)</f>
        <v>0</v>
      </c>
      <c r="AL32" s="17">
        <f>-_xlfn.XLOOKUP($C32,TB_NG!$E:$E,TB_NG!AN:AN)</f>
        <v>0</v>
      </c>
      <c r="AM32" s="17">
        <f>-_xlfn.XLOOKUP($C32,TB_NG!$E:$E,TB_NG!AO:AO)</f>
        <v>0</v>
      </c>
      <c r="AS32" s="17">
        <f t="shared" si="4"/>
        <v>0</v>
      </c>
      <c r="AT32" s="313">
        <f t="shared" si="5"/>
        <v>-4354004.5999999996</v>
      </c>
    </row>
    <row r="33" spans="2:46" x14ac:dyDescent="0.2">
      <c r="B33" s="21">
        <f>_xlfn.XLOOKUP($C33,TB_NG!$E:$E,TB_NG!A:A)</f>
        <v>53075</v>
      </c>
      <c r="C33" s="16" t="s">
        <v>111</v>
      </c>
      <c r="D33" s="17">
        <f>-_xlfn.XLOOKUP($C33,TB_NG!$E:$E,TB_NG!F:F)</f>
        <v>-65000</v>
      </c>
      <c r="E33" s="17">
        <f>-_xlfn.XLOOKUP($C33,TB_NG!$E:$E,TB_NG!G:G)</f>
        <v>0</v>
      </c>
      <c r="F33" s="17">
        <f>-_xlfn.XLOOKUP($C33,TB_NG!$E:$E,TB_NG!H:H)</f>
        <v>0</v>
      </c>
      <c r="G33" s="17">
        <f>-_xlfn.XLOOKUP($C33,TB_NG!$E:$E,TB_NG!I:I)</f>
        <v>0</v>
      </c>
      <c r="H33" s="17">
        <f>-_xlfn.XLOOKUP($C33,TB_NG!$E:$E,TB_NG!J:J)</f>
        <v>0</v>
      </c>
      <c r="I33" s="17">
        <f>-_xlfn.XLOOKUP($C33,TB_NG!$E:$E,TB_NG!K:K)</f>
        <v>0</v>
      </c>
      <c r="J33" s="17">
        <f>-_xlfn.XLOOKUP($C33,TB_NG!$E:$E,TB_NG!L:L)</f>
        <v>0</v>
      </c>
      <c r="K33" s="17">
        <f>-_xlfn.XLOOKUP($C33,TB_NG!$E:$E,TB_NG!M:M)</f>
        <v>0</v>
      </c>
      <c r="L33" s="17">
        <f>-_xlfn.XLOOKUP($C33,TB_NG!$E:$E,TB_NG!N:N)</f>
        <v>0</v>
      </c>
      <c r="M33" s="17">
        <f>-_xlfn.XLOOKUP($C33,TB_NG!$E:$E,TB_NG!O:O)</f>
        <v>-1904500</v>
      </c>
      <c r="N33" s="17">
        <f>-_xlfn.XLOOKUP($C33,TB_NG!$E:$E,TB_NG!P:P)</f>
        <v>-1863990</v>
      </c>
      <c r="O33" s="17">
        <f>-_xlfn.XLOOKUP($C33,TB_NG!$E:$E,TB_NG!Q:Q)</f>
        <v>-600710</v>
      </c>
      <c r="P33" s="17">
        <f>-_xlfn.XLOOKUP($C33,TB_NG!$E:$E,TB_NG!R:R)</f>
        <v>-1198890</v>
      </c>
      <c r="Q33" s="17">
        <f>-_xlfn.XLOOKUP($C33,TB_NG!$E:$E,TB_NG!S:S)</f>
        <v>-513810</v>
      </c>
      <c r="R33" s="17">
        <f>-_xlfn.XLOOKUP($C33,TB_NG!$E:$E,TB_NG!T:T)</f>
        <v>-35800</v>
      </c>
      <c r="S33" s="17">
        <f>-_xlfn.XLOOKUP($C33,TB_NG!$E:$E,TB_NG!U:U)</f>
        <v>-875700</v>
      </c>
      <c r="T33" s="17">
        <f>-_xlfn.XLOOKUP($C33,TB_NG!$E:$E,TB_NG!V:V)</f>
        <v>-33280</v>
      </c>
      <c r="U33" s="17">
        <f>-_xlfn.XLOOKUP($C33,TB_NG!$E:$E,TB_NG!W:W)</f>
        <v>-1919100</v>
      </c>
      <c r="V33" s="17">
        <f>-_xlfn.XLOOKUP($C33,TB_NG!$E:$E,TB_NG!X:X)</f>
        <v>-2767590</v>
      </c>
      <c r="W33" s="17">
        <f>-_xlfn.XLOOKUP($C33,TB_NG!$E:$E,TB_NG!Y:Y)</f>
        <v>-1967460</v>
      </c>
      <c r="X33" s="17">
        <f>-_xlfn.XLOOKUP($C33,TB_NG!$E:$E,TB_NG!Z:Z)</f>
        <v>-499050</v>
      </c>
      <c r="Y33" s="17">
        <f>-_xlfn.XLOOKUP($C33,TB_NG!$E:$E,TB_NG!AA:AA)</f>
        <v>-1478100</v>
      </c>
      <c r="Z33" s="17">
        <f>-_xlfn.XLOOKUP($C33,TB_NG!$E:$E,TB_NG!AB:AB)</f>
        <v>-33000</v>
      </c>
      <c r="AA33" s="17">
        <f>-_xlfn.XLOOKUP($C33,TB_NG!$E:$E,TB_NG!AC:AC)</f>
        <v>-30000</v>
      </c>
      <c r="AB33" s="17">
        <f>-_xlfn.XLOOKUP($C33,TB_NG!$E:$E,TB_NG!AD:AD)</f>
        <v>-37000</v>
      </c>
      <c r="AC33" s="17">
        <f>-_xlfn.XLOOKUP($C33,TB_NG!$E:$E,TB_NG!AE:AE)</f>
        <v>-30000</v>
      </c>
      <c r="AD33" s="17">
        <f>-_xlfn.XLOOKUP($C33,TB_NG!$E:$E,TB_NG!AF:AF)</f>
        <v>-7500</v>
      </c>
      <c r="AE33" s="17">
        <f>-_xlfn.XLOOKUP($C33,TB_NG!$E:$E,TB_NG!AG:AG)</f>
        <v>0</v>
      </c>
      <c r="AF33" s="17">
        <f>-_xlfn.XLOOKUP($C33,TB_NG!$E:$E,TB_NG!AH:AH)</f>
        <v>0</v>
      </c>
      <c r="AG33" s="17">
        <f>-_xlfn.XLOOKUP($C33,TB_NG!$E:$E,TB_NG!AI:AI)</f>
        <v>0</v>
      </c>
      <c r="AH33" s="17">
        <f>-_xlfn.XLOOKUP($C33,TB_NG!$E:$E,TB_NG!AJ:AJ)</f>
        <v>0</v>
      </c>
      <c r="AI33" s="17">
        <f>-_xlfn.XLOOKUP($C33,TB_NG!$E:$E,TB_NG!AK:AK)</f>
        <v>0</v>
      </c>
      <c r="AJ33" s="17">
        <f>-_xlfn.XLOOKUP($C33,TB_NG!$E:$E,TB_NG!AL:AL)</f>
        <v>0</v>
      </c>
      <c r="AK33" s="17">
        <f>-_xlfn.XLOOKUP($C33,TB_NG!$E:$E,TB_NG!AM:AM)</f>
        <v>0</v>
      </c>
      <c r="AL33" s="17">
        <f>-_xlfn.XLOOKUP($C33,TB_NG!$E:$E,TB_NG!AN:AN)</f>
        <v>0</v>
      </c>
      <c r="AM33" s="17">
        <f>-_xlfn.XLOOKUP($C33,TB_NG!$E:$E,TB_NG!AO:AO)</f>
        <v>0</v>
      </c>
      <c r="AS33" s="17">
        <f t="shared" si="4"/>
        <v>-4434200</v>
      </c>
      <c r="AT33" s="17">
        <f t="shared" si="5"/>
        <v>-11351780</v>
      </c>
    </row>
    <row r="34" spans="2:46" x14ac:dyDescent="0.2">
      <c r="B34" s="21">
        <f>_xlfn.XLOOKUP($C34,TB_NG!$E:$E,TB_NG!A:A)</f>
        <v>53080</v>
      </c>
      <c r="C34" s="16" t="s">
        <v>112</v>
      </c>
      <c r="D34" s="17">
        <f>-_xlfn.XLOOKUP($C34,TB_NG!$E:$E,TB_NG!F:F)</f>
        <v>-5887296.0499999998</v>
      </c>
      <c r="E34" s="17">
        <f>-_xlfn.XLOOKUP($C34,TB_NG!$E:$E,TB_NG!G:G)</f>
        <v>-16231169.099999994</v>
      </c>
      <c r="F34" s="17">
        <f>-_xlfn.XLOOKUP($C34,TB_NG!$E:$E,TB_NG!H:H)</f>
        <v>-55159262.189999998</v>
      </c>
      <c r="G34" s="17">
        <f>-_xlfn.XLOOKUP($C34,TB_NG!$E:$E,TB_NG!I:I)</f>
        <v>-71549822.129999995</v>
      </c>
      <c r="H34" s="17">
        <f>-_xlfn.XLOOKUP($C34,TB_NG!$E:$E,TB_NG!J:J)</f>
        <v>-105831215.36999999</v>
      </c>
      <c r="I34" s="17">
        <f>-_xlfn.XLOOKUP($C34,TB_NG!$E:$E,TB_NG!K:K)</f>
        <v>-835893</v>
      </c>
      <c r="J34" s="17">
        <f>-_xlfn.XLOOKUP($C34,TB_NG!$E:$E,TB_NG!L:L)</f>
        <v>-183902.5</v>
      </c>
      <c r="K34" s="17">
        <f>-_xlfn.XLOOKUP($C34,TB_NG!$E:$E,TB_NG!M:M)</f>
        <v>-37202065.5</v>
      </c>
      <c r="L34" s="17">
        <f>-_xlfn.XLOOKUP($C34,TB_NG!$E:$E,TB_NG!N:N)</f>
        <v>-8818218.6300000008</v>
      </c>
      <c r="M34" s="17">
        <f>-_xlfn.XLOOKUP($C34,TB_NG!$E:$E,TB_NG!O:O)</f>
        <v>-6434261.6899999995</v>
      </c>
      <c r="N34" s="17">
        <f>-_xlfn.XLOOKUP($C34,TB_NG!$E:$E,TB_NG!P:P)</f>
        <v>-6949865.25</v>
      </c>
      <c r="O34" s="17">
        <f>-_xlfn.XLOOKUP($C34,TB_NG!$E:$E,TB_NG!Q:Q)</f>
        <v>-7618177.75</v>
      </c>
      <c r="P34" s="17">
        <f>-_xlfn.XLOOKUP($C34,TB_NG!$E:$E,TB_NG!R:R)</f>
        <v>-10279075.08</v>
      </c>
      <c r="Q34" s="17">
        <f>-_xlfn.XLOOKUP($C34,TB_NG!$E:$E,TB_NG!S:S)</f>
        <v>-2177212.0499999998</v>
      </c>
      <c r="R34" s="17">
        <f>-_xlfn.XLOOKUP($C34,TB_NG!$E:$E,TB_NG!T:T)</f>
        <v>-1810118.55</v>
      </c>
      <c r="S34" s="17">
        <f>-_xlfn.XLOOKUP($C34,TB_NG!$E:$E,TB_NG!U:U)</f>
        <v>-1975523.55</v>
      </c>
      <c r="T34" s="17">
        <f>-_xlfn.XLOOKUP($C34,TB_NG!$E:$E,TB_NG!V:V)</f>
        <v>-2005833.55</v>
      </c>
      <c r="U34" s="17">
        <f>-_xlfn.XLOOKUP($C34,TB_NG!$E:$E,TB_NG!W:W)</f>
        <v>-2001863.55</v>
      </c>
      <c r="V34" s="17">
        <f>-_xlfn.XLOOKUP($C34,TB_NG!$E:$E,TB_NG!X:X)</f>
        <v>-12007411.619999999</v>
      </c>
      <c r="W34" s="17">
        <f>-_xlfn.XLOOKUP($C34,TB_NG!$E:$E,TB_NG!Y:Y)</f>
        <v>-1817753.55</v>
      </c>
      <c r="X34" s="17">
        <f>-_xlfn.XLOOKUP($C34,TB_NG!$E:$E,TB_NG!Z:Z)</f>
        <v>-1744089.15</v>
      </c>
      <c r="Y34" s="17">
        <f>-_xlfn.XLOOKUP($C34,TB_NG!$E:$E,TB_NG!AA:AA)</f>
        <v>-1104326.78</v>
      </c>
      <c r="Z34" s="17">
        <f>-_xlfn.XLOOKUP($C34,TB_NG!$E:$E,TB_NG!AB:AB)</f>
        <v>10911611.59</v>
      </c>
      <c r="AA34" s="17">
        <f>-_xlfn.XLOOKUP($C34,TB_NG!$E:$E,TB_NG!AC:AC)</f>
        <v>-449491.80000000005</v>
      </c>
      <c r="AB34" s="17">
        <f>-_xlfn.XLOOKUP($C34,TB_NG!$E:$E,TB_NG!AD:AD)</f>
        <v>-7359960</v>
      </c>
      <c r="AC34" s="17">
        <f>-_xlfn.XLOOKUP($C34,TB_NG!$E:$E,TB_NG!AE:AE)</f>
        <v>-37893.75</v>
      </c>
      <c r="AD34" s="17">
        <f>-_xlfn.XLOOKUP($C34,TB_NG!$E:$E,TB_NG!AF:AF)</f>
        <v>-1457302.79</v>
      </c>
      <c r="AE34" s="17">
        <f>-_xlfn.XLOOKUP($C34,TB_NG!$E:$E,TB_NG!AG:AG)</f>
        <v>-85681.75</v>
      </c>
      <c r="AF34" s="17">
        <f>-_xlfn.XLOOKUP($C34,TB_NG!$E:$E,TB_NG!AH:AH)</f>
        <v>0</v>
      </c>
      <c r="AG34" s="17">
        <f>-_xlfn.XLOOKUP($C34,TB_NG!$E:$E,TB_NG!AI:AI)</f>
        <v>0</v>
      </c>
      <c r="AH34" s="17">
        <f>-_xlfn.XLOOKUP($C34,TB_NG!$E:$E,TB_NG!AJ:AJ)</f>
        <v>0</v>
      </c>
      <c r="AI34" s="17">
        <f>-_xlfn.XLOOKUP($C34,TB_NG!$E:$E,TB_NG!AK:AK)</f>
        <v>0</v>
      </c>
      <c r="AJ34" s="17">
        <f>-_xlfn.XLOOKUP($C34,TB_NG!$E:$E,TB_NG!AL:AL)</f>
        <v>0</v>
      </c>
      <c r="AK34" s="17">
        <f>-_xlfn.XLOOKUP($C34,TB_NG!$E:$E,TB_NG!AM:AM)</f>
        <v>0</v>
      </c>
      <c r="AL34" s="17">
        <f>-_xlfn.XLOOKUP($C34,TB_NG!$E:$E,TB_NG!AN:AN)</f>
        <v>0</v>
      </c>
      <c r="AM34" s="17">
        <f>-_xlfn.XLOOKUP($C34,TB_NG!$E:$E,TB_NG!AO:AO)</f>
        <v>0</v>
      </c>
      <c r="AS34" s="17">
        <f t="shared" si="4"/>
        <v>-322701149.15999997</v>
      </c>
      <c r="AT34" s="313">
        <f t="shared" si="5"/>
        <v>-26461087.640000001</v>
      </c>
    </row>
    <row r="35" spans="2:46" x14ac:dyDescent="0.2">
      <c r="B35" s="21">
        <f>_xlfn.XLOOKUP($C35,TB_NG!$E:$E,TB_NG!A:A)</f>
        <v>53090</v>
      </c>
      <c r="C35" s="16" t="s">
        <v>113</v>
      </c>
      <c r="D35" s="17">
        <f>-_xlfn.XLOOKUP($C35,TB_NG!$E:$E,TB_NG!F:F)</f>
        <v>-6800</v>
      </c>
      <c r="E35" s="17">
        <f>-_xlfn.XLOOKUP($C35,TB_NG!$E:$E,TB_NG!G:G)</f>
        <v>-67500</v>
      </c>
      <c r="F35" s="17">
        <f>-_xlfn.XLOOKUP($C35,TB_NG!$E:$E,TB_NG!H:H)</f>
        <v>0</v>
      </c>
      <c r="G35" s="17">
        <f>-_xlfn.XLOOKUP($C35,TB_NG!$E:$E,TB_NG!I:I)</f>
        <v>-67500</v>
      </c>
      <c r="H35" s="17">
        <f>-_xlfn.XLOOKUP($C35,TB_NG!$E:$E,TB_NG!J:J)</f>
        <v>-63500</v>
      </c>
      <c r="I35" s="17">
        <f>-_xlfn.XLOOKUP($C35,TB_NG!$E:$E,TB_NG!K:K)</f>
        <v>0</v>
      </c>
      <c r="J35" s="17">
        <f>-_xlfn.XLOOKUP($C35,TB_NG!$E:$E,TB_NG!L:L)</f>
        <v>0</v>
      </c>
      <c r="K35" s="17">
        <f>-_xlfn.XLOOKUP($C35,TB_NG!$E:$E,TB_NG!M:M)</f>
        <v>0</v>
      </c>
      <c r="L35" s="17">
        <f>-_xlfn.XLOOKUP($C35,TB_NG!$E:$E,TB_NG!N:N)</f>
        <v>0</v>
      </c>
      <c r="M35" s="17">
        <f>-_xlfn.XLOOKUP($C35,TB_NG!$E:$E,TB_NG!O:O)</f>
        <v>-9400</v>
      </c>
      <c r="N35" s="17">
        <f>-_xlfn.XLOOKUP($C35,TB_NG!$E:$E,TB_NG!P:P)</f>
        <v>-47500</v>
      </c>
      <c r="O35" s="17">
        <f>-_xlfn.XLOOKUP($C35,TB_NG!$E:$E,TB_NG!Q:Q)</f>
        <v>0</v>
      </c>
      <c r="P35" s="17">
        <f>-_xlfn.XLOOKUP($C35,TB_NG!$E:$E,TB_NG!R:R)</f>
        <v>-11400</v>
      </c>
      <c r="Q35" s="17">
        <f>-_xlfn.XLOOKUP($C35,TB_NG!$E:$E,TB_NG!S:S)</f>
        <v>-9000</v>
      </c>
      <c r="R35" s="17">
        <f>-_xlfn.XLOOKUP($C35,TB_NG!$E:$E,TB_NG!T:T)</f>
        <v>-31200</v>
      </c>
      <c r="S35" s="17">
        <f>-_xlfn.XLOOKUP($C35,TB_NG!$E:$E,TB_NG!U:U)</f>
        <v>-57500</v>
      </c>
      <c r="T35" s="17">
        <f>-_xlfn.XLOOKUP($C35,TB_NG!$E:$E,TB_NG!V:V)</f>
        <v>0</v>
      </c>
      <c r="U35" s="17">
        <f>-_xlfn.XLOOKUP($C35,TB_NG!$E:$E,TB_NG!W:W)</f>
        <v>-25000</v>
      </c>
      <c r="V35" s="17">
        <f>-_xlfn.XLOOKUP($C35,TB_NG!$E:$E,TB_NG!X:X)</f>
        <v>-16000</v>
      </c>
      <c r="W35" s="17">
        <f>-_xlfn.XLOOKUP($C35,TB_NG!$E:$E,TB_NG!Y:Y)</f>
        <v>-25000</v>
      </c>
      <c r="X35" s="17">
        <f>-_xlfn.XLOOKUP($C35,TB_NG!$E:$E,TB_NG!Z:Z)</f>
        <v>-18000</v>
      </c>
      <c r="Y35" s="17">
        <f>-_xlfn.XLOOKUP($C35,TB_NG!$E:$E,TB_NG!AA:AA)</f>
        <v>0</v>
      </c>
      <c r="Z35" s="17">
        <f>-_xlfn.XLOOKUP($C35,TB_NG!$E:$E,TB_NG!AB:AB)</f>
        <v>0</v>
      </c>
      <c r="AA35" s="17">
        <f>-_xlfn.XLOOKUP($C35,TB_NG!$E:$E,TB_NG!AC:AC)</f>
        <v>0</v>
      </c>
      <c r="AB35" s="17">
        <f>-_xlfn.XLOOKUP($C35,TB_NG!$E:$E,TB_NG!AD:AD)</f>
        <v>0</v>
      </c>
      <c r="AC35" s="17">
        <f>-_xlfn.XLOOKUP($C35,TB_NG!$E:$E,TB_NG!AE:AE)</f>
        <v>0</v>
      </c>
      <c r="AD35" s="17">
        <f>-_xlfn.XLOOKUP($C35,TB_NG!$E:$E,TB_NG!AF:AF)</f>
        <v>0</v>
      </c>
      <c r="AE35" s="17">
        <f>-_xlfn.XLOOKUP($C35,TB_NG!$E:$E,TB_NG!AG:AG)</f>
        <v>-16500</v>
      </c>
      <c r="AF35" s="17">
        <f>-_xlfn.XLOOKUP($C35,TB_NG!$E:$E,TB_NG!AH:AH)</f>
        <v>0</v>
      </c>
      <c r="AG35" s="17">
        <f>-_xlfn.XLOOKUP($C35,TB_NG!$E:$E,TB_NG!AI:AI)</f>
        <v>0</v>
      </c>
      <c r="AH35" s="17">
        <f>-_xlfn.XLOOKUP($C35,TB_NG!$E:$E,TB_NG!AJ:AJ)</f>
        <v>0</v>
      </c>
      <c r="AI35" s="17">
        <f>-_xlfn.XLOOKUP($C35,TB_NG!$E:$E,TB_NG!AK:AK)</f>
        <v>0</v>
      </c>
      <c r="AJ35" s="17">
        <f>-_xlfn.XLOOKUP($C35,TB_NG!$E:$E,TB_NG!AL:AL)</f>
        <v>0</v>
      </c>
      <c r="AK35" s="17">
        <f>-_xlfn.XLOOKUP($C35,TB_NG!$E:$E,TB_NG!AM:AM)</f>
        <v>0</v>
      </c>
      <c r="AL35" s="17">
        <f>-_xlfn.XLOOKUP($C35,TB_NG!$E:$E,TB_NG!AN:AN)</f>
        <v>0</v>
      </c>
      <c r="AM35" s="17">
        <f>-_xlfn.XLOOKUP($C35,TB_NG!$E:$E,TB_NG!AO:AO)</f>
        <v>0</v>
      </c>
      <c r="AS35" s="17">
        <f t="shared" si="4"/>
        <v>-262200</v>
      </c>
      <c r="AT35" s="17">
        <f t="shared" si="5"/>
        <v>-193100</v>
      </c>
    </row>
    <row r="36" spans="2:46" x14ac:dyDescent="0.2">
      <c r="B36" s="21">
        <f>_xlfn.XLOOKUP($C36,TB_NG!$E:$E,TB_NG!A:A)</f>
        <v>53095</v>
      </c>
      <c r="C36" s="16" t="s">
        <v>114</v>
      </c>
      <c r="D36" s="17">
        <f>-_xlfn.XLOOKUP($C36,TB_NG!$E:$E,TB_NG!F:F)</f>
        <v>-4000</v>
      </c>
      <c r="E36" s="17">
        <f>-_xlfn.XLOOKUP($C36,TB_NG!$E:$E,TB_NG!G:G)</f>
        <v>-2000</v>
      </c>
      <c r="F36" s="17">
        <f>-_xlfn.XLOOKUP($C36,TB_NG!$E:$E,TB_NG!H:H)</f>
        <v>0</v>
      </c>
      <c r="G36" s="17">
        <f>-_xlfn.XLOOKUP($C36,TB_NG!$E:$E,TB_NG!I:I)</f>
        <v>-2000</v>
      </c>
      <c r="H36" s="17">
        <f>-_xlfn.XLOOKUP($C36,TB_NG!$E:$E,TB_NG!J:J)</f>
        <v>-2000</v>
      </c>
      <c r="I36" s="17">
        <f>-_xlfn.XLOOKUP($C36,TB_NG!$E:$E,TB_NG!K:K)</f>
        <v>-2000</v>
      </c>
      <c r="J36" s="17">
        <f>-_xlfn.XLOOKUP($C36,TB_NG!$E:$E,TB_NG!L:L)</f>
        <v>0</v>
      </c>
      <c r="K36" s="17">
        <f>-_xlfn.XLOOKUP($C36,TB_NG!$E:$E,TB_NG!M:M)</f>
        <v>-4000</v>
      </c>
      <c r="L36" s="17">
        <f>-_xlfn.XLOOKUP($C36,TB_NG!$E:$E,TB_NG!N:N)</f>
        <v>-2000</v>
      </c>
      <c r="M36" s="17">
        <f>-_xlfn.XLOOKUP($C36,TB_NG!$E:$E,TB_NG!O:O)</f>
        <v>-2000</v>
      </c>
      <c r="N36" s="17">
        <f>-_xlfn.XLOOKUP($C36,TB_NG!$E:$E,TB_NG!P:P)</f>
        <v>-2000</v>
      </c>
      <c r="O36" s="17">
        <f>-_xlfn.XLOOKUP($C36,TB_NG!$E:$E,TB_NG!Q:Q)</f>
        <v>-27000</v>
      </c>
      <c r="P36" s="17">
        <f>-_xlfn.XLOOKUP($C36,TB_NG!$E:$E,TB_NG!R:R)</f>
        <v>0</v>
      </c>
      <c r="Q36" s="17">
        <f>-_xlfn.XLOOKUP($C36,TB_NG!$E:$E,TB_NG!S:S)</f>
        <v>-2000</v>
      </c>
      <c r="R36" s="17">
        <f>-_xlfn.XLOOKUP($C36,TB_NG!$E:$E,TB_NG!T:T)</f>
        <v>-21376.54</v>
      </c>
      <c r="S36" s="17">
        <f>-_xlfn.XLOOKUP($C36,TB_NG!$E:$E,TB_NG!U:U)</f>
        <v>-2000</v>
      </c>
      <c r="T36" s="17">
        <f>-_xlfn.XLOOKUP($C36,TB_NG!$E:$E,TB_NG!V:V)</f>
        <v>-2000</v>
      </c>
      <c r="U36" s="17">
        <f>-_xlfn.XLOOKUP($C36,TB_NG!$E:$E,TB_NG!W:W)</f>
        <v>-2000</v>
      </c>
      <c r="V36" s="17">
        <f>-_xlfn.XLOOKUP($C36,TB_NG!$E:$E,TB_NG!X:X)</f>
        <v>-15767.12</v>
      </c>
      <c r="W36" s="17">
        <f>-_xlfn.XLOOKUP($C36,TB_NG!$E:$E,TB_NG!Y:Y)</f>
        <v>-2000</v>
      </c>
      <c r="X36" s="17">
        <f>-_xlfn.XLOOKUP($C36,TB_NG!$E:$E,TB_NG!Z:Z)</f>
        <v>-2000</v>
      </c>
      <c r="Y36" s="17">
        <f>-_xlfn.XLOOKUP($C36,TB_NG!$E:$E,TB_NG!AA:AA)</f>
        <v>-2000</v>
      </c>
      <c r="Z36" s="17">
        <f>-_xlfn.XLOOKUP($C36,TB_NG!$E:$E,TB_NG!AB:AB)</f>
        <v>-16990</v>
      </c>
      <c r="AA36" s="17">
        <f>-_xlfn.XLOOKUP($C36,TB_NG!$E:$E,TB_NG!AC:AC)</f>
        <v>1022.5</v>
      </c>
      <c r="AB36" s="17">
        <f>-_xlfn.XLOOKUP($C36,TB_NG!$E:$E,TB_NG!AD:AD)</f>
        <v>-2000</v>
      </c>
      <c r="AC36" s="17">
        <f>-_xlfn.XLOOKUP($C36,TB_NG!$E:$E,TB_NG!AE:AE)</f>
        <v>-23400</v>
      </c>
      <c r="AD36" s="17">
        <f>-_xlfn.XLOOKUP($C36,TB_NG!$E:$E,TB_NG!AF:AF)</f>
        <v>257.5</v>
      </c>
      <c r="AE36" s="17">
        <f>-_xlfn.XLOOKUP($C36,TB_NG!$E:$E,TB_NG!AG:AG)</f>
        <v>-7498.2</v>
      </c>
      <c r="AF36" s="17">
        <f>-_xlfn.XLOOKUP($C36,TB_NG!$E:$E,TB_NG!AH:AH)</f>
        <v>0</v>
      </c>
      <c r="AG36" s="17">
        <f>-_xlfn.XLOOKUP($C36,TB_NG!$E:$E,TB_NG!AI:AI)</f>
        <v>0</v>
      </c>
      <c r="AH36" s="17">
        <f>-_xlfn.XLOOKUP($C36,TB_NG!$E:$E,TB_NG!AJ:AJ)</f>
        <v>0</v>
      </c>
      <c r="AI36" s="17">
        <f>-_xlfn.XLOOKUP($C36,TB_NG!$E:$E,TB_NG!AK:AK)</f>
        <v>0</v>
      </c>
      <c r="AJ36" s="17">
        <f>-_xlfn.XLOOKUP($C36,TB_NG!$E:$E,TB_NG!AL:AL)</f>
        <v>0</v>
      </c>
      <c r="AK36" s="17">
        <f>-_xlfn.XLOOKUP($C36,TB_NG!$E:$E,TB_NG!AM:AM)</f>
        <v>0</v>
      </c>
      <c r="AL36" s="17">
        <f>-_xlfn.XLOOKUP($C36,TB_NG!$E:$E,TB_NG!AN:AN)</f>
        <v>0</v>
      </c>
      <c r="AM36" s="17">
        <f>-_xlfn.XLOOKUP($C36,TB_NG!$E:$E,TB_NG!AO:AO)</f>
        <v>0</v>
      </c>
      <c r="AS36" s="17">
        <f t="shared" si="4"/>
        <v>-49000</v>
      </c>
      <c r="AT36" s="17">
        <f t="shared" si="5"/>
        <v>-67111.16</v>
      </c>
    </row>
    <row r="37" spans="2:46" x14ac:dyDescent="0.2">
      <c r="B37" s="21">
        <f>_xlfn.XLOOKUP($C37,TB_NG!$E:$E,TB_NG!A:A)</f>
        <v>53110</v>
      </c>
      <c r="C37" s="16" t="s">
        <v>115</v>
      </c>
      <c r="D37" s="17">
        <f>-_xlfn.XLOOKUP($C37,TB_NG!$E:$E,TB_NG!F:F)</f>
        <v>0</v>
      </c>
      <c r="E37" s="17">
        <f>-_xlfn.XLOOKUP($C37,TB_NG!$E:$E,TB_NG!G:G)</f>
        <v>-6000</v>
      </c>
      <c r="F37" s="17">
        <f>-_xlfn.XLOOKUP($C37,TB_NG!$E:$E,TB_NG!H:H)</f>
        <v>0</v>
      </c>
      <c r="G37" s="17">
        <f>-_xlfn.XLOOKUP($C37,TB_NG!$E:$E,TB_NG!I:I)</f>
        <v>-7000</v>
      </c>
      <c r="H37" s="17">
        <f>-_xlfn.XLOOKUP($C37,TB_NG!$E:$E,TB_NG!J:J)</f>
        <v>-9000</v>
      </c>
      <c r="I37" s="17">
        <f>-_xlfn.XLOOKUP($C37,TB_NG!$E:$E,TB_NG!K:K)</f>
        <v>-7000</v>
      </c>
      <c r="J37" s="17">
        <f>-_xlfn.XLOOKUP($C37,TB_NG!$E:$E,TB_NG!L:L)</f>
        <v>0</v>
      </c>
      <c r="K37" s="17">
        <f>-_xlfn.XLOOKUP($C37,TB_NG!$E:$E,TB_NG!M:M)</f>
        <v>-7000</v>
      </c>
      <c r="L37" s="17">
        <f>-_xlfn.XLOOKUP($C37,TB_NG!$E:$E,TB_NG!N:N)</f>
        <v>-7000</v>
      </c>
      <c r="M37" s="17">
        <f>-_xlfn.XLOOKUP($C37,TB_NG!$E:$E,TB_NG!O:O)</f>
        <v>-7000</v>
      </c>
      <c r="N37" s="17">
        <f>-_xlfn.XLOOKUP($C37,TB_NG!$E:$E,TB_NG!P:P)</f>
        <v>-7000</v>
      </c>
      <c r="O37" s="17">
        <f>-_xlfn.XLOOKUP($C37,TB_NG!$E:$E,TB_NG!Q:Q)</f>
        <v>-7000</v>
      </c>
      <c r="P37" s="17">
        <f>-_xlfn.XLOOKUP($C37,TB_NG!$E:$E,TB_NG!R:R)</f>
        <v>-7000</v>
      </c>
      <c r="Q37" s="17">
        <f>-_xlfn.XLOOKUP($C37,TB_NG!$E:$E,TB_NG!S:S)</f>
        <v>-7000</v>
      </c>
      <c r="R37" s="17">
        <f>-_xlfn.XLOOKUP($C37,TB_NG!$E:$E,TB_NG!T:T)</f>
        <v>-344201.15</v>
      </c>
      <c r="S37" s="17">
        <f>-_xlfn.XLOOKUP($C37,TB_NG!$E:$E,TB_NG!U:U)</f>
        <v>-7000</v>
      </c>
      <c r="T37" s="17">
        <f>-_xlfn.XLOOKUP($C37,TB_NG!$E:$E,TB_NG!V:V)</f>
        <v>0</v>
      </c>
      <c r="U37" s="17">
        <f>-_xlfn.XLOOKUP($C37,TB_NG!$E:$E,TB_NG!W:W)</f>
        <v>0</v>
      </c>
      <c r="V37" s="17">
        <f>-_xlfn.XLOOKUP($C37,TB_NG!$E:$E,TB_NG!X:X)</f>
        <v>-860000</v>
      </c>
      <c r="W37" s="17">
        <f>-_xlfn.XLOOKUP($C37,TB_NG!$E:$E,TB_NG!Y:Y)</f>
        <v>-480243.8</v>
      </c>
      <c r="X37" s="17">
        <f>-_xlfn.XLOOKUP($C37,TB_NG!$E:$E,TB_NG!Z:Z)</f>
        <v>0</v>
      </c>
      <c r="Y37" s="17">
        <f>-_xlfn.XLOOKUP($C37,TB_NG!$E:$E,TB_NG!AA:AA)</f>
        <v>0</v>
      </c>
      <c r="Z37" s="17">
        <f>-_xlfn.XLOOKUP($C37,TB_NG!$E:$E,TB_NG!AB:AB)</f>
        <v>0</v>
      </c>
      <c r="AA37" s="17">
        <f>-_xlfn.XLOOKUP($C37,TB_NG!$E:$E,TB_NG!AC:AC)</f>
        <v>0</v>
      </c>
      <c r="AB37" s="17">
        <f>-_xlfn.XLOOKUP($C37,TB_NG!$E:$E,TB_NG!AD:AD)</f>
        <v>0</v>
      </c>
      <c r="AC37" s="17">
        <f>-_xlfn.XLOOKUP($C37,TB_NG!$E:$E,TB_NG!AE:AE)</f>
        <v>0</v>
      </c>
      <c r="AD37" s="17">
        <f>-_xlfn.XLOOKUP($C37,TB_NG!$E:$E,TB_NG!AF:AF)</f>
        <v>0</v>
      </c>
      <c r="AE37" s="17">
        <f>-_xlfn.XLOOKUP($C37,TB_NG!$E:$E,TB_NG!AG:AG)</f>
        <v>0</v>
      </c>
      <c r="AF37" s="17">
        <f>-_xlfn.XLOOKUP($C37,TB_NG!$E:$E,TB_NG!AH:AH)</f>
        <v>0</v>
      </c>
      <c r="AG37" s="17">
        <f>-_xlfn.XLOOKUP($C37,TB_NG!$E:$E,TB_NG!AI:AI)</f>
        <v>0</v>
      </c>
      <c r="AH37" s="17">
        <f>-_xlfn.XLOOKUP($C37,TB_NG!$E:$E,TB_NG!AJ:AJ)</f>
        <v>0</v>
      </c>
      <c r="AI37" s="17">
        <f>-_xlfn.XLOOKUP($C37,TB_NG!$E:$E,TB_NG!AK:AK)</f>
        <v>0</v>
      </c>
      <c r="AJ37" s="17">
        <f>-_xlfn.XLOOKUP($C37,TB_NG!$E:$E,TB_NG!AL:AL)</f>
        <v>0</v>
      </c>
      <c r="AK37" s="17">
        <f>-_xlfn.XLOOKUP($C37,TB_NG!$E:$E,TB_NG!AM:AM)</f>
        <v>0</v>
      </c>
      <c r="AL37" s="17">
        <f>-_xlfn.XLOOKUP($C37,TB_NG!$E:$E,TB_NG!AN:AN)</f>
        <v>0</v>
      </c>
      <c r="AM37" s="17">
        <f>-_xlfn.XLOOKUP($C37,TB_NG!$E:$E,TB_NG!AO:AO)</f>
        <v>0</v>
      </c>
      <c r="AS37" s="17">
        <f t="shared" si="4"/>
        <v>-64000</v>
      </c>
      <c r="AT37" s="17">
        <f t="shared" si="5"/>
        <v>-1705444.95</v>
      </c>
    </row>
    <row r="38" spans="2:46" x14ac:dyDescent="0.2">
      <c r="B38" s="21">
        <f>_xlfn.XLOOKUP($C38,TB_NG!$E:$E,TB_NG!A:A)</f>
        <v>53120</v>
      </c>
      <c r="C38" s="16" t="s">
        <v>116</v>
      </c>
      <c r="D38" s="17">
        <f>-_xlfn.XLOOKUP($C38,TB_NG!$E:$E,TB_NG!F:F)</f>
        <v>-37601228.419999994</v>
      </c>
      <c r="E38" s="17">
        <f>-_xlfn.XLOOKUP($C38,TB_NG!$E:$E,TB_NG!G:G)</f>
        <v>-33230058.289999999</v>
      </c>
      <c r="F38" s="17">
        <f>-_xlfn.XLOOKUP($C38,TB_NG!$E:$E,TB_NG!H:H)</f>
        <v>-33295875.84</v>
      </c>
      <c r="G38" s="17">
        <f>-_xlfn.XLOOKUP($C38,TB_NG!$E:$E,TB_NG!I:I)</f>
        <v>-46040002.689999998</v>
      </c>
      <c r="H38" s="17">
        <f>-_xlfn.XLOOKUP($C38,TB_NG!$E:$E,TB_NG!J:J)</f>
        <v>-48032046.549999997</v>
      </c>
      <c r="I38" s="17">
        <f>-_xlfn.XLOOKUP($C38,TB_NG!$E:$E,TB_NG!K:K)</f>
        <v>-52667375.659999996</v>
      </c>
      <c r="J38" s="17">
        <f>-_xlfn.XLOOKUP($C38,TB_NG!$E:$E,TB_NG!L:L)</f>
        <v>-51227134.350000001</v>
      </c>
      <c r="K38" s="17">
        <f>-_xlfn.XLOOKUP($C38,TB_NG!$E:$E,TB_NG!M:M)</f>
        <v>-53111492.009999998</v>
      </c>
      <c r="L38" s="17">
        <f>-_xlfn.XLOOKUP($C38,TB_NG!$E:$E,TB_NG!N:N)</f>
        <v>-58054587.210000001</v>
      </c>
      <c r="M38" s="17">
        <f>-_xlfn.XLOOKUP($C38,TB_NG!$E:$E,TB_NG!O:O)</f>
        <v>-51524451.880000003</v>
      </c>
      <c r="N38" s="17">
        <f>-_xlfn.XLOOKUP($C38,TB_NG!$E:$E,TB_NG!P:P)</f>
        <v>-49520426.049999997</v>
      </c>
      <c r="O38" s="17">
        <f>-_xlfn.XLOOKUP($C38,TB_NG!$E:$E,TB_NG!Q:Q)</f>
        <v>-69754032.230000004</v>
      </c>
      <c r="P38" s="17">
        <f>-_xlfn.XLOOKUP($C38,TB_NG!$E:$E,TB_NG!R:R)</f>
        <v>-42981552.460000001</v>
      </c>
      <c r="Q38" s="17">
        <f>-_xlfn.XLOOKUP($C38,TB_NG!$E:$E,TB_NG!S:S)</f>
        <v>-38452245.089999996</v>
      </c>
      <c r="R38" s="17">
        <f>-_xlfn.XLOOKUP($C38,TB_NG!$E:$E,TB_NG!T:T)</f>
        <v>-39367801.619999997</v>
      </c>
      <c r="S38" s="17">
        <f>-_xlfn.XLOOKUP($C38,TB_NG!$E:$E,TB_NG!U:U)</f>
        <v>-39380040.990000002</v>
      </c>
      <c r="T38" s="17">
        <f>-_xlfn.XLOOKUP($C38,TB_NG!$E:$E,TB_NG!V:V)</f>
        <v>-35252454.840000004</v>
      </c>
      <c r="U38" s="17">
        <f>-_xlfn.XLOOKUP($C38,TB_NG!$E:$E,TB_NG!W:W)</f>
        <v>-35815582.079999998</v>
      </c>
      <c r="V38" s="17">
        <f>-_xlfn.XLOOKUP($C38,TB_NG!$E:$E,TB_NG!X:X)</f>
        <v>-40179130.579999998</v>
      </c>
      <c r="W38" s="17">
        <f>-_xlfn.XLOOKUP($C38,TB_NG!$E:$E,TB_NG!Y:Y)</f>
        <v>-3126297.1299999952</v>
      </c>
      <c r="X38" s="17">
        <f>-_xlfn.XLOOKUP($C38,TB_NG!$E:$E,TB_NG!Z:Z)</f>
        <v>-38776192.149999999</v>
      </c>
      <c r="Y38" s="17">
        <f>-_xlfn.XLOOKUP($C38,TB_NG!$E:$E,TB_NG!AA:AA)</f>
        <v>-36472986.729999997</v>
      </c>
      <c r="Z38" s="17">
        <f>-_xlfn.XLOOKUP($C38,TB_NG!$E:$E,TB_NG!AB:AB)</f>
        <v>-36491740</v>
      </c>
      <c r="AA38" s="17">
        <f>-_xlfn.XLOOKUP($C38,TB_NG!$E:$E,TB_NG!AC:AC)</f>
        <v>-56313928.57</v>
      </c>
      <c r="AB38" s="17">
        <f>-_xlfn.XLOOKUP($C38,TB_NG!$E:$E,TB_NG!AD:AD)</f>
        <v>-34919332.200000003</v>
      </c>
      <c r="AC38" s="17">
        <f>-_xlfn.XLOOKUP($C38,TB_NG!$E:$E,TB_NG!AE:AE)</f>
        <v>-34728853.140000001</v>
      </c>
      <c r="AD38" s="17">
        <f>-_xlfn.XLOOKUP($C38,TB_NG!$E:$E,TB_NG!AF:AF)</f>
        <v>-34301474.82</v>
      </c>
      <c r="AE38" s="17">
        <f>-_xlfn.XLOOKUP($C38,TB_NG!$E:$E,TB_NG!AG:AG)</f>
        <v>-33584779.829999998</v>
      </c>
      <c r="AF38" s="17">
        <f>-_xlfn.XLOOKUP($C38,TB_NG!$E:$E,TB_NG!AH:AH)</f>
        <v>0</v>
      </c>
      <c r="AG38" s="17">
        <f>-_xlfn.XLOOKUP($C38,TB_NG!$E:$E,TB_NG!AI:AI)</f>
        <v>0</v>
      </c>
      <c r="AH38" s="17">
        <f>-_xlfn.XLOOKUP($C38,TB_NG!$E:$E,TB_NG!AJ:AJ)</f>
        <v>0</v>
      </c>
      <c r="AI38" s="17">
        <f>-_xlfn.XLOOKUP($C38,TB_NG!$E:$E,TB_NG!AK:AK)</f>
        <v>0</v>
      </c>
      <c r="AJ38" s="17">
        <f>-_xlfn.XLOOKUP($C38,TB_NG!$E:$E,TB_NG!AL:AL)</f>
        <v>0</v>
      </c>
      <c r="AK38" s="17">
        <f>-_xlfn.XLOOKUP($C38,TB_NG!$E:$E,TB_NG!AM:AM)</f>
        <v>0</v>
      </c>
      <c r="AL38" s="17">
        <f>-_xlfn.XLOOKUP($C38,TB_NG!$E:$E,TB_NG!AN:AN)</f>
        <v>0</v>
      </c>
      <c r="AM38" s="17">
        <f>-_xlfn.XLOOKUP($C38,TB_NG!$E:$E,TB_NG!AO:AO)</f>
        <v>0</v>
      </c>
      <c r="AS38" s="17">
        <f t="shared" si="4"/>
        <v>-584058711.17999995</v>
      </c>
      <c r="AT38" s="313">
        <f t="shared" si="5"/>
        <v>-442609952.23999995</v>
      </c>
    </row>
    <row r="39" spans="2:46" x14ac:dyDescent="0.2">
      <c r="B39" s="21">
        <f>_xlfn.XLOOKUP($C39,TB_NG!$E:$E,TB_NG!A:A)</f>
        <v>53140</v>
      </c>
      <c r="C39" s="16" t="s">
        <v>117</v>
      </c>
      <c r="D39" s="17">
        <f>-_xlfn.XLOOKUP($C39,TB_NG!$E:$E,TB_NG!F:F)</f>
        <v>0</v>
      </c>
      <c r="E39" s="17">
        <f>-_xlfn.XLOOKUP($C39,TB_NG!$E:$E,TB_NG!G:G)</f>
        <v>0</v>
      </c>
      <c r="F39" s="17">
        <f>-_xlfn.XLOOKUP($C39,TB_NG!$E:$E,TB_NG!H:H)</f>
        <v>0</v>
      </c>
      <c r="G39" s="17">
        <f>-_xlfn.XLOOKUP($C39,TB_NG!$E:$E,TB_NG!I:I)</f>
        <v>-6684400</v>
      </c>
      <c r="H39" s="17">
        <f>-_xlfn.XLOOKUP($C39,TB_NG!$E:$E,TB_NG!J:J)</f>
        <v>0</v>
      </c>
      <c r="I39" s="17">
        <f>-_xlfn.XLOOKUP($C39,TB_NG!$E:$E,TB_NG!K:K)</f>
        <v>-100767.5</v>
      </c>
      <c r="J39" s="17">
        <f>-_xlfn.XLOOKUP($C39,TB_NG!$E:$E,TB_NG!L:L)</f>
        <v>0</v>
      </c>
      <c r="K39" s="17">
        <f>-_xlfn.XLOOKUP($C39,TB_NG!$E:$E,TB_NG!M:M)</f>
        <v>0</v>
      </c>
      <c r="L39" s="17">
        <f>-_xlfn.XLOOKUP($C39,TB_NG!$E:$E,TB_NG!N:N)</f>
        <v>0</v>
      </c>
      <c r="M39" s="17">
        <f>-_xlfn.XLOOKUP($C39,TB_NG!$E:$E,TB_NG!O:O)</f>
        <v>0</v>
      </c>
      <c r="N39" s="17">
        <f>-_xlfn.XLOOKUP($C39,TB_NG!$E:$E,TB_NG!P:P)</f>
        <v>0</v>
      </c>
      <c r="O39" s="17">
        <f>-_xlfn.XLOOKUP($C39,TB_NG!$E:$E,TB_NG!Q:Q)</f>
        <v>0</v>
      </c>
      <c r="P39" s="17">
        <f>-_xlfn.XLOOKUP($C39,TB_NG!$E:$E,TB_NG!R:R)</f>
        <v>0</v>
      </c>
      <c r="Q39" s="17">
        <f>-_xlfn.XLOOKUP($C39,TB_NG!$E:$E,TB_NG!S:S)</f>
        <v>0</v>
      </c>
      <c r="R39" s="17">
        <f>-_xlfn.XLOOKUP($C39,TB_NG!$E:$E,TB_NG!T:T)</f>
        <v>0</v>
      </c>
      <c r="S39" s="17">
        <f>-_xlfn.XLOOKUP($C39,TB_NG!$E:$E,TB_NG!U:U)</f>
        <v>0</v>
      </c>
      <c r="T39" s="17">
        <f>-_xlfn.XLOOKUP($C39,TB_NG!$E:$E,TB_NG!V:V)</f>
        <v>-1587621.22</v>
      </c>
      <c r="U39" s="17">
        <f>-_xlfn.XLOOKUP($C39,TB_NG!$E:$E,TB_NG!W:W)</f>
        <v>-1587555</v>
      </c>
      <c r="V39" s="17">
        <f>-_xlfn.XLOOKUP($C39,TB_NG!$E:$E,TB_NG!X:X)</f>
        <v>-1585710</v>
      </c>
      <c r="W39" s="17">
        <f>-_xlfn.XLOOKUP($C39,TB_NG!$E:$E,TB_NG!Y:Y)</f>
        <v>-728290.37</v>
      </c>
      <c r="X39" s="17">
        <f>-_xlfn.XLOOKUP($C39,TB_NG!$E:$E,TB_NG!Z:Z)</f>
        <v>-55078259.93</v>
      </c>
      <c r="Y39" s="17">
        <f>-_xlfn.XLOOKUP($C39,TB_NG!$E:$E,TB_NG!AA:AA)</f>
        <v>-21394731.190000001</v>
      </c>
      <c r="Z39" s="17">
        <f>-_xlfn.XLOOKUP($C39,TB_NG!$E:$E,TB_NG!AB:AB)</f>
        <v>-21723342</v>
      </c>
      <c r="AA39" s="17">
        <f>-_xlfn.XLOOKUP($C39,TB_NG!$E:$E,TB_NG!AC:AC)</f>
        <v>-21723342</v>
      </c>
      <c r="AB39" s="17">
        <f>-_xlfn.XLOOKUP($C39,TB_NG!$E:$E,TB_NG!AD:AD)</f>
        <v>-21723342</v>
      </c>
      <c r="AC39" s="17">
        <f>-_xlfn.XLOOKUP($C39,TB_NG!$E:$E,TB_NG!AE:AE)</f>
        <v>-21723342</v>
      </c>
      <c r="AD39" s="17">
        <f>-_xlfn.XLOOKUP($C39,TB_NG!$E:$E,TB_NG!AF:AF)</f>
        <v>-16436675.33</v>
      </c>
      <c r="AE39" s="17">
        <f>-_xlfn.XLOOKUP($C39,TB_NG!$E:$E,TB_NG!AG:AG)</f>
        <v>-16436675.33</v>
      </c>
      <c r="AF39" s="17">
        <f>-_xlfn.XLOOKUP($C39,TB_NG!$E:$E,TB_NG!AH:AH)</f>
        <v>0</v>
      </c>
      <c r="AG39" s="17">
        <f>-_xlfn.XLOOKUP($C39,TB_NG!$E:$E,TB_NG!AI:AI)</f>
        <v>0</v>
      </c>
      <c r="AH39" s="17">
        <f>-_xlfn.XLOOKUP($C39,TB_NG!$E:$E,TB_NG!AJ:AJ)</f>
        <v>0</v>
      </c>
      <c r="AI39" s="17">
        <f>-_xlfn.XLOOKUP($C39,TB_NG!$E:$E,TB_NG!AK:AK)</f>
        <v>0</v>
      </c>
      <c r="AJ39" s="17">
        <f>-_xlfn.XLOOKUP($C39,TB_NG!$E:$E,TB_NG!AL:AL)</f>
        <v>0</v>
      </c>
      <c r="AK39" s="17">
        <f>-_xlfn.XLOOKUP($C39,TB_NG!$E:$E,TB_NG!AM:AM)</f>
        <v>0</v>
      </c>
      <c r="AL39" s="17">
        <f>-_xlfn.XLOOKUP($C39,TB_NG!$E:$E,TB_NG!AN:AN)</f>
        <v>0</v>
      </c>
      <c r="AM39" s="17">
        <f>-_xlfn.XLOOKUP($C39,TB_NG!$E:$E,TB_NG!AO:AO)</f>
        <v>0</v>
      </c>
      <c r="AS39" s="17">
        <f t="shared" si="4"/>
        <v>-6785167.5</v>
      </c>
      <c r="AT39" s="17">
        <f t="shared" si="5"/>
        <v>-125408851.70999999</v>
      </c>
    </row>
    <row r="40" spans="2:46" x14ac:dyDescent="0.2">
      <c r="B40" s="21">
        <f>_xlfn.XLOOKUP($C40,TB_NG!$E:$E,TB_NG!A:A)</f>
        <v>69600</v>
      </c>
      <c r="C40" s="16" t="s">
        <v>118</v>
      </c>
      <c r="D40" s="17">
        <f>-_xlfn.XLOOKUP($C40,TB_NG!$E:$E,TB_NG!F:F)</f>
        <v>179850</v>
      </c>
      <c r="E40" s="17">
        <f>-_xlfn.XLOOKUP($C40,TB_NG!$E:$E,TB_NG!G:G)</f>
        <v>-1251227.25</v>
      </c>
      <c r="F40" s="17">
        <f>-_xlfn.XLOOKUP($C40,TB_NG!$E:$E,TB_NG!H:H)</f>
        <v>-8716183.5</v>
      </c>
      <c r="G40" s="17">
        <f>-_xlfn.XLOOKUP($C40,TB_NG!$E:$E,TB_NG!I:I)</f>
        <v>-946924.4299999997</v>
      </c>
      <c r="H40" s="17">
        <f>-_xlfn.XLOOKUP($C40,TB_NG!$E:$E,TB_NG!J:J)</f>
        <v>-8354823.5600000005</v>
      </c>
      <c r="I40" s="17">
        <f>-_xlfn.XLOOKUP($C40,TB_NG!$E:$E,TB_NG!K:K)</f>
        <v>-764823.55999999866</v>
      </c>
      <c r="J40" s="17">
        <f>-_xlfn.XLOOKUP($C40,TB_NG!$E:$E,TB_NG!L:L)</f>
        <v>0</v>
      </c>
      <c r="K40" s="17">
        <f>-_xlfn.XLOOKUP($C40,TB_NG!$E:$E,TB_NG!M:M)</f>
        <v>0</v>
      </c>
      <c r="L40" s="17">
        <f>-_xlfn.XLOOKUP($C40,TB_NG!$E:$E,TB_NG!N:N)</f>
        <v>0</v>
      </c>
      <c r="M40" s="17">
        <f>-_xlfn.XLOOKUP($C40,TB_NG!$E:$E,TB_NG!O:O)</f>
        <v>-3327763.5</v>
      </c>
      <c r="N40" s="17">
        <f>-_xlfn.XLOOKUP($C40,TB_NG!$E:$E,TB_NG!P:P)</f>
        <v>-15098711.949999999</v>
      </c>
      <c r="O40" s="17">
        <f>-_xlfn.XLOOKUP($C40,TB_NG!$E:$E,TB_NG!Q:Q)</f>
        <v>-14272827.699999999</v>
      </c>
      <c r="P40" s="17">
        <f>-_xlfn.XLOOKUP($C40,TB_NG!$E:$E,TB_NG!R:R)</f>
        <v>-10026315.539999999</v>
      </c>
      <c r="Q40" s="17">
        <f>-_xlfn.XLOOKUP($C40,TB_NG!$E:$E,TB_NG!S:S)</f>
        <v>-4586375.9800000004</v>
      </c>
      <c r="R40" s="17">
        <f>-_xlfn.XLOOKUP($C40,TB_NG!$E:$E,TB_NG!T:T)</f>
        <v>0</v>
      </c>
      <c r="S40" s="17">
        <f>-_xlfn.XLOOKUP($C40,TB_NG!$E:$E,TB_NG!U:U)</f>
        <v>-1444913.8</v>
      </c>
      <c r="T40" s="17">
        <f>-_xlfn.XLOOKUP($C40,TB_NG!$E:$E,TB_NG!V:V)</f>
        <v>-14347752.109999999</v>
      </c>
      <c r="U40" s="17">
        <f>-_xlfn.XLOOKUP($C40,TB_NG!$E:$E,TB_NG!W:W)</f>
        <v>-17379043.280000001</v>
      </c>
      <c r="V40" s="17">
        <f>-_xlfn.XLOOKUP($C40,TB_NG!$E:$E,TB_NG!X:X)</f>
        <v>-8341279.5</v>
      </c>
      <c r="W40" s="17">
        <f>-_xlfn.XLOOKUP($C40,TB_NG!$E:$E,TB_NG!Y:Y)</f>
        <v>32173496.649999999</v>
      </c>
      <c r="X40" s="17">
        <f>-_xlfn.XLOOKUP($C40,TB_NG!$E:$E,TB_NG!Z:Z)</f>
        <v>-2878666.67</v>
      </c>
      <c r="Y40" s="17">
        <f>-_xlfn.XLOOKUP($C40,TB_NG!$E:$E,TB_NG!AA:AA)</f>
        <v>-2556900.36</v>
      </c>
      <c r="Z40" s="17">
        <f>-_xlfn.XLOOKUP($C40,TB_NG!$E:$E,TB_NG!AB:AB)</f>
        <v>-3282363</v>
      </c>
      <c r="AA40" s="17">
        <f>-_xlfn.XLOOKUP($C40,TB_NG!$E:$E,TB_NG!AC:AC)</f>
        <v>-8041264.0199999996</v>
      </c>
      <c r="AB40" s="17">
        <f>-_xlfn.XLOOKUP($C40,TB_NG!$E:$E,TB_NG!AD:AD)</f>
        <v>-7671260.8799999999</v>
      </c>
      <c r="AC40" s="17">
        <f>-_xlfn.XLOOKUP($C40,TB_NG!$E:$E,TB_NG!AE:AE)</f>
        <v>-6925230.2699999996</v>
      </c>
      <c r="AD40" s="17">
        <f>-_xlfn.XLOOKUP($C40,TB_NG!$E:$E,TB_NG!AF:AF)</f>
        <v>-7840249.2000000002</v>
      </c>
      <c r="AE40" s="17">
        <f>-_xlfn.XLOOKUP($C40,TB_NG!$E:$E,TB_NG!AG:AG)</f>
        <v>-3896849.25</v>
      </c>
      <c r="AF40" s="17">
        <f>-_xlfn.XLOOKUP($C40,TB_NG!$E:$E,TB_NG!AH:AH)</f>
        <v>0</v>
      </c>
      <c r="AG40" s="17">
        <f>-_xlfn.XLOOKUP($C40,TB_NG!$E:$E,TB_NG!AI:AI)</f>
        <v>0</v>
      </c>
      <c r="AH40" s="17">
        <f>-_xlfn.XLOOKUP($C40,TB_NG!$E:$E,TB_NG!AJ:AJ)</f>
        <v>0</v>
      </c>
      <c r="AI40" s="17">
        <f>-_xlfn.XLOOKUP($C40,TB_NG!$E:$E,TB_NG!AK:AK)</f>
        <v>0</v>
      </c>
      <c r="AJ40" s="17">
        <f>-_xlfn.XLOOKUP($C40,TB_NG!$E:$E,TB_NG!AL:AL)</f>
        <v>0</v>
      </c>
      <c r="AK40" s="17">
        <f>-_xlfn.XLOOKUP($C40,TB_NG!$E:$E,TB_NG!AM:AM)</f>
        <v>0</v>
      </c>
      <c r="AL40" s="17">
        <f>-_xlfn.XLOOKUP($C40,TB_NG!$E:$E,TB_NG!AN:AN)</f>
        <v>0</v>
      </c>
      <c r="AM40" s="17">
        <f>-_xlfn.XLOOKUP($C40,TB_NG!$E:$E,TB_NG!AO:AO)</f>
        <v>0</v>
      </c>
      <c r="AS40" s="17">
        <f t="shared" si="4"/>
        <v>-52553435.450000003</v>
      </c>
      <c r="AT40" s="313">
        <f t="shared" si="5"/>
        <v>-40711377.609999999</v>
      </c>
    </row>
    <row r="41" spans="2:46" x14ac:dyDescent="0.2">
      <c r="B41" s="21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8"/>
    </row>
    <row r="42" spans="2:46" x14ac:dyDescent="0.2">
      <c r="B42" s="15"/>
      <c r="C42" s="22" t="s">
        <v>5</v>
      </c>
      <c r="D42" s="23">
        <f t="shared" ref="D42:U42" si="6">SUM(D22:D41)</f>
        <v>-83261121.61999999</v>
      </c>
      <c r="E42" s="23">
        <f t="shared" si="6"/>
        <v>-102071948.38999999</v>
      </c>
      <c r="F42" s="23">
        <f t="shared" si="6"/>
        <v>-130348597.16</v>
      </c>
      <c r="G42" s="23">
        <f t="shared" si="6"/>
        <v>-155089891.16</v>
      </c>
      <c r="H42" s="23">
        <f t="shared" si="6"/>
        <v>-183657574.89999998</v>
      </c>
      <c r="I42" s="23">
        <f t="shared" si="6"/>
        <v>-73738084.620000005</v>
      </c>
      <c r="J42" s="23">
        <f t="shared" si="6"/>
        <v>-63584963.950000003</v>
      </c>
      <c r="K42" s="23">
        <f t="shared" si="6"/>
        <v>-156670293.06999999</v>
      </c>
      <c r="L42" s="23">
        <f t="shared" si="6"/>
        <v>-80126589.230000004</v>
      </c>
      <c r="M42" s="23">
        <f t="shared" si="6"/>
        <v>-78233709.25</v>
      </c>
      <c r="N42" s="23">
        <f t="shared" si="6"/>
        <v>-87318732.950000003</v>
      </c>
      <c r="O42" s="23">
        <f t="shared" si="6"/>
        <v>-104040015.03000002</v>
      </c>
      <c r="P42" s="23">
        <f t="shared" si="6"/>
        <v>-72177217.609999999</v>
      </c>
      <c r="Q42" s="23">
        <f t="shared" si="6"/>
        <v>-52445967.090000004</v>
      </c>
      <c r="R42" s="23">
        <f t="shared" si="6"/>
        <v>-56447542.559999995</v>
      </c>
      <c r="S42" s="23">
        <f t="shared" si="6"/>
        <v>-57526258.950000003</v>
      </c>
      <c r="T42" s="23">
        <f t="shared" si="6"/>
        <v>-67775465.159999996</v>
      </c>
      <c r="U42" s="23">
        <f t="shared" si="6"/>
        <v>-62498336.920000002</v>
      </c>
      <c r="V42" s="23">
        <f>SUM(V22:V41)</f>
        <v>-103719625.97999999</v>
      </c>
      <c r="W42" s="23">
        <f t="shared" ref="W42:AM42" si="7">SUM(W22:W41)</f>
        <v>9725952.2300000004</v>
      </c>
      <c r="X42" s="23">
        <f t="shared" si="7"/>
        <v>-107422455.05</v>
      </c>
      <c r="Y42" s="23">
        <f>SUM(Y22:Y41)</f>
        <v>-75931736.739999995</v>
      </c>
      <c r="Z42" s="23">
        <f t="shared" si="7"/>
        <v>-62873576.390000001</v>
      </c>
      <c r="AA42" s="23">
        <f t="shared" si="7"/>
        <v>-146722931.73000002</v>
      </c>
      <c r="AB42" s="23">
        <f t="shared" si="7"/>
        <v>-152002363.90000001</v>
      </c>
      <c r="AC42" s="23">
        <f t="shared" si="7"/>
        <v>-140383568.25999999</v>
      </c>
      <c r="AD42" s="23">
        <f t="shared" si="7"/>
        <v>-141729009.59</v>
      </c>
      <c r="AE42" s="23">
        <f t="shared" si="7"/>
        <v>-71143523.329999998</v>
      </c>
      <c r="AF42" s="23">
        <f t="shared" si="7"/>
        <v>0</v>
      </c>
      <c r="AG42" s="23">
        <f t="shared" si="7"/>
        <v>0</v>
      </c>
      <c r="AH42" s="23">
        <f t="shared" si="7"/>
        <v>0</v>
      </c>
      <c r="AI42" s="23">
        <f t="shared" si="7"/>
        <v>0</v>
      </c>
      <c r="AJ42" s="23">
        <f t="shared" si="7"/>
        <v>0</v>
      </c>
      <c r="AK42" s="23">
        <f t="shared" si="7"/>
        <v>0</v>
      </c>
      <c r="AL42" s="23">
        <f t="shared" si="7"/>
        <v>0</v>
      </c>
      <c r="AM42" s="23">
        <f t="shared" si="7"/>
        <v>0</v>
      </c>
      <c r="AS42" s="23">
        <f>SUM(D42:O42)</f>
        <v>-1298141521.3299999</v>
      </c>
      <c r="AT42" s="23">
        <f>SUM(P42:AA42)</f>
        <v>-855815161.94999993</v>
      </c>
    </row>
    <row r="43" spans="2:46" x14ac:dyDescent="0.2">
      <c r="B43" s="15"/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8"/>
    </row>
    <row r="44" spans="2:46" s="27" customFormat="1" x14ac:dyDescent="0.2">
      <c r="B44" s="24"/>
      <c r="C44" s="25" t="s">
        <v>119</v>
      </c>
      <c r="D44" s="26">
        <f>D19+D42</f>
        <v>91909859.320000008</v>
      </c>
      <c r="E44" s="26">
        <f t="shared" ref="E44:AM44" si="8">E19+E42</f>
        <v>416417441.49000001</v>
      </c>
      <c r="F44" s="26">
        <f t="shared" si="8"/>
        <v>396665645.13999999</v>
      </c>
      <c r="G44" s="26">
        <f t="shared" si="8"/>
        <v>386749964.87</v>
      </c>
      <c r="H44" s="26">
        <f t="shared" si="8"/>
        <v>23070226.570000052</v>
      </c>
      <c r="I44" s="26">
        <f t="shared" si="8"/>
        <v>145701860.59000003</v>
      </c>
      <c r="J44" s="26">
        <f t="shared" si="8"/>
        <v>150253861.18000001</v>
      </c>
      <c r="K44" s="26">
        <f t="shared" si="8"/>
        <v>156534149.78000003</v>
      </c>
      <c r="L44" s="26">
        <f t="shared" si="8"/>
        <v>41693634.460000008</v>
      </c>
      <c r="M44" s="26">
        <f t="shared" si="8"/>
        <v>95144012.980000019</v>
      </c>
      <c r="N44" s="26">
        <f t="shared" si="8"/>
        <v>139673161.50999999</v>
      </c>
      <c r="O44" s="26">
        <f t="shared" si="8"/>
        <v>488217987.85999995</v>
      </c>
      <c r="P44" s="26">
        <f t="shared" si="8"/>
        <v>141091396.33999997</v>
      </c>
      <c r="Q44" s="26">
        <f t="shared" si="8"/>
        <v>144602708.70000002</v>
      </c>
      <c r="R44" s="26">
        <f t="shared" si="8"/>
        <v>165955491.99000001</v>
      </c>
      <c r="S44" s="26">
        <f t="shared" si="8"/>
        <v>185173958.59000003</v>
      </c>
      <c r="T44" s="26">
        <f t="shared" si="8"/>
        <v>106716697.27000001</v>
      </c>
      <c r="U44" s="26">
        <f t="shared" si="8"/>
        <v>57242605.63000001</v>
      </c>
      <c r="V44" s="26">
        <f t="shared" si="8"/>
        <v>105444908.55000001</v>
      </c>
      <c r="W44" s="26">
        <f t="shared" si="8"/>
        <v>193714461.97999999</v>
      </c>
      <c r="X44" s="26">
        <f t="shared" si="8"/>
        <v>293773753.54000002</v>
      </c>
      <c r="Y44" s="26">
        <f t="shared" si="8"/>
        <v>679071431.49000001</v>
      </c>
      <c r="Z44" s="26">
        <f t="shared" si="8"/>
        <v>259793545.83000004</v>
      </c>
      <c r="AA44" s="26">
        <f t="shared" si="8"/>
        <v>165413815.71999997</v>
      </c>
      <c r="AB44" s="26">
        <f t="shared" si="8"/>
        <v>560937402.85000014</v>
      </c>
      <c r="AC44" s="26">
        <f t="shared" si="8"/>
        <v>616809612.95000005</v>
      </c>
      <c r="AD44" s="26">
        <f t="shared" si="8"/>
        <v>407388518.90999997</v>
      </c>
      <c r="AE44" s="26">
        <f t="shared" si="8"/>
        <v>273285953.18000001</v>
      </c>
      <c r="AF44" s="26">
        <f t="shared" si="8"/>
        <v>0</v>
      </c>
      <c r="AG44" s="26">
        <f t="shared" si="8"/>
        <v>0</v>
      </c>
      <c r="AH44" s="26">
        <f t="shared" si="8"/>
        <v>0</v>
      </c>
      <c r="AI44" s="26">
        <f t="shared" si="8"/>
        <v>0</v>
      </c>
      <c r="AJ44" s="26">
        <f t="shared" si="8"/>
        <v>0</v>
      </c>
      <c r="AK44" s="26">
        <f t="shared" si="8"/>
        <v>0</v>
      </c>
      <c r="AL44" s="26">
        <f t="shared" si="8"/>
        <v>0</v>
      </c>
      <c r="AM44" s="26">
        <f t="shared" si="8"/>
        <v>0</v>
      </c>
      <c r="AS44" s="26">
        <f>AS19+AS42</f>
        <v>2532031805.75</v>
      </c>
      <c r="AT44" s="26">
        <f>AT19+AT42</f>
        <v>2497994775.6300001</v>
      </c>
    </row>
    <row r="45" spans="2:46" s="31" customFormat="1" x14ac:dyDescent="0.2">
      <c r="B45" s="28"/>
      <c r="C45" s="29" t="s">
        <v>120</v>
      </c>
      <c r="D45" s="30">
        <f>D44/D19</f>
        <v>0.52468655953625787</v>
      </c>
      <c r="E45" s="30">
        <f t="shared" ref="E45:AM45" si="9">E44/E19</f>
        <v>0.80313589750867675</v>
      </c>
      <c r="F45" s="30">
        <f t="shared" si="9"/>
        <v>0.75266589268796313</v>
      </c>
      <c r="G45" s="30">
        <f t="shared" si="9"/>
        <v>0.71377171790881855</v>
      </c>
      <c r="H45" s="30">
        <f t="shared" si="9"/>
        <v>0.1115971166236582</v>
      </c>
      <c r="I45" s="30">
        <f t="shared" si="9"/>
        <v>0.66397145902750754</v>
      </c>
      <c r="J45" s="30">
        <f t="shared" si="9"/>
        <v>0.70265005004893522</v>
      </c>
      <c r="K45" s="30">
        <f t="shared" si="9"/>
        <v>0.49978266066604748</v>
      </c>
      <c r="L45" s="30">
        <f t="shared" si="9"/>
        <v>0.34225544164242538</v>
      </c>
      <c r="M45" s="30">
        <f t="shared" si="9"/>
        <v>0.54876723350756418</v>
      </c>
      <c r="N45" s="30">
        <f t="shared" si="9"/>
        <v>0.61532224241871725</v>
      </c>
      <c r="O45" s="30">
        <f t="shared" si="9"/>
        <v>0.8243332896772636</v>
      </c>
      <c r="P45" s="30">
        <f t="shared" si="9"/>
        <v>0.661566621205117</v>
      </c>
      <c r="Q45" s="30">
        <f t="shared" si="9"/>
        <v>0.73384258036885741</v>
      </c>
      <c r="R45" s="30">
        <f t="shared" si="9"/>
        <v>0.74619257028478347</v>
      </c>
      <c r="S45" s="30">
        <f t="shared" si="9"/>
        <v>0.76297401158893097</v>
      </c>
      <c r="T45" s="30">
        <f t="shared" si="9"/>
        <v>0.61158447338751343</v>
      </c>
      <c r="U45" s="30">
        <f t="shared" si="9"/>
        <v>0.47805374177756549</v>
      </c>
      <c r="V45" s="30">
        <f t="shared" si="9"/>
        <v>0.50412422348242925</v>
      </c>
      <c r="W45" s="30">
        <f t="shared" si="9"/>
        <v>1.0528617370900792</v>
      </c>
      <c r="X45" s="30">
        <f t="shared" si="9"/>
        <v>0.73224459067662895</v>
      </c>
      <c r="Y45" s="30">
        <f t="shared" si="9"/>
        <v>0.89942858528923608</v>
      </c>
      <c r="Z45" s="30">
        <f t="shared" si="9"/>
        <v>0.80514414992943817</v>
      </c>
      <c r="AA45" s="30">
        <f t="shared" si="9"/>
        <v>0.5299402171367118</v>
      </c>
      <c r="AB45" s="30">
        <f t="shared" si="9"/>
        <v>0.7867949425897276</v>
      </c>
      <c r="AC45" s="30">
        <f t="shared" si="9"/>
        <v>0.81460006277966468</v>
      </c>
      <c r="AD45" s="30">
        <f t="shared" si="9"/>
        <v>0.74189676665912507</v>
      </c>
      <c r="AE45" s="30">
        <f t="shared" si="9"/>
        <v>0.79344531121181661</v>
      </c>
      <c r="AF45" s="30" t="e">
        <f t="shared" si="9"/>
        <v>#DIV/0!</v>
      </c>
      <c r="AG45" s="30" t="e">
        <f t="shared" si="9"/>
        <v>#DIV/0!</v>
      </c>
      <c r="AH45" s="30" t="e">
        <f t="shared" si="9"/>
        <v>#DIV/0!</v>
      </c>
      <c r="AI45" s="30" t="e">
        <f t="shared" si="9"/>
        <v>#DIV/0!</v>
      </c>
      <c r="AJ45" s="30" t="e">
        <f t="shared" si="9"/>
        <v>#DIV/0!</v>
      </c>
      <c r="AK45" s="30" t="e">
        <f t="shared" si="9"/>
        <v>#DIV/0!</v>
      </c>
      <c r="AL45" s="30" t="e">
        <f t="shared" si="9"/>
        <v>#DIV/0!</v>
      </c>
      <c r="AM45" s="30" t="e">
        <f t="shared" si="9"/>
        <v>#DIV/0!</v>
      </c>
      <c r="AS45" s="30">
        <f>AS44/AS19</f>
        <v>0.66107499309446105</v>
      </c>
      <c r="AT45" s="30">
        <f>AT44/AT19</f>
        <v>0.74482299895398119</v>
      </c>
    </row>
    <row r="46" spans="2:46" x14ac:dyDescent="0.2"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8"/>
    </row>
    <row r="47" spans="2:46" x14ac:dyDescent="0.2">
      <c r="B47" s="15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8"/>
    </row>
    <row r="48" spans="2:46" x14ac:dyDescent="0.2">
      <c r="B48" s="15"/>
      <c r="C48" s="20" t="s">
        <v>121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8"/>
    </row>
    <row r="49" spans="2:46" x14ac:dyDescent="0.2">
      <c r="B49" s="21">
        <f>_xlfn.XLOOKUP($C49,TB_NG!$E:$E,TB_NG!A:A)</f>
        <v>40085</v>
      </c>
      <c r="C49" s="16" t="s">
        <v>9</v>
      </c>
      <c r="D49" s="17">
        <f>-_xlfn.XLOOKUP($C49,TB_NG!$E:$E,TB_NG!F:F)</f>
        <v>51483.95</v>
      </c>
      <c r="E49" s="17">
        <f>-_xlfn.XLOOKUP($C49,TB_NG!$E:$E,TB_NG!G:G)</f>
        <v>28583.589999999851</v>
      </c>
      <c r="F49" s="17">
        <f>-_xlfn.XLOOKUP($C49,TB_NG!$E:$E,TB_NG!H:H)</f>
        <v>28583.59</v>
      </c>
      <c r="G49" s="17">
        <f>-_xlfn.XLOOKUP($C49,TB_NG!$E:$E,TB_NG!I:I)</f>
        <v>13583.570000000007</v>
      </c>
      <c r="H49" s="17">
        <f>-_xlfn.XLOOKUP($C49,TB_NG!$E:$E,TB_NG!J:J)</f>
        <v>9917.1300000000047</v>
      </c>
      <c r="I49" s="17">
        <f>-_xlfn.XLOOKUP($C49,TB_NG!$E:$E,TB_NG!K:K)</f>
        <v>14167.049999999988</v>
      </c>
      <c r="J49" s="17">
        <f>-_xlfn.XLOOKUP($C49,TB_NG!$E:$E,TB_NG!L:L)</f>
        <v>22167.55</v>
      </c>
      <c r="K49" s="17">
        <f>-_xlfn.XLOOKUP($C49,TB_NG!$E:$E,TB_NG!M:M)</f>
        <v>19500.47</v>
      </c>
      <c r="L49" s="17">
        <f>-_xlfn.XLOOKUP($C49,TB_NG!$E:$E,TB_NG!N:N)</f>
        <v>15000.01</v>
      </c>
      <c r="M49" s="17">
        <f>-_xlfn.XLOOKUP($C49,TB_NG!$E:$E,TB_NG!O:O)</f>
        <v>17083.34</v>
      </c>
      <c r="N49" s="17">
        <f>-_xlfn.XLOOKUP($C49,TB_NG!$E:$E,TB_NG!P:P)</f>
        <v>12916.67</v>
      </c>
      <c r="O49" s="17">
        <f>-_xlfn.XLOOKUP($C49,TB_NG!$E:$E,TB_NG!Q:Q)</f>
        <v>1168712.18</v>
      </c>
      <c r="P49" s="17">
        <f>-_xlfn.XLOOKUP($C49,TB_NG!$E:$E,TB_NG!R:R)</f>
        <v>255331.68</v>
      </c>
      <c r="Q49" s="17">
        <f>-_xlfn.XLOOKUP($C49,TB_NG!$E:$E,TB_NG!S:S)</f>
        <v>116831.67</v>
      </c>
      <c r="R49" s="17">
        <f>-_xlfn.XLOOKUP($C49,TB_NG!$E:$E,TB_NG!T:T)</f>
        <v>127627.63</v>
      </c>
      <c r="S49" s="17">
        <f>-_xlfn.XLOOKUP($C49,TB_NG!$E:$E,TB_NG!U:U)</f>
        <v>147291.04</v>
      </c>
      <c r="T49" s="17">
        <f>-_xlfn.XLOOKUP($C49,TB_NG!$E:$E,TB_NG!V:V)</f>
        <v>61831.68</v>
      </c>
      <c r="U49" s="17">
        <f>-_xlfn.XLOOKUP($C49,TB_NG!$E:$E,TB_NG!W:W)</f>
        <v>178615.67999999999</v>
      </c>
      <c r="V49" s="17">
        <f>-_xlfn.XLOOKUP($C49,TB_NG!$E:$E,TB_NG!X:X)</f>
        <v>163978.25</v>
      </c>
      <c r="W49" s="17">
        <f>-_xlfn.XLOOKUP($C49,TB_NG!$E:$E,TB_NG!Y:Y)</f>
        <v>167074.89000000001</v>
      </c>
      <c r="X49" s="17">
        <f>-_xlfn.XLOOKUP($C49,TB_NG!$E:$E,TB_NG!Z:Z)</f>
        <v>158016.72</v>
      </c>
      <c r="Y49" s="17">
        <f>-_xlfn.XLOOKUP($C49,TB_NG!$E:$E,TB_NG!AA:AA)</f>
        <v>288654.21000000002</v>
      </c>
      <c r="Z49" s="17">
        <f>-_xlfn.XLOOKUP($C49,TB_NG!$E:$E,TB_NG!AB:AB)</f>
        <v>275219.26</v>
      </c>
      <c r="AA49" s="17">
        <f>-_xlfn.XLOOKUP($C49,TB_NG!$E:$E,TB_NG!AC:AC)</f>
        <v>412327.02</v>
      </c>
      <c r="AB49" s="17">
        <f>-_xlfn.XLOOKUP($C49,TB_NG!$E:$E,TB_NG!AD:AD)</f>
        <v>182607.23</v>
      </c>
      <c r="AC49" s="17">
        <f>-_xlfn.XLOOKUP($C49,TB_NG!$E:$E,TB_NG!AE:AE)</f>
        <v>63750.67</v>
      </c>
      <c r="AD49" s="17">
        <f>-_xlfn.XLOOKUP($C49,TB_NG!$E:$E,TB_NG!AF:AF)</f>
        <v>58776.08</v>
      </c>
      <c r="AE49" s="17">
        <f>-_xlfn.XLOOKUP($C49,TB_NG!$E:$E,TB_NG!AG:AG)</f>
        <v>97500.01</v>
      </c>
      <c r="AF49" s="17">
        <f>-_xlfn.XLOOKUP($C49,TB_NG!$E:$E,TB_NG!AH:AH)</f>
        <v>0</v>
      </c>
      <c r="AG49" s="17">
        <f>-_xlfn.XLOOKUP($C49,TB_NG!$E:$E,TB_NG!AI:AI)</f>
        <v>0</v>
      </c>
      <c r="AH49" s="17">
        <f>-_xlfn.XLOOKUP($C49,TB_NG!$E:$E,TB_NG!AJ:AJ)</f>
        <v>0</v>
      </c>
      <c r="AI49" s="17">
        <f>-_xlfn.XLOOKUP($C49,TB_NG!$E:$E,TB_NG!AK:AK)</f>
        <v>0</v>
      </c>
      <c r="AJ49" s="17">
        <f>-_xlfn.XLOOKUP($C49,TB_NG!$E:$E,TB_NG!AL:AL)</f>
        <v>0</v>
      </c>
      <c r="AK49" s="17">
        <f>-_xlfn.XLOOKUP($C49,TB_NG!$E:$E,TB_NG!AM:AM)</f>
        <v>0</v>
      </c>
      <c r="AL49" s="17">
        <f>-_xlfn.XLOOKUP($C49,TB_NG!$E:$E,TB_NG!AN:AN)</f>
        <v>0</v>
      </c>
      <c r="AM49" s="17">
        <f>-_xlfn.XLOOKUP($C49,TB_NG!$E:$E,TB_NG!AO:AO)</f>
        <v>0</v>
      </c>
      <c r="AS49" s="17">
        <f>SUM(D49:O49)</f>
        <v>1401699.0999999999</v>
      </c>
      <c r="AT49" s="17">
        <f>SUM(P49:AA49)</f>
        <v>2352799.73</v>
      </c>
    </row>
    <row r="50" spans="2:46" x14ac:dyDescent="0.2">
      <c r="B50" s="21">
        <f>_xlfn.XLOOKUP($C50,TB_NG!$E:$E,TB_NG!A:A)</f>
        <v>49300</v>
      </c>
      <c r="C50" s="16" t="s">
        <v>122</v>
      </c>
      <c r="D50" s="17">
        <f>-_xlfn.XLOOKUP($C50,TB_NG!$E:$E,TB_NG!F:F)</f>
        <v>3390.03</v>
      </c>
      <c r="E50" s="17">
        <f>-_xlfn.XLOOKUP($C50,TB_NG!$E:$E,TB_NG!G:G)</f>
        <v>210</v>
      </c>
      <c r="F50" s="17">
        <f>-_xlfn.XLOOKUP($C50,TB_NG!$E:$E,TB_NG!H:H)</f>
        <v>7692.0599999999995</v>
      </c>
      <c r="G50" s="17">
        <f>-_xlfn.XLOOKUP($C50,TB_NG!$E:$E,TB_NG!I:I)</f>
        <v>295333.44999999995</v>
      </c>
      <c r="H50" s="17">
        <f>-_xlfn.XLOOKUP($C50,TB_NG!$E:$E,TB_NG!J:J)</f>
        <v>9560463.9799999986</v>
      </c>
      <c r="I50" s="17">
        <f>-_xlfn.XLOOKUP($C50,TB_NG!$E:$E,TB_NG!K:K)</f>
        <v>33159523.329999998</v>
      </c>
      <c r="J50" s="17">
        <f>-_xlfn.XLOOKUP($C50,TB_NG!$E:$E,TB_NG!L:L)</f>
        <v>31606356.719999999</v>
      </c>
      <c r="K50" s="17">
        <f>-_xlfn.XLOOKUP($C50,TB_NG!$E:$E,TB_NG!M:M)</f>
        <v>33132384.52</v>
      </c>
      <c r="L50" s="17">
        <f>-_xlfn.XLOOKUP($C50,TB_NG!$E:$E,TB_NG!N:N)</f>
        <v>2826292.9499999993</v>
      </c>
      <c r="M50" s="17">
        <f>-_xlfn.XLOOKUP($C50,TB_NG!$E:$E,TB_NG!O:O)</f>
        <v>77470868.230000004</v>
      </c>
      <c r="N50" s="17">
        <f>-_xlfn.XLOOKUP($C50,TB_NG!$E:$E,TB_NG!P:P)</f>
        <v>41094615.82</v>
      </c>
      <c r="O50" s="17">
        <f>-_xlfn.XLOOKUP($C50,TB_NG!$E:$E,TB_NG!Q:Q)</f>
        <v>42263700.829999998</v>
      </c>
      <c r="P50" s="17">
        <f>-_xlfn.XLOOKUP($C50,TB_NG!$E:$E,TB_NG!R:R)</f>
        <v>38751472.469999999</v>
      </c>
      <c r="Q50" s="17">
        <f>-_xlfn.XLOOKUP($C50,TB_NG!$E:$E,TB_NG!S:S)</f>
        <v>31184802.43</v>
      </c>
      <c r="R50" s="17">
        <f>-_xlfn.XLOOKUP($C50,TB_NG!$E:$E,TB_NG!T:T)</f>
        <v>28119044.399999999</v>
      </c>
      <c r="S50" s="17">
        <f>-_xlfn.XLOOKUP($C50,TB_NG!$E:$E,TB_NG!U:U)</f>
        <v>29552228.469999999</v>
      </c>
      <c r="T50" s="17">
        <f>-_xlfn.XLOOKUP($C50,TB_NG!$E:$E,TB_NG!V:V)</f>
        <v>23048167.809999999</v>
      </c>
      <c r="U50" s="17">
        <f>-_xlfn.XLOOKUP($C50,TB_NG!$E:$E,TB_NG!W:W)</f>
        <v>21322970.579999998</v>
      </c>
      <c r="V50" s="17">
        <f>-_xlfn.XLOOKUP($C50,TB_NG!$E:$E,TB_NG!X:X)</f>
        <v>21175915.25</v>
      </c>
      <c r="W50" s="17">
        <f>-_xlfn.XLOOKUP($C50,TB_NG!$E:$E,TB_NG!Y:Y)</f>
        <v>31763676.260000002</v>
      </c>
      <c r="X50" s="17">
        <f>-_xlfn.XLOOKUP($C50,TB_NG!$E:$E,TB_NG!Z:Z)</f>
        <v>15462167.050000001</v>
      </c>
      <c r="Y50" s="17">
        <f>-_xlfn.XLOOKUP($C50,TB_NG!$E:$E,TB_NG!AA:AA)</f>
        <v>16242790.119999999</v>
      </c>
      <c r="Z50" s="17">
        <f>-_xlfn.XLOOKUP($C50,TB_NG!$E:$E,TB_NG!AB:AB)</f>
        <v>15914740.76</v>
      </c>
      <c r="AA50" s="17">
        <f>-_xlfn.XLOOKUP($C50,TB_NG!$E:$E,TB_NG!AC:AC)</f>
        <v>134622064.13</v>
      </c>
      <c r="AB50" s="17">
        <f>-_xlfn.XLOOKUP($C50,TB_NG!$E:$E,TB_NG!AD:AD)</f>
        <v>5216928.2</v>
      </c>
      <c r="AC50" s="17">
        <f>-_xlfn.XLOOKUP($C50,TB_NG!$E:$E,TB_NG!AE:AE)</f>
        <v>22252736.030000001</v>
      </c>
      <c r="AD50" s="17">
        <f>-_xlfn.XLOOKUP($C50,TB_NG!$E:$E,TB_NG!AF:AF)</f>
        <v>3703903.61</v>
      </c>
      <c r="AE50" s="17">
        <f>-_xlfn.XLOOKUP($C50,TB_NG!$E:$E,TB_NG!AG:AG)</f>
        <v>63101019.709999993</v>
      </c>
      <c r="AF50" s="17">
        <f>-_xlfn.XLOOKUP($C50,TB_NG!$E:$E,TB_NG!AH:AH)</f>
        <v>0</v>
      </c>
      <c r="AG50" s="17">
        <f>-_xlfn.XLOOKUP($C50,TB_NG!$E:$E,TB_NG!AI:AI)</f>
        <v>0</v>
      </c>
      <c r="AH50" s="17">
        <f>-_xlfn.XLOOKUP($C50,TB_NG!$E:$E,TB_NG!AJ:AJ)</f>
        <v>0</v>
      </c>
      <c r="AI50" s="17">
        <f>-_xlfn.XLOOKUP($C50,TB_NG!$E:$E,TB_NG!AK:AK)</f>
        <v>0</v>
      </c>
      <c r="AJ50" s="17">
        <f>-_xlfn.XLOOKUP($C50,TB_NG!$E:$E,TB_NG!AL:AL)</f>
        <v>0</v>
      </c>
      <c r="AK50" s="17">
        <f>-_xlfn.XLOOKUP($C50,TB_NG!$E:$E,TB_NG!AM:AM)</f>
        <v>0</v>
      </c>
      <c r="AL50" s="17">
        <f>-_xlfn.XLOOKUP($C50,TB_NG!$E:$E,TB_NG!AN:AN)</f>
        <v>0</v>
      </c>
      <c r="AM50" s="17">
        <f>-_xlfn.XLOOKUP($C50,TB_NG!$E:$E,TB_NG!AO:AO)</f>
        <v>0</v>
      </c>
      <c r="AS50" s="17">
        <f>SUM(D50:O50)</f>
        <v>271420831.91999996</v>
      </c>
      <c r="AT50" s="17">
        <f>SUM(P50:AA50)</f>
        <v>407160039.73000002</v>
      </c>
    </row>
    <row r="51" spans="2:46" x14ac:dyDescent="0.2">
      <c r="B51" s="21">
        <v>40087</v>
      </c>
      <c r="C51" s="16" t="str">
        <f>_xlfn.XLOOKUP(B51,TB_NG!A:A,TB_NG!E:E)</f>
        <v>Royalties</v>
      </c>
      <c r="D51" s="17">
        <f>-_xlfn.XLOOKUP($C51,TB_NG!$E:$E,TB_NG!F:F)</f>
        <v>0</v>
      </c>
      <c r="E51" s="17">
        <f>-_xlfn.XLOOKUP($C51,TB_NG!$E:$E,TB_NG!G:G)</f>
        <v>0</v>
      </c>
      <c r="F51" s="17">
        <f>-_xlfn.XLOOKUP($C51,TB_NG!$E:$E,TB_NG!H:H)</f>
        <v>0</v>
      </c>
      <c r="G51" s="17">
        <f>-_xlfn.XLOOKUP($C51,TB_NG!$E:$E,TB_NG!I:I)</f>
        <v>0</v>
      </c>
      <c r="H51" s="17">
        <f>-_xlfn.XLOOKUP($C51,TB_NG!$E:$E,TB_NG!J:J)</f>
        <v>0</v>
      </c>
      <c r="I51" s="17">
        <f>-_xlfn.XLOOKUP($C51,TB_NG!$E:$E,TB_NG!K:K)</f>
        <v>0</v>
      </c>
      <c r="J51" s="17">
        <f>-_xlfn.XLOOKUP($C51,TB_NG!$E:$E,TB_NG!L:L)</f>
        <v>0</v>
      </c>
      <c r="K51" s="17">
        <f>-_xlfn.XLOOKUP($C51,TB_NG!$E:$E,TB_NG!M:M)</f>
        <v>0</v>
      </c>
      <c r="L51" s="17">
        <f>-_xlfn.XLOOKUP($C51,TB_NG!$E:$E,TB_NG!N:N)</f>
        <v>0</v>
      </c>
      <c r="M51" s="17">
        <f>-_xlfn.XLOOKUP($C51,TB_NG!$E:$E,TB_NG!O:O)</f>
        <v>0</v>
      </c>
      <c r="N51" s="17">
        <f>-_xlfn.XLOOKUP($C51,TB_NG!$E:$E,TB_NG!P:P)</f>
        <v>0</v>
      </c>
      <c r="O51" s="17">
        <f>-_xlfn.XLOOKUP($C51,TB_NG!$E:$E,TB_NG!Q:Q)</f>
        <v>0</v>
      </c>
      <c r="P51" s="17">
        <f>-_xlfn.XLOOKUP($C51,TB_NG!$E:$E,TB_NG!R:R)</f>
        <v>0</v>
      </c>
      <c r="Q51" s="17">
        <f>-_xlfn.XLOOKUP($C51,TB_NG!$E:$E,TB_NG!S:S)</f>
        <v>0</v>
      </c>
      <c r="R51" s="17">
        <f>-_xlfn.XLOOKUP($C51,TB_NG!$E:$E,TB_NG!T:T)</f>
        <v>0</v>
      </c>
      <c r="S51" s="17">
        <f>-_xlfn.XLOOKUP($C51,TB_NG!$E:$E,TB_NG!U:U)</f>
        <v>0</v>
      </c>
      <c r="T51" s="17">
        <f>-_xlfn.XLOOKUP($C51,TB_NG!$E:$E,TB_NG!V:V)</f>
        <v>0</v>
      </c>
      <c r="U51" s="17">
        <f>-_xlfn.XLOOKUP($C51,TB_NG!$E:$E,TB_NG!W:W)</f>
        <v>0</v>
      </c>
      <c r="V51" s="17">
        <f>-_xlfn.XLOOKUP($C51,TB_NG!$E:$E,TB_NG!X:X)</f>
        <v>0</v>
      </c>
      <c r="W51" s="17">
        <f>-_xlfn.XLOOKUP($C51,TB_NG!$E:$E,TB_NG!Y:Y)</f>
        <v>0</v>
      </c>
      <c r="X51" s="17">
        <f>-_xlfn.XLOOKUP($C51,TB_NG!$E:$E,TB_NG!Z:Z)</f>
        <v>0</v>
      </c>
      <c r="Y51" s="17">
        <f>-_xlfn.XLOOKUP($C51,TB_NG!$E:$E,TB_NG!AA:AA)</f>
        <v>0</v>
      </c>
      <c r="Z51" s="17">
        <f>-_xlfn.XLOOKUP($C51,TB_NG!$E:$E,TB_NG!AB:AB)</f>
        <v>0</v>
      </c>
      <c r="AA51" s="17">
        <f>-_xlfn.XLOOKUP($C51,TB_NG!$E:$E,TB_NG!AC:AC)</f>
        <v>30979.89</v>
      </c>
      <c r="AB51" s="17">
        <f>-_xlfn.XLOOKUP($C51,TB_NG!$E:$E,TB_NG!AD:AD)</f>
        <v>0</v>
      </c>
      <c r="AC51" s="17">
        <f>-_xlfn.XLOOKUP($C51,TB_NG!$E:$E,TB_NG!AE:AE)</f>
        <v>0</v>
      </c>
      <c r="AD51" s="17">
        <f>-_xlfn.XLOOKUP($C51,TB_NG!$E:$E,TB_NG!AF:AF)</f>
        <v>0</v>
      </c>
      <c r="AE51" s="17">
        <f>-_xlfn.XLOOKUP($C51,TB_NG!$E:$E,TB_NG!AG:AG)</f>
        <v>0</v>
      </c>
      <c r="AF51" s="17">
        <f>-_xlfn.XLOOKUP($C51,TB_NG!$E:$E,TB_NG!AH:AH)</f>
        <v>0</v>
      </c>
      <c r="AG51" s="17">
        <f>-_xlfn.XLOOKUP($C51,TB_NG!$E:$E,TB_NG!AI:AI)</f>
        <v>0</v>
      </c>
      <c r="AH51" s="17">
        <f>-_xlfn.XLOOKUP($C51,TB_NG!$E:$E,TB_NG!AJ:AJ)</f>
        <v>0</v>
      </c>
      <c r="AI51" s="17">
        <f>-_xlfn.XLOOKUP($C51,TB_NG!$E:$E,TB_NG!AK:AK)</f>
        <v>0</v>
      </c>
      <c r="AJ51" s="17">
        <f>-_xlfn.XLOOKUP($C51,TB_NG!$E:$E,TB_NG!AL:AL)</f>
        <v>0</v>
      </c>
      <c r="AK51" s="17">
        <f>-_xlfn.XLOOKUP($C51,TB_NG!$E:$E,TB_NG!AM:AM)</f>
        <v>0</v>
      </c>
      <c r="AL51" s="17">
        <f>-_xlfn.XLOOKUP($C51,TB_NG!$E:$E,TB_NG!AN:AN)</f>
        <v>0</v>
      </c>
      <c r="AM51" s="17">
        <f>-_xlfn.XLOOKUP($C51,TB_NG!$E:$E,TB_NG!AO:AO)</f>
        <v>0</v>
      </c>
      <c r="AS51" s="17"/>
      <c r="AT51" s="17"/>
    </row>
    <row r="52" spans="2:46" x14ac:dyDescent="0.2">
      <c r="B52" s="406">
        <v>40086</v>
      </c>
      <c r="C52" s="410" t="s">
        <v>1713</v>
      </c>
      <c r="D52" s="17">
        <f>-_xlfn.XLOOKUP($C52,TB_NG!$E:$E,TB_NG!F:F)</f>
        <v>0</v>
      </c>
      <c r="E52" s="17">
        <f>-_xlfn.XLOOKUP($C52,TB_NG!$E:$E,TB_NG!G:G)</f>
        <v>0</v>
      </c>
      <c r="F52" s="17">
        <f>-_xlfn.XLOOKUP($C52,TB_NG!$E:$E,TB_NG!H:H)</f>
        <v>0</v>
      </c>
      <c r="G52" s="17">
        <f>-_xlfn.XLOOKUP($C52,TB_NG!$E:$E,TB_NG!I:I)</f>
        <v>0</v>
      </c>
      <c r="H52" s="17">
        <f>-_xlfn.XLOOKUP($C52,TB_NG!$E:$E,TB_NG!J:J)</f>
        <v>0</v>
      </c>
      <c r="I52" s="17">
        <f>-_xlfn.XLOOKUP($C52,TB_NG!$E:$E,TB_NG!K:K)</f>
        <v>0</v>
      </c>
      <c r="J52" s="17">
        <f>-_xlfn.XLOOKUP($C52,TB_NG!$E:$E,TB_NG!L:L)</f>
        <v>0</v>
      </c>
      <c r="K52" s="17">
        <f>-_xlfn.XLOOKUP($C52,TB_NG!$E:$E,TB_NG!M:M)</f>
        <v>0</v>
      </c>
      <c r="L52" s="17">
        <f>-_xlfn.XLOOKUP($C52,TB_NG!$E:$E,TB_NG!N:N)</f>
        <v>0</v>
      </c>
      <c r="M52" s="17">
        <f>-_xlfn.XLOOKUP($C52,TB_NG!$E:$E,TB_NG!O:O)</f>
        <v>0</v>
      </c>
      <c r="N52" s="17">
        <f>-_xlfn.XLOOKUP($C52,TB_NG!$E:$E,TB_NG!P:P)</f>
        <v>0</v>
      </c>
      <c r="O52" s="17">
        <f>-_xlfn.XLOOKUP($C52,TB_NG!$E:$E,TB_NG!Q:Q)</f>
        <v>0</v>
      </c>
      <c r="P52" s="17">
        <f>-_xlfn.XLOOKUP($C52,TB_NG!$E:$E,TB_NG!R:R)</f>
        <v>0</v>
      </c>
      <c r="Q52" s="17">
        <f>-_xlfn.XLOOKUP($C52,TB_NG!$E:$E,TB_NG!S:S)</f>
        <v>0</v>
      </c>
      <c r="R52" s="17">
        <f>-_xlfn.XLOOKUP($C52,TB_NG!$E:$E,TB_NG!T:T)</f>
        <v>0</v>
      </c>
      <c r="S52" s="17">
        <f>-_xlfn.XLOOKUP($C52,TB_NG!$E:$E,TB_NG!U:U)</f>
        <v>0</v>
      </c>
      <c r="T52" s="17">
        <f>-_xlfn.XLOOKUP($C52,TB_NG!$E:$E,TB_NG!V:V)</f>
        <v>0</v>
      </c>
      <c r="U52" s="17">
        <f>-_xlfn.XLOOKUP($C52,TB_NG!$E:$E,TB_NG!W:W)</f>
        <v>0</v>
      </c>
      <c r="V52" s="17">
        <f>-_xlfn.XLOOKUP($C52,TB_NG!$E:$E,TB_NG!X:X)</f>
        <v>0</v>
      </c>
      <c r="W52" s="17">
        <f>-_xlfn.XLOOKUP($C52,TB_NG!$E:$E,TB_NG!Y:Y)</f>
        <v>0</v>
      </c>
      <c r="X52" s="17">
        <f>-_xlfn.XLOOKUP($C52,TB_NG!$E:$E,TB_NG!Z:Z)</f>
        <v>0</v>
      </c>
      <c r="Y52" s="17">
        <f>-_xlfn.XLOOKUP($C52,TB_NG!$E:$E,TB_NG!AA:AA)</f>
        <v>0</v>
      </c>
      <c r="Z52" s="17">
        <f>-_xlfn.XLOOKUP($C52,TB_NG!$E:$E,TB_NG!AB:AB)</f>
        <v>0</v>
      </c>
      <c r="AA52" s="17">
        <f>-_xlfn.XLOOKUP($C52,TB_NG!$E:$E,TB_NG!AC:AC)</f>
        <v>0</v>
      </c>
      <c r="AB52" s="17">
        <f>-_xlfn.XLOOKUP($C52,TB_NG!$E:$E,TB_NG!AD:AD)</f>
        <v>0</v>
      </c>
      <c r="AC52" s="17">
        <f>-_xlfn.XLOOKUP($C52,TB_NG!$E:$E,TB_NG!AE:AE)</f>
        <v>0</v>
      </c>
      <c r="AD52" s="17">
        <f>-_xlfn.XLOOKUP($C52,TB_NG!$E:$E,TB_NG!AF:AF)</f>
        <v>-22240712.84</v>
      </c>
      <c r="AE52" s="17">
        <f>-_xlfn.XLOOKUP($C52,TB_NG!$E:$E,TB_NG!AG:AG)</f>
        <v>0</v>
      </c>
      <c r="AF52" s="17">
        <f>-_xlfn.XLOOKUP($C52,TB_NG!$E:$E,TB_NG!AH:AH)</f>
        <v>0</v>
      </c>
      <c r="AG52" s="17">
        <f>-_xlfn.XLOOKUP($C52,TB_NG!$E:$E,TB_NG!AI:AI)</f>
        <v>0</v>
      </c>
      <c r="AH52" s="17">
        <f>-_xlfn.XLOOKUP($C52,TB_NG!$E:$E,TB_NG!AJ:AJ)</f>
        <v>0</v>
      </c>
      <c r="AI52" s="17">
        <f>-_xlfn.XLOOKUP($C52,TB_NG!$E:$E,TB_NG!AK:AK)</f>
        <v>0</v>
      </c>
      <c r="AJ52" s="17">
        <f>-_xlfn.XLOOKUP($C52,TB_NG!$E:$E,TB_NG!AL:AL)</f>
        <v>0</v>
      </c>
      <c r="AK52" s="17">
        <f>-_xlfn.XLOOKUP($C52,TB_NG!$E:$E,TB_NG!AM:AM)</f>
        <v>0</v>
      </c>
      <c r="AL52" s="17">
        <f>-_xlfn.XLOOKUP($C52,TB_NG!$E:$E,TB_NG!AN:AN)</f>
        <v>0</v>
      </c>
      <c r="AM52" s="17">
        <f>-_xlfn.XLOOKUP($C52,TB_NG!$E:$E,TB_NG!AO:AO)</f>
        <v>0</v>
      </c>
      <c r="AS52" s="17"/>
      <c r="AT52" s="17"/>
    </row>
    <row r="53" spans="2:46" x14ac:dyDescent="0.2">
      <c r="B53" s="21">
        <v>49400</v>
      </c>
      <c r="C53" s="16" t="str">
        <f>_xlfn.XLOOKUP(B53,TB_NG!A:A,TB_NG!E:E)</f>
        <v>Other Income</v>
      </c>
      <c r="D53" s="17">
        <f>-_xlfn.XLOOKUP($B53,TB_NG!$A:$A,TB_NG!F:F)</f>
        <v>0</v>
      </c>
      <c r="E53" s="17">
        <f>-_xlfn.XLOOKUP($B53,TB_NG!$A:$A,TB_NG!G:G)</f>
        <v>0</v>
      </c>
      <c r="F53" s="17">
        <f>-_xlfn.XLOOKUP($B53,TB_NG!$A:$A,TB_NG!H:H)</f>
        <v>0</v>
      </c>
      <c r="G53" s="17">
        <f>-_xlfn.XLOOKUP($B53,TB_NG!$A:$A,TB_NG!I:I)</f>
        <v>0</v>
      </c>
      <c r="H53" s="17">
        <f>-_xlfn.XLOOKUP($B53,TB_NG!$A:$A,TB_NG!J:J)</f>
        <v>0</v>
      </c>
      <c r="I53" s="17">
        <f>-_xlfn.XLOOKUP($B53,TB_NG!$A:$A,TB_NG!K:K)</f>
        <v>0</v>
      </c>
      <c r="J53" s="17">
        <f>-_xlfn.XLOOKUP($B53,TB_NG!$A:$A,TB_NG!L:L)</f>
        <v>0</v>
      </c>
      <c r="K53" s="17">
        <f>-_xlfn.XLOOKUP($B53,TB_NG!$A:$A,TB_NG!M:M)</f>
        <v>0</v>
      </c>
      <c r="L53" s="17">
        <f>-_xlfn.XLOOKUP($B53,TB_NG!$A:$A,TB_NG!N:N)</f>
        <v>0</v>
      </c>
      <c r="M53" s="17">
        <f>-_xlfn.XLOOKUP($B53,TB_NG!$A:$A,TB_NG!O:O)</f>
        <v>0</v>
      </c>
      <c r="N53" s="17">
        <f>-_xlfn.XLOOKUP($B53,TB_NG!$A:$A,TB_NG!P:P)</f>
        <v>0</v>
      </c>
      <c r="O53" s="17">
        <f>-_xlfn.XLOOKUP($B53,TB_NG!$A:$A,TB_NG!Q:Q)</f>
        <v>0</v>
      </c>
      <c r="P53" s="17">
        <f>-_xlfn.XLOOKUP($B53,TB_NG!$A:$A,TB_NG!R:R)</f>
        <v>0</v>
      </c>
      <c r="Q53" s="17">
        <f>-_xlfn.XLOOKUP($B53,TB_NG!$A:$A,TB_NG!S:S)</f>
        <v>0</v>
      </c>
      <c r="R53" s="17">
        <f>-_xlfn.XLOOKUP($B53,TB_NG!$A:$A,TB_NG!T:T)</f>
        <v>0</v>
      </c>
      <c r="S53" s="17">
        <f>-_xlfn.XLOOKUP($B53,TB_NG!$A:$A,TB_NG!U:U)</f>
        <v>0</v>
      </c>
      <c r="T53" s="17">
        <f>-_xlfn.XLOOKUP($B53,TB_NG!$A:$A,TB_NG!V:V)</f>
        <v>0</v>
      </c>
      <c r="U53" s="17">
        <f>-_xlfn.XLOOKUP($B53,TB_NG!$A:$A,TB_NG!W:W)</f>
        <v>0</v>
      </c>
      <c r="V53" s="17">
        <f>-_xlfn.XLOOKUP($B53,TB_NG!$A:$A,TB_NG!X:X)</f>
        <v>0</v>
      </c>
      <c r="W53" s="17">
        <f>-_xlfn.XLOOKUP($B53,TB_NG!$A:$A,TB_NG!Y:Y)</f>
        <v>0</v>
      </c>
      <c r="X53" s="17">
        <f>-_xlfn.XLOOKUP($B53,TB_NG!$A:$A,TB_NG!Z:Z)</f>
        <v>0</v>
      </c>
      <c r="Y53" s="17">
        <f>-_xlfn.XLOOKUP($B53,TB_NG!$A:$A,TB_NG!AA:AA)</f>
        <v>0</v>
      </c>
      <c r="Z53" s="17">
        <f>-_xlfn.XLOOKUP($B53,TB_NG!$A:$A,TB_NG!AB:AB)</f>
        <v>0</v>
      </c>
      <c r="AA53" s="17">
        <f>-_xlfn.XLOOKUP($B53,TB_NG!$A:$A,TB_NG!AC:AC)</f>
        <v>0</v>
      </c>
      <c r="AB53" s="17">
        <f>-_xlfn.XLOOKUP($B53,TB_NG!$A:$A,TB_NG!AD:AD)</f>
        <v>0</v>
      </c>
      <c r="AC53" s="17">
        <f>-_xlfn.XLOOKUP($B53,TB_NG!$A:$A,TB_NG!AE:AE)</f>
        <v>0</v>
      </c>
      <c r="AD53" s="17">
        <f>-_xlfn.XLOOKUP($B53,TB_NG!$A:$A,TB_NG!AF:AF)</f>
        <v>0</v>
      </c>
      <c r="AE53" s="17">
        <f>-_xlfn.XLOOKUP($B53,TB_NG!$A:$A,TB_NG!AG:AG)</f>
        <v>0</v>
      </c>
      <c r="AF53" s="17">
        <f>-_xlfn.XLOOKUP($B53,TB_NG!$A:$A,TB_NG!AH:AH)</f>
        <v>0</v>
      </c>
      <c r="AG53" s="17">
        <f>-_xlfn.XLOOKUP($B53,TB_NG!$A:$A,TB_NG!AI:AI)</f>
        <v>0</v>
      </c>
      <c r="AH53" s="17">
        <f>-_xlfn.XLOOKUP($B53,TB_NG!$A:$A,TB_NG!AJ:AJ)</f>
        <v>0</v>
      </c>
      <c r="AI53" s="17">
        <f>-_xlfn.XLOOKUP($B53,TB_NG!$A:$A,TB_NG!AK:AK)</f>
        <v>0</v>
      </c>
      <c r="AJ53" s="17">
        <f>-_xlfn.XLOOKUP($B53,TB_NG!$A:$A,TB_NG!AL:AL)</f>
        <v>0</v>
      </c>
      <c r="AK53" s="17">
        <f>-_xlfn.XLOOKUP($B53,TB_NG!$A:$A,TB_NG!AM:AM)</f>
        <v>0</v>
      </c>
      <c r="AL53" s="17">
        <f>-_xlfn.XLOOKUP($B53,TB_NG!$A:$A,TB_NG!AN:AN)</f>
        <v>0</v>
      </c>
      <c r="AM53" s="17">
        <f>-_xlfn.XLOOKUP($B53,TB_NG!$A:$A,TB_NG!AO:AO)</f>
        <v>0</v>
      </c>
      <c r="AS53" s="17">
        <f>SUM(D53:O53)</f>
        <v>0</v>
      </c>
      <c r="AT53" s="17">
        <f>SUM(P53:AA53)</f>
        <v>0</v>
      </c>
    </row>
    <row r="54" spans="2:46" x14ac:dyDescent="0.2">
      <c r="B54" s="15"/>
      <c r="C54" s="22" t="s">
        <v>8</v>
      </c>
      <c r="D54" s="23">
        <f>SUM(D49:D53)</f>
        <v>54873.979999999996</v>
      </c>
      <c r="E54" s="23">
        <f t="shared" ref="E54:AM54" si="10">SUM(E49:E53)</f>
        <v>28793.589999999851</v>
      </c>
      <c r="F54" s="23">
        <f t="shared" si="10"/>
        <v>36275.65</v>
      </c>
      <c r="G54" s="23">
        <f t="shared" si="10"/>
        <v>308917.01999999996</v>
      </c>
      <c r="H54" s="23">
        <f t="shared" si="10"/>
        <v>9570381.1099999994</v>
      </c>
      <c r="I54" s="23">
        <f t="shared" si="10"/>
        <v>33173690.379999999</v>
      </c>
      <c r="J54" s="23">
        <f t="shared" si="10"/>
        <v>31628524.27</v>
      </c>
      <c r="K54" s="23">
        <f t="shared" si="10"/>
        <v>33151884.989999998</v>
      </c>
      <c r="L54" s="23">
        <f t="shared" si="10"/>
        <v>2841292.959999999</v>
      </c>
      <c r="M54" s="23">
        <f t="shared" si="10"/>
        <v>77487951.570000008</v>
      </c>
      <c r="N54" s="23">
        <f t="shared" si="10"/>
        <v>41107532.490000002</v>
      </c>
      <c r="O54" s="23">
        <f t="shared" si="10"/>
        <v>43432413.009999998</v>
      </c>
      <c r="P54" s="23">
        <f>SUM(P49:P53)</f>
        <v>39006804.149999999</v>
      </c>
      <c r="Q54" s="23">
        <f t="shared" si="10"/>
        <v>31301634.100000001</v>
      </c>
      <c r="R54" s="23">
        <f t="shared" si="10"/>
        <v>28246672.029999997</v>
      </c>
      <c r="S54" s="23">
        <f t="shared" si="10"/>
        <v>29699519.509999998</v>
      </c>
      <c r="T54" s="23">
        <f t="shared" si="10"/>
        <v>23109999.489999998</v>
      </c>
      <c r="U54" s="23">
        <f t="shared" si="10"/>
        <v>21501586.259999998</v>
      </c>
      <c r="V54" s="23">
        <f t="shared" si="10"/>
        <v>21339893.5</v>
      </c>
      <c r="W54" s="23">
        <f t="shared" si="10"/>
        <v>31930751.150000002</v>
      </c>
      <c r="X54" s="23">
        <f t="shared" si="10"/>
        <v>15620183.770000001</v>
      </c>
      <c r="Y54" s="23">
        <f t="shared" si="10"/>
        <v>16531444.33</v>
      </c>
      <c r="Z54" s="23">
        <f t="shared" si="10"/>
        <v>16189960.02</v>
      </c>
      <c r="AA54" s="23">
        <f t="shared" si="10"/>
        <v>135065371.03999999</v>
      </c>
      <c r="AB54" s="23">
        <f t="shared" si="10"/>
        <v>5399535.4300000006</v>
      </c>
      <c r="AC54" s="23">
        <f t="shared" si="10"/>
        <v>22316486.700000003</v>
      </c>
      <c r="AD54" s="23">
        <f>SUM(AD49:AD53)</f>
        <v>-18478033.149999999</v>
      </c>
      <c r="AE54" s="23">
        <f t="shared" si="10"/>
        <v>63198519.719999991</v>
      </c>
      <c r="AF54" s="23">
        <f t="shared" si="10"/>
        <v>0</v>
      </c>
      <c r="AG54" s="23">
        <f t="shared" si="10"/>
        <v>0</v>
      </c>
      <c r="AH54" s="23">
        <f t="shared" si="10"/>
        <v>0</v>
      </c>
      <c r="AI54" s="23">
        <f t="shared" si="10"/>
        <v>0</v>
      </c>
      <c r="AJ54" s="23">
        <f t="shared" si="10"/>
        <v>0</v>
      </c>
      <c r="AK54" s="23">
        <f t="shared" si="10"/>
        <v>0</v>
      </c>
      <c r="AL54" s="23">
        <f t="shared" si="10"/>
        <v>0</v>
      </c>
      <c r="AM54" s="23">
        <f t="shared" si="10"/>
        <v>0</v>
      </c>
      <c r="AS54" s="23">
        <f>SUM(D54:O54)</f>
        <v>272822531.01999998</v>
      </c>
      <c r="AT54" s="23">
        <f>SUM(P54:AA54)</f>
        <v>409543819.35000002</v>
      </c>
    </row>
    <row r="55" spans="2:46" x14ac:dyDescent="0.2">
      <c r="B55" s="15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8"/>
    </row>
    <row r="56" spans="2:46" x14ac:dyDescent="0.2">
      <c r="B56" s="15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8"/>
    </row>
    <row r="57" spans="2:46" x14ac:dyDescent="0.2">
      <c r="B57" s="15"/>
      <c r="C57" s="20" t="s">
        <v>123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8"/>
    </row>
    <row r="58" spans="2:46" x14ac:dyDescent="0.2">
      <c r="B58" s="15"/>
      <c r="C58" s="20" t="s">
        <v>124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8"/>
    </row>
    <row r="59" spans="2:46" x14ac:dyDescent="0.2">
      <c r="B59" s="21">
        <v>60070</v>
      </c>
      <c r="C59" s="16" t="str">
        <f>_xlfn.XLOOKUP(B59,TB_NG!A:A,TB_NG!E:E)</f>
        <v>Staff Welfare: Gifts expense</v>
      </c>
      <c r="D59" s="17">
        <f>-_xlfn.XLOOKUP($C59,TB_NG!$E:$E,TB_NG!F:F)</f>
        <v>136000</v>
      </c>
      <c r="E59" s="17">
        <f>-_xlfn.XLOOKUP($C59,TB_NG!$E:$E,TB_NG!G:G)</f>
        <v>-266600</v>
      </c>
      <c r="F59" s="17">
        <f>-_xlfn.XLOOKUP($C59,TB_NG!$E:$E,TB_NG!H:H)</f>
        <v>-255750</v>
      </c>
      <c r="G59" s="17">
        <f>-_xlfn.XLOOKUP($C59,TB_NG!$E:$E,TB_NG!I:I)</f>
        <v>-414537.5</v>
      </c>
      <c r="H59" s="17">
        <f>-_xlfn.XLOOKUP($C59,TB_NG!$E:$E,TB_NG!J:J)</f>
        <v>-388700</v>
      </c>
      <c r="I59" s="17">
        <f>-_xlfn.XLOOKUP($C59,TB_NG!$E:$E,TB_NG!K:K)</f>
        <v>-920440.72</v>
      </c>
      <c r="J59" s="17">
        <f>-_xlfn.XLOOKUP($C59,TB_NG!$E:$E,TB_NG!L:L)</f>
        <v>-230200</v>
      </c>
      <c r="K59" s="17">
        <f>-_xlfn.XLOOKUP($C59,TB_NG!$E:$E,TB_NG!M:M)</f>
        <v>-1059500</v>
      </c>
      <c r="L59" s="17">
        <f>-_xlfn.XLOOKUP($C59,TB_NG!$E:$E,TB_NG!N:N)</f>
        <v>-154500</v>
      </c>
      <c r="M59" s="17">
        <f>-_xlfn.XLOOKUP($C59,TB_NG!$E:$E,TB_NG!O:O)</f>
        <v>0</v>
      </c>
      <c r="N59" s="17">
        <f>-_xlfn.XLOOKUP($C59,TB_NG!$E:$E,TB_NG!P:P)</f>
        <v>-247500</v>
      </c>
      <c r="O59" s="17">
        <f>-_xlfn.XLOOKUP($C59,TB_NG!$E:$E,TB_NG!Q:Q)</f>
        <v>-9125950</v>
      </c>
      <c r="P59" s="17">
        <f>-_xlfn.XLOOKUP($C59,TB_NG!$E:$E,TB_NG!R:R)</f>
        <v>-2218525</v>
      </c>
      <c r="Q59" s="17">
        <f>-_xlfn.XLOOKUP($C59,TB_NG!$E:$E,TB_NG!S:S)</f>
        <v>-298875</v>
      </c>
      <c r="R59" s="17">
        <f>-_xlfn.XLOOKUP($C59,TB_NG!$E:$E,TB_NG!T:T)</f>
        <v>-422028.35</v>
      </c>
      <c r="S59" s="17">
        <f>-_xlfn.XLOOKUP($C59,TB_NG!$E:$E,TB_NG!U:U)</f>
        <v>-353800</v>
      </c>
      <c r="T59" s="17">
        <f>-_xlfn.XLOOKUP($C59,TB_NG!$E:$E,TB_NG!V:V)</f>
        <v>-149800</v>
      </c>
      <c r="U59" s="17">
        <f>-_xlfn.XLOOKUP($C59,TB_NG!$E:$E,TB_NG!W:W)</f>
        <v>-1528873.51</v>
      </c>
      <c r="V59" s="17">
        <f>-_xlfn.XLOOKUP($C59,TB_NG!$E:$E,TB_NG!X:X)</f>
        <v>-573957.32999999996</v>
      </c>
      <c r="W59" s="17">
        <f>-_xlfn.XLOOKUP($C59,TB_NG!$E:$E,TB_NG!Y:Y)</f>
        <v>-435800</v>
      </c>
      <c r="X59" s="17">
        <f>-_xlfn.XLOOKUP($C59,TB_NG!$E:$E,TB_NG!Z:Z)</f>
        <v>-105685</v>
      </c>
      <c r="Y59" s="17">
        <f>-_xlfn.XLOOKUP($C59,TB_NG!$E:$E,TB_NG!AA:AA)</f>
        <v>-225100</v>
      </c>
      <c r="Z59" s="17">
        <f>-_xlfn.XLOOKUP($C59,TB_NG!$E:$E,TB_NG!AB:AB)</f>
        <v>-5711150</v>
      </c>
      <c r="AA59" s="17">
        <f>-_xlfn.XLOOKUP($C59,TB_NG!$E:$E,TB_NG!AC:AC)</f>
        <v>-2458000</v>
      </c>
      <c r="AB59" s="17">
        <f>-_xlfn.XLOOKUP($C59,TB_NG!$E:$E,TB_NG!AD:AD)</f>
        <v>-377150</v>
      </c>
      <c r="AC59" s="17">
        <f>-_xlfn.XLOOKUP($C59,TB_NG!$E:$E,TB_NG!AE:AE)</f>
        <v>-136505.62</v>
      </c>
      <c r="AD59" s="17">
        <f>-_xlfn.XLOOKUP($C59,TB_NG!$E:$E,TB_NG!AF:AF)</f>
        <v>-210000</v>
      </c>
      <c r="AE59" s="17">
        <f>-_xlfn.XLOOKUP($C59,TB_NG!$E:$E,TB_NG!AG:AG)</f>
        <v>-506300</v>
      </c>
      <c r="AF59" s="17">
        <f>-_xlfn.XLOOKUP($C59,TB_NG!$E:$E,TB_NG!AH:AH)</f>
        <v>0</v>
      </c>
      <c r="AG59" s="17">
        <f>-_xlfn.XLOOKUP($C59,TB_NG!$E:$E,TB_NG!AI:AI)</f>
        <v>0</v>
      </c>
      <c r="AH59" s="17">
        <f>-_xlfn.XLOOKUP($C59,TB_NG!$E:$E,TB_NG!AJ:AJ)</f>
        <v>0</v>
      </c>
      <c r="AI59" s="17">
        <f>-_xlfn.XLOOKUP($C59,TB_NG!$E:$E,TB_NG!AK:AK)</f>
        <v>0</v>
      </c>
      <c r="AJ59" s="17">
        <f>-_xlfn.XLOOKUP($C59,TB_NG!$E:$E,TB_NG!AL:AL)</f>
        <v>0</v>
      </c>
      <c r="AK59" s="17">
        <f>-_xlfn.XLOOKUP($C59,TB_NG!$E:$E,TB_NG!AM:AM)</f>
        <v>0</v>
      </c>
      <c r="AL59" s="17">
        <f>-_xlfn.XLOOKUP($C59,TB_NG!$E:$E,TB_NG!AN:AN)</f>
        <v>0</v>
      </c>
      <c r="AM59" s="17">
        <f>-_xlfn.XLOOKUP($C59,TB_NG!$E:$E,TB_NG!AO:AO)</f>
        <v>0</v>
      </c>
      <c r="AS59" s="17">
        <f t="shared" ref="AS59:AS76" si="11">SUM(D59:O59)</f>
        <v>-12927678.219999999</v>
      </c>
      <c r="AT59" s="17">
        <f t="shared" ref="AT59:AT76" si="12">SUM(P59:AA59)</f>
        <v>-14481594.190000001</v>
      </c>
    </row>
    <row r="60" spans="2:46" x14ac:dyDescent="0.2">
      <c r="B60" s="21">
        <v>60080</v>
      </c>
      <c r="C60" s="16" t="str">
        <f>_xlfn.XLOOKUP(B60,TB_NG!A:A,TB_NG!E:E)</f>
        <v>Staff Welfare: Medicals</v>
      </c>
      <c r="D60" s="17">
        <f>-_xlfn.XLOOKUP($C60,TB_NG!$E:$E,TB_NG!F:F)</f>
        <v>-252738.06</v>
      </c>
      <c r="E60" s="17">
        <f>-_xlfn.XLOOKUP($C60,TB_NG!$E:$E,TB_NG!G:G)</f>
        <v>0</v>
      </c>
      <c r="F60" s="17">
        <f>-_xlfn.XLOOKUP($C60,TB_NG!$E:$E,TB_NG!H:H)</f>
        <v>-3537077</v>
      </c>
      <c r="G60" s="17">
        <f>-_xlfn.XLOOKUP($C60,TB_NG!$E:$E,TB_NG!I:I)</f>
        <v>-153333.32999999999</v>
      </c>
      <c r="H60" s="17">
        <f>-_xlfn.XLOOKUP($C60,TB_NG!$E:$E,TB_NG!J:J)</f>
        <v>-763233.66</v>
      </c>
      <c r="I60" s="17">
        <f>-_xlfn.XLOOKUP($C60,TB_NG!$E:$E,TB_NG!K:K)</f>
        <v>-1171780.77</v>
      </c>
      <c r="J60" s="17">
        <f>-_xlfn.XLOOKUP($C60,TB_NG!$E:$E,TB_NG!L:L)</f>
        <v>-1392697.41</v>
      </c>
      <c r="K60" s="17">
        <f>-_xlfn.XLOOKUP($C60,TB_NG!$E:$E,TB_NG!M:M)</f>
        <v>-1289086.01</v>
      </c>
      <c r="L60" s="17">
        <f>-_xlfn.XLOOKUP($C60,TB_NG!$E:$E,TB_NG!N:N)</f>
        <v>-2301116.67</v>
      </c>
      <c r="M60" s="17">
        <f>-_xlfn.XLOOKUP($C60,TB_NG!$E:$E,TB_NG!O:O)</f>
        <v>-2036979.17</v>
      </c>
      <c r="N60" s="17">
        <f>-_xlfn.XLOOKUP($C60,TB_NG!$E:$E,TB_NG!P:P)</f>
        <v>-2142577.38</v>
      </c>
      <c r="O60" s="17">
        <f>-_xlfn.XLOOKUP($C60,TB_NG!$E:$E,TB_NG!Q:Q)</f>
        <v>-2164770.65</v>
      </c>
      <c r="P60" s="17">
        <f>-_xlfn.XLOOKUP($C60,TB_NG!$E:$E,TB_NG!R:R)</f>
        <v>-2220358</v>
      </c>
      <c r="Q60" s="17">
        <f>-_xlfn.XLOOKUP($C60,TB_NG!$E:$E,TB_NG!S:S)</f>
        <v>-2123323.85</v>
      </c>
      <c r="R60" s="17">
        <f>-_xlfn.XLOOKUP($C60,TB_NG!$E:$E,TB_NG!T:T)</f>
        <v>-5199001.96</v>
      </c>
      <c r="S60" s="17">
        <f>-_xlfn.XLOOKUP($C60,TB_NG!$E:$E,TB_NG!U:U)</f>
        <v>-2456843.17</v>
      </c>
      <c r="T60" s="17">
        <f>-_xlfn.XLOOKUP($C60,TB_NG!$E:$E,TB_NG!V:V)</f>
        <v>-2357812.27</v>
      </c>
      <c r="U60" s="17">
        <f>-_xlfn.XLOOKUP($C60,TB_NG!$E:$E,TB_NG!W:W)</f>
        <v>-6354389.8399999999</v>
      </c>
      <c r="V60" s="17">
        <f>-_xlfn.XLOOKUP($C60,TB_NG!$E:$E,TB_NG!X:X)</f>
        <v>-791676.5</v>
      </c>
      <c r="W60" s="17">
        <f>-_xlfn.XLOOKUP($C60,TB_NG!$E:$E,TB_NG!Y:Y)</f>
        <v>0</v>
      </c>
      <c r="X60" s="17">
        <f>-_xlfn.XLOOKUP($C60,TB_NG!$E:$E,TB_NG!Z:Z)</f>
        <v>-608644</v>
      </c>
      <c r="Y60" s="17">
        <f>-_xlfn.XLOOKUP($C60,TB_NG!$E:$E,TB_NG!AA:AA)</f>
        <v>-8865285.1300000008</v>
      </c>
      <c r="Z60" s="17">
        <f>-_xlfn.XLOOKUP($C60,TB_NG!$E:$E,TB_NG!AB:AB)</f>
        <v>-4382340.29</v>
      </c>
      <c r="AA60" s="17">
        <f>-_xlfn.XLOOKUP($C60,TB_NG!$E:$E,TB_NG!AC:AC)</f>
        <v>-4236512.51</v>
      </c>
      <c r="AB60" s="17">
        <f>-_xlfn.XLOOKUP($C60,TB_NG!$E:$E,TB_NG!AD:AD)</f>
        <v>-4115740.33</v>
      </c>
      <c r="AC60" s="17">
        <f>-_xlfn.XLOOKUP($C60,TB_NG!$E:$E,TB_NG!AE:AE)</f>
        <v>-4453171.05</v>
      </c>
      <c r="AD60" s="17">
        <f>-_xlfn.XLOOKUP($C60,TB_NG!$E:$E,TB_NG!AF:AF)</f>
        <v>-4041547.67</v>
      </c>
      <c r="AE60" s="17">
        <f>-_xlfn.XLOOKUP($C60,TB_NG!$E:$E,TB_NG!AG:AG)</f>
        <v>-4237034.34</v>
      </c>
      <c r="AF60" s="17">
        <f>-_xlfn.XLOOKUP($C60,TB_NG!$E:$E,TB_NG!AH:AH)</f>
        <v>0</v>
      </c>
      <c r="AG60" s="17">
        <f>-_xlfn.XLOOKUP($C60,TB_NG!$E:$E,TB_NG!AI:AI)</f>
        <v>0</v>
      </c>
      <c r="AH60" s="17">
        <f>-_xlfn.XLOOKUP($C60,TB_NG!$E:$E,TB_NG!AJ:AJ)</f>
        <v>0</v>
      </c>
      <c r="AI60" s="17">
        <f>-_xlfn.XLOOKUP($C60,TB_NG!$E:$E,TB_NG!AK:AK)</f>
        <v>0</v>
      </c>
      <c r="AJ60" s="17">
        <f>-_xlfn.XLOOKUP($C60,TB_NG!$E:$E,TB_NG!AL:AL)</f>
        <v>0</v>
      </c>
      <c r="AK60" s="17">
        <f>-_xlfn.XLOOKUP($C60,TB_NG!$E:$E,TB_NG!AM:AM)</f>
        <v>0</v>
      </c>
      <c r="AL60" s="17">
        <f>-_xlfn.XLOOKUP($C60,TB_NG!$E:$E,TB_NG!AN:AN)</f>
        <v>0</v>
      </c>
      <c r="AM60" s="17">
        <f>-_xlfn.XLOOKUP($C60,TB_NG!$E:$E,TB_NG!AO:AO)</f>
        <v>0</v>
      </c>
      <c r="AS60" s="17">
        <f t="shared" si="11"/>
        <v>-17205390.109999999</v>
      </c>
      <c r="AT60" s="17">
        <f t="shared" si="12"/>
        <v>-39596187.519999996</v>
      </c>
    </row>
    <row r="61" spans="2:46" x14ac:dyDescent="0.2">
      <c r="B61" s="21">
        <v>60085</v>
      </c>
      <c r="C61" s="16" t="str">
        <f>_xlfn.XLOOKUP(B61,TB_NG!A:A,TB_NG!E:E)</f>
        <v>Staff Welfare: Staff Insurance</v>
      </c>
      <c r="D61" s="17">
        <f>-_xlfn.XLOOKUP($C61,TB_NG!$E:$E,TB_NG!F:F)</f>
        <v>0</v>
      </c>
      <c r="E61" s="17">
        <f>-_xlfn.XLOOKUP($C61,TB_NG!$E:$E,TB_NG!G:G)</f>
        <v>0</v>
      </c>
      <c r="F61" s="17">
        <f>-_xlfn.XLOOKUP($C61,TB_NG!$E:$E,TB_NG!H:H)</f>
        <v>-5906242.2599999998</v>
      </c>
      <c r="G61" s="17">
        <f>-_xlfn.XLOOKUP($C61,TB_NG!$E:$E,TB_NG!I:I)</f>
        <v>-35532.430000000022</v>
      </c>
      <c r="H61" s="17">
        <f>-_xlfn.XLOOKUP($C61,TB_NG!$E:$E,TB_NG!J:J)</f>
        <v>-408307.32</v>
      </c>
      <c r="I61" s="17">
        <f>-_xlfn.XLOOKUP($C61,TB_NG!$E:$E,TB_NG!K:K)</f>
        <v>-924063.94</v>
      </c>
      <c r="J61" s="17">
        <f>-_xlfn.XLOOKUP($C61,TB_NG!$E:$E,TB_NG!L:L)</f>
        <v>-896031.64</v>
      </c>
      <c r="K61" s="17">
        <f>-_xlfn.XLOOKUP($C61,TB_NG!$E:$E,TB_NG!M:M)</f>
        <v>-963229.62</v>
      </c>
      <c r="L61" s="17">
        <f>-_xlfn.XLOOKUP($C61,TB_NG!$E:$E,TB_NG!N:N)</f>
        <v>-896031.64</v>
      </c>
      <c r="M61" s="17">
        <f>-_xlfn.XLOOKUP($C61,TB_NG!$E:$E,TB_NG!O:O)</f>
        <v>-905031.64</v>
      </c>
      <c r="N61" s="17">
        <f>-_xlfn.XLOOKUP($C61,TB_NG!$E:$E,TB_NG!P:P)</f>
        <v>-1230339.76</v>
      </c>
      <c r="O61" s="17">
        <f>-_xlfn.XLOOKUP($C61,TB_NG!$E:$E,TB_NG!Q:Q)</f>
        <v>-670685.63</v>
      </c>
      <c r="P61" s="17">
        <f>-_xlfn.XLOOKUP($C61,TB_NG!$E:$E,TB_NG!R:R)</f>
        <v>-670685.63</v>
      </c>
      <c r="Q61" s="17">
        <f>-_xlfn.XLOOKUP($C61,TB_NG!$E:$E,TB_NG!S:S)</f>
        <v>-891201.79</v>
      </c>
      <c r="R61" s="17">
        <f>-_xlfn.XLOOKUP($C61,TB_NG!$E:$E,TB_NG!T:T)</f>
        <v>-780943.71</v>
      </c>
      <c r="S61" s="17">
        <f>-_xlfn.XLOOKUP($C61,TB_NG!$E:$E,TB_NG!U:U)</f>
        <v>-780943.68</v>
      </c>
      <c r="T61" s="17">
        <f>-_xlfn.XLOOKUP($C61,TB_NG!$E:$E,TB_NG!V:V)</f>
        <v>-1557996.59</v>
      </c>
      <c r="U61" s="17">
        <f>-_xlfn.XLOOKUP($C61,TB_NG!$E:$E,TB_NG!W:W)</f>
        <v>-1557996.59</v>
      </c>
      <c r="V61" s="17">
        <f>-_xlfn.XLOOKUP($C61,TB_NG!$E:$E,TB_NG!X:X)</f>
        <v>-1584927.11</v>
      </c>
      <c r="W61" s="17">
        <f>-_xlfn.XLOOKUP($C61,TB_NG!$E:$E,TB_NG!Y:Y)</f>
        <v>-1584927.11</v>
      </c>
      <c r="X61" s="17">
        <f>-_xlfn.XLOOKUP($C61,TB_NG!$E:$E,TB_NG!Z:Z)</f>
        <v>-1638686.22</v>
      </c>
      <c r="Y61" s="17">
        <f>-_xlfn.XLOOKUP($C61,TB_NG!$E:$E,TB_NG!AA:AA)</f>
        <v>-1638686.22</v>
      </c>
      <c r="Z61" s="17">
        <f>-_xlfn.XLOOKUP($C61,TB_NG!$E:$E,TB_NG!AB:AB)</f>
        <v>-1638686.22</v>
      </c>
      <c r="AA61" s="17">
        <f>-_xlfn.XLOOKUP($C61,TB_NG!$E:$E,TB_NG!AC:AC)</f>
        <v>-1638686.22</v>
      </c>
      <c r="AB61" s="17">
        <f>-_xlfn.XLOOKUP($C61,TB_NG!$E:$E,TB_NG!AD:AD)</f>
        <v>-1638686.22</v>
      </c>
      <c r="AC61" s="17">
        <f>-_xlfn.XLOOKUP($C61,TB_NG!$E:$E,TB_NG!AE:AE)</f>
        <v>-1638686.22</v>
      </c>
      <c r="AD61" s="17">
        <f>-_xlfn.XLOOKUP($C61,TB_NG!$E:$E,TB_NG!AF:AF)</f>
        <v>-2458123.41</v>
      </c>
      <c r="AE61" s="17">
        <f>-_xlfn.XLOOKUP($C61,TB_NG!$E:$E,TB_NG!AG:AG)</f>
        <v>-1638686.22</v>
      </c>
      <c r="AF61" s="17">
        <f>-_xlfn.XLOOKUP($C61,TB_NG!$E:$E,TB_NG!AH:AH)</f>
        <v>0</v>
      </c>
      <c r="AG61" s="17">
        <f>-_xlfn.XLOOKUP($C61,TB_NG!$E:$E,TB_NG!AI:AI)</f>
        <v>0</v>
      </c>
      <c r="AH61" s="17">
        <f>-_xlfn.XLOOKUP($C61,TB_NG!$E:$E,TB_NG!AJ:AJ)</f>
        <v>0</v>
      </c>
      <c r="AI61" s="17">
        <f>-_xlfn.XLOOKUP($C61,TB_NG!$E:$E,TB_NG!AK:AK)</f>
        <v>0</v>
      </c>
      <c r="AJ61" s="17">
        <f>-_xlfn.XLOOKUP($C61,TB_NG!$E:$E,TB_NG!AL:AL)</f>
        <v>0</v>
      </c>
      <c r="AK61" s="17">
        <f>-_xlfn.XLOOKUP($C61,TB_NG!$E:$E,TB_NG!AM:AM)</f>
        <v>0</v>
      </c>
      <c r="AL61" s="17">
        <f>-_xlfn.XLOOKUP($C61,TB_NG!$E:$E,TB_NG!AN:AN)</f>
        <v>0</v>
      </c>
      <c r="AM61" s="17">
        <f>-_xlfn.XLOOKUP($C61,TB_NG!$E:$E,TB_NG!AO:AO)</f>
        <v>0</v>
      </c>
      <c r="AS61" s="17">
        <f t="shared" si="11"/>
        <v>-12835495.880000001</v>
      </c>
      <c r="AT61" s="17">
        <f t="shared" si="12"/>
        <v>-15964367.090000004</v>
      </c>
    </row>
    <row r="62" spans="2:46" x14ac:dyDescent="0.2">
      <c r="B62" s="21">
        <v>60090</v>
      </c>
      <c r="C62" s="16" t="str">
        <f>_xlfn.XLOOKUP(B62,TB_NG!A:A,TB_NG!E:E)</f>
        <v>Retreats</v>
      </c>
      <c r="D62" s="17">
        <f>-_xlfn.XLOOKUP($C62,TB_NG!$E:$E,TB_NG!F:F)</f>
        <v>0</v>
      </c>
      <c r="E62" s="17">
        <f>-_xlfn.XLOOKUP($C62,TB_NG!$E:$E,TB_NG!G:G)</f>
        <v>0</v>
      </c>
      <c r="F62" s="17">
        <f>-_xlfn.XLOOKUP($C62,TB_NG!$E:$E,TB_NG!H:H)</f>
        <v>0</v>
      </c>
      <c r="G62" s="17">
        <f>-_xlfn.XLOOKUP($C62,TB_NG!$E:$E,TB_NG!I:I)</f>
        <v>-509625</v>
      </c>
      <c r="H62" s="17">
        <f>-_xlfn.XLOOKUP($C62,TB_NG!$E:$E,TB_NG!J:J)</f>
        <v>-92000</v>
      </c>
      <c r="I62" s="17">
        <f>-_xlfn.XLOOKUP($C62,TB_NG!$E:$E,TB_NG!K:K)</f>
        <v>-1712500</v>
      </c>
      <c r="J62" s="17">
        <f>-_xlfn.XLOOKUP($C62,TB_NG!$E:$E,TB_NG!L:L)</f>
        <v>0</v>
      </c>
      <c r="K62" s="17">
        <f>-_xlfn.XLOOKUP($C62,TB_NG!$E:$E,TB_NG!M:M)</f>
        <v>-3109047.87</v>
      </c>
      <c r="L62" s="17">
        <f>-_xlfn.XLOOKUP($C62,TB_NG!$E:$E,TB_NG!N:N)</f>
        <v>-36723118.879999995</v>
      </c>
      <c r="M62" s="17">
        <f>-_xlfn.XLOOKUP($C62,TB_NG!$E:$E,TB_NG!O:O)</f>
        <v>-77207205.600000009</v>
      </c>
      <c r="N62" s="17">
        <f>-_xlfn.XLOOKUP($C62,TB_NG!$E:$E,TB_NG!P:P)</f>
        <v>-1767024</v>
      </c>
      <c r="O62" s="17">
        <f>-_xlfn.XLOOKUP($C62,TB_NG!$E:$E,TB_NG!Q:Q)</f>
        <v>0</v>
      </c>
      <c r="P62" s="17">
        <f>-_xlfn.XLOOKUP($C62,TB_NG!$E:$E,TB_NG!R:R)</f>
        <v>0</v>
      </c>
      <c r="Q62" s="17">
        <f>-_xlfn.XLOOKUP($C62,TB_NG!$E:$E,TB_NG!S:S)</f>
        <v>0</v>
      </c>
      <c r="R62" s="17">
        <f>-_xlfn.XLOOKUP($C62,TB_NG!$E:$E,TB_NG!T:T)</f>
        <v>-612981.38000000012</v>
      </c>
      <c r="S62" s="17">
        <f>-_xlfn.XLOOKUP($C62,TB_NG!$E:$E,TB_NG!U:U)</f>
        <v>0</v>
      </c>
      <c r="T62" s="17">
        <f>-_xlfn.XLOOKUP($C62,TB_NG!$E:$E,TB_NG!V:V)</f>
        <v>-2155000</v>
      </c>
      <c r="U62" s="17">
        <f>-_xlfn.XLOOKUP($C62,TB_NG!$E:$E,TB_NG!W:W)</f>
        <v>-249516.07</v>
      </c>
      <c r="V62" s="17">
        <f>-_xlfn.XLOOKUP($C62,TB_NG!$E:$E,TB_NG!X:X)</f>
        <v>-21238393.780000001</v>
      </c>
      <c r="W62" s="17">
        <f>-_xlfn.XLOOKUP($C62,TB_NG!$E:$E,TB_NG!Y:Y)</f>
        <v>-6453767.4100000001</v>
      </c>
      <c r="X62" s="17">
        <f>-_xlfn.XLOOKUP($C62,TB_NG!$E:$E,TB_NG!Z:Z)</f>
        <v>-10875660.610000001</v>
      </c>
      <c r="Y62" s="17">
        <f>-_xlfn.XLOOKUP($C62,TB_NG!$E:$E,TB_NG!AA:AA)</f>
        <v>-20032240.859999999</v>
      </c>
      <c r="Z62" s="17">
        <f>-_xlfn.XLOOKUP($C62,TB_NG!$E:$E,TB_NG!AB:AB)</f>
        <v>-23696145.18</v>
      </c>
      <c r="AA62" s="17">
        <f>-_xlfn.XLOOKUP($C62,TB_NG!$E:$E,TB_NG!AC:AC)</f>
        <v>-38888165.900000006</v>
      </c>
      <c r="AB62" s="17">
        <f>-_xlfn.XLOOKUP($C62,TB_NG!$E:$E,TB_NG!AD:AD)</f>
        <v>0</v>
      </c>
      <c r="AC62" s="17">
        <f>-_xlfn.XLOOKUP($C62,TB_NG!$E:$E,TB_NG!AE:AE)</f>
        <v>0</v>
      </c>
      <c r="AD62" s="17">
        <f>-_xlfn.XLOOKUP($C62,TB_NG!$E:$E,TB_NG!AF:AF)</f>
        <v>0</v>
      </c>
      <c r="AE62" s="17">
        <f>-_xlfn.XLOOKUP($C62,TB_NG!$E:$E,TB_NG!AG:AG)</f>
        <v>-825741.91</v>
      </c>
      <c r="AF62" s="17">
        <f>-_xlfn.XLOOKUP($C62,TB_NG!$E:$E,TB_NG!AH:AH)</f>
        <v>0</v>
      </c>
      <c r="AG62" s="17">
        <f>-_xlfn.XLOOKUP($C62,TB_NG!$E:$E,TB_NG!AI:AI)</f>
        <v>0</v>
      </c>
      <c r="AH62" s="17">
        <f>-_xlfn.XLOOKUP($C62,TB_NG!$E:$E,TB_NG!AJ:AJ)</f>
        <v>0</v>
      </c>
      <c r="AI62" s="17">
        <f>-_xlfn.XLOOKUP($C62,TB_NG!$E:$E,TB_NG!AK:AK)</f>
        <v>0</v>
      </c>
      <c r="AJ62" s="17">
        <f>-_xlfn.XLOOKUP($C62,TB_NG!$E:$E,TB_NG!AL:AL)</f>
        <v>0</v>
      </c>
      <c r="AK62" s="17">
        <f>-_xlfn.XLOOKUP($C62,TB_NG!$E:$E,TB_NG!AM:AM)</f>
        <v>0</v>
      </c>
      <c r="AL62" s="17">
        <f>-_xlfn.XLOOKUP($C62,TB_NG!$E:$E,TB_NG!AN:AN)</f>
        <v>0</v>
      </c>
      <c r="AM62" s="17">
        <f>-_xlfn.XLOOKUP($C62,TB_NG!$E:$E,TB_NG!AO:AO)</f>
        <v>0</v>
      </c>
      <c r="AS62" s="17">
        <f t="shared" si="11"/>
        <v>-121120521.34999999</v>
      </c>
      <c r="AT62" s="17">
        <f t="shared" si="12"/>
        <v>-124201871.19</v>
      </c>
    </row>
    <row r="63" spans="2:46" x14ac:dyDescent="0.2">
      <c r="B63" s="21">
        <v>63110</v>
      </c>
      <c r="C63" s="16" t="str">
        <f>_xlfn.XLOOKUP(B63,TB_NG!A:A,TB_NG!E:E)</f>
        <v>Staff Welfare: Staff Allowances</v>
      </c>
      <c r="D63" s="17">
        <f>-_xlfn.XLOOKUP($C63,TB_NG!$E:$E,TB_NG!F:F)</f>
        <v>-2577925</v>
      </c>
      <c r="E63" s="17">
        <f>-_xlfn.XLOOKUP($C63,TB_NG!$E:$E,TB_NG!G:G)</f>
        <v>-2064500</v>
      </c>
      <c r="F63" s="17">
        <f>-_xlfn.XLOOKUP($C63,TB_NG!$E:$E,TB_NG!H:H)</f>
        <v>-2109500</v>
      </c>
      <c r="G63" s="17">
        <f>-_xlfn.XLOOKUP($C63,TB_NG!$E:$E,TB_NG!I:I)</f>
        <v>-2232500</v>
      </c>
      <c r="H63" s="17">
        <f>-_xlfn.XLOOKUP($C63,TB_NG!$E:$E,TB_NG!J:J)</f>
        <v>-2951500</v>
      </c>
      <c r="I63" s="17">
        <f>-_xlfn.XLOOKUP($C63,TB_NG!$E:$E,TB_NG!K:K)</f>
        <v>-2413000</v>
      </c>
      <c r="J63" s="17">
        <f>-_xlfn.XLOOKUP($C63,TB_NG!$E:$E,TB_NG!L:L)</f>
        <v>-2601311.83</v>
      </c>
      <c r="K63" s="17">
        <f>-_xlfn.XLOOKUP($C63,TB_NG!$E:$E,TB_NG!M:M)</f>
        <v>-2145596.7799999998</v>
      </c>
      <c r="L63" s="17">
        <f>-_xlfn.XLOOKUP($C63,TB_NG!$E:$E,TB_NG!N:N)</f>
        <v>-2168596.77</v>
      </c>
      <c r="M63" s="17">
        <f>-_xlfn.XLOOKUP($C63,TB_NG!$E:$E,TB_NG!O:O)</f>
        <v>-2227446.2400000002</v>
      </c>
      <c r="N63" s="17">
        <f>-_xlfn.XLOOKUP($C63,TB_NG!$E:$E,TB_NG!P:P)</f>
        <v>-2147182.5</v>
      </c>
      <c r="O63" s="17">
        <f>-_xlfn.XLOOKUP($C63,TB_NG!$E:$E,TB_NG!Q:Q)</f>
        <v>-2885732.5</v>
      </c>
      <c r="P63" s="17">
        <f>-_xlfn.XLOOKUP($C63,TB_NG!$E:$E,TB_NG!R:R)</f>
        <v>-2206968.36</v>
      </c>
      <c r="Q63" s="17">
        <f>-_xlfn.XLOOKUP($C63,TB_NG!$E:$E,TB_NG!S:S)</f>
        <v>-2104882.5</v>
      </c>
      <c r="R63" s="17">
        <f>-_xlfn.XLOOKUP($C63,TB_NG!$E:$E,TB_NG!T:T)</f>
        <v>-2049264.65</v>
      </c>
      <c r="S63" s="17">
        <f>-_xlfn.XLOOKUP($C63,TB_NG!$E:$E,TB_NG!U:U)</f>
        <v>-1931493.03</v>
      </c>
      <c r="T63" s="17">
        <f>-_xlfn.XLOOKUP($C63,TB_NG!$E:$E,TB_NG!V:V)</f>
        <v>-1799363.51</v>
      </c>
      <c r="U63" s="17">
        <f>-_xlfn.XLOOKUP($C63,TB_NG!$E:$E,TB_NG!W:W)</f>
        <v>-1939582.56</v>
      </c>
      <c r="V63" s="17">
        <f>-_xlfn.XLOOKUP($C63,TB_NG!$E:$E,TB_NG!X:X)</f>
        <v>-1898008.63</v>
      </c>
      <c r="W63" s="17">
        <f>-_xlfn.XLOOKUP($C63,TB_NG!$E:$E,TB_NG!Y:Y)</f>
        <v>-506121.77</v>
      </c>
      <c r="X63" s="17">
        <f>-_xlfn.XLOOKUP($C63,TB_NG!$E:$E,TB_NG!Z:Z)</f>
        <v>-1074523.57</v>
      </c>
      <c r="Y63" s="17">
        <f>-_xlfn.XLOOKUP($C63,TB_NG!$E:$E,TB_NG!AA:AA)</f>
        <v>-3494254.55</v>
      </c>
      <c r="Z63" s="17">
        <f>-_xlfn.XLOOKUP($C63,TB_NG!$E:$E,TB_NG!AB:AB)</f>
        <v>-896450</v>
      </c>
      <c r="AA63" s="17">
        <f>-_xlfn.XLOOKUP($C63,TB_NG!$E:$E,TB_NG!AC:AC)</f>
        <v>-960499.96</v>
      </c>
      <c r="AB63" s="17">
        <f>-_xlfn.XLOOKUP($C63,TB_NG!$E:$E,TB_NG!AD:AD)</f>
        <v>-156525</v>
      </c>
      <c r="AC63" s="17">
        <f>-_xlfn.XLOOKUP($C63,TB_NG!$E:$E,TB_NG!AE:AE)</f>
        <v>-122900</v>
      </c>
      <c r="AD63" s="17">
        <f>-_xlfn.XLOOKUP($C63,TB_NG!$E:$E,TB_NG!AF:AF)</f>
        <v>-119525</v>
      </c>
      <c r="AE63" s="17">
        <f>-_xlfn.XLOOKUP($C63,TB_NG!$E:$E,TB_NG!AG:AG)</f>
        <v>-107700</v>
      </c>
      <c r="AF63" s="17">
        <f>-_xlfn.XLOOKUP($C63,TB_NG!$E:$E,TB_NG!AH:AH)</f>
        <v>0</v>
      </c>
      <c r="AG63" s="17">
        <f>-_xlfn.XLOOKUP($C63,TB_NG!$E:$E,TB_NG!AI:AI)</f>
        <v>0</v>
      </c>
      <c r="AH63" s="17">
        <f>-_xlfn.XLOOKUP($C63,TB_NG!$E:$E,TB_NG!AJ:AJ)</f>
        <v>0</v>
      </c>
      <c r="AI63" s="17">
        <f>-_xlfn.XLOOKUP($C63,TB_NG!$E:$E,TB_NG!AK:AK)</f>
        <v>0</v>
      </c>
      <c r="AJ63" s="17">
        <f>-_xlfn.XLOOKUP($C63,TB_NG!$E:$E,TB_NG!AL:AL)</f>
        <v>0</v>
      </c>
      <c r="AK63" s="17">
        <f>-_xlfn.XLOOKUP($C63,TB_NG!$E:$E,TB_NG!AM:AM)</f>
        <v>0</v>
      </c>
      <c r="AL63" s="17">
        <f>-_xlfn.XLOOKUP($C63,TB_NG!$E:$E,TB_NG!AN:AN)</f>
        <v>0</v>
      </c>
      <c r="AM63" s="17">
        <f>-_xlfn.XLOOKUP($C63,TB_NG!$E:$E,TB_NG!AO:AO)</f>
        <v>0</v>
      </c>
      <c r="AS63" s="17">
        <f t="shared" si="11"/>
        <v>-28524791.619999997</v>
      </c>
      <c r="AT63" s="17">
        <f t="shared" si="12"/>
        <v>-20861413.090000004</v>
      </c>
    </row>
    <row r="64" spans="2:46" x14ac:dyDescent="0.2">
      <c r="B64" s="21">
        <v>63907</v>
      </c>
      <c r="C64" s="16" t="str">
        <f>_xlfn.XLOOKUP(B64,TB_NG!A:A,TB_NG!E:E)</f>
        <v>Directors' expenses: Allowances</v>
      </c>
      <c r="D64" s="17">
        <f>-_xlfn.XLOOKUP($C64,TB_NG!$E:$E,TB_NG!F:F)</f>
        <v>-9434000</v>
      </c>
      <c r="E64" s="17">
        <f>-_xlfn.XLOOKUP($C64,TB_NG!$E:$E,TB_NG!G:G)</f>
        <v>-9450000</v>
      </c>
      <c r="F64" s="17">
        <f>-_xlfn.XLOOKUP($C64,TB_NG!$E:$E,TB_NG!H:H)</f>
        <v>-9450000</v>
      </c>
      <c r="G64" s="17">
        <f>-_xlfn.XLOOKUP($C64,TB_NG!$E:$E,TB_NG!I:I)</f>
        <v>-19440963.999999996</v>
      </c>
      <c r="H64" s="17">
        <f>-_xlfn.XLOOKUP($C64,TB_NG!$E:$E,TB_NG!J:J)</f>
        <v>-47575068.5</v>
      </c>
      <c r="I64" s="17">
        <f>-_xlfn.XLOOKUP($C64,TB_NG!$E:$E,TB_NG!K:K)</f>
        <v>-18802770</v>
      </c>
      <c r="J64" s="17">
        <f>-_xlfn.XLOOKUP($C64,TB_NG!$E:$E,TB_NG!L:L)</f>
        <v>-22374292.5</v>
      </c>
      <c r="K64" s="17">
        <f>-_xlfn.XLOOKUP($C64,TB_NG!$E:$E,TB_NG!M:M)</f>
        <v>-22120651.879999999</v>
      </c>
      <c r="L64" s="17">
        <f>-_xlfn.XLOOKUP($C64,TB_NG!$E:$E,TB_NG!N:N)</f>
        <v>-12676913</v>
      </c>
      <c r="M64" s="17">
        <f>-_xlfn.XLOOKUP($C64,TB_NG!$E:$E,TB_NG!O:O)</f>
        <v>-23252776</v>
      </c>
      <c r="N64" s="17">
        <f>-_xlfn.XLOOKUP($C64,TB_NG!$E:$E,TB_NG!P:P)</f>
        <v>-23720918</v>
      </c>
      <c r="O64" s="17">
        <f>-_xlfn.XLOOKUP($C64,TB_NG!$E:$E,TB_NG!Q:Q)</f>
        <v>-49411607</v>
      </c>
      <c r="P64" s="17">
        <f>-_xlfn.XLOOKUP($C64,TB_NG!$E:$E,TB_NG!R:R)</f>
        <v>-21591707.809999999</v>
      </c>
      <c r="Q64" s="17">
        <f>-_xlfn.XLOOKUP($C64,TB_NG!$E:$E,TB_NG!S:S)</f>
        <v>-20902469.5</v>
      </c>
      <c r="R64" s="17">
        <f>-_xlfn.XLOOKUP($C64,TB_NG!$E:$E,TB_NG!T:T)</f>
        <v>-25412742.34</v>
      </c>
      <c r="S64" s="17">
        <f>-_xlfn.XLOOKUP($C64,TB_NG!$E:$E,TB_NG!U:U)</f>
        <v>-22352325.960000001</v>
      </c>
      <c r="T64" s="17">
        <f>-_xlfn.XLOOKUP($C64,TB_NG!$E:$E,TB_NG!V:V)</f>
        <v>-71606730.529999971</v>
      </c>
      <c r="U64" s="17">
        <f>-_xlfn.XLOOKUP($C64,TB_NG!$E:$E,TB_NG!W:W)</f>
        <v>-21550549.760000002</v>
      </c>
      <c r="V64" s="17">
        <f>-_xlfn.XLOOKUP($C64,TB_NG!$E:$E,TB_NG!X:X)</f>
        <v>-21322492.370000001</v>
      </c>
      <c r="W64" s="17">
        <f>-_xlfn.XLOOKUP($C64,TB_NG!$E:$E,TB_NG!Y:Y)</f>
        <v>-23074878.400000002</v>
      </c>
      <c r="X64" s="17">
        <f>-_xlfn.XLOOKUP($C64,TB_NG!$E:$E,TB_NG!Z:Z)</f>
        <v>-79629030.950000003</v>
      </c>
      <c r="Y64" s="17">
        <f>-_xlfn.XLOOKUP($C64,TB_NG!$E:$E,TB_NG!AA:AA)</f>
        <v>-21851936.370000001</v>
      </c>
      <c r="Z64" s="17">
        <f>-_xlfn.XLOOKUP($C64,TB_NG!$E:$E,TB_NG!AB:AB)</f>
        <v>-25581814.32</v>
      </c>
      <c r="AA64" s="17">
        <f>-_xlfn.XLOOKUP($C64,TB_NG!$E:$E,TB_NG!AC:AC)</f>
        <v>-38437401.560000002</v>
      </c>
      <c r="AB64" s="17">
        <f>-_xlfn.XLOOKUP($C64,TB_NG!$E:$E,TB_NG!AD:AD)</f>
        <v>-24717484.59</v>
      </c>
      <c r="AC64" s="17">
        <f>-_xlfn.XLOOKUP($C64,TB_NG!$E:$E,TB_NG!AE:AE)</f>
        <v>-24122436.350000001</v>
      </c>
      <c r="AD64" s="17">
        <f>-_xlfn.XLOOKUP($C64,TB_NG!$E:$E,TB_NG!AF:AF)</f>
        <v>-24406827.989999998</v>
      </c>
      <c r="AE64" s="17">
        <f>-_xlfn.XLOOKUP($C64,TB_NG!$E:$E,TB_NG!AG:AG)</f>
        <v>-23809649.649999999</v>
      </c>
      <c r="AF64" s="17">
        <f>-_xlfn.XLOOKUP($C64,TB_NG!$E:$E,TB_NG!AH:AH)</f>
        <v>0</v>
      </c>
      <c r="AG64" s="17">
        <f>-_xlfn.XLOOKUP($C64,TB_NG!$E:$E,TB_NG!AI:AI)</f>
        <v>0</v>
      </c>
      <c r="AH64" s="17">
        <f>-_xlfn.XLOOKUP($C64,TB_NG!$E:$E,TB_NG!AJ:AJ)</f>
        <v>0</v>
      </c>
      <c r="AI64" s="17">
        <f>-_xlfn.XLOOKUP($C64,TB_NG!$E:$E,TB_NG!AK:AK)</f>
        <v>0</v>
      </c>
      <c r="AJ64" s="17">
        <f>-_xlfn.XLOOKUP($C64,TB_NG!$E:$E,TB_NG!AL:AL)</f>
        <v>0</v>
      </c>
      <c r="AK64" s="17">
        <f>-_xlfn.XLOOKUP($C64,TB_NG!$E:$E,TB_NG!AM:AM)</f>
        <v>0</v>
      </c>
      <c r="AL64" s="17">
        <f>-_xlfn.XLOOKUP($C64,TB_NG!$E:$E,TB_NG!AN:AN)</f>
        <v>0</v>
      </c>
      <c r="AM64" s="17">
        <f>-_xlfn.XLOOKUP($C64,TB_NG!$E:$E,TB_NG!AO:AO)</f>
        <v>0</v>
      </c>
      <c r="AS64" s="17">
        <f t="shared" si="11"/>
        <v>-267709960.88</v>
      </c>
      <c r="AT64" s="17">
        <f t="shared" si="12"/>
        <v>-393314079.87</v>
      </c>
    </row>
    <row r="65" spans="2:46" x14ac:dyDescent="0.2">
      <c r="B65" s="21">
        <v>63910</v>
      </c>
      <c r="C65" s="16" t="str">
        <f>_xlfn.XLOOKUP(B65,TB_NG!A:A,TB_NG!E:E)</f>
        <v>Directors' expenses: Sundry Expense</v>
      </c>
      <c r="D65" s="17">
        <f>-_xlfn.XLOOKUP($C65,TB_NG!$E:$E,TB_NG!F:F)</f>
        <v>0</v>
      </c>
      <c r="E65" s="17">
        <f>-_xlfn.XLOOKUP($C65,TB_NG!$E:$E,TB_NG!G:G)</f>
        <v>0</v>
      </c>
      <c r="F65" s="17">
        <f>-_xlfn.XLOOKUP($C65,TB_NG!$E:$E,TB_NG!H:H)</f>
        <v>0</v>
      </c>
      <c r="G65" s="17">
        <f>-_xlfn.XLOOKUP($C65,TB_NG!$E:$E,TB_NG!I:I)</f>
        <v>0</v>
      </c>
      <c r="H65" s="17">
        <f>-_xlfn.XLOOKUP($C65,TB_NG!$E:$E,TB_NG!J:J)</f>
        <v>-3666218.5</v>
      </c>
      <c r="I65" s="17">
        <f>-_xlfn.XLOOKUP($C65,TB_NG!$E:$E,TB_NG!K:K)</f>
        <v>0</v>
      </c>
      <c r="J65" s="17">
        <f>-_xlfn.XLOOKUP($C65,TB_NG!$E:$E,TB_NG!L:L)</f>
        <v>0</v>
      </c>
      <c r="K65" s="17">
        <f>-_xlfn.XLOOKUP($C65,TB_NG!$E:$E,TB_NG!M:M)</f>
        <v>0</v>
      </c>
      <c r="L65" s="17">
        <f>-_xlfn.XLOOKUP($C65,TB_NG!$E:$E,TB_NG!N:N)</f>
        <v>-13580204.83</v>
      </c>
      <c r="M65" s="17">
        <f>-_xlfn.XLOOKUP($C65,TB_NG!$E:$E,TB_NG!O:O)</f>
        <v>0</v>
      </c>
      <c r="N65" s="17">
        <f>-_xlfn.XLOOKUP($C65,TB_NG!$E:$E,TB_NG!P:P)</f>
        <v>0</v>
      </c>
      <c r="O65" s="17">
        <f>-_xlfn.XLOOKUP($C65,TB_NG!$E:$E,TB_NG!Q:Q)</f>
        <v>0</v>
      </c>
      <c r="P65" s="17">
        <f>-_xlfn.XLOOKUP($C65,TB_NG!$E:$E,TB_NG!R:R)</f>
        <v>0</v>
      </c>
      <c r="Q65" s="17">
        <f>-_xlfn.XLOOKUP($C65,TB_NG!$E:$E,TB_NG!S:S)</f>
        <v>0</v>
      </c>
      <c r="R65" s="17">
        <f>-_xlfn.XLOOKUP($C65,TB_NG!$E:$E,TB_NG!T:T)</f>
        <v>0</v>
      </c>
      <c r="S65" s="17">
        <f>-_xlfn.XLOOKUP($C65,TB_NG!$E:$E,TB_NG!U:U)</f>
        <v>0</v>
      </c>
      <c r="T65" s="17">
        <f>-_xlfn.XLOOKUP($C65,TB_NG!$E:$E,TB_NG!V:V)</f>
        <v>0</v>
      </c>
      <c r="U65" s="17">
        <f>-_xlfn.XLOOKUP($C65,TB_NG!$E:$E,TB_NG!W:W)</f>
        <v>0</v>
      </c>
      <c r="V65" s="17">
        <f>-_xlfn.XLOOKUP($C65,TB_NG!$E:$E,TB_NG!X:X)</f>
        <v>0</v>
      </c>
      <c r="W65" s="17">
        <f>-_xlfn.XLOOKUP($C65,TB_NG!$E:$E,TB_NG!Y:Y)</f>
        <v>0</v>
      </c>
      <c r="X65" s="17">
        <f>-_xlfn.XLOOKUP($C65,TB_NG!$E:$E,TB_NG!Z:Z)</f>
        <v>0</v>
      </c>
      <c r="Y65" s="17">
        <f>-_xlfn.XLOOKUP($C65,TB_NG!$E:$E,TB_NG!AA:AA)</f>
        <v>0</v>
      </c>
      <c r="Z65" s="17">
        <f>-_xlfn.XLOOKUP($C65,TB_NG!$E:$E,TB_NG!AB:AB)</f>
        <v>0</v>
      </c>
      <c r="AA65" s="17">
        <f>-_xlfn.XLOOKUP($C65,TB_NG!$E:$E,TB_NG!AC:AC)</f>
        <v>0</v>
      </c>
      <c r="AB65" s="17">
        <f>-_xlfn.XLOOKUP($C65,TB_NG!$E:$E,TB_NG!AD:AD)</f>
        <v>0</v>
      </c>
      <c r="AC65" s="17">
        <f>-_xlfn.XLOOKUP($C65,TB_NG!$E:$E,TB_NG!AE:AE)</f>
        <v>0</v>
      </c>
      <c r="AD65" s="17">
        <f>-_xlfn.XLOOKUP($C65,TB_NG!$E:$E,TB_NG!AF:AF)</f>
        <v>0</v>
      </c>
      <c r="AE65" s="17">
        <f>-_xlfn.XLOOKUP($C65,TB_NG!$E:$E,TB_NG!AG:AG)</f>
        <v>0</v>
      </c>
      <c r="AF65" s="17">
        <f>-_xlfn.XLOOKUP($C65,TB_NG!$E:$E,TB_NG!AH:AH)</f>
        <v>0</v>
      </c>
      <c r="AG65" s="17">
        <f>-_xlfn.XLOOKUP($C65,TB_NG!$E:$E,TB_NG!AI:AI)</f>
        <v>0</v>
      </c>
      <c r="AH65" s="17">
        <f>-_xlfn.XLOOKUP($C65,TB_NG!$E:$E,TB_NG!AJ:AJ)</f>
        <v>0</v>
      </c>
      <c r="AI65" s="17">
        <f>-_xlfn.XLOOKUP($C65,TB_NG!$E:$E,TB_NG!AK:AK)</f>
        <v>0</v>
      </c>
      <c r="AJ65" s="17">
        <f>-_xlfn.XLOOKUP($C65,TB_NG!$E:$E,TB_NG!AL:AL)</f>
        <v>0</v>
      </c>
      <c r="AK65" s="17">
        <f>-_xlfn.XLOOKUP($C65,TB_NG!$E:$E,TB_NG!AM:AM)</f>
        <v>0</v>
      </c>
      <c r="AL65" s="17">
        <f>-_xlfn.XLOOKUP($C65,TB_NG!$E:$E,TB_NG!AN:AN)</f>
        <v>0</v>
      </c>
      <c r="AM65" s="17">
        <f>-_xlfn.XLOOKUP($C65,TB_NG!$E:$E,TB_NG!AO:AO)</f>
        <v>0</v>
      </c>
      <c r="AS65" s="17">
        <f t="shared" si="11"/>
        <v>-17246423.329999998</v>
      </c>
      <c r="AT65" s="17">
        <f t="shared" si="12"/>
        <v>0</v>
      </c>
    </row>
    <row r="66" spans="2:46" x14ac:dyDescent="0.2">
      <c r="B66" s="21">
        <v>65000</v>
      </c>
      <c r="C66" s="16" t="str">
        <f>_xlfn.XLOOKUP(B66,TB_NG!A:A,TB_NG!E:E)</f>
        <v>Staff Welfare: Employee Benefits</v>
      </c>
      <c r="D66" s="17">
        <f>-_xlfn.XLOOKUP($C66,TB_NG!$E:$E,TB_NG!F:F)</f>
        <v>0</v>
      </c>
      <c r="E66" s="17">
        <f>-_xlfn.XLOOKUP($C66,TB_NG!$E:$E,TB_NG!G:G)</f>
        <v>0</v>
      </c>
      <c r="F66" s="17">
        <f>-_xlfn.XLOOKUP($C66,TB_NG!$E:$E,TB_NG!H:H)</f>
        <v>-9200</v>
      </c>
      <c r="G66" s="17">
        <f>-_xlfn.XLOOKUP($C66,TB_NG!$E:$E,TB_NG!I:I)</f>
        <v>0</v>
      </c>
      <c r="H66" s="17">
        <f>-_xlfn.XLOOKUP($C66,TB_NG!$E:$E,TB_NG!J:J)</f>
        <v>0</v>
      </c>
      <c r="I66" s="17">
        <f>-_xlfn.XLOOKUP($C66,TB_NG!$E:$E,TB_NG!K:K)</f>
        <v>0</v>
      </c>
      <c r="J66" s="17">
        <f>-_xlfn.XLOOKUP($C66,TB_NG!$E:$E,TB_NG!L:L)</f>
        <v>0</v>
      </c>
      <c r="K66" s="17">
        <f>-_xlfn.XLOOKUP($C66,TB_NG!$E:$E,TB_NG!M:M)</f>
        <v>0</v>
      </c>
      <c r="L66" s="17">
        <f>-_xlfn.XLOOKUP($C66,TB_NG!$E:$E,TB_NG!N:N)</f>
        <v>-900000</v>
      </c>
      <c r="M66" s="17">
        <f>-_xlfn.XLOOKUP($C66,TB_NG!$E:$E,TB_NG!O:O)</f>
        <v>0</v>
      </c>
      <c r="N66" s="17">
        <f>-_xlfn.XLOOKUP($C66,TB_NG!$E:$E,TB_NG!P:P)</f>
        <v>-1950000</v>
      </c>
      <c r="O66" s="17">
        <f>-_xlfn.XLOOKUP($C66,TB_NG!$E:$E,TB_NG!Q:Q)</f>
        <v>-728333.33</v>
      </c>
      <c r="P66" s="17">
        <f>-_xlfn.XLOOKUP($C66,TB_NG!$E:$E,TB_NG!R:R)</f>
        <v>-89583.33</v>
      </c>
      <c r="Q66" s="17">
        <f>-_xlfn.XLOOKUP($C66,TB_NG!$E:$E,TB_NG!S:S)</f>
        <v>-89583.33</v>
      </c>
      <c r="R66" s="17">
        <f>-_xlfn.XLOOKUP($C66,TB_NG!$E:$E,TB_NG!T:T)</f>
        <v>-89583.33</v>
      </c>
      <c r="S66" s="17">
        <f>-_xlfn.XLOOKUP($C66,TB_NG!$E:$E,TB_NG!U:U)</f>
        <v>-89583.33</v>
      </c>
      <c r="T66" s="17">
        <f>-_xlfn.XLOOKUP($C66,TB_NG!$E:$E,TB_NG!V:V)</f>
        <v>-289583.33</v>
      </c>
      <c r="U66" s="17">
        <f>-_xlfn.XLOOKUP($C66,TB_NG!$E:$E,TB_NG!W:W)</f>
        <v>-89583.33</v>
      </c>
      <c r="V66" s="17">
        <f>-_xlfn.XLOOKUP($C66,TB_NG!$E:$E,TB_NG!X:X)</f>
        <v>-5586083.3300000001</v>
      </c>
      <c r="W66" s="17">
        <f>-_xlfn.XLOOKUP($C66,TB_NG!$E:$E,TB_NG!Y:Y)</f>
        <v>-89583.33</v>
      </c>
      <c r="X66" s="17">
        <f>-_xlfn.XLOOKUP($C66,TB_NG!$E:$E,TB_NG!Z:Z)</f>
        <v>-89583.33</v>
      </c>
      <c r="Y66" s="17">
        <f>-_xlfn.XLOOKUP($C66,TB_NG!$E:$E,TB_NG!AA:AA)</f>
        <v>-89583.33</v>
      </c>
      <c r="Z66" s="17">
        <f>-_xlfn.XLOOKUP($C66,TB_NG!$E:$E,TB_NG!AB:AB)</f>
        <v>-89583.33</v>
      </c>
      <c r="AA66" s="17">
        <f>-_xlfn.XLOOKUP($C66,TB_NG!$E:$E,TB_NG!AC:AC)</f>
        <v>-2152070.27</v>
      </c>
      <c r="AB66" s="17">
        <f>-_xlfn.XLOOKUP($C66,TB_NG!$E:$E,TB_NG!AD:AD)</f>
        <v>-1124999.98</v>
      </c>
      <c r="AC66" s="17">
        <f>-_xlfn.XLOOKUP($C66,TB_NG!$E:$E,TB_NG!AE:AE)</f>
        <v>-1124999.98</v>
      </c>
      <c r="AD66" s="17">
        <f>-_xlfn.XLOOKUP($C66,TB_NG!$E:$E,TB_NG!AF:AF)</f>
        <v>-1124999.98</v>
      </c>
      <c r="AE66" s="17">
        <f>-_xlfn.XLOOKUP($C66,TB_NG!$E:$E,TB_NG!AG:AG)</f>
        <v>-1124999.98</v>
      </c>
      <c r="AF66" s="17">
        <f>-_xlfn.XLOOKUP($C66,TB_NG!$E:$E,TB_NG!AH:AH)</f>
        <v>0</v>
      </c>
      <c r="AG66" s="17">
        <f>-_xlfn.XLOOKUP($C66,TB_NG!$E:$E,TB_NG!AI:AI)</f>
        <v>0</v>
      </c>
      <c r="AH66" s="17">
        <f>-_xlfn.XLOOKUP($C66,TB_NG!$E:$E,TB_NG!AJ:AJ)</f>
        <v>0</v>
      </c>
      <c r="AI66" s="17">
        <f>-_xlfn.XLOOKUP($C66,TB_NG!$E:$E,TB_NG!AK:AK)</f>
        <v>0</v>
      </c>
      <c r="AJ66" s="17">
        <f>-_xlfn.XLOOKUP($C66,TB_NG!$E:$E,TB_NG!AL:AL)</f>
        <v>0</v>
      </c>
      <c r="AK66" s="17">
        <f>-_xlfn.XLOOKUP($C66,TB_NG!$E:$E,TB_NG!AM:AM)</f>
        <v>0</v>
      </c>
      <c r="AL66" s="17">
        <f>-_xlfn.XLOOKUP($C66,TB_NG!$E:$E,TB_NG!AN:AN)</f>
        <v>0</v>
      </c>
      <c r="AM66" s="17">
        <f>-_xlfn.XLOOKUP($C66,TB_NG!$E:$E,TB_NG!AO:AO)</f>
        <v>0</v>
      </c>
      <c r="AS66" s="17">
        <f t="shared" si="11"/>
        <v>-3587533.33</v>
      </c>
      <c r="AT66" s="17">
        <f t="shared" si="12"/>
        <v>-8833986.9000000004</v>
      </c>
    </row>
    <row r="67" spans="2:46" x14ac:dyDescent="0.2">
      <c r="B67" s="21">
        <v>65007</v>
      </c>
      <c r="C67" s="16" t="str">
        <f>_xlfn.XLOOKUP(B67,TB_NG!A:A,TB_NG!E:E)</f>
        <v>Payroll: Intercompany Recharges</v>
      </c>
      <c r="D67" s="17">
        <f>-_xlfn.XLOOKUP($C67,TB_NG!$E:$E,TB_NG!F:F)</f>
        <v>2466698.5300000003</v>
      </c>
      <c r="E67" s="17">
        <f>-_xlfn.XLOOKUP($C67,TB_NG!$E:$E,TB_NG!G:G)</f>
        <v>849518.40000000037</v>
      </c>
      <c r="F67" s="17">
        <f>-_xlfn.XLOOKUP($C67,TB_NG!$E:$E,TB_NG!H:H)</f>
        <v>1527287.2400000002</v>
      </c>
      <c r="G67" s="17">
        <f>-_xlfn.XLOOKUP($C67,TB_NG!$E:$E,TB_NG!I:I)</f>
        <v>3512463.0599999987</v>
      </c>
      <c r="H67" s="17">
        <f>-_xlfn.XLOOKUP($C67,TB_NG!$E:$E,TB_NG!J:J)</f>
        <v>3853260.84</v>
      </c>
      <c r="I67" s="17">
        <f>-_xlfn.XLOOKUP($C67,TB_NG!$E:$E,TB_NG!K:K)</f>
        <v>1409646.2199999988</v>
      </c>
      <c r="J67" s="17">
        <f>-_xlfn.XLOOKUP($C67,TB_NG!$E:$E,TB_NG!L:L)</f>
        <v>5195560.25</v>
      </c>
      <c r="K67" s="17">
        <f>-_xlfn.XLOOKUP($C67,TB_NG!$E:$E,TB_NG!M:M)</f>
        <v>3304491.3</v>
      </c>
      <c r="L67" s="17">
        <f>-_xlfn.XLOOKUP($C67,TB_NG!$E:$E,TB_NG!N:N)</f>
        <v>8616866.8800000008</v>
      </c>
      <c r="M67" s="17">
        <f>-_xlfn.XLOOKUP($C67,TB_NG!$E:$E,TB_NG!O:O)</f>
        <v>-4228157.12</v>
      </c>
      <c r="N67" s="17">
        <f>-_xlfn.XLOOKUP($C67,TB_NG!$E:$E,TB_NG!P:P)</f>
        <v>-75499588.36999999</v>
      </c>
      <c r="O67" s="17">
        <f>-_xlfn.XLOOKUP($C67,TB_NG!$E:$E,TB_NG!Q:Q)</f>
        <v>-464305602.92999995</v>
      </c>
      <c r="P67" s="17">
        <f>-_xlfn.XLOOKUP($C67,TB_NG!$E:$E,TB_NG!R:R)</f>
        <v>-1288773.2399999984</v>
      </c>
      <c r="Q67" s="17">
        <f>-_xlfn.XLOOKUP($C67,TB_NG!$E:$E,TB_NG!S:S)</f>
        <v>-422637.98000000045</v>
      </c>
      <c r="R67" s="17">
        <f>-_xlfn.XLOOKUP($C67,TB_NG!$E:$E,TB_NG!T:T)</f>
        <v>-534476.01999999955</v>
      </c>
      <c r="S67" s="17">
        <f>-_xlfn.XLOOKUP($C67,TB_NG!$E:$E,TB_NG!U:U)</f>
        <v>-1380595.7300000004</v>
      </c>
      <c r="T67" s="17">
        <f>-_xlfn.XLOOKUP($C67,TB_NG!$E:$E,TB_NG!V:V)</f>
        <v>-1216405.9700000007</v>
      </c>
      <c r="U67" s="17">
        <f>-_xlfn.XLOOKUP($C67,TB_NG!$E:$E,TB_NG!W:W)</f>
        <v>-1064257.5399999991</v>
      </c>
      <c r="V67" s="17">
        <f>-_xlfn.XLOOKUP($C67,TB_NG!$E:$E,TB_NG!X:X)</f>
        <v>-1303338.9100000001</v>
      </c>
      <c r="W67" s="17">
        <f>-_xlfn.XLOOKUP($C67,TB_NG!$E:$E,TB_NG!Y:Y)</f>
        <v>-436383.00999999978</v>
      </c>
      <c r="X67" s="17">
        <f>-_xlfn.XLOOKUP($C67,TB_NG!$E:$E,TB_NG!Z:Z)</f>
        <v>918971.03999999911</v>
      </c>
      <c r="Y67" s="17">
        <f>-_xlfn.XLOOKUP($C67,TB_NG!$E:$E,TB_NG!AA:AA)</f>
        <v>2082.359999999404</v>
      </c>
      <c r="Z67" s="17">
        <f>-_xlfn.XLOOKUP($C67,TB_NG!$E:$E,TB_NG!AB:AB)</f>
        <v>203093.03999999911</v>
      </c>
      <c r="AA67" s="17">
        <f>-_xlfn.XLOOKUP($C67,TB_NG!$E:$E,TB_NG!AC:AC)</f>
        <v>-608951472.36000013</v>
      </c>
      <c r="AB67" s="17">
        <f>-_xlfn.XLOOKUP($C67,TB_NG!$E:$E,TB_NG!AD:AD)</f>
        <v>1571364</v>
      </c>
      <c r="AC67" s="17">
        <f>-_xlfn.XLOOKUP($C67,TB_NG!$E:$E,TB_NG!AE:AE)</f>
        <v>2814400.8800000008</v>
      </c>
      <c r="AD67" s="17">
        <f>-_xlfn.XLOOKUP($C67,TB_NG!$E:$E,TB_NG!AF:AF)</f>
        <v>2955914.9000000004</v>
      </c>
      <c r="AE67" s="17">
        <f>-_xlfn.XLOOKUP($C67,TB_NG!$E:$E,TB_NG!AG:AG)</f>
        <v>3129458.2300000004</v>
      </c>
      <c r="AF67" s="17">
        <f>-_xlfn.XLOOKUP($C67,TB_NG!$E:$E,TB_NG!AH:AH)</f>
        <v>0</v>
      </c>
      <c r="AG67" s="17">
        <f>-_xlfn.XLOOKUP($C67,TB_NG!$E:$E,TB_NG!AI:AI)</f>
        <v>0</v>
      </c>
      <c r="AH67" s="17">
        <f>-_xlfn.XLOOKUP($C67,TB_NG!$E:$E,TB_NG!AJ:AJ)</f>
        <v>0</v>
      </c>
      <c r="AI67" s="17">
        <f>-_xlfn.XLOOKUP($C67,TB_NG!$E:$E,TB_NG!AK:AK)</f>
        <v>0</v>
      </c>
      <c r="AJ67" s="17">
        <f>-_xlfn.XLOOKUP($C67,TB_NG!$E:$E,TB_NG!AL:AL)</f>
        <v>0</v>
      </c>
      <c r="AK67" s="17">
        <f>-_xlfn.XLOOKUP($C67,TB_NG!$E:$E,TB_NG!AM:AM)</f>
        <v>0</v>
      </c>
      <c r="AL67" s="17">
        <f>-_xlfn.XLOOKUP($C67,TB_NG!$E:$E,TB_NG!AN:AN)</f>
        <v>0</v>
      </c>
      <c r="AM67" s="17">
        <f>-_xlfn.XLOOKUP($C67,TB_NG!$E:$E,TB_NG!AO:AO)</f>
        <v>0</v>
      </c>
      <c r="AS67" s="17">
        <f t="shared" si="11"/>
        <v>-513297555.69999993</v>
      </c>
      <c r="AT67" s="17">
        <f t="shared" si="12"/>
        <v>-615474194.32000017</v>
      </c>
    </row>
    <row r="68" spans="2:46" x14ac:dyDescent="0.2">
      <c r="B68" s="21">
        <v>65015</v>
      </c>
      <c r="C68" s="16" t="str">
        <f>_xlfn.XLOOKUP(B68,TB_NG!A:A,TB_NG!E:E)</f>
        <v>Payroll: Directors' PIT</v>
      </c>
      <c r="D68" s="17">
        <f>-_xlfn.XLOOKUP($C68,TB_NG!$E:$E,TB_NG!F:F)</f>
        <v>-1999840</v>
      </c>
      <c r="E68" s="17">
        <f>-_xlfn.XLOOKUP($C68,TB_NG!$E:$E,TB_NG!G:G)</f>
        <v>0</v>
      </c>
      <c r="F68" s="17">
        <f>-_xlfn.XLOOKUP($C68,TB_NG!$E:$E,TB_NG!H:H)</f>
        <v>0</v>
      </c>
      <c r="G68" s="17">
        <f>-_xlfn.XLOOKUP($C68,TB_NG!$E:$E,TB_NG!I:I)</f>
        <v>0</v>
      </c>
      <c r="H68" s="17">
        <f>-_xlfn.XLOOKUP($C68,TB_NG!$E:$E,TB_NG!J:J)</f>
        <v>0</v>
      </c>
      <c r="I68" s="17">
        <f>-_xlfn.XLOOKUP($C68,TB_NG!$E:$E,TB_NG!K:K)</f>
        <v>0</v>
      </c>
      <c r="J68" s="17">
        <f>-_xlfn.XLOOKUP($C68,TB_NG!$E:$E,TB_NG!L:L)</f>
        <v>0</v>
      </c>
      <c r="K68" s="17">
        <f>-_xlfn.XLOOKUP($C68,TB_NG!$E:$E,TB_NG!M:M)</f>
        <v>0</v>
      </c>
      <c r="L68" s="17">
        <f>-_xlfn.XLOOKUP($C68,TB_NG!$E:$E,TB_NG!N:N)</f>
        <v>0</v>
      </c>
      <c r="M68" s="17">
        <f>-_xlfn.XLOOKUP($C68,TB_NG!$E:$E,TB_NG!O:O)</f>
        <v>0</v>
      </c>
      <c r="N68" s="17">
        <f>-_xlfn.XLOOKUP($C68,TB_NG!$E:$E,TB_NG!P:P)</f>
        <v>0</v>
      </c>
      <c r="O68" s="17">
        <f>-_xlfn.XLOOKUP($C68,TB_NG!$E:$E,TB_NG!Q:Q)</f>
        <v>0</v>
      </c>
      <c r="P68" s="17">
        <f>-_xlfn.XLOOKUP($C68,TB_NG!$E:$E,TB_NG!R:R)</f>
        <v>0</v>
      </c>
      <c r="Q68" s="17">
        <f>-_xlfn.XLOOKUP($C68,TB_NG!$E:$E,TB_NG!S:S)</f>
        <v>0</v>
      </c>
      <c r="R68" s="17">
        <f>-_xlfn.XLOOKUP($C68,TB_NG!$E:$E,TB_NG!T:T)</f>
        <v>-2299840</v>
      </c>
      <c r="S68" s="17">
        <f>-_xlfn.XLOOKUP($C68,TB_NG!$E:$E,TB_NG!U:U)</f>
        <v>0</v>
      </c>
      <c r="T68" s="17">
        <f>-_xlfn.XLOOKUP($C68,TB_NG!$E:$E,TB_NG!V:V)</f>
        <v>0</v>
      </c>
      <c r="U68" s="17">
        <f>-_xlfn.XLOOKUP($C68,TB_NG!$E:$E,TB_NG!W:W)</f>
        <v>0</v>
      </c>
      <c r="V68" s="17">
        <f>-_xlfn.XLOOKUP($C68,TB_NG!$E:$E,TB_NG!X:X)</f>
        <v>0</v>
      </c>
      <c r="W68" s="17">
        <f>-_xlfn.XLOOKUP($C68,TB_NG!$E:$E,TB_NG!Y:Y)</f>
        <v>0</v>
      </c>
      <c r="X68" s="17">
        <f>-_xlfn.XLOOKUP($C68,TB_NG!$E:$E,TB_NG!Z:Z)</f>
        <v>0</v>
      </c>
      <c r="Y68" s="17">
        <f>-_xlfn.XLOOKUP($C68,TB_NG!$E:$E,TB_NG!AA:AA)</f>
        <v>0</v>
      </c>
      <c r="Z68" s="17">
        <f>-_xlfn.XLOOKUP($C68,TB_NG!$E:$E,TB_NG!AB:AB)</f>
        <v>0</v>
      </c>
      <c r="AA68" s="17">
        <f>-_xlfn.XLOOKUP($C68,TB_NG!$E:$E,TB_NG!AC:AC)</f>
        <v>0</v>
      </c>
      <c r="AB68" s="17">
        <f>-_xlfn.XLOOKUP($C68,TB_NG!$E:$E,TB_NG!AD:AD)</f>
        <v>0</v>
      </c>
      <c r="AC68" s="17">
        <f>-_xlfn.XLOOKUP($C68,TB_NG!$E:$E,TB_NG!AE:AE)</f>
        <v>0</v>
      </c>
      <c r="AD68" s="17">
        <f>-_xlfn.XLOOKUP($C68,TB_NG!$E:$E,TB_NG!AF:AF)</f>
        <v>-2600000</v>
      </c>
      <c r="AE68" s="17">
        <f>-_xlfn.XLOOKUP($C68,TB_NG!$E:$E,TB_NG!AG:AG)</f>
        <v>0</v>
      </c>
      <c r="AF68" s="17">
        <f>-_xlfn.XLOOKUP($C68,TB_NG!$E:$E,TB_NG!AH:AH)</f>
        <v>0</v>
      </c>
      <c r="AG68" s="17">
        <f>-_xlfn.XLOOKUP($C68,TB_NG!$E:$E,TB_NG!AI:AI)</f>
        <v>0</v>
      </c>
      <c r="AH68" s="17">
        <f>-_xlfn.XLOOKUP($C68,TB_NG!$E:$E,TB_NG!AJ:AJ)</f>
        <v>0</v>
      </c>
      <c r="AI68" s="17">
        <f>-_xlfn.XLOOKUP($C68,TB_NG!$E:$E,TB_NG!AK:AK)</f>
        <v>0</v>
      </c>
      <c r="AJ68" s="17">
        <f>-_xlfn.XLOOKUP($C68,TB_NG!$E:$E,TB_NG!AL:AL)</f>
        <v>0</v>
      </c>
      <c r="AK68" s="17">
        <f>-_xlfn.XLOOKUP($C68,TB_NG!$E:$E,TB_NG!AM:AM)</f>
        <v>0</v>
      </c>
      <c r="AL68" s="17">
        <f>-_xlfn.XLOOKUP($C68,TB_NG!$E:$E,TB_NG!AN:AN)</f>
        <v>0</v>
      </c>
      <c r="AM68" s="17">
        <f>-_xlfn.XLOOKUP($C68,TB_NG!$E:$E,TB_NG!AO:AO)</f>
        <v>0</v>
      </c>
      <c r="AS68" s="17">
        <f t="shared" si="11"/>
        <v>-1999840</v>
      </c>
      <c r="AT68" s="17">
        <f t="shared" si="12"/>
        <v>-2299840</v>
      </c>
    </row>
    <row r="69" spans="2:46" x14ac:dyDescent="0.2">
      <c r="B69" s="21">
        <v>65030</v>
      </c>
      <c r="C69" s="16" t="str">
        <f>_xlfn.XLOOKUP(B69,TB_NG!A:A,TB_NG!E:E)</f>
        <v>Payroll: Staff PAYE &amp; Employee's Pension deductions</v>
      </c>
      <c r="D69" s="17">
        <f>-_xlfn.XLOOKUP($C69,TB_NG!$E:$E,TB_NG!F:F)</f>
        <v>-9450127.9100000001</v>
      </c>
      <c r="E69" s="17">
        <f>-_xlfn.XLOOKUP($C69,TB_NG!$E:$E,TB_NG!G:G)</f>
        <v>-9092803.9800000004</v>
      </c>
      <c r="F69" s="17">
        <f>-_xlfn.XLOOKUP($C69,TB_NG!$E:$E,TB_NG!H:H)</f>
        <v>-10887626.039999999</v>
      </c>
      <c r="G69" s="17">
        <f>-_xlfn.XLOOKUP($C69,TB_NG!$E:$E,TB_NG!I:I)</f>
        <v>-14155123.349999998</v>
      </c>
      <c r="H69" s="17">
        <f>-_xlfn.XLOOKUP($C69,TB_NG!$E:$E,TB_NG!J:J)</f>
        <v>-14541972.779999999</v>
      </c>
      <c r="I69" s="17">
        <f>-_xlfn.XLOOKUP($C69,TB_NG!$E:$E,TB_NG!K:K)</f>
        <v>-15223124.91</v>
      </c>
      <c r="J69" s="17">
        <f>-_xlfn.XLOOKUP($C69,TB_NG!$E:$E,TB_NG!L:L)</f>
        <v>-14288374.1</v>
      </c>
      <c r="K69" s="17">
        <f>-_xlfn.XLOOKUP($C69,TB_NG!$E:$E,TB_NG!M:M)</f>
        <v>-14258451.09</v>
      </c>
      <c r="L69" s="17">
        <f>-_xlfn.XLOOKUP($C69,TB_NG!$E:$E,TB_NG!N:N)</f>
        <v>-14667020.449999999</v>
      </c>
      <c r="M69" s="17">
        <f>-_xlfn.XLOOKUP($C69,TB_NG!$E:$E,TB_NG!O:O)</f>
        <v>-15102430.039999999</v>
      </c>
      <c r="N69" s="17">
        <f>-_xlfn.XLOOKUP($C69,TB_NG!$E:$E,TB_NG!P:P)</f>
        <v>-14359521.949999999</v>
      </c>
      <c r="O69" s="17">
        <f>-_xlfn.XLOOKUP($C69,TB_NG!$E:$E,TB_NG!Q:Q)</f>
        <v>-17737736.389999997</v>
      </c>
      <c r="P69" s="17">
        <f>-_xlfn.XLOOKUP($C69,TB_NG!$E:$E,TB_NG!R:R)</f>
        <v>0</v>
      </c>
      <c r="Q69" s="17">
        <f>-_xlfn.XLOOKUP($C69,TB_NG!$E:$E,TB_NG!S:S)</f>
        <v>0</v>
      </c>
      <c r="R69" s="17">
        <f>-_xlfn.XLOOKUP($C69,TB_NG!$E:$E,TB_NG!T:T)</f>
        <v>0</v>
      </c>
      <c r="S69" s="17">
        <f>-_xlfn.XLOOKUP($C69,TB_NG!$E:$E,TB_NG!U:U)</f>
        <v>0</v>
      </c>
      <c r="T69" s="17">
        <f>-_xlfn.XLOOKUP($C69,TB_NG!$E:$E,TB_NG!V:V)</f>
        <v>0</v>
      </c>
      <c r="U69" s="17">
        <f>-_xlfn.XLOOKUP($C69,TB_NG!$E:$E,TB_NG!W:W)</f>
        <v>0</v>
      </c>
      <c r="V69" s="17">
        <f>-_xlfn.XLOOKUP($C69,TB_NG!$E:$E,TB_NG!X:X)</f>
        <v>0</v>
      </c>
      <c r="W69" s="17">
        <f>-_xlfn.XLOOKUP($C69,TB_NG!$E:$E,TB_NG!Y:Y)</f>
        <v>0</v>
      </c>
      <c r="X69" s="17">
        <f>-_xlfn.XLOOKUP($C69,TB_NG!$E:$E,TB_NG!Z:Z)</f>
        <v>0</v>
      </c>
      <c r="Y69" s="17">
        <f>-_xlfn.XLOOKUP($C69,TB_NG!$E:$E,TB_NG!AA:AA)</f>
        <v>0</v>
      </c>
      <c r="Z69" s="17">
        <f>-_xlfn.XLOOKUP($C69,TB_NG!$E:$E,TB_NG!AB:AB)</f>
        <v>0</v>
      </c>
      <c r="AA69" s="17">
        <f>-_xlfn.XLOOKUP($C69,TB_NG!$E:$E,TB_NG!AC:AC)</f>
        <v>0</v>
      </c>
      <c r="AB69" s="17">
        <f>-_xlfn.XLOOKUP($C69,TB_NG!$E:$E,TB_NG!AD:AD)</f>
        <v>0</v>
      </c>
      <c r="AC69" s="17">
        <f>-_xlfn.XLOOKUP($C69,TB_NG!$E:$E,TB_NG!AE:AE)</f>
        <v>0</v>
      </c>
      <c r="AD69" s="17">
        <f>-_xlfn.XLOOKUP($C69,TB_NG!$E:$E,TB_NG!AF:AF)</f>
        <v>0</v>
      </c>
      <c r="AE69" s="17">
        <f>-_xlfn.XLOOKUP($C69,TB_NG!$E:$E,TB_NG!AG:AG)</f>
        <v>0</v>
      </c>
      <c r="AF69" s="17">
        <f>-_xlfn.XLOOKUP($C69,TB_NG!$E:$E,TB_NG!AH:AH)</f>
        <v>0</v>
      </c>
      <c r="AG69" s="17">
        <f>-_xlfn.XLOOKUP($C69,TB_NG!$E:$E,TB_NG!AI:AI)</f>
        <v>0</v>
      </c>
      <c r="AH69" s="17">
        <f>-_xlfn.XLOOKUP($C69,TB_NG!$E:$E,TB_NG!AJ:AJ)</f>
        <v>0</v>
      </c>
      <c r="AI69" s="17">
        <f>-_xlfn.XLOOKUP($C69,TB_NG!$E:$E,TB_NG!AK:AK)</f>
        <v>0</v>
      </c>
      <c r="AJ69" s="17">
        <f>-_xlfn.XLOOKUP($C69,TB_NG!$E:$E,TB_NG!AL:AL)</f>
        <v>0</v>
      </c>
      <c r="AK69" s="17">
        <f>-_xlfn.XLOOKUP($C69,TB_NG!$E:$E,TB_NG!AM:AM)</f>
        <v>0</v>
      </c>
      <c r="AL69" s="17">
        <f>-_xlfn.XLOOKUP($C69,TB_NG!$E:$E,TB_NG!AN:AN)</f>
        <v>0</v>
      </c>
      <c r="AM69" s="17">
        <f>-_xlfn.XLOOKUP($C69,TB_NG!$E:$E,TB_NG!AO:AO)</f>
        <v>0</v>
      </c>
      <c r="AS69" s="17">
        <f t="shared" si="11"/>
        <v>-163764312.98999998</v>
      </c>
      <c r="AT69" s="17">
        <f t="shared" si="12"/>
        <v>0</v>
      </c>
    </row>
    <row r="70" spans="2:46" x14ac:dyDescent="0.2">
      <c r="B70" s="21">
        <v>65031</v>
      </c>
      <c r="C70" s="16" t="str">
        <f>_xlfn.XLOOKUP(B70,TB_NG!A:A,TB_NG!E:E)</f>
        <v>Payroll: Staff PAYE deductions</v>
      </c>
      <c r="D70" s="17">
        <f>-_xlfn.XLOOKUP($C70,TB_NG!$E:$E,TB_NG!F:F)</f>
        <v>0</v>
      </c>
      <c r="E70" s="17">
        <f>-_xlfn.XLOOKUP($C70,TB_NG!$E:$E,TB_NG!G:G)</f>
        <v>0</v>
      </c>
      <c r="F70" s="17">
        <f>-_xlfn.XLOOKUP($C70,TB_NG!$E:$E,TB_NG!H:H)</f>
        <v>0</v>
      </c>
      <c r="G70" s="17">
        <f>-_xlfn.XLOOKUP($C70,TB_NG!$E:$E,TB_NG!I:I)</f>
        <v>0</v>
      </c>
      <c r="H70" s="17">
        <f>-_xlfn.XLOOKUP($C70,TB_NG!$E:$E,TB_NG!J:J)</f>
        <v>0</v>
      </c>
      <c r="I70" s="17">
        <f>-_xlfn.XLOOKUP($C70,TB_NG!$E:$E,TB_NG!K:K)</f>
        <v>0</v>
      </c>
      <c r="J70" s="17">
        <f>-_xlfn.XLOOKUP($C70,TB_NG!$E:$E,TB_NG!L:L)</f>
        <v>0</v>
      </c>
      <c r="K70" s="17">
        <f>-_xlfn.XLOOKUP($C70,TB_NG!$E:$E,TB_NG!M:M)</f>
        <v>0</v>
      </c>
      <c r="L70" s="17">
        <f>-_xlfn.XLOOKUP($C70,TB_NG!$E:$E,TB_NG!N:N)</f>
        <v>0</v>
      </c>
      <c r="M70" s="17">
        <f>-_xlfn.XLOOKUP($C70,TB_NG!$E:$E,TB_NG!O:O)</f>
        <v>0</v>
      </c>
      <c r="N70" s="17">
        <f>-_xlfn.XLOOKUP($C70,TB_NG!$E:$E,TB_NG!P:P)</f>
        <v>0</v>
      </c>
      <c r="O70" s="17">
        <f>-_xlfn.XLOOKUP($C70,TB_NG!$E:$E,TB_NG!Q:Q)</f>
        <v>0</v>
      </c>
      <c r="P70" s="17">
        <f>-_xlfn.XLOOKUP($C70,TB_NG!$E:$E,TB_NG!R:R)</f>
        <v>-12411901.17</v>
      </c>
      <c r="Q70" s="17">
        <f>-_xlfn.XLOOKUP($C70,TB_NG!$E:$E,TB_NG!S:S)</f>
        <v>-12503854.66</v>
      </c>
      <c r="R70" s="17">
        <f>-_xlfn.XLOOKUP($C70,TB_NG!$E:$E,TB_NG!T:T)</f>
        <v>-12899916.720000001</v>
      </c>
      <c r="S70" s="17">
        <f>-_xlfn.XLOOKUP($C70,TB_NG!$E:$E,TB_NG!U:U)</f>
        <v>-12857404.23</v>
      </c>
      <c r="T70" s="17">
        <f>-_xlfn.XLOOKUP($C70,TB_NG!$E:$E,TB_NG!V:V)</f>
        <v>-12297881.49</v>
      </c>
      <c r="U70" s="17">
        <f>-_xlfn.XLOOKUP($C70,TB_NG!$E:$E,TB_NG!W:W)</f>
        <v>-12436731.699999999</v>
      </c>
      <c r="V70" s="17">
        <f>-_xlfn.XLOOKUP($C70,TB_NG!$E:$E,TB_NG!X:X)</f>
        <v>-12809935.99</v>
      </c>
      <c r="W70" s="17">
        <f>-_xlfn.XLOOKUP($C70,TB_NG!$E:$E,TB_NG!Y:Y)</f>
        <v>-8153598.7300000004</v>
      </c>
      <c r="X70" s="17">
        <f>-_xlfn.XLOOKUP($C70,TB_NG!$E:$E,TB_NG!Z:Z)</f>
        <v>-13338607.07</v>
      </c>
      <c r="Y70" s="17">
        <f>-_xlfn.XLOOKUP($C70,TB_NG!$E:$E,TB_NG!AA:AA)</f>
        <v>-13763907.050000001</v>
      </c>
      <c r="Z70" s="17">
        <f>-_xlfn.XLOOKUP($C70,TB_NG!$E:$E,TB_NG!AB:AB)</f>
        <v>-13608032.029999999</v>
      </c>
      <c r="AA70" s="17">
        <f>-_xlfn.XLOOKUP($C70,TB_NG!$E:$E,TB_NG!AC:AC)</f>
        <v>-20658503.449999999</v>
      </c>
      <c r="AB70" s="17">
        <f>-_xlfn.XLOOKUP($C70,TB_NG!$E:$E,TB_NG!AD:AD)</f>
        <v>-22675030.100000001</v>
      </c>
      <c r="AC70" s="17">
        <f>-_xlfn.XLOOKUP($C70,TB_NG!$E:$E,TB_NG!AE:AE)</f>
        <v>-22348070.48</v>
      </c>
      <c r="AD70" s="17">
        <f>-_xlfn.XLOOKUP($C70,TB_NG!$E:$E,TB_NG!AF:AF)</f>
        <v>-22064090.129999999</v>
      </c>
      <c r="AE70" s="17">
        <f>-_xlfn.XLOOKUP($C70,TB_NG!$E:$E,TB_NG!AG:AG)</f>
        <v>-22793669.02</v>
      </c>
      <c r="AF70" s="17">
        <f>-_xlfn.XLOOKUP($C70,TB_NG!$E:$E,TB_NG!AH:AH)</f>
        <v>0</v>
      </c>
      <c r="AG70" s="17">
        <f>-_xlfn.XLOOKUP($C70,TB_NG!$E:$E,TB_NG!AI:AI)</f>
        <v>0</v>
      </c>
      <c r="AH70" s="17">
        <f>-_xlfn.XLOOKUP($C70,TB_NG!$E:$E,TB_NG!AJ:AJ)</f>
        <v>0</v>
      </c>
      <c r="AI70" s="17">
        <f>-_xlfn.XLOOKUP($C70,TB_NG!$E:$E,TB_NG!AK:AK)</f>
        <v>0</v>
      </c>
      <c r="AJ70" s="17">
        <f>-_xlfn.XLOOKUP($C70,TB_NG!$E:$E,TB_NG!AL:AL)</f>
        <v>0</v>
      </c>
      <c r="AK70" s="17">
        <f>-_xlfn.XLOOKUP($C70,TB_NG!$E:$E,TB_NG!AM:AM)</f>
        <v>0</v>
      </c>
      <c r="AL70" s="17">
        <f>-_xlfn.XLOOKUP($C70,TB_NG!$E:$E,TB_NG!AN:AN)</f>
        <v>0</v>
      </c>
      <c r="AM70" s="17">
        <f>-_xlfn.XLOOKUP($C70,TB_NG!$E:$E,TB_NG!AO:AO)</f>
        <v>0</v>
      </c>
      <c r="AS70" s="17">
        <f t="shared" si="11"/>
        <v>0</v>
      </c>
      <c r="AT70" s="17">
        <f t="shared" si="12"/>
        <v>-157740274.28999996</v>
      </c>
    </row>
    <row r="71" spans="2:46" x14ac:dyDescent="0.2">
      <c r="B71" s="21">
        <v>65032</v>
      </c>
      <c r="C71" s="16" t="str">
        <f>_xlfn.XLOOKUP(B71,TB_NG!A:A,TB_NG!E:E)</f>
        <v>Payroll: Staff Employee's Pension deductions</v>
      </c>
      <c r="D71" s="17">
        <f>-_xlfn.XLOOKUP($C71,TB_NG!$E:$E,TB_NG!F:F)</f>
        <v>0</v>
      </c>
      <c r="E71" s="17">
        <f>-_xlfn.XLOOKUP($C71,TB_NG!$E:$E,TB_NG!G:G)</f>
        <v>0</v>
      </c>
      <c r="F71" s="17">
        <f>-_xlfn.XLOOKUP($C71,TB_NG!$E:$E,TB_NG!H:H)</f>
        <v>0</v>
      </c>
      <c r="G71" s="17">
        <f>-_xlfn.XLOOKUP($C71,TB_NG!$E:$E,TB_NG!I:I)</f>
        <v>0</v>
      </c>
      <c r="H71" s="17">
        <f>-_xlfn.XLOOKUP($C71,TB_NG!$E:$E,TB_NG!J:J)</f>
        <v>0</v>
      </c>
      <c r="I71" s="17">
        <f>-_xlfn.XLOOKUP($C71,TB_NG!$E:$E,TB_NG!K:K)</f>
        <v>0</v>
      </c>
      <c r="J71" s="17">
        <f>-_xlfn.XLOOKUP($C71,TB_NG!$E:$E,TB_NG!L:L)</f>
        <v>0</v>
      </c>
      <c r="K71" s="17">
        <f>-_xlfn.XLOOKUP($C71,TB_NG!$E:$E,TB_NG!M:M)</f>
        <v>0</v>
      </c>
      <c r="L71" s="17">
        <f>-_xlfn.XLOOKUP($C71,TB_NG!$E:$E,TB_NG!N:N)</f>
        <v>0</v>
      </c>
      <c r="M71" s="17">
        <f>-_xlfn.XLOOKUP($C71,TB_NG!$E:$E,TB_NG!O:O)</f>
        <v>0</v>
      </c>
      <c r="N71" s="17">
        <f>-_xlfn.XLOOKUP($C71,TB_NG!$E:$E,TB_NG!P:P)</f>
        <v>0</v>
      </c>
      <c r="O71" s="17">
        <f>-_xlfn.XLOOKUP($C71,TB_NG!$E:$E,TB_NG!Q:Q)</f>
        <v>0</v>
      </c>
      <c r="P71" s="17">
        <f>-_xlfn.XLOOKUP($C71,TB_NG!$E:$E,TB_NG!R:R)</f>
        <v>-3112491.94</v>
      </c>
      <c r="Q71" s="17">
        <f>-_xlfn.XLOOKUP($C71,TB_NG!$E:$E,TB_NG!S:S)</f>
        <v>-3134513.54</v>
      </c>
      <c r="R71" s="17">
        <f>-_xlfn.XLOOKUP($C71,TB_NG!$E:$E,TB_NG!T:T)</f>
        <v>-3208290.8899999997</v>
      </c>
      <c r="S71" s="17">
        <f>-_xlfn.XLOOKUP($C71,TB_NG!$E:$E,TB_NG!U:U)</f>
        <v>-3194884.76</v>
      </c>
      <c r="T71" s="17">
        <f>-_xlfn.XLOOKUP($C71,TB_NG!$E:$E,TB_NG!V:V)</f>
        <v>-3052666.75</v>
      </c>
      <c r="U71" s="17">
        <f>-_xlfn.XLOOKUP($C71,TB_NG!$E:$E,TB_NG!W:W)</f>
        <v>-3101002.06</v>
      </c>
      <c r="V71" s="17">
        <f>-_xlfn.XLOOKUP($C71,TB_NG!$E:$E,TB_NG!X:X)</f>
        <v>-3182287.82</v>
      </c>
      <c r="W71" s="17">
        <f>-_xlfn.XLOOKUP($C71,TB_NG!$E:$E,TB_NG!Y:Y)</f>
        <v>-1873531.9100000001</v>
      </c>
      <c r="X71" s="17">
        <f>-_xlfn.XLOOKUP($C71,TB_NG!$E:$E,TB_NG!Z:Z)</f>
        <v>-3255030.33</v>
      </c>
      <c r="Y71" s="17">
        <f>-_xlfn.XLOOKUP($C71,TB_NG!$E:$E,TB_NG!AA:AA)</f>
        <v>-3356401.45</v>
      </c>
      <c r="Z71" s="17">
        <f>-_xlfn.XLOOKUP($C71,TB_NG!$E:$E,TB_NG!AB:AB)</f>
        <v>-3155862.88</v>
      </c>
      <c r="AA71" s="17">
        <f>-_xlfn.XLOOKUP($C71,TB_NG!$E:$E,TB_NG!AC:AC)</f>
        <v>-3438071.05</v>
      </c>
      <c r="AB71" s="17">
        <f>-_xlfn.XLOOKUP($C71,TB_NG!$E:$E,TB_NG!AD:AD)</f>
        <v>-5112340.37</v>
      </c>
      <c r="AC71" s="17">
        <f>-_xlfn.XLOOKUP($C71,TB_NG!$E:$E,TB_NG!AE:AE)</f>
        <v>-5222915.91</v>
      </c>
      <c r="AD71" s="17">
        <f>-_xlfn.XLOOKUP($C71,TB_NG!$E:$E,TB_NG!AF:AF)</f>
        <v>-5180295.25</v>
      </c>
      <c r="AE71" s="17">
        <f>-_xlfn.XLOOKUP($C71,TB_NG!$E:$E,TB_NG!AG:AG)</f>
        <v>-5326225.57</v>
      </c>
      <c r="AF71" s="17">
        <f>-_xlfn.XLOOKUP($C71,TB_NG!$E:$E,TB_NG!AH:AH)</f>
        <v>0</v>
      </c>
      <c r="AG71" s="17">
        <f>-_xlfn.XLOOKUP($C71,TB_NG!$E:$E,TB_NG!AI:AI)</f>
        <v>0</v>
      </c>
      <c r="AH71" s="17">
        <f>-_xlfn.XLOOKUP($C71,TB_NG!$E:$E,TB_NG!AJ:AJ)</f>
        <v>0</v>
      </c>
      <c r="AI71" s="17">
        <f>-_xlfn.XLOOKUP($C71,TB_NG!$E:$E,TB_NG!AK:AK)</f>
        <v>0</v>
      </c>
      <c r="AJ71" s="17">
        <f>-_xlfn.XLOOKUP($C71,TB_NG!$E:$E,TB_NG!AL:AL)</f>
        <v>0</v>
      </c>
      <c r="AK71" s="17">
        <f>-_xlfn.XLOOKUP($C71,TB_NG!$E:$E,TB_NG!AM:AM)</f>
        <v>0</v>
      </c>
      <c r="AL71" s="17">
        <f>-_xlfn.XLOOKUP($C71,TB_NG!$E:$E,TB_NG!AN:AN)</f>
        <v>0</v>
      </c>
      <c r="AM71" s="17">
        <f>-_xlfn.XLOOKUP($C71,TB_NG!$E:$E,TB_NG!AO:AO)</f>
        <v>0</v>
      </c>
      <c r="AS71" s="17">
        <f t="shared" si="11"/>
        <v>0</v>
      </c>
      <c r="AT71" s="17">
        <f t="shared" si="12"/>
        <v>-37065035.379999995</v>
      </c>
    </row>
    <row r="72" spans="2:46" x14ac:dyDescent="0.2">
      <c r="B72" s="21">
        <v>65035</v>
      </c>
      <c r="C72" s="16" t="str">
        <f>_xlfn.XLOOKUP(B72,TB_NG!A:A,TB_NG!E:E)</f>
        <v>Payroll: Staff Salaries</v>
      </c>
      <c r="D72" s="17">
        <f>-_xlfn.XLOOKUP($C72,TB_NG!$E:$E,TB_NG!F:F)</f>
        <v>-27891534.939999998</v>
      </c>
      <c r="E72" s="17">
        <f>-_xlfn.XLOOKUP($C72,TB_NG!$E:$E,TB_NG!G:G)</f>
        <v>-39039542.810000002</v>
      </c>
      <c r="F72" s="17">
        <f>-_xlfn.XLOOKUP($C72,TB_NG!$E:$E,TB_NG!H:H)</f>
        <v>-38938671.060000002</v>
      </c>
      <c r="G72" s="17">
        <f>-_xlfn.XLOOKUP($C72,TB_NG!$E:$E,TB_NG!I:I)</f>
        <v>-46570872.930000007</v>
      </c>
      <c r="H72" s="17">
        <f>-_xlfn.XLOOKUP($C72,TB_NG!$E:$E,TB_NG!J:J)</f>
        <v>-44354708.359999999</v>
      </c>
      <c r="I72" s="17">
        <f>-_xlfn.XLOOKUP($C72,TB_NG!$E:$E,TB_NG!K:K)</f>
        <v>-46418583.670000002</v>
      </c>
      <c r="J72" s="17">
        <f>-_xlfn.XLOOKUP($C72,TB_NG!$E:$E,TB_NG!L:L)</f>
        <v>-49258981.020000003</v>
      </c>
      <c r="K72" s="17">
        <f>-_xlfn.XLOOKUP($C72,TB_NG!$E:$E,TB_NG!M:M)</f>
        <v>-49435803.259999998</v>
      </c>
      <c r="L72" s="17">
        <f>-_xlfn.XLOOKUP($C72,TB_NG!$E:$E,TB_NG!N:N)</f>
        <v>-51285471.339999996</v>
      </c>
      <c r="M72" s="17">
        <f>-_xlfn.XLOOKUP($C72,TB_NG!$E:$E,TB_NG!O:O)</f>
        <v>-55034072.039999999</v>
      </c>
      <c r="N72" s="17">
        <f>-_xlfn.XLOOKUP($C72,TB_NG!$E:$E,TB_NG!P:P)</f>
        <v>-54877192.770000003</v>
      </c>
      <c r="O72" s="17">
        <f>-_xlfn.XLOOKUP($C72,TB_NG!$E:$E,TB_NG!Q:Q)</f>
        <v>-74276612.810000002</v>
      </c>
      <c r="P72" s="17">
        <f>-_xlfn.XLOOKUP($C72,TB_NG!$E:$E,TB_NG!R:R)</f>
        <v>-78270908</v>
      </c>
      <c r="Q72" s="17">
        <f>-_xlfn.XLOOKUP($C72,TB_NG!$E:$E,TB_NG!S:S)</f>
        <v>-80125127</v>
      </c>
      <c r="R72" s="17">
        <f>-_xlfn.XLOOKUP($C72,TB_NG!$E:$E,TB_NG!T:T)</f>
        <v>-85793860.340000004</v>
      </c>
      <c r="S72" s="17">
        <f>-_xlfn.XLOOKUP($C72,TB_NG!$E:$E,TB_NG!U:U)</f>
        <v>-85709176.069999993</v>
      </c>
      <c r="T72" s="17">
        <f>-_xlfn.XLOOKUP($C72,TB_NG!$E:$E,TB_NG!V:V)</f>
        <v>-86221936.040000007</v>
      </c>
      <c r="U72" s="17">
        <f>-_xlfn.XLOOKUP($C72,TB_NG!$E:$E,TB_NG!W:W)</f>
        <v>-85651897.510000005</v>
      </c>
      <c r="V72" s="17">
        <f>-_xlfn.XLOOKUP($C72,TB_NG!$E:$E,TB_NG!X:X)</f>
        <v>-83649805.469999999</v>
      </c>
      <c r="W72" s="17">
        <f>-_xlfn.XLOOKUP($C72,TB_NG!$E:$E,TB_NG!Y:Y)</f>
        <v>-81711075.290000007</v>
      </c>
      <c r="X72" s="17">
        <f>-_xlfn.XLOOKUP($C72,TB_NG!$E:$E,TB_NG!Z:Z)</f>
        <v>-78514097.719999999</v>
      </c>
      <c r="Y72" s="17">
        <f>-_xlfn.XLOOKUP($C72,TB_NG!$E:$E,TB_NG!AA:AA)</f>
        <v>-83708633.420000002</v>
      </c>
      <c r="Z72" s="17">
        <f>-_xlfn.XLOOKUP($C72,TB_NG!$E:$E,TB_NG!AB:AB)</f>
        <v>-80602058</v>
      </c>
      <c r="AA72" s="17">
        <f>-_xlfn.XLOOKUP($C72,TB_NG!$E:$E,TB_NG!AC:AC)</f>
        <v>-122655939</v>
      </c>
      <c r="AB72" s="17">
        <f>-_xlfn.XLOOKUP($C72,TB_NG!$E:$E,TB_NG!AD:AD)</f>
        <v>-77297946.950000003</v>
      </c>
      <c r="AC72" s="17">
        <f>-_xlfn.XLOOKUP($C72,TB_NG!$E:$E,TB_NG!AE:AE)</f>
        <v>-71316126.299999997</v>
      </c>
      <c r="AD72" s="17">
        <f>-_xlfn.XLOOKUP($C72,TB_NG!$E:$E,TB_NG!AF:AF)</f>
        <v>-72114788.569999993</v>
      </c>
      <c r="AE72" s="17">
        <f>-_xlfn.XLOOKUP($C72,TB_NG!$E:$E,TB_NG!AG:AG)</f>
        <v>-73683635.010000005</v>
      </c>
      <c r="AF72" s="17">
        <f>-_xlfn.XLOOKUP($C72,TB_NG!$E:$E,TB_NG!AH:AH)</f>
        <v>0</v>
      </c>
      <c r="AG72" s="17">
        <f>-_xlfn.XLOOKUP($C72,TB_NG!$E:$E,TB_NG!AI:AI)</f>
        <v>0</v>
      </c>
      <c r="AH72" s="17">
        <f>-_xlfn.XLOOKUP($C72,TB_NG!$E:$E,TB_NG!AJ:AJ)</f>
        <v>0</v>
      </c>
      <c r="AI72" s="17">
        <f>-_xlfn.XLOOKUP($C72,TB_NG!$E:$E,TB_NG!AK:AK)</f>
        <v>0</v>
      </c>
      <c r="AJ72" s="17">
        <f>-_xlfn.XLOOKUP($C72,TB_NG!$E:$E,TB_NG!AL:AL)</f>
        <v>0</v>
      </c>
      <c r="AK72" s="17">
        <f>-_xlfn.XLOOKUP($C72,TB_NG!$E:$E,TB_NG!AM:AM)</f>
        <v>0</v>
      </c>
      <c r="AL72" s="17">
        <f>-_xlfn.XLOOKUP($C72,TB_NG!$E:$E,TB_NG!AN:AN)</f>
        <v>0</v>
      </c>
      <c r="AM72" s="17">
        <f>-_xlfn.XLOOKUP($C72,TB_NG!$E:$E,TB_NG!AO:AO)</f>
        <v>0</v>
      </c>
      <c r="AS72" s="17">
        <f t="shared" si="11"/>
        <v>-577382047.00999999</v>
      </c>
      <c r="AT72" s="17">
        <f t="shared" si="12"/>
        <v>-1032614513.8599999</v>
      </c>
    </row>
    <row r="73" spans="2:46" x14ac:dyDescent="0.2">
      <c r="B73" s="21">
        <v>65036</v>
      </c>
      <c r="C73" s="16" t="str">
        <f>_xlfn.XLOOKUP(B73,TB_NG!A:A,TB_NG!E:E)</f>
        <v>NSITF Contributions</v>
      </c>
      <c r="D73" s="17">
        <f>-_xlfn.XLOOKUP($C73,TB_NG!$E:$E,TB_NG!F:F)</f>
        <v>0</v>
      </c>
      <c r="E73" s="17">
        <f>-_xlfn.XLOOKUP($C73,TB_NG!$E:$E,TB_NG!G:G)</f>
        <v>0</v>
      </c>
      <c r="F73" s="17">
        <f>-_xlfn.XLOOKUP($C73,TB_NG!$E:$E,TB_NG!H:H)</f>
        <v>0</v>
      </c>
      <c r="G73" s="17">
        <f>-_xlfn.XLOOKUP($C73,TB_NG!$E:$E,TB_NG!I:I)</f>
        <v>0</v>
      </c>
      <c r="H73" s="17">
        <f>-_xlfn.XLOOKUP($C73,TB_NG!$E:$E,TB_NG!J:J)</f>
        <v>0</v>
      </c>
      <c r="I73" s="17">
        <f>-_xlfn.XLOOKUP($C73,TB_NG!$E:$E,TB_NG!K:K)</f>
        <v>0</v>
      </c>
      <c r="J73" s="17">
        <f>-_xlfn.XLOOKUP($C73,TB_NG!$E:$E,TB_NG!L:L)</f>
        <v>0</v>
      </c>
      <c r="K73" s="17">
        <f>-_xlfn.XLOOKUP($C73,TB_NG!$E:$E,TB_NG!M:M)</f>
        <v>0</v>
      </c>
      <c r="L73" s="17">
        <f>-_xlfn.XLOOKUP($C73,TB_NG!$E:$E,TB_NG!N:N)</f>
        <v>0</v>
      </c>
      <c r="M73" s="17">
        <f>-_xlfn.XLOOKUP($C73,TB_NG!$E:$E,TB_NG!O:O)</f>
        <v>0</v>
      </c>
      <c r="N73" s="17">
        <f>-_xlfn.XLOOKUP($C73,TB_NG!$E:$E,TB_NG!P:P)</f>
        <v>0</v>
      </c>
      <c r="O73" s="17">
        <f>-_xlfn.XLOOKUP($C73,TB_NG!$E:$E,TB_NG!Q:Q)</f>
        <v>0</v>
      </c>
      <c r="P73" s="17">
        <f>-_xlfn.XLOOKUP($C73,TB_NG!$E:$E,TB_NG!R:R)</f>
        <v>0</v>
      </c>
      <c r="Q73" s="17">
        <f>-_xlfn.XLOOKUP($C73,TB_NG!$E:$E,TB_NG!S:S)</f>
        <v>0</v>
      </c>
      <c r="R73" s="17">
        <f>-_xlfn.XLOOKUP($C73,TB_NG!$E:$E,TB_NG!T:T)</f>
        <v>-3469348.8500000015</v>
      </c>
      <c r="S73" s="17">
        <f>-_xlfn.XLOOKUP($C73,TB_NG!$E:$E,TB_NG!U:U)</f>
        <v>-1146213.42</v>
      </c>
      <c r="T73" s="17">
        <f>-_xlfn.XLOOKUP($C73,TB_NG!$E:$E,TB_NG!V:V)</f>
        <v>-1146213.42</v>
      </c>
      <c r="U73" s="17">
        <f>-_xlfn.XLOOKUP($C73,TB_NG!$E:$E,TB_NG!W:W)</f>
        <v>-1146213.42</v>
      </c>
      <c r="V73" s="17">
        <f>-_xlfn.XLOOKUP($C73,TB_NG!$E:$E,TB_NG!X:X)</f>
        <v>-1146213.42</v>
      </c>
      <c r="W73" s="17">
        <f>-_xlfn.XLOOKUP($C73,TB_NG!$E:$E,TB_NG!Y:Y)</f>
        <v>-1146213.42</v>
      </c>
      <c r="X73" s="17">
        <f>-_xlfn.XLOOKUP($C73,TB_NG!$E:$E,TB_NG!Z:Z)</f>
        <v>-1146213.42</v>
      </c>
      <c r="Y73" s="17">
        <f>-_xlfn.XLOOKUP($C73,TB_NG!$E:$E,TB_NG!AA:AA)</f>
        <v>-1146213.42</v>
      </c>
      <c r="Z73" s="17">
        <f>-_xlfn.XLOOKUP($C73,TB_NG!$E:$E,TB_NG!AB:AB)</f>
        <v>-1146213.42</v>
      </c>
      <c r="AA73" s="17">
        <f>-_xlfn.XLOOKUP($C73,TB_NG!$E:$E,TB_NG!AC:AC)</f>
        <v>-1146213.42</v>
      </c>
      <c r="AB73" s="17">
        <f>-_xlfn.XLOOKUP($C73,TB_NG!$E:$E,TB_NG!AD:AD)</f>
        <v>-1303600.6200000001</v>
      </c>
      <c r="AC73" s="17">
        <f>-_xlfn.XLOOKUP($C73,TB_NG!$E:$E,TB_NG!AE:AE)</f>
        <v>-1303600.6200000001</v>
      </c>
      <c r="AD73" s="17">
        <f>-_xlfn.XLOOKUP($C73,TB_NG!$E:$E,TB_NG!AF:AF)</f>
        <v>-1333560.3199999998</v>
      </c>
      <c r="AE73" s="17">
        <f>-_xlfn.XLOOKUP($C73,TB_NG!$E:$E,TB_NG!AG:AG)</f>
        <v>-1303587.19</v>
      </c>
      <c r="AF73" s="17">
        <f>-_xlfn.XLOOKUP($C73,TB_NG!$E:$E,TB_NG!AH:AH)</f>
        <v>0</v>
      </c>
      <c r="AG73" s="17">
        <f>-_xlfn.XLOOKUP($C73,TB_NG!$E:$E,TB_NG!AI:AI)</f>
        <v>0</v>
      </c>
      <c r="AH73" s="17">
        <f>-_xlfn.XLOOKUP($C73,TB_NG!$E:$E,TB_NG!AJ:AJ)</f>
        <v>0</v>
      </c>
      <c r="AI73" s="17">
        <f>-_xlfn.XLOOKUP($C73,TB_NG!$E:$E,TB_NG!AK:AK)</f>
        <v>0</v>
      </c>
      <c r="AJ73" s="17">
        <f>-_xlfn.XLOOKUP($C73,TB_NG!$E:$E,TB_NG!AL:AL)</f>
        <v>0</v>
      </c>
      <c r="AK73" s="17">
        <f>-_xlfn.XLOOKUP($C73,TB_NG!$E:$E,TB_NG!AM:AM)</f>
        <v>0</v>
      </c>
      <c r="AL73" s="17">
        <f>-_xlfn.XLOOKUP($C73,TB_NG!$E:$E,TB_NG!AN:AN)</f>
        <v>0</v>
      </c>
      <c r="AM73" s="17">
        <f>-_xlfn.XLOOKUP($C73,TB_NG!$E:$E,TB_NG!AO:AO)</f>
        <v>0</v>
      </c>
      <c r="AS73" s="17">
        <f t="shared" si="11"/>
        <v>0</v>
      </c>
      <c r="AT73" s="17">
        <f t="shared" si="12"/>
        <v>-13785269.630000001</v>
      </c>
    </row>
    <row r="74" spans="2:46" x14ac:dyDescent="0.2">
      <c r="B74" s="21">
        <v>65037</v>
      </c>
      <c r="C74" s="16" t="str">
        <f>_xlfn.XLOOKUP(B74,TB_NG!A:A,TB_NG!E:E)</f>
        <v>ITF Contributions</v>
      </c>
      <c r="D74" s="17">
        <f>-_xlfn.XLOOKUP($C74,TB_NG!$E:$E,TB_NG!F:F)</f>
        <v>0</v>
      </c>
      <c r="E74" s="17">
        <f>-_xlfn.XLOOKUP($C74,TB_NG!$E:$E,TB_NG!G:G)</f>
        <v>0</v>
      </c>
      <c r="F74" s="17">
        <f>-_xlfn.XLOOKUP($C74,TB_NG!$E:$E,TB_NG!H:H)</f>
        <v>0</v>
      </c>
      <c r="G74" s="17">
        <f>-_xlfn.XLOOKUP($C74,TB_NG!$E:$E,TB_NG!I:I)</f>
        <v>-6700175.4100000001</v>
      </c>
      <c r="H74" s="17">
        <f>-_xlfn.XLOOKUP($C74,TB_NG!$E:$E,TB_NG!J:J)</f>
        <v>0</v>
      </c>
      <c r="I74" s="17">
        <f>-_xlfn.XLOOKUP($C74,TB_NG!$E:$E,TB_NG!K:K)</f>
        <v>0</v>
      </c>
      <c r="J74" s="17">
        <f>-_xlfn.XLOOKUP($C74,TB_NG!$E:$E,TB_NG!L:L)</f>
        <v>0</v>
      </c>
      <c r="K74" s="17">
        <f>-_xlfn.XLOOKUP($C74,TB_NG!$E:$E,TB_NG!M:M)</f>
        <v>0</v>
      </c>
      <c r="L74" s="17">
        <f>-_xlfn.XLOOKUP($C74,TB_NG!$E:$E,TB_NG!N:N)</f>
        <v>0</v>
      </c>
      <c r="M74" s="17">
        <f>-_xlfn.XLOOKUP($C74,TB_NG!$E:$E,TB_NG!O:O)</f>
        <v>0</v>
      </c>
      <c r="N74" s="17">
        <f>-_xlfn.XLOOKUP($C74,TB_NG!$E:$E,TB_NG!P:P)</f>
        <v>0</v>
      </c>
      <c r="O74" s="17">
        <f>-_xlfn.XLOOKUP($C74,TB_NG!$E:$E,TB_NG!Q:Q)</f>
        <v>0</v>
      </c>
      <c r="P74" s="17">
        <f>-_xlfn.XLOOKUP($C74,TB_NG!$E:$E,TB_NG!R:R)</f>
        <v>0</v>
      </c>
      <c r="Q74" s="17">
        <f>-_xlfn.XLOOKUP($C74,TB_NG!$E:$E,TB_NG!S:S)</f>
        <v>0</v>
      </c>
      <c r="R74" s="17">
        <f>-_xlfn.XLOOKUP($C74,TB_NG!$E:$E,TB_NG!T:T)</f>
        <v>0</v>
      </c>
      <c r="S74" s="17">
        <f>-_xlfn.XLOOKUP($C74,TB_NG!$E:$E,TB_NG!U:U)</f>
        <v>-9431128.7100000009</v>
      </c>
      <c r="T74" s="17">
        <f>-_xlfn.XLOOKUP($C74,TB_NG!$E:$E,TB_NG!V:V)</f>
        <v>0</v>
      </c>
      <c r="U74" s="17">
        <f>-_xlfn.XLOOKUP($C74,TB_NG!$E:$E,TB_NG!W:W)</f>
        <v>603015.78</v>
      </c>
      <c r="V74" s="17">
        <f>-_xlfn.XLOOKUP($C74,TB_NG!$E:$E,TB_NG!X:X)</f>
        <v>0</v>
      </c>
      <c r="W74" s="17">
        <f>-_xlfn.XLOOKUP($C74,TB_NG!$E:$E,TB_NG!Y:Y)</f>
        <v>0</v>
      </c>
      <c r="X74" s="17">
        <f>-_xlfn.XLOOKUP($C74,TB_NG!$E:$E,TB_NG!Z:Z)</f>
        <v>0</v>
      </c>
      <c r="Y74" s="17">
        <f>-_xlfn.XLOOKUP($C74,TB_NG!$E:$E,TB_NG!AA:AA)</f>
        <v>0</v>
      </c>
      <c r="Z74" s="17">
        <f>-_xlfn.XLOOKUP($C74,TB_NG!$E:$E,TB_NG!AB:AB)</f>
        <v>0</v>
      </c>
      <c r="AA74" s="17">
        <f>-_xlfn.XLOOKUP($C74,TB_NG!$E:$E,TB_NG!AC:AC)</f>
        <v>0</v>
      </c>
      <c r="AB74" s="17">
        <f>-_xlfn.XLOOKUP($C74,TB_NG!$E:$E,TB_NG!AD:AD)</f>
        <v>0</v>
      </c>
      <c r="AC74" s="17">
        <f>-_xlfn.XLOOKUP($C74,TB_NG!$E:$E,TB_NG!AE:AE)</f>
        <v>0</v>
      </c>
      <c r="AD74" s="17">
        <f>-_xlfn.XLOOKUP($C74,TB_NG!$E:$E,TB_NG!AF:AF)</f>
        <v>0</v>
      </c>
      <c r="AE74" s="17">
        <f>-_xlfn.XLOOKUP($C74,TB_NG!$E:$E,TB_NG!AG:AG)</f>
        <v>0</v>
      </c>
      <c r="AF74" s="17">
        <f>-_xlfn.XLOOKUP($C74,TB_NG!$E:$E,TB_NG!AH:AH)</f>
        <v>0</v>
      </c>
      <c r="AG74" s="17">
        <f>-_xlfn.XLOOKUP($C74,TB_NG!$E:$E,TB_NG!AI:AI)</f>
        <v>0</v>
      </c>
      <c r="AH74" s="17">
        <f>-_xlfn.XLOOKUP($C74,TB_NG!$E:$E,TB_NG!AJ:AJ)</f>
        <v>0</v>
      </c>
      <c r="AI74" s="17">
        <f>-_xlfn.XLOOKUP($C74,TB_NG!$E:$E,TB_NG!AK:AK)</f>
        <v>0</v>
      </c>
      <c r="AJ74" s="17">
        <f>-_xlfn.XLOOKUP($C74,TB_NG!$E:$E,TB_NG!AL:AL)</f>
        <v>0</v>
      </c>
      <c r="AK74" s="17">
        <f>-_xlfn.XLOOKUP($C74,TB_NG!$E:$E,TB_NG!AM:AM)</f>
        <v>0</v>
      </c>
      <c r="AL74" s="17">
        <f>-_xlfn.XLOOKUP($C74,TB_NG!$E:$E,TB_NG!AN:AN)</f>
        <v>0</v>
      </c>
      <c r="AM74" s="17">
        <f>-_xlfn.XLOOKUP($C74,TB_NG!$E:$E,TB_NG!AO:AO)</f>
        <v>0</v>
      </c>
      <c r="AS74" s="17">
        <f t="shared" si="11"/>
        <v>-6700175.4100000001</v>
      </c>
      <c r="AT74" s="17">
        <f t="shared" si="12"/>
        <v>-8828112.9300000016</v>
      </c>
    </row>
    <row r="75" spans="2:46" x14ac:dyDescent="0.2">
      <c r="B75" s="21">
        <v>65100</v>
      </c>
      <c r="C75" s="16" t="str">
        <f>_xlfn.XLOOKUP(B75,TB_NG!A:A,TB_NG!E:E)</f>
        <v>Employer's Pension Contribution</v>
      </c>
      <c r="D75" s="17">
        <f>-_xlfn.XLOOKUP($C75,TB_NG!$E:$E,TB_NG!F:F)</f>
        <v>-2861282.51</v>
      </c>
      <c r="E75" s="17">
        <f>-_xlfn.XLOOKUP($C75,TB_NG!$E:$E,TB_NG!G:G)</f>
        <v>-2783081.37</v>
      </c>
      <c r="F75" s="17">
        <f>-_xlfn.XLOOKUP($C75,TB_NG!$E:$E,TB_NG!H:H)</f>
        <v>-2091629.88</v>
      </c>
      <c r="G75" s="17">
        <f>-_xlfn.XLOOKUP($C75,TB_NG!$E:$E,TB_NG!I:I)</f>
        <v>-2589490.46</v>
      </c>
      <c r="H75" s="17">
        <f>-_xlfn.XLOOKUP($C75,TB_NG!$E:$E,TB_NG!J:J)</f>
        <v>-3532189.99</v>
      </c>
      <c r="I75" s="17">
        <f>-_xlfn.XLOOKUP($C75,TB_NG!$E:$E,TB_NG!K:K)</f>
        <v>-3714838.4099999997</v>
      </c>
      <c r="J75" s="17">
        <f>-_xlfn.XLOOKUP($C75,TB_NG!$E:$E,TB_NG!L:L)</f>
        <v>-3594773.84</v>
      </c>
      <c r="K75" s="17">
        <f>-_xlfn.XLOOKUP($C75,TB_NG!$E:$E,TB_NG!M:M)</f>
        <v>-3585150.33</v>
      </c>
      <c r="L75" s="17">
        <f>-_xlfn.XLOOKUP($C75,TB_NG!$E:$E,TB_NG!N:N)</f>
        <v>-3685579.72</v>
      </c>
      <c r="M75" s="17">
        <f>-_xlfn.XLOOKUP($C75,TB_NG!$E:$E,TB_NG!O:O)</f>
        <v>-3816939.91</v>
      </c>
      <c r="N75" s="17">
        <f>-_xlfn.XLOOKUP($C75,TB_NG!$E:$E,TB_NG!P:P)</f>
        <v>-3638273.71</v>
      </c>
      <c r="O75" s="17">
        <f>-_xlfn.XLOOKUP($C75,TB_NG!$E:$E,TB_NG!Q:Q)</f>
        <v>-3310728.83</v>
      </c>
      <c r="P75" s="17">
        <f>-_xlfn.XLOOKUP($C75,TB_NG!$E:$E,TB_NG!R:R)</f>
        <v>-3890615.11</v>
      </c>
      <c r="Q75" s="17">
        <f>-_xlfn.XLOOKUP($C75,TB_NG!$E:$E,TB_NG!S:S)</f>
        <v>-3918142.11</v>
      </c>
      <c r="R75" s="17">
        <f>-_xlfn.XLOOKUP($C75,TB_NG!$E:$E,TB_NG!T:T)</f>
        <v>-4010363.79</v>
      </c>
      <c r="S75" s="17">
        <f>-_xlfn.XLOOKUP($C75,TB_NG!$E:$E,TB_NG!U:U)</f>
        <v>-3993606.11</v>
      </c>
      <c r="T75" s="17">
        <f>-_xlfn.XLOOKUP($C75,TB_NG!$E:$E,TB_NG!V:V)</f>
        <v>-3815833.59</v>
      </c>
      <c r="U75" s="17">
        <f>-_xlfn.XLOOKUP($C75,TB_NG!$E:$E,TB_NG!W:W)</f>
        <v>-3876252.75</v>
      </c>
      <c r="V75" s="17">
        <f>-_xlfn.XLOOKUP($C75,TB_NG!$E:$E,TB_NG!X:X)</f>
        <v>-3977859.91</v>
      </c>
      <c r="W75" s="17">
        <f>-_xlfn.XLOOKUP($C75,TB_NG!$E:$E,TB_NG!Y:Y)</f>
        <v>-2341915.0099999998</v>
      </c>
      <c r="X75" s="17">
        <f>-_xlfn.XLOOKUP($C75,TB_NG!$E:$E,TB_NG!Z:Z)</f>
        <v>-4068788.05</v>
      </c>
      <c r="Y75" s="17">
        <f>-_xlfn.XLOOKUP($C75,TB_NG!$E:$E,TB_NG!AA:AA)</f>
        <v>-4195501.9400000004</v>
      </c>
      <c r="Z75" s="17">
        <f>-_xlfn.XLOOKUP($C75,TB_NG!$E:$E,TB_NG!AB:AB)</f>
        <v>-3944828.7199999997</v>
      </c>
      <c r="AA75" s="17">
        <f>-_xlfn.XLOOKUP($C75,TB_NG!$E:$E,TB_NG!AC:AC)</f>
        <v>-4457880.9400000004</v>
      </c>
      <c r="AB75" s="17">
        <f>-_xlfn.XLOOKUP($C75,TB_NG!$E:$E,TB_NG!AD:AD)</f>
        <v>-6390425.3899999997</v>
      </c>
      <c r="AC75" s="17">
        <f>-_xlfn.XLOOKUP($C75,TB_NG!$E:$E,TB_NG!AE:AE)</f>
        <v>-6528644.8399999999</v>
      </c>
      <c r="AD75" s="17">
        <f>-_xlfn.XLOOKUP($C75,TB_NG!$E:$E,TB_NG!AF:AF)</f>
        <v>-6475369.0099999998</v>
      </c>
      <c r="AE75" s="17">
        <f>-_xlfn.XLOOKUP($C75,TB_NG!$E:$E,TB_NG!AG:AG)</f>
        <v>-6657781.9400000004</v>
      </c>
      <c r="AF75" s="17">
        <f>-_xlfn.XLOOKUP($C75,TB_NG!$E:$E,TB_NG!AH:AH)</f>
        <v>0</v>
      </c>
      <c r="AG75" s="17">
        <f>-_xlfn.XLOOKUP($C75,TB_NG!$E:$E,TB_NG!AI:AI)</f>
        <v>0</v>
      </c>
      <c r="AH75" s="17">
        <f>-_xlfn.XLOOKUP($C75,TB_NG!$E:$E,TB_NG!AJ:AJ)</f>
        <v>0</v>
      </c>
      <c r="AI75" s="17">
        <f>-_xlfn.XLOOKUP($C75,TB_NG!$E:$E,TB_NG!AK:AK)</f>
        <v>0</v>
      </c>
      <c r="AJ75" s="17">
        <f>-_xlfn.XLOOKUP($C75,TB_NG!$E:$E,TB_NG!AL:AL)</f>
        <v>0</v>
      </c>
      <c r="AK75" s="17">
        <f>-_xlfn.XLOOKUP($C75,TB_NG!$E:$E,TB_NG!AM:AM)</f>
        <v>0</v>
      </c>
      <c r="AL75" s="17">
        <f>-_xlfn.XLOOKUP($C75,TB_NG!$E:$E,TB_NG!AN:AN)</f>
        <v>0</v>
      </c>
      <c r="AM75" s="17">
        <f>-_xlfn.XLOOKUP($C75,TB_NG!$E:$E,TB_NG!AO:AO)</f>
        <v>0</v>
      </c>
      <c r="AS75" s="17">
        <f t="shared" si="11"/>
        <v>-39203958.959999993</v>
      </c>
      <c r="AT75" s="17">
        <f t="shared" si="12"/>
        <v>-46491588.029999994</v>
      </c>
    </row>
    <row r="76" spans="2:46" x14ac:dyDescent="0.2">
      <c r="B76" s="21">
        <v>69903</v>
      </c>
      <c r="C76" s="16" t="str">
        <f>_xlfn.XLOOKUP(B76,TB_NG!A:A,TB_NG!E:E)</f>
        <v>Staff Welfare: Transportation Service</v>
      </c>
      <c r="D76" s="17">
        <f>-_xlfn.XLOOKUP($C76,TB_NG!$E:$E,TB_NG!F:F)</f>
        <v>0</v>
      </c>
      <c r="E76" s="17">
        <f>-_xlfn.XLOOKUP($C76,TB_NG!$E:$E,TB_NG!G:G)</f>
        <v>0</v>
      </c>
      <c r="F76" s="17">
        <f>-_xlfn.XLOOKUP($C76,TB_NG!$E:$E,TB_NG!H:H)</f>
        <v>0</v>
      </c>
      <c r="G76" s="17">
        <f>-_xlfn.XLOOKUP($C76,TB_NG!$E:$E,TB_NG!I:I)</f>
        <v>0</v>
      </c>
      <c r="H76" s="17">
        <f>-_xlfn.XLOOKUP($C76,TB_NG!$E:$E,TB_NG!J:J)</f>
        <v>0</v>
      </c>
      <c r="I76" s="17">
        <f>-_xlfn.XLOOKUP($C76,TB_NG!$E:$E,TB_NG!K:K)</f>
        <v>0</v>
      </c>
      <c r="J76" s="17">
        <f>-_xlfn.XLOOKUP($C76,TB_NG!$E:$E,TB_NG!L:L)</f>
        <v>0</v>
      </c>
      <c r="K76" s="17">
        <f>-_xlfn.XLOOKUP($C76,TB_NG!$E:$E,TB_NG!M:M)</f>
        <v>0</v>
      </c>
      <c r="L76" s="17">
        <f>-_xlfn.XLOOKUP($C76,TB_NG!$E:$E,TB_NG!N:N)</f>
        <v>0</v>
      </c>
      <c r="M76" s="17">
        <f>-_xlfn.XLOOKUP($C76,TB_NG!$E:$E,TB_NG!O:O)</f>
        <v>0</v>
      </c>
      <c r="N76" s="17">
        <f>-_xlfn.XLOOKUP($C76,TB_NG!$E:$E,TB_NG!P:P)</f>
        <v>0</v>
      </c>
      <c r="O76" s="17">
        <f>-_xlfn.XLOOKUP($C76,TB_NG!$E:$E,TB_NG!Q:Q)</f>
        <v>0</v>
      </c>
      <c r="P76" s="17">
        <f>-_xlfn.XLOOKUP($C76,TB_NG!$E:$E,TB_NG!R:R)</f>
        <v>-1846763.0300000003</v>
      </c>
      <c r="Q76" s="17">
        <f>-_xlfn.XLOOKUP($C76,TB_NG!$E:$E,TB_NG!S:S)</f>
        <v>-2374696.5</v>
      </c>
      <c r="R76" s="17">
        <f>-_xlfn.XLOOKUP($C76,TB_NG!$E:$E,TB_NG!T:T)</f>
        <v>-2530590.15</v>
      </c>
      <c r="S76" s="17">
        <f>-_xlfn.XLOOKUP($C76,TB_NG!$E:$E,TB_NG!U:U)</f>
        <v>-2559459.98</v>
      </c>
      <c r="T76" s="17">
        <f>-_xlfn.XLOOKUP($C76,TB_NG!$E:$E,TB_NG!V:V)</f>
        <v>-2679734.48</v>
      </c>
      <c r="U76" s="17">
        <f>-_xlfn.XLOOKUP($C76,TB_NG!$E:$E,TB_NG!W:W)</f>
        <v>-2300405.3899999997</v>
      </c>
      <c r="V76" s="17">
        <f>-_xlfn.XLOOKUP($C76,TB_NG!$E:$E,TB_NG!X:X)</f>
        <v>-2555131.4900000002</v>
      </c>
      <c r="W76" s="17">
        <f>-_xlfn.XLOOKUP($C76,TB_NG!$E:$E,TB_NG!Y:Y)</f>
        <v>-2699413.6899999995</v>
      </c>
      <c r="X76" s="17">
        <f>-_xlfn.XLOOKUP($C76,TB_NG!$E:$E,TB_NG!Z:Z)</f>
        <v>-2682570.0499999998</v>
      </c>
      <c r="Y76" s="17">
        <f>-_xlfn.XLOOKUP($C76,TB_NG!$E:$E,TB_NG!AA:AA)</f>
        <v>-3027752.01</v>
      </c>
      <c r="Z76" s="17">
        <f>-_xlfn.XLOOKUP($C76,TB_NG!$E:$E,TB_NG!AB:AB)</f>
        <v>-2489574.23</v>
      </c>
      <c r="AA76" s="17">
        <f>-_xlfn.XLOOKUP($C76,TB_NG!$E:$E,TB_NG!AC:AC)</f>
        <v>-1901620.18</v>
      </c>
      <c r="AB76" s="17">
        <f>-_xlfn.XLOOKUP($C76,TB_NG!$E:$E,TB_NG!AD:AD)</f>
        <v>-1600689.51</v>
      </c>
      <c r="AC76" s="17">
        <f>-_xlfn.XLOOKUP($C76,TB_NG!$E:$E,TB_NG!AE:AE)</f>
        <v>-388473</v>
      </c>
      <c r="AD76" s="17">
        <f>-_xlfn.XLOOKUP($C76,TB_NG!$E:$E,TB_NG!AF:AF)</f>
        <v>-375900.5</v>
      </c>
      <c r="AE76" s="17">
        <f>-_xlfn.XLOOKUP($C76,TB_NG!$E:$E,TB_NG!AG:AG)</f>
        <v>-490183</v>
      </c>
      <c r="AF76" s="17">
        <f>-_xlfn.XLOOKUP($C76,TB_NG!$E:$E,TB_NG!AH:AH)</f>
        <v>0</v>
      </c>
      <c r="AG76" s="17">
        <f>-_xlfn.XLOOKUP($C76,TB_NG!$E:$E,TB_NG!AI:AI)</f>
        <v>0</v>
      </c>
      <c r="AH76" s="17">
        <f>-_xlfn.XLOOKUP($C76,TB_NG!$E:$E,TB_NG!AJ:AJ)</f>
        <v>0</v>
      </c>
      <c r="AI76" s="17">
        <f>-_xlfn.XLOOKUP($C76,TB_NG!$E:$E,TB_NG!AK:AK)</f>
        <v>0</v>
      </c>
      <c r="AJ76" s="17">
        <f>-_xlfn.XLOOKUP($C76,TB_NG!$E:$E,TB_NG!AL:AL)</f>
        <v>0</v>
      </c>
      <c r="AK76" s="17">
        <f>-_xlfn.XLOOKUP($C76,TB_NG!$E:$E,TB_NG!AM:AM)</f>
        <v>0</v>
      </c>
      <c r="AL76" s="17">
        <f>-_xlfn.XLOOKUP($C76,TB_NG!$E:$E,TB_NG!AN:AN)</f>
        <v>0</v>
      </c>
      <c r="AM76" s="17">
        <f>-_xlfn.XLOOKUP($C76,TB_NG!$E:$E,TB_NG!AO:AO)</f>
        <v>0</v>
      </c>
      <c r="AS76" s="17">
        <f t="shared" si="11"/>
        <v>0</v>
      </c>
      <c r="AT76" s="17">
        <f t="shared" si="12"/>
        <v>-29647711.180000003</v>
      </c>
    </row>
    <row r="77" spans="2:46" x14ac:dyDescent="0.2">
      <c r="B77" s="15"/>
      <c r="C77" s="22" t="s">
        <v>125</v>
      </c>
      <c r="D77" s="23">
        <f t="shared" ref="D77:AM77" si="13">SUM(D59:D76)</f>
        <v>-51864749.889999993</v>
      </c>
      <c r="E77" s="23">
        <f t="shared" si="13"/>
        <v>-61847009.759999998</v>
      </c>
      <c r="F77" s="23">
        <f t="shared" si="13"/>
        <v>-71658409</v>
      </c>
      <c r="G77" s="23">
        <f t="shared" si="13"/>
        <v>-89289691.349999994</v>
      </c>
      <c r="H77" s="23">
        <f t="shared" si="13"/>
        <v>-114420638.27</v>
      </c>
      <c r="I77" s="23">
        <f t="shared" si="13"/>
        <v>-89891456.200000003</v>
      </c>
      <c r="J77" s="23">
        <f t="shared" si="13"/>
        <v>-89441102.090000004</v>
      </c>
      <c r="K77" s="23">
        <f t="shared" si="13"/>
        <v>-94662025.539999992</v>
      </c>
      <c r="L77" s="23">
        <f t="shared" si="13"/>
        <v>-130421686.41999999</v>
      </c>
      <c r="M77" s="23">
        <f t="shared" si="13"/>
        <v>-183811037.75999999</v>
      </c>
      <c r="N77" s="23">
        <f t="shared" si="13"/>
        <v>-181580118.44</v>
      </c>
      <c r="O77" s="23">
        <f t="shared" si="13"/>
        <v>-624617760.07000005</v>
      </c>
      <c r="P77" s="23">
        <f t="shared" si="13"/>
        <v>-129819280.61999999</v>
      </c>
      <c r="Q77" s="23">
        <f t="shared" si="13"/>
        <v>-128889307.76000001</v>
      </c>
      <c r="R77" s="23">
        <f t="shared" si="13"/>
        <v>-149313232.47999999</v>
      </c>
      <c r="S77" s="23">
        <f t="shared" si="13"/>
        <v>-148237458.17999998</v>
      </c>
      <c r="T77" s="23">
        <f t="shared" si="13"/>
        <v>-190346957.96999994</v>
      </c>
      <c r="U77" s="23">
        <f t="shared" si="13"/>
        <v>-142244236.25</v>
      </c>
      <c r="V77" s="23">
        <f t="shared" si="13"/>
        <v>-161620112.06</v>
      </c>
      <c r="W77" s="23">
        <f t="shared" si="13"/>
        <v>-130507209.08000001</v>
      </c>
      <c r="X77" s="23">
        <f t="shared" si="13"/>
        <v>-196108149.28</v>
      </c>
      <c r="Y77" s="23">
        <f t="shared" si="13"/>
        <v>-165393413.38999996</v>
      </c>
      <c r="Z77" s="23">
        <f t="shared" si="13"/>
        <v>-166739645.57999995</v>
      </c>
      <c r="AA77" s="23">
        <f t="shared" si="13"/>
        <v>-851981036.82000005</v>
      </c>
      <c r="AB77" s="23">
        <f t="shared" si="13"/>
        <v>-144939255.05999997</v>
      </c>
      <c r="AC77" s="23">
        <f t="shared" si="13"/>
        <v>-135892129.49000001</v>
      </c>
      <c r="AD77" s="23">
        <f t="shared" si="13"/>
        <v>-139549112.92999998</v>
      </c>
      <c r="AE77" s="23">
        <f t="shared" si="13"/>
        <v>-139375735.59999999</v>
      </c>
      <c r="AF77" s="23">
        <f t="shared" si="13"/>
        <v>0</v>
      </c>
      <c r="AG77" s="23">
        <f t="shared" si="13"/>
        <v>0</v>
      </c>
      <c r="AH77" s="23">
        <f t="shared" si="13"/>
        <v>0</v>
      </c>
      <c r="AI77" s="23">
        <f t="shared" si="13"/>
        <v>0</v>
      </c>
      <c r="AJ77" s="23">
        <f t="shared" si="13"/>
        <v>0</v>
      </c>
      <c r="AK77" s="23">
        <f t="shared" si="13"/>
        <v>0</v>
      </c>
      <c r="AL77" s="23">
        <f t="shared" si="13"/>
        <v>0</v>
      </c>
      <c r="AM77" s="23">
        <f t="shared" si="13"/>
        <v>0</v>
      </c>
      <c r="AS77" s="23">
        <f>SUM(D77:O77)</f>
        <v>-1783505684.79</v>
      </c>
      <c r="AT77" s="23">
        <f>SUM(P77:AA77)</f>
        <v>-2561200039.4699998</v>
      </c>
    </row>
    <row r="78" spans="2:46" x14ac:dyDescent="0.2">
      <c r="B78" s="15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8"/>
    </row>
    <row r="79" spans="2:46" x14ac:dyDescent="0.2">
      <c r="B79" s="15"/>
      <c r="C79" s="20" t="s">
        <v>126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8"/>
    </row>
    <row r="80" spans="2:46" x14ac:dyDescent="0.2">
      <c r="B80" s="21">
        <v>60050</v>
      </c>
      <c r="C80" s="16" t="str">
        <f>_xlfn.XLOOKUP(B80,TB_NG!A:A,TB_NG!E:E)</f>
        <v>Research &amp; Development</v>
      </c>
      <c r="D80" s="17">
        <f>-_xlfn.XLOOKUP($C80,TB_NG!$E:$E,TB_NG!F:F)</f>
        <v>-27394905</v>
      </c>
      <c r="E80" s="17">
        <f>-_xlfn.XLOOKUP($C80,TB_NG!$E:$E,TB_NG!G:G)</f>
        <v>-17866320</v>
      </c>
      <c r="F80" s="17">
        <f>-_xlfn.XLOOKUP($C80,TB_NG!$E:$E,TB_NG!H:H)</f>
        <v>-10751535</v>
      </c>
      <c r="G80" s="17">
        <f>-_xlfn.XLOOKUP($C80,TB_NG!$E:$E,TB_NG!I:I)</f>
        <v>-5482050.2300000004</v>
      </c>
      <c r="H80" s="17">
        <f>-_xlfn.XLOOKUP($C80,TB_NG!$E:$E,TB_NG!J:J)</f>
        <v>-3363912.99</v>
      </c>
      <c r="I80" s="17">
        <f>-_xlfn.XLOOKUP($C80,TB_NG!$E:$E,TB_NG!K:K)</f>
        <v>-7937823.4299999997</v>
      </c>
      <c r="J80" s="17">
        <f>-_xlfn.XLOOKUP($C80,TB_NG!$E:$E,TB_NG!L:L)</f>
        <v>-15811824.27</v>
      </c>
      <c r="K80" s="17">
        <f>-_xlfn.XLOOKUP($C80,TB_NG!$E:$E,TB_NG!M:M)</f>
        <v>-14799764.57</v>
      </c>
      <c r="L80" s="17">
        <f>-_xlfn.XLOOKUP($C80,TB_NG!$E:$E,TB_NG!N:N)</f>
        <v>-8263089.5199999996</v>
      </c>
      <c r="M80" s="17">
        <f>-_xlfn.XLOOKUP($C80,TB_NG!$E:$E,TB_NG!O:O)</f>
        <v>-3056185.14</v>
      </c>
      <c r="N80" s="17">
        <f>-_xlfn.XLOOKUP($C80,TB_NG!$E:$E,TB_NG!P:P)</f>
        <v>-2789323.11</v>
      </c>
      <c r="O80" s="17">
        <f>-_xlfn.XLOOKUP($C80,TB_NG!$E:$E,TB_NG!Q:Q)</f>
        <v>-2516303.31</v>
      </c>
      <c r="P80" s="17">
        <f>-_xlfn.XLOOKUP($C80,TB_NG!$E:$E,TB_NG!R:R)</f>
        <v>-2607096.21</v>
      </c>
      <c r="Q80" s="17">
        <f>-_xlfn.XLOOKUP($C80,TB_NG!$E:$E,TB_NG!S:S)</f>
        <v>-2607939.85</v>
      </c>
      <c r="R80" s="17">
        <f>-_xlfn.XLOOKUP($C80,TB_NG!$E:$E,TB_NG!T:T)</f>
        <v>-2296213.79</v>
      </c>
      <c r="S80" s="17">
        <f>-_xlfn.XLOOKUP($C80,TB_NG!$E:$E,TB_NG!U:U)</f>
        <v>-1989143.3</v>
      </c>
      <c r="T80" s="17">
        <f>-_xlfn.XLOOKUP($C80,TB_NG!$E:$E,TB_NG!V:V)</f>
        <v>-2013365.35</v>
      </c>
      <c r="U80" s="17">
        <f>-_xlfn.XLOOKUP($C80,TB_NG!$E:$E,TB_NG!W:W)</f>
        <v>-1834897.21</v>
      </c>
      <c r="V80" s="17">
        <f>-_xlfn.XLOOKUP($C80,TB_NG!$E:$E,TB_NG!X:X)</f>
        <v>-1454581.4</v>
      </c>
      <c r="W80" s="17">
        <f>-_xlfn.XLOOKUP($C80,TB_NG!$E:$E,TB_NG!Y:Y)</f>
        <v>-1370639.84</v>
      </c>
      <c r="X80" s="17">
        <f>-_xlfn.XLOOKUP($C80,TB_NG!$E:$E,TB_NG!Z:Z)</f>
        <v>-1269072.5</v>
      </c>
      <c r="Y80" s="17">
        <f>-_xlfn.XLOOKUP($C80,TB_NG!$E:$E,TB_NG!AA:AA)</f>
        <v>-949039.08</v>
      </c>
      <c r="Z80" s="17">
        <f>-_xlfn.XLOOKUP($C80,TB_NG!$E:$E,TB_NG!AB:AB)</f>
        <v>-3436813.52</v>
      </c>
      <c r="AA80" s="17">
        <f>-_xlfn.XLOOKUP($C80,TB_NG!$E:$E,TB_NG!AC:AC)</f>
        <v>-3604347.6500000004</v>
      </c>
      <c r="AB80" s="17">
        <f>-_xlfn.XLOOKUP($C80,TB_NG!$E:$E,TB_NG!AD:AD)</f>
        <v>-1900829.65</v>
      </c>
      <c r="AC80" s="17">
        <f>-_xlfn.XLOOKUP($C80,TB_NG!$E:$E,TB_NG!AE:AE)</f>
        <v>-2213454.5</v>
      </c>
      <c r="AD80" s="17">
        <f>-_xlfn.XLOOKUP($C80,TB_NG!$E:$E,TB_NG!AF:AF)</f>
        <v>-1706090.77</v>
      </c>
      <c r="AE80" s="17">
        <f>-_xlfn.XLOOKUP($C80,TB_NG!$E:$E,TB_NG!AG:AG)</f>
        <v>-1470988.42</v>
      </c>
      <c r="AF80" s="17">
        <f>-_xlfn.XLOOKUP($C80,TB_NG!$E:$E,TB_NG!AH:AH)</f>
        <v>0</v>
      </c>
      <c r="AG80" s="17">
        <f>-_xlfn.XLOOKUP($C80,TB_NG!$E:$E,TB_NG!AI:AI)</f>
        <v>0</v>
      </c>
      <c r="AH80" s="17">
        <f>-_xlfn.XLOOKUP($C80,TB_NG!$E:$E,TB_NG!AJ:AJ)</f>
        <v>0</v>
      </c>
      <c r="AI80" s="17">
        <f>-_xlfn.XLOOKUP($C80,TB_NG!$E:$E,TB_NG!AK:AK)</f>
        <v>0</v>
      </c>
      <c r="AJ80" s="17">
        <f>-_xlfn.XLOOKUP($C80,TB_NG!$E:$E,TB_NG!AL:AL)</f>
        <v>0</v>
      </c>
      <c r="AK80" s="17">
        <f>-_xlfn.XLOOKUP($C80,TB_NG!$E:$E,TB_NG!AM:AM)</f>
        <v>0</v>
      </c>
      <c r="AL80" s="17">
        <f>-_xlfn.XLOOKUP($C80,TB_NG!$E:$E,TB_NG!AN:AN)</f>
        <v>0</v>
      </c>
      <c r="AM80" s="17">
        <f>-_xlfn.XLOOKUP($C80,TB_NG!$E:$E,TB_NG!AO:AO)</f>
        <v>0</v>
      </c>
      <c r="AS80" s="17">
        <f>SUM(D80:O80)</f>
        <v>-120033036.57000001</v>
      </c>
      <c r="AT80" s="17">
        <f>SUM(P80:AA80)</f>
        <v>-25433149.700000003</v>
      </c>
    </row>
    <row r="81" spans="2:46" x14ac:dyDescent="0.2">
      <c r="B81" s="21">
        <v>63120</v>
      </c>
      <c r="C81" s="16" t="str">
        <f>_xlfn.XLOOKUP(B81,TB_NG!A:A,TB_NG!E:E)</f>
        <v>Training</v>
      </c>
      <c r="D81" s="17">
        <f>-_xlfn.XLOOKUP($C81,TB_NG!$E:$E,TB_NG!F:F)</f>
        <v>0</v>
      </c>
      <c r="E81" s="17">
        <f>-_xlfn.XLOOKUP($C81,TB_NG!$E:$E,TB_NG!G:G)</f>
        <v>0</v>
      </c>
      <c r="F81" s="17">
        <f>-_xlfn.XLOOKUP($C81,TB_NG!$E:$E,TB_NG!H:H)</f>
        <v>0</v>
      </c>
      <c r="G81" s="17">
        <f>-_xlfn.XLOOKUP($C81,TB_NG!$E:$E,TB_NG!I:I)</f>
        <v>-1274972.5</v>
      </c>
      <c r="H81" s="17">
        <f>-_xlfn.XLOOKUP($C81,TB_NG!$E:$E,TB_NG!J:J)</f>
        <v>-13277512</v>
      </c>
      <c r="I81" s="17">
        <f>-_xlfn.XLOOKUP($C81,TB_NG!$E:$E,TB_NG!K:K)</f>
        <v>-3860812.24</v>
      </c>
      <c r="J81" s="17">
        <f>-_xlfn.XLOOKUP($C81,TB_NG!$E:$E,TB_NG!L:L)</f>
        <v>-15660719.08</v>
      </c>
      <c r="K81" s="17">
        <f>-_xlfn.XLOOKUP($C81,TB_NG!$E:$E,TB_NG!M:M)</f>
        <v>-510955.68</v>
      </c>
      <c r="L81" s="17">
        <f>-_xlfn.XLOOKUP($C81,TB_NG!$E:$E,TB_NG!N:N)</f>
        <v>-29055220.280000001</v>
      </c>
      <c r="M81" s="17">
        <f>-_xlfn.XLOOKUP($C81,TB_NG!$E:$E,TB_NG!O:O)</f>
        <v>-1168332.01</v>
      </c>
      <c r="N81" s="17">
        <f>-_xlfn.XLOOKUP($C81,TB_NG!$E:$E,TB_NG!P:P)</f>
        <v>-9174820.0899999999</v>
      </c>
      <c r="O81" s="17">
        <f>-_xlfn.XLOOKUP($C81,TB_NG!$E:$E,TB_NG!Q:Q)</f>
        <v>-7137990.1100000003</v>
      </c>
      <c r="P81" s="17">
        <f>-_xlfn.XLOOKUP($C81,TB_NG!$E:$E,TB_NG!R:R)</f>
        <v>-566300</v>
      </c>
      <c r="Q81" s="17">
        <f>-_xlfn.XLOOKUP($C81,TB_NG!$E:$E,TB_NG!S:S)</f>
        <v>-39600</v>
      </c>
      <c r="R81" s="17">
        <f>-_xlfn.XLOOKUP($C81,TB_NG!$E:$E,TB_NG!T:T)</f>
        <v>0</v>
      </c>
      <c r="S81" s="17">
        <f>-_xlfn.XLOOKUP($C81,TB_NG!$E:$E,TB_NG!U:U)</f>
        <v>-15800</v>
      </c>
      <c r="T81" s="17">
        <f>-_xlfn.XLOOKUP($C81,TB_NG!$E:$E,TB_NG!V:V)</f>
        <v>-375175</v>
      </c>
      <c r="U81" s="17">
        <f>-_xlfn.XLOOKUP($C81,TB_NG!$E:$E,TB_NG!W:W)</f>
        <v>0</v>
      </c>
      <c r="V81" s="17">
        <f>-_xlfn.XLOOKUP($C81,TB_NG!$E:$E,TB_NG!X:X)</f>
        <v>-140000</v>
      </c>
      <c r="W81" s="17">
        <f>-_xlfn.XLOOKUP($C81,TB_NG!$E:$E,TB_NG!Y:Y)</f>
        <v>-2489224</v>
      </c>
      <c r="X81" s="17">
        <f>-_xlfn.XLOOKUP($C81,TB_NG!$E:$E,TB_NG!Z:Z)</f>
        <v>-5443965.9699999997</v>
      </c>
      <c r="Y81" s="17">
        <f>-_xlfn.XLOOKUP($C81,TB_NG!$E:$E,TB_NG!AA:AA)</f>
        <v>-3921977.5</v>
      </c>
      <c r="Z81" s="17">
        <f>-_xlfn.XLOOKUP($C81,TB_NG!$E:$E,TB_NG!AB:AB)</f>
        <v>-608184</v>
      </c>
      <c r="AA81" s="17">
        <f>-_xlfn.XLOOKUP($C81,TB_NG!$E:$E,TB_NG!AC:AC)</f>
        <v>-3804836</v>
      </c>
      <c r="AB81" s="17">
        <f>-_xlfn.XLOOKUP($C81,TB_NG!$E:$E,TB_NG!AD:AD)</f>
        <v>-571576</v>
      </c>
      <c r="AC81" s="17">
        <f>-_xlfn.XLOOKUP($C81,TB_NG!$E:$E,TB_NG!AE:AE)</f>
        <v>0</v>
      </c>
      <c r="AD81" s="17">
        <f>-_xlfn.XLOOKUP($C81,TB_NG!$E:$E,TB_NG!AF:AF)</f>
        <v>0</v>
      </c>
      <c r="AE81" s="17">
        <f>-_xlfn.XLOOKUP($C81,TB_NG!$E:$E,TB_NG!AG:AG)</f>
        <v>-82081.100000000006</v>
      </c>
      <c r="AF81" s="17">
        <f>-_xlfn.XLOOKUP($C81,TB_NG!$E:$E,TB_NG!AH:AH)</f>
        <v>0</v>
      </c>
      <c r="AG81" s="17">
        <f>-_xlfn.XLOOKUP($C81,TB_NG!$E:$E,TB_NG!AI:AI)</f>
        <v>0</v>
      </c>
      <c r="AH81" s="17">
        <f>-_xlfn.XLOOKUP($C81,TB_NG!$E:$E,TB_NG!AJ:AJ)</f>
        <v>0</v>
      </c>
      <c r="AI81" s="17">
        <f>-_xlfn.XLOOKUP($C81,TB_NG!$E:$E,TB_NG!AK:AK)</f>
        <v>0</v>
      </c>
      <c r="AJ81" s="17">
        <f>-_xlfn.XLOOKUP($C81,TB_NG!$E:$E,TB_NG!AL:AL)</f>
        <v>0</v>
      </c>
      <c r="AK81" s="17">
        <f>-_xlfn.XLOOKUP($C81,TB_NG!$E:$E,TB_NG!AM:AM)</f>
        <v>0</v>
      </c>
      <c r="AL81" s="17">
        <f>-_xlfn.XLOOKUP($C81,TB_NG!$E:$E,TB_NG!AN:AN)</f>
        <v>0</v>
      </c>
      <c r="AM81" s="17">
        <f>-_xlfn.XLOOKUP($C81,TB_NG!$E:$E,TB_NG!AO:AO)</f>
        <v>0</v>
      </c>
      <c r="AS81" s="17">
        <f>SUM(D81:O81)</f>
        <v>-81121333.989999995</v>
      </c>
      <c r="AT81" s="17">
        <f>SUM(P81:AA81)</f>
        <v>-17405062.469999999</v>
      </c>
    </row>
    <row r="82" spans="2:46" s="20" customFormat="1" ht="13.5" customHeight="1" x14ac:dyDescent="0.15">
      <c r="C82" s="22" t="s">
        <v>127</v>
      </c>
      <c r="D82" s="23">
        <f>SUM(D80:D81)</f>
        <v>-27394905</v>
      </c>
      <c r="E82" s="23">
        <f t="shared" ref="E82:AM82" si="14">SUM(E80:E81)</f>
        <v>-17866320</v>
      </c>
      <c r="F82" s="23">
        <f t="shared" si="14"/>
        <v>-10751535</v>
      </c>
      <c r="G82" s="23">
        <f t="shared" si="14"/>
        <v>-6757022.7300000004</v>
      </c>
      <c r="H82" s="23">
        <f t="shared" si="14"/>
        <v>-16641424.99</v>
      </c>
      <c r="I82" s="23">
        <f t="shared" si="14"/>
        <v>-11798635.67</v>
      </c>
      <c r="J82" s="23">
        <f t="shared" si="14"/>
        <v>-31472543.350000001</v>
      </c>
      <c r="K82" s="23">
        <f t="shared" si="14"/>
        <v>-15310720.25</v>
      </c>
      <c r="L82" s="23">
        <f t="shared" si="14"/>
        <v>-37318309.799999997</v>
      </c>
      <c r="M82" s="23">
        <f t="shared" si="14"/>
        <v>-4224517.1500000004</v>
      </c>
      <c r="N82" s="23">
        <f t="shared" si="14"/>
        <v>-11964143.199999999</v>
      </c>
      <c r="O82" s="23">
        <f t="shared" si="14"/>
        <v>-9654293.4199999999</v>
      </c>
      <c r="P82" s="23">
        <f t="shared" si="14"/>
        <v>-3173396.21</v>
      </c>
      <c r="Q82" s="23">
        <f t="shared" si="14"/>
        <v>-2647539.85</v>
      </c>
      <c r="R82" s="23">
        <f t="shared" si="14"/>
        <v>-2296213.79</v>
      </c>
      <c r="S82" s="23">
        <f t="shared" si="14"/>
        <v>-2004943.3</v>
      </c>
      <c r="T82" s="23">
        <f t="shared" si="14"/>
        <v>-2388540.35</v>
      </c>
      <c r="U82" s="23">
        <f t="shared" si="14"/>
        <v>-1834897.21</v>
      </c>
      <c r="V82" s="23">
        <f t="shared" si="14"/>
        <v>-1594581.4</v>
      </c>
      <c r="W82" s="23">
        <f t="shared" si="14"/>
        <v>-3859863.84</v>
      </c>
      <c r="X82" s="23">
        <f t="shared" si="14"/>
        <v>-6713038.4699999997</v>
      </c>
      <c r="Y82" s="23">
        <f t="shared" si="14"/>
        <v>-4871016.58</v>
      </c>
      <c r="Z82" s="23">
        <f t="shared" si="14"/>
        <v>-4044997.52</v>
      </c>
      <c r="AA82" s="23">
        <f t="shared" si="14"/>
        <v>-7409183.6500000004</v>
      </c>
      <c r="AB82" s="23">
        <f t="shared" si="14"/>
        <v>-2472405.65</v>
      </c>
      <c r="AC82" s="23">
        <f t="shared" si="14"/>
        <v>-2213454.5</v>
      </c>
      <c r="AD82" s="23">
        <f t="shared" si="14"/>
        <v>-1706090.77</v>
      </c>
      <c r="AE82" s="23">
        <f t="shared" si="14"/>
        <v>-1553069.52</v>
      </c>
      <c r="AF82" s="23">
        <f t="shared" si="14"/>
        <v>0</v>
      </c>
      <c r="AG82" s="23">
        <f t="shared" si="14"/>
        <v>0</v>
      </c>
      <c r="AH82" s="23">
        <f t="shared" si="14"/>
        <v>0</v>
      </c>
      <c r="AI82" s="23">
        <f t="shared" si="14"/>
        <v>0</v>
      </c>
      <c r="AJ82" s="23">
        <f t="shared" si="14"/>
        <v>0</v>
      </c>
      <c r="AK82" s="23">
        <f t="shared" si="14"/>
        <v>0</v>
      </c>
      <c r="AL82" s="23">
        <f t="shared" si="14"/>
        <v>0</v>
      </c>
      <c r="AM82" s="23">
        <f t="shared" si="14"/>
        <v>0</v>
      </c>
      <c r="AS82" s="23">
        <f>SUM(D82:O82)</f>
        <v>-201154370.56</v>
      </c>
      <c r="AT82" s="23">
        <f>SUM(P82:AA82)</f>
        <v>-42838212.170000002</v>
      </c>
    </row>
    <row r="83" spans="2:46" x14ac:dyDescent="0.2">
      <c r="B83" s="21"/>
      <c r="C83" s="1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8"/>
    </row>
    <row r="84" spans="2:46" x14ac:dyDescent="0.2">
      <c r="B84" s="21"/>
      <c r="C84" s="20" t="s">
        <v>128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8"/>
    </row>
    <row r="85" spans="2:46" x14ac:dyDescent="0.2">
      <c r="B85" s="21">
        <v>60100</v>
      </c>
      <c r="C85" s="16" t="str">
        <f>_xlfn.XLOOKUP(B85,TB_NG!A:A,TB_NG!E:E)</f>
        <v>Marketing &amp; Branding - Digital</v>
      </c>
      <c r="D85" s="17">
        <f>-_xlfn.XLOOKUP($C85,TB_NG!$E:$E,TB_NG!F:F)</f>
        <v>-1138620</v>
      </c>
      <c r="E85" s="17">
        <f>-_xlfn.XLOOKUP($C85,TB_NG!$E:$E,TB_NG!G:G)</f>
        <v>-858676.1100000001</v>
      </c>
      <c r="F85" s="17">
        <f>-_xlfn.XLOOKUP($C85,TB_NG!$E:$E,TB_NG!H:H)</f>
        <v>-411374</v>
      </c>
      <c r="G85" s="17">
        <f>-_xlfn.XLOOKUP($C85,TB_NG!$E:$E,TB_NG!I:I)</f>
        <v>-7762863.21</v>
      </c>
      <c r="H85" s="17">
        <f>-_xlfn.XLOOKUP($C85,TB_NG!$E:$E,TB_NG!J:J)</f>
        <v>-730384.3</v>
      </c>
      <c r="I85" s="17">
        <f>-_xlfn.XLOOKUP($C85,TB_NG!$E:$E,TB_NG!K:K)</f>
        <v>-390728.75</v>
      </c>
      <c r="J85" s="17">
        <f>-_xlfn.XLOOKUP($C85,TB_NG!$E:$E,TB_NG!L:L)</f>
        <v>-647811.31999999995</v>
      </c>
      <c r="K85" s="17">
        <f>-_xlfn.XLOOKUP($C85,TB_NG!$E:$E,TB_NG!M:M)</f>
        <v>-869252.52</v>
      </c>
      <c r="L85" s="17">
        <f>-_xlfn.XLOOKUP($C85,TB_NG!$E:$E,TB_NG!N:N)</f>
        <v>-559006.02</v>
      </c>
      <c r="M85" s="17">
        <f>-_xlfn.XLOOKUP($C85,TB_NG!$E:$E,TB_NG!O:O)</f>
        <v>-28651003.699999999</v>
      </c>
      <c r="N85" s="17">
        <f>-_xlfn.XLOOKUP($C85,TB_NG!$E:$E,TB_NG!P:P)</f>
        <v>-23325735.479999997</v>
      </c>
      <c r="O85" s="17">
        <f>-_xlfn.XLOOKUP($C85,TB_NG!$E:$E,TB_NG!Q:Q)</f>
        <v>-28236736.079999998</v>
      </c>
      <c r="P85" s="17">
        <f>-_xlfn.XLOOKUP($C85,TB_NG!$E:$E,TB_NG!R:R)</f>
        <v>-13726625.68</v>
      </c>
      <c r="Q85" s="17">
        <f>-_xlfn.XLOOKUP($C85,TB_NG!$E:$E,TB_NG!S:S)</f>
        <v>-13081364.920000002</v>
      </c>
      <c r="R85" s="17">
        <f>-_xlfn.XLOOKUP($C85,TB_NG!$E:$E,TB_NG!T:T)</f>
        <v>-16123847.779999999</v>
      </c>
      <c r="S85" s="17">
        <f>-_xlfn.XLOOKUP($C85,TB_NG!$E:$E,TB_NG!U:U)</f>
        <v>-12391978.4</v>
      </c>
      <c r="T85" s="17">
        <f>-_xlfn.XLOOKUP($C85,TB_NG!$E:$E,TB_NG!V:V)</f>
        <v>-10017669.949999999</v>
      </c>
      <c r="U85" s="17">
        <f>-_xlfn.XLOOKUP($C85,TB_NG!$E:$E,TB_NG!W:W)</f>
        <v>-84803.94</v>
      </c>
      <c r="V85" s="17">
        <f>-_xlfn.XLOOKUP($C85,TB_NG!$E:$E,TB_NG!X:X)</f>
        <v>-291721.33</v>
      </c>
      <c r="W85" s="17">
        <f>-_xlfn.XLOOKUP($C85,TB_NG!$E:$E,TB_NG!Y:Y)</f>
        <v>-221278.7</v>
      </c>
      <c r="X85" s="17">
        <f>-_xlfn.XLOOKUP($C85,TB_NG!$E:$E,TB_NG!Z:Z)</f>
        <v>-784810.01</v>
      </c>
      <c r="Y85" s="17">
        <f>-_xlfn.XLOOKUP($C85,TB_NG!$E:$E,TB_NG!AA:AA)</f>
        <v>-2729434.73</v>
      </c>
      <c r="Z85" s="17">
        <f>-_xlfn.XLOOKUP($C85,TB_NG!$E:$E,TB_NG!AB:AB)</f>
        <v>-23159528</v>
      </c>
      <c r="AA85" s="17">
        <f>-_xlfn.XLOOKUP($C85,TB_NG!$E:$E,TB_NG!AC:AC)</f>
        <v>-2890133</v>
      </c>
      <c r="AB85" s="17">
        <f>-_xlfn.XLOOKUP($C85,TB_NG!$E:$E,TB_NG!AD:AD)</f>
        <v>-3100000</v>
      </c>
      <c r="AC85" s="17">
        <f>-_xlfn.XLOOKUP($C85,TB_NG!$E:$E,TB_NG!AE:AE)</f>
        <v>0</v>
      </c>
      <c r="AD85" s="17">
        <f>-_xlfn.XLOOKUP($C85,TB_NG!$E:$E,TB_NG!AF:AF)</f>
        <v>0</v>
      </c>
      <c r="AE85" s="17">
        <f>-_xlfn.XLOOKUP($C85,TB_NG!$E:$E,TB_NG!AG:AG)</f>
        <v>0</v>
      </c>
      <c r="AF85" s="17">
        <f>-_xlfn.XLOOKUP($C85,TB_NG!$E:$E,TB_NG!AH:AH)</f>
        <v>0</v>
      </c>
      <c r="AG85" s="17">
        <f>-_xlfn.XLOOKUP($C85,TB_NG!$E:$E,TB_NG!AI:AI)</f>
        <v>0</v>
      </c>
      <c r="AH85" s="17">
        <f>-_xlfn.XLOOKUP($C85,TB_NG!$E:$E,TB_NG!AJ:AJ)</f>
        <v>0</v>
      </c>
      <c r="AI85" s="17">
        <f>-_xlfn.XLOOKUP($C85,TB_NG!$E:$E,TB_NG!AK:AK)</f>
        <v>0</v>
      </c>
      <c r="AJ85" s="17">
        <f>-_xlfn.XLOOKUP($C85,TB_NG!$E:$E,TB_NG!AL:AL)</f>
        <v>0</v>
      </c>
      <c r="AK85" s="17">
        <f>-_xlfn.XLOOKUP($C85,TB_NG!$E:$E,TB_NG!AM:AM)</f>
        <v>0</v>
      </c>
      <c r="AL85" s="17">
        <f>-_xlfn.XLOOKUP($C85,TB_NG!$E:$E,TB_NG!AN:AN)</f>
        <v>0</v>
      </c>
      <c r="AM85" s="17">
        <f>-_xlfn.XLOOKUP($C85,TB_NG!$E:$E,TB_NG!AO:AO)</f>
        <v>0</v>
      </c>
      <c r="AS85" s="17">
        <f t="shared" ref="AS85:AS98" si="15">SUM(D85:O85)</f>
        <v>-93582191.489999995</v>
      </c>
      <c r="AT85" s="17">
        <f t="shared" ref="AT85:AT98" si="16">SUM(P85:AA85)</f>
        <v>-95503196.439999998</v>
      </c>
    </row>
    <row r="86" spans="2:46" x14ac:dyDescent="0.2">
      <c r="B86" s="21">
        <v>60110</v>
      </c>
      <c r="C86" s="16" t="str">
        <f>_xlfn.XLOOKUP(B86,TB_NG!A:A,TB_NG!E:E)</f>
        <v>Marketing &amp; Branding - Offline</v>
      </c>
      <c r="D86" s="17">
        <f>-_xlfn.XLOOKUP($C86,TB_NG!$E:$E,TB_NG!F:F)</f>
        <v>0</v>
      </c>
      <c r="E86" s="17">
        <f>-_xlfn.XLOOKUP($C86,TB_NG!$E:$E,TB_NG!G:G)</f>
        <v>0</v>
      </c>
      <c r="F86" s="17">
        <f>-_xlfn.XLOOKUP($C86,TB_NG!$E:$E,TB_NG!H:H)</f>
        <v>0</v>
      </c>
      <c r="G86" s="17">
        <f>-_xlfn.XLOOKUP($C86,TB_NG!$E:$E,TB_NG!I:I)</f>
        <v>0</v>
      </c>
      <c r="H86" s="17">
        <f>-_xlfn.XLOOKUP($C86,TB_NG!$E:$E,TB_NG!J:J)</f>
        <v>-33000</v>
      </c>
      <c r="I86" s="17">
        <f>-_xlfn.XLOOKUP($C86,TB_NG!$E:$E,TB_NG!K:K)</f>
        <v>0</v>
      </c>
      <c r="J86" s="17">
        <f>-_xlfn.XLOOKUP($C86,TB_NG!$E:$E,TB_NG!L:L)</f>
        <v>-3000000</v>
      </c>
      <c r="K86" s="17">
        <f>-_xlfn.XLOOKUP($C86,TB_NG!$E:$E,TB_NG!M:M)</f>
        <v>0</v>
      </c>
      <c r="L86" s="17">
        <f>-_xlfn.XLOOKUP($C86,TB_NG!$E:$E,TB_NG!N:N)</f>
        <v>-150000</v>
      </c>
      <c r="M86" s="17">
        <f>-_xlfn.XLOOKUP($C86,TB_NG!$E:$E,TB_NG!O:O)</f>
        <v>0</v>
      </c>
      <c r="N86" s="17">
        <f>-_xlfn.XLOOKUP($C86,TB_NG!$E:$E,TB_NG!P:P)</f>
        <v>-1000</v>
      </c>
      <c r="O86" s="17">
        <f>-_xlfn.XLOOKUP($C86,TB_NG!$E:$E,TB_NG!Q:Q)</f>
        <v>0</v>
      </c>
      <c r="P86" s="17">
        <f>-_xlfn.XLOOKUP($C86,TB_NG!$E:$E,TB_NG!R:R)</f>
        <v>0</v>
      </c>
      <c r="Q86" s="17">
        <f>-_xlfn.XLOOKUP($C86,TB_NG!$E:$E,TB_NG!S:S)</f>
        <v>0</v>
      </c>
      <c r="R86" s="17">
        <f>-_xlfn.XLOOKUP($C86,TB_NG!$E:$E,TB_NG!T:T)</f>
        <v>0</v>
      </c>
      <c r="S86" s="17">
        <f>-_xlfn.XLOOKUP($C86,TB_NG!$E:$E,TB_NG!U:U)</f>
        <v>-808400</v>
      </c>
      <c r="T86" s="17">
        <f>-_xlfn.XLOOKUP($C86,TB_NG!$E:$E,TB_NG!V:V)</f>
        <v>0</v>
      </c>
      <c r="U86" s="17">
        <f>-_xlfn.XLOOKUP($C86,TB_NG!$E:$E,TB_NG!W:W)</f>
        <v>0</v>
      </c>
      <c r="V86" s="17">
        <f>-_xlfn.XLOOKUP($C86,TB_NG!$E:$E,TB_NG!X:X)</f>
        <v>0</v>
      </c>
      <c r="W86" s="17">
        <f>-_xlfn.XLOOKUP($C86,TB_NG!$E:$E,TB_NG!Y:Y)</f>
        <v>0</v>
      </c>
      <c r="X86" s="17">
        <f>-_xlfn.XLOOKUP($C86,TB_NG!$E:$E,TB_NG!Z:Z)</f>
        <v>0</v>
      </c>
      <c r="Y86" s="17">
        <f>-_xlfn.XLOOKUP($C86,TB_NG!$E:$E,TB_NG!AA:AA)</f>
        <v>0</v>
      </c>
      <c r="Z86" s="17">
        <f>-_xlfn.XLOOKUP($C86,TB_NG!$E:$E,TB_NG!AB:AB)</f>
        <v>0</v>
      </c>
      <c r="AA86" s="17">
        <f>-_xlfn.XLOOKUP($C86,TB_NG!$E:$E,TB_NG!AC:AC)</f>
        <v>-4669250</v>
      </c>
      <c r="AB86" s="17">
        <f>-_xlfn.XLOOKUP($C86,TB_NG!$E:$E,TB_NG!AD:AD)</f>
        <v>0</v>
      </c>
      <c r="AC86" s="17">
        <f>-_xlfn.XLOOKUP($C86,TB_NG!$E:$E,TB_NG!AE:AE)</f>
        <v>0</v>
      </c>
      <c r="AD86" s="17">
        <f>-_xlfn.XLOOKUP($C86,TB_NG!$E:$E,TB_NG!AF:AF)</f>
        <v>-200000</v>
      </c>
      <c r="AE86" s="17">
        <f>-_xlfn.XLOOKUP($C86,TB_NG!$E:$E,TB_NG!AG:AG)</f>
        <v>0</v>
      </c>
      <c r="AF86" s="17">
        <f>-_xlfn.XLOOKUP($C86,TB_NG!$E:$E,TB_NG!AH:AH)</f>
        <v>0</v>
      </c>
      <c r="AG86" s="17">
        <f>-_xlfn.XLOOKUP($C86,TB_NG!$E:$E,TB_NG!AI:AI)</f>
        <v>0</v>
      </c>
      <c r="AH86" s="17">
        <f>-_xlfn.XLOOKUP($C86,TB_NG!$E:$E,TB_NG!AJ:AJ)</f>
        <v>0</v>
      </c>
      <c r="AI86" s="17">
        <f>-_xlfn.XLOOKUP($C86,TB_NG!$E:$E,TB_NG!AK:AK)</f>
        <v>0</v>
      </c>
      <c r="AJ86" s="17">
        <f>-_xlfn.XLOOKUP($C86,TB_NG!$E:$E,TB_NG!AL:AL)</f>
        <v>0</v>
      </c>
      <c r="AK86" s="17">
        <f>-_xlfn.XLOOKUP($C86,TB_NG!$E:$E,TB_NG!AM:AM)</f>
        <v>0</v>
      </c>
      <c r="AL86" s="17">
        <f>-_xlfn.XLOOKUP($C86,TB_NG!$E:$E,TB_NG!AN:AN)</f>
        <v>0</v>
      </c>
      <c r="AM86" s="17">
        <f>-_xlfn.XLOOKUP($C86,TB_NG!$E:$E,TB_NG!AO:AO)</f>
        <v>0</v>
      </c>
      <c r="AS86" s="17">
        <f t="shared" si="15"/>
        <v>-3184000</v>
      </c>
      <c r="AT86" s="17">
        <f t="shared" si="16"/>
        <v>-5477650</v>
      </c>
    </row>
    <row r="87" spans="2:46" x14ac:dyDescent="0.2">
      <c r="B87" s="21">
        <v>60115</v>
      </c>
      <c r="C87" s="16" t="str">
        <f>_xlfn.XLOOKUP(B87,TB_NG!A:A,TB_NG!E:E)</f>
        <v>Marketing &amp; Branding - Events</v>
      </c>
      <c r="D87" s="17">
        <f>-_xlfn.XLOOKUP($C87,TB_NG!$E:$E,TB_NG!F:F)</f>
        <v>0</v>
      </c>
      <c r="E87" s="17">
        <f>-_xlfn.XLOOKUP($C87,TB_NG!$E:$E,TB_NG!G:G)</f>
        <v>-3345136.41</v>
      </c>
      <c r="F87" s="17">
        <f>-_xlfn.XLOOKUP($C87,TB_NG!$E:$E,TB_NG!H:H)</f>
        <v>-1020555</v>
      </c>
      <c r="G87" s="17">
        <f>-_xlfn.XLOOKUP($C87,TB_NG!$E:$E,TB_NG!I:I)</f>
        <v>-18522509.600000001</v>
      </c>
      <c r="H87" s="17">
        <f>-_xlfn.XLOOKUP($C87,TB_NG!$E:$E,TB_NG!J:J)</f>
        <v>-3764359.1</v>
      </c>
      <c r="I87" s="17">
        <f>-_xlfn.XLOOKUP($C87,TB_NG!$E:$E,TB_NG!K:K)</f>
        <v>0</v>
      </c>
      <c r="J87" s="17">
        <f>-_xlfn.XLOOKUP($C87,TB_NG!$E:$E,TB_NG!L:L)</f>
        <v>0</v>
      </c>
      <c r="K87" s="17">
        <f>-_xlfn.XLOOKUP($C87,TB_NG!$E:$E,TB_NG!M:M)</f>
        <v>-1667180.15</v>
      </c>
      <c r="L87" s="17">
        <f>-_xlfn.XLOOKUP($C87,TB_NG!$E:$E,TB_NG!N:N)</f>
        <v>-1449672</v>
      </c>
      <c r="M87" s="17">
        <f>-_xlfn.XLOOKUP($C87,TB_NG!$E:$E,TB_NG!O:O)</f>
        <v>0</v>
      </c>
      <c r="N87" s="17">
        <f>-_xlfn.XLOOKUP($C87,TB_NG!$E:$E,TB_NG!P:P)</f>
        <v>-2000000</v>
      </c>
      <c r="O87" s="17">
        <f>-_xlfn.XLOOKUP($C87,TB_NG!$E:$E,TB_NG!Q:Q)</f>
        <v>-773475</v>
      </c>
      <c r="P87" s="17">
        <f>-_xlfn.XLOOKUP($C87,TB_NG!$E:$E,TB_NG!R:R)</f>
        <v>-5047390.3099999996</v>
      </c>
      <c r="Q87" s="17">
        <f>-_xlfn.XLOOKUP($C87,TB_NG!$E:$E,TB_NG!S:S)</f>
        <v>-27401838.109999999</v>
      </c>
      <c r="R87" s="17">
        <f>-_xlfn.XLOOKUP($C87,TB_NG!$E:$E,TB_NG!T:T)</f>
        <v>-23148812.970000003</v>
      </c>
      <c r="S87" s="17">
        <f>-_xlfn.XLOOKUP($C87,TB_NG!$E:$E,TB_NG!U:U)</f>
        <v>-27129960.550000001</v>
      </c>
      <c r="T87" s="17">
        <f>-_xlfn.XLOOKUP($C87,TB_NG!$E:$E,TB_NG!V:V)</f>
        <v>-29465282.77</v>
      </c>
      <c r="U87" s="17">
        <f>-_xlfn.XLOOKUP($C87,TB_NG!$E:$E,TB_NG!W:W)</f>
        <v>-50000</v>
      </c>
      <c r="V87" s="17">
        <f>-_xlfn.XLOOKUP($C87,TB_NG!$E:$E,TB_NG!X:X)</f>
        <v>-834413.28</v>
      </c>
      <c r="W87" s="17">
        <f>-_xlfn.XLOOKUP($C87,TB_NG!$E:$E,TB_NG!Y:Y)</f>
        <v>-14952794.720000001</v>
      </c>
      <c r="X87" s="17">
        <f>-_xlfn.XLOOKUP($C87,TB_NG!$E:$E,TB_NG!Z:Z)</f>
        <v>-31540268.07</v>
      </c>
      <c r="Y87" s="17">
        <f>-_xlfn.XLOOKUP($C87,TB_NG!$E:$E,TB_NG!AA:AA)</f>
        <v>-19327231.59</v>
      </c>
      <c r="Z87" s="17">
        <f>-_xlfn.XLOOKUP($C87,TB_NG!$E:$E,TB_NG!AB:AB)</f>
        <v>-28100552.799999997</v>
      </c>
      <c r="AA87" s="17">
        <f>-_xlfn.XLOOKUP($C87,TB_NG!$E:$E,TB_NG!AC:AC)</f>
        <v>-8000</v>
      </c>
      <c r="AB87" s="17">
        <f>-_xlfn.XLOOKUP($C87,TB_NG!$E:$E,TB_NG!AD:AD)</f>
        <v>-1500000</v>
      </c>
      <c r="AC87" s="17">
        <f>-_xlfn.XLOOKUP($C87,TB_NG!$E:$E,TB_NG!AE:AE)</f>
        <v>-19560383.16</v>
      </c>
      <c r="AD87" s="17">
        <f>-_xlfn.XLOOKUP($C87,TB_NG!$E:$E,TB_NG!AF:AF)</f>
        <v>-19809264.170000002</v>
      </c>
      <c r="AE87" s="17">
        <f>-_xlfn.XLOOKUP($C87,TB_NG!$E:$E,TB_NG!AG:AG)</f>
        <v>0</v>
      </c>
      <c r="AF87" s="17">
        <f>-_xlfn.XLOOKUP($C87,TB_NG!$E:$E,TB_NG!AH:AH)</f>
        <v>0</v>
      </c>
      <c r="AG87" s="17">
        <f>-_xlfn.XLOOKUP($C87,TB_NG!$E:$E,TB_NG!AI:AI)</f>
        <v>0</v>
      </c>
      <c r="AH87" s="17">
        <f>-_xlfn.XLOOKUP($C87,TB_NG!$E:$E,TB_NG!AJ:AJ)</f>
        <v>0</v>
      </c>
      <c r="AI87" s="17">
        <f>-_xlfn.XLOOKUP($C87,TB_NG!$E:$E,TB_NG!AK:AK)</f>
        <v>0</v>
      </c>
      <c r="AJ87" s="17">
        <f>-_xlfn.XLOOKUP($C87,TB_NG!$E:$E,TB_NG!AL:AL)</f>
        <v>0</v>
      </c>
      <c r="AK87" s="17">
        <f>-_xlfn.XLOOKUP($C87,TB_NG!$E:$E,TB_NG!AM:AM)</f>
        <v>0</v>
      </c>
      <c r="AL87" s="17">
        <f>-_xlfn.XLOOKUP($C87,TB_NG!$E:$E,TB_NG!AN:AN)</f>
        <v>0</v>
      </c>
      <c r="AM87" s="17">
        <f>-_xlfn.XLOOKUP($C87,TB_NG!$E:$E,TB_NG!AO:AO)</f>
        <v>0</v>
      </c>
      <c r="AS87" s="17">
        <f t="shared" si="15"/>
        <v>-32542887.260000002</v>
      </c>
      <c r="AT87" s="17">
        <f>SUM(P87:AA87)</f>
        <v>-207006545.17000002</v>
      </c>
    </row>
    <row r="88" spans="2:46" x14ac:dyDescent="0.2">
      <c r="B88" s="21">
        <v>60125</v>
      </c>
      <c r="C88" s="16" t="str">
        <f>_xlfn.XLOOKUP(B88,TB_NG!A:A,TB_NG!E:E)</f>
        <v>Marketing &amp; Branding - Professional Service &amp; Others</v>
      </c>
      <c r="D88" s="17">
        <f>-_xlfn.XLOOKUP($C88,TB_NG!$E:$E,TB_NG!F:F)</f>
        <v>0</v>
      </c>
      <c r="E88" s="17">
        <f>-_xlfn.XLOOKUP($C88,TB_NG!$E:$E,TB_NG!G:G)</f>
        <v>0</v>
      </c>
      <c r="F88" s="17">
        <f>-_xlfn.XLOOKUP($C88,TB_NG!$E:$E,TB_NG!H:H)</f>
        <v>0</v>
      </c>
      <c r="G88" s="17">
        <f>-_xlfn.XLOOKUP($C88,TB_NG!$E:$E,TB_NG!I:I)</f>
        <v>0</v>
      </c>
      <c r="H88" s="17">
        <f>-_xlfn.XLOOKUP($C88,TB_NG!$E:$E,TB_NG!J:J)</f>
        <v>0</v>
      </c>
      <c r="I88" s="17">
        <f>-_xlfn.XLOOKUP($C88,TB_NG!$E:$E,TB_NG!K:K)</f>
        <v>0</v>
      </c>
      <c r="J88" s="17">
        <f>-_xlfn.XLOOKUP($C88,TB_NG!$E:$E,TB_NG!L:L)</f>
        <v>0</v>
      </c>
      <c r="K88" s="17">
        <f>-_xlfn.XLOOKUP($C88,TB_NG!$E:$E,TB_NG!M:M)</f>
        <v>0</v>
      </c>
      <c r="L88" s="17">
        <f>-_xlfn.XLOOKUP($C88,TB_NG!$E:$E,TB_NG!N:N)</f>
        <v>0</v>
      </c>
      <c r="M88" s="17">
        <f>-_xlfn.XLOOKUP($C88,TB_NG!$E:$E,TB_NG!O:O)</f>
        <v>154000</v>
      </c>
      <c r="N88" s="17">
        <f>-_xlfn.XLOOKUP($C88,TB_NG!$E:$E,TB_NG!P:P)</f>
        <v>-80270109</v>
      </c>
      <c r="O88" s="17">
        <f>-_xlfn.XLOOKUP($C88,TB_NG!$E:$E,TB_NG!Q:Q)</f>
        <v>0</v>
      </c>
      <c r="P88" s="17">
        <f>-_xlfn.XLOOKUP($C88,TB_NG!$E:$E,TB_NG!R:R)</f>
        <v>0</v>
      </c>
      <c r="Q88" s="17">
        <f>-_xlfn.XLOOKUP($C88,TB_NG!$E:$E,TB_NG!S:S)</f>
        <v>-42770583.329999998</v>
      </c>
      <c r="R88" s="17">
        <f>-_xlfn.XLOOKUP($C88,TB_NG!$E:$E,TB_NG!T:T)</f>
        <v>-20127333.329999998</v>
      </c>
      <c r="S88" s="17">
        <f>-_xlfn.XLOOKUP($C88,TB_NG!$E:$E,TB_NG!U:U)</f>
        <v>-20127333.34</v>
      </c>
      <c r="T88" s="17">
        <f>-_xlfn.XLOOKUP($C88,TB_NG!$E:$E,TB_NG!V:V)</f>
        <v>0</v>
      </c>
      <c r="U88" s="17">
        <f>-_xlfn.XLOOKUP($C88,TB_NG!$E:$E,TB_NG!W:W)</f>
        <v>0</v>
      </c>
      <c r="V88" s="17">
        <f>-_xlfn.XLOOKUP($C88,TB_NG!$E:$E,TB_NG!X:X)</f>
        <v>-6122920</v>
      </c>
      <c r="W88" s="17">
        <f>-_xlfn.XLOOKUP($C88,TB_NG!$E:$E,TB_NG!Y:Y)</f>
        <v>-14271346.66</v>
      </c>
      <c r="X88" s="17">
        <f>-_xlfn.XLOOKUP($C88,TB_NG!$E:$E,TB_NG!Z:Z)</f>
        <v>-10197133.34</v>
      </c>
      <c r="Y88" s="17">
        <f>-_xlfn.XLOOKUP($C88,TB_NG!$E:$E,TB_NG!AA:AA)</f>
        <v>-5843880</v>
      </c>
      <c r="Z88" s="17">
        <f>-_xlfn.XLOOKUP($C88,TB_NG!$E:$E,TB_NG!AB:AB)</f>
        <v>-13515773.33</v>
      </c>
      <c r="AA88" s="17">
        <f>-_xlfn.XLOOKUP($C88,TB_NG!$E:$E,TB_NG!AC:AC)</f>
        <v>-9679826.6699999999</v>
      </c>
      <c r="AB88" s="17">
        <f>-_xlfn.XLOOKUP($C88,TB_NG!$E:$E,TB_NG!AD:AD)</f>
        <v>0</v>
      </c>
      <c r="AC88" s="17">
        <f>-_xlfn.XLOOKUP($C88,TB_NG!$E:$E,TB_NG!AE:AE)</f>
        <v>0</v>
      </c>
      <c r="AD88" s="17">
        <f>-_xlfn.XLOOKUP($C88,TB_NG!$E:$E,TB_NG!AF:AF)</f>
        <v>0</v>
      </c>
      <c r="AE88" s="17">
        <f>-_xlfn.XLOOKUP($C88,TB_NG!$E:$E,TB_NG!AG:AG)</f>
        <v>0</v>
      </c>
      <c r="AF88" s="17">
        <f>-_xlfn.XLOOKUP($C88,TB_NG!$E:$E,TB_NG!AH:AH)</f>
        <v>0</v>
      </c>
      <c r="AG88" s="17">
        <f>-_xlfn.XLOOKUP($C88,TB_NG!$E:$E,TB_NG!AI:AI)</f>
        <v>0</v>
      </c>
      <c r="AH88" s="17">
        <f>-_xlfn.XLOOKUP($C88,TB_NG!$E:$E,TB_NG!AJ:AJ)</f>
        <v>0</v>
      </c>
      <c r="AI88" s="17">
        <f>-_xlfn.XLOOKUP($C88,TB_NG!$E:$E,TB_NG!AK:AK)</f>
        <v>0</v>
      </c>
      <c r="AJ88" s="17">
        <f>-_xlfn.XLOOKUP($C88,TB_NG!$E:$E,TB_NG!AL:AL)</f>
        <v>0</v>
      </c>
      <c r="AK88" s="17">
        <f>-_xlfn.XLOOKUP($C88,TB_NG!$E:$E,TB_NG!AM:AM)</f>
        <v>0</v>
      </c>
      <c r="AL88" s="17">
        <f>-_xlfn.XLOOKUP($C88,TB_NG!$E:$E,TB_NG!AN:AN)</f>
        <v>0</v>
      </c>
      <c r="AM88" s="17">
        <f>-_xlfn.XLOOKUP($C88,TB_NG!$E:$E,TB_NG!AO:AO)</f>
        <v>0</v>
      </c>
      <c r="AS88" s="17">
        <f t="shared" si="15"/>
        <v>-80116109</v>
      </c>
      <c r="AT88" s="17">
        <f t="shared" si="16"/>
        <v>-142656130</v>
      </c>
    </row>
    <row r="89" spans="2:46" x14ac:dyDescent="0.2">
      <c r="B89" s="21">
        <v>60200</v>
      </c>
      <c r="C89" s="16" t="str">
        <f>_xlfn.XLOOKUP(B89,TB_NG!A:A,TB_NG!E:E)</f>
        <v>Business Development Expenses</v>
      </c>
      <c r="D89" s="17">
        <f>-_xlfn.XLOOKUP($C89,TB_NG!$E:$E,TB_NG!F:F)</f>
        <v>-460820</v>
      </c>
      <c r="E89" s="17">
        <f>-_xlfn.XLOOKUP($C89,TB_NG!$E:$E,TB_NG!G:G)</f>
        <v>0</v>
      </c>
      <c r="F89" s="17">
        <f>-_xlfn.XLOOKUP($C89,TB_NG!$E:$E,TB_NG!H:H)</f>
        <v>360914</v>
      </c>
      <c r="G89" s="17">
        <f>-_xlfn.XLOOKUP($C89,TB_NG!$E:$E,TB_NG!I:I)</f>
        <v>-3238775.59</v>
      </c>
      <c r="H89" s="17">
        <f>-_xlfn.XLOOKUP($C89,TB_NG!$E:$E,TB_NG!J:J)</f>
        <v>-490000</v>
      </c>
      <c r="I89" s="17">
        <f>-_xlfn.XLOOKUP($C89,TB_NG!$E:$E,TB_NG!K:K)</f>
        <v>0</v>
      </c>
      <c r="J89" s="17">
        <f>-_xlfn.XLOOKUP($C89,TB_NG!$E:$E,TB_NG!L:L)</f>
        <v>-1100000</v>
      </c>
      <c r="K89" s="17">
        <f>-_xlfn.XLOOKUP($C89,TB_NG!$E:$E,TB_NG!M:M)</f>
        <v>-10745235</v>
      </c>
      <c r="L89" s="17">
        <f>-_xlfn.XLOOKUP($C89,TB_NG!$E:$E,TB_NG!N:N)</f>
        <v>1282632</v>
      </c>
      <c r="M89" s="17">
        <f>-_xlfn.XLOOKUP($C89,TB_NG!$E:$E,TB_NG!O:O)</f>
        <v>-900000</v>
      </c>
      <c r="N89" s="17">
        <f>-_xlfn.XLOOKUP($C89,TB_NG!$E:$E,TB_NG!P:P)</f>
        <v>0</v>
      </c>
      <c r="O89" s="17">
        <f>-_xlfn.XLOOKUP($C89,TB_NG!$E:$E,TB_NG!Q:Q)</f>
        <v>0</v>
      </c>
      <c r="P89" s="17">
        <f>-_xlfn.XLOOKUP($C89,TB_NG!$E:$E,TB_NG!R:R)</f>
        <v>0</v>
      </c>
      <c r="Q89" s="17">
        <f>-_xlfn.XLOOKUP($C89,TB_NG!$E:$E,TB_NG!S:S)</f>
        <v>0</v>
      </c>
      <c r="R89" s="17">
        <f>-_xlfn.XLOOKUP($C89,TB_NG!$E:$E,TB_NG!T:T)</f>
        <v>0</v>
      </c>
      <c r="S89" s="17">
        <f>-_xlfn.XLOOKUP($C89,TB_NG!$E:$E,TB_NG!U:U)</f>
        <v>0</v>
      </c>
      <c r="T89" s="17">
        <f>-_xlfn.XLOOKUP($C89,TB_NG!$E:$E,TB_NG!V:V)</f>
        <v>0</v>
      </c>
      <c r="U89" s="17">
        <f>-_xlfn.XLOOKUP($C89,TB_NG!$E:$E,TB_NG!W:W)</f>
        <v>0</v>
      </c>
      <c r="V89" s="17">
        <f>-_xlfn.XLOOKUP($C89,TB_NG!$E:$E,TB_NG!X:X)</f>
        <v>0</v>
      </c>
      <c r="W89" s="17">
        <f>-_xlfn.XLOOKUP($C89,TB_NG!$E:$E,TB_NG!Y:Y)</f>
        <v>0</v>
      </c>
      <c r="X89" s="17">
        <f>-_xlfn.XLOOKUP($C89,TB_NG!$E:$E,TB_NG!Z:Z)</f>
        <v>0</v>
      </c>
      <c r="Y89" s="17">
        <f>-_xlfn.XLOOKUP($C89,TB_NG!$E:$E,TB_NG!AA:AA)</f>
        <v>-8036630.5099999998</v>
      </c>
      <c r="Z89" s="17">
        <f>-_xlfn.XLOOKUP($C89,TB_NG!$E:$E,TB_NG!AB:AB)</f>
        <v>-3559788.02</v>
      </c>
      <c r="AA89" s="17">
        <f>-_xlfn.XLOOKUP($C89,TB_NG!$E:$E,TB_NG!AC:AC)</f>
        <v>0</v>
      </c>
      <c r="AB89" s="17">
        <f>-_xlfn.XLOOKUP($C89,TB_NG!$E:$E,TB_NG!AD:AD)</f>
        <v>-2727660</v>
      </c>
      <c r="AC89" s="17">
        <f>-_xlfn.XLOOKUP($C89,TB_NG!$E:$E,TB_NG!AE:AE)</f>
        <v>-375000</v>
      </c>
      <c r="AD89" s="17">
        <f>-_xlfn.XLOOKUP($C89,TB_NG!$E:$E,TB_NG!AF:AF)</f>
        <v>0</v>
      </c>
      <c r="AE89" s="17">
        <f>-_xlfn.XLOOKUP($C89,TB_NG!$E:$E,TB_NG!AG:AG)</f>
        <v>-81282</v>
      </c>
      <c r="AF89" s="17">
        <f>-_xlfn.XLOOKUP($C89,TB_NG!$E:$E,TB_NG!AH:AH)</f>
        <v>0</v>
      </c>
      <c r="AG89" s="17">
        <f>-_xlfn.XLOOKUP($C89,TB_NG!$E:$E,TB_NG!AI:AI)</f>
        <v>0</v>
      </c>
      <c r="AH89" s="17">
        <f>-_xlfn.XLOOKUP($C89,TB_NG!$E:$E,TB_NG!AJ:AJ)</f>
        <v>0</v>
      </c>
      <c r="AI89" s="17">
        <f>-_xlfn.XLOOKUP($C89,TB_NG!$E:$E,TB_NG!AK:AK)</f>
        <v>0</v>
      </c>
      <c r="AJ89" s="17">
        <f>-_xlfn.XLOOKUP($C89,TB_NG!$E:$E,TB_NG!AL:AL)</f>
        <v>0</v>
      </c>
      <c r="AK89" s="17">
        <f>-_xlfn.XLOOKUP($C89,TB_NG!$E:$E,TB_NG!AM:AM)</f>
        <v>0</v>
      </c>
      <c r="AL89" s="17">
        <f>-_xlfn.XLOOKUP($C89,TB_NG!$E:$E,TB_NG!AN:AN)</f>
        <v>0</v>
      </c>
      <c r="AM89" s="17">
        <f>-_xlfn.XLOOKUP($C89,TB_NG!$E:$E,TB_NG!AO:AO)</f>
        <v>0</v>
      </c>
      <c r="AS89" s="17">
        <f t="shared" si="15"/>
        <v>-15291284.59</v>
      </c>
      <c r="AT89" s="17">
        <f t="shared" si="16"/>
        <v>-11596418.529999999</v>
      </c>
    </row>
    <row r="90" spans="2:46" x14ac:dyDescent="0.2">
      <c r="B90" s="21">
        <v>60201</v>
      </c>
      <c r="C90" s="16" t="str">
        <f>_xlfn.XLOOKUP(B90,TB_NG!A:A,TB_NG!E:E)</f>
        <v>Business Development Expenses: Accommodation</v>
      </c>
      <c r="D90" s="17">
        <f>-_xlfn.XLOOKUP($C90,TB_NG!$E:$E,TB_NG!F:F)</f>
        <v>-107000</v>
      </c>
      <c r="E90" s="17">
        <f>-_xlfn.XLOOKUP($C90,TB_NG!$E:$E,TB_NG!G:G)</f>
        <v>0</v>
      </c>
      <c r="F90" s="17">
        <f>-_xlfn.XLOOKUP($C90,TB_NG!$E:$E,TB_NG!H:H)</f>
        <v>-2660415</v>
      </c>
      <c r="G90" s="17">
        <f>-_xlfn.XLOOKUP($C90,TB_NG!$E:$E,TB_NG!I:I)</f>
        <v>-3980000</v>
      </c>
      <c r="H90" s="17">
        <f>-_xlfn.XLOOKUP($C90,TB_NG!$E:$E,TB_NG!J:J)</f>
        <v>-3612390.43</v>
      </c>
      <c r="I90" s="17">
        <f>-_xlfn.XLOOKUP($C90,TB_NG!$E:$E,TB_NG!K:K)</f>
        <v>-4762595.6900000004</v>
      </c>
      <c r="J90" s="17">
        <f>-_xlfn.XLOOKUP($C90,TB_NG!$E:$E,TB_NG!L:L)</f>
        <v>-3602277.36</v>
      </c>
      <c r="K90" s="17">
        <f>-_xlfn.XLOOKUP($C90,TB_NG!$E:$E,TB_NG!M:M)</f>
        <v>-7261280.9799999995</v>
      </c>
      <c r="L90" s="17">
        <f>-_xlfn.XLOOKUP($C90,TB_NG!$E:$E,TB_NG!N:N)</f>
        <v>-4452309.5299999993</v>
      </c>
      <c r="M90" s="17">
        <f>-_xlfn.XLOOKUP($C90,TB_NG!$E:$E,TB_NG!O:O)</f>
        <v>-10747449.6</v>
      </c>
      <c r="N90" s="17">
        <f>-_xlfn.XLOOKUP($C90,TB_NG!$E:$E,TB_NG!P:P)</f>
        <v>-5505164.3099999996</v>
      </c>
      <c r="O90" s="17">
        <f>-_xlfn.XLOOKUP($C90,TB_NG!$E:$E,TB_NG!Q:Q)</f>
        <v>-1130000</v>
      </c>
      <c r="P90" s="17">
        <f>-_xlfn.XLOOKUP($C90,TB_NG!$E:$E,TB_NG!R:R)</f>
        <v>-5775857.04</v>
      </c>
      <c r="Q90" s="17">
        <f>-_xlfn.XLOOKUP($C90,TB_NG!$E:$E,TB_NG!S:S)</f>
        <v>-1117190.31</v>
      </c>
      <c r="R90" s="17">
        <f>-_xlfn.XLOOKUP($C90,TB_NG!$E:$E,TB_NG!T:T)</f>
        <v>-2921594.19</v>
      </c>
      <c r="S90" s="17">
        <f>-_xlfn.XLOOKUP($C90,TB_NG!$E:$E,TB_NG!U:U)</f>
        <v>-4727591.07</v>
      </c>
      <c r="T90" s="17">
        <f>-_xlfn.XLOOKUP($C90,TB_NG!$E:$E,TB_NG!V:V)</f>
        <v>-4549811.1900000004</v>
      </c>
      <c r="U90" s="17">
        <f>-_xlfn.XLOOKUP($C90,TB_NG!$E:$E,TB_NG!W:W)</f>
        <v>-7300627.1799999997</v>
      </c>
      <c r="V90" s="17">
        <f>-_xlfn.XLOOKUP($C90,TB_NG!$E:$E,TB_NG!X:X)</f>
        <v>-1300032.8900000001</v>
      </c>
      <c r="W90" s="17">
        <f>-_xlfn.XLOOKUP($C90,TB_NG!$E:$E,TB_NG!Y:Y)</f>
        <v>-5462255</v>
      </c>
      <c r="X90" s="17">
        <f>-_xlfn.XLOOKUP($C90,TB_NG!$E:$E,TB_NG!Z:Z)</f>
        <v>-1148915.1200000001</v>
      </c>
      <c r="Y90" s="17">
        <f>-_xlfn.XLOOKUP($C90,TB_NG!$E:$E,TB_NG!AA:AA)</f>
        <v>-1284390.75</v>
      </c>
      <c r="Z90" s="17">
        <f>-_xlfn.XLOOKUP($C90,TB_NG!$E:$E,TB_NG!AB:AB)</f>
        <v>-2831386.58</v>
      </c>
      <c r="AA90" s="17">
        <f>-_xlfn.XLOOKUP($C90,TB_NG!$E:$E,TB_NG!AC:AC)</f>
        <v>-130000</v>
      </c>
      <c r="AB90" s="17">
        <f>-_xlfn.XLOOKUP($C90,TB_NG!$E:$E,TB_NG!AD:AD)</f>
        <v>-1109887.6299999999</v>
      </c>
      <c r="AC90" s="17">
        <f>-_xlfn.XLOOKUP($C90,TB_NG!$E:$E,TB_NG!AE:AE)</f>
        <v>-3526013.63</v>
      </c>
      <c r="AD90" s="17">
        <f>-_xlfn.XLOOKUP($C90,TB_NG!$E:$E,TB_NG!AF:AF)</f>
        <v>-2606569.7799999998</v>
      </c>
      <c r="AE90" s="17">
        <f>-_xlfn.XLOOKUP($C90,TB_NG!$E:$E,TB_NG!AG:AG)</f>
        <v>-1191804.9300000002</v>
      </c>
      <c r="AF90" s="17">
        <f>-_xlfn.XLOOKUP($C90,TB_NG!$E:$E,TB_NG!AH:AH)</f>
        <v>0</v>
      </c>
      <c r="AG90" s="17">
        <f>-_xlfn.XLOOKUP($C90,TB_NG!$E:$E,TB_NG!AI:AI)</f>
        <v>0</v>
      </c>
      <c r="AH90" s="17">
        <f>-_xlfn.XLOOKUP($C90,TB_NG!$E:$E,TB_NG!AJ:AJ)</f>
        <v>0</v>
      </c>
      <c r="AI90" s="17">
        <f>-_xlfn.XLOOKUP($C90,TB_NG!$E:$E,TB_NG!AK:AK)</f>
        <v>0</v>
      </c>
      <c r="AJ90" s="17">
        <f>-_xlfn.XLOOKUP($C90,TB_NG!$E:$E,TB_NG!AL:AL)</f>
        <v>0</v>
      </c>
      <c r="AK90" s="17">
        <f>-_xlfn.XLOOKUP($C90,TB_NG!$E:$E,TB_NG!AM:AM)</f>
        <v>0</v>
      </c>
      <c r="AL90" s="17">
        <f>-_xlfn.XLOOKUP($C90,TB_NG!$E:$E,TB_NG!AN:AN)</f>
        <v>0</v>
      </c>
      <c r="AM90" s="17">
        <f>-_xlfn.XLOOKUP($C90,TB_NG!$E:$E,TB_NG!AO:AO)</f>
        <v>0</v>
      </c>
      <c r="AS90" s="17">
        <f t="shared" si="15"/>
        <v>-47820882.900000006</v>
      </c>
      <c r="AT90" s="17">
        <f t="shared" si="16"/>
        <v>-38549651.32</v>
      </c>
    </row>
    <row r="91" spans="2:46" x14ac:dyDescent="0.2">
      <c r="B91" s="21">
        <v>60202</v>
      </c>
      <c r="C91" s="16" t="str">
        <f>_xlfn.XLOOKUP(B91,TB_NG!A:A,TB_NG!E:E)</f>
        <v>Business Development Expenses: Communication</v>
      </c>
      <c r="D91" s="17">
        <f>-_xlfn.XLOOKUP($C91,TB_NG!$E:$E,TB_NG!F:F)</f>
        <v>0</v>
      </c>
      <c r="E91" s="17">
        <f>-_xlfn.XLOOKUP($C91,TB_NG!$E:$E,TB_NG!G:G)</f>
        <v>0</v>
      </c>
      <c r="F91" s="17">
        <f>-_xlfn.XLOOKUP($C91,TB_NG!$E:$E,TB_NG!H:H)</f>
        <v>0</v>
      </c>
      <c r="G91" s="17">
        <f>-_xlfn.XLOOKUP($C91,TB_NG!$E:$E,TB_NG!I:I)</f>
        <v>0</v>
      </c>
      <c r="H91" s="17">
        <f>-_xlfn.XLOOKUP($C91,TB_NG!$E:$E,TB_NG!J:J)</f>
        <v>0</v>
      </c>
      <c r="I91" s="17">
        <f>-_xlfn.XLOOKUP($C91,TB_NG!$E:$E,TB_NG!K:K)</f>
        <v>0</v>
      </c>
      <c r="J91" s="17">
        <f>-_xlfn.XLOOKUP($C91,TB_NG!$E:$E,TB_NG!L:L)</f>
        <v>0</v>
      </c>
      <c r="K91" s="17">
        <f>-_xlfn.XLOOKUP($C91,TB_NG!$E:$E,TB_NG!M:M)</f>
        <v>0</v>
      </c>
      <c r="L91" s="17">
        <f>-_xlfn.XLOOKUP($C91,TB_NG!$E:$E,TB_NG!N:N)</f>
        <v>0</v>
      </c>
      <c r="M91" s="17">
        <f>-_xlfn.XLOOKUP($C91,TB_NG!$E:$E,TB_NG!O:O)</f>
        <v>0</v>
      </c>
      <c r="N91" s="17">
        <f>-_xlfn.XLOOKUP($C91,TB_NG!$E:$E,TB_NG!P:P)</f>
        <v>0</v>
      </c>
      <c r="O91" s="17">
        <f>-_xlfn.XLOOKUP($C91,TB_NG!$E:$E,TB_NG!Q:Q)</f>
        <v>0</v>
      </c>
      <c r="P91" s="17">
        <f>-_xlfn.XLOOKUP($C91,TB_NG!$E:$E,TB_NG!R:R)</f>
        <v>0</v>
      </c>
      <c r="Q91" s="17">
        <f>-_xlfn.XLOOKUP($C91,TB_NG!$E:$E,TB_NG!S:S)</f>
        <v>0</v>
      </c>
      <c r="R91" s="17">
        <f>-_xlfn.XLOOKUP($C91,TB_NG!$E:$E,TB_NG!T:T)</f>
        <v>0</v>
      </c>
      <c r="S91" s="17">
        <f>-_xlfn.XLOOKUP($C91,TB_NG!$E:$E,TB_NG!U:U)</f>
        <v>-6449.48</v>
      </c>
      <c r="T91" s="17">
        <f>-_xlfn.XLOOKUP($C91,TB_NG!$E:$E,TB_NG!V:V)</f>
        <v>0</v>
      </c>
      <c r="U91" s="17">
        <f>-_xlfn.XLOOKUP($C91,TB_NG!$E:$E,TB_NG!W:W)</f>
        <v>-105670.53</v>
      </c>
      <c r="V91" s="17">
        <f>-_xlfn.XLOOKUP($C91,TB_NG!$E:$E,TB_NG!X:X)</f>
        <v>0</v>
      </c>
      <c r="W91" s="17">
        <f>-_xlfn.XLOOKUP($C91,TB_NG!$E:$E,TB_NG!Y:Y)</f>
        <v>0</v>
      </c>
      <c r="X91" s="17">
        <f>-_xlfn.XLOOKUP($C91,TB_NG!$E:$E,TB_NG!Z:Z)</f>
        <v>0</v>
      </c>
      <c r="Y91" s="17">
        <f>-_xlfn.XLOOKUP($C91,TB_NG!$E:$E,TB_NG!AA:AA)</f>
        <v>0</v>
      </c>
      <c r="Z91" s="17">
        <f>-_xlfn.XLOOKUP($C91,TB_NG!$E:$E,TB_NG!AB:AB)</f>
        <v>0</v>
      </c>
      <c r="AA91" s="17">
        <f>-_xlfn.XLOOKUP($C91,TB_NG!$E:$E,TB_NG!AC:AC)</f>
        <v>0</v>
      </c>
      <c r="AB91" s="17">
        <f>-_xlfn.XLOOKUP($C91,TB_NG!$E:$E,TB_NG!AD:AD)</f>
        <v>-57346.32</v>
      </c>
      <c r="AC91" s="17">
        <f>-_xlfn.XLOOKUP($C91,TB_NG!$E:$E,TB_NG!AE:AE)</f>
        <v>0</v>
      </c>
      <c r="AD91" s="17">
        <f>-_xlfn.XLOOKUP($C91,TB_NG!$E:$E,TB_NG!AF:AF)</f>
        <v>0</v>
      </c>
      <c r="AE91" s="17">
        <f>-_xlfn.XLOOKUP($C91,TB_NG!$E:$E,TB_NG!AG:AG)</f>
        <v>0</v>
      </c>
      <c r="AF91" s="17">
        <f>-_xlfn.XLOOKUP($C91,TB_NG!$E:$E,TB_NG!AH:AH)</f>
        <v>0</v>
      </c>
      <c r="AG91" s="17">
        <f>-_xlfn.XLOOKUP($C91,TB_NG!$E:$E,TB_NG!AI:AI)</f>
        <v>0</v>
      </c>
      <c r="AH91" s="17">
        <f>-_xlfn.XLOOKUP($C91,TB_NG!$E:$E,TB_NG!AJ:AJ)</f>
        <v>0</v>
      </c>
      <c r="AI91" s="17">
        <f>-_xlfn.XLOOKUP($C91,TB_NG!$E:$E,TB_NG!AK:AK)</f>
        <v>0</v>
      </c>
      <c r="AJ91" s="17">
        <f>-_xlfn.XLOOKUP($C91,TB_NG!$E:$E,TB_NG!AL:AL)</f>
        <v>0</v>
      </c>
      <c r="AK91" s="17">
        <f>-_xlfn.XLOOKUP($C91,TB_NG!$E:$E,TB_NG!AM:AM)</f>
        <v>0</v>
      </c>
      <c r="AL91" s="17">
        <f>-_xlfn.XLOOKUP($C91,TB_NG!$E:$E,TB_NG!AN:AN)</f>
        <v>0</v>
      </c>
      <c r="AM91" s="17">
        <f>-_xlfn.XLOOKUP($C91,TB_NG!$E:$E,TB_NG!AO:AO)</f>
        <v>0</v>
      </c>
      <c r="AS91" s="17">
        <f t="shared" si="15"/>
        <v>0</v>
      </c>
      <c r="AT91" s="17">
        <f t="shared" si="16"/>
        <v>-112120.01</v>
      </c>
    </row>
    <row r="92" spans="2:46" x14ac:dyDescent="0.2">
      <c r="B92" s="21">
        <v>60203</v>
      </c>
      <c r="C92" s="16" t="str">
        <f>_xlfn.XLOOKUP(B92,TB_NG!A:A,TB_NG!E:E)</f>
        <v>Business Development Expenses: Gift</v>
      </c>
      <c r="D92" s="17">
        <f>-_xlfn.XLOOKUP($C92,TB_NG!$E:$E,TB_NG!F:F)</f>
        <v>0</v>
      </c>
      <c r="E92" s="17">
        <f>-_xlfn.XLOOKUP($C92,TB_NG!$E:$E,TB_NG!G:G)</f>
        <v>0</v>
      </c>
      <c r="F92" s="17">
        <f>-_xlfn.XLOOKUP($C92,TB_NG!$E:$E,TB_NG!H:H)</f>
        <v>0</v>
      </c>
      <c r="G92" s="17">
        <f>-_xlfn.XLOOKUP($C92,TB_NG!$E:$E,TB_NG!I:I)</f>
        <v>0</v>
      </c>
      <c r="H92" s="17">
        <f>-_xlfn.XLOOKUP($C92,TB_NG!$E:$E,TB_NG!J:J)</f>
        <v>0</v>
      </c>
      <c r="I92" s="17">
        <f>-_xlfn.XLOOKUP($C92,TB_NG!$E:$E,TB_NG!K:K)</f>
        <v>0</v>
      </c>
      <c r="J92" s="17">
        <f>-_xlfn.XLOOKUP($C92,TB_NG!$E:$E,TB_NG!L:L)</f>
        <v>0</v>
      </c>
      <c r="K92" s="17">
        <f>-_xlfn.XLOOKUP($C92,TB_NG!$E:$E,TB_NG!M:M)</f>
        <v>0</v>
      </c>
      <c r="L92" s="17">
        <f>-_xlfn.XLOOKUP($C92,TB_NG!$E:$E,TB_NG!N:N)</f>
        <v>0</v>
      </c>
      <c r="M92" s="17">
        <f>-_xlfn.XLOOKUP($C92,TB_NG!$E:$E,TB_NG!O:O)</f>
        <v>0</v>
      </c>
      <c r="N92" s="17">
        <f>-_xlfn.XLOOKUP($C92,TB_NG!$E:$E,TB_NG!P:P)</f>
        <v>0</v>
      </c>
      <c r="O92" s="17">
        <f>-_xlfn.XLOOKUP($C92,TB_NG!$E:$E,TB_NG!Q:Q)</f>
        <v>0</v>
      </c>
      <c r="P92" s="17">
        <f>-_xlfn.XLOOKUP($C92,TB_NG!$E:$E,TB_NG!R:R)</f>
        <v>0</v>
      </c>
      <c r="Q92" s="17">
        <f>-_xlfn.XLOOKUP($C92,TB_NG!$E:$E,TB_NG!S:S)</f>
        <v>0</v>
      </c>
      <c r="R92" s="17">
        <f>-_xlfn.XLOOKUP($C92,TB_NG!$E:$E,TB_NG!T:T)</f>
        <v>0</v>
      </c>
      <c r="S92" s="17">
        <f>-_xlfn.XLOOKUP($C92,TB_NG!$E:$E,TB_NG!U:U)</f>
        <v>0</v>
      </c>
      <c r="T92" s="17">
        <f>-_xlfn.XLOOKUP($C92,TB_NG!$E:$E,TB_NG!V:V)</f>
        <v>0</v>
      </c>
      <c r="U92" s="17">
        <f>-_xlfn.XLOOKUP($C92,TB_NG!$E:$E,TB_NG!W:W)</f>
        <v>0</v>
      </c>
      <c r="V92" s="17">
        <f>-_xlfn.XLOOKUP($C92,TB_NG!$E:$E,TB_NG!X:X)</f>
        <v>0</v>
      </c>
      <c r="W92" s="17">
        <f>-_xlfn.XLOOKUP($C92,TB_NG!$E:$E,TB_NG!Y:Y)</f>
        <v>0</v>
      </c>
      <c r="X92" s="17">
        <f>-_xlfn.XLOOKUP($C92,TB_NG!$E:$E,TB_NG!Z:Z)</f>
        <v>0</v>
      </c>
      <c r="Y92" s="17">
        <f>-_xlfn.XLOOKUP($C92,TB_NG!$E:$E,TB_NG!AA:AA)</f>
        <v>0</v>
      </c>
      <c r="Z92" s="17">
        <f>-_xlfn.XLOOKUP($C92,TB_NG!$E:$E,TB_NG!AB:AB)</f>
        <v>0</v>
      </c>
      <c r="AA92" s="17">
        <f>-_xlfn.XLOOKUP($C92,TB_NG!$E:$E,TB_NG!AC:AC)</f>
        <v>0</v>
      </c>
      <c r="AB92" s="17">
        <f>-_xlfn.XLOOKUP($C92,TB_NG!$E:$E,TB_NG!AD:AD)</f>
        <v>-595000</v>
      </c>
      <c r="AC92" s="17">
        <f>-_xlfn.XLOOKUP($C92,TB_NG!$E:$E,TB_NG!AE:AE)</f>
        <v>0</v>
      </c>
      <c r="AD92" s="17">
        <f>-_xlfn.XLOOKUP($C92,TB_NG!$E:$E,TB_NG!AF:AF)</f>
        <v>0</v>
      </c>
      <c r="AE92" s="17">
        <f>-_xlfn.XLOOKUP($C92,TB_NG!$E:$E,TB_NG!AG:AG)</f>
        <v>0</v>
      </c>
      <c r="AF92" s="17">
        <f>-_xlfn.XLOOKUP($C92,TB_NG!$E:$E,TB_NG!AH:AH)</f>
        <v>0</v>
      </c>
      <c r="AG92" s="17">
        <f>-_xlfn.XLOOKUP($C92,TB_NG!$E:$E,TB_NG!AI:AI)</f>
        <v>0</v>
      </c>
      <c r="AH92" s="17">
        <f>-_xlfn.XLOOKUP($C92,TB_NG!$E:$E,TB_NG!AJ:AJ)</f>
        <v>0</v>
      </c>
      <c r="AI92" s="17">
        <f>-_xlfn.XLOOKUP($C92,TB_NG!$E:$E,TB_NG!AK:AK)</f>
        <v>0</v>
      </c>
      <c r="AJ92" s="17">
        <f>-_xlfn.XLOOKUP($C92,TB_NG!$E:$E,TB_NG!AL:AL)</f>
        <v>0</v>
      </c>
      <c r="AK92" s="17">
        <f>-_xlfn.XLOOKUP($C92,TB_NG!$E:$E,TB_NG!AM:AM)</f>
        <v>0</v>
      </c>
      <c r="AL92" s="17">
        <f>-_xlfn.XLOOKUP($C92,TB_NG!$E:$E,TB_NG!AN:AN)</f>
        <v>0</v>
      </c>
      <c r="AM92" s="17">
        <f>-_xlfn.XLOOKUP($C92,TB_NG!$E:$E,TB_NG!AO:AO)</f>
        <v>0</v>
      </c>
      <c r="AS92" s="17"/>
      <c r="AT92" s="17"/>
    </row>
    <row r="93" spans="2:46" x14ac:dyDescent="0.2">
      <c r="B93" s="21">
        <v>60205</v>
      </c>
      <c r="C93" s="16" t="str">
        <f>_xlfn.XLOOKUP(B93,TB_NG!A:A,TB_NG!E:E)</f>
        <v>Business Development Expenses: Internet &amp; Communication</v>
      </c>
      <c r="D93" s="17">
        <f>-_xlfn.XLOOKUP($C93,TB_NG!$E:$E,TB_NG!F:F)</f>
        <v>-81000</v>
      </c>
      <c r="E93" s="17">
        <f>-_xlfn.XLOOKUP($C93,TB_NG!$E:$E,TB_NG!G:G)</f>
        <v>-81000</v>
      </c>
      <c r="F93" s="17">
        <f>-_xlfn.XLOOKUP($C93,TB_NG!$E:$E,TB_NG!H:H)</f>
        <v>-820665</v>
      </c>
      <c r="G93" s="17">
        <f>-_xlfn.XLOOKUP($C93,TB_NG!$E:$E,TB_NG!I:I)</f>
        <v>-74000</v>
      </c>
      <c r="H93" s="17">
        <f>-_xlfn.XLOOKUP($C93,TB_NG!$E:$E,TB_NG!J:J)</f>
        <v>-74000</v>
      </c>
      <c r="I93" s="17">
        <f>-_xlfn.XLOOKUP($C93,TB_NG!$E:$E,TB_NG!K:K)</f>
        <v>-519071.24</v>
      </c>
      <c r="J93" s="17">
        <f>-_xlfn.XLOOKUP($C93,TB_NG!$E:$E,TB_NG!L:L)</f>
        <v>-150159.04999999999</v>
      </c>
      <c r="K93" s="17">
        <f>-_xlfn.XLOOKUP($C93,TB_NG!$E:$E,TB_NG!M:M)</f>
        <v>-536975.9</v>
      </c>
      <c r="L93" s="17">
        <f>-_xlfn.XLOOKUP($C93,TB_NG!$E:$E,TB_NG!N:N)</f>
        <v>-573161.53</v>
      </c>
      <c r="M93" s="17">
        <f>-_xlfn.XLOOKUP($C93,TB_NG!$E:$E,TB_NG!O:O)</f>
        <v>-676969.16999999993</v>
      </c>
      <c r="N93" s="17">
        <f>-_xlfn.XLOOKUP($C93,TB_NG!$E:$E,TB_NG!P:P)</f>
        <v>-336718.69</v>
      </c>
      <c r="O93" s="17">
        <f>-_xlfn.XLOOKUP($C93,TB_NG!$E:$E,TB_NG!Q:Q)</f>
        <v>-159168.07</v>
      </c>
      <c r="P93" s="17">
        <f>-_xlfn.XLOOKUP($C93,TB_NG!$E:$E,TB_NG!R:R)</f>
        <v>-320704.14</v>
      </c>
      <c r="Q93" s="17">
        <f>-_xlfn.XLOOKUP($C93,TB_NG!$E:$E,TB_NG!S:S)</f>
        <v>-152755.35999999999</v>
      </c>
      <c r="R93" s="17">
        <f>-_xlfn.XLOOKUP($C93,TB_NG!$E:$E,TB_NG!T:T)</f>
        <v>-197796.63</v>
      </c>
      <c r="S93" s="17">
        <f>-_xlfn.XLOOKUP($C93,TB_NG!$E:$E,TB_NG!U:U)</f>
        <v>-152245</v>
      </c>
      <c r="T93" s="17">
        <f>-_xlfn.XLOOKUP($C93,TB_NG!$E:$E,TB_NG!V:V)</f>
        <v>-498848.44999999995</v>
      </c>
      <c r="U93" s="17">
        <f>-_xlfn.XLOOKUP($C93,TB_NG!$E:$E,TB_NG!W:W)</f>
        <v>-72150</v>
      </c>
      <c r="V93" s="17">
        <f>-_xlfn.XLOOKUP($C93,TB_NG!$E:$E,TB_NG!X:X)</f>
        <v>-218534.55</v>
      </c>
      <c r="W93" s="17">
        <f>-_xlfn.XLOOKUP($C93,TB_NG!$E:$E,TB_NG!Y:Y)</f>
        <v>-154871.35999999999</v>
      </c>
      <c r="X93" s="17">
        <f>-_xlfn.XLOOKUP($C93,TB_NG!$E:$E,TB_NG!Z:Z)</f>
        <v>-64350</v>
      </c>
      <c r="Y93" s="17">
        <f>-_xlfn.XLOOKUP($C93,TB_NG!$E:$E,TB_NG!AA:AA)</f>
        <v>-278371.56</v>
      </c>
      <c r="Z93" s="17">
        <f>-_xlfn.XLOOKUP($C93,TB_NG!$E:$E,TB_NG!AB:AB)</f>
        <v>-106350.75</v>
      </c>
      <c r="AA93" s="17">
        <f>-_xlfn.XLOOKUP($C93,TB_NG!$E:$E,TB_NG!AC:AC)</f>
        <v>-64350</v>
      </c>
      <c r="AB93" s="17">
        <f>-_xlfn.XLOOKUP($C93,TB_NG!$E:$E,TB_NG!AD:AD)</f>
        <v>-64350</v>
      </c>
      <c r="AC93" s="17">
        <f>-_xlfn.XLOOKUP($C93,TB_NG!$E:$E,TB_NG!AE:AE)</f>
        <v>-238854.75</v>
      </c>
      <c r="AD93" s="17">
        <f>-_xlfn.XLOOKUP($C93,TB_NG!$E:$E,TB_NG!AF:AF)</f>
        <v>-414200.23</v>
      </c>
      <c r="AE93" s="17">
        <f>-_xlfn.XLOOKUP($C93,TB_NG!$E:$E,TB_NG!AG:AG)</f>
        <v>-83850</v>
      </c>
      <c r="AF93" s="17">
        <f>-_xlfn.XLOOKUP($C93,TB_NG!$E:$E,TB_NG!AH:AH)</f>
        <v>0</v>
      </c>
      <c r="AG93" s="17">
        <f>-_xlfn.XLOOKUP($C93,TB_NG!$E:$E,TB_NG!AI:AI)</f>
        <v>0</v>
      </c>
      <c r="AH93" s="17">
        <f>-_xlfn.XLOOKUP($C93,TB_NG!$E:$E,TB_NG!AJ:AJ)</f>
        <v>0</v>
      </c>
      <c r="AI93" s="17">
        <f>-_xlfn.XLOOKUP($C93,TB_NG!$E:$E,TB_NG!AK:AK)</f>
        <v>0</v>
      </c>
      <c r="AJ93" s="17">
        <f>-_xlfn.XLOOKUP($C93,TB_NG!$E:$E,TB_NG!AL:AL)</f>
        <v>0</v>
      </c>
      <c r="AK93" s="17">
        <f>-_xlfn.XLOOKUP($C93,TB_NG!$E:$E,TB_NG!AM:AM)</f>
        <v>0</v>
      </c>
      <c r="AL93" s="17">
        <f>-_xlfn.XLOOKUP($C93,TB_NG!$E:$E,TB_NG!AN:AN)</f>
        <v>0</v>
      </c>
      <c r="AM93" s="17">
        <f>-_xlfn.XLOOKUP($C93,TB_NG!$E:$E,TB_NG!AO:AO)</f>
        <v>0</v>
      </c>
      <c r="AS93" s="17">
        <f t="shared" si="15"/>
        <v>-4082888.6499999994</v>
      </c>
      <c r="AT93" s="17">
        <f t="shared" si="16"/>
        <v>-2281327.8000000003</v>
      </c>
    </row>
    <row r="94" spans="2:46" x14ac:dyDescent="0.2">
      <c r="B94" s="21">
        <v>60206</v>
      </c>
      <c r="C94" s="16" t="str">
        <f>_xlfn.XLOOKUP(B94,TB_NG!A:A,TB_NG!E:E)</f>
        <v>Business Development Expenses: Meals</v>
      </c>
      <c r="D94" s="17">
        <f>-_xlfn.XLOOKUP($C94,TB_NG!$E:$E,TB_NG!F:F)</f>
        <v>2634900</v>
      </c>
      <c r="E94" s="17">
        <f>-_xlfn.XLOOKUP($C94,TB_NG!$E:$E,TB_NG!G:G)</f>
        <v>0</v>
      </c>
      <c r="F94" s="17">
        <f>-_xlfn.XLOOKUP($C94,TB_NG!$E:$E,TB_NG!H:H)</f>
        <v>-1950000</v>
      </c>
      <c r="G94" s="17">
        <f>-_xlfn.XLOOKUP($C94,TB_NG!$E:$E,TB_NG!I:I)</f>
        <v>-380354</v>
      </c>
      <c r="H94" s="17">
        <f>-_xlfn.XLOOKUP($C94,TB_NG!$E:$E,TB_NG!J:J)</f>
        <v>-732221</v>
      </c>
      <c r="I94" s="17">
        <f>-_xlfn.XLOOKUP($C94,TB_NG!$E:$E,TB_NG!K:K)</f>
        <v>-8634018.6400000006</v>
      </c>
      <c r="J94" s="17">
        <f>-_xlfn.XLOOKUP($C94,TB_NG!$E:$E,TB_NG!L:L)</f>
        <v>-2901328</v>
      </c>
      <c r="K94" s="17">
        <f>-_xlfn.XLOOKUP($C94,TB_NG!$E:$E,TB_NG!M:M)</f>
        <v>-3600701.6</v>
      </c>
      <c r="L94" s="17">
        <f>-_xlfn.XLOOKUP($C94,TB_NG!$E:$E,TB_NG!N:N)</f>
        <v>-9031480.3000000007</v>
      </c>
      <c r="M94" s="17">
        <f>-_xlfn.XLOOKUP($C94,TB_NG!$E:$E,TB_NG!O:O)</f>
        <v>-4183327.2</v>
      </c>
      <c r="N94" s="17">
        <f>-_xlfn.XLOOKUP($C94,TB_NG!$E:$E,TB_NG!P:P)</f>
        <v>-7194475.7999999998</v>
      </c>
      <c r="O94" s="17">
        <f>-_xlfn.XLOOKUP($C94,TB_NG!$E:$E,TB_NG!Q:Q)</f>
        <v>0</v>
      </c>
      <c r="P94" s="17">
        <f>-_xlfn.XLOOKUP($C94,TB_NG!$E:$E,TB_NG!R:R)</f>
        <v>-4120675.5999999996</v>
      </c>
      <c r="Q94" s="17">
        <f>-_xlfn.XLOOKUP($C94,TB_NG!$E:$E,TB_NG!S:S)</f>
        <v>-593190.19999999995</v>
      </c>
      <c r="R94" s="17">
        <f>-_xlfn.XLOOKUP($C94,TB_NG!$E:$E,TB_NG!T:T)</f>
        <v>-1622330.1999999997</v>
      </c>
      <c r="S94" s="17">
        <f>-_xlfn.XLOOKUP($C94,TB_NG!$E:$E,TB_NG!U:U)</f>
        <v>-6008902.7999999998</v>
      </c>
      <c r="T94" s="17">
        <f>-_xlfn.XLOOKUP($C94,TB_NG!$E:$E,TB_NG!V:V)</f>
        <v>-1537105</v>
      </c>
      <c r="U94" s="17">
        <f>-_xlfn.XLOOKUP($C94,TB_NG!$E:$E,TB_NG!W:W)</f>
        <v>-3413335</v>
      </c>
      <c r="V94" s="17">
        <f>-_xlfn.XLOOKUP($C94,TB_NG!$E:$E,TB_NG!X:X)</f>
        <v>-985828</v>
      </c>
      <c r="W94" s="17">
        <f>-_xlfn.XLOOKUP($C94,TB_NG!$E:$E,TB_NG!Y:Y)</f>
        <v>-1115481.3</v>
      </c>
      <c r="X94" s="17">
        <f>-_xlfn.XLOOKUP($C94,TB_NG!$E:$E,TB_NG!Z:Z)</f>
        <v>-390000</v>
      </c>
      <c r="Y94" s="17">
        <f>-_xlfn.XLOOKUP($C94,TB_NG!$E:$E,TB_NG!AA:AA)</f>
        <v>-1081933.06</v>
      </c>
      <c r="Z94" s="17">
        <f>-_xlfn.XLOOKUP($C94,TB_NG!$E:$E,TB_NG!AB:AB)</f>
        <v>-2027824.5</v>
      </c>
      <c r="AA94" s="17">
        <f>-_xlfn.XLOOKUP($C94,TB_NG!$E:$E,TB_NG!AC:AC)</f>
        <v>0</v>
      </c>
      <c r="AB94" s="17">
        <f>-_xlfn.XLOOKUP($C94,TB_NG!$E:$E,TB_NG!AD:AD)</f>
        <v>-1380836.8</v>
      </c>
      <c r="AC94" s="17">
        <f>-_xlfn.XLOOKUP($C94,TB_NG!$E:$E,TB_NG!AE:AE)</f>
        <v>-2464477.5</v>
      </c>
      <c r="AD94" s="17">
        <f>-_xlfn.XLOOKUP($C94,TB_NG!$E:$E,TB_NG!AF:AF)</f>
        <v>-4408364.5999999996</v>
      </c>
      <c r="AE94" s="17">
        <f>-_xlfn.XLOOKUP($C94,TB_NG!$E:$E,TB_NG!AG:AG)</f>
        <v>-200000</v>
      </c>
      <c r="AF94" s="17">
        <f>-_xlfn.XLOOKUP($C94,TB_NG!$E:$E,TB_NG!AH:AH)</f>
        <v>0</v>
      </c>
      <c r="AG94" s="17">
        <f>-_xlfn.XLOOKUP($C94,TB_NG!$E:$E,TB_NG!AI:AI)</f>
        <v>0</v>
      </c>
      <c r="AH94" s="17">
        <f>-_xlfn.XLOOKUP($C94,TB_NG!$E:$E,TB_NG!AJ:AJ)</f>
        <v>0</v>
      </c>
      <c r="AI94" s="17">
        <f>-_xlfn.XLOOKUP($C94,TB_NG!$E:$E,TB_NG!AK:AK)</f>
        <v>0</v>
      </c>
      <c r="AJ94" s="17">
        <f>-_xlfn.XLOOKUP($C94,TB_NG!$E:$E,TB_NG!AL:AL)</f>
        <v>0</v>
      </c>
      <c r="AK94" s="17">
        <f>-_xlfn.XLOOKUP($C94,TB_NG!$E:$E,TB_NG!AM:AM)</f>
        <v>0</v>
      </c>
      <c r="AL94" s="17">
        <f>-_xlfn.XLOOKUP($C94,TB_NG!$E:$E,TB_NG!AN:AN)</f>
        <v>0</v>
      </c>
      <c r="AM94" s="17">
        <f>-_xlfn.XLOOKUP($C94,TB_NG!$E:$E,TB_NG!AO:AO)</f>
        <v>0</v>
      </c>
      <c r="AS94" s="17">
        <f t="shared" si="15"/>
        <v>-35973006.539999999</v>
      </c>
      <c r="AT94" s="17">
        <f t="shared" si="16"/>
        <v>-22896605.66</v>
      </c>
    </row>
    <row r="95" spans="2:46" x14ac:dyDescent="0.2">
      <c r="B95" s="21">
        <v>60210</v>
      </c>
      <c r="C95" s="16" t="str">
        <f>_xlfn.XLOOKUP(B95,TB_NG!A:A,TB_NG!E:E)</f>
        <v>Business Development Expenses: Transport &amp; Other Travel</v>
      </c>
      <c r="D95" s="17">
        <f>-_xlfn.XLOOKUP($C95,TB_NG!$E:$E,TB_NG!F:F)</f>
        <v>-970707.6100000001</v>
      </c>
      <c r="E95" s="17">
        <f>-_xlfn.XLOOKUP($C95,TB_NG!$E:$E,TB_NG!G:G)</f>
        <v>0</v>
      </c>
      <c r="F95" s="17">
        <f>-_xlfn.XLOOKUP($C95,TB_NG!$E:$E,TB_NG!H:H)</f>
        <v>-731885</v>
      </c>
      <c r="G95" s="17">
        <f>-_xlfn.XLOOKUP($C95,TB_NG!$E:$E,TB_NG!I:I)</f>
        <v>-3873367.1900000004</v>
      </c>
      <c r="H95" s="17">
        <f>-_xlfn.XLOOKUP($C95,TB_NG!$E:$E,TB_NG!J:J)</f>
        <v>-9955805.1999999993</v>
      </c>
      <c r="I95" s="17">
        <f>-_xlfn.XLOOKUP($C95,TB_NG!$E:$E,TB_NG!K:K)</f>
        <v>-20068048.760000002</v>
      </c>
      <c r="J95" s="17">
        <f>-_xlfn.XLOOKUP($C95,TB_NG!$E:$E,TB_NG!L:L)</f>
        <v>-10462672.91</v>
      </c>
      <c r="K95" s="17">
        <f>-_xlfn.XLOOKUP($C95,TB_NG!$E:$E,TB_NG!M:M)</f>
        <v>-11087430.330000002</v>
      </c>
      <c r="L95" s="17">
        <f>-_xlfn.XLOOKUP($C95,TB_NG!$E:$E,TB_NG!N:N)</f>
        <v>-501748.59999999963</v>
      </c>
      <c r="M95" s="17">
        <f>-_xlfn.XLOOKUP($C95,TB_NG!$E:$E,TB_NG!O:O)</f>
        <v>-17456505.419999998</v>
      </c>
      <c r="N95" s="17">
        <f>-_xlfn.XLOOKUP($C95,TB_NG!$E:$E,TB_NG!P:P)</f>
        <v>-7142775.0599999996</v>
      </c>
      <c r="O95" s="17">
        <f>-_xlfn.XLOOKUP($C95,TB_NG!$E:$E,TB_NG!Q:Q)</f>
        <v>-4156900</v>
      </c>
      <c r="P95" s="17">
        <f>-_xlfn.XLOOKUP($C95,TB_NG!$E:$E,TB_NG!R:R)</f>
        <v>-1447811.07</v>
      </c>
      <c r="Q95" s="17">
        <f>-_xlfn.XLOOKUP($C95,TB_NG!$E:$E,TB_NG!S:S)</f>
        <v>-6258383.4699999997</v>
      </c>
      <c r="R95" s="17">
        <f>-_xlfn.XLOOKUP($C95,TB_NG!$E:$E,TB_NG!T:T)</f>
        <v>-10325193.42</v>
      </c>
      <c r="S95" s="17">
        <f>-_xlfn.XLOOKUP($C95,TB_NG!$E:$E,TB_NG!U:U)</f>
        <v>-2408187.3500000006</v>
      </c>
      <c r="T95" s="17">
        <f>-_xlfn.XLOOKUP($C95,TB_NG!$E:$E,TB_NG!V:V)</f>
        <v>-5377065.3799999999</v>
      </c>
      <c r="U95" s="17">
        <f>-_xlfn.XLOOKUP($C95,TB_NG!$E:$E,TB_NG!W:W)</f>
        <v>-10142860.890000001</v>
      </c>
      <c r="V95" s="17">
        <f>-_xlfn.XLOOKUP($C95,TB_NG!$E:$E,TB_NG!X:X)</f>
        <v>-3317310.64</v>
      </c>
      <c r="W95" s="17">
        <f>-_xlfn.XLOOKUP($C95,TB_NG!$E:$E,TB_NG!Y:Y)</f>
        <v>-8727440.3200000003</v>
      </c>
      <c r="X95" s="17">
        <f>-_xlfn.XLOOKUP($C95,TB_NG!$E:$E,TB_NG!Z:Z)</f>
        <v>-3014733.25</v>
      </c>
      <c r="Y95" s="17">
        <f>-_xlfn.XLOOKUP($C95,TB_NG!$E:$E,TB_NG!AA:AA)</f>
        <v>-8235789.9199999999</v>
      </c>
      <c r="Z95" s="17">
        <f>-_xlfn.XLOOKUP($C95,TB_NG!$E:$E,TB_NG!AB:AB)</f>
        <v>-11913615.84</v>
      </c>
      <c r="AA95" s="17">
        <f>-_xlfn.XLOOKUP($C95,TB_NG!$E:$E,TB_NG!AC:AC)</f>
        <v>-687827.39</v>
      </c>
      <c r="AB95" s="17">
        <f>-_xlfn.XLOOKUP($C95,TB_NG!$E:$E,TB_NG!AD:AD)</f>
        <v>-3695790.41</v>
      </c>
      <c r="AC95" s="17">
        <f>-_xlfn.XLOOKUP($C95,TB_NG!$E:$E,TB_NG!AE:AE)</f>
        <v>-10809863.960000001</v>
      </c>
      <c r="AD95" s="17">
        <f>-_xlfn.XLOOKUP($C95,TB_NG!$E:$E,TB_NG!AF:AF)</f>
        <v>-19589850.420000002</v>
      </c>
      <c r="AE95" s="17">
        <f>-_xlfn.XLOOKUP($C95,TB_NG!$E:$E,TB_NG!AG:AG)</f>
        <v>-8062766.6500000004</v>
      </c>
      <c r="AF95" s="17">
        <f>-_xlfn.XLOOKUP($C95,TB_NG!$E:$E,TB_NG!AH:AH)</f>
        <v>0</v>
      </c>
      <c r="AG95" s="17">
        <f>-_xlfn.XLOOKUP($C95,TB_NG!$E:$E,TB_NG!AI:AI)</f>
        <v>0</v>
      </c>
      <c r="AH95" s="17">
        <f>-_xlfn.XLOOKUP($C95,TB_NG!$E:$E,TB_NG!AJ:AJ)</f>
        <v>0</v>
      </c>
      <c r="AI95" s="17">
        <f>-_xlfn.XLOOKUP($C95,TB_NG!$E:$E,TB_NG!AK:AK)</f>
        <v>0</v>
      </c>
      <c r="AJ95" s="17">
        <f>-_xlfn.XLOOKUP($C95,TB_NG!$E:$E,TB_NG!AL:AL)</f>
        <v>0</v>
      </c>
      <c r="AK95" s="17">
        <f>-_xlfn.XLOOKUP($C95,TB_NG!$E:$E,TB_NG!AM:AM)</f>
        <v>0</v>
      </c>
      <c r="AL95" s="17">
        <f>-_xlfn.XLOOKUP($C95,TB_NG!$E:$E,TB_NG!AN:AN)</f>
        <v>0</v>
      </c>
      <c r="AM95" s="17">
        <f>-_xlfn.XLOOKUP($C95,TB_NG!$E:$E,TB_NG!AO:AO)</f>
        <v>0</v>
      </c>
      <c r="AS95" s="17">
        <f t="shared" si="15"/>
        <v>-86407846.079999998</v>
      </c>
      <c r="AT95" s="17">
        <f t="shared" si="16"/>
        <v>-71856218.939999998</v>
      </c>
    </row>
    <row r="96" spans="2:46" x14ac:dyDescent="0.2">
      <c r="B96" s="21">
        <v>60211</v>
      </c>
      <c r="C96" s="16" t="str">
        <f>_xlfn.XLOOKUP(B96,TB_NG!A:A,TB_NG!E:E)</f>
        <v>Business Development Expenses:Sundry Expenses</v>
      </c>
      <c r="D96" s="17">
        <f>-_xlfn.XLOOKUP($C96,TB_NG!$E:$E,TB_NG!F:F)</f>
        <v>4957.5</v>
      </c>
      <c r="E96" s="17">
        <f>-_xlfn.XLOOKUP($C96,TB_NG!$E:$E,TB_NG!G:G)</f>
        <v>0</v>
      </c>
      <c r="F96" s="17">
        <f>-_xlfn.XLOOKUP($C96,TB_NG!$E:$E,TB_NG!H:H)</f>
        <v>-258160</v>
      </c>
      <c r="G96" s="17">
        <f>-_xlfn.XLOOKUP($C96,TB_NG!$E:$E,TB_NG!I:I)</f>
        <v>0</v>
      </c>
      <c r="H96" s="17">
        <f>-_xlfn.XLOOKUP($C96,TB_NG!$E:$E,TB_NG!J:J)</f>
        <v>-83545.56</v>
      </c>
      <c r="I96" s="17">
        <f>-_xlfn.XLOOKUP($C96,TB_NG!$E:$E,TB_NG!K:K)</f>
        <v>-5792525.1399999997</v>
      </c>
      <c r="J96" s="17">
        <f>-_xlfn.XLOOKUP($C96,TB_NG!$E:$E,TB_NG!L:L)</f>
        <v>-113064.6</v>
      </c>
      <c r="K96" s="17">
        <f>-_xlfn.XLOOKUP($C96,TB_NG!$E:$E,TB_NG!M:M)</f>
        <v>-429683.37</v>
      </c>
      <c r="L96" s="17">
        <f>-_xlfn.XLOOKUP($C96,TB_NG!$E:$E,TB_NG!N:N)</f>
        <v>-1060644.78</v>
      </c>
      <c r="M96" s="17">
        <f>-_xlfn.XLOOKUP($C96,TB_NG!$E:$E,TB_NG!O:O)</f>
        <v>-102016.53</v>
      </c>
      <c r="N96" s="17">
        <f>-_xlfn.XLOOKUP($C96,TB_NG!$E:$E,TB_NG!P:P)</f>
        <v>-43023.360000000001</v>
      </c>
      <c r="O96" s="17">
        <f>-_xlfn.XLOOKUP($C96,TB_NG!$E:$E,TB_NG!Q:Q)</f>
        <v>0</v>
      </c>
      <c r="P96" s="17">
        <f>-_xlfn.XLOOKUP($C96,TB_NG!$E:$E,TB_NG!R:R)</f>
        <v>-20000</v>
      </c>
      <c r="Q96" s="17">
        <f>-_xlfn.XLOOKUP($C96,TB_NG!$E:$E,TB_NG!S:S)</f>
        <v>0</v>
      </c>
      <c r="R96" s="17">
        <f>-_xlfn.XLOOKUP($C96,TB_NG!$E:$E,TB_NG!T:T)</f>
        <v>-9700</v>
      </c>
      <c r="S96" s="17">
        <f>-_xlfn.XLOOKUP($C96,TB_NG!$E:$E,TB_NG!U:U)</f>
        <v>-80035.45</v>
      </c>
      <c r="T96" s="17">
        <f>-_xlfn.XLOOKUP($C96,TB_NG!$E:$E,TB_NG!V:V)</f>
        <v>-50000</v>
      </c>
      <c r="U96" s="17">
        <f>-_xlfn.XLOOKUP($C96,TB_NG!$E:$E,TB_NG!W:W)</f>
        <v>-77437</v>
      </c>
      <c r="V96" s="17">
        <f>-_xlfn.XLOOKUP($C96,TB_NG!$E:$E,TB_NG!X:X)</f>
        <v>0</v>
      </c>
      <c r="W96" s="17">
        <f>-_xlfn.XLOOKUP($C96,TB_NG!$E:$E,TB_NG!Y:Y)</f>
        <v>-81927.98</v>
      </c>
      <c r="X96" s="17">
        <f>-_xlfn.XLOOKUP($C96,TB_NG!$E:$E,TB_NG!Z:Z)</f>
        <v>0</v>
      </c>
      <c r="Y96" s="17">
        <f>-_xlfn.XLOOKUP($C96,TB_NG!$E:$E,TB_NG!AA:AA)</f>
        <v>0</v>
      </c>
      <c r="Z96" s="17">
        <f>-_xlfn.XLOOKUP($C96,TB_NG!$E:$E,TB_NG!AB:AB)</f>
        <v>-6000</v>
      </c>
      <c r="AA96" s="17">
        <f>-_xlfn.XLOOKUP($C96,TB_NG!$E:$E,TB_NG!AC:AC)</f>
        <v>-151890</v>
      </c>
      <c r="AB96" s="17">
        <f>-_xlfn.XLOOKUP($C96,TB_NG!$E:$E,TB_NG!AD:AD)</f>
        <v>-125852.93</v>
      </c>
      <c r="AC96" s="17">
        <f>-_xlfn.XLOOKUP($C96,TB_NG!$E:$E,TB_NG!AE:AE)</f>
        <v>-211996.79999999999</v>
      </c>
      <c r="AD96" s="17">
        <f>-_xlfn.XLOOKUP($C96,TB_NG!$E:$E,TB_NG!AF:AF)</f>
        <v>-880164.51</v>
      </c>
      <c r="AE96" s="17">
        <f>-_xlfn.XLOOKUP($C96,TB_NG!$E:$E,TB_NG!AG:AG)</f>
        <v>-90500</v>
      </c>
      <c r="AF96" s="17">
        <f>-_xlfn.XLOOKUP($C96,TB_NG!$E:$E,TB_NG!AH:AH)</f>
        <v>0</v>
      </c>
      <c r="AG96" s="17">
        <f>-_xlfn.XLOOKUP($C96,TB_NG!$E:$E,TB_NG!AI:AI)</f>
        <v>0</v>
      </c>
      <c r="AH96" s="17">
        <f>-_xlfn.XLOOKUP($C96,TB_NG!$E:$E,TB_NG!AJ:AJ)</f>
        <v>0</v>
      </c>
      <c r="AI96" s="17">
        <f>-_xlfn.XLOOKUP($C96,TB_NG!$E:$E,TB_NG!AK:AK)</f>
        <v>0</v>
      </c>
      <c r="AJ96" s="17">
        <f>-_xlfn.XLOOKUP($C96,TB_NG!$E:$E,TB_NG!AL:AL)</f>
        <v>0</v>
      </c>
      <c r="AK96" s="17">
        <f>-_xlfn.XLOOKUP($C96,TB_NG!$E:$E,TB_NG!AM:AM)</f>
        <v>0</v>
      </c>
      <c r="AL96" s="17">
        <f>-_xlfn.XLOOKUP($C96,TB_NG!$E:$E,TB_NG!AN:AN)</f>
        <v>0</v>
      </c>
      <c r="AM96" s="17">
        <f>-_xlfn.XLOOKUP($C96,TB_NG!$E:$E,TB_NG!AO:AO)</f>
        <v>0</v>
      </c>
      <c r="AS96" s="17">
        <f t="shared" si="15"/>
        <v>-7877705.8399999999</v>
      </c>
      <c r="AT96" s="17">
        <f t="shared" si="16"/>
        <v>-476990.43</v>
      </c>
    </row>
    <row r="97" spans="2:46" x14ac:dyDescent="0.2">
      <c r="B97" s="21">
        <v>62101</v>
      </c>
      <c r="C97" s="16" t="str">
        <f>_xlfn.XLOOKUP(B97,TB_NG!A:A,TB_NG!E:E)</f>
        <v>Sales Commission</v>
      </c>
      <c r="D97" s="17">
        <f>-_xlfn.XLOOKUP($C97,TB_NG!$E:$E,TB_NG!F:F)</f>
        <v>0</v>
      </c>
      <c r="E97" s="17">
        <f>-_xlfn.XLOOKUP($C97,TB_NG!$E:$E,TB_NG!G:G)</f>
        <v>0</v>
      </c>
      <c r="F97" s="17">
        <f>-_xlfn.XLOOKUP($C97,TB_NG!$E:$E,TB_NG!H:H)</f>
        <v>0</v>
      </c>
      <c r="G97" s="17">
        <f>-_xlfn.XLOOKUP($C97,TB_NG!$E:$E,TB_NG!I:I)</f>
        <v>0</v>
      </c>
      <c r="H97" s="17">
        <f>-_xlfn.XLOOKUP($C97,TB_NG!$E:$E,TB_NG!J:J)</f>
        <v>0</v>
      </c>
      <c r="I97" s="17">
        <f>-_xlfn.XLOOKUP($C97,TB_NG!$E:$E,TB_NG!K:K)</f>
        <v>0</v>
      </c>
      <c r="J97" s="17">
        <f>-_xlfn.XLOOKUP($C97,TB_NG!$E:$E,TB_NG!L:L)</f>
        <v>0</v>
      </c>
      <c r="K97" s="17">
        <f>-_xlfn.XLOOKUP($C97,TB_NG!$E:$E,TB_NG!M:M)</f>
        <v>70251665.25</v>
      </c>
      <c r="L97" s="17">
        <f>-_xlfn.XLOOKUP($C97,TB_NG!$E:$E,TB_NG!N:N)</f>
        <v>0</v>
      </c>
      <c r="M97" s="17">
        <f>-_xlfn.XLOOKUP($C97,TB_NG!$E:$E,TB_NG!O:O)</f>
        <v>0</v>
      </c>
      <c r="N97" s="17">
        <f>-_xlfn.XLOOKUP($C97,TB_NG!$E:$E,TB_NG!P:P)</f>
        <v>0</v>
      </c>
      <c r="O97" s="17">
        <f>-_xlfn.XLOOKUP($C97,TB_NG!$E:$E,TB_NG!Q:Q)</f>
        <v>-92006275.999999985</v>
      </c>
      <c r="P97" s="17">
        <f>-_xlfn.XLOOKUP($C97,TB_NG!$E:$E,TB_NG!R:R)</f>
        <v>0</v>
      </c>
      <c r="Q97" s="17">
        <f>-_xlfn.XLOOKUP($C97,TB_NG!$E:$E,TB_NG!S:S)</f>
        <v>0</v>
      </c>
      <c r="R97" s="17">
        <f>-_xlfn.XLOOKUP($C97,TB_NG!$E:$E,TB_NG!T:T)</f>
        <v>0</v>
      </c>
      <c r="S97" s="17">
        <f>-_xlfn.XLOOKUP($C97,TB_NG!$E:$E,TB_NG!U:U)</f>
        <v>0</v>
      </c>
      <c r="T97" s="17">
        <f>-_xlfn.XLOOKUP($C97,TB_NG!$E:$E,TB_NG!V:V)</f>
        <v>-61442161.840000004</v>
      </c>
      <c r="U97" s="17">
        <f>-_xlfn.XLOOKUP($C97,TB_NG!$E:$E,TB_NG!W:W)</f>
        <v>0</v>
      </c>
      <c r="V97" s="17">
        <f>-_xlfn.XLOOKUP($C97,TB_NG!$E:$E,TB_NG!X:X)</f>
        <v>-36000350</v>
      </c>
      <c r="W97" s="17">
        <f>-_xlfn.XLOOKUP($C97,TB_NG!$E:$E,TB_NG!Y:Y)</f>
        <v>-41383464</v>
      </c>
      <c r="X97" s="17">
        <f>-_xlfn.XLOOKUP($C97,TB_NG!$E:$E,TB_NG!Z:Z)</f>
        <v>0</v>
      </c>
      <c r="Y97" s="17">
        <f>-_xlfn.XLOOKUP($C97,TB_NG!$E:$E,TB_NG!AA:AA)</f>
        <v>0</v>
      </c>
      <c r="Z97" s="17">
        <f>-_xlfn.XLOOKUP($C97,TB_NG!$E:$E,TB_NG!AB:AB)</f>
        <v>0</v>
      </c>
      <c r="AA97" s="17">
        <f>-_xlfn.XLOOKUP($C97,TB_NG!$E:$E,TB_NG!AC:AC)</f>
        <v>-121392723.47</v>
      </c>
      <c r="AB97" s="17">
        <f>-_xlfn.XLOOKUP($C97,TB_NG!$E:$E,TB_NG!AD:AD)</f>
        <v>0</v>
      </c>
      <c r="AC97" s="17">
        <f>-_xlfn.XLOOKUP($C97,TB_NG!$E:$E,TB_NG!AE:AE)</f>
        <v>0</v>
      </c>
      <c r="AD97" s="17">
        <f>-_xlfn.XLOOKUP($C97,TB_NG!$E:$E,TB_NG!AF:AF)</f>
        <v>0</v>
      </c>
      <c r="AE97" s="17">
        <f>-_xlfn.XLOOKUP($C97,TB_NG!$E:$E,TB_NG!AG:AG)</f>
        <v>0</v>
      </c>
      <c r="AF97" s="17">
        <f>-_xlfn.XLOOKUP($C97,TB_NG!$E:$E,TB_NG!AH:AH)</f>
        <v>0</v>
      </c>
      <c r="AG97" s="17">
        <f>-_xlfn.XLOOKUP($C97,TB_NG!$E:$E,TB_NG!AI:AI)</f>
        <v>0</v>
      </c>
      <c r="AH97" s="17">
        <f>-_xlfn.XLOOKUP($C97,TB_NG!$E:$E,TB_NG!AJ:AJ)</f>
        <v>0</v>
      </c>
      <c r="AI97" s="17">
        <f>-_xlfn.XLOOKUP($C97,TB_NG!$E:$E,TB_NG!AK:AK)</f>
        <v>0</v>
      </c>
      <c r="AJ97" s="17">
        <f>-_xlfn.XLOOKUP($C97,TB_NG!$E:$E,TB_NG!AL:AL)</f>
        <v>0</v>
      </c>
      <c r="AK97" s="17">
        <f>-_xlfn.XLOOKUP($C97,TB_NG!$E:$E,TB_NG!AM:AM)</f>
        <v>0</v>
      </c>
      <c r="AL97" s="17">
        <f>-_xlfn.XLOOKUP($C97,TB_NG!$E:$E,TB_NG!AN:AN)</f>
        <v>0</v>
      </c>
      <c r="AM97" s="17">
        <f>-_xlfn.XLOOKUP($C97,TB_NG!$E:$E,TB_NG!AO:AO)</f>
        <v>0</v>
      </c>
      <c r="AS97" s="17">
        <f t="shared" si="15"/>
        <v>-21754610.749999985</v>
      </c>
      <c r="AT97" s="17">
        <f t="shared" si="16"/>
        <v>-260218699.31</v>
      </c>
    </row>
    <row r="98" spans="2:46" x14ac:dyDescent="0.2">
      <c r="B98" s="21">
        <v>67010</v>
      </c>
      <c r="C98" s="16" t="str">
        <f>_xlfn.XLOOKUP(B98,TB_NG!A:A,TB_NG!E:E)</f>
        <v>Bad Debt</v>
      </c>
      <c r="D98" s="17">
        <f>-_xlfn.XLOOKUP($C98,TB_NG!$E:$E,TB_NG!F:F)</f>
        <v>0</v>
      </c>
      <c r="E98" s="17">
        <f>-_xlfn.XLOOKUP($C98,TB_NG!$E:$E,TB_NG!G:G)</f>
        <v>0</v>
      </c>
      <c r="F98" s="17">
        <f>-_xlfn.XLOOKUP($C98,TB_NG!$E:$E,TB_NG!H:H)</f>
        <v>0</v>
      </c>
      <c r="G98" s="17">
        <f>-_xlfn.XLOOKUP($C98,TB_NG!$E:$E,TB_NG!I:I)</f>
        <v>0</v>
      </c>
      <c r="H98" s="17">
        <f>-_xlfn.XLOOKUP($C98,TB_NG!$E:$E,TB_NG!J:J)</f>
        <v>0</v>
      </c>
      <c r="I98" s="17">
        <f>-_xlfn.XLOOKUP($C98,TB_NG!$E:$E,TB_NG!K:K)</f>
        <v>0</v>
      </c>
      <c r="J98" s="17">
        <f>-_xlfn.XLOOKUP($C98,TB_NG!$E:$E,TB_NG!L:L)</f>
        <v>0</v>
      </c>
      <c r="K98" s="17">
        <f>-_xlfn.XLOOKUP($C98,TB_NG!$E:$E,TB_NG!M:M)</f>
        <v>0</v>
      </c>
      <c r="L98" s="17">
        <f>-_xlfn.XLOOKUP($C98,TB_NG!$E:$E,TB_NG!N:N)</f>
        <v>0</v>
      </c>
      <c r="M98" s="17">
        <f>-_xlfn.XLOOKUP($C98,TB_NG!$E:$E,TB_NG!O:O)</f>
        <v>0</v>
      </c>
      <c r="N98" s="17">
        <f>-_xlfn.XLOOKUP($C98,TB_NG!$E:$E,TB_NG!P:P)</f>
        <v>0</v>
      </c>
      <c r="O98" s="17">
        <f>-_xlfn.XLOOKUP($C98,TB_NG!$E:$E,TB_NG!Q:Q)</f>
        <v>-15021474.17</v>
      </c>
      <c r="P98" s="17">
        <f>-_xlfn.XLOOKUP($C98,TB_NG!$E:$E,TB_NG!R:R)</f>
        <v>0</v>
      </c>
      <c r="Q98" s="17">
        <f>-_xlfn.XLOOKUP($C98,TB_NG!$E:$E,TB_NG!S:S)</f>
        <v>0</v>
      </c>
      <c r="R98" s="17">
        <f>-_xlfn.XLOOKUP($C98,TB_NG!$E:$E,TB_NG!T:T)</f>
        <v>0</v>
      </c>
      <c r="S98" s="17">
        <f>-_xlfn.XLOOKUP($C98,TB_NG!$E:$E,TB_NG!U:U)</f>
        <v>0</v>
      </c>
      <c r="T98" s="17">
        <f>-_xlfn.XLOOKUP($C98,TB_NG!$E:$E,TB_NG!V:V)</f>
        <v>0</v>
      </c>
      <c r="U98" s="17">
        <f>-_xlfn.XLOOKUP($C98,TB_NG!$E:$E,TB_NG!W:W)</f>
        <v>0</v>
      </c>
      <c r="V98" s="17">
        <f>-_xlfn.XLOOKUP($C98,TB_NG!$E:$E,TB_NG!X:X)</f>
        <v>0</v>
      </c>
      <c r="W98" s="17">
        <f>-_xlfn.XLOOKUP($C98,TB_NG!$E:$E,TB_NG!Y:Y)</f>
        <v>-15172.34</v>
      </c>
      <c r="X98" s="17">
        <f>-_xlfn.XLOOKUP($C98,TB_NG!$E:$E,TB_NG!Z:Z)</f>
        <v>-35518386.560000002</v>
      </c>
      <c r="Y98" s="17">
        <f>-_xlfn.XLOOKUP($C98,TB_NG!$E:$E,TB_NG!AA:AA)</f>
        <v>0</v>
      </c>
      <c r="Z98" s="17">
        <f>-_xlfn.XLOOKUP($C98,TB_NG!$E:$E,TB_NG!AB:AB)</f>
        <v>0</v>
      </c>
      <c r="AA98" s="17">
        <f>-_xlfn.XLOOKUP($C98,TB_NG!$E:$E,TB_NG!AC:AC)</f>
        <v>0</v>
      </c>
      <c r="AB98" s="17">
        <f>-_xlfn.XLOOKUP($C98,TB_NG!$E:$E,TB_NG!AD:AD)</f>
        <v>0</v>
      </c>
      <c r="AC98" s="17">
        <f>-_xlfn.XLOOKUP($C98,TB_NG!$E:$E,TB_NG!AE:AE)</f>
        <v>0</v>
      </c>
      <c r="AD98" s="17">
        <f>-_xlfn.XLOOKUP($C98,TB_NG!$E:$E,TB_NG!AF:AF)</f>
        <v>-11700000</v>
      </c>
      <c r="AE98" s="17">
        <f>-_xlfn.XLOOKUP($C98,TB_NG!$E:$E,TB_NG!AG:AG)</f>
        <v>0</v>
      </c>
      <c r="AF98" s="17">
        <f>-_xlfn.XLOOKUP($C98,TB_NG!$E:$E,TB_NG!AH:AH)</f>
        <v>0</v>
      </c>
      <c r="AG98" s="17">
        <f>-_xlfn.XLOOKUP($C98,TB_NG!$E:$E,TB_NG!AI:AI)</f>
        <v>0</v>
      </c>
      <c r="AH98" s="17">
        <f>-_xlfn.XLOOKUP($C98,TB_NG!$E:$E,TB_NG!AJ:AJ)</f>
        <v>0</v>
      </c>
      <c r="AI98" s="17">
        <f>-_xlfn.XLOOKUP($C98,TB_NG!$E:$E,TB_NG!AK:AK)</f>
        <v>0</v>
      </c>
      <c r="AJ98" s="17">
        <f>-_xlfn.XLOOKUP($C98,TB_NG!$E:$E,TB_NG!AL:AL)</f>
        <v>0</v>
      </c>
      <c r="AK98" s="17">
        <f>-_xlfn.XLOOKUP($C98,TB_NG!$E:$E,TB_NG!AM:AM)</f>
        <v>0</v>
      </c>
      <c r="AL98" s="17">
        <f>-_xlfn.XLOOKUP($C98,TB_NG!$E:$E,TB_NG!AN:AN)</f>
        <v>0</v>
      </c>
      <c r="AM98" s="17">
        <f>-_xlfn.XLOOKUP($C98,TB_NG!$E:$E,TB_NG!AO:AO)</f>
        <v>0</v>
      </c>
      <c r="AS98" s="17">
        <f t="shared" si="15"/>
        <v>-15021474.17</v>
      </c>
      <c r="AT98" s="17">
        <f t="shared" si="16"/>
        <v>-35533558.900000006</v>
      </c>
    </row>
    <row r="99" spans="2:46" s="20" customFormat="1" ht="13.5" customHeight="1" x14ac:dyDescent="0.15">
      <c r="C99" s="22" t="s">
        <v>129</v>
      </c>
      <c r="D99" s="23">
        <f>SUM(D85:D98)</f>
        <v>-118290.1100000001</v>
      </c>
      <c r="E99" s="23">
        <f t="shared" ref="E99:AM99" si="17">SUM(E85:E98)</f>
        <v>-4284812.5200000005</v>
      </c>
      <c r="F99" s="23">
        <f t="shared" si="17"/>
        <v>-7492140</v>
      </c>
      <c r="G99" s="23">
        <f t="shared" si="17"/>
        <v>-37831869.590000004</v>
      </c>
      <c r="H99" s="23">
        <f t="shared" si="17"/>
        <v>-19475705.59</v>
      </c>
      <c r="I99" s="23">
        <f t="shared" si="17"/>
        <v>-40166988.219999999</v>
      </c>
      <c r="J99" s="23">
        <f t="shared" si="17"/>
        <v>-21977313.240000002</v>
      </c>
      <c r="K99" s="23">
        <f t="shared" si="17"/>
        <v>34053925.399999999</v>
      </c>
      <c r="L99" s="23">
        <f t="shared" si="17"/>
        <v>-16495390.759999998</v>
      </c>
      <c r="M99" s="23">
        <f t="shared" si="17"/>
        <v>-62563271.620000005</v>
      </c>
      <c r="N99" s="23">
        <f t="shared" si="17"/>
        <v>-125819001.69999999</v>
      </c>
      <c r="O99" s="23">
        <f t="shared" si="17"/>
        <v>-141484029.31999996</v>
      </c>
      <c r="P99" s="23">
        <f t="shared" si="17"/>
        <v>-30459063.839999996</v>
      </c>
      <c r="Q99" s="23">
        <f t="shared" si="17"/>
        <v>-91375305.700000003</v>
      </c>
      <c r="R99" s="23">
        <f t="shared" si="17"/>
        <v>-74476608.519999996</v>
      </c>
      <c r="S99" s="23">
        <f t="shared" si="17"/>
        <v>-73841083.439999998</v>
      </c>
      <c r="T99" s="23">
        <f t="shared" si="17"/>
        <v>-112937944.58000001</v>
      </c>
      <c r="U99" s="23">
        <f t="shared" si="17"/>
        <v>-21246884.539999999</v>
      </c>
      <c r="V99" s="23">
        <f t="shared" si="17"/>
        <v>-49071110.689999998</v>
      </c>
      <c r="W99" s="23">
        <f t="shared" si="17"/>
        <v>-86386032.379999995</v>
      </c>
      <c r="X99" s="23">
        <f t="shared" si="17"/>
        <v>-82658596.349999994</v>
      </c>
      <c r="Y99" s="23">
        <f t="shared" si="17"/>
        <v>-46817662.120000005</v>
      </c>
      <c r="Z99" s="23">
        <f t="shared" si="17"/>
        <v>-85220819.819999993</v>
      </c>
      <c r="AA99" s="23">
        <f t="shared" si="17"/>
        <v>-139674000.53</v>
      </c>
      <c r="AB99" s="23">
        <f t="shared" si="17"/>
        <v>-14356724.09</v>
      </c>
      <c r="AC99" s="23">
        <f t="shared" si="17"/>
        <v>-37186589.799999997</v>
      </c>
      <c r="AD99" s="23">
        <f t="shared" si="17"/>
        <v>-59608413.710000001</v>
      </c>
      <c r="AE99" s="23">
        <f t="shared" si="17"/>
        <v>-9710203.5800000001</v>
      </c>
      <c r="AF99" s="23">
        <f t="shared" si="17"/>
        <v>0</v>
      </c>
      <c r="AG99" s="23">
        <f t="shared" si="17"/>
        <v>0</v>
      </c>
      <c r="AH99" s="23">
        <f t="shared" si="17"/>
        <v>0</v>
      </c>
      <c r="AI99" s="23">
        <f t="shared" si="17"/>
        <v>0</v>
      </c>
      <c r="AJ99" s="23">
        <f t="shared" si="17"/>
        <v>0</v>
      </c>
      <c r="AK99" s="23">
        <f t="shared" si="17"/>
        <v>0</v>
      </c>
      <c r="AL99" s="23">
        <f t="shared" si="17"/>
        <v>0</v>
      </c>
      <c r="AM99" s="23">
        <f t="shared" si="17"/>
        <v>0</v>
      </c>
      <c r="AS99" s="23">
        <f>SUM(D99:O99)</f>
        <v>-443654887.26999998</v>
      </c>
      <c r="AT99" s="23">
        <f>SUM(P99:AA99)</f>
        <v>-894165112.50999999</v>
      </c>
    </row>
    <row r="100" spans="2:46" x14ac:dyDescent="0.2">
      <c r="B100" s="21"/>
      <c r="C100" s="16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8"/>
    </row>
    <row r="101" spans="2:46" x14ac:dyDescent="0.2">
      <c r="B101" s="21"/>
      <c r="C101" s="20" t="s">
        <v>130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8"/>
    </row>
    <row r="102" spans="2:46" x14ac:dyDescent="0.2">
      <c r="B102" s="21">
        <v>60010</v>
      </c>
      <c r="C102" s="16" t="str">
        <f>_xlfn.XLOOKUP(B102,TB_NG!A:A,TB_NG!E:E)</f>
        <v>Rental Expense</v>
      </c>
      <c r="D102" s="17">
        <f>-_xlfn.XLOOKUP($C102,TB_NG!$E:$E,TB_NG!F:F)</f>
        <v>-1600000</v>
      </c>
      <c r="E102" s="17">
        <f>-_xlfn.XLOOKUP($C102,TB_NG!$E:$E,TB_NG!G:G)</f>
        <v>-1600000</v>
      </c>
      <c r="F102" s="17">
        <f>-_xlfn.XLOOKUP($C102,TB_NG!$E:$E,TB_NG!H:H)</f>
        <v>-1600000</v>
      </c>
      <c r="G102" s="17">
        <f>-_xlfn.XLOOKUP($C102,TB_NG!$E:$E,TB_NG!I:I)</f>
        <v>-1600000</v>
      </c>
      <c r="H102" s="17">
        <f>-_xlfn.XLOOKUP($C102,TB_NG!$E:$E,TB_NG!J:J)</f>
        <v>-2911111.1100000003</v>
      </c>
      <c r="I102" s="17">
        <f>-_xlfn.XLOOKUP($C102,TB_NG!$E:$E,TB_NG!K:K)</f>
        <v>-2037037.04</v>
      </c>
      <c r="J102" s="17">
        <f>-_xlfn.XLOOKUP($C102,TB_NG!$E:$E,TB_NG!L:L)</f>
        <v>-2037037.04</v>
      </c>
      <c r="K102" s="17">
        <f>-_xlfn.XLOOKUP($C102,TB_NG!$E:$E,TB_NG!M:M)</f>
        <v>-2037037.04</v>
      </c>
      <c r="L102" s="17">
        <f>-_xlfn.XLOOKUP($C102,TB_NG!$E:$E,TB_NG!N:N)</f>
        <v>-2037037.04</v>
      </c>
      <c r="M102" s="17">
        <f>-_xlfn.XLOOKUP($C102,TB_NG!$E:$E,TB_NG!O:O)</f>
        <v>-2037037.04</v>
      </c>
      <c r="N102" s="17">
        <f>-_xlfn.XLOOKUP($C102,TB_NG!$E:$E,TB_NG!P:P)</f>
        <v>-2037037.04</v>
      </c>
      <c r="O102" s="17">
        <f>-_xlfn.XLOOKUP($C102,TB_NG!$E:$E,TB_NG!Q:Q)</f>
        <v>-2037037.04</v>
      </c>
      <c r="P102" s="17">
        <f>-_xlfn.XLOOKUP($C102,TB_NG!$E:$E,TB_NG!R:R)</f>
        <v>-2037037.04</v>
      </c>
      <c r="Q102" s="17">
        <f>-_xlfn.XLOOKUP($C102,TB_NG!$E:$E,TB_NG!S:S)</f>
        <v>-2037037</v>
      </c>
      <c r="R102" s="17">
        <f>-_xlfn.XLOOKUP($C102,TB_NG!$E:$E,TB_NG!T:T)</f>
        <v>-2407407.41</v>
      </c>
      <c r="S102" s="17">
        <f>-_xlfn.XLOOKUP($C102,TB_NG!$E:$E,TB_NG!U:U)</f>
        <v>-2407407.41</v>
      </c>
      <c r="T102" s="17">
        <f>-_xlfn.XLOOKUP($C102,TB_NG!$E:$E,TB_NG!V:V)</f>
        <v>-2407407.41</v>
      </c>
      <c r="U102" s="17">
        <f>-_xlfn.XLOOKUP($C102,TB_NG!$E:$E,TB_NG!W:W)</f>
        <v>-2407407.41</v>
      </c>
      <c r="V102" s="17">
        <f>-_xlfn.XLOOKUP($C102,TB_NG!$E:$E,TB_NG!X:X)</f>
        <v>-2407407.41</v>
      </c>
      <c r="W102" s="17">
        <f>-_xlfn.XLOOKUP($C102,TB_NG!$E:$E,TB_NG!Y:Y)</f>
        <v>-2407407.41</v>
      </c>
      <c r="X102" s="17">
        <f>-_xlfn.XLOOKUP($C102,TB_NG!$E:$E,TB_NG!Z:Z)</f>
        <v>3166666.6799999997</v>
      </c>
      <c r="Y102" s="17">
        <f>-_xlfn.XLOOKUP($C102,TB_NG!$E:$E,TB_NG!AA:AA)</f>
        <v>-1611111.11</v>
      </c>
      <c r="Z102" s="17">
        <f>-_xlfn.XLOOKUP($C102,TB_NG!$E:$E,TB_NG!AB:AB)</f>
        <v>-1611111.11</v>
      </c>
      <c r="AA102" s="17">
        <f>-_xlfn.XLOOKUP($C102,TB_NG!$E:$E,TB_NG!AC:AC)</f>
        <v>-1611111.11</v>
      </c>
      <c r="AB102" s="17">
        <f>-_xlfn.XLOOKUP($C102,TB_NG!$E:$E,TB_NG!AD:AD)</f>
        <v>-1611111.11</v>
      </c>
      <c r="AC102" s="17">
        <f>-_xlfn.XLOOKUP($C102,TB_NG!$E:$E,TB_NG!AE:AE)</f>
        <v>-1611111.1</v>
      </c>
      <c r="AD102" s="17">
        <f>-_xlfn.XLOOKUP($C102,TB_NG!$E:$E,TB_NG!AF:AF)</f>
        <v>-1611111.1</v>
      </c>
      <c r="AE102" s="17">
        <f>-_xlfn.XLOOKUP($C102,TB_NG!$E:$E,TB_NG!AG:AG)</f>
        <v>-1611111.1</v>
      </c>
      <c r="AF102" s="17">
        <f>-_xlfn.XLOOKUP($C102,TB_NG!$E:$E,TB_NG!AH:AH)</f>
        <v>0</v>
      </c>
      <c r="AG102" s="17">
        <f>-_xlfn.XLOOKUP($C102,TB_NG!$E:$E,TB_NG!AI:AI)</f>
        <v>0</v>
      </c>
      <c r="AH102" s="17">
        <f>-_xlfn.XLOOKUP($C102,TB_NG!$E:$E,TB_NG!AJ:AJ)</f>
        <v>0</v>
      </c>
      <c r="AI102" s="17">
        <f>-_xlfn.XLOOKUP($C102,TB_NG!$E:$E,TB_NG!AK:AK)</f>
        <v>0</v>
      </c>
      <c r="AJ102" s="17">
        <f>-_xlfn.XLOOKUP($C102,TB_NG!$E:$E,TB_NG!AL:AL)</f>
        <v>0</v>
      </c>
      <c r="AK102" s="17">
        <f>-_xlfn.XLOOKUP($C102,TB_NG!$E:$E,TB_NG!AM:AM)</f>
        <v>0</v>
      </c>
      <c r="AL102" s="17">
        <f>-_xlfn.XLOOKUP($C102,TB_NG!$E:$E,TB_NG!AN:AN)</f>
        <v>0</v>
      </c>
      <c r="AM102" s="17">
        <f>-_xlfn.XLOOKUP($C102,TB_NG!$E:$E,TB_NG!AO:AO)</f>
        <v>0</v>
      </c>
      <c r="AS102" s="17">
        <f t="shared" ref="AS102:AS130" si="18">SUM(D102:O102)</f>
        <v>-23570370.389999993</v>
      </c>
      <c r="AT102" s="17">
        <f t="shared" ref="AT102:AT130" si="19">SUM(P102:AA102)</f>
        <v>-20185185.149999999</v>
      </c>
    </row>
    <row r="103" spans="2:46" x14ac:dyDescent="0.2">
      <c r="B103" s="21">
        <v>60015</v>
      </c>
      <c r="C103" s="16" t="str">
        <f>_xlfn.XLOOKUP(B103,TB_NG!A:A,TB_NG!E:E)</f>
        <v>Repairs and Maintenance</v>
      </c>
      <c r="D103" s="17">
        <f>-_xlfn.XLOOKUP($C103,TB_NG!$E:$E,TB_NG!F:F)</f>
        <v>0</v>
      </c>
      <c r="E103" s="17">
        <f>-_xlfn.XLOOKUP($C103,TB_NG!$E:$E,TB_NG!G:G)</f>
        <v>0</v>
      </c>
      <c r="F103" s="17">
        <f>-_xlfn.XLOOKUP($C103,TB_NG!$E:$E,TB_NG!H:H)</f>
        <v>0</v>
      </c>
      <c r="G103" s="17">
        <f>-_xlfn.XLOOKUP($C103,TB_NG!$E:$E,TB_NG!I:I)</f>
        <v>0</v>
      </c>
      <c r="H103" s="17">
        <f>-_xlfn.XLOOKUP($C103,TB_NG!$E:$E,TB_NG!J:J)</f>
        <v>0</v>
      </c>
      <c r="I103" s="17">
        <f>-_xlfn.XLOOKUP($C103,TB_NG!$E:$E,TB_NG!K:K)</f>
        <v>0</v>
      </c>
      <c r="J103" s="17">
        <f>-_xlfn.XLOOKUP($C103,TB_NG!$E:$E,TB_NG!L:L)</f>
        <v>0</v>
      </c>
      <c r="K103" s="17">
        <f>-_xlfn.XLOOKUP($C103,TB_NG!$E:$E,TB_NG!M:M)</f>
        <v>0</v>
      </c>
      <c r="L103" s="17">
        <f>-_xlfn.XLOOKUP($C103,TB_NG!$E:$E,TB_NG!N:N)</f>
        <v>0</v>
      </c>
      <c r="M103" s="17">
        <f>-_xlfn.XLOOKUP($C103,TB_NG!$E:$E,TB_NG!O:O)</f>
        <v>0</v>
      </c>
      <c r="N103" s="17">
        <f>-_xlfn.XLOOKUP($C103,TB_NG!$E:$E,TB_NG!P:P)</f>
        <v>0</v>
      </c>
      <c r="O103" s="17">
        <f>-_xlfn.XLOOKUP($C103,TB_NG!$E:$E,TB_NG!Q:Q)</f>
        <v>0</v>
      </c>
      <c r="P103" s="17">
        <f>-_xlfn.XLOOKUP($C103,TB_NG!$E:$E,TB_NG!R:R)</f>
        <v>0</v>
      </c>
      <c r="Q103" s="17">
        <f>-_xlfn.XLOOKUP($C103,TB_NG!$E:$E,TB_NG!S:S)</f>
        <v>0</v>
      </c>
      <c r="R103" s="17">
        <f>-_xlfn.XLOOKUP($C103,TB_NG!$E:$E,TB_NG!T:T)</f>
        <v>0</v>
      </c>
      <c r="S103" s="17">
        <f>-_xlfn.XLOOKUP($C103,TB_NG!$E:$E,TB_NG!U:U)</f>
        <v>0</v>
      </c>
      <c r="T103" s="17">
        <f>-_xlfn.XLOOKUP($C103,TB_NG!$E:$E,TB_NG!V:V)</f>
        <v>0</v>
      </c>
      <c r="U103" s="17">
        <f>-_xlfn.XLOOKUP($C103,TB_NG!$E:$E,TB_NG!W:W)</f>
        <v>0</v>
      </c>
      <c r="V103" s="17">
        <f>-_xlfn.XLOOKUP($C103,TB_NG!$E:$E,TB_NG!X:X)</f>
        <v>0</v>
      </c>
      <c r="W103" s="17">
        <f>-_xlfn.XLOOKUP($C103,TB_NG!$E:$E,TB_NG!Y:Y)</f>
        <v>0</v>
      </c>
      <c r="X103" s="17">
        <f>-_xlfn.XLOOKUP($C103,TB_NG!$E:$E,TB_NG!Z:Z)</f>
        <v>0</v>
      </c>
      <c r="Y103" s="17">
        <f>-_xlfn.XLOOKUP($C103,TB_NG!$E:$E,TB_NG!AA:AA)</f>
        <v>0</v>
      </c>
      <c r="Z103" s="17">
        <f>-_xlfn.XLOOKUP($C103,TB_NG!$E:$E,TB_NG!AB:AB)</f>
        <v>0</v>
      </c>
      <c r="AA103" s="17">
        <f>-_xlfn.XLOOKUP($C103,TB_NG!$E:$E,TB_NG!AC:AC)</f>
        <v>0</v>
      </c>
      <c r="AB103" s="17">
        <f>-_xlfn.XLOOKUP($C103,TB_NG!$E:$E,TB_NG!AD:AD)</f>
        <v>0</v>
      </c>
      <c r="AC103" s="17">
        <f>-_xlfn.XLOOKUP($C103,TB_NG!$E:$E,TB_NG!AE:AE)</f>
        <v>0</v>
      </c>
      <c r="AD103" s="17">
        <f>-_xlfn.XLOOKUP($C103,TB_NG!$E:$E,TB_NG!AF:AF)</f>
        <v>0</v>
      </c>
      <c r="AE103" s="17">
        <f>-_xlfn.XLOOKUP($C103,TB_NG!$E:$E,TB_NG!AG:AG)</f>
        <v>-100000</v>
      </c>
      <c r="AF103" s="17">
        <f>-_xlfn.XLOOKUP($C103,TB_NG!$E:$E,TB_NG!AH:AH)</f>
        <v>0</v>
      </c>
      <c r="AG103" s="17">
        <f>-_xlfn.XLOOKUP($C103,TB_NG!$E:$E,TB_NG!AI:AI)</f>
        <v>0</v>
      </c>
      <c r="AH103" s="17">
        <f>-_xlfn.XLOOKUP($C103,TB_NG!$E:$E,TB_NG!AJ:AJ)</f>
        <v>0</v>
      </c>
      <c r="AI103" s="17">
        <f>-_xlfn.XLOOKUP($C103,TB_NG!$E:$E,TB_NG!AK:AK)</f>
        <v>0</v>
      </c>
      <c r="AJ103" s="17">
        <f>-_xlfn.XLOOKUP($C103,TB_NG!$E:$E,TB_NG!AL:AL)</f>
        <v>0</v>
      </c>
      <c r="AK103" s="17">
        <f>-_xlfn.XLOOKUP($C103,TB_NG!$E:$E,TB_NG!AM:AM)</f>
        <v>0</v>
      </c>
      <c r="AL103" s="17">
        <f>-_xlfn.XLOOKUP($C103,TB_NG!$E:$E,TB_NG!AN:AN)</f>
        <v>0</v>
      </c>
      <c r="AM103" s="17">
        <f>-_xlfn.XLOOKUP($C103,TB_NG!$E:$E,TB_NG!AO:AO)</f>
        <v>0</v>
      </c>
      <c r="AS103" s="17"/>
      <c r="AT103" s="17"/>
    </row>
    <row r="104" spans="2:46" x14ac:dyDescent="0.2">
      <c r="B104" s="21">
        <v>60020</v>
      </c>
      <c r="C104" s="16" t="str">
        <f>_xlfn.XLOOKUP(B104,TB_NG!A:A,TB_NG!E:E)</f>
        <v>Repairs and Maintenance: Furniture &amp; Fittings</v>
      </c>
      <c r="D104" s="17">
        <f>-_xlfn.XLOOKUP($C104,TB_NG!$E:$E,TB_NG!F:F)</f>
        <v>-13000</v>
      </c>
      <c r="E104" s="17">
        <f>-_xlfn.XLOOKUP($C104,TB_NG!$E:$E,TB_NG!G:G)</f>
        <v>-6000</v>
      </c>
      <c r="F104" s="17">
        <f>-_xlfn.XLOOKUP($C104,TB_NG!$E:$E,TB_NG!H:H)</f>
        <v>-9000</v>
      </c>
      <c r="G104" s="17">
        <f>-_xlfn.XLOOKUP($C104,TB_NG!$E:$E,TB_NG!I:I)</f>
        <v>-387000</v>
      </c>
      <c r="H104" s="17">
        <f>-_xlfn.XLOOKUP($C104,TB_NG!$E:$E,TB_NG!J:J)</f>
        <v>-841542.26</v>
      </c>
      <c r="I104" s="17">
        <f>-_xlfn.XLOOKUP($C104,TB_NG!$E:$E,TB_NG!K:K)</f>
        <v>-129000</v>
      </c>
      <c r="J104" s="17">
        <f>-_xlfn.XLOOKUP($C104,TB_NG!$E:$E,TB_NG!L:L)</f>
        <v>-131000</v>
      </c>
      <c r="K104" s="17">
        <f>-_xlfn.XLOOKUP($C104,TB_NG!$E:$E,TB_NG!M:M)</f>
        <v>-281500</v>
      </c>
      <c r="L104" s="17">
        <f>-_xlfn.XLOOKUP($C104,TB_NG!$E:$E,TB_NG!N:N)</f>
        <v>-303000</v>
      </c>
      <c r="M104" s="17">
        <f>-_xlfn.XLOOKUP($C104,TB_NG!$E:$E,TB_NG!O:O)</f>
        <v>-26000</v>
      </c>
      <c r="N104" s="17">
        <f>-_xlfn.XLOOKUP($C104,TB_NG!$E:$E,TB_NG!P:P)</f>
        <v>-492000</v>
      </c>
      <c r="O104" s="17">
        <f>-_xlfn.XLOOKUP($C104,TB_NG!$E:$E,TB_NG!Q:Q)</f>
        <v>-17500</v>
      </c>
      <c r="P104" s="17">
        <f>-_xlfn.XLOOKUP($C104,TB_NG!$E:$E,TB_NG!R:R)</f>
        <v>-97000</v>
      </c>
      <c r="Q104" s="17">
        <f>-_xlfn.XLOOKUP($C104,TB_NG!$E:$E,TB_NG!S:S)</f>
        <v>-573250</v>
      </c>
      <c r="R104" s="17">
        <f>-_xlfn.XLOOKUP($C104,TB_NG!$E:$E,TB_NG!T:T)</f>
        <v>-214475</v>
      </c>
      <c r="S104" s="17">
        <f>-_xlfn.XLOOKUP($C104,TB_NG!$E:$E,TB_NG!U:U)</f>
        <v>-25000</v>
      </c>
      <c r="T104" s="17">
        <f>-_xlfn.XLOOKUP($C104,TB_NG!$E:$E,TB_NG!V:V)</f>
        <v>-70000</v>
      </c>
      <c r="U104" s="17">
        <f>-_xlfn.XLOOKUP($C104,TB_NG!$E:$E,TB_NG!W:W)</f>
        <v>-124500</v>
      </c>
      <c r="V104" s="17">
        <f>-_xlfn.XLOOKUP($C104,TB_NG!$E:$E,TB_NG!X:X)</f>
        <v>-89500</v>
      </c>
      <c r="W104" s="17">
        <f>-_xlfn.XLOOKUP($C104,TB_NG!$E:$E,TB_NG!Y:Y)</f>
        <v>-105000</v>
      </c>
      <c r="X104" s="17">
        <f>-_xlfn.XLOOKUP($C104,TB_NG!$E:$E,TB_NG!Z:Z)</f>
        <v>-183000</v>
      </c>
      <c r="Y104" s="17">
        <f>-_xlfn.XLOOKUP($C104,TB_NG!$E:$E,TB_NG!AA:AA)</f>
        <v>-125000</v>
      </c>
      <c r="Z104" s="17">
        <f>-_xlfn.XLOOKUP($C104,TB_NG!$E:$E,TB_NG!AB:AB)</f>
        <v>-215412.5</v>
      </c>
      <c r="AA104" s="17">
        <f>-_xlfn.XLOOKUP($C104,TB_NG!$E:$E,TB_NG!AC:AC)</f>
        <v>-163500</v>
      </c>
      <c r="AB104" s="17">
        <f>-_xlfn.XLOOKUP($C104,TB_NG!$E:$E,TB_NG!AD:AD)</f>
        <v>-5022500</v>
      </c>
      <c r="AC104" s="17">
        <f>-_xlfn.XLOOKUP($C104,TB_NG!$E:$E,TB_NG!AE:AE)</f>
        <v>-11700500</v>
      </c>
      <c r="AD104" s="17">
        <f>-_xlfn.XLOOKUP($C104,TB_NG!$E:$E,TB_NG!AF:AF)</f>
        <v>-1247500</v>
      </c>
      <c r="AE104" s="17">
        <f>-_xlfn.XLOOKUP($C104,TB_NG!$E:$E,TB_NG!AG:AG)</f>
        <v>-427500</v>
      </c>
      <c r="AF104" s="17">
        <f>-_xlfn.XLOOKUP($C104,TB_NG!$E:$E,TB_NG!AH:AH)</f>
        <v>0</v>
      </c>
      <c r="AG104" s="17">
        <f>-_xlfn.XLOOKUP($C104,TB_NG!$E:$E,TB_NG!AI:AI)</f>
        <v>0</v>
      </c>
      <c r="AH104" s="17">
        <f>-_xlfn.XLOOKUP($C104,TB_NG!$E:$E,TB_NG!AJ:AJ)</f>
        <v>0</v>
      </c>
      <c r="AI104" s="17">
        <f>-_xlfn.XLOOKUP($C104,TB_NG!$E:$E,TB_NG!AK:AK)</f>
        <v>0</v>
      </c>
      <c r="AJ104" s="17">
        <f>-_xlfn.XLOOKUP($C104,TB_NG!$E:$E,TB_NG!AL:AL)</f>
        <v>0</v>
      </c>
      <c r="AK104" s="17">
        <f>-_xlfn.XLOOKUP($C104,TB_NG!$E:$E,TB_NG!AM:AM)</f>
        <v>0</v>
      </c>
      <c r="AL104" s="17">
        <f>-_xlfn.XLOOKUP($C104,TB_NG!$E:$E,TB_NG!AN:AN)</f>
        <v>0</v>
      </c>
      <c r="AM104" s="17">
        <f>-_xlfn.XLOOKUP($C104,TB_NG!$E:$E,TB_NG!AO:AO)</f>
        <v>0</v>
      </c>
      <c r="AS104" s="17">
        <f t="shared" si="18"/>
        <v>-2636542.2599999998</v>
      </c>
      <c r="AT104" s="17">
        <f t="shared" si="19"/>
        <v>-1985637.5</v>
      </c>
    </row>
    <row r="105" spans="2:46" x14ac:dyDescent="0.2">
      <c r="B105" s="21">
        <v>60025</v>
      </c>
      <c r="C105" s="16" t="str">
        <f>_xlfn.XLOOKUP(B105,TB_NG!A:A,TB_NG!E:E)</f>
        <v>Repairs and Maintenance: Office &amp; Computer Equipment</v>
      </c>
      <c r="D105" s="17">
        <f>-_xlfn.XLOOKUP($C105,TB_NG!$E:$E,TB_NG!F:F)</f>
        <v>340000</v>
      </c>
      <c r="E105" s="17">
        <f>-_xlfn.XLOOKUP($C105,TB_NG!$E:$E,TB_NG!G:G)</f>
        <v>-250300</v>
      </c>
      <c r="F105" s="17">
        <f>-_xlfn.XLOOKUP($C105,TB_NG!$E:$E,TB_NG!H:H)</f>
        <v>17000</v>
      </c>
      <c r="G105" s="17">
        <f>-_xlfn.XLOOKUP($C105,TB_NG!$E:$E,TB_NG!I:I)</f>
        <v>-1534000</v>
      </c>
      <c r="H105" s="17">
        <f>-_xlfn.XLOOKUP($C105,TB_NG!$E:$E,TB_NG!J:J)</f>
        <v>-343500</v>
      </c>
      <c r="I105" s="17">
        <f>-_xlfn.XLOOKUP($C105,TB_NG!$E:$E,TB_NG!K:K)</f>
        <v>-362000</v>
      </c>
      <c r="J105" s="17">
        <f>-_xlfn.XLOOKUP($C105,TB_NG!$E:$E,TB_NG!L:L)</f>
        <v>-248200</v>
      </c>
      <c r="K105" s="17">
        <f>-_xlfn.XLOOKUP($C105,TB_NG!$E:$E,TB_NG!M:M)</f>
        <v>-1083500</v>
      </c>
      <c r="L105" s="17">
        <f>-_xlfn.XLOOKUP($C105,TB_NG!$E:$E,TB_NG!N:N)</f>
        <v>-1411800</v>
      </c>
      <c r="M105" s="17">
        <f>-_xlfn.XLOOKUP($C105,TB_NG!$E:$E,TB_NG!O:O)</f>
        <v>-451800</v>
      </c>
      <c r="N105" s="17">
        <f>-_xlfn.XLOOKUP($C105,TB_NG!$E:$E,TB_NG!P:P)</f>
        <v>-2523000</v>
      </c>
      <c r="O105" s="17">
        <f>-_xlfn.XLOOKUP($C105,TB_NG!$E:$E,TB_NG!Q:Q)</f>
        <v>-1708050</v>
      </c>
      <c r="P105" s="17">
        <f>-_xlfn.XLOOKUP($C105,TB_NG!$E:$E,TB_NG!R:R)</f>
        <v>-22000</v>
      </c>
      <c r="Q105" s="17">
        <f>-_xlfn.XLOOKUP($C105,TB_NG!$E:$E,TB_NG!S:S)</f>
        <v>-769500</v>
      </c>
      <c r="R105" s="17">
        <f>-_xlfn.XLOOKUP($C105,TB_NG!$E:$E,TB_NG!T:T)</f>
        <v>-3000</v>
      </c>
      <c r="S105" s="17">
        <f>-_xlfn.XLOOKUP($C105,TB_NG!$E:$E,TB_NG!U:U)</f>
        <v>0</v>
      </c>
      <c r="T105" s="17">
        <f>-_xlfn.XLOOKUP($C105,TB_NG!$E:$E,TB_NG!V:V)</f>
        <v>-3216875</v>
      </c>
      <c r="U105" s="17">
        <f>-_xlfn.XLOOKUP($C105,TB_NG!$E:$E,TB_NG!W:W)</f>
        <v>-202500</v>
      </c>
      <c r="V105" s="17">
        <f>-_xlfn.XLOOKUP($C105,TB_NG!$E:$E,TB_NG!X:X)</f>
        <v>-1670057</v>
      </c>
      <c r="W105" s="17">
        <f>-_xlfn.XLOOKUP($C105,TB_NG!$E:$E,TB_NG!Y:Y)</f>
        <v>-1296000</v>
      </c>
      <c r="X105" s="17">
        <f>-_xlfn.XLOOKUP($C105,TB_NG!$E:$E,TB_NG!Z:Z)</f>
        <v>-364000</v>
      </c>
      <c r="Y105" s="17">
        <f>-_xlfn.XLOOKUP($C105,TB_NG!$E:$E,TB_NG!AA:AA)</f>
        <v>-611700</v>
      </c>
      <c r="Z105" s="17">
        <f>-_xlfn.XLOOKUP($C105,TB_NG!$E:$E,TB_NG!AB:AB)</f>
        <v>-97000</v>
      </c>
      <c r="AA105" s="17">
        <f>-_xlfn.XLOOKUP($C105,TB_NG!$E:$E,TB_NG!AC:AC)</f>
        <v>-183000</v>
      </c>
      <c r="AB105" s="17">
        <f>-_xlfn.XLOOKUP($C105,TB_NG!$E:$E,TB_NG!AD:AD)</f>
        <v>-410000</v>
      </c>
      <c r="AC105" s="17">
        <f>-_xlfn.XLOOKUP($C105,TB_NG!$E:$E,TB_NG!AE:AE)</f>
        <v>-1371000</v>
      </c>
      <c r="AD105" s="17">
        <f>-_xlfn.XLOOKUP($C105,TB_NG!$E:$E,TB_NG!AF:AF)</f>
        <v>-625000</v>
      </c>
      <c r="AE105" s="17">
        <f>-_xlfn.XLOOKUP($C105,TB_NG!$E:$E,TB_NG!AG:AG)</f>
        <v>-1785951.53</v>
      </c>
      <c r="AF105" s="17">
        <f>-_xlfn.XLOOKUP($C105,TB_NG!$E:$E,TB_NG!AH:AH)</f>
        <v>0</v>
      </c>
      <c r="AG105" s="17">
        <f>-_xlfn.XLOOKUP($C105,TB_NG!$E:$E,TB_NG!AI:AI)</f>
        <v>0</v>
      </c>
      <c r="AH105" s="17">
        <f>-_xlfn.XLOOKUP($C105,TB_NG!$E:$E,TB_NG!AJ:AJ)</f>
        <v>0</v>
      </c>
      <c r="AI105" s="17">
        <f>-_xlfn.XLOOKUP($C105,TB_NG!$E:$E,TB_NG!AK:AK)</f>
        <v>0</v>
      </c>
      <c r="AJ105" s="17">
        <f>-_xlfn.XLOOKUP($C105,TB_NG!$E:$E,TB_NG!AL:AL)</f>
        <v>0</v>
      </c>
      <c r="AK105" s="17">
        <f>-_xlfn.XLOOKUP($C105,TB_NG!$E:$E,TB_NG!AM:AM)</f>
        <v>0</v>
      </c>
      <c r="AL105" s="17">
        <f>-_xlfn.XLOOKUP($C105,TB_NG!$E:$E,TB_NG!AN:AN)</f>
        <v>0</v>
      </c>
      <c r="AM105" s="17">
        <f>-_xlfn.XLOOKUP($C105,TB_NG!$E:$E,TB_NG!AO:AO)</f>
        <v>0</v>
      </c>
      <c r="AS105" s="17">
        <f t="shared" si="18"/>
        <v>-9559150</v>
      </c>
      <c r="AT105" s="17">
        <f t="shared" si="19"/>
        <v>-8435632</v>
      </c>
    </row>
    <row r="106" spans="2:46" x14ac:dyDescent="0.2">
      <c r="B106" s="21">
        <v>60030</v>
      </c>
      <c r="C106" s="16" t="str">
        <f>_xlfn.XLOOKUP(B106,TB_NG!A:A,TB_NG!E:E)</f>
        <v>Repairs and Maintenance: Plant &amp; Machinery</v>
      </c>
      <c r="D106" s="17">
        <f>-_xlfn.XLOOKUP($C106,TB_NG!$E:$E,TB_NG!F:F)</f>
        <v>-83000</v>
      </c>
      <c r="E106" s="17">
        <f>-_xlfn.XLOOKUP($C106,TB_NG!$E:$E,TB_NG!G:G)</f>
        <v>0</v>
      </c>
      <c r="F106" s="17">
        <f>-_xlfn.XLOOKUP($C106,TB_NG!$E:$E,TB_NG!H:H)</f>
        <v>-30000</v>
      </c>
      <c r="G106" s="17">
        <f>-_xlfn.XLOOKUP($C106,TB_NG!$E:$E,TB_NG!I:I)</f>
        <v>-342000</v>
      </c>
      <c r="H106" s="17">
        <f>-_xlfn.XLOOKUP($C106,TB_NG!$E:$E,TB_NG!J:J)</f>
        <v>-192000</v>
      </c>
      <c r="I106" s="17">
        <f>-_xlfn.XLOOKUP($C106,TB_NG!$E:$E,TB_NG!K:K)</f>
        <v>-1004125</v>
      </c>
      <c r="J106" s="17">
        <f>-_xlfn.XLOOKUP($C106,TB_NG!$E:$E,TB_NG!L:L)</f>
        <v>-110000</v>
      </c>
      <c r="K106" s="17">
        <f>-_xlfn.XLOOKUP($C106,TB_NG!$E:$E,TB_NG!M:M)</f>
        <v>0</v>
      </c>
      <c r="L106" s="17">
        <f>-_xlfn.XLOOKUP($C106,TB_NG!$E:$E,TB_NG!N:N)</f>
        <v>0</v>
      </c>
      <c r="M106" s="17">
        <f>-_xlfn.XLOOKUP($C106,TB_NG!$E:$E,TB_NG!O:O)</f>
        <v>-127250</v>
      </c>
      <c r="N106" s="17">
        <f>-_xlfn.XLOOKUP($C106,TB_NG!$E:$E,TB_NG!P:P)</f>
        <v>0</v>
      </c>
      <c r="O106" s="17">
        <f>-_xlfn.XLOOKUP($C106,TB_NG!$E:$E,TB_NG!Q:Q)</f>
        <v>0</v>
      </c>
      <c r="P106" s="17">
        <f>-_xlfn.XLOOKUP($C106,TB_NG!$E:$E,TB_NG!R:R)</f>
        <v>-177250</v>
      </c>
      <c r="Q106" s="17">
        <f>-_xlfn.XLOOKUP($C106,TB_NG!$E:$E,TB_NG!S:S)</f>
        <v>-75000</v>
      </c>
      <c r="R106" s="17">
        <f>-_xlfn.XLOOKUP($C106,TB_NG!$E:$E,TB_NG!T:T)</f>
        <v>0</v>
      </c>
      <c r="S106" s="17">
        <f>-_xlfn.XLOOKUP($C106,TB_NG!$E:$E,TB_NG!U:U)</f>
        <v>0</v>
      </c>
      <c r="T106" s="17">
        <f>-_xlfn.XLOOKUP($C106,TB_NG!$E:$E,TB_NG!V:V)</f>
        <v>-322250</v>
      </c>
      <c r="U106" s="17">
        <f>-_xlfn.XLOOKUP($C106,TB_NG!$E:$E,TB_NG!W:W)</f>
        <v>-10000</v>
      </c>
      <c r="V106" s="17">
        <f>-_xlfn.XLOOKUP($C106,TB_NG!$E:$E,TB_NG!X:X)</f>
        <v>-370000</v>
      </c>
      <c r="W106" s="17">
        <f>-_xlfn.XLOOKUP($C106,TB_NG!$E:$E,TB_NG!Y:Y)</f>
        <v>0</v>
      </c>
      <c r="X106" s="17">
        <f>-_xlfn.XLOOKUP($C106,TB_NG!$E:$E,TB_NG!Z:Z)</f>
        <v>0</v>
      </c>
      <c r="Y106" s="17">
        <f>-_xlfn.XLOOKUP($C106,TB_NG!$E:$E,TB_NG!AA:AA)</f>
        <v>0</v>
      </c>
      <c r="Z106" s="17">
        <f>-_xlfn.XLOOKUP($C106,TB_NG!$E:$E,TB_NG!AB:AB)</f>
        <v>-364125</v>
      </c>
      <c r="AA106" s="17">
        <f>-_xlfn.XLOOKUP($C106,TB_NG!$E:$E,TB_NG!AC:AC)</f>
        <v>-167500</v>
      </c>
      <c r="AB106" s="17">
        <f>-_xlfn.XLOOKUP($C106,TB_NG!$E:$E,TB_NG!AD:AD)</f>
        <v>0</v>
      </c>
      <c r="AC106" s="17">
        <f>-_xlfn.XLOOKUP($C106,TB_NG!$E:$E,TB_NG!AE:AE)</f>
        <v>0</v>
      </c>
      <c r="AD106" s="17">
        <f>-_xlfn.XLOOKUP($C106,TB_NG!$E:$E,TB_NG!AF:AF)</f>
        <v>-172000</v>
      </c>
      <c r="AE106" s="17">
        <f>-_xlfn.XLOOKUP($C106,TB_NG!$E:$E,TB_NG!AG:AG)</f>
        <v>-210000</v>
      </c>
      <c r="AF106" s="17">
        <f>-_xlfn.XLOOKUP($C106,TB_NG!$E:$E,TB_NG!AH:AH)</f>
        <v>0</v>
      </c>
      <c r="AG106" s="17">
        <f>-_xlfn.XLOOKUP($C106,TB_NG!$E:$E,TB_NG!AI:AI)</f>
        <v>0</v>
      </c>
      <c r="AH106" s="17">
        <f>-_xlfn.XLOOKUP($C106,TB_NG!$E:$E,TB_NG!AJ:AJ)</f>
        <v>0</v>
      </c>
      <c r="AI106" s="17">
        <f>-_xlfn.XLOOKUP($C106,TB_NG!$E:$E,TB_NG!AK:AK)</f>
        <v>0</v>
      </c>
      <c r="AJ106" s="17">
        <f>-_xlfn.XLOOKUP($C106,TB_NG!$E:$E,TB_NG!AL:AL)</f>
        <v>0</v>
      </c>
      <c r="AK106" s="17">
        <f>-_xlfn.XLOOKUP($C106,TB_NG!$E:$E,TB_NG!AM:AM)</f>
        <v>0</v>
      </c>
      <c r="AL106" s="17">
        <f>-_xlfn.XLOOKUP($C106,TB_NG!$E:$E,TB_NG!AN:AN)</f>
        <v>0</v>
      </c>
      <c r="AM106" s="17">
        <f>-_xlfn.XLOOKUP($C106,TB_NG!$E:$E,TB_NG!AO:AO)</f>
        <v>0</v>
      </c>
      <c r="AS106" s="17">
        <f t="shared" si="18"/>
        <v>-1888375</v>
      </c>
      <c r="AT106" s="17">
        <f t="shared" si="19"/>
        <v>-1486125</v>
      </c>
    </row>
    <row r="107" spans="2:46" x14ac:dyDescent="0.2">
      <c r="B107" s="21">
        <v>60035</v>
      </c>
      <c r="C107" s="16" t="str">
        <f>_xlfn.XLOOKUP(B107,TB_NG!A:A,TB_NG!E:E)</f>
        <v>Fines &amp; Penalties</v>
      </c>
      <c r="D107" s="17">
        <f>-_xlfn.XLOOKUP($C107,TB_NG!$E:$E,TB_NG!F:F)</f>
        <v>0</v>
      </c>
      <c r="E107" s="17">
        <f>-_xlfn.XLOOKUP($C107,TB_NG!$E:$E,TB_NG!G:G)</f>
        <v>0</v>
      </c>
      <c r="F107" s="17">
        <f>-_xlfn.XLOOKUP($C107,TB_NG!$E:$E,TB_NG!H:H)</f>
        <v>0</v>
      </c>
      <c r="G107" s="17">
        <f>-_xlfn.XLOOKUP($C107,TB_NG!$E:$E,TB_NG!I:I)</f>
        <v>0</v>
      </c>
      <c r="H107" s="17">
        <f>-_xlfn.XLOOKUP($C107,TB_NG!$E:$E,TB_NG!J:J)</f>
        <v>0</v>
      </c>
      <c r="I107" s="17">
        <f>-_xlfn.XLOOKUP($C107,TB_NG!$E:$E,TB_NG!K:K)</f>
        <v>0</v>
      </c>
      <c r="J107" s="17">
        <f>-_xlfn.XLOOKUP($C107,TB_NG!$E:$E,TB_NG!L:L)</f>
        <v>0</v>
      </c>
      <c r="K107" s="17">
        <f>-_xlfn.XLOOKUP($C107,TB_NG!$E:$E,TB_NG!M:M)</f>
        <v>0</v>
      </c>
      <c r="L107" s="17">
        <f>-_xlfn.XLOOKUP($C107,TB_NG!$E:$E,TB_NG!N:N)</f>
        <v>0</v>
      </c>
      <c r="M107" s="17">
        <f>-_xlfn.XLOOKUP($C107,TB_NG!$E:$E,TB_NG!O:O)</f>
        <v>0</v>
      </c>
      <c r="N107" s="17">
        <f>-_xlfn.XLOOKUP($C107,TB_NG!$E:$E,TB_NG!P:P)</f>
        <v>0</v>
      </c>
      <c r="O107" s="17">
        <f>-_xlfn.XLOOKUP($C107,TB_NG!$E:$E,TB_NG!Q:Q)</f>
        <v>0</v>
      </c>
      <c r="P107" s="17">
        <f>-_xlfn.XLOOKUP($C107,TB_NG!$E:$E,TB_NG!R:R)</f>
        <v>0</v>
      </c>
      <c r="Q107" s="17">
        <f>-_xlfn.XLOOKUP($C107,TB_NG!$E:$E,TB_NG!S:S)</f>
        <v>0</v>
      </c>
      <c r="R107" s="17">
        <f>-_xlfn.XLOOKUP($C107,TB_NG!$E:$E,TB_NG!T:T)</f>
        <v>0</v>
      </c>
      <c r="S107" s="17">
        <f>-_xlfn.XLOOKUP($C107,TB_NG!$E:$E,TB_NG!U:U)</f>
        <v>-967990.34</v>
      </c>
      <c r="T107" s="17">
        <f>-_xlfn.XLOOKUP($C107,TB_NG!$E:$E,TB_NG!V:V)</f>
        <v>0</v>
      </c>
      <c r="U107" s="17">
        <f>-_xlfn.XLOOKUP($C107,TB_NG!$E:$E,TB_NG!W:W)</f>
        <v>0</v>
      </c>
      <c r="V107" s="17">
        <f>-_xlfn.XLOOKUP($C107,TB_NG!$E:$E,TB_NG!X:X)</f>
        <v>0</v>
      </c>
      <c r="W107" s="17">
        <f>-_xlfn.XLOOKUP($C107,TB_NG!$E:$E,TB_NG!Y:Y)</f>
        <v>0</v>
      </c>
      <c r="X107" s="17">
        <f>-_xlfn.XLOOKUP($C107,TB_NG!$E:$E,TB_NG!Z:Z)</f>
        <v>0</v>
      </c>
      <c r="Y107" s="17">
        <f>-_xlfn.XLOOKUP($C107,TB_NG!$E:$E,TB_NG!AA:AA)</f>
        <v>0</v>
      </c>
      <c r="Z107" s="17">
        <f>-_xlfn.XLOOKUP($C107,TB_NG!$E:$E,TB_NG!AB:AB)</f>
        <v>0</v>
      </c>
      <c r="AA107" s="17">
        <f>-_xlfn.XLOOKUP($C107,TB_NG!$E:$E,TB_NG!AC:AC)</f>
        <v>0</v>
      </c>
      <c r="AB107" s="17">
        <f>-_xlfn.XLOOKUP($C107,TB_NG!$E:$E,TB_NG!AD:AD)</f>
        <v>0</v>
      </c>
      <c r="AC107" s="17">
        <f>-_xlfn.XLOOKUP($C107,TB_NG!$E:$E,TB_NG!AE:AE)</f>
        <v>0</v>
      </c>
      <c r="AD107" s="17">
        <f>-_xlfn.XLOOKUP($C107,TB_NG!$E:$E,TB_NG!AF:AF)</f>
        <v>0</v>
      </c>
      <c r="AE107" s="17">
        <f>-_xlfn.XLOOKUP($C107,TB_NG!$E:$E,TB_NG!AG:AG)</f>
        <v>0</v>
      </c>
      <c r="AF107" s="17">
        <f>-_xlfn.XLOOKUP($C107,TB_NG!$E:$E,TB_NG!AH:AH)</f>
        <v>0</v>
      </c>
      <c r="AG107" s="17">
        <f>-_xlfn.XLOOKUP($C107,TB_NG!$E:$E,TB_NG!AI:AI)</f>
        <v>0</v>
      </c>
      <c r="AH107" s="17">
        <f>-_xlfn.XLOOKUP($C107,TB_NG!$E:$E,TB_NG!AJ:AJ)</f>
        <v>0</v>
      </c>
      <c r="AI107" s="17">
        <f>-_xlfn.XLOOKUP($C107,TB_NG!$E:$E,TB_NG!AK:AK)</f>
        <v>0</v>
      </c>
      <c r="AJ107" s="17">
        <f>-_xlfn.XLOOKUP($C107,TB_NG!$E:$E,TB_NG!AL:AL)</f>
        <v>0</v>
      </c>
      <c r="AK107" s="17">
        <f>-_xlfn.XLOOKUP($C107,TB_NG!$E:$E,TB_NG!AM:AM)</f>
        <v>0</v>
      </c>
      <c r="AL107" s="17">
        <f>-_xlfn.XLOOKUP($C107,TB_NG!$E:$E,TB_NG!AN:AN)</f>
        <v>0</v>
      </c>
      <c r="AM107" s="17">
        <f>-_xlfn.XLOOKUP($C107,TB_NG!$E:$E,TB_NG!AO:AO)</f>
        <v>0</v>
      </c>
      <c r="AS107" s="17">
        <f t="shared" si="18"/>
        <v>0</v>
      </c>
      <c r="AT107" s="17">
        <f t="shared" si="19"/>
        <v>-967990.34</v>
      </c>
    </row>
    <row r="108" spans="2:46" x14ac:dyDescent="0.2">
      <c r="B108" s="21">
        <v>60040</v>
      </c>
      <c r="C108" s="16" t="str">
        <f>_xlfn.XLOOKUP(B108,TB_NG!A:A,TB_NG!E:E)</f>
        <v>Printing and Reproduction</v>
      </c>
      <c r="D108" s="17">
        <f>-_xlfn.XLOOKUP($C108,TB_NG!$E:$E,TB_NG!F:F)</f>
        <v>0</v>
      </c>
      <c r="E108" s="17">
        <f>-_xlfn.XLOOKUP($C108,TB_NG!$E:$E,TB_NG!G:G)</f>
        <v>-10000</v>
      </c>
      <c r="F108" s="17">
        <f>-_xlfn.XLOOKUP($C108,TB_NG!$E:$E,TB_NG!H:H)</f>
        <v>0</v>
      </c>
      <c r="G108" s="17">
        <f>-_xlfn.XLOOKUP($C108,TB_NG!$E:$E,TB_NG!I:I)</f>
        <v>-238620</v>
      </c>
      <c r="H108" s="17">
        <f>-_xlfn.XLOOKUP($C108,TB_NG!$E:$E,TB_NG!J:J)</f>
        <v>-86000</v>
      </c>
      <c r="I108" s="17">
        <f>-_xlfn.XLOOKUP($C108,TB_NG!$E:$E,TB_NG!K:K)</f>
        <v>-22000</v>
      </c>
      <c r="J108" s="17">
        <f>-_xlfn.XLOOKUP($C108,TB_NG!$E:$E,TB_NG!L:L)</f>
        <v>-10000</v>
      </c>
      <c r="K108" s="17">
        <f>-_xlfn.XLOOKUP($C108,TB_NG!$E:$E,TB_NG!M:M)</f>
        <v>-8000</v>
      </c>
      <c r="L108" s="17">
        <f>-_xlfn.XLOOKUP($C108,TB_NG!$E:$E,TB_NG!N:N)</f>
        <v>-30000</v>
      </c>
      <c r="M108" s="17">
        <f>-_xlfn.XLOOKUP($C108,TB_NG!$E:$E,TB_NG!O:O)</f>
        <v>-23500</v>
      </c>
      <c r="N108" s="17">
        <f>-_xlfn.XLOOKUP($C108,TB_NG!$E:$E,TB_NG!P:P)</f>
        <v>-27000</v>
      </c>
      <c r="O108" s="17">
        <f>-_xlfn.XLOOKUP($C108,TB_NG!$E:$E,TB_NG!Q:Q)</f>
        <v>-141000</v>
      </c>
      <c r="P108" s="17">
        <f>-_xlfn.XLOOKUP($C108,TB_NG!$E:$E,TB_NG!R:R)</f>
        <v>-12000</v>
      </c>
      <c r="Q108" s="17">
        <f>-_xlfn.XLOOKUP($C108,TB_NG!$E:$E,TB_NG!S:S)</f>
        <v>-40834.839999999997</v>
      </c>
      <c r="R108" s="17">
        <f>-_xlfn.XLOOKUP($C108,TB_NG!$E:$E,TB_NG!T:T)</f>
        <v>-9000</v>
      </c>
      <c r="S108" s="17">
        <f>-_xlfn.XLOOKUP($C108,TB_NG!$E:$E,TB_NG!U:U)</f>
        <v>0</v>
      </c>
      <c r="T108" s="17">
        <f>-_xlfn.XLOOKUP($C108,TB_NG!$E:$E,TB_NG!V:V)</f>
        <v>-39300</v>
      </c>
      <c r="U108" s="17">
        <f>-_xlfn.XLOOKUP($C108,TB_NG!$E:$E,TB_NG!W:W)</f>
        <v>-3000</v>
      </c>
      <c r="V108" s="17">
        <f>-_xlfn.XLOOKUP($C108,TB_NG!$E:$E,TB_NG!X:X)</f>
        <v>-21000</v>
      </c>
      <c r="W108" s="17">
        <f>-_xlfn.XLOOKUP($C108,TB_NG!$E:$E,TB_NG!Y:Y)</f>
        <v>-6000</v>
      </c>
      <c r="X108" s="17">
        <f>-_xlfn.XLOOKUP($C108,TB_NG!$E:$E,TB_NG!Z:Z)</f>
        <v>-33900</v>
      </c>
      <c r="Y108" s="17">
        <f>-_xlfn.XLOOKUP($C108,TB_NG!$E:$E,TB_NG!AA:AA)</f>
        <v>-12900</v>
      </c>
      <c r="Z108" s="17">
        <f>-_xlfn.XLOOKUP($C108,TB_NG!$E:$E,TB_NG!AB:AB)</f>
        <v>-15000</v>
      </c>
      <c r="AA108" s="17">
        <f>-_xlfn.XLOOKUP($C108,TB_NG!$E:$E,TB_NG!AC:AC)</f>
        <v>0</v>
      </c>
      <c r="AB108" s="17">
        <f>-_xlfn.XLOOKUP($C108,TB_NG!$E:$E,TB_NG!AD:AD)</f>
        <v>0</v>
      </c>
      <c r="AC108" s="17">
        <f>-_xlfn.XLOOKUP($C108,TB_NG!$E:$E,TB_NG!AE:AE)</f>
        <v>0</v>
      </c>
      <c r="AD108" s="17">
        <f>-_xlfn.XLOOKUP($C108,TB_NG!$E:$E,TB_NG!AF:AF)</f>
        <v>0</v>
      </c>
      <c r="AE108" s="17">
        <f>-_xlfn.XLOOKUP($C108,TB_NG!$E:$E,TB_NG!AG:AG)</f>
        <v>0</v>
      </c>
      <c r="AF108" s="17">
        <f>-_xlfn.XLOOKUP($C108,TB_NG!$E:$E,TB_NG!AH:AH)</f>
        <v>0</v>
      </c>
      <c r="AG108" s="17">
        <f>-_xlfn.XLOOKUP($C108,TB_NG!$E:$E,TB_NG!AI:AI)</f>
        <v>0</v>
      </c>
      <c r="AH108" s="17">
        <f>-_xlfn.XLOOKUP($C108,TB_NG!$E:$E,TB_NG!AJ:AJ)</f>
        <v>0</v>
      </c>
      <c r="AI108" s="17">
        <f>-_xlfn.XLOOKUP($C108,TB_NG!$E:$E,TB_NG!AK:AK)</f>
        <v>0</v>
      </c>
      <c r="AJ108" s="17">
        <f>-_xlfn.XLOOKUP($C108,TB_NG!$E:$E,TB_NG!AL:AL)</f>
        <v>0</v>
      </c>
      <c r="AK108" s="17">
        <f>-_xlfn.XLOOKUP($C108,TB_NG!$E:$E,TB_NG!AM:AM)</f>
        <v>0</v>
      </c>
      <c r="AL108" s="17">
        <f>-_xlfn.XLOOKUP($C108,TB_NG!$E:$E,TB_NG!AN:AN)</f>
        <v>0</v>
      </c>
      <c r="AM108" s="17">
        <f>-_xlfn.XLOOKUP($C108,TB_NG!$E:$E,TB_NG!AO:AO)</f>
        <v>0</v>
      </c>
      <c r="AS108" s="17">
        <f t="shared" si="18"/>
        <v>-596120</v>
      </c>
      <c r="AT108" s="17">
        <f t="shared" si="19"/>
        <v>-192934.84</v>
      </c>
    </row>
    <row r="109" spans="2:46" x14ac:dyDescent="0.2">
      <c r="B109" s="21">
        <v>60045</v>
      </c>
      <c r="C109" s="16" t="str">
        <f>_xlfn.XLOOKUP(B109,TB_NG!A:A,TB_NG!E:E)</f>
        <v>Internet Expense</v>
      </c>
      <c r="D109" s="17">
        <f>-_xlfn.XLOOKUP($C109,TB_NG!$E:$E,TB_NG!F:F)</f>
        <v>0</v>
      </c>
      <c r="E109" s="17">
        <f>-_xlfn.XLOOKUP($C109,TB_NG!$E:$E,TB_NG!G:G)</f>
        <v>0</v>
      </c>
      <c r="F109" s="17">
        <f>-_xlfn.XLOOKUP($C109,TB_NG!$E:$E,TB_NG!H:H)</f>
        <v>-929283.75</v>
      </c>
      <c r="G109" s="17">
        <f>-_xlfn.XLOOKUP($C109,TB_NG!$E:$E,TB_NG!I:I)</f>
        <v>-309761.25</v>
      </c>
      <c r="H109" s="17">
        <f>-_xlfn.XLOOKUP($C109,TB_NG!$E:$E,TB_NG!J:J)</f>
        <v>-1067636.25</v>
      </c>
      <c r="I109" s="17">
        <f>-_xlfn.XLOOKUP($C109,TB_NG!$E:$E,TB_NG!K:K)</f>
        <v>-1075731</v>
      </c>
      <c r="J109" s="17">
        <f>-_xlfn.XLOOKUP($C109,TB_NG!$E:$E,TB_NG!L:L)</f>
        <v>-735300</v>
      </c>
      <c r="K109" s="17">
        <f>-_xlfn.XLOOKUP($C109,TB_NG!$E:$E,TB_NG!M:M)</f>
        <v>-735300</v>
      </c>
      <c r="L109" s="17">
        <f>-_xlfn.XLOOKUP($C109,TB_NG!$E:$E,TB_NG!N:N)</f>
        <v>-735300</v>
      </c>
      <c r="M109" s="17">
        <f>-_xlfn.XLOOKUP($C109,TB_NG!$E:$E,TB_NG!O:O)</f>
        <v>-735300</v>
      </c>
      <c r="N109" s="17">
        <f>-_xlfn.XLOOKUP($C109,TB_NG!$E:$E,TB_NG!P:P)</f>
        <v>-799300</v>
      </c>
      <c r="O109" s="17">
        <f>-_xlfn.XLOOKUP($C109,TB_NG!$E:$E,TB_NG!Q:Q)</f>
        <v>-948800</v>
      </c>
      <c r="P109" s="17">
        <f>-_xlfn.XLOOKUP($C109,TB_NG!$E:$E,TB_NG!R:R)</f>
        <v>-735300</v>
      </c>
      <c r="Q109" s="17">
        <f>-_xlfn.XLOOKUP($C109,TB_NG!$E:$E,TB_NG!S:S)</f>
        <v>-1385800</v>
      </c>
      <c r="R109" s="17">
        <f>-_xlfn.XLOOKUP($C109,TB_NG!$E:$E,TB_NG!T:T)</f>
        <v>-900300</v>
      </c>
      <c r="S109" s="17">
        <f>-_xlfn.XLOOKUP($C109,TB_NG!$E:$E,TB_NG!U:U)</f>
        <v>-735300</v>
      </c>
      <c r="T109" s="17">
        <f>-_xlfn.XLOOKUP($C109,TB_NG!$E:$E,TB_NG!V:V)</f>
        <v>-915300</v>
      </c>
      <c r="U109" s="17">
        <f>-_xlfn.XLOOKUP($C109,TB_NG!$E:$E,TB_NG!W:W)</f>
        <v>-735300</v>
      </c>
      <c r="V109" s="17">
        <f>-_xlfn.XLOOKUP($C109,TB_NG!$E:$E,TB_NG!X:X)</f>
        <v>-735300</v>
      </c>
      <c r="W109" s="17">
        <f>-_xlfn.XLOOKUP($C109,TB_NG!$E:$E,TB_NG!Y:Y)</f>
        <v>-735300</v>
      </c>
      <c r="X109" s="17">
        <f>-_xlfn.XLOOKUP($C109,TB_NG!$E:$E,TB_NG!Z:Z)</f>
        <v>-830300</v>
      </c>
      <c r="Y109" s="17">
        <f>-_xlfn.XLOOKUP($C109,TB_NG!$E:$E,TB_NG!AA:AA)</f>
        <v>-735300</v>
      </c>
      <c r="Z109" s="17">
        <f>-_xlfn.XLOOKUP($C109,TB_NG!$E:$E,TB_NG!AB:AB)</f>
        <v>-2057550</v>
      </c>
      <c r="AA109" s="17">
        <f>-_xlfn.XLOOKUP($C109,TB_NG!$E:$E,TB_NG!AC:AC)</f>
        <v>-735300</v>
      </c>
      <c r="AB109" s="17">
        <f>-_xlfn.XLOOKUP($C109,TB_NG!$E:$E,TB_NG!AD:AD)</f>
        <v>-855000</v>
      </c>
      <c r="AC109" s="17">
        <f>-_xlfn.XLOOKUP($C109,TB_NG!$E:$E,TB_NG!AE:AE)</f>
        <v>-855000</v>
      </c>
      <c r="AD109" s="17">
        <f>-_xlfn.XLOOKUP($C109,TB_NG!$E:$E,TB_NG!AF:AF)</f>
        <v>-855000</v>
      </c>
      <c r="AE109" s="17">
        <f>-_xlfn.XLOOKUP($C109,TB_NG!$E:$E,TB_NG!AG:AG)</f>
        <v>-855000</v>
      </c>
      <c r="AF109" s="17">
        <f>-_xlfn.XLOOKUP($C109,TB_NG!$E:$E,TB_NG!AH:AH)</f>
        <v>0</v>
      </c>
      <c r="AG109" s="17">
        <f>-_xlfn.XLOOKUP($C109,TB_NG!$E:$E,TB_NG!AI:AI)</f>
        <v>0</v>
      </c>
      <c r="AH109" s="17">
        <f>-_xlfn.XLOOKUP($C109,TB_NG!$E:$E,TB_NG!AJ:AJ)</f>
        <v>0</v>
      </c>
      <c r="AI109" s="17">
        <f>-_xlfn.XLOOKUP($C109,TB_NG!$E:$E,TB_NG!AK:AK)</f>
        <v>0</v>
      </c>
      <c r="AJ109" s="17">
        <f>-_xlfn.XLOOKUP($C109,TB_NG!$E:$E,TB_NG!AL:AL)</f>
        <v>0</v>
      </c>
      <c r="AK109" s="17">
        <f>-_xlfn.XLOOKUP($C109,TB_NG!$E:$E,TB_NG!AM:AM)</f>
        <v>0</v>
      </c>
      <c r="AL109" s="17">
        <f>-_xlfn.XLOOKUP($C109,TB_NG!$E:$E,TB_NG!AN:AN)</f>
        <v>0</v>
      </c>
      <c r="AM109" s="17">
        <f>-_xlfn.XLOOKUP($C109,TB_NG!$E:$E,TB_NG!AO:AO)</f>
        <v>0</v>
      </c>
      <c r="AS109" s="17">
        <f t="shared" si="18"/>
        <v>-8071712.25</v>
      </c>
      <c r="AT109" s="17">
        <f t="shared" si="19"/>
        <v>-11236350</v>
      </c>
    </row>
    <row r="110" spans="2:46" x14ac:dyDescent="0.2">
      <c r="B110" s="21">
        <v>60060</v>
      </c>
      <c r="C110" s="16" t="str">
        <f>_xlfn.XLOOKUP(B110,TB_NG!A:A,TB_NG!E:E)</f>
        <v>Software Tools</v>
      </c>
      <c r="D110" s="17">
        <f>-_xlfn.XLOOKUP($C110,TB_NG!$E:$E,TB_NG!F:F)</f>
        <v>-8152514.9999999991</v>
      </c>
      <c r="E110" s="17">
        <f>-_xlfn.XLOOKUP($C110,TB_NG!$E:$E,TB_NG!G:G)</f>
        <v>-4512242.0999999996</v>
      </c>
      <c r="F110" s="17">
        <f>-_xlfn.XLOOKUP($C110,TB_NG!$E:$E,TB_NG!H:H)</f>
        <v>-10757640</v>
      </c>
      <c r="G110" s="17">
        <f>-_xlfn.XLOOKUP($C110,TB_NG!$E:$E,TB_NG!I:I)</f>
        <v>-3667636.71</v>
      </c>
      <c r="H110" s="17">
        <f>-_xlfn.XLOOKUP($C110,TB_NG!$E:$E,TB_NG!J:J)</f>
        <v>-8180606.5999999996</v>
      </c>
      <c r="I110" s="17">
        <f>-_xlfn.XLOOKUP($C110,TB_NG!$E:$E,TB_NG!K:K)</f>
        <v>-15237181.409999998</v>
      </c>
      <c r="J110" s="17">
        <f>-_xlfn.XLOOKUP($C110,TB_NG!$E:$E,TB_NG!L:L)</f>
        <v>-10455482.57</v>
      </c>
      <c r="K110" s="17">
        <f>-_xlfn.XLOOKUP($C110,TB_NG!$E:$E,TB_NG!M:M)</f>
        <v>-10354339.350000001</v>
      </c>
      <c r="L110" s="17">
        <f>-_xlfn.XLOOKUP($C110,TB_NG!$E:$E,TB_NG!N:N)</f>
        <v>-7787222.96</v>
      </c>
      <c r="M110" s="17">
        <f>-_xlfn.XLOOKUP($C110,TB_NG!$E:$E,TB_NG!O:O)</f>
        <v>-12686412.939999999</v>
      </c>
      <c r="N110" s="17">
        <f>-_xlfn.XLOOKUP($C110,TB_NG!$E:$E,TB_NG!P:P)</f>
        <v>-10881254.02</v>
      </c>
      <c r="O110" s="17">
        <f>-_xlfn.XLOOKUP($C110,TB_NG!$E:$E,TB_NG!Q:Q)</f>
        <v>-18222340.149999999</v>
      </c>
      <c r="P110" s="17">
        <f>-_xlfn.XLOOKUP($C110,TB_NG!$E:$E,TB_NG!R:R)</f>
        <v>-20638827.18</v>
      </c>
      <c r="Q110" s="17">
        <f>-_xlfn.XLOOKUP($C110,TB_NG!$E:$E,TB_NG!S:S)</f>
        <v>-21470115.259999998</v>
      </c>
      <c r="R110" s="17">
        <f>-_xlfn.XLOOKUP($C110,TB_NG!$E:$E,TB_NG!T:T)</f>
        <v>-21674578.670000002</v>
      </c>
      <c r="S110" s="17">
        <f>-_xlfn.XLOOKUP($C110,TB_NG!$E:$E,TB_NG!U:U)</f>
        <v>-21681649.84</v>
      </c>
      <c r="T110" s="17">
        <f>-_xlfn.XLOOKUP($C110,TB_NG!$E:$E,TB_NG!V:V)</f>
        <v>-23272493.710000001</v>
      </c>
      <c r="U110" s="17">
        <f>-_xlfn.XLOOKUP($C110,TB_NG!$E:$E,TB_NG!W:W)</f>
        <v>-20773899.850000001</v>
      </c>
      <c r="V110" s="17">
        <f>-_xlfn.XLOOKUP($C110,TB_NG!$E:$E,TB_NG!X:X)</f>
        <v>-25200299.710000001</v>
      </c>
      <c r="W110" s="17">
        <f>-_xlfn.XLOOKUP($C110,TB_NG!$E:$E,TB_NG!Y:Y)</f>
        <v>-28490364.329999998</v>
      </c>
      <c r="X110" s="17">
        <f>-_xlfn.XLOOKUP($C110,TB_NG!$E:$E,TB_NG!Z:Z)</f>
        <v>-25126203.640000001</v>
      </c>
      <c r="Y110" s="17">
        <f>-_xlfn.XLOOKUP($C110,TB_NG!$E:$E,TB_NG!AA:AA)</f>
        <v>-22397250.859999999</v>
      </c>
      <c r="Z110" s="17">
        <f>-_xlfn.XLOOKUP($C110,TB_NG!$E:$E,TB_NG!AB:AB)</f>
        <v>-20814662.890000001</v>
      </c>
      <c r="AA110" s="17">
        <f>-_xlfn.XLOOKUP($C110,TB_NG!$E:$E,TB_NG!AC:AC)</f>
        <v>-13368915.719999999</v>
      </c>
      <c r="AB110" s="17">
        <f>-_xlfn.XLOOKUP($C110,TB_NG!$E:$E,TB_NG!AD:AD)</f>
        <v>-15941638.52</v>
      </c>
      <c r="AC110" s="17">
        <f>-_xlfn.XLOOKUP($C110,TB_NG!$E:$E,TB_NG!AE:AE)</f>
        <v>-17348227.850000001</v>
      </c>
      <c r="AD110" s="17">
        <f>-_xlfn.XLOOKUP($C110,TB_NG!$E:$E,TB_NG!AF:AF)</f>
        <v>-21585001</v>
      </c>
      <c r="AE110" s="17">
        <f>-_xlfn.XLOOKUP($C110,TB_NG!$E:$E,TB_NG!AG:AG)</f>
        <v>-22076853.43</v>
      </c>
      <c r="AF110" s="17">
        <f>-_xlfn.XLOOKUP($C110,TB_NG!$E:$E,TB_NG!AH:AH)</f>
        <v>0</v>
      </c>
      <c r="AG110" s="17">
        <f>-_xlfn.XLOOKUP($C110,TB_NG!$E:$E,TB_NG!AI:AI)</f>
        <v>0</v>
      </c>
      <c r="AH110" s="17">
        <f>-_xlfn.XLOOKUP($C110,TB_NG!$E:$E,TB_NG!AJ:AJ)</f>
        <v>0</v>
      </c>
      <c r="AI110" s="17">
        <f>-_xlfn.XLOOKUP($C110,TB_NG!$E:$E,TB_NG!AK:AK)</f>
        <v>0</v>
      </c>
      <c r="AJ110" s="17">
        <f>-_xlfn.XLOOKUP($C110,TB_NG!$E:$E,TB_NG!AL:AL)</f>
        <v>0</v>
      </c>
      <c r="AK110" s="17">
        <f>-_xlfn.XLOOKUP($C110,TB_NG!$E:$E,TB_NG!AM:AM)</f>
        <v>0</v>
      </c>
      <c r="AL110" s="17">
        <f>-_xlfn.XLOOKUP($C110,TB_NG!$E:$E,TB_NG!AN:AN)</f>
        <v>0</v>
      </c>
      <c r="AM110" s="17">
        <f>-_xlfn.XLOOKUP($C110,TB_NG!$E:$E,TB_NG!AO:AO)</f>
        <v>0</v>
      </c>
      <c r="AS110" s="17">
        <f t="shared" si="18"/>
        <v>-120894873.80999997</v>
      </c>
      <c r="AT110" s="17">
        <f t="shared" si="19"/>
        <v>-264909261.66</v>
      </c>
    </row>
    <row r="111" spans="2:46" x14ac:dyDescent="0.2">
      <c r="B111" s="21">
        <v>60095</v>
      </c>
      <c r="C111" s="16" t="s">
        <v>571</v>
      </c>
      <c r="D111" s="17">
        <f>-_xlfn.XLOOKUP($C111,TB_NG!$E:$E,TB_NG!F:F)</f>
        <v>0</v>
      </c>
      <c r="E111" s="17">
        <f>-_xlfn.XLOOKUP($C111,TB_NG!$E:$E,TB_NG!G:G)</f>
        <v>0</v>
      </c>
      <c r="F111" s="17">
        <f>-_xlfn.XLOOKUP($C111,TB_NG!$E:$E,TB_NG!H:H)</f>
        <v>0</v>
      </c>
      <c r="G111" s="17">
        <f>-_xlfn.XLOOKUP($C111,TB_NG!$E:$E,TB_NG!I:I)</f>
        <v>0</v>
      </c>
      <c r="H111" s="17">
        <f>-_xlfn.XLOOKUP($C111,TB_NG!$E:$E,TB_NG!J:J)</f>
        <v>0</v>
      </c>
      <c r="I111" s="17">
        <f>-_xlfn.XLOOKUP($C111,TB_NG!$E:$E,TB_NG!K:K)</f>
        <v>0</v>
      </c>
      <c r="J111" s="17">
        <f>-_xlfn.XLOOKUP($C111,TB_NG!$E:$E,TB_NG!L:L)</f>
        <v>0</v>
      </c>
      <c r="K111" s="17">
        <f>-_xlfn.XLOOKUP($C111,TB_NG!$E:$E,TB_NG!M:M)</f>
        <v>0</v>
      </c>
      <c r="L111" s="17">
        <f>-_xlfn.XLOOKUP($C111,TB_NG!$E:$E,TB_NG!N:N)</f>
        <v>0</v>
      </c>
      <c r="M111" s="17">
        <f>-_xlfn.XLOOKUP($C111,TB_NG!$E:$E,TB_NG!O:O)</f>
        <v>0</v>
      </c>
      <c r="N111" s="17">
        <f>-_xlfn.XLOOKUP($C111,TB_NG!$E:$E,TB_NG!P:P)</f>
        <v>0</v>
      </c>
      <c r="O111" s="17">
        <f>-_xlfn.XLOOKUP($C111,TB_NG!$E:$E,TB_NG!Q:Q)</f>
        <v>0</v>
      </c>
      <c r="P111" s="17">
        <f>-_xlfn.XLOOKUP($C111,TB_NG!$E:$E,TB_NG!R:R)</f>
        <v>0</v>
      </c>
      <c r="Q111" s="17">
        <f>-_xlfn.XLOOKUP($C111,TB_NG!$E:$E,TB_NG!S:S)</f>
        <v>0</v>
      </c>
      <c r="R111" s="17">
        <f>-_xlfn.XLOOKUP($C111,TB_NG!$E:$E,TB_NG!T:T)</f>
        <v>0</v>
      </c>
      <c r="S111" s="17">
        <f>-_xlfn.XLOOKUP($C111,TB_NG!$E:$E,TB_NG!U:U)</f>
        <v>0</v>
      </c>
      <c r="T111" s="17">
        <f>-_xlfn.XLOOKUP($C111,TB_NG!$E:$E,TB_NG!V:V)</f>
        <v>0</v>
      </c>
      <c r="U111" s="17">
        <f>-_xlfn.XLOOKUP($C111,TB_NG!$E:$E,TB_NG!W:W)</f>
        <v>0</v>
      </c>
      <c r="V111" s="17">
        <f>-_xlfn.XLOOKUP($C111,TB_NG!$E:$E,TB_NG!X:X)</f>
        <v>0</v>
      </c>
      <c r="W111" s="17">
        <f>-_xlfn.XLOOKUP($C111,TB_NG!$E:$E,TB_NG!Y:Y)</f>
        <v>0</v>
      </c>
      <c r="X111" s="17">
        <f>-_xlfn.XLOOKUP($C111,TB_NG!$E:$E,TB_NG!Z:Z)</f>
        <v>0</v>
      </c>
      <c r="Y111" s="17">
        <f>-_xlfn.XLOOKUP($C111,TB_NG!$E:$E,TB_NG!AA:AA)</f>
        <v>0</v>
      </c>
      <c r="Z111" s="17">
        <f>-_xlfn.XLOOKUP($C111,TB_NG!$E:$E,TB_NG!AB:AB)</f>
        <v>0</v>
      </c>
      <c r="AA111" s="17">
        <f>-_xlfn.XLOOKUP($C111,TB_NG!$E:$E,TB_NG!AC:AC)</f>
        <v>0</v>
      </c>
      <c r="AB111" s="17">
        <f>-_xlfn.XLOOKUP($C111,TB_NG!$E:$E,TB_NG!AD:AD)</f>
        <v>0</v>
      </c>
      <c r="AC111" s="17">
        <f>-_xlfn.XLOOKUP($C111,TB_NG!$E:$E,TB_NG!AE:AE)</f>
        <v>34290</v>
      </c>
      <c r="AD111" s="17">
        <f>-_xlfn.XLOOKUP($C111,TB_NG!$E:$E,TB_NG!AF:AF)</f>
        <v>-34290</v>
      </c>
      <c r="AE111" s="17">
        <f>-_xlfn.XLOOKUP($C111,TB_NG!$E:$E,TB_NG!AG:AG)</f>
        <v>0</v>
      </c>
      <c r="AF111" s="17">
        <f>-_xlfn.XLOOKUP($C111,TB_NG!$E:$E,TB_NG!AH:AH)</f>
        <v>0</v>
      </c>
      <c r="AG111" s="17">
        <f>-_xlfn.XLOOKUP($C111,TB_NG!$E:$E,TB_NG!AI:AI)</f>
        <v>0</v>
      </c>
      <c r="AH111" s="17">
        <f>-_xlfn.XLOOKUP($C111,TB_NG!$E:$E,TB_NG!AJ:AJ)</f>
        <v>0</v>
      </c>
      <c r="AI111" s="17">
        <f>-_xlfn.XLOOKUP($C111,TB_NG!$E:$E,TB_NG!AK:AK)</f>
        <v>0</v>
      </c>
      <c r="AJ111" s="17">
        <f>-_xlfn.XLOOKUP($C111,TB_NG!$E:$E,TB_NG!AL:AL)</f>
        <v>0</v>
      </c>
      <c r="AK111" s="17">
        <f>-_xlfn.XLOOKUP($C111,TB_NG!$E:$E,TB_NG!AM:AM)</f>
        <v>0</v>
      </c>
      <c r="AL111" s="17">
        <f>-_xlfn.XLOOKUP($C111,TB_NG!$E:$E,TB_NG!AN:AN)</f>
        <v>0</v>
      </c>
      <c r="AM111" s="17">
        <f>-_xlfn.XLOOKUP($C111,TB_NG!$E:$E,TB_NG!AO:AO)</f>
        <v>0</v>
      </c>
      <c r="AS111" s="17"/>
      <c r="AT111" s="17"/>
    </row>
    <row r="112" spans="2:46" x14ac:dyDescent="0.2">
      <c r="B112" s="21">
        <v>60075</v>
      </c>
      <c r="C112" s="16" t="str">
        <f>_xlfn.XLOOKUP(B112,TB_NG!A:A,TB_NG!E:E)</f>
        <v>Maintenance - Land</v>
      </c>
      <c r="D112" s="17">
        <f>-_xlfn.XLOOKUP($C112,TB_NG!$E:$E,TB_NG!F:F)</f>
        <v>-10000</v>
      </c>
      <c r="E112" s="17">
        <f>-_xlfn.XLOOKUP($C112,TB_NG!$E:$E,TB_NG!G:G)</f>
        <v>-4554372</v>
      </c>
      <c r="F112" s="17">
        <f>-_xlfn.XLOOKUP($C112,TB_NG!$E:$E,TB_NG!H:H)</f>
        <v>-5000</v>
      </c>
      <c r="G112" s="17">
        <f>-_xlfn.XLOOKUP($C112,TB_NG!$E:$E,TB_NG!I:I)</f>
        <v>0</v>
      </c>
      <c r="H112" s="17">
        <f>-_xlfn.XLOOKUP($C112,TB_NG!$E:$E,TB_NG!J:J)</f>
        <v>-5000</v>
      </c>
      <c r="I112" s="17">
        <f>-_xlfn.XLOOKUP($C112,TB_NG!$E:$E,TB_NG!K:K)</f>
        <v>-5000</v>
      </c>
      <c r="J112" s="17">
        <f>-_xlfn.XLOOKUP($C112,TB_NG!$E:$E,TB_NG!L:L)</f>
        <v>-5000</v>
      </c>
      <c r="K112" s="17">
        <f>-_xlfn.XLOOKUP($C112,TB_NG!$E:$E,TB_NG!M:M)</f>
        <v>-5000</v>
      </c>
      <c r="L112" s="17">
        <f>-_xlfn.XLOOKUP($C112,TB_NG!$E:$E,TB_NG!N:N)</f>
        <v>10000</v>
      </c>
      <c r="M112" s="17">
        <f>-_xlfn.XLOOKUP($C112,TB_NG!$E:$E,TB_NG!O:O)</f>
        <v>-150000</v>
      </c>
      <c r="N112" s="17">
        <f>-_xlfn.XLOOKUP($C112,TB_NG!$E:$E,TB_NG!P:P)</f>
        <v>0</v>
      </c>
      <c r="O112" s="17">
        <f>-_xlfn.XLOOKUP($C112,TB_NG!$E:$E,TB_NG!Q:Q)</f>
        <v>4554372</v>
      </c>
      <c r="P112" s="17">
        <f>-_xlfn.XLOOKUP($C112,TB_NG!$E:$E,TB_NG!R:R)</f>
        <v>0</v>
      </c>
      <c r="Q112" s="17">
        <f>-_xlfn.XLOOKUP($C112,TB_NG!$E:$E,TB_NG!S:S)</f>
        <v>0</v>
      </c>
      <c r="R112" s="17">
        <f>-_xlfn.XLOOKUP($C112,TB_NG!$E:$E,TB_NG!T:T)</f>
        <v>0</v>
      </c>
      <c r="S112" s="17">
        <f>-_xlfn.XLOOKUP($C112,TB_NG!$E:$E,TB_NG!U:U)</f>
        <v>0</v>
      </c>
      <c r="T112" s="17">
        <f>-_xlfn.XLOOKUP($C112,TB_NG!$E:$E,TB_NG!V:V)</f>
        <v>0</v>
      </c>
      <c r="U112" s="17">
        <f>-_xlfn.XLOOKUP($C112,TB_NG!$E:$E,TB_NG!W:W)</f>
        <v>0</v>
      </c>
      <c r="V112" s="17">
        <f>-_xlfn.XLOOKUP($C112,TB_NG!$E:$E,TB_NG!X:X)</f>
        <v>-370000</v>
      </c>
      <c r="W112" s="17">
        <f>-_xlfn.XLOOKUP($C112,TB_NG!$E:$E,TB_NG!Y:Y)</f>
        <v>0</v>
      </c>
      <c r="X112" s="17">
        <f>-_xlfn.XLOOKUP($C112,TB_NG!$E:$E,TB_NG!Z:Z)</f>
        <v>-2902000</v>
      </c>
      <c r="Y112" s="17">
        <f>-_xlfn.XLOOKUP($C112,TB_NG!$E:$E,TB_NG!AA:AA)</f>
        <v>0</v>
      </c>
      <c r="Z112" s="17">
        <f>-_xlfn.XLOOKUP($C112,TB_NG!$E:$E,TB_NG!AB:AB)</f>
        <v>0</v>
      </c>
      <c r="AA112" s="17">
        <f>-_xlfn.XLOOKUP($C112,TB_NG!$E:$E,TB_NG!AC:AC)</f>
        <v>0</v>
      </c>
      <c r="AB112" s="17">
        <f>-_xlfn.XLOOKUP($C112,TB_NG!$E:$E,TB_NG!AD:AD)</f>
        <v>0</v>
      </c>
      <c r="AC112" s="17">
        <f>-_xlfn.XLOOKUP($C112,TB_NG!$E:$E,TB_NG!AE:AE)</f>
        <v>0</v>
      </c>
      <c r="AD112" s="17">
        <f>-_xlfn.XLOOKUP($C112,TB_NG!$E:$E,TB_NG!AF:AF)</f>
        <v>0</v>
      </c>
      <c r="AE112" s="17">
        <f>-_xlfn.XLOOKUP($C112,TB_NG!$E:$E,TB_NG!AG:AG)</f>
        <v>0</v>
      </c>
      <c r="AF112" s="17">
        <f>-_xlfn.XLOOKUP($C112,TB_NG!$E:$E,TB_NG!AH:AH)</f>
        <v>0</v>
      </c>
      <c r="AG112" s="17">
        <f>-_xlfn.XLOOKUP($C112,TB_NG!$E:$E,TB_NG!AI:AI)</f>
        <v>0</v>
      </c>
      <c r="AH112" s="17">
        <f>-_xlfn.XLOOKUP($C112,TB_NG!$E:$E,TB_NG!AJ:AJ)</f>
        <v>0</v>
      </c>
      <c r="AI112" s="17">
        <f>-_xlfn.XLOOKUP($C112,TB_NG!$E:$E,TB_NG!AK:AK)</f>
        <v>0</v>
      </c>
      <c r="AJ112" s="17">
        <f>-_xlfn.XLOOKUP($C112,TB_NG!$E:$E,TB_NG!AL:AL)</f>
        <v>0</v>
      </c>
      <c r="AK112" s="17">
        <f>-_xlfn.XLOOKUP($C112,TB_NG!$E:$E,TB_NG!AM:AM)</f>
        <v>0</v>
      </c>
      <c r="AL112" s="17">
        <f>-_xlfn.XLOOKUP($C112,TB_NG!$E:$E,TB_NG!AN:AN)</f>
        <v>0</v>
      </c>
      <c r="AM112" s="17">
        <f>-_xlfn.XLOOKUP($C112,TB_NG!$E:$E,TB_NG!AO:AO)</f>
        <v>0</v>
      </c>
      <c r="AS112" s="17">
        <f t="shared" si="18"/>
        <v>-175000</v>
      </c>
      <c r="AT112" s="17">
        <f t="shared" si="19"/>
        <v>-3272000</v>
      </c>
    </row>
    <row r="113" spans="2:46" x14ac:dyDescent="0.2">
      <c r="B113" s="21">
        <v>60214</v>
      </c>
      <c r="C113" s="16" t="str">
        <f>_xlfn.XLOOKUP(B113,TB_NG!A:A,TB_NG!E:E)</f>
        <v>Charitable Donations</v>
      </c>
      <c r="D113" s="17">
        <f>-_xlfn.XLOOKUP($C113,TB_NG!$E:$E,TB_NG!F:F)</f>
        <v>0</v>
      </c>
      <c r="E113" s="17">
        <f>-_xlfn.XLOOKUP($C113,TB_NG!$E:$E,TB_NG!G:G)</f>
        <v>0</v>
      </c>
      <c r="F113" s="17">
        <f>-_xlfn.XLOOKUP($C113,TB_NG!$E:$E,TB_NG!H:H)</f>
        <v>0</v>
      </c>
      <c r="G113" s="17">
        <f>-_xlfn.XLOOKUP($C113,TB_NG!$E:$E,TB_NG!I:I)</f>
        <v>0</v>
      </c>
      <c r="H113" s="17">
        <f>-_xlfn.XLOOKUP($C113,TB_NG!$E:$E,TB_NG!J:J)</f>
        <v>-400000</v>
      </c>
      <c r="I113" s="17">
        <f>-_xlfn.XLOOKUP($C113,TB_NG!$E:$E,TB_NG!K:K)</f>
        <v>-355200</v>
      </c>
      <c r="J113" s="17">
        <f>-_xlfn.XLOOKUP($C113,TB_NG!$E:$E,TB_NG!L:L)</f>
        <v>-500000</v>
      </c>
      <c r="K113" s="17">
        <f>-_xlfn.XLOOKUP($C113,TB_NG!$E:$E,TB_NG!M:M)</f>
        <v>0</v>
      </c>
      <c r="L113" s="17">
        <f>-_xlfn.XLOOKUP($C113,TB_NG!$E:$E,TB_NG!N:N)</f>
        <v>0</v>
      </c>
      <c r="M113" s="17">
        <f>-_xlfn.XLOOKUP($C113,TB_NG!$E:$E,TB_NG!O:O)</f>
        <v>0</v>
      </c>
      <c r="N113" s="17">
        <f>-_xlfn.XLOOKUP($C113,TB_NG!$E:$E,TB_NG!P:P)</f>
        <v>0</v>
      </c>
      <c r="O113" s="17">
        <f>-_xlfn.XLOOKUP($C113,TB_NG!$E:$E,TB_NG!Q:Q)</f>
        <v>0</v>
      </c>
      <c r="P113" s="17">
        <f>-_xlfn.XLOOKUP($C113,TB_NG!$E:$E,TB_NG!R:R)</f>
        <v>0</v>
      </c>
      <c r="Q113" s="17">
        <f>-_xlfn.XLOOKUP($C113,TB_NG!$E:$E,TB_NG!S:S)</f>
        <v>0</v>
      </c>
      <c r="R113" s="17">
        <f>-_xlfn.XLOOKUP($C113,TB_NG!$E:$E,TB_NG!T:T)</f>
        <v>0</v>
      </c>
      <c r="S113" s="17">
        <f>-_xlfn.XLOOKUP($C113,TB_NG!$E:$E,TB_NG!U:U)</f>
        <v>0</v>
      </c>
      <c r="T113" s="17">
        <f>-_xlfn.XLOOKUP($C113,TB_NG!$E:$E,TB_NG!V:V)</f>
        <v>0</v>
      </c>
      <c r="U113" s="17">
        <f>-_xlfn.XLOOKUP($C113,TB_NG!$E:$E,TB_NG!W:W)</f>
        <v>0</v>
      </c>
      <c r="V113" s="17">
        <f>-_xlfn.XLOOKUP($C113,TB_NG!$E:$E,TB_NG!X:X)</f>
        <v>0</v>
      </c>
      <c r="W113" s="17">
        <f>-_xlfn.XLOOKUP($C113,TB_NG!$E:$E,TB_NG!Y:Y)</f>
        <v>0</v>
      </c>
      <c r="X113" s="17">
        <f>-_xlfn.XLOOKUP($C113,TB_NG!$E:$E,TB_NG!Z:Z)</f>
        <v>0</v>
      </c>
      <c r="Y113" s="17">
        <f>-_xlfn.XLOOKUP($C113,TB_NG!$E:$E,TB_NG!AA:AA)</f>
        <v>0</v>
      </c>
      <c r="Z113" s="17">
        <f>-_xlfn.XLOOKUP($C113,TB_NG!$E:$E,TB_NG!AB:AB)</f>
        <v>0</v>
      </c>
      <c r="AA113" s="17">
        <f>-_xlfn.XLOOKUP($C113,TB_NG!$E:$E,TB_NG!AC:AC)</f>
        <v>0</v>
      </c>
      <c r="AB113" s="17">
        <f>-_xlfn.XLOOKUP($C113,TB_NG!$E:$E,TB_NG!AD:AD)</f>
        <v>0</v>
      </c>
      <c r="AC113" s="17">
        <f>-_xlfn.XLOOKUP($C113,TB_NG!$E:$E,TB_NG!AE:AE)</f>
        <v>0</v>
      </c>
      <c r="AD113" s="17">
        <f>-_xlfn.XLOOKUP($C113,TB_NG!$E:$E,TB_NG!AF:AF)</f>
        <v>0</v>
      </c>
      <c r="AE113" s="17">
        <f>-_xlfn.XLOOKUP($C113,TB_NG!$E:$E,TB_NG!AG:AG)</f>
        <v>0</v>
      </c>
      <c r="AF113" s="17">
        <f>-_xlfn.XLOOKUP($C113,TB_NG!$E:$E,TB_NG!AH:AH)</f>
        <v>0</v>
      </c>
      <c r="AG113" s="17">
        <f>-_xlfn.XLOOKUP($C113,TB_NG!$E:$E,TB_NG!AI:AI)</f>
        <v>0</v>
      </c>
      <c r="AH113" s="17">
        <f>-_xlfn.XLOOKUP($C113,TB_NG!$E:$E,TB_NG!AJ:AJ)</f>
        <v>0</v>
      </c>
      <c r="AI113" s="17">
        <f>-_xlfn.XLOOKUP($C113,TB_NG!$E:$E,TB_NG!AK:AK)</f>
        <v>0</v>
      </c>
      <c r="AJ113" s="17">
        <f>-_xlfn.XLOOKUP($C113,TB_NG!$E:$E,TB_NG!AL:AL)</f>
        <v>0</v>
      </c>
      <c r="AK113" s="17">
        <f>-_xlfn.XLOOKUP($C113,TB_NG!$E:$E,TB_NG!AM:AM)</f>
        <v>0</v>
      </c>
      <c r="AL113" s="17">
        <f>-_xlfn.XLOOKUP($C113,TB_NG!$E:$E,TB_NG!AN:AN)</f>
        <v>0</v>
      </c>
      <c r="AM113" s="17">
        <f>-_xlfn.XLOOKUP($C113,TB_NG!$E:$E,TB_NG!AO:AO)</f>
        <v>0</v>
      </c>
      <c r="AS113" s="17">
        <f t="shared" si="18"/>
        <v>-1255200</v>
      </c>
      <c r="AT113" s="17">
        <f t="shared" si="19"/>
        <v>0</v>
      </c>
    </row>
    <row r="114" spans="2:46" x14ac:dyDescent="0.2">
      <c r="B114" s="21">
        <v>60217</v>
      </c>
      <c r="C114" s="16" t="str">
        <f>_xlfn.XLOOKUP(B114,TB_NG!A:A,TB_NG!E:E)</f>
        <v>Diesel</v>
      </c>
      <c r="D114" s="17">
        <f>-_xlfn.XLOOKUP($C114,TB_NG!$E:$E,TB_NG!F:F)</f>
        <v>-1499484.6</v>
      </c>
      <c r="E114" s="17">
        <f>-_xlfn.XLOOKUP($C114,TB_NG!$E:$E,TB_NG!G:G)</f>
        <v>-52000</v>
      </c>
      <c r="F114" s="17">
        <f>-_xlfn.XLOOKUP($C114,TB_NG!$E:$E,TB_NG!H:H)</f>
        <v>0</v>
      </c>
      <c r="G114" s="17">
        <f>-_xlfn.XLOOKUP($C114,TB_NG!$E:$E,TB_NG!I:I)</f>
        <v>-2458600</v>
      </c>
      <c r="H114" s="17">
        <f>-_xlfn.XLOOKUP($C114,TB_NG!$E:$E,TB_NG!J:J)</f>
        <v>0</v>
      </c>
      <c r="I114" s="17">
        <f>-_xlfn.XLOOKUP($C114,TB_NG!$E:$E,TB_NG!K:K)</f>
        <v>-2085000</v>
      </c>
      <c r="J114" s="17">
        <f>-_xlfn.XLOOKUP($C114,TB_NG!$E:$E,TB_NG!L:L)</f>
        <v>0</v>
      </c>
      <c r="K114" s="17">
        <f>-_xlfn.XLOOKUP($C114,TB_NG!$E:$E,TB_NG!M:M)</f>
        <v>-1649800</v>
      </c>
      <c r="L114" s="17">
        <f>-_xlfn.XLOOKUP($C114,TB_NG!$E:$E,TB_NG!N:N)</f>
        <v>0</v>
      </c>
      <c r="M114" s="17">
        <f>-_xlfn.XLOOKUP($C114,TB_NG!$E:$E,TB_NG!O:O)</f>
        <v>-1631250</v>
      </c>
      <c r="N114" s="17">
        <f>-_xlfn.XLOOKUP($C114,TB_NG!$E:$E,TB_NG!P:P)</f>
        <v>0</v>
      </c>
      <c r="O114" s="17">
        <f>-_xlfn.XLOOKUP($C114,TB_NG!$E:$E,TB_NG!Q:Q)</f>
        <v>-1702500</v>
      </c>
      <c r="P114" s="17">
        <f>-_xlfn.XLOOKUP($C114,TB_NG!$E:$E,TB_NG!R:R)</f>
        <v>0</v>
      </c>
      <c r="Q114" s="17">
        <f>-_xlfn.XLOOKUP($C114,TB_NG!$E:$E,TB_NG!S:S)</f>
        <v>-1702500</v>
      </c>
      <c r="R114" s="17">
        <f>-_xlfn.XLOOKUP($C114,TB_NG!$E:$E,TB_NG!T:T)</f>
        <v>0</v>
      </c>
      <c r="S114" s="17">
        <f>-_xlfn.XLOOKUP($C114,TB_NG!$E:$E,TB_NG!U:U)</f>
        <v>-1544250</v>
      </c>
      <c r="T114" s="17">
        <f>-_xlfn.XLOOKUP($C114,TB_NG!$E:$E,TB_NG!V:V)</f>
        <v>-1435500</v>
      </c>
      <c r="U114" s="17">
        <f>-_xlfn.XLOOKUP($C114,TB_NG!$E:$E,TB_NG!W:W)</f>
        <v>0</v>
      </c>
      <c r="V114" s="17">
        <f>-_xlfn.XLOOKUP($C114,TB_NG!$E:$E,TB_NG!X:X)</f>
        <v>0</v>
      </c>
      <c r="W114" s="17">
        <f>-_xlfn.XLOOKUP($C114,TB_NG!$E:$E,TB_NG!Y:Y)</f>
        <v>-1417500</v>
      </c>
      <c r="X114" s="17">
        <f>-_xlfn.XLOOKUP($C114,TB_NG!$E:$E,TB_NG!Z:Z)</f>
        <v>0</v>
      </c>
      <c r="Y114" s="17">
        <f>-_xlfn.XLOOKUP($C114,TB_NG!$E:$E,TB_NG!AA:AA)</f>
        <v>0</v>
      </c>
      <c r="Z114" s="17">
        <f>-_xlfn.XLOOKUP($C114,TB_NG!$E:$E,TB_NG!AB:AB)</f>
        <v>-1565500</v>
      </c>
      <c r="AA114" s="17">
        <f>-_xlfn.XLOOKUP($C114,TB_NG!$E:$E,TB_NG!AC:AC)</f>
        <v>0</v>
      </c>
      <c r="AB114" s="17">
        <f>-_xlfn.XLOOKUP($C114,TB_NG!$E:$E,TB_NG!AD:AD)</f>
        <v>0</v>
      </c>
      <c r="AC114" s="17">
        <f>-_xlfn.XLOOKUP($C114,TB_NG!$E:$E,TB_NG!AE:AE)</f>
        <v>0</v>
      </c>
      <c r="AD114" s="17">
        <f>-_xlfn.XLOOKUP($C114,TB_NG!$E:$E,TB_NG!AF:AF)</f>
        <v>-2170000</v>
      </c>
      <c r="AE114" s="17">
        <f>-_xlfn.XLOOKUP($C114,TB_NG!$E:$E,TB_NG!AG:AG)</f>
        <v>0</v>
      </c>
      <c r="AF114" s="17">
        <f>-_xlfn.XLOOKUP($C114,TB_NG!$E:$E,TB_NG!AH:AH)</f>
        <v>0</v>
      </c>
      <c r="AG114" s="17">
        <f>-_xlfn.XLOOKUP($C114,TB_NG!$E:$E,TB_NG!AI:AI)</f>
        <v>0</v>
      </c>
      <c r="AH114" s="17">
        <f>-_xlfn.XLOOKUP($C114,TB_NG!$E:$E,TB_NG!AJ:AJ)</f>
        <v>0</v>
      </c>
      <c r="AI114" s="17">
        <f>-_xlfn.XLOOKUP($C114,TB_NG!$E:$E,TB_NG!AK:AK)</f>
        <v>0</v>
      </c>
      <c r="AJ114" s="17">
        <f>-_xlfn.XLOOKUP($C114,TB_NG!$E:$E,TB_NG!AL:AL)</f>
        <v>0</v>
      </c>
      <c r="AK114" s="17">
        <f>-_xlfn.XLOOKUP($C114,TB_NG!$E:$E,TB_NG!AM:AM)</f>
        <v>0</v>
      </c>
      <c r="AL114" s="17">
        <f>-_xlfn.XLOOKUP($C114,TB_NG!$E:$E,TB_NG!AN:AN)</f>
        <v>0</v>
      </c>
      <c r="AM114" s="17">
        <f>-_xlfn.XLOOKUP($C114,TB_NG!$E:$E,TB_NG!AO:AO)</f>
        <v>0</v>
      </c>
      <c r="AS114" s="17">
        <f t="shared" si="18"/>
        <v>-11078634.6</v>
      </c>
      <c r="AT114" s="17">
        <f t="shared" si="19"/>
        <v>-7665250</v>
      </c>
    </row>
    <row r="115" spans="2:46" x14ac:dyDescent="0.2">
      <c r="B115" s="21">
        <v>61310</v>
      </c>
      <c r="C115" s="16" t="str">
        <f>_xlfn.XLOOKUP(B115,TB_NG!A:A,TB_NG!E:E)</f>
        <v>Motor Vehicle Expense: Fuel &amp; Oil</v>
      </c>
      <c r="D115" s="17">
        <f>-_xlfn.XLOOKUP($C115,TB_NG!$E:$E,TB_NG!F:F)</f>
        <v>-102365</v>
      </c>
      <c r="E115" s="17">
        <f>-_xlfn.XLOOKUP($C115,TB_NG!$E:$E,TB_NG!G:G)</f>
        <v>-76820</v>
      </c>
      <c r="F115" s="17">
        <f>-_xlfn.XLOOKUP($C115,TB_NG!$E:$E,TB_NG!H:H)</f>
        <v>-97820</v>
      </c>
      <c r="G115" s="17">
        <f>-_xlfn.XLOOKUP($C115,TB_NG!$E:$E,TB_NG!I:I)</f>
        <v>-181820</v>
      </c>
      <c r="H115" s="17">
        <f>-_xlfn.XLOOKUP($C115,TB_NG!$E:$E,TB_NG!J:J)</f>
        <v>-117820</v>
      </c>
      <c r="I115" s="17">
        <f>-_xlfn.XLOOKUP($C115,TB_NG!$E:$E,TB_NG!K:K)</f>
        <v>-115365</v>
      </c>
      <c r="J115" s="17">
        <f>-_xlfn.XLOOKUP($C115,TB_NG!$E:$E,TB_NG!L:L)</f>
        <v>-213910</v>
      </c>
      <c r="K115" s="17">
        <f>-_xlfn.XLOOKUP($C115,TB_NG!$E:$E,TB_NG!M:M)</f>
        <v>-69820</v>
      </c>
      <c r="L115" s="17">
        <f>-_xlfn.XLOOKUP($C115,TB_NG!$E:$E,TB_NG!N:N)</f>
        <v>-323239.27</v>
      </c>
      <c r="M115" s="17">
        <f>-_xlfn.XLOOKUP($C115,TB_NG!$E:$E,TB_NG!O:O)</f>
        <v>-250092</v>
      </c>
      <c r="N115" s="17">
        <f>-_xlfn.XLOOKUP($C115,TB_NG!$E:$E,TB_NG!P:P)</f>
        <v>-276736</v>
      </c>
      <c r="O115" s="17">
        <f>-_xlfn.XLOOKUP($C115,TB_NG!$E:$E,TB_NG!Q:Q)</f>
        <v>-290702</v>
      </c>
      <c r="P115" s="17">
        <f>-_xlfn.XLOOKUP($C115,TB_NG!$E:$E,TB_NG!R:R)</f>
        <v>-306686</v>
      </c>
      <c r="Q115" s="17">
        <f>-_xlfn.XLOOKUP($C115,TB_NG!$E:$E,TB_NG!S:S)</f>
        <v>-187802</v>
      </c>
      <c r="R115" s="17">
        <f>-_xlfn.XLOOKUP($C115,TB_NG!$E:$E,TB_NG!T:T)</f>
        <v>-213786</v>
      </c>
      <c r="S115" s="17">
        <f>-_xlfn.XLOOKUP($C115,TB_NG!$E:$E,TB_NG!U:U)</f>
        <v>-296552.08000000007</v>
      </c>
      <c r="T115" s="17">
        <f>-_xlfn.XLOOKUP($C115,TB_NG!$E:$E,TB_NG!V:V)</f>
        <v>-235700</v>
      </c>
      <c r="U115" s="17">
        <f>-_xlfn.XLOOKUP($C115,TB_NG!$E:$E,TB_NG!W:W)</f>
        <v>-171960.08</v>
      </c>
      <c r="V115" s="17">
        <f>-_xlfn.XLOOKUP($C115,TB_NG!$E:$E,TB_NG!X:X)</f>
        <v>-117080</v>
      </c>
      <c r="W115" s="17">
        <f>-_xlfn.XLOOKUP($C115,TB_NG!$E:$E,TB_NG!Y:Y)</f>
        <v>-174430</v>
      </c>
      <c r="X115" s="17">
        <f>-_xlfn.XLOOKUP($C115,TB_NG!$E:$E,TB_NG!Z:Z)</f>
        <v>-163270</v>
      </c>
      <c r="Y115" s="17">
        <f>-_xlfn.XLOOKUP($C115,TB_NG!$E:$E,TB_NG!AA:AA)</f>
        <v>-237784</v>
      </c>
      <c r="Z115" s="17">
        <f>-_xlfn.XLOOKUP($C115,TB_NG!$E:$E,TB_NG!AB:AB)</f>
        <v>-167312</v>
      </c>
      <c r="AA115" s="17">
        <f>-_xlfn.XLOOKUP($C115,TB_NG!$E:$E,TB_NG!AC:AC)</f>
        <v>-167120</v>
      </c>
      <c r="AB115" s="17">
        <f>-_xlfn.XLOOKUP($C115,TB_NG!$E:$E,TB_NG!AD:AD)</f>
        <v>-176000</v>
      </c>
      <c r="AC115" s="17">
        <f>-_xlfn.XLOOKUP($C115,TB_NG!$E:$E,TB_NG!AE:AE)</f>
        <v>-241424</v>
      </c>
      <c r="AD115" s="17">
        <f>-_xlfn.XLOOKUP($C115,TB_NG!$E:$E,TB_NG!AF:AF)</f>
        <v>-254192</v>
      </c>
      <c r="AE115" s="17">
        <f>-_xlfn.XLOOKUP($C115,TB_NG!$E:$E,TB_NG!AG:AG)</f>
        <v>-250360</v>
      </c>
      <c r="AF115" s="17">
        <f>-_xlfn.XLOOKUP($C115,TB_NG!$E:$E,TB_NG!AH:AH)</f>
        <v>0</v>
      </c>
      <c r="AG115" s="17">
        <f>-_xlfn.XLOOKUP($C115,TB_NG!$E:$E,TB_NG!AI:AI)</f>
        <v>0</v>
      </c>
      <c r="AH115" s="17">
        <f>-_xlfn.XLOOKUP($C115,TB_NG!$E:$E,TB_NG!AJ:AJ)</f>
        <v>0</v>
      </c>
      <c r="AI115" s="17">
        <f>-_xlfn.XLOOKUP($C115,TB_NG!$E:$E,TB_NG!AK:AK)</f>
        <v>0</v>
      </c>
      <c r="AJ115" s="17">
        <f>-_xlfn.XLOOKUP($C115,TB_NG!$E:$E,TB_NG!AL:AL)</f>
        <v>0</v>
      </c>
      <c r="AK115" s="17">
        <f>-_xlfn.XLOOKUP($C115,TB_NG!$E:$E,TB_NG!AM:AM)</f>
        <v>0</v>
      </c>
      <c r="AL115" s="17">
        <f>-_xlfn.XLOOKUP($C115,TB_NG!$E:$E,TB_NG!AN:AN)</f>
        <v>0</v>
      </c>
      <c r="AM115" s="17">
        <f>-_xlfn.XLOOKUP($C115,TB_NG!$E:$E,TB_NG!AO:AO)</f>
        <v>0</v>
      </c>
      <c r="AS115" s="17">
        <f t="shared" si="18"/>
        <v>-2116509.27</v>
      </c>
      <c r="AT115" s="17">
        <f t="shared" si="19"/>
        <v>-2439482.16</v>
      </c>
    </row>
    <row r="116" spans="2:46" x14ac:dyDescent="0.2">
      <c r="B116" s="21">
        <v>61315</v>
      </c>
      <c r="C116" s="16" t="str">
        <f>_xlfn.XLOOKUP(B116,TB_NG!A:A,TB_NG!E:E)</f>
        <v>Motor Vehicle Expense:Servicing/Repairs</v>
      </c>
      <c r="D116" s="17">
        <f>-_xlfn.XLOOKUP($C116,TB_NG!$E:$E,TB_NG!F:F)</f>
        <v>-40500</v>
      </c>
      <c r="E116" s="17">
        <f>-_xlfn.XLOOKUP($C116,TB_NG!$E:$E,TB_NG!G:G)</f>
        <v>-47900</v>
      </c>
      <c r="F116" s="17">
        <f>-_xlfn.XLOOKUP($C116,TB_NG!$E:$E,TB_NG!H:H)</f>
        <v>-13500</v>
      </c>
      <c r="G116" s="17">
        <f>-_xlfn.XLOOKUP($C116,TB_NG!$E:$E,TB_NG!I:I)</f>
        <v>-174500</v>
      </c>
      <c r="H116" s="17">
        <f>-_xlfn.XLOOKUP($C116,TB_NG!$E:$E,TB_NG!J:J)</f>
        <v>-12000</v>
      </c>
      <c r="I116" s="17">
        <f>-_xlfn.XLOOKUP($C116,TB_NG!$E:$E,TB_NG!K:K)</f>
        <v>-246000</v>
      </c>
      <c r="J116" s="17">
        <f>-_xlfn.XLOOKUP($C116,TB_NG!$E:$E,TB_NG!L:L)</f>
        <v>-14000</v>
      </c>
      <c r="K116" s="17">
        <f>-_xlfn.XLOOKUP($C116,TB_NG!$E:$E,TB_NG!M:M)</f>
        <v>-771500</v>
      </c>
      <c r="L116" s="17">
        <f>-_xlfn.XLOOKUP($C116,TB_NG!$E:$E,TB_NG!N:N)</f>
        <v>-173000</v>
      </c>
      <c r="M116" s="17">
        <f>-_xlfn.XLOOKUP($C116,TB_NG!$E:$E,TB_NG!O:O)</f>
        <v>-28500</v>
      </c>
      <c r="N116" s="17">
        <f>-_xlfn.XLOOKUP($C116,TB_NG!$E:$E,TB_NG!P:P)</f>
        <v>-178500</v>
      </c>
      <c r="O116" s="17">
        <f>-_xlfn.XLOOKUP($C116,TB_NG!$E:$E,TB_NG!Q:Q)</f>
        <v>-41500</v>
      </c>
      <c r="P116" s="17">
        <f>-_xlfn.XLOOKUP($C116,TB_NG!$E:$E,TB_NG!R:R)</f>
        <v>-51500</v>
      </c>
      <c r="Q116" s="17">
        <f>-_xlfn.XLOOKUP($C116,TB_NG!$E:$E,TB_NG!S:S)</f>
        <v>-120500</v>
      </c>
      <c r="R116" s="17">
        <f>-_xlfn.XLOOKUP($C116,TB_NG!$E:$E,TB_NG!T:T)</f>
        <v>-22700</v>
      </c>
      <c r="S116" s="17">
        <f>-_xlfn.XLOOKUP($C116,TB_NG!$E:$E,TB_NG!U:U)</f>
        <v>-29700</v>
      </c>
      <c r="T116" s="17">
        <f>-_xlfn.XLOOKUP($C116,TB_NG!$E:$E,TB_NG!V:V)</f>
        <v>-251000</v>
      </c>
      <c r="U116" s="17">
        <f>-_xlfn.XLOOKUP($C116,TB_NG!$E:$E,TB_NG!W:W)</f>
        <v>-30500</v>
      </c>
      <c r="V116" s="17">
        <f>-_xlfn.XLOOKUP($C116,TB_NG!$E:$E,TB_NG!X:X)</f>
        <v>-103000</v>
      </c>
      <c r="W116" s="17">
        <f>-_xlfn.XLOOKUP($C116,TB_NG!$E:$E,TB_NG!Y:Y)</f>
        <v>-378887.5</v>
      </c>
      <c r="X116" s="17">
        <f>-_xlfn.XLOOKUP($C116,TB_NG!$E:$E,TB_NG!Z:Z)</f>
        <v>-30000</v>
      </c>
      <c r="Y116" s="17">
        <f>-_xlfn.XLOOKUP($C116,TB_NG!$E:$E,TB_NG!AA:AA)</f>
        <v>-260175</v>
      </c>
      <c r="Z116" s="17">
        <f>-_xlfn.XLOOKUP($C116,TB_NG!$E:$E,TB_NG!AB:AB)</f>
        <v>-430000</v>
      </c>
      <c r="AA116" s="17">
        <f>-_xlfn.XLOOKUP($C116,TB_NG!$E:$E,TB_NG!AC:AC)</f>
        <v>-425200</v>
      </c>
      <c r="AB116" s="17">
        <f>-_xlfn.XLOOKUP($C116,TB_NG!$E:$E,TB_NG!AD:AD)</f>
        <v>-142500</v>
      </c>
      <c r="AC116" s="17">
        <f>-_xlfn.XLOOKUP($C116,TB_NG!$E:$E,TB_NG!AE:AE)</f>
        <v>-5000</v>
      </c>
      <c r="AD116" s="17">
        <f>-_xlfn.XLOOKUP($C116,TB_NG!$E:$E,TB_NG!AF:AF)</f>
        <v>-77000</v>
      </c>
      <c r="AE116" s="17">
        <f>-_xlfn.XLOOKUP($C116,TB_NG!$E:$E,TB_NG!AG:AG)</f>
        <v>-318500</v>
      </c>
      <c r="AF116" s="17">
        <f>-_xlfn.XLOOKUP($C116,TB_NG!$E:$E,TB_NG!AH:AH)</f>
        <v>0</v>
      </c>
      <c r="AG116" s="17">
        <f>-_xlfn.XLOOKUP($C116,TB_NG!$E:$E,TB_NG!AI:AI)</f>
        <v>0</v>
      </c>
      <c r="AH116" s="17">
        <f>-_xlfn.XLOOKUP($C116,TB_NG!$E:$E,TB_NG!AJ:AJ)</f>
        <v>0</v>
      </c>
      <c r="AI116" s="17">
        <f>-_xlfn.XLOOKUP($C116,TB_NG!$E:$E,TB_NG!AK:AK)</f>
        <v>0</v>
      </c>
      <c r="AJ116" s="17">
        <f>-_xlfn.XLOOKUP($C116,TB_NG!$E:$E,TB_NG!AL:AL)</f>
        <v>0</v>
      </c>
      <c r="AK116" s="17">
        <f>-_xlfn.XLOOKUP($C116,TB_NG!$E:$E,TB_NG!AM:AM)</f>
        <v>0</v>
      </c>
      <c r="AL116" s="17">
        <f>-_xlfn.XLOOKUP($C116,TB_NG!$E:$E,TB_NG!AN:AN)</f>
        <v>0</v>
      </c>
      <c r="AM116" s="17">
        <f>-_xlfn.XLOOKUP($C116,TB_NG!$E:$E,TB_NG!AO:AO)</f>
        <v>0</v>
      </c>
      <c r="AS116" s="17">
        <f t="shared" si="18"/>
        <v>-1741400</v>
      </c>
      <c r="AT116" s="17">
        <f t="shared" si="19"/>
        <v>-2133162.5</v>
      </c>
    </row>
    <row r="117" spans="2:46" x14ac:dyDescent="0.2">
      <c r="B117" s="21">
        <v>61320</v>
      </c>
      <c r="C117" s="16" t="str">
        <f>_xlfn.XLOOKUP(B117,TB_NG!A:A,TB_NG!E:E)</f>
        <v>Motor Vehicle Expense: Tax/Insurance/Re</v>
      </c>
      <c r="D117" s="17">
        <f>-_xlfn.XLOOKUP($C117,TB_NG!$E:$E,TB_NG!F:F)</f>
        <v>-58400</v>
      </c>
      <c r="E117" s="17">
        <f>-_xlfn.XLOOKUP($C117,TB_NG!$E:$E,TB_NG!G:G)</f>
        <v>-6000</v>
      </c>
      <c r="F117" s="17">
        <f>-_xlfn.XLOOKUP($C117,TB_NG!$E:$E,TB_NG!H:H)</f>
        <v>-22000</v>
      </c>
      <c r="G117" s="17">
        <f>-_xlfn.XLOOKUP($C117,TB_NG!$E:$E,TB_NG!I:I)</f>
        <v>0</v>
      </c>
      <c r="H117" s="17">
        <f>-_xlfn.XLOOKUP($C117,TB_NG!$E:$E,TB_NG!J:J)</f>
        <v>-5000</v>
      </c>
      <c r="I117" s="17">
        <f>-_xlfn.XLOOKUP($C117,TB_NG!$E:$E,TB_NG!K:K)</f>
        <v>-67741.94</v>
      </c>
      <c r="J117" s="17">
        <f>-_xlfn.XLOOKUP($C117,TB_NG!$E:$E,TB_NG!L:L)</f>
        <v>-56704.4</v>
      </c>
      <c r="K117" s="17">
        <f>-_xlfn.XLOOKUP($C117,TB_NG!$E:$E,TB_NG!M:M)</f>
        <v>-50204.4</v>
      </c>
      <c r="L117" s="17">
        <f>-_xlfn.XLOOKUP($C117,TB_NG!$E:$E,TB_NG!N:N)</f>
        <v>-50204.4</v>
      </c>
      <c r="M117" s="17">
        <f>-_xlfn.XLOOKUP($C117,TB_NG!$E:$E,TB_NG!O:O)</f>
        <v>-50204.4</v>
      </c>
      <c r="N117" s="17">
        <f>-_xlfn.XLOOKUP($C117,TB_NG!$E:$E,TB_NG!P:P)</f>
        <v>-5000</v>
      </c>
      <c r="O117" s="17">
        <f>-_xlfn.XLOOKUP($C117,TB_NG!$E:$E,TB_NG!Q:Q)</f>
        <v>0</v>
      </c>
      <c r="P117" s="17">
        <f>-_xlfn.XLOOKUP($C117,TB_NG!$E:$E,TB_NG!R:R)</f>
        <v>-37000</v>
      </c>
      <c r="Q117" s="17">
        <f>-_xlfn.XLOOKUP($C117,TB_NG!$E:$E,TB_NG!S:S)</f>
        <v>-25150</v>
      </c>
      <c r="R117" s="17">
        <f>-_xlfn.XLOOKUP($C117,TB_NG!$E:$E,TB_NG!T:T)</f>
        <v>-15650</v>
      </c>
      <c r="S117" s="17">
        <f>-_xlfn.XLOOKUP($C117,TB_NG!$E:$E,TB_NG!U:U)</f>
        <v>-30150</v>
      </c>
      <c r="T117" s="17">
        <f>-_xlfn.XLOOKUP($C117,TB_NG!$E:$E,TB_NG!V:V)</f>
        <v>-23150</v>
      </c>
      <c r="U117" s="17">
        <f>-_xlfn.XLOOKUP($C117,TB_NG!$E:$E,TB_NG!W:W)</f>
        <v>-31450</v>
      </c>
      <c r="V117" s="17">
        <f>-_xlfn.XLOOKUP($C117,TB_NG!$E:$E,TB_NG!X:X)</f>
        <v>-15650</v>
      </c>
      <c r="W117" s="17">
        <f>-_xlfn.XLOOKUP($C117,TB_NG!$E:$E,TB_NG!Y:Y)</f>
        <v>-15650</v>
      </c>
      <c r="X117" s="17">
        <f>-_xlfn.XLOOKUP($C117,TB_NG!$E:$E,TB_NG!Z:Z)</f>
        <v>-15650</v>
      </c>
      <c r="Y117" s="17">
        <f>-_xlfn.XLOOKUP($C117,TB_NG!$E:$E,TB_NG!AA:AA)</f>
        <v>-40150</v>
      </c>
      <c r="Z117" s="17">
        <f>-_xlfn.XLOOKUP($C117,TB_NG!$E:$E,TB_NG!AB:AB)</f>
        <v>-15650</v>
      </c>
      <c r="AA117" s="17">
        <f>-_xlfn.XLOOKUP($C117,TB_NG!$E:$E,TB_NG!AC:AC)</f>
        <v>-26450</v>
      </c>
      <c r="AB117" s="17">
        <f>-_xlfn.XLOOKUP($C117,TB_NG!$E:$E,TB_NG!AD:AD)</f>
        <v>-112751.71</v>
      </c>
      <c r="AC117" s="17">
        <f>-_xlfn.XLOOKUP($C117,TB_NG!$E:$E,TB_NG!AE:AE)</f>
        <v>-39901.71</v>
      </c>
      <c r="AD117" s="17">
        <f>-_xlfn.XLOOKUP($C117,TB_NG!$E:$E,TB_NG!AF:AF)</f>
        <v>-29901.71</v>
      </c>
      <c r="AE117" s="17">
        <f>-_xlfn.XLOOKUP($C117,TB_NG!$E:$E,TB_NG!AG:AG)</f>
        <v>-29901.71</v>
      </c>
      <c r="AF117" s="17">
        <f>-_xlfn.XLOOKUP($C117,TB_NG!$E:$E,TB_NG!AH:AH)</f>
        <v>0</v>
      </c>
      <c r="AG117" s="17">
        <f>-_xlfn.XLOOKUP($C117,TB_NG!$E:$E,TB_NG!AI:AI)</f>
        <v>0</v>
      </c>
      <c r="AH117" s="17">
        <f>-_xlfn.XLOOKUP($C117,TB_NG!$E:$E,TB_NG!AJ:AJ)</f>
        <v>0</v>
      </c>
      <c r="AI117" s="17">
        <f>-_xlfn.XLOOKUP($C117,TB_NG!$E:$E,TB_NG!AK:AK)</f>
        <v>0</v>
      </c>
      <c r="AJ117" s="17">
        <f>-_xlfn.XLOOKUP($C117,TB_NG!$E:$E,TB_NG!AL:AL)</f>
        <v>0</v>
      </c>
      <c r="AK117" s="17">
        <f>-_xlfn.XLOOKUP($C117,TB_NG!$E:$E,TB_NG!AM:AM)</f>
        <v>0</v>
      </c>
      <c r="AL117" s="17">
        <f>-_xlfn.XLOOKUP($C117,TB_NG!$E:$E,TB_NG!AN:AN)</f>
        <v>0</v>
      </c>
      <c r="AM117" s="17">
        <f>-_xlfn.XLOOKUP($C117,TB_NG!$E:$E,TB_NG!AO:AO)</f>
        <v>0</v>
      </c>
      <c r="AS117" s="17">
        <f t="shared" si="18"/>
        <v>-371459.54000000004</v>
      </c>
      <c r="AT117" s="17">
        <f t="shared" si="19"/>
        <v>-291750</v>
      </c>
    </row>
    <row r="118" spans="2:46" x14ac:dyDescent="0.2">
      <c r="B118" s="21">
        <v>61500</v>
      </c>
      <c r="C118" s="16" t="str">
        <f>_xlfn.XLOOKUP(B118,TB_NG!A:A,TB_NG!E:E)</f>
        <v>Freight &amp; Clearing</v>
      </c>
      <c r="D118" s="17">
        <f>-_xlfn.XLOOKUP($C118,TB_NG!$E:$E,TB_NG!F:F)</f>
        <v>-66100</v>
      </c>
      <c r="E118" s="17">
        <f>-_xlfn.XLOOKUP($C118,TB_NG!$E:$E,TB_NG!G:G)</f>
        <v>-131765</v>
      </c>
      <c r="F118" s="17">
        <f>-_xlfn.XLOOKUP($C118,TB_NG!$E:$E,TB_NG!H:H)</f>
        <v>-1194900</v>
      </c>
      <c r="G118" s="17">
        <f>-_xlfn.XLOOKUP($C118,TB_NG!$E:$E,TB_NG!I:I)</f>
        <v>-214120</v>
      </c>
      <c r="H118" s="17">
        <f>-_xlfn.XLOOKUP($C118,TB_NG!$E:$E,TB_NG!J:J)</f>
        <v>-1110385</v>
      </c>
      <c r="I118" s="17">
        <f>-_xlfn.XLOOKUP($C118,TB_NG!$E:$E,TB_NG!K:K)</f>
        <v>-176394.79</v>
      </c>
      <c r="J118" s="17">
        <f>-_xlfn.XLOOKUP($C118,TB_NG!$E:$E,TB_NG!L:L)</f>
        <v>-1467500</v>
      </c>
      <c r="K118" s="17">
        <f>-_xlfn.XLOOKUP($C118,TB_NG!$E:$E,TB_NG!M:M)</f>
        <v>-604123.31000000006</v>
      </c>
      <c r="L118" s="17">
        <f>-_xlfn.XLOOKUP($C118,TB_NG!$E:$E,TB_NG!N:N)</f>
        <v>-2999226.88</v>
      </c>
      <c r="M118" s="17">
        <f>-_xlfn.XLOOKUP($C118,TB_NG!$E:$E,TB_NG!O:O)</f>
        <v>-15000</v>
      </c>
      <c r="N118" s="17">
        <f>-_xlfn.XLOOKUP($C118,TB_NG!$E:$E,TB_NG!P:P)</f>
        <v>-478710</v>
      </c>
      <c r="O118" s="17">
        <f>-_xlfn.XLOOKUP($C118,TB_NG!$E:$E,TB_NG!Q:Q)</f>
        <v>-2118565</v>
      </c>
      <c r="P118" s="17">
        <f>-_xlfn.XLOOKUP($C118,TB_NG!$E:$E,TB_NG!R:R)</f>
        <v>-2607500</v>
      </c>
      <c r="Q118" s="17">
        <f>-_xlfn.XLOOKUP($C118,TB_NG!$E:$E,TB_NG!S:S)</f>
        <v>-2263025</v>
      </c>
      <c r="R118" s="17">
        <f>-_xlfn.XLOOKUP($C118,TB_NG!$E:$E,TB_NG!T:T)</f>
        <v>-570400.12</v>
      </c>
      <c r="S118" s="17">
        <f>-_xlfn.XLOOKUP($C118,TB_NG!$E:$E,TB_NG!U:U)</f>
        <v>-121446.79</v>
      </c>
      <c r="T118" s="17">
        <f>-_xlfn.XLOOKUP($C118,TB_NG!$E:$E,TB_NG!V:V)</f>
        <v>-38700</v>
      </c>
      <c r="U118" s="17">
        <f>-_xlfn.XLOOKUP($C118,TB_NG!$E:$E,TB_NG!W:W)</f>
        <v>-293600</v>
      </c>
      <c r="V118" s="17">
        <f>-_xlfn.XLOOKUP($C118,TB_NG!$E:$E,TB_NG!X:X)</f>
        <v>0</v>
      </c>
      <c r="W118" s="17">
        <f>-_xlfn.XLOOKUP($C118,TB_NG!$E:$E,TB_NG!Y:Y)</f>
        <v>-2367119.89</v>
      </c>
      <c r="X118" s="17">
        <f>-_xlfn.XLOOKUP($C118,TB_NG!$E:$E,TB_NG!Z:Z)</f>
        <v>-2274555.2799999998</v>
      </c>
      <c r="Y118" s="17">
        <f>-_xlfn.XLOOKUP($C118,TB_NG!$E:$E,TB_NG!AA:AA)</f>
        <v>-2222719.2799999998</v>
      </c>
      <c r="Z118" s="17">
        <f>-_xlfn.XLOOKUP($C118,TB_NG!$E:$E,TB_NG!AB:AB)</f>
        <v>-2071852.92</v>
      </c>
      <c r="AA118" s="17">
        <f>-_xlfn.XLOOKUP($C118,TB_NG!$E:$E,TB_NG!AC:AC)</f>
        <v>1058.9000000000015</v>
      </c>
      <c r="AB118" s="17">
        <f>-_xlfn.XLOOKUP($C118,TB_NG!$E:$E,TB_NG!AD:AD)</f>
        <v>-3209138.12</v>
      </c>
      <c r="AC118" s="17">
        <f>-_xlfn.XLOOKUP($C118,TB_NG!$E:$E,TB_NG!AE:AE)</f>
        <v>-3839250</v>
      </c>
      <c r="AD118" s="17">
        <f>-_xlfn.XLOOKUP($C118,TB_NG!$E:$E,TB_NG!AF:AF)</f>
        <v>-6670700</v>
      </c>
      <c r="AE118" s="17">
        <f>-_xlfn.XLOOKUP($C118,TB_NG!$E:$E,TB_NG!AG:AG)</f>
        <v>-948186</v>
      </c>
      <c r="AF118" s="17">
        <f>-_xlfn.XLOOKUP($C118,TB_NG!$E:$E,TB_NG!AH:AH)</f>
        <v>0</v>
      </c>
      <c r="AG118" s="17">
        <f>-_xlfn.XLOOKUP($C118,TB_NG!$E:$E,TB_NG!AI:AI)</f>
        <v>0</v>
      </c>
      <c r="AH118" s="17">
        <f>-_xlfn.XLOOKUP($C118,TB_NG!$E:$E,TB_NG!AJ:AJ)</f>
        <v>0</v>
      </c>
      <c r="AI118" s="17">
        <f>-_xlfn.XLOOKUP($C118,TB_NG!$E:$E,TB_NG!AK:AK)</f>
        <v>0</v>
      </c>
      <c r="AJ118" s="17">
        <f>-_xlfn.XLOOKUP($C118,TB_NG!$E:$E,TB_NG!AL:AL)</f>
        <v>0</v>
      </c>
      <c r="AK118" s="17">
        <f>-_xlfn.XLOOKUP($C118,TB_NG!$E:$E,TB_NG!AM:AM)</f>
        <v>0</v>
      </c>
      <c r="AL118" s="17">
        <f>-_xlfn.XLOOKUP($C118,TB_NG!$E:$E,TB_NG!AN:AN)</f>
        <v>0</v>
      </c>
      <c r="AM118" s="17">
        <f>-_xlfn.XLOOKUP($C118,TB_NG!$E:$E,TB_NG!AO:AO)</f>
        <v>0</v>
      </c>
      <c r="AS118" s="17">
        <f t="shared" si="18"/>
        <v>-10576789.98</v>
      </c>
      <c r="AT118" s="17">
        <f t="shared" si="19"/>
        <v>-14829860.379999999</v>
      </c>
    </row>
    <row r="119" spans="2:46" x14ac:dyDescent="0.2">
      <c r="B119" s="21">
        <v>61600</v>
      </c>
      <c r="C119" s="16" t="str">
        <f>_xlfn.XLOOKUP(B119,TB_NG!A:A,TB_NG!E:E)</f>
        <v>Dues and subscriptions</v>
      </c>
      <c r="D119" s="17">
        <f>-_xlfn.XLOOKUP($C119,TB_NG!$E:$E,TB_NG!F:F)</f>
        <v>-8359283.3799999999</v>
      </c>
      <c r="E119" s="17">
        <f>-_xlfn.XLOOKUP($C119,TB_NG!$E:$E,TB_NG!G:G)</f>
        <v>-6488602.9199999999</v>
      </c>
      <c r="F119" s="17">
        <f>-_xlfn.XLOOKUP($C119,TB_NG!$E:$E,TB_NG!H:H)</f>
        <v>-3562670.0599999996</v>
      </c>
      <c r="G119" s="17">
        <f>-_xlfn.XLOOKUP($C119,TB_NG!$E:$E,TB_NG!I:I)</f>
        <v>-8264931.4199999999</v>
      </c>
      <c r="H119" s="17">
        <f>-_xlfn.XLOOKUP($C119,TB_NG!$E:$E,TB_NG!J:J)</f>
        <v>-5730413.0999999996</v>
      </c>
      <c r="I119" s="17">
        <f>-_xlfn.XLOOKUP($C119,TB_NG!$E:$E,TB_NG!K:K)</f>
        <v>-4606153.59</v>
      </c>
      <c r="J119" s="17">
        <f>-_xlfn.XLOOKUP($C119,TB_NG!$E:$E,TB_NG!L:L)</f>
        <v>-8414830.3100000005</v>
      </c>
      <c r="K119" s="17">
        <f>-_xlfn.XLOOKUP($C119,TB_NG!$E:$E,TB_NG!M:M)</f>
        <v>-6905531.1600000001</v>
      </c>
      <c r="L119" s="17">
        <f>-_xlfn.XLOOKUP($C119,TB_NG!$E:$E,TB_NG!N:N)</f>
        <v>-6442137.3399999999</v>
      </c>
      <c r="M119" s="17">
        <f>-_xlfn.XLOOKUP($C119,TB_NG!$E:$E,TB_NG!O:O)</f>
        <v>-9241921.4399999995</v>
      </c>
      <c r="N119" s="17">
        <f>-_xlfn.XLOOKUP($C119,TB_NG!$E:$E,TB_NG!P:P)</f>
        <v>-8713354.8200000003</v>
      </c>
      <c r="O119" s="17">
        <f>-_xlfn.XLOOKUP($C119,TB_NG!$E:$E,TB_NG!Q:Q)</f>
        <v>-7997018.0499999998</v>
      </c>
      <c r="P119" s="17">
        <f>-_xlfn.XLOOKUP($C119,TB_NG!$E:$E,TB_NG!R:R)</f>
        <v>0</v>
      </c>
      <c r="Q119" s="17">
        <f>-_xlfn.XLOOKUP($C119,TB_NG!$E:$E,TB_NG!S:S)</f>
        <v>0</v>
      </c>
      <c r="R119" s="17">
        <f>-_xlfn.XLOOKUP($C119,TB_NG!$E:$E,TB_NG!T:T)</f>
        <v>0</v>
      </c>
      <c r="S119" s="17">
        <f>-_xlfn.XLOOKUP($C119,TB_NG!$E:$E,TB_NG!U:U)</f>
        <v>0</v>
      </c>
      <c r="T119" s="17">
        <f>-_xlfn.XLOOKUP($C119,TB_NG!$E:$E,TB_NG!V:V)</f>
        <v>-100000</v>
      </c>
      <c r="U119" s="17">
        <f>-_xlfn.XLOOKUP($C119,TB_NG!$E:$E,TB_NG!W:W)</f>
        <v>0</v>
      </c>
      <c r="V119" s="17">
        <f>-_xlfn.XLOOKUP($C119,TB_NG!$E:$E,TB_NG!X:X)</f>
        <v>-400000</v>
      </c>
      <c r="W119" s="17">
        <f>-_xlfn.XLOOKUP($C119,TB_NG!$E:$E,TB_NG!Y:Y)</f>
        <v>-2157530.4500000002</v>
      </c>
      <c r="X119" s="17">
        <f>-_xlfn.XLOOKUP($C119,TB_NG!$E:$E,TB_NG!Z:Z)</f>
        <v>-1703530.45</v>
      </c>
      <c r="Y119" s="17">
        <f>-_xlfn.XLOOKUP($C119,TB_NG!$E:$E,TB_NG!AA:AA)</f>
        <v>-1703530.45</v>
      </c>
      <c r="Z119" s="17">
        <f>-_xlfn.XLOOKUP($C119,TB_NG!$E:$E,TB_NG!AB:AB)</f>
        <v>-1703530.45</v>
      </c>
      <c r="AA119" s="17">
        <f>-_xlfn.XLOOKUP($C119,TB_NG!$E:$E,TB_NG!AC:AC)</f>
        <v>-1806030.45</v>
      </c>
      <c r="AB119" s="17">
        <f>-_xlfn.XLOOKUP($C119,TB_NG!$E:$E,TB_NG!AD:AD)</f>
        <v>-1703530.45</v>
      </c>
      <c r="AC119" s="17">
        <f>-_xlfn.XLOOKUP($C119,TB_NG!$E:$E,TB_NG!AE:AE)</f>
        <v>-1703530.45</v>
      </c>
      <c r="AD119" s="17">
        <f>-_xlfn.XLOOKUP($C119,TB_NG!$E:$E,TB_NG!AF:AF)</f>
        <v>-1738530.45</v>
      </c>
      <c r="AE119" s="17">
        <f>-_xlfn.XLOOKUP($C119,TB_NG!$E:$E,TB_NG!AG:AG)</f>
        <v>-1903530.45</v>
      </c>
      <c r="AF119" s="17">
        <f>-_xlfn.XLOOKUP($C119,TB_NG!$E:$E,TB_NG!AH:AH)</f>
        <v>0</v>
      </c>
      <c r="AG119" s="17">
        <f>-_xlfn.XLOOKUP($C119,TB_NG!$E:$E,TB_NG!AI:AI)</f>
        <v>0</v>
      </c>
      <c r="AH119" s="17">
        <f>-_xlfn.XLOOKUP($C119,TB_NG!$E:$E,TB_NG!AJ:AJ)</f>
        <v>0</v>
      </c>
      <c r="AI119" s="17">
        <f>-_xlfn.XLOOKUP($C119,TB_NG!$E:$E,TB_NG!AK:AK)</f>
        <v>0</v>
      </c>
      <c r="AJ119" s="17">
        <f>-_xlfn.XLOOKUP($C119,TB_NG!$E:$E,TB_NG!AL:AL)</f>
        <v>0</v>
      </c>
      <c r="AK119" s="17">
        <f>-_xlfn.XLOOKUP($C119,TB_NG!$E:$E,TB_NG!AM:AM)</f>
        <v>0</v>
      </c>
      <c r="AL119" s="17">
        <f>-_xlfn.XLOOKUP($C119,TB_NG!$E:$E,TB_NG!AN:AN)</f>
        <v>0</v>
      </c>
      <c r="AM119" s="17">
        <f>-_xlfn.XLOOKUP($C119,TB_NG!$E:$E,TB_NG!AO:AO)</f>
        <v>0</v>
      </c>
      <c r="AS119" s="17">
        <f t="shared" si="18"/>
        <v>-84726847.589999989</v>
      </c>
      <c r="AT119" s="17">
        <f t="shared" si="19"/>
        <v>-9574152.25</v>
      </c>
    </row>
    <row r="120" spans="2:46" x14ac:dyDescent="0.2">
      <c r="B120" s="21">
        <v>62200</v>
      </c>
      <c r="C120" s="16" t="str">
        <f>_xlfn.XLOOKUP(B120,TB_NG!A:A,TB_NG!E:E)</f>
        <v>Meals and Entertainment</v>
      </c>
      <c r="D120" s="17">
        <f>-_xlfn.XLOOKUP($C120,TB_NG!$E:$E,TB_NG!F:F)</f>
        <v>-13500</v>
      </c>
      <c r="E120" s="17">
        <f>-_xlfn.XLOOKUP($C120,TB_NG!$E:$E,TB_NG!G:G)</f>
        <v>-6300</v>
      </c>
      <c r="F120" s="17">
        <f>-_xlfn.XLOOKUP($C120,TB_NG!$E:$E,TB_NG!H:H)</f>
        <v>-71970</v>
      </c>
      <c r="G120" s="17">
        <f>-_xlfn.XLOOKUP($C120,TB_NG!$E:$E,TB_NG!I:I)</f>
        <v>-1287110</v>
      </c>
      <c r="H120" s="17">
        <f>-_xlfn.XLOOKUP($C120,TB_NG!$E:$E,TB_NG!J:J)</f>
        <v>-457600</v>
      </c>
      <c r="I120" s="17">
        <f>-_xlfn.XLOOKUP($C120,TB_NG!$E:$E,TB_NG!K:K)</f>
        <v>-26050</v>
      </c>
      <c r="J120" s="17">
        <f>-_xlfn.XLOOKUP($C120,TB_NG!$E:$E,TB_NG!L:L)</f>
        <v>-192300</v>
      </c>
      <c r="K120" s="17">
        <f>-_xlfn.XLOOKUP($C120,TB_NG!$E:$E,TB_NG!M:M)</f>
        <v>-7800</v>
      </c>
      <c r="L120" s="17">
        <f>-_xlfn.XLOOKUP($C120,TB_NG!$E:$E,TB_NG!N:N)</f>
        <v>-55450</v>
      </c>
      <c r="M120" s="17">
        <f>-_xlfn.XLOOKUP($C120,TB_NG!$E:$E,TB_NG!O:O)</f>
        <v>-203860</v>
      </c>
      <c r="N120" s="17">
        <f>-_xlfn.XLOOKUP($C120,TB_NG!$E:$E,TB_NG!P:P)</f>
        <v>-63570</v>
      </c>
      <c r="O120" s="17">
        <f>-_xlfn.XLOOKUP($C120,TB_NG!$E:$E,TB_NG!Q:Q)</f>
        <v>-42300</v>
      </c>
      <c r="P120" s="17">
        <f>-_xlfn.XLOOKUP($C120,TB_NG!$E:$E,TB_NG!R:R)</f>
        <v>-75400</v>
      </c>
      <c r="Q120" s="17">
        <f>-_xlfn.XLOOKUP($C120,TB_NG!$E:$E,TB_NG!S:S)</f>
        <v>-600100</v>
      </c>
      <c r="R120" s="17">
        <f>-_xlfn.XLOOKUP($C120,TB_NG!$E:$E,TB_NG!T:T)</f>
        <v>-1051035</v>
      </c>
      <c r="S120" s="17">
        <f>-_xlfn.XLOOKUP($C120,TB_NG!$E:$E,TB_NG!U:U)</f>
        <v>-354546</v>
      </c>
      <c r="T120" s="17">
        <f>-_xlfn.XLOOKUP($C120,TB_NG!$E:$E,TB_NG!V:V)</f>
        <v>-9200</v>
      </c>
      <c r="U120" s="17">
        <f>-_xlfn.XLOOKUP($C120,TB_NG!$E:$E,TB_NG!W:W)</f>
        <v>-469300</v>
      </c>
      <c r="V120" s="17">
        <f>-_xlfn.XLOOKUP($C120,TB_NG!$E:$E,TB_NG!X:X)</f>
        <v>-151169</v>
      </c>
      <c r="W120" s="17">
        <f>-_xlfn.XLOOKUP($C120,TB_NG!$E:$E,TB_NG!Y:Y)</f>
        <v>-21250</v>
      </c>
      <c r="X120" s="17">
        <f>-_xlfn.XLOOKUP($C120,TB_NG!$E:$E,TB_NG!Z:Z)</f>
        <v>-1845000</v>
      </c>
      <c r="Y120" s="17">
        <f>-_xlfn.XLOOKUP($C120,TB_NG!$E:$E,TB_NG!AA:AA)</f>
        <v>-163797.17000000001</v>
      </c>
      <c r="Z120" s="17">
        <f>-_xlfn.XLOOKUP($C120,TB_NG!$E:$E,TB_NG!AB:AB)</f>
        <v>-4200</v>
      </c>
      <c r="AA120" s="17">
        <f>-_xlfn.XLOOKUP($C120,TB_NG!$E:$E,TB_NG!AC:AC)</f>
        <v>-666000</v>
      </c>
      <c r="AB120" s="17">
        <f>-_xlfn.XLOOKUP($C120,TB_NG!$E:$E,TB_NG!AD:AD)</f>
        <v>-14200</v>
      </c>
      <c r="AC120" s="17">
        <f>-_xlfn.XLOOKUP($C120,TB_NG!$E:$E,TB_NG!AE:AE)</f>
        <v>0</v>
      </c>
      <c r="AD120" s="17">
        <f>-_xlfn.XLOOKUP($C120,TB_NG!$E:$E,TB_NG!AF:AF)</f>
        <v>0</v>
      </c>
      <c r="AE120" s="17">
        <f>-_xlfn.XLOOKUP($C120,TB_NG!$E:$E,TB_NG!AG:AG)</f>
        <v>-94040</v>
      </c>
      <c r="AF120" s="17">
        <f>-_xlfn.XLOOKUP($C120,TB_NG!$E:$E,TB_NG!AH:AH)</f>
        <v>0</v>
      </c>
      <c r="AG120" s="17">
        <f>-_xlfn.XLOOKUP($C120,TB_NG!$E:$E,TB_NG!AI:AI)</f>
        <v>0</v>
      </c>
      <c r="AH120" s="17">
        <f>-_xlfn.XLOOKUP($C120,TB_NG!$E:$E,TB_NG!AJ:AJ)</f>
        <v>0</v>
      </c>
      <c r="AI120" s="17">
        <f>-_xlfn.XLOOKUP($C120,TB_NG!$E:$E,TB_NG!AK:AK)</f>
        <v>0</v>
      </c>
      <c r="AJ120" s="17">
        <f>-_xlfn.XLOOKUP($C120,TB_NG!$E:$E,TB_NG!AL:AL)</f>
        <v>0</v>
      </c>
      <c r="AK120" s="17">
        <f>-_xlfn.XLOOKUP($C120,TB_NG!$E:$E,TB_NG!AM:AM)</f>
        <v>0</v>
      </c>
      <c r="AL120" s="17">
        <f>-_xlfn.XLOOKUP($C120,TB_NG!$E:$E,TB_NG!AN:AN)</f>
        <v>0</v>
      </c>
      <c r="AM120" s="17">
        <f>-_xlfn.XLOOKUP($C120,TB_NG!$E:$E,TB_NG!AO:AO)</f>
        <v>0</v>
      </c>
      <c r="AS120" s="17">
        <f t="shared" si="18"/>
        <v>-2427810</v>
      </c>
      <c r="AT120" s="17">
        <f t="shared" si="19"/>
        <v>-5410997.1699999999</v>
      </c>
    </row>
    <row r="121" spans="2:46" x14ac:dyDescent="0.2">
      <c r="B121" s="21">
        <v>62410</v>
      </c>
      <c r="C121" s="16" t="str">
        <f>_xlfn.XLOOKUP(B121,TB_NG!A:A,TB_NG!E:E)</f>
        <v>Office Expense: Cleaning &amp; Sanitation</v>
      </c>
      <c r="D121" s="17">
        <f>-_xlfn.XLOOKUP($C121,TB_NG!$E:$E,TB_NG!F:F)</f>
        <v>0</v>
      </c>
      <c r="E121" s="17">
        <f>-_xlfn.XLOOKUP($C121,TB_NG!$E:$E,TB_NG!G:G)</f>
        <v>0</v>
      </c>
      <c r="F121" s="17">
        <f>-_xlfn.XLOOKUP($C121,TB_NG!$E:$E,TB_NG!H:H)</f>
        <v>0</v>
      </c>
      <c r="G121" s="17">
        <f>-_xlfn.XLOOKUP($C121,TB_NG!$E:$E,TB_NG!I:I)</f>
        <v>0</v>
      </c>
      <c r="H121" s="17">
        <f>-_xlfn.XLOOKUP($C121,TB_NG!$E:$E,TB_NG!J:J)</f>
        <v>0</v>
      </c>
      <c r="I121" s="17">
        <f>-_xlfn.XLOOKUP($C121,TB_NG!$E:$E,TB_NG!K:K)</f>
        <v>0</v>
      </c>
      <c r="J121" s="17">
        <f>-_xlfn.XLOOKUP($C121,TB_NG!$E:$E,TB_NG!L:L)</f>
        <v>0</v>
      </c>
      <c r="K121" s="17">
        <f>-_xlfn.XLOOKUP($C121,TB_NG!$E:$E,TB_NG!M:M)</f>
        <v>0</v>
      </c>
      <c r="L121" s="17">
        <f>-_xlfn.XLOOKUP($C121,TB_NG!$E:$E,TB_NG!N:N)</f>
        <v>0</v>
      </c>
      <c r="M121" s="17">
        <f>-_xlfn.XLOOKUP($C121,TB_NG!$E:$E,TB_NG!O:O)</f>
        <v>0</v>
      </c>
      <c r="N121" s="17">
        <f>-_xlfn.XLOOKUP($C121,TB_NG!$E:$E,TB_NG!P:P)</f>
        <v>0</v>
      </c>
      <c r="O121" s="17">
        <f>-_xlfn.XLOOKUP($C121,TB_NG!$E:$E,TB_NG!Q:Q)</f>
        <v>0</v>
      </c>
      <c r="P121" s="17">
        <f>-_xlfn.XLOOKUP($C121,TB_NG!$E:$E,TB_NG!R:R)</f>
        <v>0</v>
      </c>
      <c r="Q121" s="17">
        <f>-_xlfn.XLOOKUP($C121,TB_NG!$E:$E,TB_NG!S:S)</f>
        <v>0</v>
      </c>
      <c r="R121" s="17">
        <f>-_xlfn.XLOOKUP($C121,TB_NG!$E:$E,TB_NG!T:T)</f>
        <v>0</v>
      </c>
      <c r="S121" s="17">
        <f>-_xlfn.XLOOKUP($C121,TB_NG!$E:$E,TB_NG!U:U)</f>
        <v>0</v>
      </c>
      <c r="T121" s="17">
        <f>-_xlfn.XLOOKUP($C121,TB_NG!$E:$E,TB_NG!V:V)</f>
        <v>0</v>
      </c>
      <c r="U121" s="17">
        <f>-_xlfn.XLOOKUP($C121,TB_NG!$E:$E,TB_NG!W:W)</f>
        <v>0</v>
      </c>
      <c r="V121" s="17">
        <f>-_xlfn.XLOOKUP($C121,TB_NG!$E:$E,TB_NG!X:X)</f>
        <v>0</v>
      </c>
      <c r="W121" s="17">
        <f>-_xlfn.XLOOKUP($C121,TB_NG!$E:$E,TB_NG!Y:Y)</f>
        <v>0</v>
      </c>
      <c r="X121" s="17">
        <f>-_xlfn.XLOOKUP($C121,TB_NG!$E:$E,TB_NG!Z:Z)</f>
        <v>0</v>
      </c>
      <c r="Y121" s="17">
        <f>-_xlfn.XLOOKUP($C121,TB_NG!$E:$E,TB_NG!AA:AA)</f>
        <v>0</v>
      </c>
      <c r="Z121" s="17">
        <f>-_xlfn.XLOOKUP($C121,TB_NG!$E:$E,TB_NG!AB:AB)</f>
        <v>0</v>
      </c>
      <c r="AA121" s="17">
        <f>-_xlfn.XLOOKUP($C121,TB_NG!$E:$E,TB_NG!AC:AC)</f>
        <v>0</v>
      </c>
      <c r="AB121" s="17">
        <f>-_xlfn.XLOOKUP($C121,TB_NG!$E:$E,TB_NG!AD:AD)</f>
        <v>0</v>
      </c>
      <c r="AC121" s="17">
        <f>-_xlfn.XLOOKUP($C121,TB_NG!$E:$E,TB_NG!AE:AE)</f>
        <v>0</v>
      </c>
      <c r="AD121" s="17">
        <f>-_xlfn.XLOOKUP($C121,TB_NG!$E:$E,TB_NG!AF:AF)</f>
        <v>0</v>
      </c>
      <c r="AE121" s="17">
        <f>-_xlfn.XLOOKUP($C121,TB_NG!$E:$E,TB_NG!AG:AG)</f>
        <v>-41000</v>
      </c>
      <c r="AF121" s="17">
        <f>-_xlfn.XLOOKUP($C121,TB_NG!$E:$E,TB_NG!AH:AH)</f>
        <v>0</v>
      </c>
      <c r="AG121" s="17">
        <f>-_xlfn.XLOOKUP($C121,TB_NG!$E:$E,TB_NG!AI:AI)</f>
        <v>0</v>
      </c>
      <c r="AH121" s="17">
        <f>-_xlfn.XLOOKUP($C121,TB_NG!$E:$E,TB_NG!AJ:AJ)</f>
        <v>0</v>
      </c>
      <c r="AI121" s="17">
        <f>-_xlfn.XLOOKUP($C121,TB_NG!$E:$E,TB_NG!AK:AK)</f>
        <v>0</v>
      </c>
      <c r="AJ121" s="17">
        <f>-_xlfn.XLOOKUP($C121,TB_NG!$E:$E,TB_NG!AL:AL)</f>
        <v>0</v>
      </c>
      <c r="AK121" s="17">
        <f>-_xlfn.XLOOKUP($C121,TB_NG!$E:$E,TB_NG!AM:AM)</f>
        <v>0</v>
      </c>
      <c r="AL121" s="17">
        <f>-_xlfn.XLOOKUP($C121,TB_NG!$E:$E,TB_NG!AN:AN)</f>
        <v>0</v>
      </c>
      <c r="AM121" s="17">
        <f>-_xlfn.XLOOKUP($C121,TB_NG!$E:$E,TB_NG!AO:AO)</f>
        <v>0</v>
      </c>
      <c r="AS121" s="17"/>
      <c r="AT121" s="17"/>
    </row>
    <row r="122" spans="2:46" x14ac:dyDescent="0.2">
      <c r="B122" s="21">
        <v>62415</v>
      </c>
      <c r="C122" s="16" t="str">
        <f>_xlfn.XLOOKUP(B122,TB_NG!A:A,TB_NG!E:E)</f>
        <v>Office Expense: Computer accessories &amp; Supplies</v>
      </c>
      <c r="D122" s="17">
        <f>-_xlfn.XLOOKUP($C122,TB_NG!$E:$E,TB_NG!F:F)</f>
        <v>0</v>
      </c>
      <c r="E122" s="17">
        <f>-_xlfn.XLOOKUP($C122,TB_NG!$E:$E,TB_NG!G:G)</f>
        <v>-32500</v>
      </c>
      <c r="F122" s="17">
        <f>-_xlfn.XLOOKUP($C122,TB_NG!$E:$E,TB_NG!H:H)</f>
        <v>0</v>
      </c>
      <c r="G122" s="17">
        <f>-_xlfn.XLOOKUP($C122,TB_NG!$E:$E,TB_NG!I:I)</f>
        <v>-13533</v>
      </c>
      <c r="H122" s="17">
        <f>-_xlfn.XLOOKUP($C122,TB_NG!$E:$E,TB_NG!J:J)</f>
        <v>-570970</v>
      </c>
      <c r="I122" s="17">
        <f>-_xlfn.XLOOKUP($C122,TB_NG!$E:$E,TB_NG!K:K)</f>
        <v>-51000</v>
      </c>
      <c r="J122" s="17">
        <f>-_xlfn.XLOOKUP($C122,TB_NG!$E:$E,TB_NG!L:L)</f>
        <v>0</v>
      </c>
      <c r="K122" s="17">
        <f>-_xlfn.XLOOKUP($C122,TB_NG!$E:$E,TB_NG!M:M)</f>
        <v>-68560.97</v>
      </c>
      <c r="L122" s="17">
        <f>-_xlfn.XLOOKUP($C122,TB_NG!$E:$E,TB_NG!N:N)</f>
        <v>-3122000</v>
      </c>
      <c r="M122" s="17">
        <f>-_xlfn.XLOOKUP($C122,TB_NG!$E:$E,TB_NG!O:O)</f>
        <v>-929725</v>
      </c>
      <c r="N122" s="17">
        <f>-_xlfn.XLOOKUP($C122,TB_NG!$E:$E,TB_NG!P:P)</f>
        <v>-609500</v>
      </c>
      <c r="O122" s="17">
        <f>-_xlfn.XLOOKUP($C122,TB_NG!$E:$E,TB_NG!Q:Q)</f>
        <v>-40000</v>
      </c>
      <c r="P122" s="17">
        <f>-_xlfn.XLOOKUP($C122,TB_NG!$E:$E,TB_NG!R:R)</f>
        <v>-154000</v>
      </c>
      <c r="Q122" s="17">
        <f>-_xlfn.XLOOKUP($C122,TB_NG!$E:$E,TB_NG!S:S)</f>
        <v>-90400</v>
      </c>
      <c r="R122" s="17">
        <f>-_xlfn.XLOOKUP($C122,TB_NG!$E:$E,TB_NG!T:T)</f>
        <v>-207278.15999999997</v>
      </c>
      <c r="S122" s="17">
        <f>-_xlfn.XLOOKUP($C122,TB_NG!$E:$E,TB_NG!U:U)</f>
        <v>-48498</v>
      </c>
      <c r="T122" s="17">
        <f>-_xlfn.XLOOKUP($C122,TB_NG!$E:$E,TB_NG!V:V)</f>
        <v>-1027500</v>
      </c>
      <c r="U122" s="17">
        <f>-_xlfn.XLOOKUP($C122,TB_NG!$E:$E,TB_NG!W:W)</f>
        <v>-12000</v>
      </c>
      <c r="V122" s="17">
        <f>-_xlfn.XLOOKUP($C122,TB_NG!$E:$E,TB_NG!X:X)</f>
        <v>-76700</v>
      </c>
      <c r="W122" s="17">
        <f>-_xlfn.XLOOKUP($C122,TB_NG!$E:$E,TB_NG!Y:Y)</f>
        <v>-62500</v>
      </c>
      <c r="X122" s="17">
        <f>-_xlfn.XLOOKUP($C122,TB_NG!$E:$E,TB_NG!Z:Z)</f>
        <v>-17500</v>
      </c>
      <c r="Y122" s="17">
        <f>-_xlfn.XLOOKUP($C122,TB_NG!$E:$E,TB_NG!AA:AA)</f>
        <v>-292000</v>
      </c>
      <c r="Z122" s="17">
        <f>-_xlfn.XLOOKUP($C122,TB_NG!$E:$E,TB_NG!AB:AB)</f>
        <v>-2853600</v>
      </c>
      <c r="AA122" s="17">
        <f>-_xlfn.XLOOKUP($C122,TB_NG!$E:$E,TB_NG!AC:AC)</f>
        <v>-171000</v>
      </c>
      <c r="AB122" s="17">
        <f>-_xlfn.XLOOKUP($C122,TB_NG!$E:$E,TB_NG!AD:AD)</f>
        <v>-38000</v>
      </c>
      <c r="AC122" s="17">
        <f>-_xlfn.XLOOKUP($C122,TB_NG!$E:$E,TB_NG!AE:AE)</f>
        <v>-40000</v>
      </c>
      <c r="AD122" s="17">
        <f>-_xlfn.XLOOKUP($C122,TB_NG!$E:$E,TB_NG!AF:AF)</f>
        <v>-424500</v>
      </c>
      <c r="AE122" s="17">
        <f>-_xlfn.XLOOKUP($C122,TB_NG!$E:$E,TB_NG!AG:AG)</f>
        <v>-850500</v>
      </c>
      <c r="AF122" s="17">
        <f>-_xlfn.XLOOKUP($C122,TB_NG!$E:$E,TB_NG!AH:AH)</f>
        <v>0</v>
      </c>
      <c r="AG122" s="17">
        <f>-_xlfn.XLOOKUP($C122,TB_NG!$E:$E,TB_NG!AI:AI)</f>
        <v>0</v>
      </c>
      <c r="AH122" s="17">
        <f>-_xlfn.XLOOKUP($C122,TB_NG!$E:$E,TB_NG!AJ:AJ)</f>
        <v>0</v>
      </c>
      <c r="AI122" s="17">
        <f>-_xlfn.XLOOKUP($C122,TB_NG!$E:$E,TB_NG!AK:AK)</f>
        <v>0</v>
      </c>
      <c r="AJ122" s="17">
        <f>-_xlfn.XLOOKUP($C122,TB_NG!$E:$E,TB_NG!AL:AL)</f>
        <v>0</v>
      </c>
      <c r="AK122" s="17">
        <f>-_xlfn.XLOOKUP($C122,TB_NG!$E:$E,TB_NG!AM:AM)</f>
        <v>0</v>
      </c>
      <c r="AL122" s="17">
        <f>-_xlfn.XLOOKUP($C122,TB_NG!$E:$E,TB_NG!AN:AN)</f>
        <v>0</v>
      </c>
      <c r="AM122" s="17">
        <f>-_xlfn.XLOOKUP($C122,TB_NG!$E:$E,TB_NG!AO:AO)</f>
        <v>0</v>
      </c>
      <c r="AS122" s="17">
        <f t="shared" si="18"/>
        <v>-5437788.9699999997</v>
      </c>
      <c r="AT122" s="17">
        <f t="shared" si="19"/>
        <v>-5012976.16</v>
      </c>
    </row>
    <row r="123" spans="2:46" x14ac:dyDescent="0.2">
      <c r="B123" s="21">
        <v>62420</v>
      </c>
      <c r="C123" s="16" t="str">
        <f>_xlfn.XLOOKUP(B123,TB_NG!A:A,TB_NG!E:E)</f>
        <v>Office Expense: Other</v>
      </c>
      <c r="D123" s="17">
        <f>-_xlfn.XLOOKUP($C123,TB_NG!$E:$E,TB_NG!F:F)</f>
        <v>8400</v>
      </c>
      <c r="E123" s="17">
        <f>-_xlfn.XLOOKUP($C123,TB_NG!$E:$E,TB_NG!G:G)</f>
        <v>-23685</v>
      </c>
      <c r="F123" s="17">
        <f>-_xlfn.XLOOKUP($C123,TB_NG!$E:$E,TB_NG!H:H)</f>
        <v>-1800</v>
      </c>
      <c r="G123" s="17">
        <f>-_xlfn.XLOOKUP($C123,TB_NG!$E:$E,TB_NG!I:I)</f>
        <v>-6500</v>
      </c>
      <c r="H123" s="17">
        <f>-_xlfn.XLOOKUP($C123,TB_NG!$E:$E,TB_NG!J:J)</f>
        <v>-50500</v>
      </c>
      <c r="I123" s="17">
        <f>-_xlfn.XLOOKUP($C123,TB_NG!$E:$E,TB_NG!K:K)</f>
        <v>-43090</v>
      </c>
      <c r="J123" s="17">
        <f>-_xlfn.XLOOKUP($C123,TB_NG!$E:$E,TB_NG!L:L)</f>
        <v>-12500</v>
      </c>
      <c r="K123" s="17">
        <f>-_xlfn.XLOOKUP($C123,TB_NG!$E:$E,TB_NG!M:M)</f>
        <v>-15000</v>
      </c>
      <c r="L123" s="17">
        <f>-_xlfn.XLOOKUP($C123,TB_NG!$E:$E,TB_NG!N:N)</f>
        <v>-42000</v>
      </c>
      <c r="M123" s="17">
        <f>-_xlfn.XLOOKUP($C123,TB_NG!$E:$E,TB_NG!O:O)</f>
        <v>0</v>
      </c>
      <c r="N123" s="17">
        <f>-_xlfn.XLOOKUP($C123,TB_NG!$E:$E,TB_NG!P:P)</f>
        <v>-71211</v>
      </c>
      <c r="O123" s="17">
        <f>-_xlfn.XLOOKUP($C123,TB_NG!$E:$E,TB_NG!Q:Q)</f>
        <v>-20000</v>
      </c>
      <c r="P123" s="17">
        <f>-_xlfn.XLOOKUP($C123,TB_NG!$E:$E,TB_NG!R:R)</f>
        <v>-171450</v>
      </c>
      <c r="Q123" s="17">
        <f>-_xlfn.XLOOKUP($C123,TB_NG!$E:$E,TB_NG!S:S)</f>
        <v>-231950</v>
      </c>
      <c r="R123" s="17">
        <f>-_xlfn.XLOOKUP($C123,TB_NG!$E:$E,TB_NG!T:T)</f>
        <v>-178948.59</v>
      </c>
      <c r="S123" s="17">
        <f>-_xlfn.XLOOKUP($C123,TB_NG!$E:$E,TB_NG!U:U)</f>
        <v>-38500</v>
      </c>
      <c r="T123" s="17">
        <f>-_xlfn.XLOOKUP($C123,TB_NG!$E:$E,TB_NG!V:V)</f>
        <v>-63500</v>
      </c>
      <c r="U123" s="17">
        <f>-_xlfn.XLOOKUP($C123,TB_NG!$E:$E,TB_NG!W:W)</f>
        <v>-12000</v>
      </c>
      <c r="V123" s="17">
        <f>-_xlfn.XLOOKUP($C123,TB_NG!$E:$E,TB_NG!X:X)</f>
        <v>-25000</v>
      </c>
      <c r="W123" s="17">
        <f>-_xlfn.XLOOKUP($C123,TB_NG!$E:$E,TB_NG!Y:Y)</f>
        <v>-100000</v>
      </c>
      <c r="X123" s="17">
        <f>-_xlfn.XLOOKUP($C123,TB_NG!$E:$E,TB_NG!Z:Z)</f>
        <v>-50000</v>
      </c>
      <c r="Y123" s="17">
        <f>-_xlfn.XLOOKUP($C123,TB_NG!$E:$E,TB_NG!AA:AA)</f>
        <v>-24999.999999999971</v>
      </c>
      <c r="Z123" s="17">
        <f>-_xlfn.XLOOKUP($C123,TB_NG!$E:$E,TB_NG!AB:AB)</f>
        <v>-50000</v>
      </c>
      <c r="AA123" s="17">
        <f>-_xlfn.XLOOKUP($C123,TB_NG!$E:$E,TB_NG!AC:AC)</f>
        <v>-117000</v>
      </c>
      <c r="AB123" s="17">
        <f>-_xlfn.XLOOKUP($C123,TB_NG!$E:$E,TB_NG!AD:AD)</f>
        <v>0</v>
      </c>
      <c r="AC123" s="17">
        <f>-_xlfn.XLOOKUP($C123,TB_NG!$E:$E,TB_NG!AE:AE)</f>
        <v>-14500</v>
      </c>
      <c r="AD123" s="17">
        <f>-_xlfn.XLOOKUP($C123,TB_NG!$E:$E,TB_NG!AF:AF)</f>
        <v>-215893</v>
      </c>
      <c r="AE123" s="17">
        <f>-_xlfn.XLOOKUP($C123,TB_NG!$E:$E,TB_NG!AG:AG)</f>
        <v>-500000</v>
      </c>
      <c r="AF123" s="17">
        <f>-_xlfn.XLOOKUP($C123,TB_NG!$E:$E,TB_NG!AH:AH)</f>
        <v>0</v>
      </c>
      <c r="AG123" s="17">
        <f>-_xlfn.XLOOKUP($C123,TB_NG!$E:$E,TB_NG!AI:AI)</f>
        <v>0</v>
      </c>
      <c r="AH123" s="17">
        <f>-_xlfn.XLOOKUP($C123,TB_NG!$E:$E,TB_NG!AJ:AJ)</f>
        <v>0</v>
      </c>
      <c r="AI123" s="17">
        <f>-_xlfn.XLOOKUP($C123,TB_NG!$E:$E,TB_NG!AK:AK)</f>
        <v>0</v>
      </c>
      <c r="AJ123" s="17">
        <f>-_xlfn.XLOOKUP($C123,TB_NG!$E:$E,TB_NG!AL:AL)</f>
        <v>0</v>
      </c>
      <c r="AK123" s="17">
        <f>-_xlfn.XLOOKUP($C123,TB_NG!$E:$E,TB_NG!AM:AM)</f>
        <v>0</v>
      </c>
      <c r="AL123" s="17">
        <f>-_xlfn.XLOOKUP($C123,TB_NG!$E:$E,TB_NG!AN:AN)</f>
        <v>0</v>
      </c>
      <c r="AM123" s="17">
        <f>-_xlfn.XLOOKUP($C123,TB_NG!$E:$E,TB_NG!AO:AO)</f>
        <v>0</v>
      </c>
      <c r="AS123" s="17">
        <f t="shared" si="18"/>
        <v>-277886</v>
      </c>
      <c r="AT123" s="17">
        <f t="shared" si="19"/>
        <v>-1063348.5899999999</v>
      </c>
    </row>
    <row r="124" spans="2:46" x14ac:dyDescent="0.2">
      <c r="B124" s="21">
        <v>62425</v>
      </c>
      <c r="C124" s="16" t="str">
        <f>_xlfn.XLOOKUP(B124,TB_NG!A:A,TB_NG!E:E)</f>
        <v>Office Expense: Supplies</v>
      </c>
      <c r="D124" s="17">
        <f>-_xlfn.XLOOKUP($C124,TB_NG!$E:$E,TB_NG!F:F)</f>
        <v>-65500</v>
      </c>
      <c r="E124" s="17">
        <f>-_xlfn.XLOOKUP($C124,TB_NG!$E:$E,TB_NG!G:G)</f>
        <v>-128000</v>
      </c>
      <c r="F124" s="17">
        <f>-_xlfn.XLOOKUP($C124,TB_NG!$E:$E,TB_NG!H:H)</f>
        <v>-142620</v>
      </c>
      <c r="G124" s="17">
        <f>-_xlfn.XLOOKUP($C124,TB_NG!$E:$E,TB_NG!I:I)</f>
        <v>-126180</v>
      </c>
      <c r="H124" s="17">
        <f>-_xlfn.XLOOKUP($C124,TB_NG!$E:$E,TB_NG!J:J)</f>
        <v>-988620</v>
      </c>
      <c r="I124" s="17">
        <f>-_xlfn.XLOOKUP($C124,TB_NG!$E:$E,TB_NG!K:K)</f>
        <v>-755760</v>
      </c>
      <c r="J124" s="17">
        <f>-_xlfn.XLOOKUP($C124,TB_NG!$E:$E,TB_NG!L:L)</f>
        <v>-345950</v>
      </c>
      <c r="K124" s="17">
        <f>-_xlfn.XLOOKUP($C124,TB_NG!$E:$E,TB_NG!M:M)</f>
        <v>-367700</v>
      </c>
      <c r="L124" s="17">
        <f>-_xlfn.XLOOKUP($C124,TB_NG!$E:$E,TB_NG!N:N)</f>
        <v>-590300</v>
      </c>
      <c r="M124" s="17">
        <f>-_xlfn.XLOOKUP($C124,TB_NG!$E:$E,TB_NG!O:O)</f>
        <v>-633950</v>
      </c>
      <c r="N124" s="17">
        <f>-_xlfn.XLOOKUP($C124,TB_NG!$E:$E,TB_NG!P:P)</f>
        <v>-717500</v>
      </c>
      <c r="O124" s="17">
        <f>-_xlfn.XLOOKUP($C124,TB_NG!$E:$E,TB_NG!Q:Q)</f>
        <v>-79000</v>
      </c>
      <c r="P124" s="17">
        <f>-_xlfn.XLOOKUP($C124,TB_NG!$E:$E,TB_NG!R:R)</f>
        <v>-603800</v>
      </c>
      <c r="Q124" s="17">
        <f>-_xlfn.XLOOKUP($C124,TB_NG!$E:$E,TB_NG!S:S)</f>
        <v>-556750</v>
      </c>
      <c r="R124" s="17">
        <f>-_xlfn.XLOOKUP($C124,TB_NG!$E:$E,TB_NG!T:T)</f>
        <v>-24100</v>
      </c>
      <c r="S124" s="17">
        <f>-_xlfn.XLOOKUP($C124,TB_NG!$E:$E,TB_NG!U:U)</f>
        <v>-668000</v>
      </c>
      <c r="T124" s="17">
        <f>-_xlfn.XLOOKUP($C124,TB_NG!$E:$E,TB_NG!V:V)</f>
        <v>-118310</v>
      </c>
      <c r="U124" s="17">
        <f>-_xlfn.XLOOKUP($C124,TB_NG!$E:$E,TB_NG!W:W)</f>
        <v>-401800</v>
      </c>
      <c r="V124" s="17">
        <f>-_xlfn.XLOOKUP($C124,TB_NG!$E:$E,TB_NG!X:X)</f>
        <v>-426000</v>
      </c>
      <c r="W124" s="17">
        <f>-_xlfn.XLOOKUP($C124,TB_NG!$E:$E,TB_NG!Y:Y)</f>
        <v>-488400</v>
      </c>
      <c r="X124" s="17">
        <f>-_xlfn.XLOOKUP($C124,TB_NG!$E:$E,TB_NG!Z:Z)</f>
        <v>-432488</v>
      </c>
      <c r="Y124" s="17">
        <f>-_xlfn.XLOOKUP($C124,TB_NG!$E:$E,TB_NG!AA:AA)</f>
        <v>-529200</v>
      </c>
      <c r="Z124" s="17">
        <f>-_xlfn.XLOOKUP($C124,TB_NG!$E:$E,TB_NG!AB:AB)</f>
        <v>-53150</v>
      </c>
      <c r="AA124" s="17">
        <f>-_xlfn.XLOOKUP($C124,TB_NG!$E:$E,TB_NG!AC:AC)</f>
        <v>-475935</v>
      </c>
      <c r="AB124" s="17">
        <f>-_xlfn.XLOOKUP($C124,TB_NG!$E:$E,TB_NG!AD:AD)</f>
        <v>-95400</v>
      </c>
      <c r="AC124" s="17">
        <f>-_xlfn.XLOOKUP($C124,TB_NG!$E:$E,TB_NG!AE:AE)</f>
        <v>0</v>
      </c>
      <c r="AD124" s="17">
        <f>-_xlfn.XLOOKUP($C124,TB_NG!$E:$E,TB_NG!AF:AF)</f>
        <v>-86570</v>
      </c>
      <c r="AE124" s="17">
        <f>-_xlfn.XLOOKUP($C124,TB_NG!$E:$E,TB_NG!AG:AG)</f>
        <v>-126700</v>
      </c>
      <c r="AF124" s="17">
        <f>-_xlfn.XLOOKUP($C124,TB_NG!$E:$E,TB_NG!AH:AH)</f>
        <v>0</v>
      </c>
      <c r="AG124" s="17">
        <f>-_xlfn.XLOOKUP($C124,TB_NG!$E:$E,TB_NG!AI:AI)</f>
        <v>0</v>
      </c>
      <c r="AH124" s="17">
        <f>-_xlfn.XLOOKUP($C124,TB_NG!$E:$E,TB_NG!AJ:AJ)</f>
        <v>0</v>
      </c>
      <c r="AI124" s="17">
        <f>-_xlfn.XLOOKUP($C124,TB_NG!$E:$E,TB_NG!AK:AK)</f>
        <v>0</v>
      </c>
      <c r="AJ124" s="17">
        <f>-_xlfn.XLOOKUP($C124,TB_NG!$E:$E,TB_NG!AL:AL)</f>
        <v>0</v>
      </c>
      <c r="AK124" s="17">
        <f>-_xlfn.XLOOKUP($C124,TB_NG!$E:$E,TB_NG!AM:AM)</f>
        <v>0</v>
      </c>
      <c r="AL124" s="17">
        <f>-_xlfn.XLOOKUP($C124,TB_NG!$E:$E,TB_NG!AN:AN)</f>
        <v>0</v>
      </c>
      <c r="AM124" s="17">
        <f>-_xlfn.XLOOKUP($C124,TB_NG!$E:$E,TB_NG!AO:AO)</f>
        <v>0</v>
      </c>
      <c r="AS124" s="17">
        <f t="shared" si="18"/>
        <v>-4941080</v>
      </c>
      <c r="AT124" s="17">
        <f t="shared" si="19"/>
        <v>-4777933</v>
      </c>
    </row>
    <row r="125" spans="2:46" x14ac:dyDescent="0.2">
      <c r="B125" s="21">
        <v>62435</v>
      </c>
      <c r="C125" s="16" t="str">
        <f>_xlfn.XLOOKUP(B125,TB_NG!A:A,TB_NG!E:E)</f>
        <v>Office Expense: Stationery</v>
      </c>
      <c r="D125" s="17">
        <f>-_xlfn.XLOOKUP($C125,TB_NG!$E:$E,TB_NG!F:F)</f>
        <v>0</v>
      </c>
      <c r="E125" s="17">
        <f>-_xlfn.XLOOKUP($C125,TB_NG!$E:$E,TB_NG!G:G)</f>
        <v>0</v>
      </c>
      <c r="F125" s="17">
        <f>-_xlfn.XLOOKUP($C125,TB_NG!$E:$E,TB_NG!H:H)</f>
        <v>-20600</v>
      </c>
      <c r="G125" s="17">
        <f>-_xlfn.XLOOKUP($C125,TB_NG!$E:$E,TB_NG!I:I)</f>
        <v>-27050</v>
      </c>
      <c r="H125" s="17">
        <f>-_xlfn.XLOOKUP($C125,TB_NG!$E:$E,TB_NG!J:J)</f>
        <v>-173100</v>
      </c>
      <c r="I125" s="17">
        <f>-_xlfn.XLOOKUP($C125,TB_NG!$E:$E,TB_NG!K:K)</f>
        <v>0</v>
      </c>
      <c r="J125" s="17">
        <f>-_xlfn.XLOOKUP($C125,TB_NG!$E:$E,TB_NG!L:L)</f>
        <v>0</v>
      </c>
      <c r="K125" s="17">
        <f>-_xlfn.XLOOKUP($C125,TB_NG!$E:$E,TB_NG!M:M)</f>
        <v>0</v>
      </c>
      <c r="L125" s="17">
        <f>-_xlfn.XLOOKUP($C125,TB_NG!$E:$E,TB_NG!N:N)</f>
        <v>-81900</v>
      </c>
      <c r="M125" s="17">
        <f>-_xlfn.XLOOKUP($C125,TB_NG!$E:$E,TB_NG!O:O)</f>
        <v>-70500</v>
      </c>
      <c r="N125" s="17">
        <f>-_xlfn.XLOOKUP($C125,TB_NG!$E:$E,TB_NG!P:P)</f>
        <v>-15000</v>
      </c>
      <c r="O125" s="17">
        <f>-_xlfn.XLOOKUP($C125,TB_NG!$E:$E,TB_NG!Q:Q)</f>
        <v>0</v>
      </c>
      <c r="P125" s="17">
        <f>-_xlfn.XLOOKUP($C125,TB_NG!$E:$E,TB_NG!R:R)</f>
        <v>-860900</v>
      </c>
      <c r="Q125" s="17">
        <f>-_xlfn.XLOOKUP($C125,TB_NG!$E:$E,TB_NG!S:S)</f>
        <v>-9000</v>
      </c>
      <c r="R125" s="17">
        <f>-_xlfn.XLOOKUP($C125,TB_NG!$E:$E,TB_NG!T:T)</f>
        <v>-126500</v>
      </c>
      <c r="S125" s="17">
        <f>-_xlfn.XLOOKUP($C125,TB_NG!$E:$E,TB_NG!U:U)</f>
        <v>-96630</v>
      </c>
      <c r="T125" s="17">
        <f>-_xlfn.XLOOKUP($C125,TB_NG!$E:$E,TB_NG!V:V)</f>
        <v>-484080</v>
      </c>
      <c r="U125" s="17">
        <f>-_xlfn.XLOOKUP($C125,TB_NG!$E:$E,TB_NG!W:W)</f>
        <v>-294000</v>
      </c>
      <c r="V125" s="17">
        <f>-_xlfn.XLOOKUP($C125,TB_NG!$E:$E,TB_NG!X:X)</f>
        <v>-348500</v>
      </c>
      <c r="W125" s="17">
        <f>-_xlfn.XLOOKUP($C125,TB_NG!$E:$E,TB_NG!Y:Y)</f>
        <v>-25600</v>
      </c>
      <c r="X125" s="17">
        <f>-_xlfn.XLOOKUP($C125,TB_NG!$E:$E,TB_NG!Z:Z)</f>
        <v>-1071150</v>
      </c>
      <c r="Y125" s="17">
        <f>-_xlfn.XLOOKUP($C125,TB_NG!$E:$E,TB_NG!AA:AA)</f>
        <v>-339600</v>
      </c>
      <c r="Z125" s="17">
        <f>-_xlfn.XLOOKUP($C125,TB_NG!$E:$E,TB_NG!AB:AB)</f>
        <v>0</v>
      </c>
      <c r="AA125" s="17">
        <f>-_xlfn.XLOOKUP($C125,TB_NG!$E:$E,TB_NG!AC:AC)</f>
        <v>-103959</v>
      </c>
      <c r="AB125" s="17">
        <f>-_xlfn.XLOOKUP($C125,TB_NG!$E:$E,TB_NG!AD:AD)</f>
        <v>-1116300</v>
      </c>
      <c r="AC125" s="17">
        <f>-_xlfn.XLOOKUP($C125,TB_NG!$E:$E,TB_NG!AE:AE)</f>
        <v>0</v>
      </c>
      <c r="AD125" s="17">
        <f>-_xlfn.XLOOKUP($C125,TB_NG!$E:$E,TB_NG!AF:AF)</f>
        <v>-132500</v>
      </c>
      <c r="AE125" s="17">
        <f>-_xlfn.XLOOKUP($C125,TB_NG!$E:$E,TB_NG!AG:AG)</f>
        <v>0</v>
      </c>
      <c r="AF125" s="17">
        <f>-_xlfn.XLOOKUP($C125,TB_NG!$E:$E,TB_NG!AH:AH)</f>
        <v>0</v>
      </c>
      <c r="AG125" s="17">
        <f>-_xlfn.XLOOKUP($C125,TB_NG!$E:$E,TB_NG!AI:AI)</f>
        <v>0</v>
      </c>
      <c r="AH125" s="17">
        <f>-_xlfn.XLOOKUP($C125,TB_NG!$E:$E,TB_NG!AJ:AJ)</f>
        <v>0</v>
      </c>
      <c r="AI125" s="17">
        <f>-_xlfn.XLOOKUP($C125,TB_NG!$E:$E,TB_NG!AK:AK)</f>
        <v>0</v>
      </c>
      <c r="AJ125" s="17">
        <f>-_xlfn.XLOOKUP($C125,TB_NG!$E:$E,TB_NG!AL:AL)</f>
        <v>0</v>
      </c>
      <c r="AK125" s="17">
        <f>-_xlfn.XLOOKUP($C125,TB_NG!$E:$E,TB_NG!AM:AM)</f>
        <v>0</v>
      </c>
      <c r="AL125" s="17">
        <f>-_xlfn.XLOOKUP($C125,TB_NG!$E:$E,TB_NG!AN:AN)</f>
        <v>0</v>
      </c>
      <c r="AM125" s="17">
        <f>-_xlfn.XLOOKUP($C125,TB_NG!$E:$E,TB_NG!AO:AO)</f>
        <v>0</v>
      </c>
      <c r="AS125" s="17">
        <f t="shared" si="18"/>
        <v>-388150</v>
      </c>
      <c r="AT125" s="17">
        <f t="shared" si="19"/>
        <v>-3759919</v>
      </c>
    </row>
    <row r="126" spans="2:46" x14ac:dyDescent="0.2">
      <c r="B126" s="21">
        <v>62950</v>
      </c>
      <c r="C126" s="16" t="str">
        <f>_xlfn.XLOOKUP(B126,TB_NG!A:A,TB_NG!E:E)</f>
        <v>Repairs</v>
      </c>
      <c r="D126" s="17">
        <f>-_xlfn.XLOOKUP($C126,TB_NG!$E:$E,TB_NG!F:F)</f>
        <v>0</v>
      </c>
      <c r="E126" s="17">
        <f>-_xlfn.XLOOKUP($C126,TB_NG!$E:$E,TB_NG!G:G)</f>
        <v>0</v>
      </c>
      <c r="F126" s="17">
        <f>-_xlfn.XLOOKUP($C126,TB_NG!$E:$E,TB_NG!H:H)</f>
        <v>0</v>
      </c>
      <c r="G126" s="17">
        <f>-_xlfn.XLOOKUP($C126,TB_NG!$E:$E,TB_NG!I:I)</f>
        <v>0</v>
      </c>
      <c r="H126" s="17">
        <f>-_xlfn.XLOOKUP($C126,TB_NG!$E:$E,TB_NG!J:J)</f>
        <v>0</v>
      </c>
      <c r="I126" s="17">
        <f>-_xlfn.XLOOKUP($C126,TB_NG!$E:$E,TB_NG!K:K)</f>
        <v>0</v>
      </c>
      <c r="J126" s="17">
        <f>-_xlfn.XLOOKUP($C126,TB_NG!$E:$E,TB_NG!L:L)</f>
        <v>0</v>
      </c>
      <c r="K126" s="17">
        <f>-_xlfn.XLOOKUP($C126,TB_NG!$E:$E,TB_NG!M:M)</f>
        <v>-10000</v>
      </c>
      <c r="L126" s="17">
        <f>-_xlfn.XLOOKUP($C126,TB_NG!$E:$E,TB_NG!N:N)</f>
        <v>-5000</v>
      </c>
      <c r="M126" s="17">
        <f>-_xlfn.XLOOKUP($C126,TB_NG!$E:$E,TB_NG!O:O)</f>
        <v>0</v>
      </c>
      <c r="N126" s="17">
        <f>-_xlfn.XLOOKUP($C126,TB_NG!$E:$E,TB_NG!P:P)</f>
        <v>0</v>
      </c>
      <c r="O126" s="17">
        <f>-_xlfn.XLOOKUP($C126,TB_NG!$E:$E,TB_NG!Q:Q)</f>
        <v>0</v>
      </c>
      <c r="P126" s="17">
        <f>-_xlfn.XLOOKUP($C126,TB_NG!$E:$E,TB_NG!R:R)</f>
        <v>0</v>
      </c>
      <c r="Q126" s="17">
        <f>-_xlfn.XLOOKUP($C126,TB_NG!$E:$E,TB_NG!S:S)</f>
        <v>0</v>
      </c>
      <c r="R126" s="17">
        <f>-_xlfn.XLOOKUP($C126,TB_NG!$E:$E,TB_NG!T:T)</f>
        <v>0</v>
      </c>
      <c r="S126" s="17">
        <f>-_xlfn.XLOOKUP($C126,TB_NG!$E:$E,TB_NG!U:U)</f>
        <v>0</v>
      </c>
      <c r="T126" s="17">
        <f>-_xlfn.XLOOKUP($C126,TB_NG!$E:$E,TB_NG!V:V)</f>
        <v>0</v>
      </c>
      <c r="U126" s="17">
        <f>-_xlfn.XLOOKUP($C126,TB_NG!$E:$E,TB_NG!W:W)</f>
        <v>0</v>
      </c>
      <c r="V126" s="17">
        <f>-_xlfn.XLOOKUP($C126,TB_NG!$E:$E,TB_NG!X:X)</f>
        <v>0</v>
      </c>
      <c r="W126" s="17">
        <f>-_xlfn.XLOOKUP($C126,TB_NG!$E:$E,TB_NG!Y:Y)</f>
        <v>0</v>
      </c>
      <c r="X126" s="17">
        <f>-_xlfn.XLOOKUP($C126,TB_NG!$E:$E,TB_NG!Z:Z)</f>
        <v>0</v>
      </c>
      <c r="Y126" s="17">
        <f>-_xlfn.XLOOKUP($C126,TB_NG!$E:$E,TB_NG!AA:AA)</f>
        <v>0</v>
      </c>
      <c r="Z126" s="17">
        <f>-_xlfn.XLOOKUP($C126,TB_NG!$E:$E,TB_NG!AB:AB)</f>
        <v>0</v>
      </c>
      <c r="AA126" s="17">
        <f>-_xlfn.XLOOKUP($C126,TB_NG!$E:$E,TB_NG!AC:AC)</f>
        <v>0</v>
      </c>
      <c r="AB126" s="17">
        <f>-_xlfn.XLOOKUP($C126,TB_NG!$E:$E,TB_NG!AD:AD)</f>
        <v>0</v>
      </c>
      <c r="AC126" s="17">
        <f>-_xlfn.XLOOKUP($C126,TB_NG!$E:$E,TB_NG!AE:AE)</f>
        <v>0</v>
      </c>
      <c r="AD126" s="17">
        <f>-_xlfn.XLOOKUP($C126,TB_NG!$E:$E,TB_NG!AF:AF)</f>
        <v>0</v>
      </c>
      <c r="AE126" s="17">
        <f>-_xlfn.XLOOKUP($C126,TB_NG!$E:$E,TB_NG!AG:AG)</f>
        <v>0</v>
      </c>
      <c r="AF126" s="17">
        <f>-_xlfn.XLOOKUP($C126,TB_NG!$E:$E,TB_NG!AH:AH)</f>
        <v>0</v>
      </c>
      <c r="AG126" s="17">
        <f>-_xlfn.XLOOKUP($C126,TB_NG!$E:$E,TB_NG!AI:AI)</f>
        <v>0</v>
      </c>
      <c r="AH126" s="17">
        <f>-_xlfn.XLOOKUP($C126,TB_NG!$E:$E,TB_NG!AJ:AJ)</f>
        <v>0</v>
      </c>
      <c r="AI126" s="17">
        <f>-_xlfn.XLOOKUP($C126,TB_NG!$E:$E,TB_NG!AK:AK)</f>
        <v>0</v>
      </c>
      <c r="AJ126" s="17">
        <f>-_xlfn.XLOOKUP($C126,TB_NG!$E:$E,TB_NG!AL:AL)</f>
        <v>0</v>
      </c>
      <c r="AK126" s="17">
        <f>-_xlfn.XLOOKUP($C126,TB_NG!$E:$E,TB_NG!AM:AM)</f>
        <v>0</v>
      </c>
      <c r="AL126" s="17">
        <f>-_xlfn.XLOOKUP($C126,TB_NG!$E:$E,TB_NG!AN:AN)</f>
        <v>0</v>
      </c>
      <c r="AM126" s="17">
        <f>-_xlfn.XLOOKUP($C126,TB_NG!$E:$E,TB_NG!AO:AO)</f>
        <v>0</v>
      </c>
      <c r="AS126" s="17">
        <f t="shared" si="18"/>
        <v>-15000</v>
      </c>
      <c r="AT126" s="17">
        <f t="shared" si="19"/>
        <v>0</v>
      </c>
    </row>
    <row r="127" spans="2:46" x14ac:dyDescent="0.2">
      <c r="B127" s="337">
        <v>66300</v>
      </c>
      <c r="C127" s="338" t="str">
        <f>_xlfn.XLOOKUP(B127,TB_NG!A:A,TB_NG!E:E)</f>
        <v>Stamp Duty Tax</v>
      </c>
      <c r="D127" s="17">
        <f>-_xlfn.XLOOKUP($C127,TB_NG!$E:$E,TB_NG!F:F)</f>
        <v>0</v>
      </c>
      <c r="E127" s="17">
        <f>-_xlfn.XLOOKUP($C127,TB_NG!$E:$E,TB_NG!G:G)</f>
        <v>0</v>
      </c>
      <c r="F127" s="17">
        <f>-_xlfn.XLOOKUP($C127,TB_NG!$E:$E,TB_NG!H:H)</f>
        <v>0</v>
      </c>
      <c r="G127" s="17">
        <f>-_xlfn.XLOOKUP($C127,TB_NG!$E:$E,TB_NG!I:I)</f>
        <v>0</v>
      </c>
      <c r="H127" s="17">
        <f>-_xlfn.XLOOKUP($C127,TB_NG!$E:$E,TB_NG!J:J)</f>
        <v>0</v>
      </c>
      <c r="I127" s="17">
        <f>-_xlfn.XLOOKUP($C127,TB_NG!$E:$E,TB_NG!K:K)</f>
        <v>0</v>
      </c>
      <c r="J127" s="17">
        <f>-_xlfn.XLOOKUP($C127,TB_NG!$E:$E,TB_NG!L:L)</f>
        <v>0</v>
      </c>
      <c r="K127" s="17">
        <f>-_xlfn.XLOOKUP($C127,TB_NG!$E:$E,TB_NG!M:M)</f>
        <v>0</v>
      </c>
      <c r="L127" s="17">
        <f>-_xlfn.XLOOKUP($C127,TB_NG!$E:$E,TB_NG!N:N)</f>
        <v>0</v>
      </c>
      <c r="M127" s="17">
        <f>-_xlfn.XLOOKUP($C127,TB_NG!$E:$E,TB_NG!O:O)</f>
        <v>0</v>
      </c>
      <c r="N127" s="17">
        <f>-_xlfn.XLOOKUP($C127,TB_NG!$E:$E,TB_NG!P:P)</f>
        <v>-292878.70000000007</v>
      </c>
      <c r="O127" s="17">
        <f>-_xlfn.XLOOKUP($C127,TB_NG!$E:$E,TB_NG!Q:Q)</f>
        <v>0</v>
      </c>
      <c r="P127" s="17">
        <f>-_xlfn.XLOOKUP($C127,TB_NG!$E:$E,TB_NG!R:R)</f>
        <v>0</v>
      </c>
      <c r="Q127" s="17">
        <f>-_xlfn.XLOOKUP($C127,TB_NG!$E:$E,TB_NG!S:S)</f>
        <v>0</v>
      </c>
      <c r="R127" s="17">
        <f>-_xlfn.XLOOKUP($C127,TB_NG!$E:$E,TB_NG!T:T)</f>
        <v>-12340</v>
      </c>
      <c r="S127" s="17">
        <f>-_xlfn.XLOOKUP($C127,TB_NG!$E:$E,TB_NG!U:U)</f>
        <v>-17719.990000000002</v>
      </c>
      <c r="T127" s="17">
        <f>-_xlfn.XLOOKUP($C127,TB_NG!$E:$E,TB_NG!V:V)</f>
        <v>0</v>
      </c>
      <c r="U127" s="17">
        <f>-_xlfn.XLOOKUP($C127,TB_NG!$E:$E,TB_NG!W:W)</f>
        <v>0</v>
      </c>
      <c r="V127" s="17">
        <f>-_xlfn.XLOOKUP($C127,TB_NG!$E:$E,TB_NG!X:X)</f>
        <v>-13200</v>
      </c>
      <c r="W127" s="17">
        <f>-_xlfn.XLOOKUP($C127,TB_NG!$E:$E,TB_NG!Y:Y)</f>
        <v>0</v>
      </c>
      <c r="X127" s="17">
        <f>-_xlfn.XLOOKUP($C127,TB_NG!$E:$E,TB_NG!Z:Z)</f>
        <v>0</v>
      </c>
      <c r="Y127" s="17">
        <f>-_xlfn.XLOOKUP($C127,TB_NG!$E:$E,TB_NG!AA:AA)</f>
        <v>0</v>
      </c>
      <c r="Z127" s="17">
        <f>-_xlfn.XLOOKUP($C127,TB_NG!$E:$E,TB_NG!AB:AB)</f>
        <v>0</v>
      </c>
      <c r="AA127" s="17">
        <f>-_xlfn.XLOOKUP($C127,TB_NG!$E:$E,TB_NG!AC:AC)</f>
        <v>0</v>
      </c>
      <c r="AB127" s="17">
        <f>-_xlfn.XLOOKUP($C127,TB_NG!$E:$E,TB_NG!AD:AD)</f>
        <v>0</v>
      </c>
      <c r="AC127" s="17">
        <f>-_xlfn.XLOOKUP($C127,TB_NG!$E:$E,TB_NG!AE:AE)</f>
        <v>0</v>
      </c>
      <c r="AD127" s="17">
        <f>-_xlfn.XLOOKUP($C127,TB_NG!$E:$E,TB_NG!AF:AF)</f>
        <v>0</v>
      </c>
      <c r="AE127" s="17">
        <f>-_xlfn.XLOOKUP($C127,TB_NG!$E:$E,TB_NG!AG:AG)</f>
        <v>0</v>
      </c>
      <c r="AF127" s="17">
        <f>-_xlfn.XLOOKUP($C127,TB_NG!$E:$E,TB_NG!AH:AH)</f>
        <v>0</v>
      </c>
      <c r="AG127" s="17">
        <f>-_xlfn.XLOOKUP($C127,TB_NG!$E:$E,TB_NG!AI:AI)</f>
        <v>0</v>
      </c>
      <c r="AH127" s="17">
        <f>-_xlfn.XLOOKUP($C127,TB_NG!$E:$E,TB_NG!AJ:AJ)</f>
        <v>0</v>
      </c>
      <c r="AI127" s="17">
        <f>-_xlfn.XLOOKUP($C127,TB_NG!$E:$E,TB_NG!AK:AK)</f>
        <v>0</v>
      </c>
      <c r="AJ127" s="17">
        <f>-_xlfn.XLOOKUP($C127,TB_NG!$E:$E,TB_NG!AL:AL)</f>
        <v>0</v>
      </c>
      <c r="AK127" s="17">
        <f>-_xlfn.XLOOKUP($C127,TB_NG!$E:$E,TB_NG!AM:AM)</f>
        <v>0</v>
      </c>
      <c r="AL127" s="17">
        <f>-_xlfn.XLOOKUP($C127,TB_NG!$E:$E,TB_NG!AN:AN)</f>
        <v>0</v>
      </c>
      <c r="AM127" s="17">
        <f>-_xlfn.XLOOKUP($C127,TB_NG!$E:$E,TB_NG!AO:AO)</f>
        <v>0</v>
      </c>
      <c r="AS127" s="17"/>
      <c r="AT127" s="17"/>
    </row>
    <row r="128" spans="2:46" x14ac:dyDescent="0.2">
      <c r="B128" s="21">
        <v>63300</v>
      </c>
      <c r="C128" s="16" t="str">
        <f>_xlfn.XLOOKUP(B128,TB_NG!A:A,TB_NG!E:E)</f>
        <v>Utilities</v>
      </c>
      <c r="D128" s="17">
        <f>-_xlfn.XLOOKUP($C128,TB_NG!$E:$E,TB_NG!F:F)</f>
        <v>0</v>
      </c>
      <c r="E128" s="17">
        <f>-_xlfn.XLOOKUP($C128,TB_NG!$E:$E,TB_NG!G:G)</f>
        <v>0</v>
      </c>
      <c r="F128" s="17">
        <f>-_xlfn.XLOOKUP($C128,TB_NG!$E:$E,TB_NG!H:H)</f>
        <v>0</v>
      </c>
      <c r="G128" s="17">
        <f>-_xlfn.XLOOKUP($C128,TB_NG!$E:$E,TB_NG!I:I)</f>
        <v>0</v>
      </c>
      <c r="H128" s="17">
        <f>-_xlfn.XLOOKUP($C128,TB_NG!$E:$E,TB_NG!J:J)</f>
        <v>0</v>
      </c>
      <c r="I128" s="17">
        <f>-_xlfn.XLOOKUP($C128,TB_NG!$E:$E,TB_NG!K:K)</f>
        <v>0</v>
      </c>
      <c r="J128" s="17">
        <f>-_xlfn.XLOOKUP($C128,TB_NG!$E:$E,TB_NG!L:L)</f>
        <v>0</v>
      </c>
      <c r="K128" s="17">
        <f>-_xlfn.XLOOKUP($C128,TB_NG!$E:$E,TB_NG!M:M)</f>
        <v>0</v>
      </c>
      <c r="L128" s="17">
        <f>-_xlfn.XLOOKUP($C128,TB_NG!$E:$E,TB_NG!N:N)</f>
        <v>0</v>
      </c>
      <c r="M128" s="17">
        <f>-_xlfn.XLOOKUP($C128,TB_NG!$E:$E,TB_NG!O:O)</f>
        <v>0</v>
      </c>
      <c r="N128" s="17">
        <f>-_xlfn.XLOOKUP($C128,TB_NG!$E:$E,TB_NG!P:P)</f>
        <v>0</v>
      </c>
      <c r="O128" s="17">
        <f>-_xlfn.XLOOKUP($C128,TB_NG!$E:$E,TB_NG!Q:Q)</f>
        <v>0</v>
      </c>
      <c r="P128" s="17">
        <f>-_xlfn.XLOOKUP($C128,TB_NG!$E:$E,TB_NG!R:R)</f>
        <v>0</v>
      </c>
      <c r="Q128" s="17">
        <f>-_xlfn.XLOOKUP($C128,TB_NG!$E:$E,TB_NG!S:S)</f>
        <v>0</v>
      </c>
      <c r="R128" s="17">
        <f>-_xlfn.XLOOKUP($C128,TB_NG!$E:$E,TB_NG!T:T)</f>
        <v>0</v>
      </c>
      <c r="S128" s="17">
        <f>-_xlfn.XLOOKUP($C128,TB_NG!$E:$E,TB_NG!U:U)</f>
        <v>0</v>
      </c>
      <c r="T128" s="17">
        <f>-_xlfn.XLOOKUP($C128,TB_NG!$E:$E,TB_NG!V:V)</f>
        <v>0</v>
      </c>
      <c r="U128" s="17">
        <f>-_xlfn.XLOOKUP($C128,TB_NG!$E:$E,TB_NG!W:W)</f>
        <v>0</v>
      </c>
      <c r="V128" s="17">
        <f>-_xlfn.XLOOKUP($C128,TB_NG!$E:$E,TB_NG!X:X)</f>
        <v>0</v>
      </c>
      <c r="W128" s="17">
        <f>-_xlfn.XLOOKUP($C128,TB_NG!$E:$E,TB_NG!Y:Y)</f>
        <v>0</v>
      </c>
      <c r="X128" s="17">
        <f>-_xlfn.XLOOKUP($C128,TB_NG!$E:$E,TB_NG!Z:Z)</f>
        <v>-5016666.67</v>
      </c>
      <c r="Y128" s="17">
        <f>-_xlfn.XLOOKUP($C128,TB_NG!$E:$E,TB_NG!AA:AA)</f>
        <v>-1199381.2</v>
      </c>
      <c r="Z128" s="17">
        <f>-_xlfn.XLOOKUP($C128,TB_NG!$E:$E,TB_NG!AB:AB)</f>
        <v>-716666.67</v>
      </c>
      <c r="AA128" s="17">
        <f>-_xlfn.XLOOKUP($C128,TB_NG!$E:$E,TB_NG!AC:AC)</f>
        <v>-999985.19</v>
      </c>
      <c r="AB128" s="17">
        <f>-_xlfn.XLOOKUP($C128,TB_NG!$E:$E,TB_NG!AD:AD)</f>
        <v>-895654.17</v>
      </c>
      <c r="AC128" s="17">
        <f>-_xlfn.XLOOKUP($C128,TB_NG!$E:$E,TB_NG!AE:AE)</f>
        <v>-895654.14999999991</v>
      </c>
      <c r="AD128" s="17">
        <f>-_xlfn.XLOOKUP($C128,TB_NG!$E:$E,TB_NG!AF:AF)</f>
        <v>-883166.65</v>
      </c>
      <c r="AE128" s="17">
        <f>-_xlfn.XLOOKUP($C128,TB_NG!$E:$E,TB_NG!AG:AG)</f>
        <v>-1149833.3500000001</v>
      </c>
      <c r="AF128" s="17">
        <f>-_xlfn.XLOOKUP($C128,TB_NG!$E:$E,TB_NG!AH:AH)</f>
        <v>0</v>
      </c>
      <c r="AG128" s="17">
        <f>-_xlfn.XLOOKUP($C128,TB_NG!$E:$E,TB_NG!AI:AI)</f>
        <v>0</v>
      </c>
      <c r="AH128" s="17">
        <f>-_xlfn.XLOOKUP($C128,TB_NG!$E:$E,TB_NG!AJ:AJ)</f>
        <v>0</v>
      </c>
      <c r="AI128" s="17">
        <f>-_xlfn.XLOOKUP($C128,TB_NG!$E:$E,TB_NG!AK:AK)</f>
        <v>0</v>
      </c>
      <c r="AJ128" s="17">
        <f>-_xlfn.XLOOKUP($C128,TB_NG!$E:$E,TB_NG!AL:AL)</f>
        <v>0</v>
      </c>
      <c r="AK128" s="17">
        <f>-_xlfn.XLOOKUP($C128,TB_NG!$E:$E,TB_NG!AM:AM)</f>
        <v>0</v>
      </c>
      <c r="AL128" s="17">
        <f>-_xlfn.XLOOKUP($C128,TB_NG!$E:$E,TB_NG!AN:AN)</f>
        <v>0</v>
      </c>
      <c r="AM128" s="17">
        <f>-_xlfn.XLOOKUP($C128,TB_NG!$E:$E,TB_NG!AO:AO)</f>
        <v>0</v>
      </c>
      <c r="AS128" s="17">
        <f t="shared" si="18"/>
        <v>0</v>
      </c>
      <c r="AT128" s="17">
        <f t="shared" si="19"/>
        <v>-7932699.7300000004</v>
      </c>
    </row>
    <row r="129" spans="2:49" x14ac:dyDescent="0.2">
      <c r="B129" s="21">
        <v>65095</v>
      </c>
      <c r="C129" s="16" t="str">
        <f>_xlfn.XLOOKUP(B129,TB_NG!A:A,TB_NG!E:E)</f>
        <v>Hosting Expenses</v>
      </c>
      <c r="D129" s="17">
        <f>-_xlfn.XLOOKUP($C129,TB_NG!$E:$E,TB_NG!F:F)</f>
        <v>-6314445</v>
      </c>
      <c r="E129" s="17">
        <f>-_xlfn.XLOOKUP($C129,TB_NG!$E:$E,TB_NG!G:G)</f>
        <v>-10365876.810000001</v>
      </c>
      <c r="F129" s="17">
        <f>-_xlfn.XLOOKUP($C129,TB_NG!$E:$E,TB_NG!H:H)</f>
        <v>-9979670.4700000007</v>
      </c>
      <c r="G129" s="17">
        <f>-_xlfn.XLOOKUP($C129,TB_NG!$E:$E,TB_NG!I:I)</f>
        <v>-3600571.7599999979</v>
      </c>
      <c r="H129" s="17">
        <f>-_xlfn.XLOOKUP($C129,TB_NG!$E:$E,TB_NG!J:J)</f>
        <v>-5930794.0600000005</v>
      </c>
      <c r="I129" s="17">
        <f>-_xlfn.XLOOKUP($C129,TB_NG!$E:$E,TB_NG!K:K)</f>
        <v>-12319265.34</v>
      </c>
      <c r="J129" s="17">
        <f>-_xlfn.XLOOKUP($C129,TB_NG!$E:$E,TB_NG!L:L)</f>
        <v>-2507052.41</v>
      </c>
      <c r="K129" s="17">
        <f>-_xlfn.XLOOKUP($C129,TB_NG!$E:$E,TB_NG!M:M)</f>
        <v>-8564675.7899999991</v>
      </c>
      <c r="L129" s="17">
        <f>-_xlfn.XLOOKUP($C129,TB_NG!$E:$E,TB_NG!N:N)</f>
        <v>-9587724.7400000002</v>
      </c>
      <c r="M129" s="17">
        <f>-_xlfn.XLOOKUP($C129,TB_NG!$E:$E,TB_NG!O:O)</f>
        <v>-5896357.8600000003</v>
      </c>
      <c r="N129" s="17">
        <f>-_xlfn.XLOOKUP($C129,TB_NG!$E:$E,TB_NG!P:P)</f>
        <v>-14076288.890000001</v>
      </c>
      <c r="O129" s="17">
        <f>-_xlfn.XLOOKUP($C129,TB_NG!$E:$E,TB_NG!Q:Q)</f>
        <v>-15981965.469999999</v>
      </c>
      <c r="P129" s="17">
        <f>-_xlfn.XLOOKUP($C129,TB_NG!$E:$E,TB_NG!R:R)</f>
        <v>-7451971.54</v>
      </c>
      <c r="Q129" s="17">
        <f>-_xlfn.XLOOKUP($C129,TB_NG!$E:$E,TB_NG!S:S)</f>
        <v>-8285337.0599999996</v>
      </c>
      <c r="R129" s="17">
        <f>-_xlfn.XLOOKUP($C129,TB_NG!$E:$E,TB_NG!T:T)</f>
        <v>-8313416.3300000001</v>
      </c>
      <c r="S129" s="17">
        <f>-_xlfn.XLOOKUP($C129,TB_NG!$E:$E,TB_NG!U:U)</f>
        <v>-9870206.209999999</v>
      </c>
      <c r="T129" s="17">
        <f>-_xlfn.XLOOKUP($C129,TB_NG!$E:$E,TB_NG!V:V)</f>
        <v>-9555258.0199999996</v>
      </c>
      <c r="U129" s="17">
        <f>-_xlfn.XLOOKUP($C129,TB_NG!$E:$E,TB_NG!W:W)</f>
        <v>-8276075.2000000002</v>
      </c>
      <c r="V129" s="17">
        <f>-_xlfn.XLOOKUP($C129,TB_NG!$E:$E,TB_NG!X:X)</f>
        <v>-6835930.5599999996</v>
      </c>
      <c r="W129" s="17">
        <f>-_xlfn.XLOOKUP($C129,TB_NG!$E:$E,TB_NG!Y:Y)</f>
        <v>-6015346.75</v>
      </c>
      <c r="X129" s="17">
        <f>-_xlfn.XLOOKUP($C129,TB_NG!$E:$E,TB_NG!Z:Z)</f>
        <v>-5198259.92</v>
      </c>
      <c r="Y129" s="17">
        <f>-_xlfn.XLOOKUP($C129,TB_NG!$E:$E,TB_NG!AA:AA)</f>
        <v>-4343605.45</v>
      </c>
      <c r="Z129" s="17">
        <f>-_xlfn.XLOOKUP($C129,TB_NG!$E:$E,TB_NG!AB:AB)</f>
        <v>-3482423.85</v>
      </c>
      <c r="AA129" s="17">
        <f>-_xlfn.XLOOKUP($C129,TB_NG!$E:$E,TB_NG!AC:AC)</f>
        <v>-3046548.4800000004</v>
      </c>
      <c r="AB129" s="17">
        <f>-_xlfn.XLOOKUP($C129,TB_NG!$E:$E,TB_NG!AD:AD)</f>
        <v>-2903777.7600000002</v>
      </c>
      <c r="AC129" s="17">
        <f>-_xlfn.XLOOKUP($C129,TB_NG!$E:$E,TB_NG!AE:AE)</f>
        <v>-2959533.18</v>
      </c>
      <c r="AD129" s="17">
        <f>-_xlfn.XLOOKUP($C129,TB_NG!$E:$E,TB_NG!AF:AF)</f>
        <v>-3164917.69</v>
      </c>
      <c r="AE129" s="17">
        <f>-_xlfn.XLOOKUP($C129,TB_NG!$E:$E,TB_NG!AG:AG)</f>
        <v>-3490573.99</v>
      </c>
      <c r="AF129" s="17">
        <f>-_xlfn.XLOOKUP($C129,TB_NG!$E:$E,TB_NG!AH:AH)</f>
        <v>0</v>
      </c>
      <c r="AG129" s="17">
        <f>-_xlfn.XLOOKUP($C129,TB_NG!$E:$E,TB_NG!AI:AI)</f>
        <v>0</v>
      </c>
      <c r="AH129" s="17">
        <f>-_xlfn.XLOOKUP($C129,TB_NG!$E:$E,TB_NG!AJ:AJ)</f>
        <v>0</v>
      </c>
      <c r="AI129" s="17">
        <f>-_xlfn.XLOOKUP($C129,TB_NG!$E:$E,TB_NG!AK:AK)</f>
        <v>0</v>
      </c>
      <c r="AJ129" s="17">
        <f>-_xlfn.XLOOKUP($C129,TB_NG!$E:$E,TB_NG!AL:AL)</f>
        <v>0</v>
      </c>
      <c r="AK129" s="17">
        <f>-_xlfn.XLOOKUP($C129,TB_NG!$E:$E,TB_NG!AM:AM)</f>
        <v>0</v>
      </c>
      <c r="AL129" s="17">
        <f>-_xlfn.XLOOKUP($C129,TB_NG!$E:$E,TB_NG!AN:AN)</f>
        <v>0</v>
      </c>
      <c r="AM129" s="17">
        <f>-_xlfn.XLOOKUP($C129,TB_NG!$E:$E,TB_NG!AO:AO)</f>
        <v>0</v>
      </c>
      <c r="AS129" s="17">
        <f t="shared" si="18"/>
        <v>-105124688.59999999</v>
      </c>
      <c r="AT129" s="17">
        <f t="shared" si="19"/>
        <v>-80674379.370000005</v>
      </c>
    </row>
    <row r="130" spans="2:49" x14ac:dyDescent="0.2">
      <c r="B130" s="21">
        <v>65800</v>
      </c>
      <c r="C130" s="16" t="str">
        <f>_xlfn.XLOOKUP(B130,TB_NG!A:A,TB_NG!E:E)</f>
        <v>Gift expense</v>
      </c>
      <c r="D130" s="17">
        <f>-_xlfn.XLOOKUP($C130,TB_NG!$E:$E,TB_NG!F:F)</f>
        <v>0</v>
      </c>
      <c r="E130" s="17">
        <f>-_xlfn.XLOOKUP($C130,TB_NG!$E:$E,TB_NG!G:G)</f>
        <v>0</v>
      </c>
      <c r="F130" s="17">
        <f>-_xlfn.XLOOKUP($C130,TB_NG!$E:$E,TB_NG!H:H)</f>
        <v>0</v>
      </c>
      <c r="G130" s="17">
        <f>-_xlfn.XLOOKUP($C130,TB_NG!$E:$E,TB_NG!I:I)</f>
        <v>-360000</v>
      </c>
      <c r="H130" s="17">
        <f>-_xlfn.XLOOKUP($C130,TB_NG!$E:$E,TB_NG!J:J)</f>
        <v>-38900</v>
      </c>
      <c r="I130" s="17">
        <f>-_xlfn.XLOOKUP($C130,TB_NG!$E:$E,TB_NG!K:K)</f>
        <v>-800000</v>
      </c>
      <c r="J130" s="17">
        <f>-_xlfn.XLOOKUP($C130,TB_NG!$E:$E,TB_NG!L:L)</f>
        <v>-131000</v>
      </c>
      <c r="K130" s="17">
        <f>-_xlfn.XLOOKUP($C130,TB_NG!$E:$E,TB_NG!M:M)</f>
        <v>-500000</v>
      </c>
      <c r="L130" s="17">
        <f>-_xlfn.XLOOKUP($C130,TB_NG!$E:$E,TB_NG!N:N)</f>
        <v>0</v>
      </c>
      <c r="M130" s="17">
        <f>-_xlfn.XLOOKUP($C130,TB_NG!$E:$E,TB_NG!O:O)</f>
        <v>0</v>
      </c>
      <c r="N130" s="17">
        <f>-_xlfn.XLOOKUP($C130,TB_NG!$E:$E,TB_NG!P:P)</f>
        <v>-90500</v>
      </c>
      <c r="O130" s="17">
        <f>-_xlfn.XLOOKUP($C130,TB_NG!$E:$E,TB_NG!Q:Q)</f>
        <v>-3829650</v>
      </c>
      <c r="P130" s="17">
        <f>-_xlfn.XLOOKUP($C130,TB_NG!$E:$E,TB_NG!R:R)</f>
        <v>0</v>
      </c>
      <c r="Q130" s="17">
        <f>-_xlfn.XLOOKUP($C130,TB_NG!$E:$E,TB_NG!S:S)</f>
        <v>-300000</v>
      </c>
      <c r="R130" s="17">
        <f>-_xlfn.XLOOKUP($C130,TB_NG!$E:$E,TB_NG!T:T)</f>
        <v>0</v>
      </c>
      <c r="S130" s="17">
        <f>-_xlfn.XLOOKUP($C130,TB_NG!$E:$E,TB_NG!U:U)</f>
        <v>-958480</v>
      </c>
      <c r="T130" s="17">
        <f>-_xlfn.XLOOKUP($C130,TB_NG!$E:$E,TB_NG!V:V)</f>
        <v>-600000</v>
      </c>
      <c r="U130" s="17">
        <f>-_xlfn.XLOOKUP($C130,TB_NG!$E:$E,TB_NG!W:W)</f>
        <v>-700000</v>
      </c>
      <c r="V130" s="17">
        <f>-_xlfn.XLOOKUP($C130,TB_NG!$E:$E,TB_NG!X:X)</f>
        <v>-88200</v>
      </c>
      <c r="W130" s="17">
        <f>-_xlfn.XLOOKUP($C130,TB_NG!$E:$E,TB_NG!Y:Y)</f>
        <v>-1132200</v>
      </c>
      <c r="X130" s="17">
        <f>-_xlfn.XLOOKUP($C130,TB_NG!$E:$E,TB_NG!Z:Z)</f>
        <v>-86000</v>
      </c>
      <c r="Y130" s="17">
        <f>-_xlfn.XLOOKUP($C130,TB_NG!$E:$E,TB_NG!AA:AA)</f>
        <v>-600000</v>
      </c>
      <c r="Z130" s="17">
        <f>-_xlfn.XLOOKUP($C130,TB_NG!$E:$E,TB_NG!AB:AB)</f>
        <v>0</v>
      </c>
      <c r="AA130" s="17">
        <f>-_xlfn.XLOOKUP($C130,TB_NG!$E:$E,TB_NG!AC:AC)</f>
        <v>-5235685</v>
      </c>
      <c r="AB130" s="17">
        <f>-_xlfn.XLOOKUP($C130,TB_NG!$E:$E,TB_NG!AD:AD)</f>
        <v>0</v>
      </c>
      <c r="AC130" s="17">
        <f>-_xlfn.XLOOKUP($C130,TB_NG!$E:$E,TB_NG!AE:AE)</f>
        <v>0</v>
      </c>
      <c r="AD130" s="17">
        <f>-_xlfn.XLOOKUP($C130,TB_NG!$E:$E,TB_NG!AF:AF)</f>
        <v>-809123.72</v>
      </c>
      <c r="AE130" s="17">
        <f>-_xlfn.XLOOKUP($C130,TB_NG!$E:$E,TB_NG!AG:AG)</f>
        <v>-8726000</v>
      </c>
      <c r="AF130" s="17">
        <f>-_xlfn.XLOOKUP($C130,TB_NG!$E:$E,TB_NG!AH:AH)</f>
        <v>0</v>
      </c>
      <c r="AG130" s="17">
        <f>-_xlfn.XLOOKUP($C130,TB_NG!$E:$E,TB_NG!AI:AI)</f>
        <v>0</v>
      </c>
      <c r="AH130" s="17">
        <f>-_xlfn.XLOOKUP($C130,TB_NG!$E:$E,TB_NG!AJ:AJ)</f>
        <v>0</v>
      </c>
      <c r="AI130" s="17">
        <f>-_xlfn.XLOOKUP($C130,TB_NG!$E:$E,TB_NG!AK:AK)</f>
        <v>0</v>
      </c>
      <c r="AJ130" s="17">
        <f>-_xlfn.XLOOKUP($C130,TB_NG!$E:$E,TB_NG!AL:AL)</f>
        <v>0</v>
      </c>
      <c r="AK130" s="17">
        <f>-_xlfn.XLOOKUP($C130,TB_NG!$E:$E,TB_NG!AM:AM)</f>
        <v>0</v>
      </c>
      <c r="AL130" s="17">
        <f>-_xlfn.XLOOKUP($C130,TB_NG!$E:$E,TB_NG!AN:AN)</f>
        <v>0</v>
      </c>
      <c r="AM130" s="17">
        <f>-_xlfn.XLOOKUP($C130,TB_NG!$E:$E,TB_NG!AO:AO)</f>
        <v>0</v>
      </c>
      <c r="AS130" s="17">
        <f t="shared" si="18"/>
        <v>-5750050</v>
      </c>
      <c r="AT130" s="17">
        <f t="shared" si="19"/>
        <v>-9700565</v>
      </c>
    </row>
    <row r="131" spans="2:49" s="20" customFormat="1" ht="13.5" customHeight="1" x14ac:dyDescent="0.15">
      <c r="C131" s="22" t="s">
        <v>131</v>
      </c>
      <c r="D131" s="23">
        <f>SUM(D102:D130)</f>
        <v>-26029692.98</v>
      </c>
      <c r="E131" s="23">
        <f t="shared" ref="E131:AM131" si="20">SUM(E102:E130)</f>
        <v>-28292363.829999998</v>
      </c>
      <c r="F131" s="23">
        <f t="shared" si="20"/>
        <v>-28421474.280000001</v>
      </c>
      <c r="G131" s="23">
        <f t="shared" si="20"/>
        <v>-24793934.140000001</v>
      </c>
      <c r="H131" s="23">
        <f t="shared" si="20"/>
        <v>-29213498.380000003</v>
      </c>
      <c r="I131" s="23">
        <f t="shared" si="20"/>
        <v>-41519095.109999999</v>
      </c>
      <c r="J131" s="23">
        <f t="shared" si="20"/>
        <v>-27587766.73</v>
      </c>
      <c r="K131" s="23">
        <f t="shared" si="20"/>
        <v>-34089392.019999996</v>
      </c>
      <c r="L131" s="23">
        <f t="shared" si="20"/>
        <v>-35766542.630000003</v>
      </c>
      <c r="M131" s="23">
        <f t="shared" si="20"/>
        <v>-35188660.68</v>
      </c>
      <c r="N131" s="23">
        <f t="shared" si="20"/>
        <v>-42348340.469999999</v>
      </c>
      <c r="O131" s="23">
        <f t="shared" si="20"/>
        <v>-50663555.709999993</v>
      </c>
      <c r="P131" s="23">
        <f t="shared" si="20"/>
        <v>-36039621.759999998</v>
      </c>
      <c r="Q131" s="23">
        <f t="shared" si="20"/>
        <v>-40724051.159999996</v>
      </c>
      <c r="R131" s="23">
        <f t="shared" si="20"/>
        <v>-35944915.280000001</v>
      </c>
      <c r="S131" s="23">
        <f t="shared" si="20"/>
        <v>-39892026.659999996</v>
      </c>
      <c r="T131" s="23">
        <f t="shared" si="20"/>
        <v>-44185524.140000001</v>
      </c>
      <c r="U131" s="23">
        <f t="shared" si="20"/>
        <v>-34949292.539999999</v>
      </c>
      <c r="V131" s="23">
        <f t="shared" si="20"/>
        <v>-39463993.68</v>
      </c>
      <c r="W131" s="23">
        <f t="shared" si="20"/>
        <v>-47396486.329999998</v>
      </c>
      <c r="X131" s="23">
        <f t="shared" si="20"/>
        <v>-44176807.280000001</v>
      </c>
      <c r="Y131" s="23">
        <f t="shared" si="20"/>
        <v>-37450204.520000003</v>
      </c>
      <c r="Z131" s="23">
        <f t="shared" si="20"/>
        <v>-38288747.390000008</v>
      </c>
      <c r="AA131" s="23">
        <f t="shared" si="20"/>
        <v>-29469181.050000001</v>
      </c>
      <c r="AB131" s="23">
        <f t="shared" si="20"/>
        <v>-34247501.840000004</v>
      </c>
      <c r="AC131" s="23">
        <f t="shared" si="20"/>
        <v>-42590342.440000005</v>
      </c>
      <c r="AD131" s="23">
        <f t="shared" si="20"/>
        <v>-42786897.32</v>
      </c>
      <c r="AE131" s="23">
        <f t="shared" si="20"/>
        <v>-45495541.560000002</v>
      </c>
      <c r="AF131" s="23">
        <f t="shared" si="20"/>
        <v>0</v>
      </c>
      <c r="AG131" s="23">
        <f t="shared" si="20"/>
        <v>0</v>
      </c>
      <c r="AH131" s="23">
        <f t="shared" si="20"/>
        <v>0</v>
      </c>
      <c r="AI131" s="23">
        <f t="shared" si="20"/>
        <v>0</v>
      </c>
      <c r="AJ131" s="23">
        <f t="shared" si="20"/>
        <v>0</v>
      </c>
      <c r="AK131" s="23">
        <f t="shared" si="20"/>
        <v>0</v>
      </c>
      <c r="AL131" s="23">
        <f t="shared" si="20"/>
        <v>0</v>
      </c>
      <c r="AM131" s="23">
        <f t="shared" si="20"/>
        <v>0</v>
      </c>
      <c r="AS131" s="23">
        <f>SUM(D131:O131)</f>
        <v>-403914316.95999998</v>
      </c>
      <c r="AT131" s="23">
        <f>SUM(P131:AA131)</f>
        <v>-467980851.7899999</v>
      </c>
    </row>
    <row r="132" spans="2:49" x14ac:dyDescent="0.2">
      <c r="B132" s="21"/>
      <c r="C132" s="16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8"/>
    </row>
    <row r="133" spans="2:49" x14ac:dyDescent="0.2">
      <c r="B133" s="21"/>
      <c r="C133" s="20" t="s">
        <v>132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49" x14ac:dyDescent="0.2">
      <c r="B134" s="21">
        <v>62700</v>
      </c>
      <c r="C134" s="16" t="str">
        <f>_xlfn.XLOOKUP(B134,TB_NG!A:A,TB_NG!E:E)</f>
        <v>Professional Fees - Others</v>
      </c>
      <c r="D134" s="17">
        <f>-_xlfn.XLOOKUP($C134,TB_NG!$E:$E,TB_NG!F:F)</f>
        <v>0</v>
      </c>
      <c r="E134" s="17">
        <f>-_xlfn.XLOOKUP($C134,TB_NG!$E:$E,TB_NG!G:G)</f>
        <v>0</v>
      </c>
      <c r="F134" s="17">
        <f>-_xlfn.XLOOKUP($C134,TB_NG!$E:$E,TB_NG!H:H)</f>
        <v>0</v>
      </c>
      <c r="G134" s="17">
        <f>-_xlfn.XLOOKUP($C134,TB_NG!$E:$E,TB_NG!I:I)</f>
        <v>-709127.5</v>
      </c>
      <c r="H134" s="17">
        <f>-_xlfn.XLOOKUP($C134,TB_NG!$E:$E,TB_NG!J:J)</f>
        <v>-136000</v>
      </c>
      <c r="I134" s="17">
        <f>-_xlfn.XLOOKUP($C134,TB_NG!$E:$E,TB_NG!K:K)</f>
        <v>-2620329.33</v>
      </c>
      <c r="J134" s="17">
        <f>-_xlfn.XLOOKUP($C134,TB_NG!$E:$E,TB_NG!L:L)</f>
        <v>-1902640.56</v>
      </c>
      <c r="K134" s="17">
        <f>-_xlfn.XLOOKUP($C134,TB_NG!$E:$E,TB_NG!M:M)</f>
        <v>-1241736.56</v>
      </c>
      <c r="L134" s="17">
        <f>-_xlfn.XLOOKUP($C134,TB_NG!$E:$E,TB_NG!N:N)</f>
        <v>-1676157.4</v>
      </c>
      <c r="M134" s="17">
        <f>-_xlfn.XLOOKUP($C134,TB_NG!$E:$E,TB_NG!O:O)</f>
        <v>-1263061.46</v>
      </c>
      <c r="N134" s="17">
        <f>-_xlfn.XLOOKUP($C134,TB_NG!$E:$E,TB_NG!P:P)</f>
        <v>-10688018.560000001</v>
      </c>
      <c r="O134" s="17">
        <f>-_xlfn.XLOOKUP($C134,TB_NG!$E:$E,TB_NG!Q:Q)</f>
        <v>-3264471.97</v>
      </c>
      <c r="P134" s="17">
        <f>-_xlfn.XLOOKUP($C134,TB_NG!$E:$E,TB_NG!R:R)</f>
        <v>-13800</v>
      </c>
      <c r="Q134" s="17">
        <f>-_xlfn.XLOOKUP($C134,TB_NG!$E:$E,TB_NG!S:S)</f>
        <v>-1348600</v>
      </c>
      <c r="R134" s="17">
        <f>-_xlfn.XLOOKUP($C134,TB_NG!$E:$E,TB_NG!T:T)</f>
        <v>-2043087.5</v>
      </c>
      <c r="S134" s="17">
        <f>-_xlfn.XLOOKUP($C134,TB_NG!$E:$E,TB_NG!U:U)</f>
        <v>-6038600</v>
      </c>
      <c r="T134" s="17">
        <f>-_xlfn.XLOOKUP($C134,TB_NG!$E:$E,TB_NG!V:V)</f>
        <v>-5809981.3600000003</v>
      </c>
      <c r="U134" s="17">
        <f>-_xlfn.XLOOKUP($C134,TB_NG!$E:$E,TB_NG!W:W)</f>
        <v>-509600</v>
      </c>
      <c r="V134" s="17">
        <f>-_xlfn.XLOOKUP($C134,TB_NG!$E:$E,TB_NG!X:X)</f>
        <v>-1497739.25</v>
      </c>
      <c r="W134" s="17">
        <f>-_xlfn.XLOOKUP($C134,TB_NG!$E:$E,TB_NG!Y:Y)</f>
        <v>-152400</v>
      </c>
      <c r="X134" s="17">
        <f>-_xlfn.XLOOKUP($C134,TB_NG!$E:$E,TB_NG!Z:Z)</f>
        <v>-990481.2</v>
      </c>
      <c r="Y134" s="17">
        <f>-_xlfn.XLOOKUP($C134,TB_NG!$E:$E,TB_NG!AA:AA)</f>
        <v>-5527200</v>
      </c>
      <c r="Z134" s="17">
        <f>-_xlfn.XLOOKUP($C134,TB_NG!$E:$E,TB_NG!AB:AB)</f>
        <v>-1883066.66</v>
      </c>
      <c r="AA134" s="17">
        <f>-_xlfn.XLOOKUP($C134,TB_NG!$E:$E,TB_NG!AC:AC)</f>
        <v>-4876700</v>
      </c>
      <c r="AB134" s="17">
        <f>-_xlfn.XLOOKUP($C134,TB_NG!$E:$E,TB_NG!AD:AD)</f>
        <v>-10331799.079999998</v>
      </c>
      <c r="AC134" s="17">
        <f>-_xlfn.XLOOKUP($C134,TB_NG!$E:$E,TB_NG!AE:AE)</f>
        <v>-7490135.2300000004</v>
      </c>
      <c r="AD134" s="17">
        <f>-_xlfn.XLOOKUP($C134,TB_NG!$E:$E,TB_NG!AF:AF)</f>
        <v>-15500779.170000002</v>
      </c>
      <c r="AE134" s="17">
        <f>-_xlfn.XLOOKUP($C134,TB_NG!$E:$E,TB_NG!AG:AG)</f>
        <v>-17356012.48</v>
      </c>
      <c r="AF134" s="17">
        <f>-_xlfn.XLOOKUP($C134,TB_NG!$E:$E,TB_NG!AH:AH)</f>
        <v>0</v>
      </c>
      <c r="AG134" s="17">
        <f>-_xlfn.XLOOKUP($C134,TB_NG!$E:$E,TB_NG!AI:AI)</f>
        <v>0</v>
      </c>
      <c r="AH134" s="17">
        <f>-_xlfn.XLOOKUP($C134,TB_NG!$E:$E,TB_NG!AJ:AJ)</f>
        <v>0</v>
      </c>
      <c r="AI134" s="17">
        <f>-_xlfn.XLOOKUP($C134,TB_NG!$E:$E,TB_NG!AK:AK)</f>
        <v>0</v>
      </c>
      <c r="AJ134" s="17">
        <f>-_xlfn.XLOOKUP($C134,TB_NG!$E:$E,TB_NG!AL:AL)</f>
        <v>0</v>
      </c>
      <c r="AK134" s="17">
        <f>-_xlfn.XLOOKUP($C134,TB_NG!$E:$E,TB_NG!AM:AM)</f>
        <v>0</v>
      </c>
      <c r="AL134" s="17">
        <f>-_xlfn.XLOOKUP($C134,TB_NG!$E:$E,TB_NG!AN:AN)</f>
        <v>0</v>
      </c>
      <c r="AM134" s="17">
        <f>-_xlfn.XLOOKUP($C134,TB_NG!$E:$E,TB_NG!AO:AO)</f>
        <v>0</v>
      </c>
      <c r="AS134" s="17">
        <f>SUM(D134:O134)</f>
        <v>-23501543.340000004</v>
      </c>
      <c r="AT134" s="17">
        <f>SUM(P134:AA134)</f>
        <v>-30691255.969999999</v>
      </c>
    </row>
    <row r="135" spans="2:49" x14ac:dyDescent="0.2">
      <c r="B135" s="21">
        <v>68500</v>
      </c>
      <c r="C135" s="16" t="str">
        <f>_xlfn.XLOOKUP(B135,TB_NG!A:A,TB_NG!E:E)</f>
        <v>Professional Fees:Professional Fees Legal Practitioners' fee</v>
      </c>
      <c r="D135" s="17">
        <f>-_xlfn.XLOOKUP($C135,TB_NG!$E:$E,TB_NG!F:F)</f>
        <v>0</v>
      </c>
      <c r="E135" s="17">
        <f>-_xlfn.XLOOKUP($C135,TB_NG!$E:$E,TB_NG!G:G)</f>
        <v>0</v>
      </c>
      <c r="F135" s="17">
        <f>-_xlfn.XLOOKUP($C135,TB_NG!$E:$E,TB_NG!H:H)</f>
        <v>-5805000</v>
      </c>
      <c r="G135" s="17">
        <f>-_xlfn.XLOOKUP($C135,TB_NG!$E:$E,TB_NG!I:I)</f>
        <v>-1781666.67</v>
      </c>
      <c r="H135" s="17">
        <f>-_xlfn.XLOOKUP($C135,TB_NG!$E:$E,TB_NG!J:J)</f>
        <v>-1691666.67</v>
      </c>
      <c r="I135" s="17">
        <f>-_xlfn.XLOOKUP($C135,TB_NG!$E:$E,TB_NG!K:K)</f>
        <v>-2452873.4700000002</v>
      </c>
      <c r="J135" s="17">
        <f>-_xlfn.XLOOKUP($C135,TB_NG!$E:$E,TB_NG!L:L)</f>
        <v>-1791666.67</v>
      </c>
      <c r="K135" s="17">
        <f>-_xlfn.XLOOKUP($C135,TB_NG!$E:$E,TB_NG!M:M)</f>
        <v>-1791666.67</v>
      </c>
      <c r="L135" s="17">
        <f>-_xlfn.XLOOKUP($C135,TB_NG!$E:$E,TB_NG!N:N)</f>
        <v>-1798166.67</v>
      </c>
      <c r="M135" s="17">
        <f>-_xlfn.XLOOKUP($C135,TB_NG!$E:$E,TB_NG!O:O)</f>
        <v>-1791666.67</v>
      </c>
      <c r="N135" s="17">
        <f>-_xlfn.XLOOKUP($C135,TB_NG!$E:$E,TB_NG!P:P)</f>
        <v>-2550916.67</v>
      </c>
      <c r="O135" s="17">
        <f>-_xlfn.XLOOKUP($C135,TB_NG!$E:$E,TB_NG!Q:Q)</f>
        <v>-2236666.67</v>
      </c>
      <c r="P135" s="17">
        <f>-_xlfn.XLOOKUP($C135,TB_NG!$E:$E,TB_NG!R:R)</f>
        <v>-1791666.67</v>
      </c>
      <c r="Q135" s="17">
        <f>-_xlfn.XLOOKUP($C135,TB_NG!$E:$E,TB_NG!S:S)</f>
        <v>-1791666.67</v>
      </c>
      <c r="R135" s="17">
        <f>-_xlfn.XLOOKUP($C135,TB_NG!$E:$E,TB_NG!T:T)</f>
        <v>-1791666.67</v>
      </c>
      <c r="S135" s="17">
        <f>-_xlfn.XLOOKUP($C135,TB_NG!$E:$E,TB_NG!U:U)</f>
        <v>-1791666.67</v>
      </c>
      <c r="T135" s="17">
        <f>-_xlfn.XLOOKUP($C135,TB_NG!$E:$E,TB_NG!V:V)</f>
        <v>-1791666.67</v>
      </c>
      <c r="U135" s="17">
        <f>-_xlfn.XLOOKUP($C135,TB_NG!$E:$E,TB_NG!W:W)</f>
        <v>-1806666.67</v>
      </c>
      <c r="V135" s="17">
        <f>-_xlfn.XLOOKUP($C135,TB_NG!$E:$E,TB_NG!X:X)</f>
        <v>-1791666.67</v>
      </c>
      <c r="W135" s="17">
        <f>-_xlfn.XLOOKUP($C135,TB_NG!$E:$E,TB_NG!Y:Y)</f>
        <v>-1791666.67</v>
      </c>
      <c r="X135" s="17">
        <f>-_xlfn.XLOOKUP($C135,TB_NG!$E:$E,TB_NG!Z:Z)</f>
        <v>-1791666.67</v>
      </c>
      <c r="Y135" s="17">
        <f>-_xlfn.XLOOKUP($C135,TB_NG!$E:$E,TB_NG!AA:AA)</f>
        <v>-1791666.67</v>
      </c>
      <c r="Z135" s="17">
        <f>-_xlfn.XLOOKUP($C135,TB_NG!$E:$E,TB_NG!AB:AB)</f>
        <v>-1791666.67</v>
      </c>
      <c r="AA135" s="17">
        <f>-_xlfn.XLOOKUP($C135,TB_NG!$E:$E,TB_NG!AC:AC)</f>
        <v>-1791666.67</v>
      </c>
      <c r="AB135" s="17">
        <f>-_xlfn.XLOOKUP($C135,TB_NG!$E:$E,TB_NG!AD:AD)</f>
        <v>-1666666.67</v>
      </c>
      <c r="AC135" s="17">
        <f>-_xlfn.XLOOKUP($C135,TB_NG!$E:$E,TB_NG!AE:AE)</f>
        <v>-1666666.67</v>
      </c>
      <c r="AD135" s="17">
        <f>-_xlfn.XLOOKUP($C135,TB_NG!$E:$E,TB_NG!AF:AF)</f>
        <v>-1666666.67</v>
      </c>
      <c r="AE135" s="17">
        <f>-_xlfn.XLOOKUP($C135,TB_NG!$E:$E,TB_NG!AG:AG)</f>
        <v>-1666666.67</v>
      </c>
      <c r="AF135" s="17">
        <f>-_xlfn.XLOOKUP($C135,TB_NG!$E:$E,TB_NG!AH:AH)</f>
        <v>0</v>
      </c>
      <c r="AG135" s="17">
        <f>-_xlfn.XLOOKUP($C135,TB_NG!$E:$E,TB_NG!AI:AI)</f>
        <v>0</v>
      </c>
      <c r="AH135" s="17">
        <f>-_xlfn.XLOOKUP($C135,TB_NG!$E:$E,TB_NG!AJ:AJ)</f>
        <v>0</v>
      </c>
      <c r="AI135" s="17">
        <f>-_xlfn.XLOOKUP($C135,TB_NG!$E:$E,TB_NG!AK:AK)</f>
        <v>0</v>
      </c>
      <c r="AJ135" s="17">
        <f>-_xlfn.XLOOKUP($C135,TB_NG!$E:$E,TB_NG!AL:AL)</f>
        <v>0</v>
      </c>
      <c r="AK135" s="17">
        <f>-_xlfn.XLOOKUP($C135,TB_NG!$E:$E,TB_NG!AM:AM)</f>
        <v>0</v>
      </c>
      <c r="AL135" s="17">
        <f>-_xlfn.XLOOKUP($C135,TB_NG!$E:$E,TB_NG!AN:AN)</f>
        <v>0</v>
      </c>
      <c r="AM135" s="17">
        <f>-_xlfn.XLOOKUP($C135,TB_NG!$E:$E,TB_NG!AO:AO)</f>
        <v>0</v>
      </c>
      <c r="AS135" s="17">
        <f>SUM(D135:O135)</f>
        <v>-23691956.830000006</v>
      </c>
      <c r="AT135" s="17">
        <f>SUM(P135:AA135)</f>
        <v>-21515000.039999999</v>
      </c>
      <c r="AU135" t="s">
        <v>1642</v>
      </c>
      <c r="AW135" s="316">
        <v>2.9375</v>
      </c>
    </row>
    <row r="136" spans="2:49" x14ac:dyDescent="0.2">
      <c r="B136" s="21">
        <v>68501</v>
      </c>
      <c r="C136" s="16" t="str">
        <f>_xlfn.XLOOKUP(B136,TB_NG!A:A,TB_NG!E:E)</f>
        <v>Professional Fees:Professional Fees Auditors' Fees</v>
      </c>
      <c r="D136" s="17">
        <f>-_xlfn.XLOOKUP($C136,TB_NG!$E:$E,TB_NG!F:F)</f>
        <v>0</v>
      </c>
      <c r="E136" s="17">
        <f>-_xlfn.XLOOKUP($C136,TB_NG!$E:$E,TB_NG!G:G)</f>
        <v>0</v>
      </c>
      <c r="F136" s="17">
        <f>-_xlfn.XLOOKUP($C136,TB_NG!$E:$E,TB_NG!H:H)</f>
        <v>0</v>
      </c>
      <c r="G136" s="17">
        <f>-_xlfn.XLOOKUP($C136,TB_NG!$E:$E,TB_NG!I:I)</f>
        <v>0</v>
      </c>
      <c r="H136" s="17">
        <f>-_xlfn.XLOOKUP($C136,TB_NG!$E:$E,TB_NG!J:J)</f>
        <v>0</v>
      </c>
      <c r="I136" s="17">
        <f>-_xlfn.XLOOKUP($C136,TB_NG!$E:$E,TB_NG!K:K)</f>
        <v>0</v>
      </c>
      <c r="J136" s="17">
        <f>-_xlfn.XLOOKUP($C136,TB_NG!$E:$E,TB_NG!L:L)</f>
        <v>0</v>
      </c>
      <c r="K136" s="17">
        <f>-_xlfn.XLOOKUP($C136,TB_NG!$E:$E,TB_NG!M:M)</f>
        <v>0</v>
      </c>
      <c r="L136" s="17">
        <f>-_xlfn.XLOOKUP($C136,TB_NG!$E:$E,TB_NG!N:N)</f>
        <v>0</v>
      </c>
      <c r="M136" s="17">
        <f>-_xlfn.XLOOKUP($C136,TB_NG!$E:$E,TB_NG!O:O)</f>
        <v>0</v>
      </c>
      <c r="N136" s="17">
        <f>-_xlfn.XLOOKUP($C136,TB_NG!$E:$E,TB_NG!P:P)</f>
        <v>0</v>
      </c>
      <c r="O136" s="17">
        <f>-_xlfn.XLOOKUP($C136,TB_NG!$E:$E,TB_NG!Q:Q)</f>
        <v>-9675000</v>
      </c>
      <c r="P136" s="17">
        <f>-_xlfn.XLOOKUP($C136,TB_NG!$E:$E,TB_NG!R:R)</f>
        <v>0</v>
      </c>
      <c r="Q136" s="17">
        <f>-_xlfn.XLOOKUP($C136,TB_NG!$E:$E,TB_NG!S:S)</f>
        <v>0</v>
      </c>
      <c r="R136" s="17">
        <f>-_xlfn.XLOOKUP($C136,TB_NG!$E:$E,TB_NG!T:T)</f>
        <v>0</v>
      </c>
      <c r="S136" s="17">
        <f>-_xlfn.XLOOKUP($C136,TB_NG!$E:$E,TB_NG!U:U)</f>
        <v>0</v>
      </c>
      <c r="T136" s="17">
        <f>-_xlfn.XLOOKUP($C136,TB_NG!$E:$E,TB_NG!V:V)</f>
        <v>0</v>
      </c>
      <c r="U136" s="17">
        <f>-_xlfn.XLOOKUP($C136,TB_NG!$E:$E,TB_NG!W:W)</f>
        <v>0</v>
      </c>
      <c r="V136" s="17">
        <f>-_xlfn.XLOOKUP($C136,TB_NG!$E:$E,TB_NG!X:X)</f>
        <v>0</v>
      </c>
      <c r="W136" s="17">
        <f>-_xlfn.XLOOKUP($C136,TB_NG!$E:$E,TB_NG!Y:Y)</f>
        <v>0</v>
      </c>
      <c r="X136" s="17">
        <f>-_xlfn.XLOOKUP($C136,TB_NG!$E:$E,TB_NG!Z:Z)</f>
        <v>0</v>
      </c>
      <c r="Y136" s="17">
        <f>-_xlfn.XLOOKUP($C136,TB_NG!$E:$E,TB_NG!AA:AA)</f>
        <v>0</v>
      </c>
      <c r="Z136" s="17">
        <f>-_xlfn.XLOOKUP($C136,TB_NG!$E:$E,TB_NG!AB:AB)</f>
        <v>0</v>
      </c>
      <c r="AA136" s="17">
        <f>-_xlfn.XLOOKUP($C136,TB_NG!$E:$E,TB_NG!AC:AC)</f>
        <v>0</v>
      </c>
      <c r="AB136" s="17">
        <f>-_xlfn.XLOOKUP($C136,TB_NG!$E:$E,TB_NG!AD:AD)</f>
        <v>0</v>
      </c>
      <c r="AC136" s="17">
        <f>-_xlfn.XLOOKUP($C136,TB_NG!$E:$E,TB_NG!AE:AE)</f>
        <v>0</v>
      </c>
      <c r="AD136" s="17">
        <f>-_xlfn.XLOOKUP($C136,TB_NG!$E:$E,TB_NG!AF:AF)</f>
        <v>0</v>
      </c>
      <c r="AE136" s="17">
        <f>-_xlfn.XLOOKUP($C136,TB_NG!$E:$E,TB_NG!AG:AG)</f>
        <v>0</v>
      </c>
      <c r="AF136" s="17">
        <f>-_xlfn.XLOOKUP($C136,TB_NG!$E:$E,TB_NG!AH:AH)</f>
        <v>0</v>
      </c>
      <c r="AG136" s="17">
        <f>-_xlfn.XLOOKUP($C136,TB_NG!$E:$E,TB_NG!AI:AI)</f>
        <v>0</v>
      </c>
      <c r="AH136" s="17">
        <f>-_xlfn.XLOOKUP($C136,TB_NG!$E:$E,TB_NG!AJ:AJ)</f>
        <v>0</v>
      </c>
      <c r="AI136" s="17">
        <f>-_xlfn.XLOOKUP($C136,TB_NG!$E:$E,TB_NG!AK:AK)</f>
        <v>0</v>
      </c>
      <c r="AJ136" s="17">
        <f>-_xlfn.XLOOKUP($C136,TB_NG!$E:$E,TB_NG!AL:AL)</f>
        <v>0</v>
      </c>
      <c r="AK136" s="17">
        <f>-_xlfn.XLOOKUP($C136,TB_NG!$E:$E,TB_NG!AM:AM)</f>
        <v>0</v>
      </c>
      <c r="AL136" s="17">
        <f>-_xlfn.XLOOKUP($C136,TB_NG!$E:$E,TB_NG!AN:AN)</f>
        <v>0</v>
      </c>
      <c r="AM136" s="17">
        <f>-_xlfn.XLOOKUP($C136,TB_NG!$E:$E,TB_NG!AO:AO)</f>
        <v>0</v>
      </c>
      <c r="AS136" s="17"/>
      <c r="AT136" s="17"/>
      <c r="AW136" s="316"/>
    </row>
    <row r="137" spans="2:49" x14ac:dyDescent="0.2">
      <c r="B137" s="21">
        <v>68502</v>
      </c>
      <c r="C137" s="16" t="str">
        <f>_xlfn.XLOOKUP(B137,TB_NG!A:A,TB_NG!E:E)</f>
        <v>EXP034C Professional Fees:Business Consulting Services</v>
      </c>
      <c r="D137" s="17">
        <f>-_xlfn.XLOOKUP($C137,TB_NG!$E:$E,TB_NG!F:F)</f>
        <v>0</v>
      </c>
      <c r="E137" s="17">
        <f>-_xlfn.XLOOKUP($C137,TB_NG!$E:$E,TB_NG!G:G)</f>
        <v>5750000</v>
      </c>
      <c r="F137" s="17">
        <f>-_xlfn.XLOOKUP($C137,TB_NG!$E:$E,TB_NG!H:H)</f>
        <v>-3242468.75</v>
      </c>
      <c r="G137" s="17">
        <f>-_xlfn.XLOOKUP($C137,TB_NG!$E:$E,TB_NG!I:I)</f>
        <v>1023750</v>
      </c>
      <c r="H137" s="17">
        <f>-_xlfn.XLOOKUP($C137,TB_NG!$E:$E,TB_NG!J:J)</f>
        <v>0</v>
      </c>
      <c r="I137" s="17">
        <f>-_xlfn.XLOOKUP($C137,TB_NG!$E:$E,TB_NG!K:K)</f>
        <v>-460476</v>
      </c>
      <c r="J137" s="17">
        <f>-_xlfn.XLOOKUP($C137,TB_NG!$E:$E,TB_NG!L:L)</f>
        <v>-967110</v>
      </c>
      <c r="K137" s="17">
        <f>-_xlfn.XLOOKUP($C137,TB_NG!$E:$E,TB_NG!M:M)</f>
        <v>-477045</v>
      </c>
      <c r="L137" s="17">
        <f>-_xlfn.XLOOKUP($C137,TB_NG!$E:$E,TB_NG!N:N)</f>
        <v>-495510</v>
      </c>
      <c r="M137" s="17">
        <f>-_xlfn.XLOOKUP($C137,TB_NG!$E:$E,TB_NG!O:O)</f>
        <v>-492765</v>
      </c>
      <c r="N137" s="17">
        <f>-_xlfn.XLOOKUP($C137,TB_NG!$E:$E,TB_NG!P:P)</f>
        <v>0</v>
      </c>
      <c r="O137" s="17">
        <f>-_xlfn.XLOOKUP($C137,TB_NG!$E:$E,TB_NG!Q:Q)</f>
        <v>0</v>
      </c>
      <c r="P137" s="17">
        <f>-_xlfn.XLOOKUP($C137,TB_NG!$E:$E,TB_NG!R:R)</f>
        <v>0</v>
      </c>
      <c r="Q137" s="17">
        <f>-_xlfn.XLOOKUP($C137,TB_NG!$E:$E,TB_NG!S:S)</f>
        <v>0</v>
      </c>
      <c r="R137" s="17">
        <f>-_xlfn.XLOOKUP($C137,TB_NG!$E:$E,TB_NG!T:T)</f>
        <v>0</v>
      </c>
      <c r="S137" s="17">
        <f>-_xlfn.XLOOKUP($C137,TB_NG!$E:$E,TB_NG!U:U)</f>
        <v>0</v>
      </c>
      <c r="T137" s="17">
        <f>-_xlfn.XLOOKUP($C137,TB_NG!$E:$E,TB_NG!V:V)</f>
        <v>0</v>
      </c>
      <c r="U137" s="17">
        <f>-_xlfn.XLOOKUP($C137,TB_NG!$E:$E,TB_NG!W:W)</f>
        <v>0</v>
      </c>
      <c r="V137" s="17">
        <f>-_xlfn.XLOOKUP($C137,TB_NG!$E:$E,TB_NG!X:X)</f>
        <v>0</v>
      </c>
      <c r="W137" s="17">
        <f>-_xlfn.XLOOKUP($C137,TB_NG!$E:$E,TB_NG!Y:Y)</f>
        <v>0</v>
      </c>
      <c r="X137" s="17">
        <f>-_xlfn.XLOOKUP($C137,TB_NG!$E:$E,TB_NG!Z:Z)</f>
        <v>0</v>
      </c>
      <c r="Y137" s="17">
        <f>-_xlfn.XLOOKUP($C137,TB_NG!$E:$E,TB_NG!AA:AA)</f>
        <v>0</v>
      </c>
      <c r="Z137" s="17">
        <f>-_xlfn.XLOOKUP($C137,TB_NG!$E:$E,TB_NG!AB:AB)</f>
        <v>0</v>
      </c>
      <c r="AA137" s="17">
        <f>-_xlfn.XLOOKUP($C137,TB_NG!$E:$E,TB_NG!AC:AC)</f>
        <v>0</v>
      </c>
      <c r="AB137" s="17">
        <f>-_xlfn.XLOOKUP($C137,TB_NG!$E:$E,TB_NG!AD:AD)</f>
        <v>0</v>
      </c>
      <c r="AC137" s="17">
        <f>-_xlfn.XLOOKUP($C137,TB_NG!$E:$E,TB_NG!AE:AE)</f>
        <v>0</v>
      </c>
      <c r="AD137" s="17">
        <f>-_xlfn.XLOOKUP($C137,TB_NG!$E:$E,TB_NG!AF:AF)</f>
        <v>0</v>
      </c>
      <c r="AE137" s="17">
        <f>-_xlfn.XLOOKUP($C137,TB_NG!$E:$E,TB_NG!AG:AG)</f>
        <v>0</v>
      </c>
      <c r="AF137" s="17">
        <f>-_xlfn.XLOOKUP($C137,TB_NG!$E:$E,TB_NG!AH:AH)</f>
        <v>0</v>
      </c>
      <c r="AG137" s="17">
        <f>-_xlfn.XLOOKUP($C137,TB_NG!$E:$E,TB_NG!AI:AI)</f>
        <v>0</v>
      </c>
      <c r="AH137" s="17">
        <f>-_xlfn.XLOOKUP($C137,TB_NG!$E:$E,TB_NG!AJ:AJ)</f>
        <v>0</v>
      </c>
      <c r="AI137" s="17">
        <f>-_xlfn.XLOOKUP($C137,TB_NG!$E:$E,TB_NG!AK:AK)</f>
        <v>0</v>
      </c>
      <c r="AJ137" s="17">
        <f>-_xlfn.XLOOKUP($C137,TB_NG!$E:$E,TB_NG!AL:AL)</f>
        <v>0</v>
      </c>
      <c r="AK137" s="17">
        <f>-_xlfn.XLOOKUP($C137,TB_NG!$E:$E,TB_NG!AM:AM)</f>
        <v>0</v>
      </c>
      <c r="AL137" s="17">
        <f>-_xlfn.XLOOKUP($C137,TB_NG!$E:$E,TB_NG!AN:AN)</f>
        <v>0</v>
      </c>
      <c r="AM137" s="17">
        <f>-_xlfn.XLOOKUP($C137,TB_NG!$E:$E,TB_NG!AO:AO)</f>
        <v>0</v>
      </c>
      <c r="AS137" s="17">
        <f>SUM(D137:O137)</f>
        <v>638375.25</v>
      </c>
      <c r="AT137" s="17">
        <f>SUM(P137:AA137)</f>
        <v>0</v>
      </c>
    </row>
    <row r="138" spans="2:49" x14ac:dyDescent="0.2">
      <c r="B138" s="21">
        <v>68503</v>
      </c>
      <c r="C138" s="16" t="str">
        <f>_xlfn.XLOOKUP(B138,TB_NG!A:A,TB_NG!E:E)</f>
        <v>EXP034D Professional Fees:Tax Services</v>
      </c>
      <c r="D138" s="17">
        <f>-_xlfn.XLOOKUP($C138,TB_NG!$E:$E,TB_NG!F:F)</f>
        <v>-700000</v>
      </c>
      <c r="E138" s="17">
        <f>-_xlfn.XLOOKUP($C138,TB_NG!$E:$E,TB_NG!G:G)</f>
        <v>-1517998.23</v>
      </c>
      <c r="F138" s="17">
        <f>-_xlfn.XLOOKUP($C138,TB_NG!$E:$E,TB_NG!H:H)</f>
        <v>-3264340</v>
      </c>
      <c r="G138" s="17">
        <f>-_xlfn.XLOOKUP($C138,TB_NG!$E:$E,TB_NG!I:I)</f>
        <v>-1505000</v>
      </c>
      <c r="H138" s="17">
        <f>-_xlfn.XLOOKUP($C138,TB_NG!$E:$E,TB_NG!J:J)</f>
        <v>-500000</v>
      </c>
      <c r="I138" s="17">
        <f>-_xlfn.XLOOKUP($C138,TB_NG!$E:$E,TB_NG!K:K)</f>
        <v>-5751250</v>
      </c>
      <c r="J138" s="17">
        <f>-_xlfn.XLOOKUP($C138,TB_NG!$E:$E,TB_NG!L:L)</f>
        <v>0</v>
      </c>
      <c r="K138" s="17">
        <f>-_xlfn.XLOOKUP($C138,TB_NG!$E:$E,TB_NG!M:M)</f>
        <v>-500000</v>
      </c>
      <c r="L138" s="17">
        <f>-_xlfn.XLOOKUP($C138,TB_NG!$E:$E,TB_NG!N:N)</f>
        <v>0</v>
      </c>
      <c r="M138" s="17">
        <f>-_xlfn.XLOOKUP($C138,TB_NG!$E:$E,TB_NG!O:O)</f>
        <v>0</v>
      </c>
      <c r="N138" s="17">
        <f>-_xlfn.XLOOKUP($C138,TB_NG!$E:$E,TB_NG!P:P)</f>
        <v>0</v>
      </c>
      <c r="O138" s="17">
        <f>-_xlfn.XLOOKUP($C138,TB_NG!$E:$E,TB_NG!Q:Q)</f>
        <v>-1145000</v>
      </c>
      <c r="P138" s="17">
        <f>-_xlfn.XLOOKUP($C138,TB_NG!$E:$E,TB_NG!R:R)</f>
        <v>0</v>
      </c>
      <c r="Q138" s="17">
        <f>-_xlfn.XLOOKUP($C138,TB_NG!$E:$E,TB_NG!S:S)</f>
        <v>-1400000</v>
      </c>
      <c r="R138" s="17">
        <f>-_xlfn.XLOOKUP($C138,TB_NG!$E:$E,TB_NG!T:T)</f>
        <v>0</v>
      </c>
      <c r="S138" s="17">
        <f>-_xlfn.XLOOKUP($C138,TB_NG!$E:$E,TB_NG!U:U)</f>
        <v>0</v>
      </c>
      <c r="T138" s="17">
        <f>-_xlfn.XLOOKUP($C138,TB_NG!$E:$E,TB_NG!V:V)</f>
        <v>-1881250</v>
      </c>
      <c r="U138" s="17">
        <f>-_xlfn.XLOOKUP($C138,TB_NG!$E:$E,TB_NG!W:W)</f>
        <v>0</v>
      </c>
      <c r="V138" s="17">
        <f>-_xlfn.XLOOKUP($C138,TB_NG!$E:$E,TB_NG!X:X)</f>
        <v>0</v>
      </c>
      <c r="W138" s="17">
        <f>-_xlfn.XLOOKUP($C138,TB_NG!$E:$E,TB_NG!Y:Y)</f>
        <v>0</v>
      </c>
      <c r="X138" s="17">
        <f>-_xlfn.XLOOKUP($C138,TB_NG!$E:$E,TB_NG!Z:Z)</f>
        <v>0</v>
      </c>
      <c r="Y138" s="17">
        <f>-_xlfn.XLOOKUP($C138,TB_NG!$E:$E,TB_NG!AA:AA)</f>
        <v>-450000</v>
      </c>
      <c r="Z138" s="17">
        <f>-_xlfn.XLOOKUP($C138,TB_NG!$E:$E,TB_NG!AB:AB)</f>
        <v>0</v>
      </c>
      <c r="AA138" s="17">
        <f>-_xlfn.XLOOKUP($C138,TB_NG!$E:$E,TB_NG!AC:AC)</f>
        <v>-1556250</v>
      </c>
      <c r="AB138" s="17">
        <f>-_xlfn.XLOOKUP($C138,TB_NG!$E:$E,TB_NG!AD:AD)</f>
        <v>0</v>
      </c>
      <c r="AC138" s="17">
        <f>-_xlfn.XLOOKUP($C138,TB_NG!$E:$E,TB_NG!AE:AE)</f>
        <v>0</v>
      </c>
      <c r="AD138" s="17">
        <f>-_xlfn.XLOOKUP($C138,TB_NG!$E:$E,TB_NG!AF:AF)</f>
        <v>-1473684.21</v>
      </c>
      <c r="AE138" s="17">
        <f>-_xlfn.XLOOKUP($C138,TB_NG!$E:$E,TB_NG!AG:AG)</f>
        <v>0</v>
      </c>
      <c r="AF138" s="17">
        <f>-_xlfn.XLOOKUP($C138,TB_NG!$E:$E,TB_NG!AH:AH)</f>
        <v>0</v>
      </c>
      <c r="AG138" s="17">
        <f>-_xlfn.XLOOKUP($C138,TB_NG!$E:$E,TB_NG!AI:AI)</f>
        <v>0</v>
      </c>
      <c r="AH138" s="17">
        <f>-_xlfn.XLOOKUP($C138,TB_NG!$E:$E,TB_NG!AJ:AJ)</f>
        <v>0</v>
      </c>
      <c r="AI138" s="17">
        <f>-_xlfn.XLOOKUP($C138,TB_NG!$E:$E,TB_NG!AK:AK)</f>
        <v>0</v>
      </c>
      <c r="AJ138" s="17">
        <f>-_xlfn.XLOOKUP($C138,TB_NG!$E:$E,TB_NG!AL:AL)</f>
        <v>0</v>
      </c>
      <c r="AK138" s="17">
        <f>-_xlfn.XLOOKUP($C138,TB_NG!$E:$E,TB_NG!AM:AM)</f>
        <v>0</v>
      </c>
      <c r="AL138" s="17">
        <f>-_xlfn.XLOOKUP($C138,TB_NG!$E:$E,TB_NG!AN:AN)</f>
        <v>0</v>
      </c>
      <c r="AM138" s="17">
        <f>-_xlfn.XLOOKUP($C138,TB_NG!$E:$E,TB_NG!AO:AO)</f>
        <v>0</v>
      </c>
      <c r="AS138" s="17">
        <f>SUM(D138:O138)</f>
        <v>-14883588.23</v>
      </c>
      <c r="AT138" s="17">
        <f>SUM(P138:AA138)</f>
        <v>-5287500</v>
      </c>
    </row>
    <row r="139" spans="2:49" x14ac:dyDescent="0.2">
      <c r="B139" s="21"/>
      <c r="C139" s="22" t="s">
        <v>748</v>
      </c>
      <c r="D139" s="23">
        <f>SUM(D134:D138)</f>
        <v>-700000</v>
      </c>
      <c r="E139" s="23">
        <f t="shared" ref="E139:AM139" si="21">SUM(E134:E138)</f>
        <v>4232001.7699999996</v>
      </c>
      <c r="F139" s="23">
        <f t="shared" si="21"/>
        <v>-12311808.75</v>
      </c>
      <c r="G139" s="23">
        <f t="shared" si="21"/>
        <v>-2972044.17</v>
      </c>
      <c r="H139" s="23">
        <f t="shared" si="21"/>
        <v>-2327666.67</v>
      </c>
      <c r="I139" s="23">
        <f t="shared" si="21"/>
        <v>-11284928.800000001</v>
      </c>
      <c r="J139" s="23">
        <f t="shared" si="21"/>
        <v>-4661417.2300000004</v>
      </c>
      <c r="K139" s="23">
        <f t="shared" si="21"/>
        <v>-4010448.23</v>
      </c>
      <c r="L139" s="23">
        <f t="shared" si="21"/>
        <v>-3969834.07</v>
      </c>
      <c r="M139" s="23">
        <f t="shared" si="21"/>
        <v>-3547493.13</v>
      </c>
      <c r="N139" s="23">
        <f t="shared" si="21"/>
        <v>-13238935.23</v>
      </c>
      <c r="O139" s="23">
        <f t="shared" si="21"/>
        <v>-16321138.640000001</v>
      </c>
      <c r="P139" s="23">
        <f t="shared" si="21"/>
        <v>-1805466.67</v>
      </c>
      <c r="Q139" s="23">
        <f t="shared" si="21"/>
        <v>-4540266.67</v>
      </c>
      <c r="R139" s="23">
        <f t="shared" si="21"/>
        <v>-3834754.17</v>
      </c>
      <c r="S139" s="23">
        <f t="shared" si="21"/>
        <v>-7830266.6699999999</v>
      </c>
      <c r="T139" s="23">
        <f t="shared" si="21"/>
        <v>-9482898.0300000012</v>
      </c>
      <c r="U139" s="23">
        <f t="shared" si="21"/>
        <v>-2316266.67</v>
      </c>
      <c r="V139" s="23">
        <f t="shared" si="21"/>
        <v>-3289405.92</v>
      </c>
      <c r="W139" s="23">
        <f t="shared" si="21"/>
        <v>-1944066.67</v>
      </c>
      <c r="X139" s="23">
        <f t="shared" si="21"/>
        <v>-2782147.87</v>
      </c>
      <c r="Y139" s="23">
        <f t="shared" si="21"/>
        <v>-7768866.6699999999</v>
      </c>
      <c r="Z139" s="23">
        <f t="shared" si="21"/>
        <v>-3674733.33</v>
      </c>
      <c r="AA139" s="23">
        <f t="shared" si="21"/>
        <v>-8224616.6699999999</v>
      </c>
      <c r="AB139" s="23">
        <f t="shared" si="21"/>
        <v>-11998465.749999998</v>
      </c>
      <c r="AC139" s="23">
        <f t="shared" si="21"/>
        <v>-9156801.9000000004</v>
      </c>
      <c r="AD139" s="23">
        <f t="shared" si="21"/>
        <v>-18641130.050000004</v>
      </c>
      <c r="AE139" s="23">
        <f t="shared" si="21"/>
        <v>-19022679.149999999</v>
      </c>
      <c r="AF139" s="23">
        <f t="shared" si="21"/>
        <v>0</v>
      </c>
      <c r="AG139" s="23">
        <f t="shared" si="21"/>
        <v>0</v>
      </c>
      <c r="AH139" s="23">
        <f t="shared" si="21"/>
        <v>0</v>
      </c>
      <c r="AI139" s="23">
        <f t="shared" si="21"/>
        <v>0</v>
      </c>
      <c r="AJ139" s="23">
        <f t="shared" si="21"/>
        <v>0</v>
      </c>
      <c r="AK139" s="23">
        <f t="shared" si="21"/>
        <v>0</v>
      </c>
      <c r="AL139" s="23">
        <f t="shared" si="21"/>
        <v>0</v>
      </c>
      <c r="AM139" s="23">
        <f t="shared" si="21"/>
        <v>0</v>
      </c>
      <c r="AS139" s="23">
        <f>SUM(D139:O139)</f>
        <v>-71113713.150000006</v>
      </c>
      <c r="AT139" s="23">
        <f>SUM(P139:AA139)</f>
        <v>-57493756.010000005</v>
      </c>
      <c r="AU139" t="s">
        <v>1642</v>
      </c>
      <c r="AW139" s="316">
        <v>2.9375</v>
      </c>
    </row>
    <row r="140" spans="2:49" x14ac:dyDescent="0.2">
      <c r="B140" s="21"/>
      <c r="C140" s="16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8"/>
    </row>
    <row r="141" spans="2:49" x14ac:dyDescent="0.2">
      <c r="B141" s="21"/>
      <c r="C141" s="20" t="s">
        <v>133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8"/>
    </row>
    <row r="142" spans="2:49" x14ac:dyDescent="0.2">
      <c r="B142" s="21">
        <v>63125</v>
      </c>
      <c r="C142" s="16" t="str">
        <f>_xlfn.XLOOKUP(B142,TB_NG!A:A,TB_NG!E:E)</f>
        <v>Transportation</v>
      </c>
      <c r="D142" s="17">
        <f>-_xlfn.XLOOKUP($C142,TB_NG!$E:$E,TB_NG!F:F)</f>
        <v>-38600</v>
      </c>
      <c r="E142" s="17">
        <f>-_xlfn.XLOOKUP($C142,TB_NG!$E:$E,TB_NG!G:G)</f>
        <v>-16100</v>
      </c>
      <c r="F142" s="17">
        <f>-_xlfn.XLOOKUP($C142,TB_NG!$E:$E,TB_NG!H:H)</f>
        <v>-30900</v>
      </c>
      <c r="G142" s="17">
        <f>-_xlfn.XLOOKUP($C142,TB_NG!$E:$E,TB_NG!I:I)</f>
        <v>-15600</v>
      </c>
      <c r="H142" s="17">
        <f>-_xlfn.XLOOKUP($C142,TB_NG!$E:$E,TB_NG!J:J)</f>
        <v>-183900</v>
      </c>
      <c r="I142" s="17">
        <f>-_xlfn.XLOOKUP($C142,TB_NG!$E:$E,TB_NG!K:K)</f>
        <v>-378650</v>
      </c>
      <c r="J142" s="17">
        <f>-_xlfn.XLOOKUP($C142,TB_NG!$E:$E,TB_NG!L:L)</f>
        <v>-89000</v>
      </c>
      <c r="K142" s="17">
        <f>-_xlfn.XLOOKUP($C142,TB_NG!$E:$E,TB_NG!M:M)</f>
        <v>-108560</v>
      </c>
      <c r="L142" s="17">
        <f>-_xlfn.XLOOKUP($C142,TB_NG!$E:$E,TB_NG!N:N)</f>
        <v>-748200</v>
      </c>
      <c r="M142" s="17">
        <f>-_xlfn.XLOOKUP($C142,TB_NG!$E:$E,TB_NG!O:O)</f>
        <v>-56900</v>
      </c>
      <c r="N142" s="17">
        <f>-_xlfn.XLOOKUP($C142,TB_NG!$E:$E,TB_NG!P:P)</f>
        <v>-91200</v>
      </c>
      <c r="O142" s="17">
        <f>-_xlfn.XLOOKUP($C142,TB_NG!$E:$E,TB_NG!Q:Q)</f>
        <v>-100661.73999999999</v>
      </c>
      <c r="P142" s="17">
        <f>-_xlfn.XLOOKUP($C142,TB_NG!$E:$E,TB_NG!R:R)</f>
        <v>-1334300</v>
      </c>
      <c r="Q142" s="17">
        <f>-_xlfn.XLOOKUP($C142,TB_NG!$E:$E,TB_NG!S:S)</f>
        <v>-21800</v>
      </c>
      <c r="R142" s="17">
        <f>-_xlfn.XLOOKUP($C142,TB_NG!$E:$E,TB_NG!T:T)</f>
        <v>-22450</v>
      </c>
      <c r="S142" s="17">
        <f>-_xlfn.XLOOKUP($C142,TB_NG!$E:$E,TB_NG!U:U)</f>
        <v>-110437.54</v>
      </c>
      <c r="T142" s="17">
        <f>-_xlfn.XLOOKUP($C142,TB_NG!$E:$E,TB_NG!V:V)</f>
        <v>-150136.38</v>
      </c>
      <c r="U142" s="17">
        <f>-_xlfn.XLOOKUP($C142,TB_NG!$E:$E,TB_NG!W:W)</f>
        <v>-191487</v>
      </c>
      <c r="V142" s="17">
        <f>-_xlfn.XLOOKUP($C142,TB_NG!$E:$E,TB_NG!X:X)</f>
        <v>-268390.5</v>
      </c>
      <c r="W142" s="17">
        <f>-_xlfn.XLOOKUP($C142,TB_NG!$E:$E,TB_NG!Y:Y)</f>
        <v>-41992.75</v>
      </c>
      <c r="X142" s="17">
        <f>-_xlfn.XLOOKUP($C142,TB_NG!$E:$E,TB_NG!Z:Z)</f>
        <v>-65730.75</v>
      </c>
      <c r="Y142" s="17">
        <f>-_xlfn.XLOOKUP($C142,TB_NG!$E:$E,TB_NG!AA:AA)</f>
        <v>-69361.5</v>
      </c>
      <c r="Z142" s="17">
        <f>-_xlfn.XLOOKUP($C142,TB_NG!$E:$E,TB_NG!AB:AB)</f>
        <v>-203282.25</v>
      </c>
      <c r="AA142" s="17">
        <f>-_xlfn.XLOOKUP($C142,TB_NG!$E:$E,TB_NG!AC:AC)</f>
        <v>-110489.25</v>
      </c>
      <c r="AB142" s="17">
        <f>-_xlfn.XLOOKUP($C142,TB_NG!$E:$E,TB_NG!AD:AD)</f>
        <v>-256965.75</v>
      </c>
      <c r="AC142" s="17">
        <f>-_xlfn.XLOOKUP($C142,TB_NG!$E:$E,TB_NG!AE:AE)</f>
        <v>-181380</v>
      </c>
      <c r="AD142" s="17">
        <f>-_xlfn.XLOOKUP($C142,TB_NG!$E:$E,TB_NG!AF:AF)</f>
        <v>-185900</v>
      </c>
      <c r="AE142" s="17">
        <f>-_xlfn.XLOOKUP($C142,TB_NG!$E:$E,TB_NG!AG:AG)</f>
        <v>-159600</v>
      </c>
      <c r="AF142" s="17">
        <f>-_xlfn.XLOOKUP($C142,TB_NG!$E:$E,TB_NG!AH:AH)</f>
        <v>0</v>
      </c>
      <c r="AG142" s="17">
        <f>-_xlfn.XLOOKUP($C142,TB_NG!$E:$E,TB_NG!AI:AI)</f>
        <v>0</v>
      </c>
      <c r="AH142" s="17">
        <f>-_xlfn.XLOOKUP($C142,TB_NG!$E:$E,TB_NG!AJ:AJ)</f>
        <v>0</v>
      </c>
      <c r="AI142" s="17">
        <f>-_xlfn.XLOOKUP($C142,TB_NG!$E:$E,TB_NG!AK:AK)</f>
        <v>0</v>
      </c>
      <c r="AJ142" s="17">
        <f>-_xlfn.XLOOKUP($C142,TB_NG!$E:$E,TB_NG!AL:AL)</f>
        <v>0</v>
      </c>
      <c r="AK142" s="17">
        <f>-_xlfn.XLOOKUP($C142,TB_NG!$E:$E,TB_NG!AM:AM)</f>
        <v>0</v>
      </c>
      <c r="AL142" s="17">
        <f>-_xlfn.XLOOKUP($C142,TB_NG!$E:$E,TB_NG!AN:AN)</f>
        <v>0</v>
      </c>
      <c r="AM142" s="17">
        <f>-_xlfn.XLOOKUP($C142,TB_NG!$E:$E,TB_NG!AO:AO)</f>
        <v>0</v>
      </c>
      <c r="AS142" s="17">
        <f>SUM(D142:O142)</f>
        <v>-1858271.74</v>
      </c>
      <c r="AT142" s="17">
        <f>SUM(P142:AA142)</f>
        <v>-2589857.92</v>
      </c>
    </row>
    <row r="143" spans="2:49" x14ac:dyDescent="0.2">
      <c r="B143" s="21">
        <v>63200</v>
      </c>
      <c r="C143" s="16" t="str">
        <f>_xlfn.XLOOKUP(B143,TB_NG!A:A,TB_NG!E:E)</f>
        <v>Travel</v>
      </c>
      <c r="D143" s="17">
        <f>-_xlfn.XLOOKUP($C143,TB_NG!$E:$E,TB_NG!F:F)</f>
        <v>0</v>
      </c>
      <c r="E143" s="17">
        <f>-_xlfn.XLOOKUP($C143,TB_NG!$E:$E,TB_NG!G:G)</f>
        <v>0</v>
      </c>
      <c r="F143" s="17">
        <f>-_xlfn.XLOOKUP($C143,TB_NG!$E:$E,TB_NG!H:H)</f>
        <v>0</v>
      </c>
      <c r="G143" s="17">
        <f>-_xlfn.XLOOKUP($C143,TB_NG!$E:$E,TB_NG!I:I)</f>
        <v>0</v>
      </c>
      <c r="H143" s="17">
        <f>-_xlfn.XLOOKUP($C143,TB_NG!$E:$E,TB_NG!J:J)</f>
        <v>0</v>
      </c>
      <c r="I143" s="17">
        <f>-_xlfn.XLOOKUP($C143,TB_NG!$E:$E,TB_NG!K:K)</f>
        <v>0</v>
      </c>
      <c r="J143" s="17">
        <f>-_xlfn.XLOOKUP($C143,TB_NG!$E:$E,TB_NG!L:L)</f>
        <v>0</v>
      </c>
      <c r="K143" s="17">
        <f>-_xlfn.XLOOKUP($C143,TB_NG!$E:$E,TB_NG!M:M)</f>
        <v>0</v>
      </c>
      <c r="L143" s="17">
        <f>-_xlfn.XLOOKUP($C143,TB_NG!$E:$E,TB_NG!N:N)</f>
        <v>0</v>
      </c>
      <c r="M143" s="17">
        <f>-_xlfn.XLOOKUP($C143,TB_NG!$E:$E,TB_NG!O:O)</f>
        <v>0</v>
      </c>
      <c r="N143" s="17">
        <f>-_xlfn.XLOOKUP($C143,TB_NG!$E:$E,TB_NG!P:P)</f>
        <v>0</v>
      </c>
      <c r="O143" s="17">
        <f>-_xlfn.XLOOKUP($C143,TB_NG!$E:$E,TB_NG!Q:Q)</f>
        <v>0</v>
      </c>
      <c r="P143" s="17">
        <f>-_xlfn.XLOOKUP($C143,TB_NG!$E:$E,TB_NG!R:R)</f>
        <v>0</v>
      </c>
      <c r="Q143" s="17">
        <f>-_xlfn.XLOOKUP($C143,TB_NG!$E:$E,TB_NG!S:S)</f>
        <v>0</v>
      </c>
      <c r="R143" s="17">
        <f>-_xlfn.XLOOKUP($C143,TB_NG!$E:$E,TB_NG!T:T)</f>
        <v>0</v>
      </c>
      <c r="S143" s="17">
        <f>-_xlfn.XLOOKUP($C143,TB_NG!$E:$E,TB_NG!U:U)</f>
        <v>0</v>
      </c>
      <c r="T143" s="17">
        <f>-_xlfn.XLOOKUP($C143,TB_NG!$E:$E,TB_NG!V:V)</f>
        <v>0</v>
      </c>
      <c r="U143" s="17">
        <f>-_xlfn.XLOOKUP($C143,TB_NG!$E:$E,TB_NG!W:W)</f>
        <v>0</v>
      </c>
      <c r="V143" s="17">
        <f>-_xlfn.XLOOKUP($C143,TB_NG!$E:$E,TB_NG!X:X)</f>
        <v>-60500</v>
      </c>
      <c r="W143" s="17">
        <f>-_xlfn.XLOOKUP($C143,TB_NG!$E:$E,TB_NG!Y:Y)</f>
        <v>0</v>
      </c>
      <c r="X143" s="17">
        <f>-_xlfn.XLOOKUP($C143,TB_NG!$E:$E,TB_NG!Z:Z)</f>
        <v>0</v>
      </c>
      <c r="Y143" s="17">
        <f>-_xlfn.XLOOKUP($C143,TB_NG!$E:$E,TB_NG!AA:AA)</f>
        <v>-500</v>
      </c>
      <c r="Z143" s="17">
        <f>-_xlfn.XLOOKUP($C143,TB_NG!$E:$E,TB_NG!AB:AB)</f>
        <v>0</v>
      </c>
      <c r="AA143" s="17">
        <f>-_xlfn.XLOOKUP($C143,TB_NG!$E:$E,TB_NG!AC:AC)</f>
        <v>0</v>
      </c>
      <c r="AB143" s="17">
        <f>-_xlfn.XLOOKUP($C143,TB_NG!$E:$E,TB_NG!AD:AD)</f>
        <v>0</v>
      </c>
      <c r="AC143" s="17">
        <f>-_xlfn.XLOOKUP($C143,TB_NG!$E:$E,TB_NG!AE:AE)</f>
        <v>0</v>
      </c>
      <c r="AD143" s="17">
        <f>-_xlfn.XLOOKUP($C143,TB_NG!$E:$E,TB_NG!AF:AF)</f>
        <v>0</v>
      </c>
      <c r="AE143" s="17">
        <f>-_xlfn.XLOOKUP($C143,TB_NG!$E:$E,TB_NG!AG:AG)</f>
        <v>0</v>
      </c>
      <c r="AF143" s="17">
        <f>-_xlfn.XLOOKUP($C143,TB_NG!$E:$E,TB_NG!AH:AH)</f>
        <v>0</v>
      </c>
      <c r="AG143" s="17">
        <f>-_xlfn.XLOOKUP($C143,TB_NG!$E:$E,TB_NG!AI:AI)</f>
        <v>0</v>
      </c>
      <c r="AH143" s="17">
        <f>-_xlfn.XLOOKUP($C143,TB_NG!$E:$E,TB_NG!AJ:AJ)</f>
        <v>0</v>
      </c>
      <c r="AI143" s="17">
        <f>-_xlfn.XLOOKUP($C143,TB_NG!$E:$E,TB_NG!AK:AK)</f>
        <v>0</v>
      </c>
      <c r="AJ143" s="17">
        <f>-_xlfn.XLOOKUP($C143,TB_NG!$E:$E,TB_NG!AL:AL)</f>
        <v>0</v>
      </c>
      <c r="AK143" s="17">
        <f>-_xlfn.XLOOKUP($C143,TB_NG!$E:$E,TB_NG!AM:AM)</f>
        <v>0</v>
      </c>
      <c r="AL143" s="17">
        <f>-_xlfn.XLOOKUP($C143,TB_NG!$E:$E,TB_NG!AN:AN)</f>
        <v>0</v>
      </c>
      <c r="AM143" s="17">
        <f>-_xlfn.XLOOKUP($C143,TB_NG!$E:$E,TB_NG!AO:AO)</f>
        <v>0</v>
      </c>
      <c r="AS143" s="17">
        <f>SUM(D143:O143)</f>
        <v>0</v>
      </c>
      <c r="AT143" s="17">
        <f>SUM(P143:AA143)</f>
        <v>-61000</v>
      </c>
    </row>
    <row r="144" spans="2:49" x14ac:dyDescent="0.2">
      <c r="B144" s="21"/>
      <c r="C144" s="22" t="s">
        <v>134</v>
      </c>
      <c r="D144" s="23">
        <f>SUM(D142:D143)</f>
        <v>-38600</v>
      </c>
      <c r="E144" s="23">
        <f t="shared" ref="E144:AM144" si="22">SUM(E142:E143)</f>
        <v>-16100</v>
      </c>
      <c r="F144" s="23">
        <f t="shared" si="22"/>
        <v>-30900</v>
      </c>
      <c r="G144" s="23">
        <f t="shared" si="22"/>
        <v>-15600</v>
      </c>
      <c r="H144" s="23">
        <f t="shared" si="22"/>
        <v>-183900</v>
      </c>
      <c r="I144" s="23">
        <f t="shared" si="22"/>
        <v>-378650</v>
      </c>
      <c r="J144" s="23">
        <f t="shared" si="22"/>
        <v>-89000</v>
      </c>
      <c r="K144" s="23">
        <f t="shared" si="22"/>
        <v>-108560</v>
      </c>
      <c r="L144" s="23">
        <f t="shared" si="22"/>
        <v>-748200</v>
      </c>
      <c r="M144" s="23">
        <f t="shared" si="22"/>
        <v>-56900</v>
      </c>
      <c r="N144" s="23">
        <f t="shared" si="22"/>
        <v>-91200</v>
      </c>
      <c r="O144" s="23">
        <f t="shared" si="22"/>
        <v>-100661.73999999999</v>
      </c>
      <c r="P144" s="23">
        <f t="shared" si="22"/>
        <v>-1334300</v>
      </c>
      <c r="Q144" s="23">
        <f t="shared" si="22"/>
        <v>-21800</v>
      </c>
      <c r="R144" s="23">
        <f t="shared" si="22"/>
        <v>-22450</v>
      </c>
      <c r="S144" s="23">
        <f t="shared" si="22"/>
        <v>-110437.54</v>
      </c>
      <c r="T144" s="23">
        <f t="shared" si="22"/>
        <v>-150136.38</v>
      </c>
      <c r="U144" s="23">
        <f t="shared" si="22"/>
        <v>-191487</v>
      </c>
      <c r="V144" s="23">
        <f t="shared" si="22"/>
        <v>-328890.5</v>
      </c>
      <c r="W144" s="23">
        <f t="shared" si="22"/>
        <v>-41992.75</v>
      </c>
      <c r="X144" s="23">
        <f t="shared" si="22"/>
        <v>-65730.75</v>
      </c>
      <c r="Y144" s="23">
        <f t="shared" si="22"/>
        <v>-69861.5</v>
      </c>
      <c r="Z144" s="23">
        <f t="shared" si="22"/>
        <v>-203282.25</v>
      </c>
      <c r="AA144" s="23">
        <f t="shared" si="22"/>
        <v>-110489.25</v>
      </c>
      <c r="AB144" s="23">
        <f t="shared" si="22"/>
        <v>-256965.75</v>
      </c>
      <c r="AC144" s="23">
        <f t="shared" si="22"/>
        <v>-181380</v>
      </c>
      <c r="AD144" s="23">
        <f t="shared" si="22"/>
        <v>-185900</v>
      </c>
      <c r="AE144" s="23">
        <f t="shared" si="22"/>
        <v>-159600</v>
      </c>
      <c r="AF144" s="23">
        <f t="shared" si="22"/>
        <v>0</v>
      </c>
      <c r="AG144" s="23">
        <f t="shared" si="22"/>
        <v>0</v>
      </c>
      <c r="AH144" s="23">
        <f t="shared" si="22"/>
        <v>0</v>
      </c>
      <c r="AI144" s="23">
        <f t="shared" si="22"/>
        <v>0</v>
      </c>
      <c r="AJ144" s="23">
        <f t="shared" si="22"/>
        <v>0</v>
      </c>
      <c r="AK144" s="23">
        <f t="shared" si="22"/>
        <v>0</v>
      </c>
      <c r="AL144" s="23">
        <f t="shared" si="22"/>
        <v>0</v>
      </c>
      <c r="AM144" s="23">
        <f t="shared" si="22"/>
        <v>0</v>
      </c>
      <c r="AS144" s="23">
        <f>SUM(D144:O144)</f>
        <v>-1858271.74</v>
      </c>
      <c r="AT144" s="23">
        <f>SUM(P144:AA144)</f>
        <v>-2650857.92</v>
      </c>
    </row>
    <row r="145" spans="1:46" x14ac:dyDescent="0.2">
      <c r="B145" s="21"/>
      <c r="C145" s="16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8"/>
    </row>
    <row r="146" spans="1:46" x14ac:dyDescent="0.2">
      <c r="B146" s="21"/>
      <c r="C146" s="20" t="s">
        <v>135</v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8"/>
    </row>
    <row r="147" spans="1:46" x14ac:dyDescent="0.2">
      <c r="B147" s="21">
        <v>61700</v>
      </c>
      <c r="C147" s="16" t="str">
        <f>_xlfn.XLOOKUP(B147,TB_NG!A:A,TB_NG!E:E)</f>
        <v>Insurance Expense</v>
      </c>
      <c r="D147" s="17">
        <f>-_xlfn.XLOOKUP($C147,TB_NG!$E:$E,TB_NG!F:F)</f>
        <v>-481408.31</v>
      </c>
      <c r="E147" s="17">
        <f>-_xlfn.XLOOKUP($C147,TB_NG!$E:$E,TB_NG!G:G)</f>
        <v>-479116.64</v>
      </c>
      <c r="F147" s="17">
        <f>-_xlfn.XLOOKUP($C147,TB_NG!$E:$E,TB_NG!H:H)</f>
        <v>-479116.64</v>
      </c>
      <c r="G147" s="17">
        <f>-_xlfn.XLOOKUP($C147,TB_NG!$E:$E,TB_NG!I:I)</f>
        <v>-536741.64</v>
      </c>
      <c r="H147" s="17">
        <f>-_xlfn.XLOOKUP($C147,TB_NG!$E:$E,TB_NG!J:J)</f>
        <v>-892867.75</v>
      </c>
      <c r="I147" s="17">
        <f>-_xlfn.XLOOKUP($C147,TB_NG!$E:$E,TB_NG!K:K)</f>
        <v>-820110.19</v>
      </c>
      <c r="J147" s="17">
        <f>-_xlfn.XLOOKUP($C147,TB_NG!$E:$E,TB_NG!L:L)</f>
        <v>-594644.97</v>
      </c>
      <c r="K147" s="17">
        <f>-_xlfn.XLOOKUP($C147,TB_NG!$E:$E,TB_NG!M:M)</f>
        <v>-598589.97</v>
      </c>
      <c r="L147" s="17">
        <f>-_xlfn.XLOOKUP($C147,TB_NG!$E:$E,TB_NG!N:N)</f>
        <v>-598589.97</v>
      </c>
      <c r="M147" s="17">
        <f>-_xlfn.XLOOKUP($C147,TB_NG!$E:$E,TB_NG!O:O)</f>
        <v>-745089.97</v>
      </c>
      <c r="N147" s="17">
        <f>-_xlfn.XLOOKUP($C147,TB_NG!$E:$E,TB_NG!P:P)</f>
        <v>130269.29999999993</v>
      </c>
      <c r="O147" s="17">
        <f>-_xlfn.XLOOKUP($C147,TB_NG!$E:$E,TB_NG!Q:Q)</f>
        <v>-662673.30000000005</v>
      </c>
      <c r="P147" s="17">
        <f>-_xlfn.XLOOKUP($C147,TB_NG!$E:$E,TB_NG!R:R)</f>
        <v>-325298.31000000006</v>
      </c>
      <c r="Q147" s="17">
        <f>-_xlfn.XLOOKUP($C147,TB_NG!$E:$E,TB_NG!S:S)</f>
        <v>-579098.30999999994</v>
      </c>
      <c r="R147" s="17">
        <f>-_xlfn.XLOOKUP($C147,TB_NG!$E:$E,TB_NG!T:T)</f>
        <v>-328298.31000000006</v>
      </c>
      <c r="S147" s="17">
        <f>-_xlfn.XLOOKUP($C147,TB_NG!$E:$E,TB_NG!U:U)</f>
        <v>-316723.34999999998</v>
      </c>
      <c r="T147" s="17">
        <f>-_xlfn.XLOOKUP($C147,TB_NG!$E:$E,TB_NG!V:V)</f>
        <v>-169481.65000000002</v>
      </c>
      <c r="U147" s="17">
        <f>-_xlfn.XLOOKUP($C147,TB_NG!$E:$E,TB_NG!W:W)</f>
        <v>-576301.73</v>
      </c>
      <c r="V147" s="17">
        <f>-_xlfn.XLOOKUP($C147,TB_NG!$E:$E,TB_NG!X:X)</f>
        <v>-594114.15</v>
      </c>
      <c r="W147" s="17">
        <f>-_xlfn.XLOOKUP($C147,TB_NG!$E:$E,TB_NG!Y:Y)</f>
        <v>-594114.15</v>
      </c>
      <c r="X147" s="17">
        <f>-_xlfn.XLOOKUP($C147,TB_NG!$E:$E,TB_NG!Z:Z)</f>
        <v>-866530.28</v>
      </c>
      <c r="Y147" s="17">
        <f>-_xlfn.XLOOKUP($C147,TB_NG!$E:$E,TB_NG!AA:AA)</f>
        <v>-504489.18000000005</v>
      </c>
      <c r="Z147" s="17">
        <f>-_xlfn.XLOOKUP($C147,TB_NG!$E:$E,TB_NG!AB:AB)</f>
        <v>-711155.85</v>
      </c>
      <c r="AA147" s="17">
        <f>-_xlfn.XLOOKUP($C147,TB_NG!$E:$E,TB_NG!AC:AC)</f>
        <v>-682008.4</v>
      </c>
      <c r="AB147" s="17">
        <f>-_xlfn.XLOOKUP($C147,TB_NG!$E:$E,TB_NG!AD:AD)</f>
        <v>1479724.94</v>
      </c>
      <c r="AC147" s="17">
        <f>-_xlfn.XLOOKUP($C147,TB_NG!$E:$E,TB_NG!AE:AE)</f>
        <v>-676175.06</v>
      </c>
      <c r="AD147" s="17">
        <f>-_xlfn.XLOOKUP($C147,TB_NG!$E:$E,TB_NG!AF:AF)</f>
        <v>211616.61</v>
      </c>
      <c r="AE147" s="17">
        <f>-_xlfn.XLOOKUP($C147,TB_NG!$E:$E,TB_NG!AG:AG)</f>
        <v>-870155.39</v>
      </c>
      <c r="AF147" s="17">
        <f>-_xlfn.XLOOKUP($C147,TB_NG!$E:$E,TB_NG!AH:AH)</f>
        <v>0</v>
      </c>
      <c r="AG147" s="17">
        <f>-_xlfn.XLOOKUP($C147,TB_NG!$E:$E,TB_NG!AI:AI)</f>
        <v>0</v>
      </c>
      <c r="AH147" s="17">
        <f>-_xlfn.XLOOKUP($C147,TB_NG!$E:$E,TB_NG!AJ:AJ)</f>
        <v>0</v>
      </c>
      <c r="AI147" s="17">
        <f>-_xlfn.XLOOKUP($C147,TB_NG!$E:$E,TB_NG!AK:AK)</f>
        <v>0</v>
      </c>
      <c r="AJ147" s="17">
        <f>-_xlfn.XLOOKUP($C147,TB_NG!$E:$E,TB_NG!AL:AL)</f>
        <v>0</v>
      </c>
      <c r="AK147" s="17">
        <f>-_xlfn.XLOOKUP($C147,TB_NG!$E:$E,TB_NG!AM:AM)</f>
        <v>0</v>
      </c>
      <c r="AL147" s="17">
        <f>-_xlfn.XLOOKUP($C147,TB_NG!$E:$E,TB_NG!AN:AN)</f>
        <v>0</v>
      </c>
      <c r="AM147" s="17">
        <f>-_xlfn.XLOOKUP($C147,TB_NG!$E:$E,TB_NG!AO:AO)</f>
        <v>0</v>
      </c>
      <c r="AS147" s="17">
        <f>SUM(D147:O147)</f>
        <v>-6758680.0499999989</v>
      </c>
      <c r="AT147" s="17">
        <f>SUM(P147:AA147)</f>
        <v>-6247613.6699999999</v>
      </c>
    </row>
    <row r="148" spans="1:46" x14ac:dyDescent="0.2">
      <c r="B148" s="21"/>
      <c r="C148" s="16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8"/>
    </row>
    <row r="149" spans="1:46" x14ac:dyDescent="0.2">
      <c r="B149" s="21"/>
      <c r="C149" s="22" t="s">
        <v>136</v>
      </c>
      <c r="D149" s="23">
        <f>SUM(D147:D148)</f>
        <v>-481408.31</v>
      </c>
      <c r="E149" s="23">
        <f t="shared" ref="E149:AM149" si="23">SUM(E147:E148)</f>
        <v>-479116.64</v>
      </c>
      <c r="F149" s="23">
        <f t="shared" si="23"/>
        <v>-479116.64</v>
      </c>
      <c r="G149" s="23">
        <f t="shared" si="23"/>
        <v>-536741.64</v>
      </c>
      <c r="H149" s="23">
        <f t="shared" si="23"/>
        <v>-892867.75</v>
      </c>
      <c r="I149" s="23">
        <f t="shared" si="23"/>
        <v>-820110.19</v>
      </c>
      <c r="J149" s="23">
        <f t="shared" si="23"/>
        <v>-594644.97</v>
      </c>
      <c r="K149" s="23">
        <f t="shared" si="23"/>
        <v>-598589.97</v>
      </c>
      <c r="L149" s="23">
        <f t="shared" si="23"/>
        <v>-598589.97</v>
      </c>
      <c r="M149" s="23">
        <f t="shared" si="23"/>
        <v>-745089.97</v>
      </c>
      <c r="N149" s="23">
        <f t="shared" si="23"/>
        <v>130269.29999999993</v>
      </c>
      <c r="O149" s="23">
        <f t="shared" si="23"/>
        <v>-662673.30000000005</v>
      </c>
      <c r="P149" s="23">
        <f t="shared" si="23"/>
        <v>-325298.31000000006</v>
      </c>
      <c r="Q149" s="23">
        <f t="shared" si="23"/>
        <v>-579098.30999999994</v>
      </c>
      <c r="R149" s="23">
        <f t="shared" si="23"/>
        <v>-328298.31000000006</v>
      </c>
      <c r="S149" s="23">
        <f t="shared" si="23"/>
        <v>-316723.34999999998</v>
      </c>
      <c r="T149" s="23">
        <f t="shared" si="23"/>
        <v>-169481.65000000002</v>
      </c>
      <c r="U149" s="23">
        <f t="shared" si="23"/>
        <v>-576301.73</v>
      </c>
      <c r="V149" s="23">
        <f t="shared" si="23"/>
        <v>-594114.15</v>
      </c>
      <c r="W149" s="23">
        <f t="shared" si="23"/>
        <v>-594114.15</v>
      </c>
      <c r="X149" s="23">
        <f t="shared" si="23"/>
        <v>-866530.28</v>
      </c>
      <c r="Y149" s="23">
        <f t="shared" si="23"/>
        <v>-504489.18000000005</v>
      </c>
      <c r="Z149" s="23">
        <f t="shared" si="23"/>
        <v>-711155.85</v>
      </c>
      <c r="AA149" s="23">
        <f t="shared" si="23"/>
        <v>-682008.4</v>
      </c>
      <c r="AB149" s="23">
        <f t="shared" si="23"/>
        <v>1479724.94</v>
      </c>
      <c r="AC149" s="23">
        <f t="shared" si="23"/>
        <v>-676175.06</v>
      </c>
      <c r="AD149" s="23">
        <f t="shared" si="23"/>
        <v>211616.61</v>
      </c>
      <c r="AE149" s="23">
        <f t="shared" si="23"/>
        <v>-870155.39</v>
      </c>
      <c r="AF149" s="23">
        <f t="shared" si="23"/>
        <v>0</v>
      </c>
      <c r="AG149" s="23">
        <f t="shared" si="23"/>
        <v>0</v>
      </c>
      <c r="AH149" s="23">
        <f t="shared" si="23"/>
        <v>0</v>
      </c>
      <c r="AI149" s="23">
        <f t="shared" si="23"/>
        <v>0</v>
      </c>
      <c r="AJ149" s="23">
        <f t="shared" si="23"/>
        <v>0</v>
      </c>
      <c r="AK149" s="23">
        <f t="shared" si="23"/>
        <v>0</v>
      </c>
      <c r="AL149" s="23">
        <f t="shared" si="23"/>
        <v>0</v>
      </c>
      <c r="AM149" s="23">
        <f t="shared" si="23"/>
        <v>0</v>
      </c>
      <c r="AS149" s="23">
        <f>SUM(D149:O149)</f>
        <v>-6758680.0499999989</v>
      </c>
      <c r="AT149" s="23">
        <f>SUM(P149:AA149)</f>
        <v>-6247613.6699999999</v>
      </c>
    </row>
    <row r="150" spans="1:46" x14ac:dyDescent="0.2">
      <c r="B150" s="21"/>
      <c r="C150" s="16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8"/>
    </row>
    <row r="151" spans="1:46" x14ac:dyDescent="0.2">
      <c r="B151" s="21"/>
      <c r="C151" s="20" t="s">
        <v>137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8"/>
    </row>
    <row r="152" spans="1:46" x14ac:dyDescent="0.2">
      <c r="B152" s="21">
        <v>60213</v>
      </c>
      <c r="C152" s="16" t="str">
        <f>_xlfn.XLOOKUP(B152,TB_NG!A:A,TB_NG!E:E)</f>
        <v>Business Licenses and Permits</v>
      </c>
      <c r="D152" s="17">
        <f>-_xlfn.XLOOKUP($C152,TB_NG!$E:$E,TB_NG!F:F)</f>
        <v>-417600</v>
      </c>
      <c r="E152" s="17">
        <f>-_xlfn.XLOOKUP($C152,TB_NG!$E:$E,TB_NG!G:G)</f>
        <v>0</v>
      </c>
      <c r="F152" s="17">
        <f>-_xlfn.XLOOKUP($C152,TB_NG!$E:$E,TB_NG!H:H)</f>
        <v>0</v>
      </c>
      <c r="G152" s="17">
        <f>-_xlfn.XLOOKUP($C152,TB_NG!$E:$E,TB_NG!I:I)</f>
        <v>0</v>
      </c>
      <c r="H152" s="17">
        <f>-_xlfn.XLOOKUP($C152,TB_NG!$E:$E,TB_NG!J:J)</f>
        <v>-250000</v>
      </c>
      <c r="I152" s="17">
        <f>-_xlfn.XLOOKUP($C152,TB_NG!$E:$E,TB_NG!K:K)</f>
        <v>0</v>
      </c>
      <c r="J152" s="17">
        <f>-_xlfn.XLOOKUP($C152,TB_NG!$E:$E,TB_NG!L:L)</f>
        <v>0</v>
      </c>
      <c r="K152" s="17">
        <f>-_xlfn.XLOOKUP($C152,TB_NG!$E:$E,TB_NG!M:M)</f>
        <v>0</v>
      </c>
      <c r="L152" s="17">
        <f>-_xlfn.XLOOKUP($C152,TB_NG!$E:$E,TB_NG!N:N)</f>
        <v>0</v>
      </c>
      <c r="M152" s="17">
        <f>-_xlfn.XLOOKUP($C152,TB_NG!$E:$E,TB_NG!O:O)</f>
        <v>0</v>
      </c>
      <c r="N152" s="17">
        <f>-_xlfn.XLOOKUP($C152,TB_NG!$E:$E,TB_NG!P:P)</f>
        <v>-500000</v>
      </c>
      <c r="O152" s="17">
        <f>-_xlfn.XLOOKUP($C152,TB_NG!$E:$E,TB_NG!Q:Q)</f>
        <v>0</v>
      </c>
      <c r="P152" s="17">
        <f>-_xlfn.XLOOKUP($C152,TB_NG!$E:$E,TB_NG!R:R)</f>
        <v>-5000</v>
      </c>
      <c r="Q152" s="17">
        <f>-_xlfn.XLOOKUP($C152,TB_NG!$E:$E,TB_NG!S:S)</f>
        <v>-17000</v>
      </c>
      <c r="R152" s="17">
        <f>-_xlfn.XLOOKUP($C152,TB_NG!$E:$E,TB_NG!T:T)</f>
        <v>0</v>
      </c>
      <c r="S152" s="17">
        <f>-_xlfn.XLOOKUP($C152,TB_NG!$E:$E,TB_NG!U:U)</f>
        <v>0</v>
      </c>
      <c r="T152" s="17">
        <f>-_xlfn.XLOOKUP($C152,TB_NG!$E:$E,TB_NG!V:V)</f>
        <v>-230698.75</v>
      </c>
      <c r="U152" s="17">
        <f>-_xlfn.XLOOKUP($C152,TB_NG!$E:$E,TB_NG!W:W)</f>
        <v>0</v>
      </c>
      <c r="V152" s="17">
        <f>-_xlfn.XLOOKUP($C152,TB_NG!$E:$E,TB_NG!X:X)</f>
        <v>0</v>
      </c>
      <c r="W152" s="17">
        <f>-_xlfn.XLOOKUP($C152,TB_NG!$E:$E,TB_NG!Y:Y)</f>
        <v>0</v>
      </c>
      <c r="X152" s="17">
        <f>-_xlfn.XLOOKUP($C152,TB_NG!$E:$E,TB_NG!Z:Z)</f>
        <v>0</v>
      </c>
      <c r="Y152" s="17">
        <f>-_xlfn.XLOOKUP($C152,TB_NG!$E:$E,TB_NG!AA:AA)</f>
        <v>0</v>
      </c>
      <c r="Z152" s="17">
        <f>-_xlfn.XLOOKUP($C152,TB_NG!$E:$E,TB_NG!AB:AB)</f>
        <v>0</v>
      </c>
      <c r="AA152" s="17">
        <f>-_xlfn.XLOOKUP($C152,TB_NG!$E:$E,TB_NG!AC:AC)</f>
        <v>-21300</v>
      </c>
      <c r="AB152" s="17">
        <f>-_xlfn.XLOOKUP($C152,TB_NG!$E:$E,TB_NG!AD:AD)</f>
        <v>0</v>
      </c>
      <c r="AC152" s="17">
        <f>-_xlfn.XLOOKUP($C152,TB_NG!$E:$E,TB_NG!AE:AE)</f>
        <v>-150000</v>
      </c>
      <c r="AD152" s="17">
        <f>-_xlfn.XLOOKUP($C152,TB_NG!$E:$E,TB_NG!AF:AF)</f>
        <v>0</v>
      </c>
      <c r="AE152" s="17">
        <f>-_xlfn.XLOOKUP($C152,TB_NG!$E:$E,TB_NG!AG:AG)</f>
        <v>0</v>
      </c>
      <c r="AF152" s="17">
        <f>-_xlfn.XLOOKUP($C152,TB_NG!$E:$E,TB_NG!AH:AH)</f>
        <v>0</v>
      </c>
      <c r="AG152" s="17">
        <f>-_xlfn.XLOOKUP($C152,TB_NG!$E:$E,TB_NG!AI:AI)</f>
        <v>0</v>
      </c>
      <c r="AH152" s="17">
        <f>-_xlfn.XLOOKUP($C152,TB_NG!$E:$E,TB_NG!AJ:AJ)</f>
        <v>0</v>
      </c>
      <c r="AI152" s="17">
        <f>-_xlfn.XLOOKUP($C152,TB_NG!$E:$E,TB_NG!AK:AK)</f>
        <v>0</v>
      </c>
      <c r="AJ152" s="17">
        <f>-_xlfn.XLOOKUP($C152,TB_NG!$E:$E,TB_NG!AL:AL)</f>
        <v>0</v>
      </c>
      <c r="AK152" s="17">
        <f>-_xlfn.XLOOKUP($C152,TB_NG!$E:$E,TB_NG!AM:AM)</f>
        <v>0</v>
      </c>
      <c r="AL152" s="17">
        <f>-_xlfn.XLOOKUP($C152,TB_NG!$E:$E,TB_NG!AN:AN)</f>
        <v>0</v>
      </c>
      <c r="AM152" s="17">
        <f>-_xlfn.XLOOKUP($C152,TB_NG!$E:$E,TB_NG!AO:AO)</f>
        <v>0</v>
      </c>
      <c r="AS152" s="17">
        <f>SUM(D152:O152)</f>
        <v>-1167600</v>
      </c>
      <c r="AT152" s="17">
        <f>SUM(P152:AA152)</f>
        <v>-273998.75</v>
      </c>
    </row>
    <row r="153" spans="1:46" x14ac:dyDescent="0.2">
      <c r="B153" s="21"/>
      <c r="C153" s="22" t="s">
        <v>138</v>
      </c>
      <c r="D153" s="23">
        <f>SUM(D152)</f>
        <v>-417600</v>
      </c>
      <c r="E153" s="23">
        <f t="shared" ref="E153:AM153" si="24">SUM(E152)</f>
        <v>0</v>
      </c>
      <c r="F153" s="23">
        <f t="shared" si="24"/>
        <v>0</v>
      </c>
      <c r="G153" s="23">
        <f t="shared" si="24"/>
        <v>0</v>
      </c>
      <c r="H153" s="23">
        <f t="shared" si="24"/>
        <v>-250000</v>
      </c>
      <c r="I153" s="23">
        <f t="shared" si="24"/>
        <v>0</v>
      </c>
      <c r="J153" s="23">
        <f t="shared" si="24"/>
        <v>0</v>
      </c>
      <c r="K153" s="23">
        <f t="shared" si="24"/>
        <v>0</v>
      </c>
      <c r="L153" s="23">
        <f t="shared" si="24"/>
        <v>0</v>
      </c>
      <c r="M153" s="23">
        <f t="shared" si="24"/>
        <v>0</v>
      </c>
      <c r="N153" s="23">
        <f t="shared" si="24"/>
        <v>-500000</v>
      </c>
      <c r="O153" s="23">
        <f t="shared" si="24"/>
        <v>0</v>
      </c>
      <c r="P153" s="23">
        <f t="shared" si="24"/>
        <v>-5000</v>
      </c>
      <c r="Q153" s="23">
        <f t="shared" si="24"/>
        <v>-17000</v>
      </c>
      <c r="R153" s="23">
        <f t="shared" si="24"/>
        <v>0</v>
      </c>
      <c r="S153" s="23">
        <f t="shared" si="24"/>
        <v>0</v>
      </c>
      <c r="T153" s="23">
        <f t="shared" si="24"/>
        <v>-230698.75</v>
      </c>
      <c r="U153" s="23">
        <f t="shared" si="24"/>
        <v>0</v>
      </c>
      <c r="V153" s="23">
        <f t="shared" si="24"/>
        <v>0</v>
      </c>
      <c r="W153" s="23">
        <f t="shared" si="24"/>
        <v>0</v>
      </c>
      <c r="X153" s="23">
        <f t="shared" si="24"/>
        <v>0</v>
      </c>
      <c r="Y153" s="23">
        <f t="shared" si="24"/>
        <v>0</v>
      </c>
      <c r="Z153" s="23">
        <f t="shared" si="24"/>
        <v>0</v>
      </c>
      <c r="AA153" s="23">
        <f t="shared" si="24"/>
        <v>-21300</v>
      </c>
      <c r="AB153" s="23">
        <f t="shared" si="24"/>
        <v>0</v>
      </c>
      <c r="AC153" s="23">
        <f t="shared" si="24"/>
        <v>-150000</v>
      </c>
      <c r="AD153" s="23">
        <f t="shared" si="24"/>
        <v>0</v>
      </c>
      <c r="AE153" s="23">
        <f t="shared" si="24"/>
        <v>0</v>
      </c>
      <c r="AF153" s="23">
        <f t="shared" si="24"/>
        <v>0</v>
      </c>
      <c r="AG153" s="23">
        <f t="shared" si="24"/>
        <v>0</v>
      </c>
      <c r="AH153" s="23">
        <f t="shared" si="24"/>
        <v>0</v>
      </c>
      <c r="AI153" s="23">
        <f t="shared" si="24"/>
        <v>0</v>
      </c>
      <c r="AJ153" s="23">
        <f t="shared" si="24"/>
        <v>0</v>
      </c>
      <c r="AK153" s="23">
        <f t="shared" si="24"/>
        <v>0</v>
      </c>
      <c r="AL153" s="23">
        <f t="shared" si="24"/>
        <v>0</v>
      </c>
      <c r="AM153" s="23">
        <f t="shared" si="24"/>
        <v>0</v>
      </c>
      <c r="AS153" s="23">
        <f>SUM(D153:O153)</f>
        <v>-1167600</v>
      </c>
      <c r="AT153" s="23">
        <f>SUM(P153:AA153)</f>
        <v>-273998.75</v>
      </c>
    </row>
    <row r="154" spans="1:46" x14ac:dyDescent="0.2">
      <c r="B154" s="21"/>
      <c r="C154" s="16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8"/>
    </row>
    <row r="155" spans="1:46" x14ac:dyDescent="0.2">
      <c r="B155" s="21"/>
      <c r="C155" s="20" t="s">
        <v>139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8"/>
    </row>
    <row r="156" spans="1:46" x14ac:dyDescent="0.2">
      <c r="B156" s="21">
        <v>61100</v>
      </c>
      <c r="C156" s="16" t="str">
        <f>_xlfn.XLOOKUP(B156,TB_NG!A:A,TB_NG!E:E)</f>
        <v>Bank Service Charges</v>
      </c>
      <c r="D156" s="17">
        <f>-_xlfn.XLOOKUP($C156,TB_NG!$E:$E,TB_NG!F:F)</f>
        <v>-586910.6</v>
      </c>
      <c r="E156" s="17">
        <f>-_xlfn.XLOOKUP($C156,TB_NG!$E:$E,TB_NG!G:G)</f>
        <v>-2692877.52</v>
      </c>
      <c r="F156" s="17">
        <f>-_xlfn.XLOOKUP($C156,TB_NG!$E:$E,TB_NG!H:H)</f>
        <v>-885119.43</v>
      </c>
      <c r="G156" s="17">
        <f>-_xlfn.XLOOKUP($C156,TB_NG!$E:$E,TB_NG!I:I)</f>
        <v>-2845066.01</v>
      </c>
      <c r="H156" s="17">
        <f>-_xlfn.XLOOKUP($C156,TB_NG!$E:$E,TB_NG!J:J)</f>
        <v>-9329239.8399999999</v>
      </c>
      <c r="I156" s="17">
        <f>-_xlfn.XLOOKUP($C156,TB_NG!$E:$E,TB_NG!K:K)</f>
        <v>-12171384.17</v>
      </c>
      <c r="J156" s="17">
        <f>-_xlfn.XLOOKUP($C156,TB_NG!$E:$E,TB_NG!L:L)</f>
        <v>-1573803.8</v>
      </c>
      <c r="K156" s="17">
        <f>-_xlfn.XLOOKUP($C156,TB_NG!$E:$E,TB_NG!M:M)</f>
        <v>-5744907.4000000004</v>
      </c>
      <c r="L156" s="17">
        <f>-_xlfn.XLOOKUP($C156,TB_NG!$E:$E,TB_NG!N:N)</f>
        <v>-2336655.69</v>
      </c>
      <c r="M156" s="17">
        <f>-_xlfn.XLOOKUP($C156,TB_NG!$E:$E,TB_NG!O:O)</f>
        <v>-2961152.74</v>
      </c>
      <c r="N156" s="17">
        <f>-_xlfn.XLOOKUP($C156,TB_NG!$E:$E,TB_NG!P:P)</f>
        <v>-1525182.34</v>
      </c>
      <c r="O156" s="17">
        <f>-_xlfn.XLOOKUP($C156,TB_NG!$E:$E,TB_NG!Q:Q)</f>
        <v>-2226577.75</v>
      </c>
      <c r="P156" s="17">
        <f>-_xlfn.XLOOKUP($C156,TB_NG!$E:$E,TB_NG!R:R)</f>
        <v>-2140427.44</v>
      </c>
      <c r="Q156" s="17">
        <f>-_xlfn.XLOOKUP($C156,TB_NG!$E:$E,TB_NG!S:S)</f>
        <v>-1367690.48</v>
      </c>
      <c r="R156" s="17">
        <f>-_xlfn.XLOOKUP($C156,TB_NG!$E:$E,TB_NG!T:T)</f>
        <v>-544618.92000000004</v>
      </c>
      <c r="S156" s="17">
        <f>-_xlfn.XLOOKUP($C156,TB_NG!$E:$E,TB_NG!U:U)</f>
        <v>-2409099.87</v>
      </c>
      <c r="T156" s="17">
        <f>-_xlfn.XLOOKUP($C156,TB_NG!$E:$E,TB_NG!V:V)</f>
        <v>-3008825.7</v>
      </c>
      <c r="U156" s="17">
        <f>-_xlfn.XLOOKUP($C156,TB_NG!$E:$E,TB_NG!W:W)</f>
        <v>-2563945.2000000002</v>
      </c>
      <c r="V156" s="17">
        <f>-_xlfn.XLOOKUP($C156,TB_NG!$E:$E,TB_NG!X:X)</f>
        <v>-3104706.15</v>
      </c>
      <c r="W156" s="17">
        <f>-_xlfn.XLOOKUP($C156,TB_NG!$E:$E,TB_NG!Y:Y)</f>
        <v>-2265669.0099999998</v>
      </c>
      <c r="X156" s="17">
        <f>-_xlfn.XLOOKUP($C156,TB_NG!$E:$E,TB_NG!Z:Z)</f>
        <v>-2116946.19</v>
      </c>
      <c r="Y156" s="17">
        <f>-_xlfn.XLOOKUP($C156,TB_NG!$E:$E,TB_NG!AA:AA)</f>
        <v>-2809869.77</v>
      </c>
      <c r="Z156" s="17">
        <f>-_xlfn.XLOOKUP($C156,TB_NG!$E:$E,TB_NG!AB:AB)</f>
        <v>-2453233.17</v>
      </c>
      <c r="AA156" s="17">
        <f>-_xlfn.XLOOKUP($C156,TB_NG!$E:$E,TB_NG!AC:AC)</f>
        <v>-1978010.55</v>
      </c>
      <c r="AB156" s="17">
        <f>-_xlfn.XLOOKUP($C156,TB_NG!$E:$E,TB_NG!AD:AD)</f>
        <v>-760258.66999999993</v>
      </c>
      <c r="AC156" s="17">
        <f>-_xlfn.XLOOKUP($C156,TB_NG!$E:$E,TB_NG!AE:AE)</f>
        <v>-434465.09</v>
      </c>
      <c r="AD156" s="17">
        <f>-_xlfn.XLOOKUP($C156,TB_NG!$E:$E,TB_NG!AF:AF)</f>
        <v>-23770044.329999998</v>
      </c>
      <c r="AE156" s="17">
        <f>-_xlfn.XLOOKUP($C156,TB_NG!$E:$E,TB_NG!AG:AG)</f>
        <v>-1488233.13</v>
      </c>
      <c r="AF156" s="17">
        <f>-_xlfn.XLOOKUP($C156,TB_NG!$E:$E,TB_NG!AH:AH)</f>
        <v>0</v>
      </c>
      <c r="AG156" s="17">
        <f>-_xlfn.XLOOKUP($C156,TB_NG!$E:$E,TB_NG!AI:AI)</f>
        <v>0</v>
      </c>
      <c r="AH156" s="17">
        <f>-_xlfn.XLOOKUP($C156,TB_NG!$E:$E,TB_NG!AJ:AJ)</f>
        <v>0</v>
      </c>
      <c r="AI156" s="17">
        <f>-_xlfn.XLOOKUP($C156,TB_NG!$E:$E,TB_NG!AK:AK)</f>
        <v>0</v>
      </c>
      <c r="AJ156" s="17">
        <f>-_xlfn.XLOOKUP($C156,TB_NG!$E:$E,TB_NG!AL:AL)</f>
        <v>0</v>
      </c>
      <c r="AK156" s="17">
        <f>-_xlfn.XLOOKUP($C156,TB_NG!$E:$E,TB_NG!AM:AM)</f>
        <v>0</v>
      </c>
      <c r="AL156" s="17">
        <f>-_xlfn.XLOOKUP($C156,TB_NG!$E:$E,TB_NG!AN:AN)</f>
        <v>0</v>
      </c>
      <c r="AM156" s="17">
        <f>-_xlfn.XLOOKUP($C156,TB_NG!$E:$E,TB_NG!AO:AO)</f>
        <v>0</v>
      </c>
      <c r="AS156" s="17">
        <f>SUM(D156:O156)</f>
        <v>-44878877.290000007</v>
      </c>
      <c r="AT156" s="17">
        <f>SUM(P156:AA156)</f>
        <v>-26763042.449999999</v>
      </c>
    </row>
    <row r="157" spans="1:46" x14ac:dyDescent="0.2">
      <c r="B157" s="21"/>
      <c r="C157" s="22" t="s">
        <v>140</v>
      </c>
      <c r="D157" s="23">
        <f>SUM(D156)</f>
        <v>-586910.6</v>
      </c>
      <c r="E157" s="23">
        <f t="shared" ref="E157:AM157" si="25">SUM(E156)</f>
        <v>-2692877.52</v>
      </c>
      <c r="F157" s="23">
        <f t="shared" si="25"/>
        <v>-885119.43</v>
      </c>
      <c r="G157" s="23">
        <f t="shared" si="25"/>
        <v>-2845066.01</v>
      </c>
      <c r="H157" s="23">
        <f t="shared" si="25"/>
        <v>-9329239.8399999999</v>
      </c>
      <c r="I157" s="23">
        <f t="shared" si="25"/>
        <v>-12171384.17</v>
      </c>
      <c r="J157" s="23">
        <f t="shared" si="25"/>
        <v>-1573803.8</v>
      </c>
      <c r="K157" s="23">
        <f t="shared" si="25"/>
        <v>-5744907.4000000004</v>
      </c>
      <c r="L157" s="23">
        <f t="shared" si="25"/>
        <v>-2336655.69</v>
      </c>
      <c r="M157" s="23">
        <f t="shared" si="25"/>
        <v>-2961152.74</v>
      </c>
      <c r="N157" s="23">
        <f t="shared" si="25"/>
        <v>-1525182.34</v>
      </c>
      <c r="O157" s="23">
        <f t="shared" si="25"/>
        <v>-2226577.75</v>
      </c>
      <c r="P157" s="23">
        <f t="shared" si="25"/>
        <v>-2140427.44</v>
      </c>
      <c r="Q157" s="23">
        <f t="shared" si="25"/>
        <v>-1367690.48</v>
      </c>
      <c r="R157" s="23">
        <f t="shared" si="25"/>
        <v>-544618.92000000004</v>
      </c>
      <c r="S157" s="23">
        <f t="shared" si="25"/>
        <v>-2409099.87</v>
      </c>
      <c r="T157" s="23">
        <f t="shared" si="25"/>
        <v>-3008825.7</v>
      </c>
      <c r="U157" s="23">
        <f t="shared" si="25"/>
        <v>-2563945.2000000002</v>
      </c>
      <c r="V157" s="23">
        <f t="shared" si="25"/>
        <v>-3104706.15</v>
      </c>
      <c r="W157" s="23">
        <f t="shared" si="25"/>
        <v>-2265669.0099999998</v>
      </c>
      <c r="X157" s="23">
        <f t="shared" si="25"/>
        <v>-2116946.19</v>
      </c>
      <c r="Y157" s="23">
        <f t="shared" si="25"/>
        <v>-2809869.77</v>
      </c>
      <c r="Z157" s="23">
        <f t="shared" si="25"/>
        <v>-2453233.17</v>
      </c>
      <c r="AA157" s="23">
        <f t="shared" si="25"/>
        <v>-1978010.55</v>
      </c>
      <c r="AB157" s="23">
        <f t="shared" si="25"/>
        <v>-760258.66999999993</v>
      </c>
      <c r="AC157" s="23">
        <f t="shared" si="25"/>
        <v>-434465.09</v>
      </c>
      <c r="AD157" s="23">
        <f t="shared" si="25"/>
        <v>-23770044.329999998</v>
      </c>
      <c r="AE157" s="23">
        <f t="shared" si="25"/>
        <v>-1488233.13</v>
      </c>
      <c r="AF157" s="23">
        <f t="shared" si="25"/>
        <v>0</v>
      </c>
      <c r="AG157" s="23">
        <f t="shared" si="25"/>
        <v>0</v>
      </c>
      <c r="AH157" s="23">
        <f t="shared" si="25"/>
        <v>0</v>
      </c>
      <c r="AI157" s="23">
        <f t="shared" si="25"/>
        <v>0</v>
      </c>
      <c r="AJ157" s="23">
        <f t="shared" si="25"/>
        <v>0</v>
      </c>
      <c r="AK157" s="23">
        <f t="shared" si="25"/>
        <v>0</v>
      </c>
      <c r="AL157" s="23">
        <f t="shared" si="25"/>
        <v>0</v>
      </c>
      <c r="AM157" s="23">
        <f t="shared" si="25"/>
        <v>0</v>
      </c>
      <c r="AS157" s="23">
        <f>SUM(D157:O157)</f>
        <v>-44878877.290000007</v>
      </c>
      <c r="AT157" s="23">
        <f>SUM(P157:AA157)</f>
        <v>-26763042.449999999</v>
      </c>
    </row>
    <row r="158" spans="1:46" x14ac:dyDescent="0.2">
      <c r="B158" s="21"/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8"/>
    </row>
    <row r="159" spans="1:46" x14ac:dyDescent="0.2">
      <c r="B159" s="21"/>
      <c r="C159" s="20" t="s">
        <v>141</v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8"/>
    </row>
    <row r="160" spans="1:46" x14ac:dyDescent="0.2">
      <c r="A160" t="e" vm="1">
        <f>_xleta.SUM</f>
        <v>#VALUE!</v>
      </c>
      <c r="B160" s="21">
        <v>67920</v>
      </c>
      <c r="C160" s="16" t="str">
        <f>_xlfn.XLOOKUP(B160,TB_NG!A:A,TB_NG!E:E)</f>
        <v>Exchange Gain or Loss</v>
      </c>
      <c r="D160" s="17">
        <f>-_xlfn.XLOOKUP($C160,TB_NG!$E:$E,TB_NG!F:F)</f>
        <v>87500</v>
      </c>
      <c r="E160" s="17">
        <f>-_xlfn.XLOOKUP($C160,TB_NG!$E:$E,TB_NG!G:G)</f>
        <v>13056386.49</v>
      </c>
      <c r="F160" s="17">
        <f>-_xlfn.XLOOKUP($C160,TB_NG!$E:$E,TB_NG!H:H)</f>
        <v>1383083.81</v>
      </c>
      <c r="G160" s="17">
        <f>-_xlfn.XLOOKUP($C160,TB_NG!$E:$E,TB_NG!I:I)</f>
        <v>24549870.409999967</v>
      </c>
      <c r="H160" s="17">
        <f>-_xlfn.XLOOKUP($C160,TB_NG!$E:$E,TB_NG!J:J)</f>
        <v>-44062355.840000004</v>
      </c>
      <c r="I160" s="17">
        <f>-_xlfn.XLOOKUP($C160,TB_NG!$E:$E,TB_NG!K:K)</f>
        <v>-56699031.49000001</v>
      </c>
      <c r="J160" s="17">
        <f>-_xlfn.XLOOKUP($C160,TB_NG!$E:$E,TB_NG!L:L)</f>
        <v>-40860281.339999974</v>
      </c>
      <c r="K160" s="17">
        <f>-_xlfn.XLOOKUP($C160,TB_NG!$E:$E,TB_NG!M:M)</f>
        <v>11849483</v>
      </c>
      <c r="L160" s="17">
        <f>-_xlfn.XLOOKUP($C160,TB_NG!$E:$E,TB_NG!N:N)</f>
        <v>165902362.72999996</v>
      </c>
      <c r="M160" s="17">
        <f>-_xlfn.XLOOKUP($C160,TB_NG!$E:$E,TB_NG!O:O)</f>
        <v>-142600528.06999999</v>
      </c>
      <c r="N160" s="17">
        <f>-_xlfn.XLOOKUP($C160,TB_NG!$E:$E,TB_NG!P:P)</f>
        <v>-33847644.530000001</v>
      </c>
      <c r="O160" s="17">
        <f>-_xlfn.XLOOKUP($C160,TB_NG!$E:$E,TB_NG!Q:Q)</f>
        <v>332730012.13999999</v>
      </c>
      <c r="P160" s="17">
        <f>-_xlfn.XLOOKUP($C160,TB_NG!$E:$E,TB_NG!R:R)</f>
        <v>12271596.179999996</v>
      </c>
      <c r="Q160" s="17">
        <f>-_xlfn.XLOOKUP($C160,TB_NG!$E:$E,TB_NG!S:S)</f>
        <v>50837749.50999999</v>
      </c>
      <c r="R160" s="17">
        <f>-_xlfn.XLOOKUP($C160,TB_NG!$E:$E,TB_NG!T:T)</f>
        <v>76093279.030000001</v>
      </c>
      <c r="S160" s="17">
        <f>-_xlfn.XLOOKUP($C160,TB_NG!$E:$E,TB_NG!U:U)</f>
        <v>177734003.43000001</v>
      </c>
      <c r="T160" s="17">
        <f>-_xlfn.XLOOKUP($C160,TB_NG!$E:$E,TB_NG!V:V)</f>
        <v>-28548544.84</v>
      </c>
      <c r="U160" s="17">
        <f>-_xlfn.XLOOKUP($C160,TB_NG!$E:$E,TB_NG!W:W)</f>
        <v>-116538409.28999999</v>
      </c>
      <c r="V160" s="17">
        <f>-_xlfn.XLOOKUP($C160,TB_NG!$E:$E,TB_NG!X:X)</f>
        <v>-24443157.900000002</v>
      </c>
      <c r="W160" s="17">
        <f>-_xlfn.XLOOKUP($C160,TB_NG!$E:$E,TB_NG!Y:Y)</f>
        <v>16002200.460000001</v>
      </c>
      <c r="X160" s="17">
        <f>-_xlfn.XLOOKUP($C160,TB_NG!$E:$E,TB_NG!Z:Z)</f>
        <v>-102896938.59999998</v>
      </c>
      <c r="Y160" s="17">
        <f>-_xlfn.XLOOKUP($C160,TB_NG!$E:$E,TB_NG!AA:AA)</f>
        <v>-60146857.420000002</v>
      </c>
      <c r="Z160" s="17">
        <f>-_xlfn.XLOOKUP($C160,TB_NG!$E:$E,TB_NG!AB:AB)</f>
        <v>-4433832.6300000008</v>
      </c>
      <c r="AA160" s="17">
        <f>-_xlfn.XLOOKUP($C160,TB_NG!$E:$E,TB_NG!AC:AC)</f>
        <v>4372886.3699999992</v>
      </c>
      <c r="AB160" s="17">
        <f>-_xlfn.XLOOKUP($C160,TB_NG!$E:$E,TB_NG!AD:AD)</f>
        <v>-89354483.729999989</v>
      </c>
      <c r="AC160" s="17">
        <f>-_xlfn.XLOOKUP($C160,TB_NG!$E:$E,TB_NG!AE:AE)</f>
        <v>-47154879.780000001</v>
      </c>
      <c r="AD160" s="17">
        <f>-_xlfn.XLOOKUP($C160,TB_NG!$E:$E,TB_NG!AF:AF)</f>
        <v>44091513.25</v>
      </c>
      <c r="AE160" s="17">
        <f>-_xlfn.XLOOKUP($C160,TB_NG!$E:$E,TB_NG!AG:AG)</f>
        <v>-18530632.390000001</v>
      </c>
      <c r="AF160" s="17">
        <f>-_xlfn.XLOOKUP($C160,TB_NG!$E:$E,TB_NG!AH:AH)</f>
        <v>0</v>
      </c>
      <c r="AG160" s="17">
        <f>-_xlfn.XLOOKUP($C160,TB_NG!$E:$E,TB_NG!AI:AI)</f>
        <v>0</v>
      </c>
      <c r="AH160" s="17">
        <f>-_xlfn.XLOOKUP($C160,TB_NG!$E:$E,TB_NG!AJ:AJ)</f>
        <v>0</v>
      </c>
      <c r="AI160" s="17">
        <f>-_xlfn.XLOOKUP($C160,TB_NG!$E:$E,TB_NG!AK:AK)</f>
        <v>0</v>
      </c>
      <c r="AJ160" s="17">
        <f>-_xlfn.XLOOKUP($C160,TB_NG!$E:$E,TB_NG!AL:AL)</f>
        <v>0</v>
      </c>
      <c r="AK160" s="17">
        <f>-_xlfn.XLOOKUP($C160,TB_NG!$E:$E,TB_NG!AM:AM)</f>
        <v>0</v>
      </c>
      <c r="AL160" s="17">
        <f>-_xlfn.XLOOKUP($C160,TB_NG!$E:$E,TB_NG!AN:AN)</f>
        <v>0</v>
      </c>
      <c r="AM160" s="17">
        <f>-_xlfn.XLOOKUP($C160,TB_NG!$E:$E,TB_NG!AO:AO)</f>
        <v>0</v>
      </c>
      <c r="AS160" s="17">
        <f>SUM(D160:O160)</f>
        <v>231488857.30999994</v>
      </c>
      <c r="AT160" s="17">
        <f>SUM(P160:AA160)</f>
        <v>303974.30000003055</v>
      </c>
    </row>
    <row r="161" spans="2:48" x14ac:dyDescent="0.2">
      <c r="B161" s="21"/>
      <c r="C161" s="22" t="s">
        <v>142</v>
      </c>
      <c r="D161" s="23">
        <f>SUM(D160)</f>
        <v>87500</v>
      </c>
      <c r="E161" s="23">
        <f t="shared" ref="E161:AM161" si="26">SUM(E160)</f>
        <v>13056386.49</v>
      </c>
      <c r="F161" s="23">
        <f t="shared" si="26"/>
        <v>1383083.81</v>
      </c>
      <c r="G161" s="23">
        <f t="shared" si="26"/>
        <v>24549870.409999967</v>
      </c>
      <c r="H161" s="23">
        <f t="shared" si="26"/>
        <v>-44062355.840000004</v>
      </c>
      <c r="I161" s="23">
        <f t="shared" si="26"/>
        <v>-56699031.49000001</v>
      </c>
      <c r="J161" s="23">
        <f t="shared" si="26"/>
        <v>-40860281.339999974</v>
      </c>
      <c r="K161" s="23">
        <f t="shared" si="26"/>
        <v>11849483</v>
      </c>
      <c r="L161" s="23">
        <f t="shared" si="26"/>
        <v>165902362.72999996</v>
      </c>
      <c r="M161" s="23">
        <f t="shared" si="26"/>
        <v>-142600528.06999999</v>
      </c>
      <c r="N161" s="23">
        <f t="shared" si="26"/>
        <v>-33847644.530000001</v>
      </c>
      <c r="O161" s="23">
        <f t="shared" si="26"/>
        <v>332730012.13999999</v>
      </c>
      <c r="P161" s="23">
        <f t="shared" si="26"/>
        <v>12271596.179999996</v>
      </c>
      <c r="Q161" s="23">
        <f t="shared" si="26"/>
        <v>50837749.50999999</v>
      </c>
      <c r="R161" s="23">
        <f t="shared" si="26"/>
        <v>76093279.030000001</v>
      </c>
      <c r="S161" s="23">
        <f t="shared" si="26"/>
        <v>177734003.43000001</v>
      </c>
      <c r="T161" s="23">
        <f t="shared" si="26"/>
        <v>-28548544.84</v>
      </c>
      <c r="U161" s="23">
        <f t="shared" si="26"/>
        <v>-116538409.28999999</v>
      </c>
      <c r="V161" s="23">
        <f t="shared" si="26"/>
        <v>-24443157.900000002</v>
      </c>
      <c r="W161" s="23">
        <f t="shared" si="26"/>
        <v>16002200.460000001</v>
      </c>
      <c r="X161" s="23">
        <f t="shared" si="26"/>
        <v>-102896938.59999998</v>
      </c>
      <c r="Y161" s="23">
        <f t="shared" si="26"/>
        <v>-60146857.420000002</v>
      </c>
      <c r="Z161" s="23">
        <f t="shared" si="26"/>
        <v>-4433832.6300000008</v>
      </c>
      <c r="AA161" s="23">
        <f t="shared" si="26"/>
        <v>4372886.3699999992</v>
      </c>
      <c r="AB161" s="23">
        <f t="shared" si="26"/>
        <v>-89354483.729999989</v>
      </c>
      <c r="AC161" s="23">
        <f t="shared" si="26"/>
        <v>-47154879.780000001</v>
      </c>
      <c r="AD161" s="23">
        <f t="shared" si="26"/>
        <v>44091513.25</v>
      </c>
      <c r="AE161" s="23">
        <f t="shared" si="26"/>
        <v>-18530632.390000001</v>
      </c>
      <c r="AF161" s="23">
        <f t="shared" si="26"/>
        <v>0</v>
      </c>
      <c r="AG161" s="23">
        <f t="shared" si="26"/>
        <v>0</v>
      </c>
      <c r="AH161" s="23">
        <f t="shared" si="26"/>
        <v>0</v>
      </c>
      <c r="AI161" s="23">
        <f t="shared" si="26"/>
        <v>0</v>
      </c>
      <c r="AJ161" s="23">
        <f t="shared" si="26"/>
        <v>0</v>
      </c>
      <c r="AK161" s="23">
        <f t="shared" si="26"/>
        <v>0</v>
      </c>
      <c r="AL161" s="23">
        <f t="shared" si="26"/>
        <v>0</v>
      </c>
      <c r="AM161" s="23">
        <f t="shared" si="26"/>
        <v>0</v>
      </c>
      <c r="AP161" s="45">
        <f>SUM(D161:G161)</f>
        <v>39076840.709999964</v>
      </c>
      <c r="AQ161" s="45">
        <f>SUM(AB161:AE161,AE166)</f>
        <v>-113826209.69</v>
      </c>
      <c r="AS161" s="23">
        <f>SUM(D161:O161)</f>
        <v>231488857.30999994</v>
      </c>
      <c r="AT161" s="23">
        <f>SUM(P161:AA161)</f>
        <v>303974.30000003055</v>
      </c>
    </row>
    <row r="162" spans="2:48" x14ac:dyDescent="0.2">
      <c r="B162" s="21"/>
      <c r="C162" s="16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8"/>
      <c r="AQ162" s="45">
        <f>AQ161-AP161</f>
        <v>-152903050.39999998</v>
      </c>
    </row>
    <row r="163" spans="2:48" x14ac:dyDescent="0.2">
      <c r="B163" s="21"/>
      <c r="C163" s="20" t="s">
        <v>143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8"/>
    </row>
    <row r="164" spans="2:48" x14ac:dyDescent="0.2">
      <c r="B164" s="21">
        <v>67901</v>
      </c>
      <c r="C164" s="16" t="str">
        <f>_xlfn.XLOOKUP(B164,TB_NG!A:A,TB_NG!E:E)</f>
        <v>Stamp Duty Expense</v>
      </c>
      <c r="D164" s="17">
        <f>-_xlfn.XLOOKUP($C164,TB_NG!$E:$E,TB_NG!F:F)</f>
        <v>0</v>
      </c>
      <c r="E164" s="17">
        <f>-_xlfn.XLOOKUP($C164,TB_NG!$E:$E,TB_NG!G:G)</f>
        <v>0</v>
      </c>
      <c r="F164" s="17">
        <f>-_xlfn.XLOOKUP($C164,TB_NG!$E:$E,TB_NG!H:H)</f>
        <v>0</v>
      </c>
      <c r="G164" s="17">
        <f>-_xlfn.XLOOKUP($C164,TB_NG!$E:$E,TB_NG!I:I)</f>
        <v>0</v>
      </c>
      <c r="H164" s="17">
        <f>-_xlfn.XLOOKUP($C164,TB_NG!$E:$E,TB_NG!J:J)</f>
        <v>0</v>
      </c>
      <c r="I164" s="17">
        <f>-_xlfn.XLOOKUP($C164,TB_NG!$E:$E,TB_NG!K:K)</f>
        <v>0</v>
      </c>
      <c r="J164" s="17">
        <f>-_xlfn.XLOOKUP($C164,TB_NG!$E:$E,TB_NG!L:L)</f>
        <v>0</v>
      </c>
      <c r="K164" s="17">
        <f>-_xlfn.XLOOKUP($C164,TB_NG!$E:$E,TB_NG!M:M)</f>
        <v>0</v>
      </c>
      <c r="L164" s="17">
        <f>-_xlfn.XLOOKUP($C164,TB_NG!$E:$E,TB_NG!N:N)</f>
        <v>0</v>
      </c>
      <c r="M164" s="17">
        <f>-_xlfn.XLOOKUP($C164,TB_NG!$E:$E,TB_NG!O:O)</f>
        <v>0</v>
      </c>
      <c r="N164" s="17">
        <f>-_xlfn.XLOOKUP($C164,TB_NG!$E:$E,TB_NG!P:P)</f>
        <v>0</v>
      </c>
      <c r="O164" s="17">
        <f>-_xlfn.XLOOKUP($C164,TB_NG!$E:$E,TB_NG!Q:Q)</f>
        <v>-10024754.609999999</v>
      </c>
      <c r="P164" s="17">
        <f>-_xlfn.XLOOKUP($C164,TB_NG!$E:$E,TB_NG!R:R)</f>
        <v>0</v>
      </c>
      <c r="Q164" s="17">
        <f>-_xlfn.XLOOKUP($C164,TB_NG!$E:$E,TB_NG!S:S)</f>
        <v>0</v>
      </c>
      <c r="R164" s="17">
        <f>-_xlfn.XLOOKUP($C164,TB_NG!$E:$E,TB_NG!T:T)</f>
        <v>0</v>
      </c>
      <c r="S164" s="17">
        <f>-_xlfn.XLOOKUP($C164,TB_NG!$E:$E,TB_NG!U:U)</f>
        <v>0</v>
      </c>
      <c r="T164" s="17">
        <f>-_xlfn.XLOOKUP($C164,TB_NG!$E:$E,TB_NG!V:V)</f>
        <v>0</v>
      </c>
      <c r="U164" s="17">
        <f>-_xlfn.XLOOKUP($C164,TB_NG!$E:$E,TB_NG!W:W)</f>
        <v>0</v>
      </c>
      <c r="V164" s="17">
        <f>-_xlfn.XLOOKUP($C164,TB_NG!$E:$E,TB_NG!X:X)</f>
        <v>0</v>
      </c>
      <c r="W164" s="17">
        <f>-_xlfn.XLOOKUP($C164,TB_NG!$E:$E,TB_NG!Y:Y)</f>
        <v>0</v>
      </c>
      <c r="X164" s="17">
        <f>-_xlfn.XLOOKUP($C164,TB_NG!$E:$E,TB_NG!Z:Z)</f>
        <v>0</v>
      </c>
      <c r="Y164" s="17">
        <f>-_xlfn.XLOOKUP($C164,TB_NG!$E:$E,TB_NG!AA:AA)</f>
        <v>0</v>
      </c>
      <c r="Z164" s="17">
        <f>-_xlfn.XLOOKUP($C164,TB_NG!$E:$E,TB_NG!AB:AB)</f>
        <v>0</v>
      </c>
      <c r="AA164" s="17">
        <f>-_xlfn.XLOOKUP($C164,TB_NG!$E:$E,TB_NG!AC:AC)</f>
        <v>0</v>
      </c>
      <c r="AB164" s="17">
        <f>-_xlfn.XLOOKUP($C164,TB_NG!$E:$E,TB_NG!AD:AD)</f>
        <v>0</v>
      </c>
      <c r="AC164" s="17">
        <f>-_xlfn.XLOOKUP($C164,TB_NG!$E:$E,TB_NG!AE:AE)</f>
        <v>0</v>
      </c>
      <c r="AD164" s="17">
        <f>-_xlfn.XLOOKUP($C164,TB_NG!$E:$E,TB_NG!AF:AF)</f>
        <v>0</v>
      </c>
      <c r="AE164" s="17">
        <f>-_xlfn.XLOOKUP($C164,TB_NG!$E:$E,TB_NG!AG:AG)</f>
        <v>0</v>
      </c>
      <c r="AF164" s="17">
        <f>-_xlfn.XLOOKUP($C164,TB_NG!$E:$E,TB_NG!AH:AH)</f>
        <v>0</v>
      </c>
      <c r="AG164" s="17">
        <f>-_xlfn.XLOOKUP($C164,TB_NG!$E:$E,TB_NG!AI:AI)</f>
        <v>0</v>
      </c>
      <c r="AH164" s="17">
        <f>-_xlfn.XLOOKUP($C164,TB_NG!$E:$E,TB_NG!AJ:AJ)</f>
        <v>0</v>
      </c>
      <c r="AI164" s="17">
        <f>-_xlfn.XLOOKUP($C164,TB_NG!$E:$E,TB_NG!AK:AK)</f>
        <v>0</v>
      </c>
      <c r="AJ164" s="17">
        <f>-_xlfn.XLOOKUP($C164,TB_NG!$E:$E,TB_NG!AL:AL)</f>
        <v>0</v>
      </c>
      <c r="AK164" s="17">
        <f>-_xlfn.XLOOKUP($C164,TB_NG!$E:$E,TB_NG!AM:AM)</f>
        <v>0</v>
      </c>
      <c r="AL164" s="17">
        <f>-_xlfn.XLOOKUP($C164,TB_NG!$E:$E,TB_NG!AN:AN)</f>
        <v>0</v>
      </c>
      <c r="AM164" s="17">
        <f>-_xlfn.XLOOKUP($C164,TB_NG!$E:$E,TB_NG!AO:AO)</f>
        <v>0</v>
      </c>
      <c r="AS164" s="17">
        <f>SUM(D164:O164)</f>
        <v>-10024754.609999999</v>
      </c>
      <c r="AT164" s="17">
        <f>SUM(P164:AA164)</f>
        <v>0</v>
      </c>
    </row>
    <row r="165" spans="2:48" x14ac:dyDescent="0.2">
      <c r="B165" s="21">
        <v>62100</v>
      </c>
      <c r="C165" s="16" t="str">
        <f>_xlfn.XLOOKUP(B165,TB_NG!A:A,TB_NG!E:E)</f>
        <v>Marketing Expense</v>
      </c>
      <c r="D165" s="17">
        <f>-_xlfn.XLOOKUP($C165,TB_NG!$E:$E,TB_NG!F:F)</f>
        <v>0</v>
      </c>
      <c r="E165" s="17">
        <f>-_xlfn.XLOOKUP($C165,TB_NG!$E:$E,TB_NG!G:G)</f>
        <v>0</v>
      </c>
      <c r="F165" s="17">
        <f>-_xlfn.XLOOKUP($C165,TB_NG!$E:$E,TB_NG!H:H)</f>
        <v>0</v>
      </c>
      <c r="G165" s="17">
        <f>-_xlfn.XLOOKUP($C165,TB_NG!$E:$E,TB_NG!I:I)</f>
        <v>0</v>
      </c>
      <c r="H165" s="17">
        <f>-_xlfn.XLOOKUP($C165,TB_NG!$E:$E,TB_NG!J:J)</f>
        <v>0</v>
      </c>
      <c r="I165" s="17">
        <f>-_xlfn.XLOOKUP($C165,TB_NG!$E:$E,TB_NG!K:K)</f>
        <v>0</v>
      </c>
      <c r="J165" s="17">
        <f>-_xlfn.XLOOKUP($C165,TB_NG!$E:$E,TB_NG!L:L)</f>
        <v>0</v>
      </c>
      <c r="K165" s="17">
        <f>-_xlfn.XLOOKUP($C165,TB_NG!$E:$E,TB_NG!M:M)</f>
        <v>0</v>
      </c>
      <c r="L165" s="17">
        <f>-_xlfn.XLOOKUP($C165,TB_NG!$E:$E,TB_NG!N:N)</f>
        <v>0</v>
      </c>
      <c r="M165" s="17">
        <f>-_xlfn.XLOOKUP($C165,TB_NG!$E:$E,TB_NG!O:O)</f>
        <v>0</v>
      </c>
      <c r="N165" s="17">
        <f>-_xlfn.XLOOKUP($C165,TB_NG!$E:$E,TB_NG!P:P)</f>
        <v>0</v>
      </c>
      <c r="O165" s="17">
        <f>-_xlfn.XLOOKUP($C165,TB_NG!$E:$E,TB_NG!Q:Q)</f>
        <v>0</v>
      </c>
      <c r="P165" s="17">
        <f>-_xlfn.XLOOKUP($C165,TB_NG!$E:$E,TB_NG!R:R)</f>
        <v>0</v>
      </c>
      <c r="Q165" s="17">
        <f>-_xlfn.XLOOKUP($C165,TB_NG!$E:$E,TB_NG!S:S)</f>
        <v>0</v>
      </c>
      <c r="R165" s="17">
        <f>-_xlfn.XLOOKUP($C165,TB_NG!$E:$E,TB_NG!T:T)</f>
        <v>0</v>
      </c>
      <c r="S165" s="17">
        <f>-_xlfn.XLOOKUP($C165,TB_NG!$E:$E,TB_NG!U:U)</f>
        <v>0</v>
      </c>
      <c r="T165" s="17">
        <f>-_xlfn.XLOOKUP($C165,TB_NG!$E:$E,TB_NG!V:V)</f>
        <v>0</v>
      </c>
      <c r="U165" s="17">
        <f>-_xlfn.XLOOKUP($C165,TB_NG!$E:$E,TB_NG!W:W)</f>
        <v>0</v>
      </c>
      <c r="V165" s="17">
        <f>-_xlfn.XLOOKUP($C165,TB_NG!$E:$E,TB_NG!X:X)</f>
        <v>0</v>
      </c>
      <c r="W165" s="17">
        <f>-_xlfn.XLOOKUP($C165,TB_NG!$E:$E,TB_NG!Y:Y)</f>
        <v>0</v>
      </c>
      <c r="X165" s="17">
        <f>-_xlfn.XLOOKUP($C165,TB_NG!$E:$E,TB_NG!Z:Z)</f>
        <v>0</v>
      </c>
      <c r="Y165" s="17">
        <f>-_xlfn.XLOOKUP($C165,TB_NG!$E:$E,TB_NG!AA:AA)</f>
        <v>-200</v>
      </c>
      <c r="Z165" s="17">
        <f>-_xlfn.XLOOKUP($C165,TB_NG!$E:$E,TB_NG!AB:AB)</f>
        <v>0</v>
      </c>
      <c r="AA165" s="17">
        <f>-_xlfn.XLOOKUP($C165,TB_NG!$E:$E,TB_NG!AC:AC)</f>
        <v>0</v>
      </c>
      <c r="AB165" s="17">
        <f>-_xlfn.XLOOKUP($C165,TB_NG!$E:$E,TB_NG!AD:AD)</f>
        <v>0</v>
      </c>
      <c r="AC165" s="17">
        <f>-_xlfn.XLOOKUP($C165,TB_NG!$E:$E,TB_NG!AE:AE)</f>
        <v>0</v>
      </c>
      <c r="AD165" s="17">
        <f>-_xlfn.XLOOKUP($C165,TB_NG!$E:$E,TB_NG!AF:AF)</f>
        <v>0</v>
      </c>
      <c r="AE165" s="17">
        <f>-_xlfn.XLOOKUP($C165,TB_NG!$E:$E,TB_NG!AG:AG)</f>
        <v>0</v>
      </c>
      <c r="AF165" s="17">
        <f>-_xlfn.XLOOKUP($C165,TB_NG!$E:$E,TB_NG!AH:AH)</f>
        <v>0</v>
      </c>
      <c r="AG165" s="17">
        <f>-_xlfn.XLOOKUP($C165,TB_NG!$E:$E,TB_NG!AI:AI)</f>
        <v>0</v>
      </c>
      <c r="AH165" s="17">
        <f>-_xlfn.XLOOKUP($C165,TB_NG!$E:$E,TB_NG!AJ:AJ)</f>
        <v>0</v>
      </c>
      <c r="AI165" s="17">
        <f>-_xlfn.XLOOKUP($C165,TB_NG!$E:$E,TB_NG!AK:AK)</f>
        <v>0</v>
      </c>
      <c r="AJ165" s="17">
        <f>-_xlfn.XLOOKUP($C165,TB_NG!$E:$E,TB_NG!AL:AL)</f>
        <v>0</v>
      </c>
      <c r="AK165" s="17">
        <f>-_xlfn.XLOOKUP($C165,TB_NG!$E:$E,TB_NG!AM:AM)</f>
        <v>0</v>
      </c>
      <c r="AL165" s="17">
        <f>-_xlfn.XLOOKUP($C165,TB_NG!$E:$E,TB_NG!AN:AN)</f>
        <v>0</v>
      </c>
      <c r="AM165" s="17">
        <f>-_xlfn.XLOOKUP($C165,TB_NG!$E:$E,TB_NG!AO:AO)</f>
        <v>0</v>
      </c>
      <c r="AS165" s="17">
        <f>SUM(D165:O165)</f>
        <v>0</v>
      </c>
      <c r="AT165" s="17">
        <f>SUM(P165:AA165)</f>
        <v>-200</v>
      </c>
    </row>
    <row r="166" spans="2:48" x14ac:dyDescent="0.2">
      <c r="B166" s="21">
        <v>67940</v>
      </c>
      <c r="C166" s="16" t="str">
        <f>_xlfn.XLOOKUP(B166,TB_NG!A:A,TB_NG!E:E)</f>
        <v>Rounding Gain / Loss</v>
      </c>
      <c r="D166" s="17">
        <f>-_xlfn.XLOOKUP($C166,TB_NG!$E:$E,TB_NG!F:F)</f>
        <v>0</v>
      </c>
      <c r="E166" s="17">
        <f>-_xlfn.XLOOKUP($C166,TB_NG!$E:$E,TB_NG!G:G)</f>
        <v>-0.01</v>
      </c>
      <c r="F166" s="17">
        <f>-_xlfn.XLOOKUP($C166,TB_NG!$E:$E,TB_NG!H:H)</f>
        <v>0</v>
      </c>
      <c r="G166" s="17">
        <f>-_xlfn.XLOOKUP($C166,TB_NG!$E:$E,TB_NG!I:I)</f>
        <v>0.01</v>
      </c>
      <c r="H166" s="17">
        <f>-_xlfn.XLOOKUP($C166,TB_NG!$E:$E,TB_NG!J:J)</f>
        <v>0.01</v>
      </c>
      <c r="I166" s="17">
        <f>-_xlfn.XLOOKUP($C166,TB_NG!$E:$E,TB_NG!K:K)</f>
        <v>-2.0000000018626451E-2</v>
      </c>
      <c r="J166" s="17">
        <f>-_xlfn.XLOOKUP($C166,TB_NG!$E:$E,TB_NG!L:L)</f>
        <v>0</v>
      </c>
      <c r="K166" s="17">
        <f>-_xlfn.XLOOKUP($C166,TB_NG!$E:$E,TB_NG!M:M)</f>
        <v>-0.01</v>
      </c>
      <c r="L166" s="17">
        <f>-_xlfn.XLOOKUP($C166,TB_NG!$E:$E,TB_NG!N:N)</f>
        <v>-0.03</v>
      </c>
      <c r="M166" s="17">
        <f>-_xlfn.XLOOKUP($C166,TB_NG!$E:$E,TB_NG!O:O)</f>
        <v>-2.3199999999999998</v>
      </c>
      <c r="N166" s="17">
        <f>-_xlfn.XLOOKUP($C166,TB_NG!$E:$E,TB_NG!P:P)</f>
        <v>0.01</v>
      </c>
      <c r="O166" s="17">
        <f>-_xlfn.XLOOKUP($C166,TB_NG!$E:$E,TB_NG!Q:Q)</f>
        <v>1.0000000000000002E-2</v>
      </c>
      <c r="P166" s="17">
        <f>-_xlfn.XLOOKUP($C166,TB_NG!$E:$E,TB_NG!R:R)</f>
        <v>0.02</v>
      </c>
      <c r="Q166" s="17">
        <f>-_xlfn.XLOOKUP($C166,TB_NG!$E:$E,TB_NG!S:S)</f>
        <v>0.02</v>
      </c>
      <c r="R166" s="17">
        <f>-_xlfn.XLOOKUP($C166,TB_NG!$E:$E,TB_NG!T:T)</f>
        <v>0.01</v>
      </c>
      <c r="S166" s="17">
        <f>-_xlfn.XLOOKUP($C166,TB_NG!$E:$E,TB_NG!U:U)</f>
        <v>-0.01</v>
      </c>
      <c r="T166" s="17">
        <f>-_xlfn.XLOOKUP($C166,TB_NG!$E:$E,TB_NG!V:V)</f>
        <v>0</v>
      </c>
      <c r="U166" s="17">
        <f>-_xlfn.XLOOKUP($C166,TB_NG!$E:$E,TB_NG!W:W)</f>
        <v>0</v>
      </c>
      <c r="V166" s="17">
        <f>-_xlfn.XLOOKUP($C166,TB_NG!$E:$E,TB_NG!X:X)</f>
        <v>0</v>
      </c>
      <c r="W166" s="17">
        <f>-_xlfn.XLOOKUP($C166,TB_NG!$E:$E,TB_NG!Y:Y)</f>
        <v>0</v>
      </c>
      <c r="X166" s="17">
        <f>-_xlfn.XLOOKUP($C166,TB_NG!$E:$E,TB_NG!Z:Z)</f>
        <v>-9.9999999999999985E-3</v>
      </c>
      <c r="Y166" s="17">
        <f>-_xlfn.XLOOKUP($C166,TB_NG!$E:$E,TB_NG!AA:AA)</f>
        <v>2.0000000000000004E-2</v>
      </c>
      <c r="Z166" s="17">
        <f>-_xlfn.XLOOKUP($C166,TB_NG!$E:$E,TB_NG!AB:AB)</f>
        <v>9.9999999999999985E-3</v>
      </c>
      <c r="AA166" s="17">
        <f>-_xlfn.XLOOKUP($C166,TB_NG!$E:$E,TB_NG!AC:AC)</f>
        <v>0</v>
      </c>
      <c r="AB166" s="17">
        <f>-_xlfn.XLOOKUP($C166,TB_NG!$E:$E,TB_NG!AD:AD)</f>
        <v>-1.9999999999999997E-2</v>
      </c>
      <c r="AC166" s="17">
        <f>-_xlfn.XLOOKUP($C166,TB_NG!$E:$E,TB_NG!AE:AE)</f>
        <v>1.9999999999999997E-2</v>
      </c>
      <c r="AD166" s="17">
        <f>-_xlfn.XLOOKUP($C166,TB_NG!$E:$E,TB_NG!AF:AF)</f>
        <v>-9.9999999999999985E-3</v>
      </c>
      <c r="AE166" s="17">
        <f>-_xlfn.XLOOKUP($C166,TB_NG!$E:$E,TB_NG!AG:AG)</f>
        <v>-2877727.04</v>
      </c>
      <c r="AF166" s="17">
        <f>-_xlfn.XLOOKUP($C166,TB_NG!$E:$E,TB_NG!AH:AH)</f>
        <v>0</v>
      </c>
      <c r="AG166" s="17">
        <f>-_xlfn.XLOOKUP($C166,TB_NG!$E:$E,TB_NG!AI:AI)</f>
        <v>0</v>
      </c>
      <c r="AH166" s="17">
        <f>-_xlfn.XLOOKUP($C166,TB_NG!$E:$E,TB_NG!AJ:AJ)</f>
        <v>0</v>
      </c>
      <c r="AI166" s="17">
        <f>-_xlfn.XLOOKUP($C166,TB_NG!$E:$E,TB_NG!AK:AK)</f>
        <v>0</v>
      </c>
      <c r="AJ166" s="17">
        <f>-_xlfn.XLOOKUP($C166,TB_NG!$E:$E,TB_NG!AL:AL)</f>
        <v>0</v>
      </c>
      <c r="AK166" s="17">
        <f>-_xlfn.XLOOKUP($C166,TB_NG!$E:$E,TB_NG!AM:AM)</f>
        <v>0</v>
      </c>
      <c r="AL166" s="17">
        <f>-_xlfn.XLOOKUP($C166,TB_NG!$E:$E,TB_NG!AN:AN)</f>
        <v>0</v>
      </c>
      <c r="AM166" s="17">
        <f>-_xlfn.XLOOKUP($C166,TB_NG!$E:$E,TB_NG!AO:AO)</f>
        <v>0</v>
      </c>
      <c r="AS166" s="17">
        <f>SUM(D166:O166)</f>
        <v>-2.3500000000186265</v>
      </c>
      <c r="AT166" s="17">
        <f>SUM(P166:AA166)</f>
        <v>0.06</v>
      </c>
    </row>
    <row r="167" spans="2:48" x14ac:dyDescent="0.2">
      <c r="B167" s="21"/>
      <c r="C167" s="22" t="s">
        <v>144</v>
      </c>
      <c r="D167" s="23">
        <f>SUM(D164:D166)</f>
        <v>0</v>
      </c>
      <c r="E167" s="23">
        <f t="shared" ref="E167:AM167" si="27">SUM(E164:E166)</f>
        <v>-0.01</v>
      </c>
      <c r="F167" s="23">
        <f t="shared" si="27"/>
        <v>0</v>
      </c>
      <c r="G167" s="23">
        <f t="shared" si="27"/>
        <v>0.01</v>
      </c>
      <c r="H167" s="23">
        <f t="shared" si="27"/>
        <v>0.01</v>
      </c>
      <c r="I167" s="23">
        <f t="shared" si="27"/>
        <v>-2.0000000018626451E-2</v>
      </c>
      <c r="J167" s="23">
        <f t="shared" si="27"/>
        <v>0</v>
      </c>
      <c r="K167" s="23">
        <f t="shared" si="27"/>
        <v>-0.01</v>
      </c>
      <c r="L167" s="23">
        <f t="shared" si="27"/>
        <v>-0.03</v>
      </c>
      <c r="M167" s="23">
        <f t="shared" si="27"/>
        <v>-2.3199999999999998</v>
      </c>
      <c r="N167" s="23">
        <f t="shared" si="27"/>
        <v>0.01</v>
      </c>
      <c r="O167" s="23">
        <f t="shared" si="27"/>
        <v>-10024754.6</v>
      </c>
      <c r="P167" s="23">
        <f t="shared" si="27"/>
        <v>0.02</v>
      </c>
      <c r="Q167" s="23">
        <f t="shared" si="27"/>
        <v>0.02</v>
      </c>
      <c r="R167" s="23">
        <f t="shared" si="27"/>
        <v>0.01</v>
      </c>
      <c r="S167" s="23">
        <f t="shared" si="27"/>
        <v>-0.01</v>
      </c>
      <c r="T167" s="23">
        <f t="shared" si="27"/>
        <v>0</v>
      </c>
      <c r="U167" s="23">
        <f t="shared" si="27"/>
        <v>0</v>
      </c>
      <c r="V167" s="23">
        <f t="shared" si="27"/>
        <v>0</v>
      </c>
      <c r="W167" s="23">
        <f t="shared" si="27"/>
        <v>0</v>
      </c>
      <c r="X167" s="23">
        <f t="shared" si="27"/>
        <v>-9.9999999999999985E-3</v>
      </c>
      <c r="Y167" s="23">
        <f t="shared" si="27"/>
        <v>-199.98</v>
      </c>
      <c r="Z167" s="23">
        <f t="shared" si="27"/>
        <v>9.9999999999999985E-3</v>
      </c>
      <c r="AA167" s="23">
        <f t="shared" si="27"/>
        <v>0</v>
      </c>
      <c r="AB167" s="23">
        <f t="shared" si="27"/>
        <v>-1.9999999999999997E-2</v>
      </c>
      <c r="AC167" s="23">
        <f t="shared" si="27"/>
        <v>1.9999999999999997E-2</v>
      </c>
      <c r="AD167" s="23">
        <f t="shared" si="27"/>
        <v>-9.9999999999999985E-3</v>
      </c>
      <c r="AE167" s="23">
        <f t="shared" si="27"/>
        <v>-2877727.04</v>
      </c>
      <c r="AF167" s="23">
        <f t="shared" si="27"/>
        <v>0</v>
      </c>
      <c r="AG167" s="23">
        <f t="shared" si="27"/>
        <v>0</v>
      </c>
      <c r="AH167" s="23">
        <f t="shared" si="27"/>
        <v>0</v>
      </c>
      <c r="AI167" s="23">
        <f t="shared" si="27"/>
        <v>0</v>
      </c>
      <c r="AJ167" s="23">
        <f t="shared" si="27"/>
        <v>0</v>
      </c>
      <c r="AK167" s="23">
        <f t="shared" si="27"/>
        <v>0</v>
      </c>
      <c r="AL167" s="23">
        <f t="shared" si="27"/>
        <v>0</v>
      </c>
      <c r="AM167" s="23">
        <f t="shared" si="27"/>
        <v>0</v>
      </c>
      <c r="AS167" s="23">
        <f>SUM(D167:O167)</f>
        <v>-10024756.959999999</v>
      </c>
      <c r="AT167" s="23">
        <f>SUM(P167:AA167)</f>
        <v>-199.94</v>
      </c>
    </row>
    <row r="168" spans="2:48" x14ac:dyDescent="0.2">
      <c r="B168" s="21"/>
      <c r="C168" s="16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8"/>
    </row>
    <row r="169" spans="2:48" x14ac:dyDescent="0.2">
      <c r="B169" s="21"/>
      <c r="C169" s="16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8"/>
    </row>
    <row r="170" spans="2:48" x14ac:dyDescent="0.2">
      <c r="B170" s="21"/>
      <c r="C170" s="22" t="s">
        <v>10</v>
      </c>
      <c r="D170" s="23">
        <f>D77+D82+D99+D131+D139+D144+D149+D153+D157+D161+D167</f>
        <v>-107544656.88999999</v>
      </c>
      <c r="E170" s="23">
        <f t="shared" ref="E170:AM170" si="28">E77+E82+E99+E131+E139+E144+E149+E153+E157+E161+E167</f>
        <v>-98190212.019999996</v>
      </c>
      <c r="F170" s="23">
        <f t="shared" si="28"/>
        <v>-130647419.29000001</v>
      </c>
      <c r="G170" s="23">
        <f t="shared" si="28"/>
        <v>-140492099.21000001</v>
      </c>
      <c r="H170" s="23">
        <f t="shared" si="28"/>
        <v>-236797297.31999999</v>
      </c>
      <c r="I170" s="23">
        <f t="shared" si="28"/>
        <v>-264730279.87</v>
      </c>
      <c r="J170" s="23">
        <f t="shared" si="28"/>
        <v>-218257872.74999997</v>
      </c>
      <c r="K170" s="23">
        <f t="shared" si="28"/>
        <v>-108621235.02</v>
      </c>
      <c r="L170" s="23">
        <f t="shared" si="28"/>
        <v>-61752846.639999986</v>
      </c>
      <c r="M170" s="23">
        <f t="shared" si="28"/>
        <v>-435698653.44</v>
      </c>
      <c r="N170" s="23">
        <f t="shared" si="28"/>
        <v>-410784296.5999999</v>
      </c>
      <c r="O170" s="23">
        <f t="shared" si="28"/>
        <v>-523025432.40999997</v>
      </c>
      <c r="P170" s="23">
        <f t="shared" si="28"/>
        <v>-192830258.64999995</v>
      </c>
      <c r="Q170" s="23">
        <f t="shared" si="28"/>
        <v>-219324310.40000001</v>
      </c>
      <c r="R170" s="23">
        <f t="shared" si="28"/>
        <v>-190667812.42999995</v>
      </c>
      <c r="S170" s="23">
        <f t="shared" si="28"/>
        <v>-96908035.590000048</v>
      </c>
      <c r="T170" s="23">
        <f t="shared" si="28"/>
        <v>-391449552.38999987</v>
      </c>
      <c r="U170" s="23">
        <f t="shared" si="28"/>
        <v>-322461720.42999995</v>
      </c>
      <c r="V170" s="23">
        <f t="shared" si="28"/>
        <v>-283510072.44999999</v>
      </c>
      <c r="W170" s="23">
        <f t="shared" si="28"/>
        <v>-256993233.74999997</v>
      </c>
      <c r="X170" s="23">
        <f t="shared" si="28"/>
        <v>-438384885.07999992</v>
      </c>
      <c r="Y170" s="23">
        <f t="shared" si="28"/>
        <v>-325832441.13</v>
      </c>
      <c r="Z170" s="23">
        <f t="shared" si="28"/>
        <v>-305770447.52999997</v>
      </c>
      <c r="AA170" s="23">
        <f t="shared" si="28"/>
        <v>-1035176940.5499998</v>
      </c>
      <c r="AB170" s="23">
        <f t="shared" si="28"/>
        <v>-296906335.61999995</v>
      </c>
      <c r="AC170" s="23">
        <f t="shared" si="28"/>
        <v>-275636218.04000008</v>
      </c>
      <c r="AD170" s="23">
        <f t="shared" si="28"/>
        <v>-241944459.25999999</v>
      </c>
      <c r="AE170" s="23">
        <f t="shared" si="28"/>
        <v>-239083577.35999998</v>
      </c>
      <c r="AF170" s="23">
        <f t="shared" si="28"/>
        <v>0</v>
      </c>
      <c r="AG170" s="23">
        <f t="shared" si="28"/>
        <v>0</v>
      </c>
      <c r="AH170" s="23">
        <f t="shared" si="28"/>
        <v>0</v>
      </c>
      <c r="AI170" s="23">
        <f t="shared" si="28"/>
        <v>0</v>
      </c>
      <c r="AJ170" s="23">
        <f t="shared" si="28"/>
        <v>0</v>
      </c>
      <c r="AK170" s="23">
        <f t="shared" si="28"/>
        <v>0</v>
      </c>
      <c r="AL170" s="23">
        <f t="shared" si="28"/>
        <v>0</v>
      </c>
      <c r="AM170" s="23">
        <f t="shared" si="28"/>
        <v>0</v>
      </c>
      <c r="AS170" s="23">
        <f>SUM(D170:O170)</f>
        <v>-2736542301.4599996</v>
      </c>
      <c r="AT170" s="23">
        <f>SUM(P170:AA170)</f>
        <v>-4059309710.3799996</v>
      </c>
      <c r="AU170" s="380">
        <v>4271563913.29</v>
      </c>
      <c r="AV170" s="200">
        <f>AT170+AU170</f>
        <v>212254202.91000032</v>
      </c>
    </row>
    <row r="171" spans="2:48" x14ac:dyDescent="0.2">
      <c r="B171" s="21"/>
      <c r="C171" s="16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8"/>
    </row>
    <row r="172" spans="2:48" x14ac:dyDescent="0.2">
      <c r="B172" s="21"/>
      <c r="C172" s="16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8"/>
    </row>
    <row r="173" spans="2:48" s="27" customFormat="1" x14ac:dyDescent="0.2">
      <c r="B173" s="24"/>
      <c r="C173" s="25" t="s">
        <v>12</v>
      </c>
      <c r="D173" s="26">
        <f>D44+D54+D170</f>
        <v>-15579923.589999974</v>
      </c>
      <c r="E173" s="26">
        <f t="shared" ref="E173:AM173" si="29">E44+E54+E170</f>
        <v>318256023.06</v>
      </c>
      <c r="F173" s="26">
        <f t="shared" si="29"/>
        <v>266054501.49999994</v>
      </c>
      <c r="G173" s="26">
        <f t="shared" si="29"/>
        <v>246566782.67999998</v>
      </c>
      <c r="H173" s="26">
        <f t="shared" si="29"/>
        <v>-204156689.63999993</v>
      </c>
      <c r="I173" s="26">
        <f t="shared" si="29"/>
        <v>-85854728.899999976</v>
      </c>
      <c r="J173" s="26">
        <f t="shared" si="29"/>
        <v>-36375487.299999952</v>
      </c>
      <c r="K173" s="26">
        <f t="shared" si="29"/>
        <v>81064799.750000045</v>
      </c>
      <c r="L173" s="26">
        <f t="shared" si="29"/>
        <v>-17217919.219999976</v>
      </c>
      <c r="M173" s="26">
        <f t="shared" si="29"/>
        <v>-263066688.88999999</v>
      </c>
      <c r="N173" s="26">
        <f t="shared" si="29"/>
        <v>-230003602.5999999</v>
      </c>
      <c r="O173" s="26">
        <f t="shared" si="29"/>
        <v>8624968.4599999785</v>
      </c>
      <c r="P173" s="26">
        <f t="shared" si="29"/>
        <v>-12732058.159999967</v>
      </c>
      <c r="Q173" s="26">
        <f t="shared" si="29"/>
        <v>-43419967.599999994</v>
      </c>
      <c r="R173" s="26">
        <f t="shared" si="29"/>
        <v>3534351.5900000632</v>
      </c>
      <c r="S173" s="26">
        <f t="shared" si="29"/>
        <v>117965442.50999998</v>
      </c>
      <c r="T173" s="26">
        <f t="shared" si="29"/>
        <v>-261622855.62999988</v>
      </c>
      <c r="U173" s="26">
        <f t="shared" si="29"/>
        <v>-243717528.53999993</v>
      </c>
      <c r="V173" s="26">
        <f t="shared" si="29"/>
        <v>-156725270.39999998</v>
      </c>
      <c r="W173" s="26">
        <f t="shared" si="29"/>
        <v>-31348020.619999975</v>
      </c>
      <c r="X173" s="26">
        <f t="shared" si="29"/>
        <v>-128990947.76999992</v>
      </c>
      <c r="Y173" s="26">
        <f t="shared" si="29"/>
        <v>369770434.69000006</v>
      </c>
      <c r="Z173" s="26">
        <f t="shared" si="29"/>
        <v>-29786941.679999948</v>
      </c>
      <c r="AA173" s="26">
        <f t="shared" si="29"/>
        <v>-734697753.78999984</v>
      </c>
      <c r="AB173" s="26">
        <f t="shared" si="29"/>
        <v>269430602.66000015</v>
      </c>
      <c r="AC173" s="26">
        <f t="shared" si="29"/>
        <v>363489881.61000001</v>
      </c>
      <c r="AD173" s="26">
        <f t="shared" si="29"/>
        <v>146966026.5</v>
      </c>
      <c r="AE173" s="26">
        <f t="shared" si="29"/>
        <v>97400895.539999992</v>
      </c>
      <c r="AF173" s="26">
        <f t="shared" si="29"/>
        <v>0</v>
      </c>
      <c r="AG173" s="26">
        <f t="shared" si="29"/>
        <v>0</v>
      </c>
      <c r="AH173" s="26">
        <f t="shared" si="29"/>
        <v>0</v>
      </c>
      <c r="AI173" s="26">
        <f t="shared" si="29"/>
        <v>0</v>
      </c>
      <c r="AJ173" s="26">
        <f t="shared" si="29"/>
        <v>0</v>
      </c>
      <c r="AK173" s="26">
        <f t="shared" si="29"/>
        <v>0</v>
      </c>
      <c r="AL173" s="26">
        <f t="shared" si="29"/>
        <v>0</v>
      </c>
      <c r="AM173" s="26">
        <f t="shared" si="29"/>
        <v>0</v>
      </c>
      <c r="AS173" s="26">
        <f>AS44+AS54+AS170</f>
        <v>68312035.31000042</v>
      </c>
      <c r="AT173" s="26">
        <f>AT44+AT54+AT170</f>
        <v>-1151771115.3999996</v>
      </c>
    </row>
    <row r="174" spans="2:48" s="31" customFormat="1" x14ac:dyDescent="0.2">
      <c r="B174" s="28"/>
      <c r="C174" s="29" t="s">
        <v>145</v>
      </c>
      <c r="D174" s="30">
        <f>D173/D19</f>
        <v>-8.8941236193319298E-2</v>
      </c>
      <c r="E174" s="30">
        <f t="shared" ref="E174:AM174" si="30">E173/E19</f>
        <v>0.61381395506214254</v>
      </c>
      <c r="F174" s="30">
        <f t="shared" si="30"/>
        <v>0.50483360817514655</v>
      </c>
      <c r="G174" s="30">
        <f t="shared" si="30"/>
        <v>0.45505471761816713</v>
      </c>
      <c r="H174" s="30">
        <f t="shared" si="30"/>
        <v>-0.98756281539436186</v>
      </c>
      <c r="I174" s="30">
        <f t="shared" si="30"/>
        <v>-0.39124476092007116</v>
      </c>
      <c r="J174" s="30">
        <f t="shared" si="30"/>
        <v>-0.17010702933803551</v>
      </c>
      <c r="K174" s="30">
        <f t="shared" si="30"/>
        <v>0.25882391390221632</v>
      </c>
      <c r="L174" s="30">
        <f t="shared" si="30"/>
        <v>-0.14133875885678054</v>
      </c>
      <c r="M174" s="30">
        <f t="shared" si="30"/>
        <v>-1.5173038698767773</v>
      </c>
      <c r="N174" s="30">
        <f t="shared" si="30"/>
        <v>-1.0132679105003488</v>
      </c>
      <c r="O174" s="30">
        <f t="shared" si="30"/>
        <v>1.4562856758225846E-2</v>
      </c>
      <c r="P174" s="30">
        <f t="shared" si="30"/>
        <v>-5.9699633828843419E-2</v>
      </c>
      <c r="Q174" s="30">
        <f t="shared" si="30"/>
        <v>-0.2203514813074603</v>
      </c>
      <c r="R174" s="30">
        <f t="shared" si="30"/>
        <v>1.5891651825485683E-2</v>
      </c>
      <c r="S174" s="30">
        <f t="shared" si="30"/>
        <v>0.48605412762169364</v>
      </c>
      <c r="T174" s="30">
        <f t="shared" si="30"/>
        <v>-1.4993387209293918</v>
      </c>
      <c r="U174" s="30">
        <f t="shared" si="30"/>
        <v>-2.0353733931752811</v>
      </c>
      <c r="V174" s="30">
        <f t="shared" si="30"/>
        <v>-0.74929179916742161</v>
      </c>
      <c r="W174" s="30">
        <f t="shared" si="30"/>
        <v>-0.17038031702411771</v>
      </c>
      <c r="X174" s="30">
        <f t="shared" si="30"/>
        <v>-0.32151586931326515</v>
      </c>
      <c r="Y174" s="30">
        <f t="shared" si="30"/>
        <v>0.48976010995672437</v>
      </c>
      <c r="Z174" s="30">
        <f t="shared" si="30"/>
        <v>-9.231477156724599E-2</v>
      </c>
      <c r="AA174" s="30">
        <f t="shared" si="30"/>
        <v>-2.3537688522486073</v>
      </c>
      <c r="AB174" s="30">
        <f t="shared" si="30"/>
        <v>0.37791495891472532</v>
      </c>
      <c r="AC174" s="30">
        <f t="shared" si="30"/>
        <v>0.48004906889037302</v>
      </c>
      <c r="AD174" s="30">
        <f t="shared" si="30"/>
        <v>0.26764038456659828</v>
      </c>
      <c r="AE174" s="30">
        <f t="shared" si="30"/>
        <v>0.28278908218580445</v>
      </c>
      <c r="AF174" s="30" t="e">
        <f t="shared" si="30"/>
        <v>#DIV/0!</v>
      </c>
      <c r="AG174" s="30" t="e">
        <f t="shared" si="30"/>
        <v>#DIV/0!</v>
      </c>
      <c r="AH174" s="30" t="e">
        <f t="shared" si="30"/>
        <v>#DIV/0!</v>
      </c>
      <c r="AI174" s="30" t="e">
        <f t="shared" si="30"/>
        <v>#DIV/0!</v>
      </c>
      <c r="AJ174" s="30" t="e">
        <f t="shared" si="30"/>
        <v>#DIV/0!</v>
      </c>
      <c r="AK174" s="30" t="e">
        <f t="shared" si="30"/>
        <v>#DIV/0!</v>
      </c>
      <c r="AL174" s="30" t="e">
        <f t="shared" si="30"/>
        <v>#DIV/0!</v>
      </c>
      <c r="AM174" s="30" t="e">
        <f t="shared" si="30"/>
        <v>#DIV/0!</v>
      </c>
      <c r="AS174" s="30">
        <f>AS173/AS19</f>
        <v>1.7835233415423344E-2</v>
      </c>
      <c r="AT174" s="30">
        <f>AT173/AT19</f>
        <v>-0.34342170153836449</v>
      </c>
    </row>
    <row r="175" spans="2:48" x14ac:dyDescent="0.2">
      <c r="B175" s="21"/>
      <c r="C175" s="16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8"/>
    </row>
    <row r="176" spans="2:48" x14ac:dyDescent="0.2">
      <c r="B176" s="21"/>
      <c r="C176" s="20" t="s">
        <v>146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8"/>
    </row>
    <row r="177" spans="2:46" x14ac:dyDescent="0.2">
      <c r="B177" s="21">
        <v>64000</v>
      </c>
      <c r="C177" s="16" t="str">
        <f>_xlfn.XLOOKUP(B177,TB_NG!A:A,TB_NG!E:E)</f>
        <v>Depreciation Expense</v>
      </c>
      <c r="D177" s="17">
        <f>-_xlfn.XLOOKUP($C177,TB_NG!$E:$E,TB_NG!F:F)</f>
        <v>-2883128.57</v>
      </c>
      <c r="E177" s="17">
        <f>-_xlfn.XLOOKUP($C177,TB_NG!$E:$E,TB_NG!G:G)</f>
        <v>-2813461.9</v>
      </c>
      <c r="F177" s="17">
        <f>-_xlfn.XLOOKUP($C177,TB_NG!$E:$E,TB_NG!H:H)</f>
        <v>-2791403.98</v>
      </c>
      <c r="G177" s="17">
        <f>-_xlfn.XLOOKUP($C177,TB_NG!$E:$E,TB_NG!I:I)</f>
        <v>-2745466.48</v>
      </c>
      <c r="H177" s="17">
        <f>-_xlfn.XLOOKUP($C177,TB_NG!$E:$E,TB_NG!J:J)</f>
        <v>-2852194.03</v>
      </c>
      <c r="I177" s="17">
        <f>-_xlfn.XLOOKUP($C177,TB_NG!$E:$E,TB_NG!K:K)</f>
        <v>-3230819.9499999997</v>
      </c>
      <c r="J177" s="17">
        <f>-_xlfn.XLOOKUP($C177,TB_NG!$E:$E,TB_NG!L:L)</f>
        <v>-3043818.66</v>
      </c>
      <c r="K177" s="17">
        <f>-_xlfn.XLOOKUP($C177,TB_NG!$E:$E,TB_NG!M:M)</f>
        <v>-3039369.57</v>
      </c>
      <c r="L177" s="17">
        <f>-_xlfn.XLOOKUP($C177,TB_NG!$E:$E,TB_NG!N:N)</f>
        <v>-2994568</v>
      </c>
      <c r="M177" s="17">
        <f>-_xlfn.XLOOKUP($C177,TB_NG!$E:$E,TB_NG!O:O)</f>
        <v>-3160589.24</v>
      </c>
      <c r="N177" s="17">
        <f>-_xlfn.XLOOKUP($C177,TB_NG!$E:$E,TB_NG!P:P)</f>
        <v>-3285791.74</v>
      </c>
      <c r="O177" s="17">
        <f>-_xlfn.XLOOKUP($C177,TB_NG!$E:$E,TB_NG!Q:Q)</f>
        <v>-3276205.1799999997</v>
      </c>
      <c r="P177" s="17">
        <f>-_xlfn.XLOOKUP($C177,TB_NG!$E:$E,TB_NG!R:R)</f>
        <v>-3341974.37</v>
      </c>
      <c r="Q177" s="17">
        <f>-_xlfn.XLOOKUP($C177,TB_NG!$E:$E,TB_NG!S:S)</f>
        <v>-3607521.06</v>
      </c>
      <c r="R177" s="17">
        <f>-_xlfn.XLOOKUP($C177,TB_NG!$E:$E,TB_NG!T:T)</f>
        <v>-3635055.08</v>
      </c>
      <c r="S177" s="17">
        <f>-_xlfn.XLOOKUP($C177,TB_NG!$E:$E,TB_NG!U:U)</f>
        <v>-3628722.89</v>
      </c>
      <c r="T177" s="17">
        <f>-_xlfn.XLOOKUP($C177,TB_NG!$E:$E,TB_NG!V:V)</f>
        <v>-3636404.55</v>
      </c>
      <c r="U177" s="17">
        <f>-_xlfn.XLOOKUP($C177,TB_NG!$E:$E,TB_NG!W:W)</f>
        <v>-3636404.55</v>
      </c>
      <c r="V177" s="17">
        <f>-_xlfn.XLOOKUP($C177,TB_NG!$E:$E,TB_NG!X:X)</f>
        <v>-3840266.68</v>
      </c>
      <c r="W177" s="17">
        <f>-_xlfn.XLOOKUP($C177,TB_NG!$E:$E,TB_NG!Y:Y)</f>
        <v>-3973707.97</v>
      </c>
      <c r="X177" s="17">
        <f>-_xlfn.XLOOKUP($C177,TB_NG!$E:$E,TB_NG!Z:Z)</f>
        <v>-3940470.2</v>
      </c>
      <c r="Y177" s="17">
        <f>-_xlfn.XLOOKUP($C177,TB_NG!$E:$E,TB_NG!AA:AA)</f>
        <v>-3934053.53</v>
      </c>
      <c r="Z177" s="17">
        <f>-_xlfn.XLOOKUP($C177,TB_NG!$E:$E,TB_NG!AB:AB)</f>
        <v>-4149201.87</v>
      </c>
      <c r="AA177" s="17">
        <f>-_xlfn.XLOOKUP($C177,TB_NG!$E:$E,TB_NG!AC:AC)</f>
        <v>-4192185.2</v>
      </c>
      <c r="AB177" s="17">
        <f>-_xlfn.XLOOKUP($C177,TB_NG!$E:$E,TB_NG!AD:AD)</f>
        <v>-3818424.16</v>
      </c>
      <c r="AC177" s="17">
        <f>-_xlfn.XLOOKUP($C177,TB_NG!$E:$E,TB_NG!AE:AE)</f>
        <v>-3941772.06</v>
      </c>
      <c r="AD177" s="17">
        <f>-_xlfn.XLOOKUP($C177,TB_NG!$E:$E,TB_NG!AF:AF)</f>
        <v>-3724428.52</v>
      </c>
      <c r="AE177" s="17">
        <f>-_xlfn.XLOOKUP($C177,TB_NG!$E:$E,TB_NG!AG:AG)</f>
        <v>-3945532.69</v>
      </c>
      <c r="AF177" s="17">
        <f>-_xlfn.XLOOKUP($C177,TB_NG!$E:$E,TB_NG!AH:AH)</f>
        <v>0</v>
      </c>
      <c r="AG177" s="17">
        <f>-_xlfn.XLOOKUP($C177,TB_NG!$E:$E,TB_NG!AI:AI)</f>
        <v>0</v>
      </c>
      <c r="AH177" s="17">
        <f>-_xlfn.XLOOKUP($C177,TB_NG!$E:$E,TB_NG!AJ:AJ)</f>
        <v>0</v>
      </c>
      <c r="AI177" s="17">
        <f>-_xlfn.XLOOKUP($C177,TB_NG!$E:$E,TB_NG!AK:AK)</f>
        <v>0</v>
      </c>
      <c r="AJ177" s="17">
        <f>-_xlfn.XLOOKUP($C177,TB_NG!$E:$E,TB_NG!AL:AL)</f>
        <v>0</v>
      </c>
      <c r="AK177" s="17">
        <f>-_xlfn.XLOOKUP($C177,TB_NG!$E:$E,TB_NG!AM:AM)</f>
        <v>0</v>
      </c>
      <c r="AL177" s="17">
        <f>-_xlfn.XLOOKUP($C177,TB_NG!$E:$E,TB_NG!AN:AN)</f>
        <v>0</v>
      </c>
      <c r="AM177" s="17">
        <f>-_xlfn.XLOOKUP($C177,TB_NG!$E:$E,TB_NG!AO:AO)</f>
        <v>0</v>
      </c>
      <c r="AS177" s="17">
        <f>SUM(D177:O177)</f>
        <v>-36116817.300000004</v>
      </c>
      <c r="AT177" s="17">
        <f>SUM(P177:AA177)</f>
        <v>-45515967.949999996</v>
      </c>
    </row>
    <row r="178" spans="2:46" x14ac:dyDescent="0.2">
      <c r="B178" s="21">
        <v>69901</v>
      </c>
      <c r="C178" s="16" t="str">
        <f>_xlfn.XLOOKUP(B178,TB_NG!A:A,TB_NG!E:E)</f>
        <v>Amortization Expense</v>
      </c>
      <c r="D178" s="17">
        <f>-_xlfn.XLOOKUP($C178,TB_NG!$E:$E,TB_NG!F:F)</f>
        <v>0</v>
      </c>
      <c r="E178" s="17">
        <f>-_xlfn.XLOOKUP($C178,TB_NG!$E:$E,TB_NG!G:G)</f>
        <v>-278799.92</v>
      </c>
      <c r="F178" s="17">
        <f>-_xlfn.XLOOKUP($C178,TB_NG!$E:$E,TB_NG!H:H)</f>
        <v>0</v>
      </c>
      <c r="G178" s="17">
        <f>-_xlfn.XLOOKUP($C178,TB_NG!$E:$E,TB_NG!I:I)</f>
        <v>278799.93</v>
      </c>
      <c r="H178" s="17">
        <f>-_xlfn.XLOOKUP($C178,TB_NG!$E:$E,TB_NG!J:J)</f>
        <v>0</v>
      </c>
      <c r="I178" s="17">
        <f>-_xlfn.XLOOKUP($C178,TB_NG!$E:$E,TB_NG!K:K)</f>
        <v>0</v>
      </c>
      <c r="J178" s="17">
        <f>-_xlfn.XLOOKUP($C178,TB_NG!$E:$E,TB_NG!L:L)</f>
        <v>0</v>
      </c>
      <c r="K178" s="17">
        <f>-_xlfn.XLOOKUP($C178,TB_NG!$E:$E,TB_NG!M:M)</f>
        <v>-1201076.6599999999</v>
      </c>
      <c r="L178" s="17">
        <f>-_xlfn.XLOOKUP($C178,TB_NG!$E:$E,TB_NG!N:N)</f>
        <v>-1201076.6599999999</v>
      </c>
      <c r="M178" s="17">
        <f>-_xlfn.XLOOKUP($C178,TB_NG!$E:$E,TB_NG!O:O)</f>
        <v>-1201076.6599999999</v>
      </c>
      <c r="N178" s="17">
        <f>-_xlfn.XLOOKUP($C178,TB_NG!$E:$E,TB_NG!P:P)</f>
        <v>-1201076.6599999999</v>
      </c>
      <c r="O178" s="17">
        <f>-_xlfn.XLOOKUP($C178,TB_NG!$E:$E,TB_NG!Q:Q)</f>
        <v>-1201076.6599999999</v>
      </c>
      <c r="P178" s="17">
        <f>-_xlfn.XLOOKUP($C178,TB_NG!$E:$E,TB_NG!R:R)</f>
        <v>-1201076.6599999999</v>
      </c>
      <c r="Q178" s="17">
        <f>-_xlfn.XLOOKUP($C178,TB_NG!$E:$E,TB_NG!S:S)</f>
        <v>-1201076.6599999999</v>
      </c>
      <c r="R178" s="17">
        <f>-_xlfn.XLOOKUP($C178,TB_NG!$E:$E,TB_NG!T:T)</f>
        <v>-1201076.6599999999</v>
      </c>
      <c r="S178" s="17">
        <f>-_xlfn.XLOOKUP($C178,TB_NG!$E:$E,TB_NG!U:U)</f>
        <v>-1201076.6599999999</v>
      </c>
      <c r="T178" s="17">
        <f>-_xlfn.XLOOKUP($C178,TB_NG!$E:$E,TB_NG!V:V)</f>
        <v>-1201076.6599999999</v>
      </c>
      <c r="U178" s="17">
        <f>-_xlfn.XLOOKUP($C178,TB_NG!$E:$E,TB_NG!W:W)</f>
        <v>-1201076.6599999999</v>
      </c>
      <c r="V178" s="17">
        <f>-_xlfn.XLOOKUP($C178,TB_NG!$E:$E,TB_NG!X:X)</f>
        <v>-3630697.14</v>
      </c>
      <c r="W178" s="17">
        <f>-_xlfn.XLOOKUP($C178,TB_NG!$E:$E,TB_NG!Y:Y)</f>
        <v>-2415886.9</v>
      </c>
      <c r="X178" s="17">
        <f>-_xlfn.XLOOKUP($C178,TB_NG!$E:$E,TB_NG!Z:Z)</f>
        <v>-2415886.9</v>
      </c>
      <c r="Y178" s="17">
        <f>-_xlfn.XLOOKUP($C178,TB_NG!$E:$E,TB_NG!AA:AA)</f>
        <v>-2415886.9</v>
      </c>
      <c r="Z178" s="17">
        <f>-_xlfn.XLOOKUP($C178,TB_NG!$E:$E,TB_NG!AB:AB)</f>
        <v>-2415886.9</v>
      </c>
      <c r="AA178" s="17">
        <f>-_xlfn.XLOOKUP($C178,TB_NG!$E:$E,TB_NG!AC:AC)</f>
        <v>-2415886.9</v>
      </c>
      <c r="AB178" s="17">
        <f>-_xlfn.XLOOKUP($C178,TB_NG!$E:$E,TB_NG!AD:AD)</f>
        <v>-8357590.9900000002</v>
      </c>
      <c r="AC178" s="17">
        <f>-_xlfn.XLOOKUP($C178,TB_NG!$E:$E,TB_NG!AE:AE)</f>
        <v>-8357590.9900000002</v>
      </c>
      <c r="AD178" s="17">
        <f>-_xlfn.XLOOKUP($C178,TB_NG!$E:$E,TB_NG!AF:AF)</f>
        <v>-8357590.9900000002</v>
      </c>
      <c r="AE178" s="17">
        <f>-_xlfn.XLOOKUP($C178,TB_NG!$E:$E,TB_NG!AG:AG)</f>
        <v>-8357590.9900000002</v>
      </c>
      <c r="AF178" s="17">
        <f>-_xlfn.XLOOKUP($C178,TB_NG!$E:$E,TB_NG!AH:AH)</f>
        <v>0</v>
      </c>
      <c r="AG178" s="17">
        <f>-_xlfn.XLOOKUP($C178,TB_NG!$E:$E,TB_NG!AI:AI)</f>
        <v>0</v>
      </c>
      <c r="AH178" s="17">
        <f>-_xlfn.XLOOKUP($C178,TB_NG!$E:$E,TB_NG!AJ:AJ)</f>
        <v>0</v>
      </c>
      <c r="AI178" s="17">
        <f>-_xlfn.XLOOKUP($C178,TB_NG!$E:$E,TB_NG!AK:AK)</f>
        <v>0</v>
      </c>
      <c r="AJ178" s="17">
        <f>-_xlfn.XLOOKUP($C178,TB_NG!$E:$E,TB_NG!AL:AL)</f>
        <v>0</v>
      </c>
      <c r="AK178" s="17">
        <f>-_xlfn.XLOOKUP($C178,TB_NG!$E:$E,TB_NG!AM:AM)</f>
        <v>0</v>
      </c>
      <c r="AL178" s="17">
        <f>-_xlfn.XLOOKUP($C178,TB_NG!$E:$E,TB_NG!AN:AN)</f>
        <v>0</v>
      </c>
      <c r="AM178" s="17">
        <f>-_xlfn.XLOOKUP($C178,TB_NG!$E:$E,TB_NG!AO:AO)</f>
        <v>0</v>
      </c>
      <c r="AS178" s="17">
        <f>SUM(D178:O178)</f>
        <v>-6005383.29</v>
      </c>
      <c r="AT178" s="17">
        <f>SUM(P178:AA178)</f>
        <v>-22916591.599999998</v>
      </c>
    </row>
    <row r="179" spans="2:46" x14ac:dyDescent="0.2">
      <c r="B179" s="21"/>
      <c r="C179" s="22" t="s">
        <v>13</v>
      </c>
      <c r="D179" s="23">
        <f>SUM(D177:D178)</f>
        <v>-2883128.57</v>
      </c>
      <c r="E179" s="23">
        <f t="shared" ref="E179:AM179" si="31">SUM(E177:E178)</f>
        <v>-3092261.82</v>
      </c>
      <c r="F179" s="23">
        <f t="shared" si="31"/>
        <v>-2791403.98</v>
      </c>
      <c r="G179" s="23">
        <f t="shared" si="31"/>
        <v>-2466666.5499999998</v>
      </c>
      <c r="H179" s="23">
        <f t="shared" si="31"/>
        <v>-2852194.03</v>
      </c>
      <c r="I179" s="23">
        <f t="shared" si="31"/>
        <v>-3230819.9499999997</v>
      </c>
      <c r="J179" s="23">
        <f t="shared" si="31"/>
        <v>-3043818.66</v>
      </c>
      <c r="K179" s="23">
        <f t="shared" si="31"/>
        <v>-4240446.2299999995</v>
      </c>
      <c r="L179" s="23">
        <f t="shared" si="31"/>
        <v>-4195644.66</v>
      </c>
      <c r="M179" s="23">
        <f t="shared" si="31"/>
        <v>-4361665.9000000004</v>
      </c>
      <c r="N179" s="23">
        <f t="shared" si="31"/>
        <v>-4486868.4000000004</v>
      </c>
      <c r="O179" s="23">
        <f t="shared" si="31"/>
        <v>-4477281.84</v>
      </c>
      <c r="P179" s="23">
        <f t="shared" si="31"/>
        <v>-4543051.03</v>
      </c>
      <c r="Q179" s="23">
        <f t="shared" si="31"/>
        <v>-4808597.72</v>
      </c>
      <c r="R179" s="23">
        <f t="shared" si="31"/>
        <v>-4836131.74</v>
      </c>
      <c r="S179" s="23">
        <f t="shared" si="31"/>
        <v>-4829799.55</v>
      </c>
      <c r="T179" s="23">
        <f t="shared" si="31"/>
        <v>-4837481.21</v>
      </c>
      <c r="U179" s="23">
        <f t="shared" si="31"/>
        <v>-4837481.21</v>
      </c>
      <c r="V179" s="23">
        <f t="shared" si="31"/>
        <v>-7470963.8200000003</v>
      </c>
      <c r="W179" s="23">
        <f t="shared" si="31"/>
        <v>-6389594.8700000001</v>
      </c>
      <c r="X179" s="23">
        <f t="shared" si="31"/>
        <v>-6356357.0999999996</v>
      </c>
      <c r="Y179" s="23">
        <f t="shared" si="31"/>
        <v>-6349940.4299999997</v>
      </c>
      <c r="Z179" s="23">
        <f t="shared" si="31"/>
        <v>-6565088.7699999996</v>
      </c>
      <c r="AA179" s="23">
        <f t="shared" si="31"/>
        <v>-6608072.0999999996</v>
      </c>
      <c r="AB179" s="23">
        <f t="shared" si="31"/>
        <v>-12176015.15</v>
      </c>
      <c r="AC179" s="23">
        <f t="shared" si="31"/>
        <v>-12299363.050000001</v>
      </c>
      <c r="AD179" s="23">
        <f t="shared" si="31"/>
        <v>-12082019.51</v>
      </c>
      <c r="AE179" s="23">
        <f t="shared" si="31"/>
        <v>-12303123.68</v>
      </c>
      <c r="AF179" s="23">
        <f t="shared" si="31"/>
        <v>0</v>
      </c>
      <c r="AG179" s="23">
        <f t="shared" si="31"/>
        <v>0</v>
      </c>
      <c r="AH179" s="23">
        <f t="shared" si="31"/>
        <v>0</v>
      </c>
      <c r="AI179" s="23">
        <f t="shared" si="31"/>
        <v>0</v>
      </c>
      <c r="AJ179" s="23">
        <f t="shared" si="31"/>
        <v>0</v>
      </c>
      <c r="AK179" s="23">
        <f t="shared" si="31"/>
        <v>0</v>
      </c>
      <c r="AL179" s="23">
        <f t="shared" si="31"/>
        <v>0</v>
      </c>
      <c r="AM179" s="23">
        <f t="shared" si="31"/>
        <v>0</v>
      </c>
      <c r="AS179" s="23">
        <f>SUM(D179:O179)</f>
        <v>-42122200.590000004</v>
      </c>
      <c r="AT179" s="23">
        <f>SUM(P179:AA179)</f>
        <v>-68432559.549999997</v>
      </c>
    </row>
    <row r="180" spans="2:46" x14ac:dyDescent="0.2">
      <c r="B180" s="21"/>
      <c r="C180" s="16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32"/>
    </row>
    <row r="181" spans="2:46" x14ac:dyDescent="0.2">
      <c r="B181" s="21"/>
      <c r="C181" s="16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8"/>
    </row>
    <row r="182" spans="2:46" s="27" customFormat="1" x14ac:dyDescent="0.2">
      <c r="B182" s="24"/>
      <c r="C182" s="25" t="s">
        <v>15</v>
      </c>
      <c r="D182" s="26">
        <f>D173+D179</f>
        <v>-18463052.159999974</v>
      </c>
      <c r="E182" s="26">
        <f t="shared" ref="E182:AM182" si="32">E173+E179</f>
        <v>315163761.24000001</v>
      </c>
      <c r="F182" s="26">
        <f t="shared" si="32"/>
        <v>263263097.51999995</v>
      </c>
      <c r="G182" s="26">
        <f t="shared" si="32"/>
        <v>244100116.12999997</v>
      </c>
      <c r="H182" s="26">
        <f t="shared" si="32"/>
        <v>-207008883.66999993</v>
      </c>
      <c r="I182" s="26">
        <f t="shared" si="32"/>
        <v>-89085548.849999979</v>
      </c>
      <c r="J182" s="26">
        <f t="shared" si="32"/>
        <v>-39419305.959999949</v>
      </c>
      <c r="K182" s="26">
        <f t="shared" si="32"/>
        <v>76824353.520000041</v>
      </c>
      <c r="L182" s="26">
        <f t="shared" si="32"/>
        <v>-21413563.879999977</v>
      </c>
      <c r="M182" s="26">
        <f t="shared" si="32"/>
        <v>-267428354.78999999</v>
      </c>
      <c r="N182" s="26">
        <f t="shared" si="32"/>
        <v>-234490470.99999991</v>
      </c>
      <c r="O182" s="26">
        <f t="shared" si="32"/>
        <v>4147686.6199999787</v>
      </c>
      <c r="P182" s="26">
        <f t="shared" si="32"/>
        <v>-17275109.189999968</v>
      </c>
      <c r="Q182" s="26">
        <f t="shared" si="32"/>
        <v>-48228565.319999993</v>
      </c>
      <c r="R182" s="26">
        <f t="shared" si="32"/>
        <v>-1301780.149999937</v>
      </c>
      <c r="S182" s="26">
        <f t="shared" si="32"/>
        <v>113135642.95999998</v>
      </c>
      <c r="T182" s="26">
        <f t="shared" si="32"/>
        <v>-266460336.83999988</v>
      </c>
      <c r="U182" s="26">
        <f t="shared" si="32"/>
        <v>-248555009.74999994</v>
      </c>
      <c r="V182" s="26">
        <f t="shared" si="32"/>
        <v>-164196234.21999997</v>
      </c>
      <c r="W182" s="26">
        <f t="shared" si="32"/>
        <v>-37737615.489999972</v>
      </c>
      <c r="X182" s="26">
        <f t="shared" si="32"/>
        <v>-135347304.86999992</v>
      </c>
      <c r="Y182" s="26">
        <f t="shared" si="32"/>
        <v>363420494.26000005</v>
      </c>
      <c r="Z182" s="26">
        <f t="shared" si="32"/>
        <v>-36352030.449999943</v>
      </c>
      <c r="AA182" s="26">
        <f t="shared" si="32"/>
        <v>-741305825.88999987</v>
      </c>
      <c r="AB182" s="26">
        <f t="shared" si="32"/>
        <v>257254587.51000014</v>
      </c>
      <c r="AC182" s="26">
        <f t="shared" si="32"/>
        <v>351190518.56</v>
      </c>
      <c r="AD182" s="26">
        <f t="shared" si="32"/>
        <v>134884006.99000001</v>
      </c>
      <c r="AE182" s="26">
        <f t="shared" si="32"/>
        <v>85097771.859999985</v>
      </c>
      <c r="AF182" s="26">
        <f t="shared" si="32"/>
        <v>0</v>
      </c>
      <c r="AG182" s="26">
        <f t="shared" si="32"/>
        <v>0</v>
      </c>
      <c r="AH182" s="26">
        <f t="shared" si="32"/>
        <v>0</v>
      </c>
      <c r="AI182" s="26">
        <f t="shared" si="32"/>
        <v>0</v>
      </c>
      <c r="AJ182" s="26">
        <f t="shared" si="32"/>
        <v>0</v>
      </c>
      <c r="AK182" s="26">
        <f t="shared" si="32"/>
        <v>0</v>
      </c>
      <c r="AL182" s="26">
        <f t="shared" si="32"/>
        <v>0</v>
      </c>
      <c r="AM182" s="26">
        <f t="shared" si="32"/>
        <v>0</v>
      </c>
      <c r="AS182" s="26">
        <f>AS173+AS179</f>
        <v>26189834.720000416</v>
      </c>
      <c r="AT182" s="26">
        <f>AT173+AT179</f>
        <v>-1220203674.9499996</v>
      </c>
    </row>
    <row r="183" spans="2:46" s="31" customFormat="1" x14ac:dyDescent="0.2">
      <c r="B183" s="28"/>
      <c r="C183" s="29" t="s">
        <v>147</v>
      </c>
      <c r="D183" s="30">
        <f>D182/D19</f>
        <v>-0.10540017565080591</v>
      </c>
      <c r="E183" s="30">
        <f t="shared" ref="E183:AM183" si="33">E182/E19</f>
        <v>0.60784997222979242</v>
      </c>
      <c r="F183" s="30">
        <f t="shared" si="33"/>
        <v>0.49953696957233057</v>
      </c>
      <c r="G183" s="30">
        <f t="shared" si="33"/>
        <v>0.45050232723464495</v>
      </c>
      <c r="H183" s="30">
        <f t="shared" si="33"/>
        <v>-1.0013596729515875</v>
      </c>
      <c r="I183" s="30">
        <f t="shared" si="33"/>
        <v>-0.40596778660670341</v>
      </c>
      <c r="J183" s="30">
        <f t="shared" si="33"/>
        <v>-0.18434120153828751</v>
      </c>
      <c r="K183" s="30">
        <f t="shared" si="33"/>
        <v>0.24528500560508584</v>
      </c>
      <c r="L183" s="30">
        <f t="shared" si="33"/>
        <v>-0.175780040713862</v>
      </c>
      <c r="M183" s="30">
        <f t="shared" si="33"/>
        <v>-1.5424608845375991</v>
      </c>
      <c r="N183" s="30">
        <f t="shared" si="33"/>
        <v>-1.0330345564005208</v>
      </c>
      <c r="O183" s="30">
        <f t="shared" si="33"/>
        <v>7.0031753049529123E-3</v>
      </c>
      <c r="P183" s="30">
        <f t="shared" si="33"/>
        <v>-8.1001647968932042E-2</v>
      </c>
      <c r="Q183" s="30">
        <f t="shared" si="33"/>
        <v>-0.24475457714518442</v>
      </c>
      <c r="R183" s="30">
        <f t="shared" si="33"/>
        <v>-5.8532481475978898E-3</v>
      </c>
      <c r="S183" s="30">
        <f t="shared" si="33"/>
        <v>0.46615385889118049</v>
      </c>
      <c r="T183" s="30">
        <f t="shared" si="33"/>
        <v>-1.5270619214596197</v>
      </c>
      <c r="U183" s="30">
        <f t="shared" si="33"/>
        <v>-2.0757729516469379</v>
      </c>
      <c r="V183" s="30">
        <f t="shared" si="33"/>
        <v>-0.78500991857417235</v>
      </c>
      <c r="W183" s="30">
        <f t="shared" si="33"/>
        <v>-0.20510854477422047</v>
      </c>
      <c r="X183" s="30">
        <f t="shared" si="33"/>
        <v>-0.33735938169923546</v>
      </c>
      <c r="Y183" s="30">
        <f t="shared" si="33"/>
        <v>0.48134962812406323</v>
      </c>
      <c r="Z183" s="30">
        <f t="shared" si="33"/>
        <v>-0.11266109233532166</v>
      </c>
      <c r="AA183" s="30">
        <f t="shared" si="33"/>
        <v>-2.3749392916601302</v>
      </c>
      <c r="AB183" s="30">
        <f t="shared" si="33"/>
        <v>0.36083635603989134</v>
      </c>
      <c r="AC183" s="30">
        <f t="shared" si="33"/>
        <v>0.46380570675345367</v>
      </c>
      <c r="AD183" s="30">
        <f t="shared" si="33"/>
        <v>0.24563777331686473</v>
      </c>
      <c r="AE183" s="30">
        <f t="shared" si="33"/>
        <v>0.24706878378200972</v>
      </c>
      <c r="AF183" s="30" t="e">
        <f t="shared" si="33"/>
        <v>#DIV/0!</v>
      </c>
      <c r="AG183" s="30" t="e">
        <f t="shared" si="33"/>
        <v>#DIV/0!</v>
      </c>
      <c r="AH183" s="30" t="e">
        <f t="shared" si="33"/>
        <v>#DIV/0!</v>
      </c>
      <c r="AI183" s="30" t="e">
        <f t="shared" si="33"/>
        <v>#DIV/0!</v>
      </c>
      <c r="AJ183" s="30" t="e">
        <f t="shared" si="33"/>
        <v>#DIV/0!</v>
      </c>
      <c r="AK183" s="30" t="e">
        <f t="shared" si="33"/>
        <v>#DIV/0!</v>
      </c>
      <c r="AL183" s="30" t="e">
        <f t="shared" si="33"/>
        <v>#DIV/0!</v>
      </c>
      <c r="AM183" s="30" t="e">
        <f t="shared" si="33"/>
        <v>#DIV/0!</v>
      </c>
      <c r="AS183" s="30">
        <f>AS182/AS19</f>
        <v>6.8377675064555622E-3</v>
      </c>
      <c r="AT183" s="30">
        <f>AT182/AT19</f>
        <v>-0.36382612540961662</v>
      </c>
    </row>
    <row r="184" spans="2:46" x14ac:dyDescent="0.2">
      <c r="B184" s="21"/>
      <c r="C184" s="16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8"/>
    </row>
    <row r="185" spans="2:46" x14ac:dyDescent="0.2">
      <c r="B185" s="21"/>
      <c r="C185" s="20" t="s">
        <v>148</v>
      </c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8"/>
    </row>
    <row r="186" spans="2:46" x14ac:dyDescent="0.2">
      <c r="B186" s="21">
        <v>67052</v>
      </c>
      <c r="C186" s="16" t="str">
        <f>_xlfn.XLOOKUP(B186,TB_NG!A:A,TB_NG!E:E)</f>
        <v>Interest Charges</v>
      </c>
      <c r="D186" s="17">
        <f>-_xlfn.XLOOKUP($C186,TB_NG!$E:$E,TB_NG!F:F)</f>
        <v>0</v>
      </c>
      <c r="E186" s="17">
        <f>-_xlfn.XLOOKUP($C186,TB_NG!$E:$E,TB_NG!G:G)</f>
        <v>-321442.59999999998</v>
      </c>
      <c r="F186" s="17">
        <f>-_xlfn.XLOOKUP($C186,TB_NG!$E:$E,TB_NG!H:H)</f>
        <v>-1014508.47</v>
      </c>
      <c r="G186" s="17">
        <f>-_xlfn.XLOOKUP($C186,TB_NG!$E:$E,TB_NG!I:I)</f>
        <v>0</v>
      </c>
      <c r="H186" s="17">
        <f>-_xlfn.XLOOKUP($C186,TB_NG!$E:$E,TB_NG!J:J)</f>
        <v>0</v>
      </c>
      <c r="I186" s="17">
        <f>-_xlfn.XLOOKUP($C186,TB_NG!$E:$E,TB_NG!K:K)</f>
        <v>0</v>
      </c>
      <c r="J186" s="17">
        <f>-_xlfn.XLOOKUP($C186,TB_NG!$E:$E,TB_NG!L:L)</f>
        <v>0</v>
      </c>
      <c r="K186" s="17">
        <f>-_xlfn.XLOOKUP($C186,TB_NG!$E:$E,TB_NG!M:M)</f>
        <v>0</v>
      </c>
      <c r="L186" s="17">
        <f>-_xlfn.XLOOKUP($C186,TB_NG!$E:$E,TB_NG!N:N)</f>
        <v>0</v>
      </c>
      <c r="M186" s="17">
        <f>-_xlfn.XLOOKUP($C186,TB_NG!$E:$E,TB_NG!O:O)</f>
        <v>0</v>
      </c>
      <c r="N186" s="17">
        <f>-_xlfn.XLOOKUP($C186,TB_NG!$E:$E,TB_NG!P:P)</f>
        <v>0</v>
      </c>
      <c r="O186" s="17">
        <f>-_xlfn.XLOOKUP($C186,TB_NG!$E:$E,TB_NG!Q:Q)</f>
        <v>0</v>
      </c>
      <c r="P186" s="17">
        <f>-_xlfn.XLOOKUP($C186,TB_NG!$E:$E,TB_NG!R:R)</f>
        <v>0</v>
      </c>
      <c r="Q186" s="17">
        <f>-_xlfn.XLOOKUP($C186,TB_NG!$E:$E,TB_NG!S:S)</f>
        <v>0</v>
      </c>
      <c r="R186" s="17">
        <f>-_xlfn.XLOOKUP($C186,TB_NG!$E:$E,TB_NG!T:T)</f>
        <v>0</v>
      </c>
      <c r="S186" s="17">
        <f>-_xlfn.XLOOKUP($C186,TB_NG!$E:$E,TB_NG!U:U)</f>
        <v>0</v>
      </c>
      <c r="T186" s="17">
        <f>-_xlfn.XLOOKUP($C186,TB_NG!$E:$E,TB_NG!V:V)</f>
        <v>-144180000</v>
      </c>
      <c r="U186" s="17">
        <f>-_xlfn.XLOOKUP($C186,TB_NG!$E:$E,TB_NG!W:W)</f>
        <v>0</v>
      </c>
      <c r="V186" s="17">
        <f>-_xlfn.XLOOKUP($C186,TB_NG!$E:$E,TB_NG!X:X)</f>
        <v>0</v>
      </c>
      <c r="W186" s="17">
        <f>-_xlfn.XLOOKUP($C186,TB_NG!$E:$E,TB_NG!Y:Y)</f>
        <v>0</v>
      </c>
      <c r="X186" s="17">
        <f>-_xlfn.XLOOKUP($C186,TB_NG!$E:$E,TB_NG!Z:Z)</f>
        <v>0</v>
      </c>
      <c r="Y186" s="17">
        <f>-_xlfn.XLOOKUP($C186,TB_NG!$E:$E,TB_NG!AA:AA)</f>
        <v>-134088144</v>
      </c>
      <c r="Z186" s="17">
        <f>-_xlfn.XLOOKUP($C186,TB_NG!$E:$E,TB_NG!AB:AB)</f>
        <v>0</v>
      </c>
      <c r="AA186" s="17">
        <f>-_xlfn.XLOOKUP($C186,TB_NG!$E:$E,TB_NG!AC:AC)</f>
        <v>0</v>
      </c>
      <c r="AB186" s="17">
        <f>-_xlfn.XLOOKUP($C186,TB_NG!$E:$E,TB_NG!AD:AD)</f>
        <v>0</v>
      </c>
      <c r="AC186" s="17">
        <f>-_xlfn.XLOOKUP($C186,TB_NG!$E:$E,TB_NG!AE:AE)</f>
        <v>0</v>
      </c>
      <c r="AD186" s="17">
        <f>-_xlfn.XLOOKUP($C186,TB_NG!$E:$E,TB_NG!AF:AF)</f>
        <v>0</v>
      </c>
      <c r="AE186" s="17">
        <f>-_xlfn.XLOOKUP($C186,TB_NG!$E:$E,TB_NG!AG:AG)</f>
        <v>0</v>
      </c>
      <c r="AF186" s="17">
        <f>-_xlfn.XLOOKUP($C186,TB_NG!$E:$E,TB_NG!AH:AH)</f>
        <v>0</v>
      </c>
      <c r="AG186" s="17">
        <f>-_xlfn.XLOOKUP($C186,TB_NG!$E:$E,TB_NG!AI:AI)</f>
        <v>0</v>
      </c>
      <c r="AH186" s="17">
        <f>-_xlfn.XLOOKUP($C186,TB_NG!$E:$E,TB_NG!AJ:AJ)</f>
        <v>0</v>
      </c>
      <c r="AI186" s="17">
        <f>-_xlfn.XLOOKUP($C186,TB_NG!$E:$E,TB_NG!AK:AK)</f>
        <v>0</v>
      </c>
      <c r="AJ186" s="17">
        <f>-_xlfn.XLOOKUP($C186,TB_NG!$E:$E,TB_NG!AL:AL)</f>
        <v>0</v>
      </c>
      <c r="AK186" s="17">
        <f>-_xlfn.XLOOKUP($C186,TB_NG!$E:$E,TB_NG!AM:AM)</f>
        <v>0</v>
      </c>
      <c r="AL186" s="17">
        <f>-_xlfn.XLOOKUP($C186,TB_NG!$E:$E,TB_NG!AN:AN)</f>
        <v>0</v>
      </c>
      <c r="AM186" s="17">
        <f>-_xlfn.XLOOKUP($C186,TB_NG!$E:$E,TB_NG!AO:AO)</f>
        <v>0</v>
      </c>
      <c r="AS186" s="17">
        <f>SUM(D186:O186)</f>
        <v>-1335951.0699999998</v>
      </c>
      <c r="AT186" s="17">
        <f>SUM(P186:AA186)</f>
        <v>-278268144</v>
      </c>
    </row>
    <row r="187" spans="2:46" x14ac:dyDescent="0.2">
      <c r="B187" s="21"/>
      <c r="C187" s="22" t="s">
        <v>16</v>
      </c>
      <c r="D187" s="23">
        <f>SUM(D186)</f>
        <v>0</v>
      </c>
      <c r="E187" s="23">
        <f t="shared" ref="E187:AM187" si="34">SUM(E186)</f>
        <v>-321442.59999999998</v>
      </c>
      <c r="F187" s="23">
        <f t="shared" si="34"/>
        <v>-1014508.47</v>
      </c>
      <c r="G187" s="23">
        <f t="shared" si="34"/>
        <v>0</v>
      </c>
      <c r="H187" s="23">
        <f t="shared" si="34"/>
        <v>0</v>
      </c>
      <c r="I187" s="23">
        <f t="shared" si="34"/>
        <v>0</v>
      </c>
      <c r="J187" s="23">
        <f t="shared" si="34"/>
        <v>0</v>
      </c>
      <c r="K187" s="23">
        <f t="shared" si="34"/>
        <v>0</v>
      </c>
      <c r="L187" s="23">
        <f t="shared" si="34"/>
        <v>0</v>
      </c>
      <c r="M187" s="23">
        <f t="shared" si="34"/>
        <v>0</v>
      </c>
      <c r="N187" s="23">
        <f t="shared" si="34"/>
        <v>0</v>
      </c>
      <c r="O187" s="23">
        <f t="shared" si="34"/>
        <v>0</v>
      </c>
      <c r="P187" s="23">
        <f t="shared" si="34"/>
        <v>0</v>
      </c>
      <c r="Q187" s="23">
        <f t="shared" si="34"/>
        <v>0</v>
      </c>
      <c r="R187" s="23">
        <f t="shared" si="34"/>
        <v>0</v>
      </c>
      <c r="S187" s="23">
        <f t="shared" si="34"/>
        <v>0</v>
      </c>
      <c r="T187" s="23">
        <f t="shared" si="34"/>
        <v>-144180000</v>
      </c>
      <c r="U187" s="23">
        <f t="shared" si="34"/>
        <v>0</v>
      </c>
      <c r="V187" s="23">
        <f t="shared" si="34"/>
        <v>0</v>
      </c>
      <c r="W187" s="23">
        <f t="shared" si="34"/>
        <v>0</v>
      </c>
      <c r="X187" s="23">
        <f t="shared" si="34"/>
        <v>0</v>
      </c>
      <c r="Y187" s="23">
        <f t="shared" si="34"/>
        <v>-134088144</v>
      </c>
      <c r="Z187" s="23">
        <f t="shared" si="34"/>
        <v>0</v>
      </c>
      <c r="AA187" s="23">
        <f t="shared" si="34"/>
        <v>0</v>
      </c>
      <c r="AB187" s="23">
        <f t="shared" si="34"/>
        <v>0</v>
      </c>
      <c r="AC187" s="23">
        <f t="shared" si="34"/>
        <v>0</v>
      </c>
      <c r="AD187" s="23">
        <f t="shared" si="34"/>
        <v>0</v>
      </c>
      <c r="AE187" s="23">
        <f t="shared" si="34"/>
        <v>0</v>
      </c>
      <c r="AF187" s="23">
        <f t="shared" si="34"/>
        <v>0</v>
      </c>
      <c r="AG187" s="23">
        <f t="shared" si="34"/>
        <v>0</v>
      </c>
      <c r="AH187" s="23">
        <f t="shared" si="34"/>
        <v>0</v>
      </c>
      <c r="AI187" s="23">
        <f t="shared" si="34"/>
        <v>0</v>
      </c>
      <c r="AJ187" s="23">
        <f t="shared" si="34"/>
        <v>0</v>
      </c>
      <c r="AK187" s="23">
        <f t="shared" si="34"/>
        <v>0</v>
      </c>
      <c r="AL187" s="23">
        <f t="shared" si="34"/>
        <v>0</v>
      </c>
      <c r="AM187" s="23">
        <f t="shared" si="34"/>
        <v>0</v>
      </c>
      <c r="AS187" s="23">
        <f>SUM(D187:O187)</f>
        <v>-1335951.0699999998</v>
      </c>
      <c r="AT187" s="23">
        <f>SUM(P187:AA187)</f>
        <v>-278268144</v>
      </c>
    </row>
    <row r="188" spans="2:46" x14ac:dyDescent="0.2">
      <c r="B188" s="21"/>
      <c r="C188" s="16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8"/>
    </row>
    <row r="189" spans="2:46" x14ac:dyDescent="0.2">
      <c r="B189" s="21"/>
      <c r="C189" s="16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8"/>
    </row>
    <row r="190" spans="2:46" s="27" customFormat="1" x14ac:dyDescent="0.2">
      <c r="B190" s="24"/>
      <c r="C190" s="25" t="s">
        <v>149</v>
      </c>
      <c r="D190" s="26">
        <f>D182+D187</f>
        <v>-18463052.159999974</v>
      </c>
      <c r="E190" s="26">
        <f t="shared" ref="E190:AM190" si="35">E182+E187</f>
        <v>314842318.63999999</v>
      </c>
      <c r="F190" s="26">
        <f t="shared" si="35"/>
        <v>262248589.04999995</v>
      </c>
      <c r="G190" s="26">
        <f t="shared" si="35"/>
        <v>244100116.12999997</v>
      </c>
      <c r="H190" s="26">
        <f t="shared" si="35"/>
        <v>-207008883.66999993</v>
      </c>
      <c r="I190" s="26">
        <f t="shared" si="35"/>
        <v>-89085548.849999979</v>
      </c>
      <c r="J190" s="26">
        <f t="shared" si="35"/>
        <v>-39419305.959999949</v>
      </c>
      <c r="K190" s="26">
        <f t="shared" si="35"/>
        <v>76824353.520000041</v>
      </c>
      <c r="L190" s="26">
        <f t="shared" si="35"/>
        <v>-21413563.879999977</v>
      </c>
      <c r="M190" s="26">
        <f t="shared" si="35"/>
        <v>-267428354.78999999</v>
      </c>
      <c r="N190" s="26">
        <f t="shared" si="35"/>
        <v>-234490470.99999991</v>
      </c>
      <c r="O190" s="26">
        <f t="shared" si="35"/>
        <v>4147686.6199999787</v>
      </c>
      <c r="P190" s="26">
        <f t="shared" si="35"/>
        <v>-17275109.189999968</v>
      </c>
      <c r="Q190" s="26">
        <f t="shared" si="35"/>
        <v>-48228565.319999993</v>
      </c>
      <c r="R190" s="26">
        <f t="shared" si="35"/>
        <v>-1301780.149999937</v>
      </c>
      <c r="S190" s="26">
        <f t="shared" si="35"/>
        <v>113135642.95999998</v>
      </c>
      <c r="T190" s="26">
        <f t="shared" si="35"/>
        <v>-410640336.83999991</v>
      </c>
      <c r="U190" s="26">
        <f t="shared" si="35"/>
        <v>-248555009.74999994</v>
      </c>
      <c r="V190" s="26">
        <f t="shared" si="35"/>
        <v>-164196234.21999997</v>
      </c>
      <c r="W190" s="26">
        <f t="shared" si="35"/>
        <v>-37737615.489999972</v>
      </c>
      <c r="X190" s="26">
        <f t="shared" si="35"/>
        <v>-135347304.86999992</v>
      </c>
      <c r="Y190" s="26">
        <f t="shared" si="35"/>
        <v>229332350.26000005</v>
      </c>
      <c r="Z190" s="26">
        <f t="shared" si="35"/>
        <v>-36352030.449999943</v>
      </c>
      <c r="AA190" s="26">
        <f t="shared" si="35"/>
        <v>-741305825.88999987</v>
      </c>
      <c r="AB190" s="26">
        <f t="shared" si="35"/>
        <v>257254587.51000014</v>
      </c>
      <c r="AC190" s="26">
        <f t="shared" si="35"/>
        <v>351190518.56</v>
      </c>
      <c r="AD190" s="26">
        <f t="shared" si="35"/>
        <v>134884006.99000001</v>
      </c>
      <c r="AE190" s="26">
        <f t="shared" si="35"/>
        <v>85097771.859999985</v>
      </c>
      <c r="AF190" s="26">
        <f t="shared" si="35"/>
        <v>0</v>
      </c>
      <c r="AG190" s="26">
        <f t="shared" si="35"/>
        <v>0</v>
      </c>
      <c r="AH190" s="26">
        <f t="shared" si="35"/>
        <v>0</v>
      </c>
      <c r="AI190" s="26">
        <f t="shared" si="35"/>
        <v>0</v>
      </c>
      <c r="AJ190" s="26">
        <f t="shared" si="35"/>
        <v>0</v>
      </c>
      <c r="AK190" s="26">
        <f t="shared" si="35"/>
        <v>0</v>
      </c>
      <c r="AL190" s="26">
        <f t="shared" si="35"/>
        <v>0</v>
      </c>
      <c r="AM190" s="26">
        <f t="shared" si="35"/>
        <v>0</v>
      </c>
      <c r="AS190" s="26">
        <f>AS182+AS187</f>
        <v>24853883.650000416</v>
      </c>
      <c r="AT190" s="26">
        <f>AT182+AT187</f>
        <v>-1498471818.9499996</v>
      </c>
    </row>
    <row r="191" spans="2:46" s="31" customFormat="1" x14ac:dyDescent="0.2">
      <c r="B191" s="28"/>
      <c r="C191" s="29" t="s">
        <v>150</v>
      </c>
      <c r="D191" s="30">
        <f>D190/D19</f>
        <v>-0.10540017565080591</v>
      </c>
      <c r="E191" s="30">
        <f t="shared" ref="E191:AM191" si="36">E190/E19</f>
        <v>0.60723001238823338</v>
      </c>
      <c r="F191" s="30">
        <f t="shared" si="36"/>
        <v>0.49761195808578618</v>
      </c>
      <c r="G191" s="30">
        <f t="shared" si="36"/>
        <v>0.45050232723464495</v>
      </c>
      <c r="H191" s="30">
        <f t="shared" si="36"/>
        <v>-1.0013596729515875</v>
      </c>
      <c r="I191" s="30">
        <f t="shared" si="36"/>
        <v>-0.40596778660670341</v>
      </c>
      <c r="J191" s="30">
        <f t="shared" si="36"/>
        <v>-0.18434120153828751</v>
      </c>
      <c r="K191" s="30">
        <f t="shared" si="36"/>
        <v>0.24528500560508584</v>
      </c>
      <c r="L191" s="30">
        <f t="shared" si="36"/>
        <v>-0.175780040713862</v>
      </c>
      <c r="M191" s="30">
        <f t="shared" si="36"/>
        <v>-1.5424608845375991</v>
      </c>
      <c r="N191" s="30">
        <f t="shared" si="36"/>
        <v>-1.0330345564005208</v>
      </c>
      <c r="O191" s="30">
        <f t="shared" si="36"/>
        <v>7.0031753049529123E-3</v>
      </c>
      <c r="P191" s="30">
        <f t="shared" si="36"/>
        <v>-8.1001647968932042E-2</v>
      </c>
      <c r="Q191" s="30">
        <f t="shared" si="36"/>
        <v>-0.24475457714518442</v>
      </c>
      <c r="R191" s="30">
        <f t="shared" si="36"/>
        <v>-5.8532481475978898E-3</v>
      </c>
      <c r="S191" s="30">
        <f t="shared" si="36"/>
        <v>0.46615385889118049</v>
      </c>
      <c r="T191" s="30">
        <f t="shared" si="36"/>
        <v>-2.3533454518608199</v>
      </c>
      <c r="U191" s="30">
        <f t="shared" si="36"/>
        <v>-2.0757729516469379</v>
      </c>
      <c r="V191" s="30">
        <f t="shared" si="36"/>
        <v>-0.78500991857417235</v>
      </c>
      <c r="W191" s="30">
        <f t="shared" si="36"/>
        <v>-0.20510854477422047</v>
      </c>
      <c r="X191" s="30">
        <f t="shared" si="36"/>
        <v>-0.33735938169923546</v>
      </c>
      <c r="Y191" s="30">
        <f t="shared" si="36"/>
        <v>0.30375018266166731</v>
      </c>
      <c r="Z191" s="30">
        <f t="shared" si="36"/>
        <v>-0.11266109233532166</v>
      </c>
      <c r="AA191" s="30">
        <f t="shared" si="36"/>
        <v>-2.3749392916601302</v>
      </c>
      <c r="AB191" s="30">
        <f t="shared" si="36"/>
        <v>0.36083635603989134</v>
      </c>
      <c r="AC191" s="30">
        <f t="shared" si="36"/>
        <v>0.46380570675345367</v>
      </c>
      <c r="AD191" s="30">
        <f t="shared" si="36"/>
        <v>0.24563777331686473</v>
      </c>
      <c r="AE191" s="30">
        <f t="shared" si="36"/>
        <v>0.24706878378200972</v>
      </c>
      <c r="AF191" s="30" t="e">
        <f t="shared" si="36"/>
        <v>#DIV/0!</v>
      </c>
      <c r="AG191" s="30" t="e">
        <f t="shared" si="36"/>
        <v>#DIV/0!</v>
      </c>
      <c r="AH191" s="30" t="e">
        <f t="shared" si="36"/>
        <v>#DIV/0!</v>
      </c>
      <c r="AI191" s="30" t="e">
        <f t="shared" si="36"/>
        <v>#DIV/0!</v>
      </c>
      <c r="AJ191" s="30" t="e">
        <f t="shared" si="36"/>
        <v>#DIV/0!</v>
      </c>
      <c r="AK191" s="30" t="e">
        <f t="shared" si="36"/>
        <v>#DIV/0!</v>
      </c>
      <c r="AL191" s="30" t="e">
        <f t="shared" si="36"/>
        <v>#DIV/0!</v>
      </c>
      <c r="AM191" s="30" t="e">
        <f t="shared" si="36"/>
        <v>#DIV/0!</v>
      </c>
      <c r="AS191" s="30">
        <f>AS190/AS19</f>
        <v>6.488971001463323E-3</v>
      </c>
      <c r="AT191" s="30">
        <f>AT190/AT19</f>
        <v>-0.44679688081288471</v>
      </c>
    </row>
    <row r="192" spans="2:46" x14ac:dyDescent="0.2">
      <c r="B192" s="21"/>
      <c r="C192" s="16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8"/>
    </row>
    <row r="193" spans="2:46" x14ac:dyDescent="0.2">
      <c r="B193" s="21"/>
      <c r="C193" s="20" t="s">
        <v>151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8"/>
    </row>
    <row r="194" spans="2:46" x14ac:dyDescent="0.2">
      <c r="B194" s="21">
        <v>66305</v>
      </c>
      <c r="C194" s="16" t="str">
        <f>_xlfn.XLOOKUP(B194,TB_NG!A:A,TB_NG!E:E)</f>
        <v>Taxes: Company Income Tax</v>
      </c>
      <c r="D194" s="17">
        <f>-_xlfn.XLOOKUP($C194,TB_NG!$E:$E,TB_NG!F:F)</f>
        <v>0</v>
      </c>
      <c r="E194" s="17">
        <f>-_xlfn.XLOOKUP($C194,TB_NG!$E:$E,TB_NG!G:G)</f>
        <v>0</v>
      </c>
      <c r="F194" s="17">
        <f>-_xlfn.XLOOKUP($C194,TB_NG!$E:$E,TB_NG!H:H)</f>
        <v>0</v>
      </c>
      <c r="G194" s="17">
        <f>-_xlfn.XLOOKUP($C194,TB_NG!$E:$E,TB_NG!I:I)</f>
        <v>0</v>
      </c>
      <c r="H194" s="17">
        <f>-_xlfn.XLOOKUP($C194,TB_NG!$E:$E,TB_NG!J:J)</f>
        <v>0</v>
      </c>
      <c r="I194" s="17">
        <f>-_xlfn.XLOOKUP($C194,TB_NG!$E:$E,TB_NG!K:K)</f>
        <v>0</v>
      </c>
      <c r="J194" s="17">
        <f>-_xlfn.XLOOKUP($C194,TB_NG!$E:$E,TB_NG!L:L)</f>
        <v>0</v>
      </c>
      <c r="K194" s="17">
        <f>-_xlfn.XLOOKUP($C194,TB_NG!$E:$E,TB_NG!M:M)</f>
        <v>0</v>
      </c>
      <c r="L194" s="17">
        <f>-_xlfn.XLOOKUP($C194,TB_NG!$E:$E,TB_NG!N:N)</f>
        <v>0</v>
      </c>
      <c r="M194" s="17">
        <f>-_xlfn.XLOOKUP($C194,TB_NG!$E:$E,TB_NG!O:O)</f>
        <v>0</v>
      </c>
      <c r="N194" s="17">
        <f>-_xlfn.XLOOKUP($C194,TB_NG!$E:$E,TB_NG!P:P)</f>
        <v>0</v>
      </c>
      <c r="O194" s="17">
        <f>-_xlfn.XLOOKUP($C194,TB_NG!$E:$E,TB_NG!Q:Q)</f>
        <v>0</v>
      </c>
      <c r="P194" s="17">
        <f>-_xlfn.XLOOKUP($C194,TB_NG!$E:$E,TB_NG!R:R)</f>
        <v>0</v>
      </c>
      <c r="Q194" s="17">
        <f>-_xlfn.XLOOKUP($C194,TB_NG!$E:$E,TB_NG!S:S)</f>
        <v>0</v>
      </c>
      <c r="R194" s="17">
        <f>-_xlfn.XLOOKUP($C194,TB_NG!$E:$E,TB_NG!T:T)</f>
        <v>0</v>
      </c>
      <c r="S194" s="17">
        <f>-_xlfn.XLOOKUP($C194,TB_NG!$E:$E,TB_NG!U:U)</f>
        <v>0</v>
      </c>
      <c r="T194" s="17">
        <f>-_xlfn.XLOOKUP($C194,TB_NG!$E:$E,TB_NG!V:V)</f>
        <v>0</v>
      </c>
      <c r="U194" s="17">
        <f>-_xlfn.XLOOKUP($C194,TB_NG!$E:$E,TB_NG!W:W)</f>
        <v>0</v>
      </c>
      <c r="V194" s="17">
        <f>-_xlfn.XLOOKUP($C194,TB_NG!$E:$E,TB_NG!X:X)</f>
        <v>0</v>
      </c>
      <c r="W194" s="17">
        <f>-_xlfn.XLOOKUP($C194,TB_NG!$E:$E,TB_NG!Y:Y)</f>
        <v>0</v>
      </c>
      <c r="X194" s="17">
        <f>-_xlfn.XLOOKUP($C194,TB_NG!$E:$E,TB_NG!Z:Z)</f>
        <v>0</v>
      </c>
      <c r="Y194" s="17">
        <f>-_xlfn.XLOOKUP($C194,TB_NG!$E:$E,TB_NG!AA:AA)</f>
        <v>0</v>
      </c>
      <c r="Z194" s="17">
        <f>-_xlfn.XLOOKUP($C194,TB_NG!$E:$E,TB_NG!AB:AB)</f>
        <v>0</v>
      </c>
      <c r="AA194" s="17">
        <f>-_xlfn.XLOOKUP($C194,TB_NG!$E:$E,TB_NG!AC:AC)</f>
        <v>0</v>
      </c>
      <c r="AB194" s="17">
        <f>-_xlfn.XLOOKUP($C194,TB_NG!$E:$E,TB_NG!AD:AD)</f>
        <v>0</v>
      </c>
      <c r="AC194" s="17">
        <f>-_xlfn.XLOOKUP($C194,TB_NG!$E:$E,TB_NG!AE:AE)</f>
        <v>0</v>
      </c>
      <c r="AD194" s="17">
        <f>-_xlfn.XLOOKUP($C194,TB_NG!$E:$E,TB_NG!AF:AF)</f>
        <v>0</v>
      </c>
      <c r="AE194" s="17">
        <f>-_xlfn.XLOOKUP($C194,TB_NG!$E:$E,TB_NG!AG:AG)</f>
        <v>0</v>
      </c>
      <c r="AF194" s="17">
        <f>-_xlfn.XLOOKUP($C194,TB_NG!$E:$E,TB_NG!AH:AH)</f>
        <v>0</v>
      </c>
      <c r="AG194" s="17">
        <f>-_xlfn.XLOOKUP($C194,TB_NG!$E:$E,TB_NG!AI:AI)</f>
        <v>0</v>
      </c>
      <c r="AH194" s="17">
        <f>-_xlfn.XLOOKUP($C194,TB_NG!$E:$E,TB_NG!AJ:AJ)</f>
        <v>0</v>
      </c>
      <c r="AI194" s="17">
        <f>-_xlfn.XLOOKUP($C194,TB_NG!$E:$E,TB_NG!AK:AK)</f>
        <v>0</v>
      </c>
      <c r="AJ194" s="17">
        <f>-_xlfn.XLOOKUP($C194,TB_NG!$E:$E,TB_NG!AL:AL)</f>
        <v>0</v>
      </c>
      <c r="AK194" s="17">
        <f>-_xlfn.XLOOKUP($C194,TB_NG!$E:$E,TB_NG!AM:AM)</f>
        <v>0</v>
      </c>
      <c r="AL194" s="17">
        <f>-_xlfn.XLOOKUP($C194,TB_NG!$E:$E,TB_NG!AN:AN)</f>
        <v>0</v>
      </c>
      <c r="AM194" s="17">
        <f>-_xlfn.XLOOKUP($C194,TB_NG!$E:$E,TB_NG!AO:AO)</f>
        <v>0</v>
      </c>
    </row>
    <row r="195" spans="2:46" x14ac:dyDescent="0.2">
      <c r="B195" s="21">
        <v>66310</v>
      </c>
      <c r="C195" s="16" t="str">
        <f>_xlfn.XLOOKUP(B195,TB_NG!A:A,TB_NG!E:E)</f>
        <v>Taxes:Taxes Education Tax</v>
      </c>
      <c r="D195" s="17">
        <f>-_xlfn.XLOOKUP($C195,TB_NG!$E:$E,TB_NG!F:F)</f>
        <v>0</v>
      </c>
      <c r="E195" s="17">
        <f>-_xlfn.XLOOKUP($C195,TB_NG!$E:$E,TB_NG!G:G)</f>
        <v>0</v>
      </c>
      <c r="F195" s="17">
        <f>-_xlfn.XLOOKUP($C195,TB_NG!$E:$E,TB_NG!H:H)</f>
        <v>0</v>
      </c>
      <c r="G195" s="17">
        <f>-_xlfn.XLOOKUP($C195,TB_NG!$E:$E,TB_NG!I:I)</f>
        <v>0</v>
      </c>
      <c r="H195" s="17">
        <f>-_xlfn.XLOOKUP($C195,TB_NG!$E:$E,TB_NG!J:J)</f>
        <v>0</v>
      </c>
      <c r="I195" s="17">
        <f>-_xlfn.XLOOKUP($C195,TB_NG!$E:$E,TB_NG!K:K)</f>
        <v>0</v>
      </c>
      <c r="J195" s="17">
        <f>-_xlfn.XLOOKUP($C195,TB_NG!$E:$E,TB_NG!L:L)</f>
        <v>0</v>
      </c>
      <c r="K195" s="17">
        <f>-_xlfn.XLOOKUP($C195,TB_NG!$E:$E,TB_NG!M:M)</f>
        <v>0</v>
      </c>
      <c r="L195" s="17">
        <f>-_xlfn.XLOOKUP($C195,TB_NG!$E:$E,TB_NG!N:N)</f>
        <v>0</v>
      </c>
      <c r="M195" s="17">
        <f>-_xlfn.XLOOKUP($C195,TB_NG!$E:$E,TB_NG!O:O)</f>
        <v>0</v>
      </c>
      <c r="N195" s="17">
        <f>-_xlfn.XLOOKUP($C195,TB_NG!$E:$E,TB_NG!P:P)</f>
        <v>0</v>
      </c>
      <c r="O195" s="17">
        <f>-_xlfn.XLOOKUP($C195,TB_NG!$E:$E,TB_NG!Q:Q)</f>
        <v>-2279773</v>
      </c>
      <c r="P195" s="17">
        <f>-_xlfn.XLOOKUP($C195,TB_NG!$E:$E,TB_NG!R:R)</f>
        <v>0</v>
      </c>
      <c r="Q195" s="17">
        <f>-_xlfn.XLOOKUP($C195,TB_NG!$E:$E,TB_NG!S:S)</f>
        <v>0</v>
      </c>
      <c r="R195" s="17">
        <f>-_xlfn.XLOOKUP($C195,TB_NG!$E:$E,TB_NG!T:T)</f>
        <v>0</v>
      </c>
      <c r="S195" s="17">
        <f>-_xlfn.XLOOKUP($C195,TB_NG!$E:$E,TB_NG!U:U)</f>
        <v>0</v>
      </c>
      <c r="T195" s="17">
        <f>-_xlfn.XLOOKUP($C195,TB_NG!$E:$E,TB_NG!V:V)</f>
        <v>0</v>
      </c>
      <c r="U195" s="17">
        <f>-_xlfn.XLOOKUP($C195,TB_NG!$E:$E,TB_NG!W:W)</f>
        <v>0</v>
      </c>
      <c r="V195" s="17">
        <f>-_xlfn.XLOOKUP($C195,TB_NG!$E:$E,TB_NG!X:X)</f>
        <v>0</v>
      </c>
      <c r="W195" s="17">
        <f>-_xlfn.XLOOKUP($C195,TB_NG!$E:$E,TB_NG!Y:Y)</f>
        <v>0</v>
      </c>
      <c r="X195" s="17">
        <f>-_xlfn.XLOOKUP($C195,TB_NG!$E:$E,TB_NG!Z:Z)</f>
        <v>0</v>
      </c>
      <c r="Y195" s="17">
        <f>-_xlfn.XLOOKUP($C195,TB_NG!$E:$E,TB_NG!AA:AA)</f>
        <v>0</v>
      </c>
      <c r="Z195" s="17">
        <f>-_xlfn.XLOOKUP($C195,TB_NG!$E:$E,TB_NG!AB:AB)</f>
        <v>0</v>
      </c>
      <c r="AA195" s="17">
        <f>-_xlfn.XLOOKUP($C195,TB_NG!$E:$E,TB_NG!AC:AC)</f>
        <v>0</v>
      </c>
      <c r="AB195" s="17">
        <f>-_xlfn.XLOOKUP($C195,TB_NG!$E:$E,TB_NG!AD:AD)</f>
        <v>0</v>
      </c>
      <c r="AC195" s="17">
        <f>-_xlfn.XLOOKUP($C195,TB_NG!$E:$E,TB_NG!AE:AE)</f>
        <v>0</v>
      </c>
      <c r="AD195" s="17">
        <f>-_xlfn.XLOOKUP($C195,TB_NG!$E:$E,TB_NG!AF:AF)</f>
        <v>0</v>
      </c>
      <c r="AE195" s="17">
        <f>-_xlfn.XLOOKUP($C195,TB_NG!$E:$E,TB_NG!AG:AG)</f>
        <v>0</v>
      </c>
      <c r="AF195" s="17">
        <f>-_xlfn.XLOOKUP($C195,TB_NG!$E:$E,TB_NG!AH:AH)</f>
        <v>0</v>
      </c>
      <c r="AG195" s="17">
        <f>-_xlfn.XLOOKUP($C195,TB_NG!$E:$E,TB_NG!AI:AI)</f>
        <v>0</v>
      </c>
      <c r="AH195" s="17">
        <f>-_xlfn.XLOOKUP($C195,TB_NG!$E:$E,TB_NG!AJ:AJ)</f>
        <v>0</v>
      </c>
      <c r="AI195" s="17">
        <f>-_xlfn.XLOOKUP($C195,TB_NG!$E:$E,TB_NG!AK:AK)</f>
        <v>0</v>
      </c>
      <c r="AJ195" s="17">
        <f>-_xlfn.XLOOKUP($C195,TB_NG!$E:$E,TB_NG!AL:AL)</f>
        <v>0</v>
      </c>
      <c r="AK195" s="17">
        <f>-_xlfn.XLOOKUP($C195,TB_NG!$E:$E,TB_NG!AM:AM)</f>
        <v>0</v>
      </c>
      <c r="AL195" s="17">
        <f>-_xlfn.XLOOKUP($C195,TB_NG!$E:$E,TB_NG!AN:AN)</f>
        <v>0</v>
      </c>
      <c r="AM195" s="17">
        <f>-_xlfn.XLOOKUP($C195,TB_NG!$E:$E,TB_NG!AO:AO)</f>
        <v>0</v>
      </c>
    </row>
    <row r="196" spans="2:46" x14ac:dyDescent="0.2">
      <c r="B196" s="21">
        <v>67040</v>
      </c>
      <c r="C196" s="16" t="str">
        <f>_xlfn.XLOOKUP(B196,TB_NG!A:A,TB_NG!E:E)</f>
        <v>Deferred Tax Charge</v>
      </c>
      <c r="D196" s="17">
        <f>-_xlfn.XLOOKUP($C196,TB_NG!$E:$E,TB_NG!F:F)</f>
        <v>0</v>
      </c>
      <c r="E196" s="17">
        <f>-_xlfn.XLOOKUP($C196,TB_NG!$E:$E,TB_NG!G:G)</f>
        <v>0</v>
      </c>
      <c r="F196" s="17">
        <f>-_xlfn.XLOOKUP($C196,TB_NG!$E:$E,TB_NG!H:H)</f>
        <v>0</v>
      </c>
      <c r="G196" s="17">
        <f>-_xlfn.XLOOKUP($C196,TB_NG!$E:$E,TB_NG!I:I)</f>
        <v>0</v>
      </c>
      <c r="H196" s="17">
        <f>-_xlfn.XLOOKUP($C196,TB_NG!$E:$E,TB_NG!J:J)</f>
        <v>0</v>
      </c>
      <c r="I196" s="17">
        <f>-_xlfn.XLOOKUP($C196,TB_NG!$E:$E,TB_NG!K:K)</f>
        <v>0</v>
      </c>
      <c r="J196" s="17">
        <f>-_xlfn.XLOOKUP($C196,TB_NG!$E:$E,TB_NG!L:L)</f>
        <v>0</v>
      </c>
      <c r="K196" s="17">
        <f>-_xlfn.XLOOKUP($C196,TB_NG!$E:$E,TB_NG!M:M)</f>
        <v>0</v>
      </c>
      <c r="L196" s="17">
        <f>-_xlfn.XLOOKUP($C196,TB_NG!$E:$E,TB_NG!N:N)</f>
        <v>0</v>
      </c>
      <c r="M196" s="17">
        <f>-_xlfn.XLOOKUP($C196,TB_NG!$E:$E,TB_NG!O:O)</f>
        <v>0</v>
      </c>
      <c r="N196" s="17">
        <f>-_xlfn.XLOOKUP($C196,TB_NG!$E:$E,TB_NG!P:P)</f>
        <v>0</v>
      </c>
      <c r="O196" s="17">
        <f>-_xlfn.XLOOKUP($C196,TB_NG!$E:$E,TB_NG!Q:Q)</f>
        <v>0</v>
      </c>
      <c r="P196" s="17">
        <f>-_xlfn.XLOOKUP($C196,TB_NG!$E:$E,TB_NG!R:R)</f>
        <v>0</v>
      </c>
      <c r="Q196" s="17">
        <f>-_xlfn.XLOOKUP($C196,TB_NG!$E:$E,TB_NG!S:S)</f>
        <v>0</v>
      </c>
      <c r="R196" s="17">
        <f>-_xlfn.XLOOKUP($C196,TB_NG!$E:$E,TB_NG!T:T)</f>
        <v>0</v>
      </c>
      <c r="S196" s="17">
        <f>-_xlfn.XLOOKUP($C196,TB_NG!$E:$E,TB_NG!U:U)</f>
        <v>0</v>
      </c>
      <c r="T196" s="17">
        <f>-_xlfn.XLOOKUP($C196,TB_NG!$E:$E,TB_NG!V:V)</f>
        <v>0</v>
      </c>
      <c r="U196" s="17">
        <f>-_xlfn.XLOOKUP($C196,TB_NG!$E:$E,TB_NG!W:W)</f>
        <v>0</v>
      </c>
      <c r="V196" s="17">
        <f>-_xlfn.XLOOKUP($C196,TB_NG!$E:$E,TB_NG!X:X)</f>
        <v>0</v>
      </c>
      <c r="W196" s="17">
        <f>-_xlfn.XLOOKUP($C196,TB_NG!$E:$E,TB_NG!Y:Y)</f>
        <v>0</v>
      </c>
      <c r="X196" s="17">
        <f>-_xlfn.XLOOKUP($C196,TB_NG!$E:$E,TB_NG!Z:Z)</f>
        <v>0</v>
      </c>
      <c r="Y196" s="17">
        <f>-_xlfn.XLOOKUP($C196,TB_NG!$E:$E,TB_NG!AA:AA)</f>
        <v>0</v>
      </c>
      <c r="Z196" s="17">
        <f>-_xlfn.XLOOKUP($C196,TB_NG!$E:$E,TB_NG!AB:AB)</f>
        <v>0</v>
      </c>
      <c r="AA196" s="17">
        <f>-_xlfn.XLOOKUP($C196,TB_NG!$E:$E,TB_NG!AC:AC)</f>
        <v>0</v>
      </c>
      <c r="AB196" s="17">
        <f>-_xlfn.XLOOKUP($C196,TB_NG!$E:$E,TB_NG!AD:AD)</f>
        <v>0</v>
      </c>
      <c r="AC196" s="17">
        <f>-_xlfn.XLOOKUP($C196,TB_NG!$E:$E,TB_NG!AE:AE)</f>
        <v>0</v>
      </c>
      <c r="AD196" s="17">
        <f>-_xlfn.XLOOKUP($C196,TB_NG!$E:$E,TB_NG!AF:AF)</f>
        <v>0</v>
      </c>
      <c r="AE196" s="17">
        <f>-_xlfn.XLOOKUP($C196,TB_NG!$E:$E,TB_NG!AG:AG)</f>
        <v>0</v>
      </c>
      <c r="AF196" s="17">
        <f>-_xlfn.XLOOKUP($C196,TB_NG!$E:$E,TB_NG!AH:AH)</f>
        <v>0</v>
      </c>
      <c r="AG196" s="17">
        <f>-_xlfn.XLOOKUP($C196,TB_NG!$E:$E,TB_NG!AI:AI)</f>
        <v>0</v>
      </c>
      <c r="AH196" s="17">
        <f>-_xlfn.XLOOKUP($C196,TB_NG!$E:$E,TB_NG!AJ:AJ)</f>
        <v>0</v>
      </c>
      <c r="AI196" s="17">
        <f>-_xlfn.XLOOKUP($C196,TB_NG!$E:$E,TB_NG!AK:AK)</f>
        <v>0</v>
      </c>
      <c r="AJ196" s="17">
        <f>-_xlfn.XLOOKUP($C196,TB_NG!$E:$E,TB_NG!AL:AL)</f>
        <v>0</v>
      </c>
      <c r="AK196" s="17">
        <f>-_xlfn.XLOOKUP($C196,TB_NG!$E:$E,TB_NG!AM:AM)</f>
        <v>0</v>
      </c>
      <c r="AL196" s="17">
        <f>-_xlfn.XLOOKUP($C196,TB_NG!$E:$E,TB_NG!AN:AN)</f>
        <v>0</v>
      </c>
      <c r="AM196" s="17">
        <f>-_xlfn.XLOOKUP($C196,TB_NG!$E:$E,TB_NG!AO:AO)</f>
        <v>0</v>
      </c>
    </row>
    <row r="197" spans="2:46" x14ac:dyDescent="0.2">
      <c r="B197" s="21">
        <v>67055</v>
      </c>
      <c r="C197" s="16" t="str">
        <f>_xlfn.XLOOKUP(B197,TB_NG!A:A,TB_NG!E:E)</f>
        <v>Taxes - Other</v>
      </c>
      <c r="D197" s="17">
        <f>-_xlfn.XLOOKUP($C197,TB_NG!$E:$E,TB_NG!F:F)</f>
        <v>0</v>
      </c>
      <c r="E197" s="17">
        <f>-_xlfn.XLOOKUP($C197,TB_NG!$E:$E,TB_NG!G:G)</f>
        <v>0</v>
      </c>
      <c r="F197" s="17">
        <f>-_xlfn.XLOOKUP($C197,TB_NG!$E:$E,TB_NG!H:H)</f>
        <v>0</v>
      </c>
      <c r="G197" s="17">
        <f>-_xlfn.XLOOKUP($C197,TB_NG!$E:$E,TB_NG!I:I)</f>
        <v>0</v>
      </c>
      <c r="H197" s="17">
        <f>-_xlfn.XLOOKUP($C197,TB_NG!$E:$E,TB_NG!J:J)</f>
        <v>0</v>
      </c>
      <c r="I197" s="17">
        <f>-_xlfn.XLOOKUP($C197,TB_NG!$E:$E,TB_NG!K:K)</f>
        <v>0</v>
      </c>
      <c r="J197" s="17">
        <f>-_xlfn.XLOOKUP($C197,TB_NG!$E:$E,TB_NG!L:L)</f>
        <v>0</v>
      </c>
      <c r="K197" s="17">
        <f>-_xlfn.XLOOKUP($C197,TB_NG!$E:$E,TB_NG!M:M)</f>
        <v>0</v>
      </c>
      <c r="L197" s="17">
        <f>-_xlfn.XLOOKUP($C197,TB_NG!$E:$E,TB_NG!N:N)</f>
        <v>0</v>
      </c>
      <c r="M197" s="17">
        <f>-_xlfn.XLOOKUP($C197,TB_NG!$E:$E,TB_NG!O:O)</f>
        <v>0</v>
      </c>
      <c r="N197" s="17">
        <f>-_xlfn.XLOOKUP($C197,TB_NG!$E:$E,TB_NG!P:P)</f>
        <v>0</v>
      </c>
      <c r="O197" s="17">
        <f>-_xlfn.XLOOKUP($C197,TB_NG!$E:$E,TB_NG!Q:Q)</f>
        <v>-14970357</v>
      </c>
      <c r="P197" s="17">
        <f>-_xlfn.XLOOKUP($C197,TB_NG!$E:$E,TB_NG!R:R)</f>
        <v>0</v>
      </c>
      <c r="Q197" s="17">
        <f>-_xlfn.XLOOKUP($C197,TB_NG!$E:$E,TB_NG!S:S)</f>
        <v>0</v>
      </c>
      <c r="R197" s="17">
        <f>-_xlfn.XLOOKUP($C197,TB_NG!$E:$E,TB_NG!T:T)</f>
        <v>0</v>
      </c>
      <c r="S197" s="17">
        <f>-_xlfn.XLOOKUP($C197,TB_NG!$E:$E,TB_NG!U:U)</f>
        <v>0</v>
      </c>
      <c r="T197" s="17">
        <f>-_xlfn.XLOOKUP($C197,TB_NG!$E:$E,TB_NG!V:V)</f>
        <v>0</v>
      </c>
      <c r="U197" s="17">
        <f>-_xlfn.XLOOKUP($C197,TB_NG!$E:$E,TB_NG!W:W)</f>
        <v>0</v>
      </c>
      <c r="V197" s="17">
        <f>-_xlfn.XLOOKUP($C197,TB_NG!$E:$E,TB_NG!X:X)</f>
        <v>0</v>
      </c>
      <c r="W197" s="17">
        <f>-_xlfn.XLOOKUP($C197,TB_NG!$E:$E,TB_NG!Y:Y)</f>
        <v>0</v>
      </c>
      <c r="X197" s="17">
        <f>-_xlfn.XLOOKUP($C197,TB_NG!$E:$E,TB_NG!Z:Z)</f>
        <v>0</v>
      </c>
      <c r="Y197" s="17">
        <f>-_xlfn.XLOOKUP($C197,TB_NG!$E:$E,TB_NG!AA:AA)</f>
        <v>0</v>
      </c>
      <c r="Z197" s="17">
        <f>-_xlfn.XLOOKUP($C197,TB_NG!$E:$E,TB_NG!AB:AB)</f>
        <v>0</v>
      </c>
      <c r="AA197" s="17">
        <f>-_xlfn.XLOOKUP($C197,TB_NG!$E:$E,TB_NG!AC:AC)</f>
        <v>0</v>
      </c>
      <c r="AB197" s="17">
        <f>-_xlfn.XLOOKUP($C197,TB_NG!$E:$E,TB_NG!AD:AD)</f>
        <v>0</v>
      </c>
      <c r="AC197" s="17">
        <f>-_xlfn.XLOOKUP($C197,TB_NG!$E:$E,TB_NG!AE:AE)</f>
        <v>0</v>
      </c>
      <c r="AD197" s="17">
        <f>-_xlfn.XLOOKUP($C197,TB_NG!$E:$E,TB_NG!AF:AF)</f>
        <v>0</v>
      </c>
      <c r="AE197" s="17">
        <f>-_xlfn.XLOOKUP($C197,TB_NG!$E:$E,TB_NG!AG:AG)</f>
        <v>0</v>
      </c>
      <c r="AF197" s="17">
        <f>-_xlfn.XLOOKUP($C197,TB_NG!$E:$E,TB_NG!AH:AH)</f>
        <v>0</v>
      </c>
      <c r="AG197" s="17">
        <f>-_xlfn.XLOOKUP($C197,TB_NG!$E:$E,TB_NG!AI:AI)</f>
        <v>0</v>
      </c>
      <c r="AH197" s="17">
        <f>-_xlfn.XLOOKUP($C197,TB_NG!$E:$E,TB_NG!AJ:AJ)</f>
        <v>0</v>
      </c>
      <c r="AI197" s="17">
        <f>-_xlfn.XLOOKUP($C197,TB_NG!$E:$E,TB_NG!AK:AK)</f>
        <v>0</v>
      </c>
      <c r="AJ197" s="17">
        <f>-_xlfn.XLOOKUP($C197,TB_NG!$E:$E,TB_NG!AL:AL)</f>
        <v>0</v>
      </c>
      <c r="AK197" s="17">
        <f>-_xlfn.XLOOKUP($C197,TB_NG!$E:$E,TB_NG!AM:AM)</f>
        <v>0</v>
      </c>
      <c r="AL197" s="17">
        <f>-_xlfn.XLOOKUP($C197,TB_NG!$E:$E,TB_NG!AN:AN)</f>
        <v>0</v>
      </c>
      <c r="AM197" s="17">
        <f>-_xlfn.XLOOKUP($C197,TB_NG!$E:$E,TB_NG!AO:AO)</f>
        <v>0</v>
      </c>
    </row>
    <row r="198" spans="2:46" x14ac:dyDescent="0.2">
      <c r="B198" s="21"/>
      <c r="C198" s="16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S198" s="17"/>
      <c r="AT198" s="17"/>
    </row>
    <row r="199" spans="2:46" x14ac:dyDescent="0.2">
      <c r="B199" s="21"/>
      <c r="C199" s="22" t="s">
        <v>19</v>
      </c>
      <c r="D199" s="23">
        <f>SUM(D194:D198)</f>
        <v>0</v>
      </c>
      <c r="E199" s="23">
        <f t="shared" ref="E199:AM199" si="37">SUM(E194:E198)</f>
        <v>0</v>
      </c>
      <c r="F199" s="23">
        <f t="shared" si="37"/>
        <v>0</v>
      </c>
      <c r="G199" s="23">
        <f t="shared" si="37"/>
        <v>0</v>
      </c>
      <c r="H199" s="23">
        <f t="shared" si="37"/>
        <v>0</v>
      </c>
      <c r="I199" s="23">
        <f t="shared" si="37"/>
        <v>0</v>
      </c>
      <c r="J199" s="23">
        <f t="shared" si="37"/>
        <v>0</v>
      </c>
      <c r="K199" s="23">
        <f t="shared" si="37"/>
        <v>0</v>
      </c>
      <c r="L199" s="23">
        <f t="shared" si="37"/>
        <v>0</v>
      </c>
      <c r="M199" s="23">
        <f t="shared" si="37"/>
        <v>0</v>
      </c>
      <c r="N199" s="23">
        <f t="shared" si="37"/>
        <v>0</v>
      </c>
      <c r="O199" s="23">
        <f t="shared" si="37"/>
        <v>-17250130</v>
      </c>
      <c r="P199" s="23">
        <f t="shared" si="37"/>
        <v>0</v>
      </c>
      <c r="Q199" s="23">
        <f t="shared" si="37"/>
        <v>0</v>
      </c>
      <c r="R199" s="23">
        <f t="shared" si="37"/>
        <v>0</v>
      </c>
      <c r="S199" s="23">
        <f t="shared" si="37"/>
        <v>0</v>
      </c>
      <c r="T199" s="23">
        <f t="shared" si="37"/>
        <v>0</v>
      </c>
      <c r="U199" s="23">
        <f t="shared" si="37"/>
        <v>0</v>
      </c>
      <c r="V199" s="23">
        <f t="shared" si="37"/>
        <v>0</v>
      </c>
      <c r="W199" s="23">
        <f t="shared" si="37"/>
        <v>0</v>
      </c>
      <c r="X199" s="23">
        <f t="shared" si="37"/>
        <v>0</v>
      </c>
      <c r="Y199" s="23">
        <f t="shared" si="37"/>
        <v>0</v>
      </c>
      <c r="Z199" s="23">
        <f t="shared" si="37"/>
        <v>0</v>
      </c>
      <c r="AA199" s="23">
        <f t="shared" si="37"/>
        <v>0</v>
      </c>
      <c r="AB199" s="23">
        <f t="shared" si="37"/>
        <v>0</v>
      </c>
      <c r="AC199" s="23">
        <f t="shared" si="37"/>
        <v>0</v>
      </c>
      <c r="AD199" s="23">
        <f t="shared" si="37"/>
        <v>0</v>
      </c>
      <c r="AE199" s="23">
        <f t="shared" si="37"/>
        <v>0</v>
      </c>
      <c r="AF199" s="23">
        <f t="shared" si="37"/>
        <v>0</v>
      </c>
      <c r="AG199" s="23">
        <f t="shared" si="37"/>
        <v>0</v>
      </c>
      <c r="AH199" s="23">
        <f t="shared" si="37"/>
        <v>0</v>
      </c>
      <c r="AI199" s="23">
        <f t="shared" si="37"/>
        <v>0</v>
      </c>
      <c r="AJ199" s="23">
        <f t="shared" si="37"/>
        <v>0</v>
      </c>
      <c r="AK199" s="23">
        <f t="shared" si="37"/>
        <v>0</v>
      </c>
      <c r="AL199" s="23">
        <f t="shared" si="37"/>
        <v>0</v>
      </c>
      <c r="AM199" s="23">
        <f t="shared" si="37"/>
        <v>0</v>
      </c>
      <c r="AS199" s="23">
        <f>SUM(D199:O199)</f>
        <v>-17250130</v>
      </c>
      <c r="AT199" s="23">
        <f>SUM(P199:AA199)</f>
        <v>0</v>
      </c>
    </row>
    <row r="200" spans="2:46" x14ac:dyDescent="0.2">
      <c r="B200" s="21"/>
      <c r="C200" s="16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8"/>
    </row>
    <row r="201" spans="2:46" s="27" customFormat="1" x14ac:dyDescent="0.2">
      <c r="B201" s="24"/>
      <c r="C201" s="25" t="s">
        <v>152</v>
      </c>
      <c r="D201" s="26">
        <f>D190+D199</f>
        <v>-18463052.159999974</v>
      </c>
      <c r="E201" s="26">
        <f t="shared" ref="E201:AM201" si="38">E190+E199</f>
        <v>314842318.63999999</v>
      </c>
      <c r="F201" s="26">
        <f t="shared" si="38"/>
        <v>262248589.04999995</v>
      </c>
      <c r="G201" s="26">
        <f t="shared" si="38"/>
        <v>244100116.12999997</v>
      </c>
      <c r="H201" s="26">
        <f t="shared" si="38"/>
        <v>-207008883.66999993</v>
      </c>
      <c r="I201" s="26">
        <f t="shared" si="38"/>
        <v>-89085548.849999979</v>
      </c>
      <c r="J201" s="26">
        <f t="shared" si="38"/>
        <v>-39419305.959999949</v>
      </c>
      <c r="K201" s="26">
        <f t="shared" si="38"/>
        <v>76824353.520000041</v>
      </c>
      <c r="L201" s="26">
        <f t="shared" si="38"/>
        <v>-21413563.879999977</v>
      </c>
      <c r="M201" s="26">
        <f t="shared" si="38"/>
        <v>-267428354.78999999</v>
      </c>
      <c r="N201" s="26">
        <f t="shared" si="38"/>
        <v>-234490470.99999991</v>
      </c>
      <c r="O201" s="26">
        <f t="shared" si="38"/>
        <v>-13102443.380000021</v>
      </c>
      <c r="P201" s="26">
        <f t="shared" si="38"/>
        <v>-17275109.189999968</v>
      </c>
      <c r="Q201" s="26">
        <f t="shared" si="38"/>
        <v>-48228565.319999993</v>
      </c>
      <c r="R201" s="26">
        <f t="shared" si="38"/>
        <v>-1301780.149999937</v>
      </c>
      <c r="S201" s="26">
        <f t="shared" si="38"/>
        <v>113135642.95999998</v>
      </c>
      <c r="T201" s="26">
        <f t="shared" si="38"/>
        <v>-410640336.83999991</v>
      </c>
      <c r="U201" s="26">
        <f t="shared" si="38"/>
        <v>-248555009.74999994</v>
      </c>
      <c r="V201" s="26">
        <f t="shared" si="38"/>
        <v>-164196234.21999997</v>
      </c>
      <c r="W201" s="26">
        <f t="shared" si="38"/>
        <v>-37737615.489999972</v>
      </c>
      <c r="X201" s="26">
        <f t="shared" si="38"/>
        <v>-135347304.86999992</v>
      </c>
      <c r="Y201" s="26">
        <f t="shared" si="38"/>
        <v>229332350.26000005</v>
      </c>
      <c r="Z201" s="26">
        <f t="shared" si="38"/>
        <v>-36352030.449999943</v>
      </c>
      <c r="AA201" s="26">
        <f>AA190+AA199</f>
        <v>-741305825.88999987</v>
      </c>
      <c r="AB201" s="26">
        <f t="shared" si="38"/>
        <v>257254587.51000014</v>
      </c>
      <c r="AC201" s="26">
        <f t="shared" si="38"/>
        <v>351190518.56</v>
      </c>
      <c r="AD201" s="26">
        <f t="shared" si="38"/>
        <v>134884006.99000001</v>
      </c>
      <c r="AE201" s="26">
        <f t="shared" si="38"/>
        <v>85097771.859999985</v>
      </c>
      <c r="AF201" s="26">
        <f t="shared" si="38"/>
        <v>0</v>
      </c>
      <c r="AG201" s="26">
        <f t="shared" si="38"/>
        <v>0</v>
      </c>
      <c r="AH201" s="26">
        <f t="shared" si="38"/>
        <v>0</v>
      </c>
      <c r="AI201" s="26">
        <f t="shared" si="38"/>
        <v>0</v>
      </c>
      <c r="AJ201" s="26">
        <f t="shared" si="38"/>
        <v>0</v>
      </c>
      <c r="AK201" s="26">
        <f t="shared" si="38"/>
        <v>0</v>
      </c>
      <c r="AL201" s="26">
        <f t="shared" si="38"/>
        <v>0</v>
      </c>
      <c r="AM201" s="26">
        <f t="shared" si="38"/>
        <v>0</v>
      </c>
      <c r="AS201" s="26">
        <f>AS190+AS199</f>
        <v>7603753.6500004157</v>
      </c>
      <c r="AT201" s="26">
        <f>AT190+AT199</f>
        <v>-1498471818.9499996</v>
      </c>
    </row>
    <row r="202" spans="2:46" s="31" customFormat="1" x14ac:dyDescent="0.2">
      <c r="B202" s="28"/>
      <c r="C202" s="29" t="s">
        <v>153</v>
      </c>
      <c r="D202" s="30">
        <f>D201/D19</f>
        <v>-0.10540017565080591</v>
      </c>
      <c r="E202" s="30">
        <f t="shared" ref="E202:AM202" si="39">E201/E19</f>
        <v>0.60723001238823338</v>
      </c>
      <c r="F202" s="30">
        <f t="shared" si="39"/>
        <v>0.49761195808578618</v>
      </c>
      <c r="G202" s="30">
        <f t="shared" si="39"/>
        <v>0.45050232723464495</v>
      </c>
      <c r="H202" s="30">
        <f t="shared" si="39"/>
        <v>-1.0013596729515875</v>
      </c>
      <c r="I202" s="30">
        <f t="shared" si="39"/>
        <v>-0.40596778660670341</v>
      </c>
      <c r="J202" s="30">
        <f t="shared" si="39"/>
        <v>-0.18434120153828751</v>
      </c>
      <c r="K202" s="30">
        <f t="shared" si="39"/>
        <v>0.24528500560508584</v>
      </c>
      <c r="L202" s="30">
        <f t="shared" si="39"/>
        <v>-0.175780040713862</v>
      </c>
      <c r="M202" s="30">
        <f t="shared" si="39"/>
        <v>-1.5424608845375991</v>
      </c>
      <c r="N202" s="30">
        <f t="shared" si="39"/>
        <v>-1.0330345564005208</v>
      </c>
      <c r="O202" s="30">
        <f t="shared" si="39"/>
        <v>-2.2122864218068722E-2</v>
      </c>
      <c r="P202" s="30">
        <f t="shared" si="39"/>
        <v>-8.1001647968932042E-2</v>
      </c>
      <c r="Q202" s="30">
        <f t="shared" si="39"/>
        <v>-0.24475457714518442</v>
      </c>
      <c r="R202" s="30">
        <f t="shared" si="39"/>
        <v>-5.8532481475978898E-3</v>
      </c>
      <c r="S202" s="30">
        <f t="shared" si="39"/>
        <v>0.46615385889118049</v>
      </c>
      <c r="T202" s="30">
        <f t="shared" si="39"/>
        <v>-2.3533454518608199</v>
      </c>
      <c r="U202" s="30">
        <f t="shared" si="39"/>
        <v>-2.0757729516469379</v>
      </c>
      <c r="V202" s="30">
        <f t="shared" si="39"/>
        <v>-0.78500991857417235</v>
      </c>
      <c r="W202" s="30">
        <f t="shared" si="39"/>
        <v>-0.20510854477422047</v>
      </c>
      <c r="X202" s="30">
        <f t="shared" si="39"/>
        <v>-0.33735938169923546</v>
      </c>
      <c r="Y202" s="30">
        <f t="shared" si="39"/>
        <v>0.30375018266166731</v>
      </c>
      <c r="Z202" s="30">
        <f t="shared" si="39"/>
        <v>-0.11266109233532166</v>
      </c>
      <c r="AA202" s="30">
        <f t="shared" si="39"/>
        <v>-2.3749392916601302</v>
      </c>
      <c r="AB202" s="30">
        <f t="shared" si="39"/>
        <v>0.36083635603989134</v>
      </c>
      <c r="AC202" s="30">
        <f t="shared" si="39"/>
        <v>0.46380570675345367</v>
      </c>
      <c r="AD202" s="30">
        <f t="shared" si="39"/>
        <v>0.24563777331686473</v>
      </c>
      <c r="AE202" s="30">
        <f t="shared" si="39"/>
        <v>0.24706878378200972</v>
      </c>
      <c r="AF202" s="30" t="e">
        <f t="shared" si="39"/>
        <v>#DIV/0!</v>
      </c>
      <c r="AG202" s="30" t="e">
        <f t="shared" si="39"/>
        <v>#DIV/0!</v>
      </c>
      <c r="AH202" s="30" t="e">
        <f t="shared" si="39"/>
        <v>#DIV/0!</v>
      </c>
      <c r="AI202" s="30" t="e">
        <f t="shared" si="39"/>
        <v>#DIV/0!</v>
      </c>
      <c r="AJ202" s="30" t="e">
        <f t="shared" si="39"/>
        <v>#DIV/0!</v>
      </c>
      <c r="AK202" s="30" t="e">
        <f t="shared" si="39"/>
        <v>#DIV/0!</v>
      </c>
      <c r="AL202" s="30" t="e">
        <f t="shared" si="39"/>
        <v>#DIV/0!</v>
      </c>
      <c r="AM202" s="30" t="e">
        <f t="shared" si="39"/>
        <v>#DIV/0!</v>
      </c>
      <c r="AS202" s="30">
        <f>AS201/AS19</f>
        <v>1.9852244273752674E-3</v>
      </c>
      <c r="AT202" s="30">
        <f>AT201/AT19</f>
        <v>-0.44679688081288471</v>
      </c>
    </row>
    <row r="203" spans="2:46" x14ac:dyDescent="0.2">
      <c r="B203" s="21"/>
      <c r="C203" s="16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8"/>
    </row>
    <row r="204" spans="2:46" x14ac:dyDescent="0.2">
      <c r="B204" s="33"/>
      <c r="AM204" s="34"/>
    </row>
    <row r="205" spans="2:46" x14ac:dyDescent="0.2">
      <c r="B205" s="35"/>
      <c r="C205" s="36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8"/>
    </row>
    <row r="207" spans="2:46" x14ac:dyDescent="0.2">
      <c r="P207" s="45">
        <f>P170+P179+P187+P199</f>
        <v>-197373309.67999995</v>
      </c>
      <c r="Q207" s="45">
        <f t="shared" ref="Q207:AA207" si="40">Q170+Q179+Q187+Q199</f>
        <v>-224132908.12</v>
      </c>
      <c r="R207" s="45">
        <f t="shared" si="40"/>
        <v>-195503944.16999996</v>
      </c>
      <c r="S207" s="45">
        <f t="shared" si="40"/>
        <v>-101737835.14000005</v>
      </c>
      <c r="T207" s="45">
        <f t="shared" si="40"/>
        <v>-540467033.5999999</v>
      </c>
      <c r="U207" s="45">
        <f t="shared" si="40"/>
        <v>-327299201.63999993</v>
      </c>
      <c r="V207" s="45">
        <f t="shared" si="40"/>
        <v>-290981036.26999998</v>
      </c>
      <c r="W207" s="45">
        <f t="shared" si="40"/>
        <v>-263382828.61999997</v>
      </c>
      <c r="X207" s="45">
        <f t="shared" si="40"/>
        <v>-444741242.17999995</v>
      </c>
      <c r="Y207" s="45">
        <f t="shared" si="40"/>
        <v>-466270525.56</v>
      </c>
      <c r="Z207" s="45">
        <f t="shared" si="40"/>
        <v>-312335536.29999995</v>
      </c>
      <c r="AA207" s="45">
        <f t="shared" si="40"/>
        <v>-1041785012.6499999</v>
      </c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</row>
  </sheetData>
  <conditionalFormatting sqref="B1:B51 B53:B1048576">
    <cfRule type="duplicateValues" dxfId="14" priority="2"/>
  </conditionalFormatting>
  <conditionalFormatting sqref="B52">
    <cfRule type="duplicateValues" dxfId="13" priority="1"/>
  </conditionalFormatting>
  <hyperlinks>
    <hyperlink ref="AU170" r:id="rId1" display="javascript:50318939" xr:uid="{C9A65D9A-4574-DB46-B88B-7F30B7E96DB8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00D1-346F-47C3-86E7-A8099CFB069C}">
  <sheetPr codeName="Sheet11">
    <tabColor rgb="FF00B050"/>
  </sheetPr>
  <dimension ref="B1:AM234"/>
  <sheetViews>
    <sheetView showGridLines="0" zoomScale="140" zoomScaleNormal="140" workbookViewId="0">
      <pane xSplit="3" ySplit="3" topLeftCell="AC159" activePane="bottomRight" state="frozen"/>
      <selection pane="topRight" activeCell="D1" sqref="D1"/>
      <selection pane="bottomLeft" activeCell="A4" sqref="A4"/>
      <selection pane="bottomRight" activeCell="AC219" sqref="AC219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2.6640625" style="10" customWidth="1"/>
    <col min="4" max="8" width="11.6640625" customWidth="1"/>
    <col min="9" max="9" width="13" customWidth="1"/>
    <col min="10" max="10" width="13.33203125" customWidth="1"/>
    <col min="11" max="15" width="11.6640625" customWidth="1"/>
    <col min="16" max="22" width="15.83203125" customWidth="1"/>
    <col min="23" max="24" width="16.5" bestFit="1" customWidth="1"/>
    <col min="25" max="25" width="11.5" bestFit="1" customWidth="1"/>
    <col min="26" max="26" width="11.1640625" bestFit="1" customWidth="1"/>
    <col min="27" max="27" width="11.83203125" bestFit="1" customWidth="1"/>
    <col min="28" max="28" width="10.6640625" customWidth="1"/>
    <col min="29" max="31" width="11.83203125" bestFit="1" customWidth="1"/>
    <col min="32" max="39" width="10.6640625" customWidth="1"/>
  </cols>
  <sheetData>
    <row r="1" spans="2:39" x14ac:dyDescent="0.2">
      <c r="K1" s="184">
        <v>6936530482.6800003</v>
      </c>
      <c r="U1" s="39">
        <v>3708311870</v>
      </c>
      <c r="V1" s="40">
        <f>V157-20280000</f>
        <v>2367427358.5499997</v>
      </c>
    </row>
    <row r="2" spans="2:39" x14ac:dyDescent="0.2">
      <c r="K2" s="40">
        <f>K1-K50</f>
        <v>0</v>
      </c>
      <c r="U2" s="41">
        <f>U1-V50</f>
        <v>-5.0000190734863281E-2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hidden="1" outlineLevel="1" x14ac:dyDescent="0.2">
      <c r="B5" s="19"/>
      <c r="C5" s="20" t="s">
        <v>154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hidden="1" outlineLevel="1" x14ac:dyDescent="0.2">
      <c r="B6" s="21">
        <f>_xlfn.XLOOKUP($C6,TB_NG!$E:$E,TB_NG!A:A)</f>
        <v>10100</v>
      </c>
      <c r="C6" s="16" t="s">
        <v>155</v>
      </c>
      <c r="D6" s="17">
        <f>_xlfn.XLOOKUP($C6,TB_NG!$E:$E,TB_NG!F:F)</f>
        <v>174816.78</v>
      </c>
      <c r="E6" s="17">
        <f>_xlfn.XLOOKUP($C6,TB_NG!$E:$E,TB_NG!G:G)</f>
        <v>143812.97</v>
      </c>
      <c r="F6" s="17">
        <f>_xlfn.XLOOKUP($C6,TB_NG!$E:$E,TB_NG!H:H)</f>
        <v>119497.01</v>
      </c>
      <c r="G6" s="17">
        <f>_xlfn.XLOOKUP($C6,TB_NG!$E:$E,TB_NG!I:I)</f>
        <v>203615.34</v>
      </c>
      <c r="H6" s="17">
        <f>_xlfn.XLOOKUP($C6,TB_NG!$E:$E,TB_NG!J:J)</f>
        <v>2542.5</v>
      </c>
      <c r="I6" s="17">
        <f>_xlfn.XLOOKUP($C6,TB_NG!$E:$E,TB_NG!K:K)</f>
        <v>188487.46</v>
      </c>
      <c r="J6" s="17">
        <f>_xlfn.XLOOKUP($C6,TB_NG!$E:$E,TB_NG!L:L)</f>
        <v>9471.8700000000008</v>
      </c>
      <c r="K6" s="17">
        <f>_xlfn.XLOOKUP($C6,TB_NG!$E:$E,TB_NG!M:M)</f>
        <v>147121.87</v>
      </c>
      <c r="L6" s="17">
        <f>_xlfn.XLOOKUP($C6,TB_NG!$E:$E,TB_NG!N:N)</f>
        <v>109721.87</v>
      </c>
      <c r="M6" s="17">
        <f>_xlfn.XLOOKUP($C6,TB_NG!$E:$E,TB_NG!O:O)</f>
        <v>91251.87</v>
      </c>
      <c r="N6" s="17">
        <f>_xlfn.XLOOKUP($C6,TB_NG!$E:$E,TB_NG!P:P)</f>
        <v>29876.85</v>
      </c>
      <c r="O6" s="17">
        <f>_xlfn.XLOOKUP($C6,TB_NG!$E:$E,TB_NG!Q:Q)</f>
        <v>225546.42</v>
      </c>
      <c r="P6" s="17">
        <f>_xlfn.XLOOKUP($C6,TB_NG!$E:$E,TB_NG!R:R)</f>
        <v>-140.30000000000001</v>
      </c>
      <c r="Q6" s="17">
        <f>_xlfn.XLOOKUP($C6,TB_NG!$E:$E,TB_NG!S:S)</f>
        <v>202990.7</v>
      </c>
      <c r="R6" s="17">
        <f>_xlfn.XLOOKUP($C6,TB_NG!$E:$E,TB_NG!T:T)</f>
        <v>220240.7</v>
      </c>
      <c r="S6" s="17">
        <f>_xlfn.XLOOKUP($C6,TB_NG!$E:$E,TB_NG!U:U)</f>
        <v>169093.91</v>
      </c>
      <c r="T6" s="17">
        <f>_xlfn.XLOOKUP($C6,TB_NG!$E:$E,TB_NG!V:V)</f>
        <v>152793.91</v>
      </c>
      <c r="U6" s="17">
        <f>_xlfn.XLOOKUP($C6,TB_NG!$E:$E,TB_NG!W:W)</f>
        <v>57975.03</v>
      </c>
      <c r="V6" s="17">
        <f>_xlfn.XLOOKUP($C6,TB_NG!$E:$E,TB_NG!X:X)</f>
        <v>11856.85</v>
      </c>
      <c r="W6" s="17">
        <f>_xlfn.XLOOKUP($C6,TB_NG!$E:$E,TB_NG!Y:Y)</f>
        <v>110352.41</v>
      </c>
      <c r="X6" s="17">
        <f>_xlfn.XLOOKUP($C6,TB_NG!$E:$E,TB_NG!Z:Z)</f>
        <v>147752.41</v>
      </c>
      <c r="Y6" s="17">
        <f>_xlfn.XLOOKUP($C6,TB_NG!$E:$E,TB_NG!AA:AA)</f>
        <v>138752.41</v>
      </c>
      <c r="Z6" s="17">
        <f>_xlfn.XLOOKUP($C6,TB_NG!$E:$E,TB_NG!AB:AB)</f>
        <v>40452.410000000003</v>
      </c>
      <c r="AA6" s="17">
        <f>_xlfn.XLOOKUP($C6,TB_NG!$E:$E,TB_NG!AC:AC)</f>
        <v>206252.41</v>
      </c>
      <c r="AB6" s="17">
        <f>_xlfn.XLOOKUP($C6,TB_NG!$E:$E,TB_NG!AD:AD)</f>
        <v>36574.46</v>
      </c>
      <c r="AC6" s="17">
        <f>_xlfn.XLOOKUP($C6,TB_NG!$E:$E,TB_NG!AE:AE)</f>
        <v>95613.21</v>
      </c>
      <c r="AD6" s="17">
        <f>_xlfn.XLOOKUP($C6,TB_NG!$E:$E,TB_NG!AF:AF)</f>
        <v>159113.21</v>
      </c>
      <c r="AE6" s="17">
        <f>_xlfn.XLOOKUP($C6,TB_NG!$E:$E,TB_NG!AG:AG)</f>
        <v>178118.21</v>
      </c>
      <c r="AF6" s="17">
        <f>_xlfn.XLOOKUP($C6,TB_NG!$E:$E,TB_NG!AH:AH)</f>
        <v>0</v>
      </c>
      <c r="AG6" s="17">
        <f>_xlfn.XLOOKUP($C6,TB_NG!$E:$E,TB_NG!AI:AI)</f>
        <v>0</v>
      </c>
      <c r="AH6" s="17">
        <f>_xlfn.XLOOKUP($C6,TB_NG!$E:$E,TB_NG!AJ:AJ)</f>
        <v>0</v>
      </c>
      <c r="AI6" s="17">
        <f>_xlfn.XLOOKUP($C6,TB_NG!$E:$E,TB_NG!AK:AK)</f>
        <v>0</v>
      </c>
      <c r="AJ6" s="17">
        <f>_xlfn.XLOOKUP($C6,TB_NG!$E:$E,TB_NG!AL:AL)</f>
        <v>0</v>
      </c>
      <c r="AK6" s="17">
        <f>_xlfn.XLOOKUP($C6,TB_NG!$E:$E,TB_NG!AM:AM)</f>
        <v>0</v>
      </c>
      <c r="AL6" s="17">
        <f>_xlfn.XLOOKUP($C6,TB_NG!$E:$E,TB_NG!AN:AN)</f>
        <v>0</v>
      </c>
      <c r="AM6" s="17">
        <f>_xlfn.XLOOKUP($C6,TB_NG!$E:$E,TB_NG!AO:AO)</f>
        <v>0</v>
      </c>
    </row>
    <row r="7" spans="2:39" hidden="1" outlineLevel="1" x14ac:dyDescent="0.2">
      <c r="B7" s="21">
        <f>_xlfn.XLOOKUP($C7,TB_NG!$E:$E,TB_NG!A:A)</f>
        <v>10104</v>
      </c>
      <c r="C7" s="16" t="s">
        <v>156</v>
      </c>
      <c r="D7" s="17">
        <f>_xlfn.XLOOKUP($C7,TB_NG!$E:$E,TB_NG!F:F)</f>
        <v>-7545350</v>
      </c>
      <c r="E7" s="17">
        <f>_xlfn.XLOOKUP($C7,TB_NG!$E:$E,TB_NG!G:G)</f>
        <v>4486515</v>
      </c>
      <c r="F7" s="17">
        <f>_xlfn.XLOOKUP($C7,TB_NG!$E:$E,TB_NG!H:H)</f>
        <v>19285530</v>
      </c>
      <c r="G7" s="17">
        <f>_xlfn.XLOOKUP($C7,TB_NG!$E:$E,TB_NG!I:I)</f>
        <v>17214006.940000001</v>
      </c>
      <c r="H7" s="17">
        <f>_xlfn.XLOOKUP($C7,TB_NG!$E:$E,TB_NG!J:J)</f>
        <v>5753672.54</v>
      </c>
      <c r="I7" s="17">
        <f>_xlfn.XLOOKUP($C7,TB_NG!$E:$E,TB_NG!K:K)</f>
        <v>3379893.84</v>
      </c>
      <c r="J7" s="17">
        <f>_xlfn.XLOOKUP($C7,TB_NG!$E:$E,TB_NG!L:L)</f>
        <v>3830184.96</v>
      </c>
      <c r="K7" s="17">
        <f>_xlfn.XLOOKUP($C7,TB_NG!$E:$E,TB_NG!M:M)</f>
        <v>830058.3</v>
      </c>
      <c r="L7" s="17">
        <f>_xlfn.XLOOKUP($C7,TB_NG!$E:$E,TB_NG!N:N)</f>
        <v>1437798.76</v>
      </c>
      <c r="M7" s="17">
        <f>_xlfn.XLOOKUP($C7,TB_NG!$E:$E,TB_NG!O:O)</f>
        <v>5695816.4400000004</v>
      </c>
      <c r="N7" s="17">
        <f>_xlfn.XLOOKUP($C7,TB_NG!$E:$E,TB_NG!P:P)</f>
        <v>6152609.2800000003</v>
      </c>
      <c r="O7" s="17">
        <f>_xlfn.XLOOKUP($C7,TB_NG!$E:$E,TB_NG!Q:Q)</f>
        <v>5307070.8</v>
      </c>
      <c r="P7" s="17">
        <f>_xlfn.XLOOKUP($C7,TB_NG!$E:$E,TB_NG!R:R)</f>
        <v>10564987.02</v>
      </c>
      <c r="Q7" s="17">
        <f>_xlfn.XLOOKUP($C7,TB_NG!$E:$E,TB_NG!S:S)</f>
        <v>23401976.309999999</v>
      </c>
      <c r="R7" s="17">
        <f>_xlfn.XLOOKUP($C7,TB_NG!$E:$E,TB_NG!T:T)</f>
        <v>78315.09</v>
      </c>
      <c r="S7" s="17">
        <f>_xlfn.XLOOKUP($C7,TB_NG!$E:$E,TB_NG!U:U)</f>
        <v>49658.9</v>
      </c>
      <c r="T7" s="17">
        <f>_xlfn.XLOOKUP($C7,TB_NG!$E:$E,TB_NG!V:V)</f>
        <v>5749387.5899999999</v>
      </c>
      <c r="U7" s="17">
        <f>_xlfn.XLOOKUP($C7,TB_NG!$E:$E,TB_NG!W:W)</f>
        <v>5350511.79</v>
      </c>
      <c r="V7" s="17">
        <f>_xlfn.XLOOKUP($C7,TB_NG!$E:$E,TB_NG!X:X)</f>
        <v>13408798.109999999</v>
      </c>
      <c r="W7" s="17">
        <f>_xlfn.XLOOKUP($C7,TB_NG!$E:$E,TB_NG!Y:Y)</f>
        <v>5016168.03</v>
      </c>
      <c r="X7" s="17">
        <f>_xlfn.XLOOKUP($C7,TB_NG!$E:$E,TB_NG!Z:Z)</f>
        <v>5951281.1399999997</v>
      </c>
      <c r="Y7" s="17">
        <f>_xlfn.XLOOKUP($C7,TB_NG!$E:$E,TB_NG!AA:AA)</f>
        <v>6140039.6399999997</v>
      </c>
      <c r="Z7" s="17">
        <f>_xlfn.XLOOKUP($C7,TB_NG!$E:$E,TB_NG!AB:AB)</f>
        <v>9271083.5</v>
      </c>
      <c r="AA7" s="17">
        <f>_xlfn.XLOOKUP($C7,TB_NG!$E:$E,TB_NG!AC:AC)</f>
        <v>2871776.46</v>
      </c>
      <c r="AB7" s="17">
        <f>_xlfn.XLOOKUP($C7,TB_NG!$E:$E,TB_NG!AD:AD)</f>
        <v>12074464.710000001</v>
      </c>
      <c r="AC7" s="17">
        <f>_xlfn.XLOOKUP($C7,TB_NG!$E:$E,TB_NG!AE:AE)</f>
        <v>27406432.550000001</v>
      </c>
      <c r="AD7" s="17">
        <f>_xlfn.XLOOKUP($C7,TB_NG!$E:$E,TB_NG!AF:AF)</f>
        <v>56657208.240000002</v>
      </c>
      <c r="AE7" s="17">
        <f>_xlfn.XLOOKUP($C7,TB_NG!$E:$E,TB_NG!AG:AG)</f>
        <v>12115283.699999999</v>
      </c>
      <c r="AF7" s="17">
        <f>_xlfn.XLOOKUP($C7,TB_NG!$E:$E,TB_NG!AH:AH)</f>
        <v>0</v>
      </c>
      <c r="AG7" s="17">
        <f>_xlfn.XLOOKUP($C7,TB_NG!$E:$E,TB_NG!AI:AI)</f>
        <v>0</v>
      </c>
      <c r="AH7" s="17">
        <f>_xlfn.XLOOKUP($C7,TB_NG!$E:$E,TB_NG!AJ:AJ)</f>
        <v>0</v>
      </c>
      <c r="AI7" s="17">
        <f>_xlfn.XLOOKUP($C7,TB_NG!$E:$E,TB_NG!AK:AK)</f>
        <v>0</v>
      </c>
      <c r="AJ7" s="17">
        <f>_xlfn.XLOOKUP($C7,TB_NG!$E:$E,TB_NG!AL:AL)</f>
        <v>0</v>
      </c>
      <c r="AK7" s="17">
        <f>_xlfn.XLOOKUP($C7,TB_NG!$E:$E,TB_NG!AM:AM)</f>
        <v>0</v>
      </c>
      <c r="AL7" s="17">
        <f>_xlfn.XLOOKUP($C7,TB_NG!$E:$E,TB_NG!AN:AN)</f>
        <v>0</v>
      </c>
      <c r="AM7" s="17">
        <f>_xlfn.XLOOKUP($C7,TB_NG!$E:$E,TB_NG!AO:AO)</f>
        <v>0</v>
      </c>
    </row>
    <row r="8" spans="2:39" hidden="1" outlineLevel="1" x14ac:dyDescent="0.2">
      <c r="B8" s="21">
        <v>10752</v>
      </c>
      <c r="C8" s="401" t="str">
        <f>_xlfn.XLOOKUP($B8,'[1]Trial Balance'!$A:$A,'[1]Trial Balance'!E:E)</f>
        <v>Cash in Hand (GBP)</v>
      </c>
      <c r="D8" s="17">
        <f>_xlfn.XLOOKUP($B8,TB_NG!$A:$A,TB_NG!F:F)</f>
        <v>0</v>
      </c>
      <c r="E8" s="17">
        <f>_xlfn.XLOOKUP($B8,TB_NG!$A:$A,TB_NG!G:G)</f>
        <v>0</v>
      </c>
      <c r="F8" s="17">
        <f>_xlfn.XLOOKUP($B8,TB_NG!$A:$A,TB_NG!H:H)</f>
        <v>0</v>
      </c>
      <c r="G8" s="17">
        <f>_xlfn.XLOOKUP($B8,TB_NG!$A:$A,TB_NG!I:I)</f>
        <v>0</v>
      </c>
      <c r="H8" s="17">
        <f>_xlfn.XLOOKUP($B8,TB_NG!$A:$A,TB_NG!J:J)</f>
        <v>0</v>
      </c>
      <c r="I8" s="17">
        <f>_xlfn.XLOOKUP($B8,TB_NG!$A:$A,TB_NG!K:K)</f>
        <v>0</v>
      </c>
      <c r="J8" s="17">
        <f>_xlfn.XLOOKUP($B8,TB_NG!$A:$A,TB_NG!L:L)</f>
        <v>0</v>
      </c>
      <c r="K8" s="17">
        <f>_xlfn.XLOOKUP($B8,TB_NG!$A:$A,TB_NG!M:M)</f>
        <v>0</v>
      </c>
      <c r="L8" s="17">
        <f>_xlfn.XLOOKUP($B8,TB_NG!$A:$A,TB_NG!N:N)</f>
        <v>0</v>
      </c>
      <c r="M8" s="17">
        <f>_xlfn.XLOOKUP($B8,TB_NG!$A:$A,TB_NG!O:O)</f>
        <v>0</v>
      </c>
      <c r="N8" s="17">
        <f>_xlfn.XLOOKUP($B8,TB_NG!$A:$A,TB_NG!P:P)</f>
        <v>0</v>
      </c>
      <c r="O8" s="17">
        <f>_xlfn.XLOOKUP($B8,TB_NG!$A:$A,TB_NG!Q:Q)</f>
        <v>0</v>
      </c>
      <c r="P8" s="17">
        <f>_xlfn.XLOOKUP($B8,TB_NG!$A:$A,TB_NG!R:R)</f>
        <v>0</v>
      </c>
      <c r="Q8" s="17">
        <f>_xlfn.XLOOKUP($B8,TB_NG!$A:$A,TB_NG!S:S)</f>
        <v>0</v>
      </c>
      <c r="R8" s="17">
        <f>_xlfn.XLOOKUP($B8,TB_NG!$A:$A,TB_NG!T:T)</f>
        <v>0</v>
      </c>
      <c r="S8" s="17">
        <f>_xlfn.XLOOKUP($B8,TB_NG!$A:$A,TB_NG!U:U)</f>
        <v>0</v>
      </c>
      <c r="T8" s="17">
        <f>_xlfn.XLOOKUP($B8,TB_NG!$A:$A,TB_NG!V:V)</f>
        <v>0</v>
      </c>
      <c r="U8" s="17">
        <f>_xlfn.XLOOKUP($B8,TB_NG!$A:$A,TB_NG!W:W)</f>
        <v>0</v>
      </c>
      <c r="V8" s="17">
        <f>_xlfn.XLOOKUP($B8,TB_NG!$A:$A,TB_NG!X:X)</f>
        <v>0</v>
      </c>
      <c r="W8" s="17">
        <f>_xlfn.XLOOKUP($B8,TB_NG!$A:$A,TB_NG!Y:Y)</f>
        <v>0</v>
      </c>
      <c r="X8" s="17">
        <f>_xlfn.XLOOKUP($B8,TB_NG!$A:$A,TB_NG!Z:Z)</f>
        <v>0</v>
      </c>
      <c r="Y8" s="17">
        <f>_xlfn.XLOOKUP($B8,TB_NG!$A:$A,TB_NG!AA:AA)</f>
        <v>0</v>
      </c>
      <c r="Z8" s="17">
        <f>_xlfn.XLOOKUP($B8,TB_NG!$A:$A,TB_NG!AB:AB)</f>
        <v>4727752.9000000004</v>
      </c>
      <c r="AA8" s="17">
        <f>_xlfn.XLOOKUP($B8,TB_NG!$A:$A,TB_NG!AC:AC)</f>
        <v>4938268.75</v>
      </c>
      <c r="AB8" s="17">
        <f>_xlfn.XLOOKUP($B8,TB_NG!$A:$A,TB_NG!AD:AD)</f>
        <v>4813306.5</v>
      </c>
      <c r="AC8" s="17">
        <f>_xlfn.XLOOKUP($B8,TB_NG!$A:$A,TB_NG!AE:AE)</f>
        <v>4618023</v>
      </c>
      <c r="AD8" s="17">
        <f>_xlfn.XLOOKUP($B8,TB_NG!$A:$A,TB_NG!AF:AF)</f>
        <v>4615952.5</v>
      </c>
      <c r="AE8" s="17">
        <f>_xlfn.XLOOKUP($B8,TB_NG!$A:$A,TB_NG!AG:AG)</f>
        <v>4684127.5</v>
      </c>
      <c r="AF8" s="17">
        <f>_xlfn.XLOOKUP($B8,TB_NG!$A:$A,TB_NG!AH:AH)</f>
        <v>0</v>
      </c>
      <c r="AG8" s="17">
        <f>_xlfn.XLOOKUP($B8,TB_NG!$A:$A,TB_NG!AI:AI)</f>
        <v>0</v>
      </c>
      <c r="AH8" s="17">
        <f>_xlfn.XLOOKUP($B8,TB_NG!$A:$A,TB_NG!AJ:AJ)</f>
        <v>0</v>
      </c>
      <c r="AI8" s="17">
        <f>_xlfn.XLOOKUP($B8,TB_NG!$A:$A,TB_NG!AK:AK)</f>
        <v>0</v>
      </c>
      <c r="AJ8" s="17">
        <f>_xlfn.XLOOKUP($B8,TB_NG!$A:$A,TB_NG!AL:AL)</f>
        <v>0</v>
      </c>
      <c r="AK8" s="17">
        <f>_xlfn.XLOOKUP($B8,TB_NG!$A:$A,TB_NG!AM:AM)</f>
        <v>0</v>
      </c>
      <c r="AL8" s="17">
        <f>_xlfn.XLOOKUP($B8,TB_NG!$A:$A,TB_NG!AN:AN)</f>
        <v>0</v>
      </c>
      <c r="AM8" s="17">
        <f>_xlfn.XLOOKUP($B8,TB_NG!$A:$A,TB_NG!AO:AO)</f>
        <v>0</v>
      </c>
    </row>
    <row r="9" spans="2:39" hidden="1" outlineLevel="1" x14ac:dyDescent="0.2">
      <c r="B9" s="21">
        <v>10803</v>
      </c>
      <c r="C9" s="401" t="str">
        <f>_xlfn.XLOOKUP($B9,'[1]Trial Balance'!$A:$A,'[1]Trial Balance'!E:E)</f>
        <v>Verto FX Wallet (Naira)</v>
      </c>
      <c r="D9" s="17">
        <f>_xlfn.XLOOKUP($B9,TB_NG!$A:$A,TB_NG!F:F)</f>
        <v>0</v>
      </c>
      <c r="E9" s="17">
        <f>_xlfn.XLOOKUP($B9,TB_NG!$A:$A,TB_NG!G:G)</f>
        <v>0</v>
      </c>
      <c r="F9" s="17">
        <f>_xlfn.XLOOKUP($B9,TB_NG!$A:$A,TB_NG!H:H)</f>
        <v>0</v>
      </c>
      <c r="G9" s="17">
        <f>_xlfn.XLOOKUP($B9,TB_NG!$A:$A,TB_NG!I:I)</f>
        <v>0</v>
      </c>
      <c r="H9" s="17">
        <f>_xlfn.XLOOKUP($B9,TB_NG!$A:$A,TB_NG!J:J)</f>
        <v>0</v>
      </c>
      <c r="I9" s="17">
        <f>_xlfn.XLOOKUP($B9,TB_NG!$A:$A,TB_NG!K:K)</f>
        <v>0</v>
      </c>
      <c r="J9" s="17">
        <f>_xlfn.XLOOKUP($B9,TB_NG!$A:$A,TB_NG!L:L)</f>
        <v>0</v>
      </c>
      <c r="K9" s="17">
        <f>_xlfn.XLOOKUP($B9,TB_NG!$A:$A,TB_NG!M:M)</f>
        <v>0</v>
      </c>
      <c r="L9" s="17">
        <f>_xlfn.XLOOKUP($B9,TB_NG!$A:$A,TB_NG!N:N)</f>
        <v>0</v>
      </c>
      <c r="M9" s="17">
        <f>_xlfn.XLOOKUP($B9,TB_NG!$A:$A,TB_NG!O:O)</f>
        <v>0</v>
      </c>
      <c r="N9" s="17">
        <f>_xlfn.XLOOKUP($B9,TB_NG!$A:$A,TB_NG!P:P)</f>
        <v>0</v>
      </c>
      <c r="O9" s="17">
        <f>_xlfn.XLOOKUP($B9,TB_NG!$A:$A,TB_NG!Q:Q)</f>
        <v>0</v>
      </c>
      <c r="P9" s="17">
        <f>_xlfn.XLOOKUP($B9,TB_NG!$A:$A,TB_NG!R:R)</f>
        <v>0</v>
      </c>
      <c r="Q9" s="17">
        <f>_xlfn.XLOOKUP($B9,TB_NG!$A:$A,TB_NG!S:S)</f>
        <v>0</v>
      </c>
      <c r="R9" s="17">
        <f>_xlfn.XLOOKUP($B9,TB_NG!$A:$A,TB_NG!T:T)</f>
        <v>0</v>
      </c>
      <c r="S9" s="17">
        <f>_xlfn.XLOOKUP($B9,TB_NG!$A:$A,TB_NG!U:U)</f>
        <v>0</v>
      </c>
      <c r="T9" s="17">
        <f>_xlfn.XLOOKUP($B9,TB_NG!$A:$A,TB_NG!V:V)</f>
        <v>0</v>
      </c>
      <c r="U9" s="17">
        <f>_xlfn.XLOOKUP($B9,TB_NG!$A:$A,TB_NG!W:W)</f>
        <v>0</v>
      </c>
      <c r="V9" s="17">
        <f>_xlfn.XLOOKUP($B9,TB_NG!$A:$A,TB_NG!X:X)</f>
        <v>0</v>
      </c>
      <c r="W9" s="17">
        <f>_xlfn.XLOOKUP($B9,TB_NG!$A:$A,TB_NG!Y:Y)</f>
        <v>0</v>
      </c>
      <c r="X9" s="17">
        <f>_xlfn.XLOOKUP($B9,TB_NG!$A:$A,TB_NG!Z:Z)</f>
        <v>2044.37</v>
      </c>
      <c r="Y9" s="17">
        <f>_xlfn.XLOOKUP($B9,TB_NG!$A:$A,TB_NG!AA:AA)</f>
        <v>2044.37</v>
      </c>
      <c r="Z9" s="17">
        <f>_xlfn.XLOOKUP($B9,TB_NG!$A:$A,TB_NG!AB:AB)</f>
        <v>2044.37</v>
      </c>
      <c r="AA9" s="17">
        <f>_xlfn.XLOOKUP($B9,TB_NG!$A:$A,TB_NG!AC:AC)</f>
        <v>2044.37</v>
      </c>
      <c r="AB9" s="17">
        <f>_xlfn.XLOOKUP($B9,TB_NG!$A:$A,TB_NG!AD:AD)</f>
        <v>2044.37</v>
      </c>
      <c r="AC9" s="17">
        <f>_xlfn.XLOOKUP($B9,TB_NG!$A:$A,TB_NG!AE:AE)</f>
        <v>2044.37</v>
      </c>
      <c r="AD9" s="17">
        <f>_xlfn.XLOOKUP($B9,TB_NG!$A:$A,TB_NG!AF:AF)</f>
        <v>2044.37</v>
      </c>
      <c r="AE9" s="17">
        <f>_xlfn.XLOOKUP($B9,TB_NG!$A:$A,TB_NG!AG:AG)</f>
        <v>2044.37</v>
      </c>
      <c r="AF9" s="17">
        <f>_xlfn.XLOOKUP($B9,TB_NG!$A:$A,TB_NG!AH:AH)</f>
        <v>0</v>
      </c>
      <c r="AG9" s="17">
        <f>_xlfn.XLOOKUP($B9,TB_NG!$A:$A,TB_NG!AI:AI)</f>
        <v>0</v>
      </c>
      <c r="AH9" s="17">
        <f>_xlfn.XLOOKUP($B9,TB_NG!$A:$A,TB_NG!AJ:AJ)</f>
        <v>0</v>
      </c>
      <c r="AI9" s="17">
        <f>_xlfn.XLOOKUP($B9,TB_NG!$A:$A,TB_NG!AK:AK)</f>
        <v>0</v>
      </c>
      <c r="AJ9" s="17">
        <f>_xlfn.XLOOKUP($B9,TB_NG!$A:$A,TB_NG!AL:AL)</f>
        <v>0</v>
      </c>
      <c r="AK9" s="17">
        <f>_xlfn.XLOOKUP($B9,TB_NG!$A:$A,TB_NG!AM:AM)</f>
        <v>0</v>
      </c>
      <c r="AL9" s="17">
        <f>_xlfn.XLOOKUP($B9,TB_NG!$A:$A,TB_NG!AN:AN)</f>
        <v>0</v>
      </c>
      <c r="AM9" s="17">
        <f>_xlfn.XLOOKUP($B9,TB_NG!$A:$A,TB_NG!AO:AO)</f>
        <v>0</v>
      </c>
    </row>
    <row r="10" spans="2:39" hidden="1" outlineLevel="1" x14ac:dyDescent="0.2">
      <c r="B10" s="21">
        <f>_xlfn.XLOOKUP($C10,TB_NG!$E:$E,TB_NG!A:A)</f>
        <v>10200</v>
      </c>
      <c r="C10" s="16" t="s">
        <v>157</v>
      </c>
      <c r="D10" s="17">
        <f>_xlfn.XLOOKUP($C10,TB_NG!$E:$E,TB_NG!F:F)</f>
        <v>11745.64</v>
      </c>
      <c r="E10" s="17">
        <f>_xlfn.XLOOKUP($C10,TB_NG!$E:$E,TB_NG!G:G)</f>
        <v>11745.64</v>
      </c>
      <c r="F10" s="17">
        <f>_xlfn.XLOOKUP($C10,TB_NG!$E:$E,TB_NG!H:H)</f>
        <v>11745.64</v>
      </c>
      <c r="G10" s="17">
        <f>_xlfn.XLOOKUP($C10,TB_NG!$E:$E,TB_NG!I:I)</f>
        <v>11745.64</v>
      </c>
      <c r="H10" s="17">
        <f>_xlfn.XLOOKUP($C10,TB_NG!$E:$E,TB_NG!J:J)</f>
        <v>11745.64</v>
      </c>
      <c r="I10" s="17">
        <f>_xlfn.XLOOKUP($C10,TB_NG!$E:$E,TB_NG!K:K)</f>
        <v>985036435.14999998</v>
      </c>
      <c r="J10" s="17">
        <f>_xlfn.XLOOKUP($C10,TB_NG!$E:$E,TB_NG!L:L)</f>
        <v>11745.64</v>
      </c>
      <c r="K10" s="17">
        <f>_xlfn.XLOOKUP($C10,TB_NG!$E:$E,TB_NG!M:M)</f>
        <v>11745.64</v>
      </c>
      <c r="L10" s="17">
        <f>_xlfn.XLOOKUP($C10,TB_NG!$E:$E,TB_NG!N:N)</f>
        <v>11745.64</v>
      </c>
      <c r="M10" s="17">
        <f>_xlfn.XLOOKUP($C10,TB_NG!$E:$E,TB_NG!O:O)</f>
        <v>11745.64</v>
      </c>
      <c r="N10" s="17">
        <f>_xlfn.XLOOKUP($C10,TB_NG!$E:$E,TB_NG!P:P)</f>
        <v>11745.64</v>
      </c>
      <c r="O10" s="17">
        <f>_xlfn.XLOOKUP($C10,TB_NG!$E:$E,TB_NG!Q:Q)</f>
        <v>11745.64</v>
      </c>
      <c r="P10" s="17">
        <f>_xlfn.XLOOKUP($C10,TB_NG!$E:$E,TB_NG!R:R)</f>
        <v>11745.64</v>
      </c>
      <c r="Q10" s="17">
        <f>_xlfn.XLOOKUP($C10,TB_NG!$E:$E,TB_NG!S:S)</f>
        <v>11745.64</v>
      </c>
      <c r="R10" s="17">
        <f>_xlfn.XLOOKUP($C10,TB_NG!$E:$E,TB_NG!T:T)</f>
        <v>11745.64</v>
      </c>
      <c r="S10" s="17">
        <f>_xlfn.XLOOKUP($C10,TB_NG!$E:$E,TB_NG!U:U)</f>
        <v>11745.64</v>
      </c>
      <c r="T10" s="17">
        <f>_xlfn.XLOOKUP($C10,TB_NG!$E:$E,TB_NG!V:V)</f>
        <v>11745.64</v>
      </c>
      <c r="U10" s="17">
        <f>_xlfn.XLOOKUP($C10,TB_NG!$E:$E,TB_NG!W:W)</f>
        <v>11745.64</v>
      </c>
      <c r="V10" s="17">
        <f>_xlfn.XLOOKUP($C10,TB_NG!$E:$E,TB_NG!X:X)</f>
        <v>11745.64</v>
      </c>
      <c r="W10" s="17">
        <f>_xlfn.XLOOKUP($C10,TB_NG!$E:$E,TB_NG!Y:Y)</f>
        <v>11745.64</v>
      </c>
      <c r="X10" s="17">
        <f>_xlfn.XLOOKUP($C10,TB_NG!$E:$E,TB_NG!Z:Z)</f>
        <v>11745.64</v>
      </c>
      <c r="Y10" s="17">
        <f>_xlfn.XLOOKUP($C10,TB_NG!$E:$E,TB_NG!AA:AA)</f>
        <v>11745.64</v>
      </c>
      <c r="Z10" s="17">
        <f>_xlfn.XLOOKUP($C10,TB_NG!$E:$E,TB_NG!AB:AB)</f>
        <v>11745.64</v>
      </c>
      <c r="AA10" s="17">
        <f>_xlfn.XLOOKUP($C10,TB_NG!$E:$E,TB_NG!AC:AC)</f>
        <v>11745.64</v>
      </c>
      <c r="AB10" s="17">
        <f>_xlfn.XLOOKUP($C10,TB_NG!$E:$E,TB_NG!AD:AD)</f>
        <v>11745.64</v>
      </c>
      <c r="AC10" s="17">
        <f>_xlfn.XLOOKUP($C10,TB_NG!$E:$E,TB_NG!AE:AE)</f>
        <v>11745.64</v>
      </c>
      <c r="AD10" s="17">
        <f>_xlfn.XLOOKUP($C10,TB_NG!$E:$E,TB_NG!AF:AF)</f>
        <v>11745.64</v>
      </c>
      <c r="AE10" s="17">
        <f>_xlfn.XLOOKUP($C10,TB_NG!$E:$E,TB_NG!AG:AG)</f>
        <v>11745.64</v>
      </c>
      <c r="AF10" s="17">
        <f>_xlfn.XLOOKUP($C10,TB_NG!$E:$E,TB_NG!AH:AH)</f>
        <v>0</v>
      </c>
      <c r="AG10" s="17">
        <f>_xlfn.XLOOKUP($C10,TB_NG!$E:$E,TB_NG!AI:AI)</f>
        <v>0</v>
      </c>
      <c r="AH10" s="17">
        <f>_xlfn.XLOOKUP($C10,TB_NG!$E:$E,TB_NG!AJ:AJ)</f>
        <v>0</v>
      </c>
      <c r="AI10" s="17">
        <f>_xlfn.XLOOKUP($C10,TB_NG!$E:$E,TB_NG!AK:AK)</f>
        <v>0</v>
      </c>
      <c r="AJ10" s="17">
        <f>_xlfn.XLOOKUP($C10,TB_NG!$E:$E,TB_NG!AL:AL)</f>
        <v>0</v>
      </c>
      <c r="AK10" s="17">
        <f>_xlfn.XLOOKUP($C10,TB_NG!$E:$E,TB_NG!AM:AM)</f>
        <v>0</v>
      </c>
      <c r="AL10" s="17">
        <f>_xlfn.XLOOKUP($C10,TB_NG!$E:$E,TB_NG!AN:AN)</f>
        <v>0</v>
      </c>
      <c r="AM10" s="17">
        <f>_xlfn.XLOOKUP($C10,TB_NG!$E:$E,TB_NG!AO:AO)</f>
        <v>0</v>
      </c>
    </row>
    <row r="11" spans="2:39" hidden="1" outlineLevel="1" x14ac:dyDescent="0.2">
      <c r="B11" s="21">
        <f>_xlfn.XLOOKUP($C11,TB_NG!$E:$E,TB_NG!A:A)</f>
        <v>10210</v>
      </c>
      <c r="C11" s="16" t="s">
        <v>158</v>
      </c>
      <c r="D11" s="17">
        <f>_xlfn.XLOOKUP($C11,TB_NG!$E:$E,TB_NG!F:F)</f>
        <v>73124.13</v>
      </c>
      <c r="E11" s="17">
        <f>_xlfn.XLOOKUP($C11,TB_NG!$E:$E,TB_NG!G:G)</f>
        <v>73124.13</v>
      </c>
      <c r="F11" s="17">
        <f>_xlfn.XLOOKUP($C11,TB_NG!$E:$E,TB_NG!H:H)</f>
        <v>73124.13</v>
      </c>
      <c r="G11" s="17">
        <f>_xlfn.XLOOKUP($C11,TB_NG!$E:$E,TB_NG!I:I)</f>
        <v>73124.13</v>
      </c>
      <c r="H11" s="17">
        <f>_xlfn.XLOOKUP($C11,TB_NG!$E:$E,TB_NG!J:J)</f>
        <v>73124.13</v>
      </c>
      <c r="I11" s="17">
        <f>_xlfn.XLOOKUP($C11,TB_NG!$E:$E,TB_NG!K:K)</f>
        <v>73124.13</v>
      </c>
      <c r="J11" s="17">
        <f>_xlfn.XLOOKUP($C11,TB_NG!$E:$E,TB_NG!L:L)</f>
        <v>73124.13</v>
      </c>
      <c r="K11" s="17">
        <f>_xlfn.XLOOKUP($C11,TB_NG!$E:$E,TB_NG!M:M)</f>
        <v>73124.13</v>
      </c>
      <c r="L11" s="17">
        <f>_xlfn.XLOOKUP($C11,TB_NG!$E:$E,TB_NG!N:N)</f>
        <v>73124.13</v>
      </c>
      <c r="M11" s="17">
        <f>_xlfn.XLOOKUP($C11,TB_NG!$E:$E,TB_NG!O:O)</f>
        <v>73124.13</v>
      </c>
      <c r="N11" s="17">
        <f>_xlfn.XLOOKUP($C11,TB_NG!$E:$E,TB_NG!P:P)</f>
        <v>73124.13</v>
      </c>
      <c r="O11" s="17">
        <f>_xlfn.XLOOKUP($C11,TB_NG!$E:$E,TB_NG!Q:Q)</f>
        <v>73124.13</v>
      </c>
      <c r="P11" s="17">
        <f>_xlfn.XLOOKUP($C11,TB_NG!$E:$E,TB_NG!R:R)</f>
        <v>73124.13</v>
      </c>
      <c r="Q11" s="17">
        <f>_xlfn.XLOOKUP($C11,TB_NG!$E:$E,TB_NG!S:S)</f>
        <v>73124.13</v>
      </c>
      <c r="R11" s="17">
        <f>_xlfn.XLOOKUP($C11,TB_NG!$E:$E,TB_NG!T:T)</f>
        <v>73124.13</v>
      </c>
      <c r="S11" s="17">
        <f>_xlfn.XLOOKUP($C11,TB_NG!$E:$E,TB_NG!U:U)</f>
        <v>73124.13</v>
      </c>
      <c r="T11" s="17">
        <f>_xlfn.XLOOKUP($C11,TB_NG!$E:$E,TB_NG!V:V)</f>
        <v>73124.13</v>
      </c>
      <c r="U11" s="17">
        <f>_xlfn.XLOOKUP($C11,TB_NG!$E:$E,TB_NG!W:W)</f>
        <v>73124.13</v>
      </c>
      <c r="V11" s="17">
        <f>_xlfn.XLOOKUP($C11,TB_NG!$E:$E,TB_NG!X:X)</f>
        <v>73124.13</v>
      </c>
      <c r="W11" s="17">
        <f>_xlfn.XLOOKUP($C11,TB_NG!$E:$E,TB_NG!Y:Y)</f>
        <v>73124.13</v>
      </c>
      <c r="X11" s="17">
        <f>_xlfn.XLOOKUP($C11,TB_NG!$E:$E,TB_NG!Z:Z)</f>
        <v>73124.13</v>
      </c>
      <c r="Y11" s="17">
        <f>_xlfn.XLOOKUP($C11,TB_NG!$E:$E,TB_NG!AA:AA)</f>
        <v>73124.13</v>
      </c>
      <c r="Z11" s="17">
        <f>_xlfn.XLOOKUP($C11,TB_NG!$E:$E,TB_NG!AB:AB)</f>
        <v>73124.13</v>
      </c>
      <c r="AA11" s="17">
        <f>_xlfn.XLOOKUP($C11,TB_NG!$E:$E,TB_NG!AC:AC)</f>
        <v>73124.13</v>
      </c>
      <c r="AB11" s="17">
        <f>_xlfn.XLOOKUP($C11,TB_NG!$E:$E,TB_NG!AD:AD)</f>
        <v>73124.13</v>
      </c>
      <c r="AC11" s="17">
        <f>_xlfn.XLOOKUP($C11,TB_NG!$E:$E,TB_NG!AE:AE)</f>
        <v>73124.13</v>
      </c>
      <c r="AD11" s="17">
        <f>_xlfn.XLOOKUP($C11,TB_NG!$E:$E,TB_NG!AF:AF)</f>
        <v>73124.13</v>
      </c>
      <c r="AE11" s="17">
        <f>_xlfn.XLOOKUP($C11,TB_NG!$E:$E,TB_NG!AG:AG)</f>
        <v>73124.13</v>
      </c>
      <c r="AF11" s="17">
        <f>_xlfn.XLOOKUP($C11,TB_NG!$E:$E,TB_NG!AH:AH)</f>
        <v>0</v>
      </c>
      <c r="AG11" s="17">
        <f>_xlfn.XLOOKUP($C11,TB_NG!$E:$E,TB_NG!AI:AI)</f>
        <v>0</v>
      </c>
      <c r="AH11" s="17">
        <f>_xlfn.XLOOKUP($C11,TB_NG!$E:$E,TB_NG!AJ:AJ)</f>
        <v>0</v>
      </c>
      <c r="AI11" s="17">
        <f>_xlfn.XLOOKUP($C11,TB_NG!$E:$E,TB_NG!AK:AK)</f>
        <v>0</v>
      </c>
      <c r="AJ11" s="17">
        <f>_xlfn.XLOOKUP($C11,TB_NG!$E:$E,TB_NG!AL:AL)</f>
        <v>0</v>
      </c>
      <c r="AK11" s="17">
        <f>_xlfn.XLOOKUP($C11,TB_NG!$E:$E,TB_NG!AM:AM)</f>
        <v>0</v>
      </c>
      <c r="AL11" s="17">
        <f>_xlfn.XLOOKUP($C11,TB_NG!$E:$E,TB_NG!AN:AN)</f>
        <v>0</v>
      </c>
      <c r="AM11" s="17">
        <f>_xlfn.XLOOKUP($C11,TB_NG!$E:$E,TB_NG!AO:AO)</f>
        <v>0</v>
      </c>
    </row>
    <row r="12" spans="2:39" hidden="1" outlineLevel="1" x14ac:dyDescent="0.2">
      <c r="B12" s="21">
        <f>_xlfn.XLOOKUP($C12,TB_NG!$E:$E,TB_NG!A:A)</f>
        <v>10213</v>
      </c>
      <c r="C12" s="16" t="s">
        <v>159</v>
      </c>
      <c r="D12" s="17">
        <f>_xlfn.XLOOKUP($C12,TB_NG!$E:$E,TB_NG!F:F)</f>
        <v>0</v>
      </c>
      <c r="E12" s="17">
        <f>_xlfn.XLOOKUP($C12,TB_NG!$E:$E,TB_NG!G:G)</f>
        <v>0</v>
      </c>
      <c r="F12" s="17">
        <f>_xlfn.XLOOKUP($C12,TB_NG!$E:$E,TB_NG!H:H)</f>
        <v>0</v>
      </c>
      <c r="G12" s="17">
        <f>_xlfn.XLOOKUP($C12,TB_NG!$E:$E,TB_NG!I:I)</f>
        <v>0</v>
      </c>
      <c r="H12" s="17">
        <f>_xlfn.XLOOKUP($C12,TB_NG!$E:$E,TB_NG!J:J)</f>
        <v>0</v>
      </c>
      <c r="I12" s="17">
        <f>_xlfn.XLOOKUP($C12,TB_NG!$E:$E,TB_NG!K:K)</f>
        <v>20000</v>
      </c>
      <c r="J12" s="17">
        <f>_xlfn.XLOOKUP($C12,TB_NG!$E:$E,TB_NG!L:L)</f>
        <v>20000</v>
      </c>
      <c r="K12" s="17">
        <f>_xlfn.XLOOKUP($C12,TB_NG!$E:$E,TB_NG!M:M)</f>
        <v>20000</v>
      </c>
      <c r="L12" s="17">
        <f>_xlfn.XLOOKUP($C12,TB_NG!$E:$E,TB_NG!N:N)</f>
        <v>20000</v>
      </c>
      <c r="M12" s="17">
        <f>_xlfn.XLOOKUP($C12,TB_NG!$E:$E,TB_NG!O:O)</f>
        <v>20000</v>
      </c>
      <c r="N12" s="17">
        <f>_xlfn.XLOOKUP($C12,TB_NG!$E:$E,TB_NG!P:P)</f>
        <v>20000</v>
      </c>
      <c r="O12" s="17">
        <f>_xlfn.XLOOKUP($C12,TB_NG!$E:$E,TB_NG!Q:Q)</f>
        <v>20000</v>
      </c>
      <c r="P12" s="17">
        <f>_xlfn.XLOOKUP($C12,TB_NG!$E:$E,TB_NG!R:R)</f>
        <v>20000</v>
      </c>
      <c r="Q12" s="17">
        <f>_xlfn.XLOOKUP($C12,TB_NG!$E:$E,TB_NG!S:S)</f>
        <v>20000</v>
      </c>
      <c r="R12" s="17">
        <f>_xlfn.XLOOKUP($C12,TB_NG!$E:$E,TB_NG!T:T)</f>
        <v>20000</v>
      </c>
      <c r="S12" s="17">
        <f>_xlfn.XLOOKUP($C12,TB_NG!$E:$E,TB_NG!U:U)</f>
        <v>20000</v>
      </c>
      <c r="T12" s="17">
        <f>_xlfn.XLOOKUP($C12,TB_NG!$E:$E,TB_NG!V:V)</f>
        <v>20000</v>
      </c>
      <c r="U12" s="17">
        <f>_xlfn.XLOOKUP($C12,TB_NG!$E:$E,TB_NG!W:W)</f>
        <v>20000</v>
      </c>
      <c r="V12" s="17">
        <f>_xlfn.XLOOKUP($C12,TB_NG!$E:$E,TB_NG!X:X)</f>
        <v>20000</v>
      </c>
      <c r="W12" s="17">
        <f>_xlfn.XLOOKUP($C12,TB_NG!$E:$E,TB_NG!Y:Y)</f>
        <v>20000</v>
      </c>
      <c r="X12" s="17">
        <f>_xlfn.XLOOKUP($C12,TB_NG!$E:$E,TB_NG!Z:Z)</f>
        <v>20000</v>
      </c>
      <c r="Y12" s="17">
        <f>_xlfn.XLOOKUP($C12,TB_NG!$E:$E,TB_NG!AA:AA)</f>
        <v>20000</v>
      </c>
      <c r="Z12" s="17">
        <f>_xlfn.XLOOKUP($C12,TB_NG!$E:$E,TB_NG!AB:AB)</f>
        <v>20000</v>
      </c>
      <c r="AA12" s="17">
        <f>_xlfn.XLOOKUP($C12,TB_NG!$E:$E,TB_NG!AC:AC)</f>
        <v>20000</v>
      </c>
      <c r="AB12" s="17">
        <f>_xlfn.XLOOKUP($C12,TB_NG!$E:$E,TB_NG!AD:AD)</f>
        <v>20000</v>
      </c>
      <c r="AC12" s="17">
        <f>_xlfn.XLOOKUP($C12,TB_NG!$E:$E,TB_NG!AE:AE)</f>
        <v>20000</v>
      </c>
      <c r="AD12" s="17">
        <f>_xlfn.XLOOKUP($C12,TB_NG!$E:$E,TB_NG!AF:AF)</f>
        <v>20000</v>
      </c>
      <c r="AE12" s="17">
        <f>_xlfn.XLOOKUP($C12,TB_NG!$E:$E,TB_NG!AG:AG)</f>
        <v>20000</v>
      </c>
      <c r="AF12" s="17">
        <f>_xlfn.XLOOKUP($C12,TB_NG!$E:$E,TB_NG!AH:AH)</f>
        <v>0</v>
      </c>
      <c r="AG12" s="17">
        <f>_xlfn.XLOOKUP($C12,TB_NG!$E:$E,TB_NG!AI:AI)</f>
        <v>0</v>
      </c>
      <c r="AH12" s="17">
        <f>_xlfn.XLOOKUP($C12,TB_NG!$E:$E,TB_NG!AJ:AJ)</f>
        <v>0</v>
      </c>
      <c r="AI12" s="17">
        <f>_xlfn.XLOOKUP($C12,TB_NG!$E:$E,TB_NG!AK:AK)</f>
        <v>0</v>
      </c>
      <c r="AJ12" s="17">
        <f>_xlfn.XLOOKUP($C12,TB_NG!$E:$E,TB_NG!AL:AL)</f>
        <v>0</v>
      </c>
      <c r="AK12" s="17">
        <f>_xlfn.XLOOKUP($C12,TB_NG!$E:$E,TB_NG!AM:AM)</f>
        <v>0</v>
      </c>
      <c r="AL12" s="17">
        <f>_xlfn.XLOOKUP($C12,TB_NG!$E:$E,TB_NG!AN:AN)</f>
        <v>0</v>
      </c>
      <c r="AM12" s="17">
        <f>_xlfn.XLOOKUP($C12,TB_NG!$E:$E,TB_NG!AO:AO)</f>
        <v>0</v>
      </c>
    </row>
    <row r="13" spans="2:39" hidden="1" outlineLevel="1" x14ac:dyDescent="0.2">
      <c r="B13" s="21">
        <f>_xlfn.XLOOKUP($C13,TB_NG!$E:$E,TB_NG!A:A)</f>
        <v>10215</v>
      </c>
      <c r="C13" s="16" t="s">
        <v>160</v>
      </c>
      <c r="D13" s="17">
        <f>_xlfn.XLOOKUP($C13,TB_NG!$E:$E,TB_NG!F:F)</f>
        <v>1947614.14</v>
      </c>
      <c r="E13" s="17">
        <f>_xlfn.XLOOKUP($C13,TB_NG!$E:$E,TB_NG!G:G)</f>
        <v>2108158.64</v>
      </c>
      <c r="F13" s="17">
        <f>_xlfn.XLOOKUP($C13,TB_NG!$E:$E,TB_NG!H:H)</f>
        <v>2614772.54</v>
      </c>
      <c r="G13" s="17">
        <f>_xlfn.XLOOKUP($C13,TB_NG!$E:$E,TB_NG!I:I)</f>
        <v>19712072.539999999</v>
      </c>
      <c r="H13" s="17">
        <f>_xlfn.XLOOKUP($C13,TB_NG!$E:$E,TB_NG!J:J)</f>
        <v>8686306.2899999991</v>
      </c>
      <c r="I13" s="17">
        <f>_xlfn.XLOOKUP($C13,TB_NG!$E:$E,TB_NG!K:K)</f>
        <v>5805788.79</v>
      </c>
      <c r="J13" s="17">
        <f>_xlfn.XLOOKUP($C13,TB_NG!$E:$E,TB_NG!L:L)</f>
        <v>10327193.550000001</v>
      </c>
      <c r="K13" s="17">
        <f>_xlfn.XLOOKUP($C13,TB_NG!$E:$E,TB_NG!M:M)</f>
        <v>1304369.8</v>
      </c>
      <c r="L13" s="17">
        <f>_xlfn.XLOOKUP($C13,TB_NG!$E:$E,TB_NG!N:N)</f>
        <v>3651019.8</v>
      </c>
      <c r="M13" s="17">
        <f>_xlfn.XLOOKUP($C13,TB_NG!$E:$E,TB_NG!O:O)</f>
        <v>7256768.9400000004</v>
      </c>
      <c r="N13" s="17">
        <f>_xlfn.XLOOKUP($C13,TB_NG!$E:$E,TB_NG!P:P)</f>
        <v>13281518.939999999</v>
      </c>
      <c r="O13" s="17">
        <f>_xlfn.XLOOKUP($C13,TB_NG!$E:$E,TB_NG!Q:Q)</f>
        <v>16485718.939999999</v>
      </c>
      <c r="P13" s="17">
        <f>_xlfn.XLOOKUP($C13,TB_NG!$E:$E,TB_NG!R:R)</f>
        <v>16692417.48</v>
      </c>
      <c r="Q13" s="17">
        <f>_xlfn.XLOOKUP($C13,TB_NG!$E:$E,TB_NG!S:S)</f>
        <v>17984367.829999998</v>
      </c>
      <c r="R13" s="17">
        <f>_xlfn.XLOOKUP($C13,TB_NG!$E:$E,TB_NG!T:T)</f>
        <v>4810082.08</v>
      </c>
      <c r="S13" s="17">
        <f>_xlfn.XLOOKUP($C13,TB_NG!$E:$E,TB_NG!U:U)</f>
        <v>11527028.33</v>
      </c>
      <c r="T13" s="17">
        <f>_xlfn.XLOOKUP($C13,TB_NG!$E:$E,TB_NG!V:V)</f>
        <v>1157362.08</v>
      </c>
      <c r="U13" s="17">
        <f>_xlfn.XLOOKUP($C13,TB_NG!$E:$E,TB_NG!W:W)</f>
        <v>4245212.08</v>
      </c>
      <c r="V13" s="17">
        <f>_xlfn.XLOOKUP($C13,TB_NG!$E:$E,TB_NG!X:X)</f>
        <v>7304762.0800000001</v>
      </c>
      <c r="W13" s="17">
        <f>_xlfn.XLOOKUP($C13,TB_NG!$E:$E,TB_NG!Y:Y)</f>
        <v>321793586.81999999</v>
      </c>
      <c r="X13" s="17">
        <f>_xlfn.XLOOKUP($C13,TB_NG!$E:$E,TB_NG!Z:Z)</f>
        <v>316629210.56999999</v>
      </c>
      <c r="Y13" s="17">
        <f>_xlfn.XLOOKUP($C13,TB_NG!$E:$E,TB_NG!AA:AA)</f>
        <v>68719139.319999993</v>
      </c>
      <c r="Z13" s="17">
        <f>_xlfn.XLOOKUP($C13,TB_NG!$E:$E,TB_NG!AB:AB)</f>
        <v>70289839.319999993</v>
      </c>
      <c r="AA13" s="17">
        <f>_xlfn.XLOOKUP($C13,TB_NG!$E:$E,TB_NG!AC:AC)</f>
        <v>1053208.3899999999</v>
      </c>
      <c r="AB13" s="17">
        <f>_xlfn.XLOOKUP($C13,TB_NG!$E:$E,TB_NG!AD:AD)</f>
        <v>1057208.3899999999</v>
      </c>
      <c r="AC13" s="17">
        <f>_xlfn.XLOOKUP($C13,TB_NG!$E:$E,TB_NG!AE:AE)</f>
        <v>1057208.3899999999</v>
      </c>
      <c r="AD13" s="17">
        <f>_xlfn.XLOOKUP($C13,TB_NG!$E:$E,TB_NG!AF:AF)</f>
        <v>65564820.740000002</v>
      </c>
      <c r="AE13" s="17">
        <f>_xlfn.XLOOKUP($C13,TB_NG!$E:$E,TB_NG!AG:AG)</f>
        <v>635090.81000000006</v>
      </c>
      <c r="AF13" s="17">
        <f>_xlfn.XLOOKUP($C13,TB_NG!$E:$E,TB_NG!AH:AH)</f>
        <v>0</v>
      </c>
      <c r="AG13" s="17">
        <f>_xlfn.XLOOKUP($C13,TB_NG!$E:$E,TB_NG!AI:AI)</f>
        <v>0</v>
      </c>
      <c r="AH13" s="17">
        <f>_xlfn.XLOOKUP($C13,TB_NG!$E:$E,TB_NG!AJ:AJ)</f>
        <v>0</v>
      </c>
      <c r="AI13" s="17">
        <f>_xlfn.XLOOKUP($C13,TB_NG!$E:$E,TB_NG!AK:AK)</f>
        <v>0</v>
      </c>
      <c r="AJ13" s="17">
        <f>_xlfn.XLOOKUP($C13,TB_NG!$E:$E,TB_NG!AL:AL)</f>
        <v>0</v>
      </c>
      <c r="AK13" s="17">
        <f>_xlfn.XLOOKUP($C13,TB_NG!$E:$E,TB_NG!AM:AM)</f>
        <v>0</v>
      </c>
      <c r="AL13" s="17">
        <f>_xlfn.XLOOKUP($C13,TB_NG!$E:$E,TB_NG!AN:AN)</f>
        <v>0</v>
      </c>
      <c r="AM13" s="17">
        <f>_xlfn.XLOOKUP($C13,TB_NG!$E:$E,TB_NG!AO:AO)</f>
        <v>0</v>
      </c>
    </row>
    <row r="14" spans="2:39" hidden="1" outlineLevel="1" x14ac:dyDescent="0.2">
      <c r="B14" s="21">
        <f>_xlfn.XLOOKUP($C14,TB_NG!$E:$E,TB_NG!A:A)</f>
        <v>10221</v>
      </c>
      <c r="C14" s="16" t="s">
        <v>161</v>
      </c>
      <c r="D14" s="17">
        <f>_xlfn.XLOOKUP($C14,TB_NG!$E:$E,TB_NG!F:F)</f>
        <v>989850.45</v>
      </c>
      <c r="E14" s="17">
        <f>_xlfn.XLOOKUP($C14,TB_NG!$E:$E,TB_NG!G:G)</f>
        <v>989850.45</v>
      </c>
      <c r="F14" s="17">
        <f>_xlfn.XLOOKUP($C14,TB_NG!$E:$E,TB_NG!H:H)</f>
        <v>989850.45</v>
      </c>
      <c r="G14" s="17">
        <f>_xlfn.XLOOKUP($C14,TB_NG!$E:$E,TB_NG!I:I)</f>
        <v>989850.45</v>
      </c>
      <c r="H14" s="17">
        <f>_xlfn.XLOOKUP($C14,TB_NG!$E:$E,TB_NG!J:J)</f>
        <v>989850.45</v>
      </c>
      <c r="I14" s="17">
        <f>_xlfn.XLOOKUP($C14,TB_NG!$E:$E,TB_NG!K:K)</f>
        <v>989850.45</v>
      </c>
      <c r="J14" s="17">
        <f>_xlfn.XLOOKUP($C14,TB_NG!$E:$E,TB_NG!L:L)</f>
        <v>989850.45</v>
      </c>
      <c r="K14" s="17">
        <f>_xlfn.XLOOKUP($C14,TB_NG!$E:$E,TB_NG!M:M)</f>
        <v>989850.45</v>
      </c>
      <c r="L14" s="17">
        <f>_xlfn.XLOOKUP($C14,TB_NG!$E:$E,TB_NG!N:N)</f>
        <v>989850.45</v>
      </c>
      <c r="M14" s="17">
        <f>_xlfn.XLOOKUP($C14,TB_NG!$E:$E,TB_NG!O:O)</f>
        <v>989850.45</v>
      </c>
      <c r="N14" s="17">
        <f>_xlfn.XLOOKUP($C14,TB_NG!$E:$E,TB_NG!P:P)</f>
        <v>989850.45</v>
      </c>
      <c r="O14" s="17">
        <f>_xlfn.XLOOKUP($C14,TB_NG!$E:$E,TB_NG!Q:Q)</f>
        <v>989850.45</v>
      </c>
      <c r="P14" s="17">
        <f>_xlfn.XLOOKUP($C14,TB_NG!$E:$E,TB_NG!R:R)</f>
        <v>989850.45</v>
      </c>
      <c r="Q14" s="17">
        <f>_xlfn.XLOOKUP($C14,TB_NG!$E:$E,TB_NG!S:S)</f>
        <v>989850.45</v>
      </c>
      <c r="R14" s="17">
        <f>_xlfn.XLOOKUP($C14,TB_NG!$E:$E,TB_NG!T:T)</f>
        <v>989850.45</v>
      </c>
      <c r="S14" s="17">
        <f>_xlfn.XLOOKUP($C14,TB_NG!$E:$E,TB_NG!U:U)</f>
        <v>989850.45</v>
      </c>
      <c r="T14" s="17">
        <f>_xlfn.XLOOKUP($C14,TB_NG!$E:$E,TB_NG!V:V)</f>
        <v>989850.45</v>
      </c>
      <c r="U14" s="17">
        <f>_xlfn.XLOOKUP($C14,TB_NG!$E:$E,TB_NG!W:W)</f>
        <v>989850.45</v>
      </c>
      <c r="V14" s="17">
        <f>_xlfn.XLOOKUP($C14,TB_NG!$E:$E,TB_NG!X:X)</f>
        <v>989850.45</v>
      </c>
      <c r="W14" s="17">
        <f>_xlfn.XLOOKUP($C14,TB_NG!$E:$E,TB_NG!Y:Y)</f>
        <v>989850.45</v>
      </c>
      <c r="X14" s="17">
        <f>_xlfn.XLOOKUP($C14,TB_NG!$E:$E,TB_NG!Z:Z)</f>
        <v>989850.45</v>
      </c>
      <c r="Y14" s="17">
        <f>_xlfn.XLOOKUP($C14,TB_NG!$E:$E,TB_NG!AA:AA)</f>
        <v>989850.45</v>
      </c>
      <c r="Z14" s="17">
        <f>_xlfn.XLOOKUP($C14,TB_NG!$E:$E,TB_NG!AB:AB)</f>
        <v>989850.45</v>
      </c>
      <c r="AA14" s="17">
        <f>_xlfn.XLOOKUP($C14,TB_NG!$E:$E,TB_NG!AC:AC)</f>
        <v>989850.45</v>
      </c>
      <c r="AB14" s="17">
        <f>_xlfn.XLOOKUP($C14,TB_NG!$E:$E,TB_NG!AD:AD)</f>
        <v>989850.45</v>
      </c>
      <c r="AC14" s="17">
        <f>_xlfn.XLOOKUP($C14,TB_NG!$E:$E,TB_NG!AE:AE)</f>
        <v>989850.45</v>
      </c>
      <c r="AD14" s="17">
        <f>_xlfn.XLOOKUP($C14,TB_NG!$E:$E,TB_NG!AF:AF)</f>
        <v>989850.45</v>
      </c>
      <c r="AE14" s="17">
        <f>_xlfn.XLOOKUP($C14,TB_NG!$E:$E,TB_NG!AG:AG)</f>
        <v>989850.45</v>
      </c>
      <c r="AF14" s="17">
        <f>_xlfn.XLOOKUP($C14,TB_NG!$E:$E,TB_NG!AH:AH)</f>
        <v>0</v>
      </c>
      <c r="AG14" s="17">
        <f>_xlfn.XLOOKUP($C14,TB_NG!$E:$E,TB_NG!AI:AI)</f>
        <v>0</v>
      </c>
      <c r="AH14" s="17">
        <f>_xlfn.XLOOKUP($C14,TB_NG!$E:$E,TB_NG!AJ:AJ)</f>
        <v>0</v>
      </c>
      <c r="AI14" s="17">
        <f>_xlfn.XLOOKUP($C14,TB_NG!$E:$E,TB_NG!AK:AK)</f>
        <v>0</v>
      </c>
      <c r="AJ14" s="17">
        <f>_xlfn.XLOOKUP($C14,TB_NG!$E:$E,TB_NG!AL:AL)</f>
        <v>0</v>
      </c>
      <c r="AK14" s="17">
        <f>_xlfn.XLOOKUP($C14,TB_NG!$E:$E,TB_NG!AM:AM)</f>
        <v>0</v>
      </c>
      <c r="AL14" s="17">
        <f>_xlfn.XLOOKUP($C14,TB_NG!$E:$E,TB_NG!AN:AN)</f>
        <v>0</v>
      </c>
      <c r="AM14" s="17">
        <f>_xlfn.XLOOKUP($C14,TB_NG!$E:$E,TB_NG!AO:AO)</f>
        <v>0</v>
      </c>
    </row>
    <row r="15" spans="2:39" hidden="1" outlineLevel="1" x14ac:dyDescent="0.2">
      <c r="B15" s="21">
        <f>_xlfn.XLOOKUP($C15,TB_NG!$E:$E,TB_NG!A:A)</f>
        <v>10223</v>
      </c>
      <c r="C15" s="16" t="s">
        <v>162</v>
      </c>
      <c r="D15" s="17">
        <f>_xlfn.XLOOKUP($C15,TB_NG!$E:$E,TB_NG!F:F)</f>
        <v>-960669.5</v>
      </c>
      <c r="E15" s="17">
        <f>_xlfn.XLOOKUP($C15,TB_NG!$E:$E,TB_NG!G:G)</f>
        <v>8123865</v>
      </c>
      <c r="F15" s="17">
        <f>_xlfn.XLOOKUP($C15,TB_NG!$E:$E,TB_NG!H:H)</f>
        <v>9292215</v>
      </c>
      <c r="G15" s="17">
        <f>_xlfn.XLOOKUP($C15,TB_NG!$E:$E,TB_NG!I:I)</f>
        <v>18012635.469999999</v>
      </c>
      <c r="H15" s="17">
        <f>_xlfn.XLOOKUP($C15,TB_NG!$E:$E,TB_NG!J:J)</f>
        <v>18946096.050000001</v>
      </c>
      <c r="I15" s="17">
        <f>_xlfn.XLOOKUP($C15,TB_NG!$E:$E,TB_NG!K:K)</f>
        <v>5888935.4699999997</v>
      </c>
      <c r="J15" s="17">
        <f>_xlfn.XLOOKUP($C15,TB_NG!$E:$E,TB_NG!L:L)</f>
        <v>11585902.380000001</v>
      </c>
      <c r="K15" s="17">
        <f>_xlfn.XLOOKUP($C15,TB_NG!$E:$E,TB_NG!M:M)</f>
        <v>6542703.9800000004</v>
      </c>
      <c r="L15" s="17">
        <f>_xlfn.XLOOKUP($C15,TB_NG!$E:$E,TB_NG!N:N)</f>
        <v>3526876.99</v>
      </c>
      <c r="M15" s="17">
        <f>_xlfn.XLOOKUP($C15,TB_NG!$E:$E,TB_NG!O:O)</f>
        <v>9340383.0299999993</v>
      </c>
      <c r="N15" s="17">
        <f>_xlfn.XLOOKUP($C15,TB_NG!$E:$E,TB_NG!P:P)</f>
        <v>11786521.289999999</v>
      </c>
      <c r="O15" s="17">
        <f>_xlfn.XLOOKUP($C15,TB_NG!$E:$E,TB_NG!Q:Q)</f>
        <v>5846.9</v>
      </c>
      <c r="P15" s="17">
        <f>_xlfn.XLOOKUP($C15,TB_NG!$E:$E,TB_NG!R:R)</f>
        <v>12306772.199999999</v>
      </c>
      <c r="Q15" s="17">
        <f>_xlfn.XLOOKUP($C15,TB_NG!$E:$E,TB_NG!S:S)</f>
        <v>16784449.91</v>
      </c>
      <c r="R15" s="17">
        <f>_xlfn.XLOOKUP($C15,TB_NG!$E:$E,TB_NG!T:T)</f>
        <v>5758.46</v>
      </c>
      <c r="S15" s="17">
        <f>_xlfn.XLOOKUP($C15,TB_NG!$E:$E,TB_NG!U:U)</f>
        <v>1134689.8500000001</v>
      </c>
      <c r="T15" s="17">
        <f>_xlfn.XLOOKUP($C15,TB_NG!$E:$E,TB_NG!V:V)</f>
        <v>8099697.8600000003</v>
      </c>
      <c r="U15" s="17">
        <f>_xlfn.XLOOKUP($C15,TB_NG!$E:$E,TB_NG!W:W)</f>
        <v>1911.45</v>
      </c>
      <c r="V15" s="17">
        <f>_xlfn.XLOOKUP($C15,TB_NG!$E:$E,TB_NG!X:X)</f>
        <v>7639142.7300000004</v>
      </c>
      <c r="W15" s="17">
        <f>_xlfn.XLOOKUP($C15,TB_NG!$E:$E,TB_NG!Y:Y)</f>
        <v>16003068.1</v>
      </c>
      <c r="X15" s="17">
        <f>_xlfn.XLOOKUP($C15,TB_NG!$E:$E,TB_NG!Z:Z)</f>
        <v>21074034.02</v>
      </c>
      <c r="Y15" s="17">
        <f>_xlfn.XLOOKUP($C15,TB_NG!$E:$E,TB_NG!AA:AA)</f>
        <v>74508380.879999995</v>
      </c>
      <c r="Z15" s="17">
        <f>_xlfn.XLOOKUP($C15,TB_NG!$E:$E,TB_NG!AB:AB)</f>
        <v>21827366.609999999</v>
      </c>
      <c r="AA15" s="17">
        <f>_xlfn.XLOOKUP($C15,TB_NG!$E:$E,TB_NG!AC:AC)</f>
        <v>12242944.07</v>
      </c>
      <c r="AB15" s="17">
        <f>_xlfn.XLOOKUP($C15,TB_NG!$E:$E,TB_NG!AD:AD)</f>
        <v>100100462.55</v>
      </c>
      <c r="AC15" s="17">
        <f>_xlfn.XLOOKUP($C15,TB_NG!$E:$E,TB_NG!AE:AE)</f>
        <v>189004855.61000001</v>
      </c>
      <c r="AD15" s="17">
        <f>_xlfn.XLOOKUP($C15,TB_NG!$E:$E,TB_NG!AF:AF)</f>
        <v>185972992.58000001</v>
      </c>
      <c r="AE15" s="17">
        <f>_xlfn.XLOOKUP($C15,TB_NG!$E:$E,TB_NG!AG:AG)</f>
        <v>204355915.49000001</v>
      </c>
      <c r="AF15" s="17">
        <f>_xlfn.XLOOKUP($C15,TB_NG!$E:$E,TB_NG!AH:AH)</f>
        <v>0</v>
      </c>
      <c r="AG15" s="17">
        <f>_xlfn.XLOOKUP($C15,TB_NG!$E:$E,TB_NG!AI:AI)</f>
        <v>0</v>
      </c>
      <c r="AH15" s="17">
        <f>_xlfn.XLOOKUP($C15,TB_NG!$E:$E,TB_NG!AJ:AJ)</f>
        <v>0</v>
      </c>
      <c r="AI15" s="17">
        <f>_xlfn.XLOOKUP($C15,TB_NG!$E:$E,TB_NG!AK:AK)</f>
        <v>0</v>
      </c>
      <c r="AJ15" s="17">
        <f>_xlfn.XLOOKUP($C15,TB_NG!$E:$E,TB_NG!AL:AL)</f>
        <v>0</v>
      </c>
      <c r="AK15" s="17">
        <f>_xlfn.XLOOKUP($C15,TB_NG!$E:$E,TB_NG!AM:AM)</f>
        <v>0</v>
      </c>
      <c r="AL15" s="17">
        <f>_xlfn.XLOOKUP($C15,TB_NG!$E:$E,TB_NG!AN:AN)</f>
        <v>0</v>
      </c>
      <c r="AM15" s="17">
        <f>_xlfn.XLOOKUP($C15,TB_NG!$E:$E,TB_NG!AO:AO)</f>
        <v>0</v>
      </c>
    </row>
    <row r="16" spans="2:39" hidden="1" outlineLevel="1" x14ac:dyDescent="0.2">
      <c r="B16" s="21">
        <f>_xlfn.XLOOKUP($C16,TB_NG!$E:$E,TB_NG!A:A)</f>
        <v>10224</v>
      </c>
      <c r="C16" s="16" t="s">
        <v>163</v>
      </c>
      <c r="D16" s="17">
        <f>_xlfn.XLOOKUP($C16,TB_NG!$E:$E,TB_NG!F:F)</f>
        <v>0</v>
      </c>
      <c r="E16" s="17">
        <f>_xlfn.XLOOKUP($C16,TB_NG!$E:$E,TB_NG!G:G)</f>
        <v>0</v>
      </c>
      <c r="F16" s="17">
        <f>_xlfn.XLOOKUP($C16,TB_NG!$E:$E,TB_NG!H:H)</f>
        <v>0</v>
      </c>
      <c r="G16" s="17">
        <f>_xlfn.XLOOKUP($C16,TB_NG!$E:$E,TB_NG!I:I)</f>
        <v>0</v>
      </c>
      <c r="H16" s="17">
        <f>_xlfn.XLOOKUP($C16,TB_NG!$E:$E,TB_NG!J:J)</f>
        <v>104064.52</v>
      </c>
      <c r="I16" s="17">
        <f>_xlfn.XLOOKUP($C16,TB_NG!$E:$E,TB_NG!K:K)</f>
        <v>9048783.1799999997</v>
      </c>
      <c r="J16" s="17">
        <f>_xlfn.XLOOKUP($C16,TB_NG!$E:$E,TB_NG!L:L)</f>
        <v>888286.99</v>
      </c>
      <c r="K16" s="17">
        <f>_xlfn.XLOOKUP($C16,TB_NG!$E:$E,TB_NG!M:M)</f>
        <v>11401.38</v>
      </c>
      <c r="L16" s="17">
        <f>_xlfn.XLOOKUP($C16,TB_NG!$E:$E,TB_NG!N:N)</f>
        <v>33.36</v>
      </c>
      <c r="M16" s="17">
        <f>_xlfn.XLOOKUP($C16,TB_NG!$E:$E,TB_NG!O:O)</f>
        <v>32.869999999999997</v>
      </c>
      <c r="N16" s="17">
        <f>_xlfn.XLOOKUP($C16,TB_NG!$E:$E,TB_NG!P:P)</f>
        <v>33.659999999999997</v>
      </c>
      <c r="O16" s="17">
        <f>_xlfn.XLOOKUP($C16,TB_NG!$E:$E,TB_NG!Q:Q)</f>
        <v>30.94</v>
      </c>
      <c r="P16" s="17">
        <f>_xlfn.XLOOKUP($C16,TB_NG!$E:$E,TB_NG!R:R)</f>
        <v>30.75</v>
      </c>
      <c r="Q16" s="17">
        <f>_xlfn.XLOOKUP($C16,TB_NG!$E:$E,TB_NG!S:S)</f>
        <v>29.96</v>
      </c>
      <c r="R16" s="17">
        <f>_xlfn.XLOOKUP($C16,TB_NG!$E:$E,TB_NG!T:T)</f>
        <v>30.71</v>
      </c>
      <c r="S16" s="17">
        <f>_xlfn.XLOOKUP($C16,TB_NG!$E:$E,TB_NG!U:U)</f>
        <v>32.04</v>
      </c>
      <c r="T16" s="17">
        <f>_xlfn.XLOOKUP($C16,TB_NG!$E:$E,TB_NG!V:V)</f>
        <v>1587821.76</v>
      </c>
      <c r="U16" s="17">
        <f>_xlfn.XLOOKUP($C16,TB_NG!$E:$E,TB_NG!W:W)</f>
        <v>1433986.49</v>
      </c>
      <c r="V16" s="17">
        <f>_xlfn.XLOOKUP($C16,TB_NG!$E:$E,TB_NG!X:X)</f>
        <v>615754.78</v>
      </c>
      <c r="W16" s="17">
        <f>_xlfn.XLOOKUP($C16,TB_NG!$E:$E,TB_NG!Y:Y)</f>
        <v>0</v>
      </c>
      <c r="X16" s="17">
        <f>_xlfn.XLOOKUP($C16,TB_NG!$E:$E,TB_NG!Z:Z)</f>
        <v>0</v>
      </c>
      <c r="Y16" s="17">
        <f>_xlfn.XLOOKUP($C16,TB_NG!$E:$E,TB_NG!AA:AA)</f>
        <v>0</v>
      </c>
      <c r="Z16" s="17">
        <f>_xlfn.XLOOKUP($C16,TB_NG!$E:$E,TB_NG!AB:AB)</f>
        <v>0</v>
      </c>
      <c r="AA16" s="17">
        <f>_xlfn.XLOOKUP($C16,TB_NG!$E:$E,TB_NG!AC:AC)</f>
        <v>0</v>
      </c>
      <c r="AB16" s="17">
        <f>_xlfn.XLOOKUP($C16,TB_NG!$E:$E,TB_NG!AD:AD)</f>
        <v>0</v>
      </c>
      <c r="AC16" s="17">
        <f>_xlfn.XLOOKUP($C16,TB_NG!$E:$E,TB_NG!AE:AE)</f>
        <v>0</v>
      </c>
      <c r="AD16" s="17">
        <f>_xlfn.XLOOKUP($C16,TB_NG!$E:$E,TB_NG!AF:AF)</f>
        <v>0</v>
      </c>
      <c r="AE16" s="17">
        <f>_xlfn.XLOOKUP($C16,TB_NG!$E:$E,TB_NG!AG:AG)</f>
        <v>0</v>
      </c>
      <c r="AF16" s="17">
        <f>_xlfn.XLOOKUP($C16,TB_NG!$E:$E,TB_NG!AH:AH)</f>
        <v>0</v>
      </c>
      <c r="AG16" s="17">
        <f>_xlfn.XLOOKUP($C16,TB_NG!$E:$E,TB_NG!AI:AI)</f>
        <v>0</v>
      </c>
      <c r="AH16" s="17">
        <f>_xlfn.XLOOKUP($C16,TB_NG!$E:$E,TB_NG!AJ:AJ)</f>
        <v>0</v>
      </c>
      <c r="AI16" s="17">
        <f>_xlfn.XLOOKUP($C16,TB_NG!$E:$E,TB_NG!AK:AK)</f>
        <v>0</v>
      </c>
      <c r="AJ16" s="17">
        <f>_xlfn.XLOOKUP($C16,TB_NG!$E:$E,TB_NG!AL:AL)</f>
        <v>0</v>
      </c>
      <c r="AK16" s="17">
        <f>_xlfn.XLOOKUP($C16,TB_NG!$E:$E,TB_NG!AM:AM)</f>
        <v>0</v>
      </c>
      <c r="AL16" s="17">
        <f>_xlfn.XLOOKUP($C16,TB_NG!$E:$E,TB_NG!AN:AN)</f>
        <v>0</v>
      </c>
      <c r="AM16" s="17">
        <f>_xlfn.XLOOKUP($C16,TB_NG!$E:$E,TB_NG!AO:AO)</f>
        <v>0</v>
      </c>
    </row>
    <row r="17" spans="2:39" hidden="1" outlineLevel="1" x14ac:dyDescent="0.2">
      <c r="B17" s="21">
        <f>_xlfn.XLOOKUP($C17,TB_NG!$E:$E,TB_NG!A:A)</f>
        <v>10225</v>
      </c>
      <c r="C17" s="16" t="s">
        <v>164</v>
      </c>
      <c r="D17" s="17">
        <f>_xlfn.XLOOKUP($C17,TB_NG!$E:$E,TB_NG!F:F)</f>
        <v>1016657.25</v>
      </c>
      <c r="E17" s="17">
        <f>_xlfn.XLOOKUP($C17,TB_NG!$E:$E,TB_NG!G:G)</f>
        <v>5285526.72</v>
      </c>
      <c r="F17" s="17">
        <f>_xlfn.XLOOKUP($C17,TB_NG!$E:$E,TB_NG!H:H)</f>
        <v>2850703.9</v>
      </c>
      <c r="G17" s="17">
        <f>_xlfn.XLOOKUP($C17,TB_NG!$E:$E,TB_NG!I:I)</f>
        <v>20065269.359999999</v>
      </c>
      <c r="H17" s="17">
        <f>_xlfn.XLOOKUP($C17,TB_NG!$E:$E,TB_NG!J:J)</f>
        <v>5031395.5599999996</v>
      </c>
      <c r="I17" s="17">
        <f>_xlfn.XLOOKUP($C17,TB_NG!$E:$E,TB_NG!K:K)</f>
        <v>3065010.2</v>
      </c>
      <c r="J17" s="17">
        <f>_xlfn.XLOOKUP($C17,TB_NG!$E:$E,TB_NG!L:L)</f>
        <v>5265474.55</v>
      </c>
      <c r="K17" s="17">
        <f>_xlfn.XLOOKUP($C17,TB_NG!$E:$E,TB_NG!M:M)</f>
        <v>4275686.3499999996</v>
      </c>
      <c r="L17" s="17">
        <f>_xlfn.XLOOKUP($C17,TB_NG!$E:$E,TB_NG!N:N)</f>
        <v>376579.69</v>
      </c>
      <c r="M17" s="17">
        <f>_xlfn.XLOOKUP($C17,TB_NG!$E:$E,TB_NG!O:O)</f>
        <v>1195332.18</v>
      </c>
      <c r="N17" s="17">
        <f>_xlfn.XLOOKUP($C17,TB_NG!$E:$E,TB_NG!P:P)</f>
        <v>14075132.18</v>
      </c>
      <c r="O17" s="17">
        <f>_xlfn.XLOOKUP($C17,TB_NG!$E:$E,TB_NG!Q:Q)</f>
        <v>18974773.579999998</v>
      </c>
      <c r="P17" s="17">
        <f>_xlfn.XLOOKUP($C17,TB_NG!$E:$E,TB_NG!R:R)</f>
        <v>15395308</v>
      </c>
      <c r="Q17" s="17">
        <f>_xlfn.XLOOKUP($C17,TB_NG!$E:$E,TB_NG!S:S)</f>
        <v>26930627.280000001</v>
      </c>
      <c r="R17" s="17">
        <f>_xlfn.XLOOKUP($C17,TB_NG!$E:$E,TB_NG!T:T)</f>
        <v>6887408.2300000004</v>
      </c>
      <c r="S17" s="17">
        <f>_xlfn.XLOOKUP($C17,TB_NG!$E:$E,TB_NG!U:U)</f>
        <v>25192426.539999999</v>
      </c>
      <c r="T17" s="17">
        <f>_xlfn.XLOOKUP($C17,TB_NG!$E:$E,TB_NG!V:V)</f>
        <v>6453812.8200000003</v>
      </c>
      <c r="U17" s="17">
        <f>_xlfn.XLOOKUP($C17,TB_NG!$E:$E,TB_NG!W:W)</f>
        <v>648058.18000000005</v>
      </c>
      <c r="V17" s="17">
        <f>_xlfn.XLOOKUP($C17,TB_NG!$E:$E,TB_NG!X:X)</f>
        <v>7487158.1799999997</v>
      </c>
      <c r="W17" s="17">
        <f>_xlfn.XLOOKUP($C17,TB_NG!$E:$E,TB_NG!Y:Y)</f>
        <v>17702982.41</v>
      </c>
      <c r="X17" s="17">
        <f>_xlfn.XLOOKUP($C17,TB_NG!$E:$E,TB_NG!Z:Z)</f>
        <v>160999982.41</v>
      </c>
      <c r="Y17" s="17">
        <f>_xlfn.XLOOKUP($C17,TB_NG!$E:$E,TB_NG!AA:AA)</f>
        <v>217664278.13</v>
      </c>
      <c r="Z17" s="17">
        <f>_xlfn.XLOOKUP($C17,TB_NG!$E:$E,TB_NG!AB:AB)</f>
        <v>3752380.37</v>
      </c>
      <c r="AA17" s="17">
        <f>_xlfn.XLOOKUP($C17,TB_NG!$E:$E,TB_NG!AC:AC)</f>
        <v>28002801.620000001</v>
      </c>
      <c r="AB17" s="17">
        <f>_xlfn.XLOOKUP($C17,TB_NG!$E:$E,TB_NG!AD:AD)</f>
        <v>37535911.219999999</v>
      </c>
      <c r="AC17" s="17">
        <f>_xlfn.XLOOKUP($C17,TB_NG!$E:$E,TB_NG!AE:AE)</f>
        <v>17733270.440000001</v>
      </c>
      <c r="AD17" s="17">
        <f>_xlfn.XLOOKUP($C17,TB_NG!$E:$E,TB_NG!AF:AF)</f>
        <v>96947360.290000007</v>
      </c>
      <c r="AE17" s="17">
        <f>_xlfn.XLOOKUP($C17,TB_NG!$E:$E,TB_NG!AG:AG)</f>
        <v>21759716.670000002</v>
      </c>
      <c r="AF17" s="17">
        <f>_xlfn.XLOOKUP($C17,TB_NG!$E:$E,TB_NG!AH:AH)</f>
        <v>0</v>
      </c>
      <c r="AG17" s="17">
        <f>_xlfn.XLOOKUP($C17,TB_NG!$E:$E,TB_NG!AI:AI)</f>
        <v>0</v>
      </c>
      <c r="AH17" s="17">
        <f>_xlfn.XLOOKUP($C17,TB_NG!$E:$E,TB_NG!AJ:AJ)</f>
        <v>0</v>
      </c>
      <c r="AI17" s="17">
        <f>_xlfn.XLOOKUP($C17,TB_NG!$E:$E,TB_NG!AK:AK)</f>
        <v>0</v>
      </c>
      <c r="AJ17" s="17">
        <f>_xlfn.XLOOKUP($C17,TB_NG!$E:$E,TB_NG!AL:AL)</f>
        <v>0</v>
      </c>
      <c r="AK17" s="17">
        <f>_xlfn.XLOOKUP($C17,TB_NG!$E:$E,TB_NG!AM:AM)</f>
        <v>0</v>
      </c>
      <c r="AL17" s="17">
        <f>_xlfn.XLOOKUP($C17,TB_NG!$E:$E,TB_NG!AN:AN)</f>
        <v>0</v>
      </c>
      <c r="AM17" s="17">
        <f>_xlfn.XLOOKUP($C17,TB_NG!$E:$E,TB_NG!AO:AO)</f>
        <v>0</v>
      </c>
    </row>
    <row r="18" spans="2:39" hidden="1" outlineLevel="1" x14ac:dyDescent="0.2">
      <c r="B18" s="21">
        <f>_xlfn.XLOOKUP($C18,TB_NG!$E:$E,TB_NG!A:A)</f>
        <v>10226</v>
      </c>
      <c r="C18" s="16" t="s">
        <v>165</v>
      </c>
      <c r="D18" s="17">
        <f>_xlfn.XLOOKUP($C18,TB_NG!$E:$E,TB_NG!F:F)</f>
        <v>0</v>
      </c>
      <c r="E18" s="17">
        <f>_xlfn.XLOOKUP($C18,TB_NG!$E:$E,TB_NG!G:G)</f>
        <v>0</v>
      </c>
      <c r="F18" s="17">
        <f>_xlfn.XLOOKUP($C18,TB_NG!$E:$E,TB_NG!H:H)</f>
        <v>0</v>
      </c>
      <c r="G18" s="17">
        <f>_xlfn.XLOOKUP($C18,TB_NG!$E:$E,TB_NG!I:I)</f>
        <v>0</v>
      </c>
      <c r="H18" s="17">
        <f>_xlfn.XLOOKUP($C18,TB_NG!$E:$E,TB_NG!J:J)</f>
        <v>1838692.64</v>
      </c>
      <c r="I18" s="17">
        <f>_xlfn.XLOOKUP($C18,TB_NG!$E:$E,TB_NG!K:K)</f>
        <v>900728.83</v>
      </c>
      <c r="J18" s="17">
        <f>_xlfn.XLOOKUP($C18,TB_NG!$E:$E,TB_NG!L:L)</f>
        <v>3530585.92</v>
      </c>
      <c r="K18" s="17">
        <f>_xlfn.XLOOKUP($C18,TB_NG!$E:$E,TB_NG!M:M)</f>
        <v>4814246.6399999997</v>
      </c>
      <c r="L18" s="17">
        <f>_xlfn.XLOOKUP($C18,TB_NG!$E:$E,TB_NG!N:N)</f>
        <v>10072308.789999999</v>
      </c>
      <c r="M18" s="17">
        <f>_xlfn.XLOOKUP($C18,TB_NG!$E:$E,TB_NG!O:O)</f>
        <v>6294157.6200000001</v>
      </c>
      <c r="N18" s="17">
        <f>_xlfn.XLOOKUP($C18,TB_NG!$E:$E,TB_NG!P:P)</f>
        <v>11959129.539999999</v>
      </c>
      <c r="O18" s="17">
        <f>_xlfn.XLOOKUP($C18,TB_NG!$E:$E,TB_NG!Q:Q)</f>
        <v>6300640.9400000004</v>
      </c>
      <c r="P18" s="17">
        <f>_xlfn.XLOOKUP($C18,TB_NG!$E:$E,TB_NG!R:R)</f>
        <v>3676328.04</v>
      </c>
      <c r="Q18" s="17">
        <f>_xlfn.XLOOKUP($C18,TB_NG!$E:$E,TB_NG!S:S)</f>
        <v>2340276.69</v>
      </c>
      <c r="R18" s="17">
        <f>_xlfn.XLOOKUP($C18,TB_NG!$E:$E,TB_NG!T:T)</f>
        <v>5754896.9900000002</v>
      </c>
      <c r="S18" s="17">
        <f>_xlfn.XLOOKUP($C18,TB_NG!$E:$E,TB_NG!U:U)</f>
        <v>3828267.52</v>
      </c>
      <c r="T18" s="17">
        <f>_xlfn.XLOOKUP($C18,TB_NG!$E:$E,TB_NG!V:V)</f>
        <v>1485808.1</v>
      </c>
      <c r="U18" s="17">
        <f>_xlfn.XLOOKUP($C18,TB_NG!$E:$E,TB_NG!W:W)</f>
        <v>6913702.6399999997</v>
      </c>
      <c r="V18" s="17">
        <f>_xlfn.XLOOKUP($C18,TB_NG!$E:$E,TB_NG!X:X)</f>
        <v>2990767.68</v>
      </c>
      <c r="W18" s="17">
        <f>_xlfn.XLOOKUP($C18,TB_NG!$E:$E,TB_NG!Y:Y)</f>
        <v>7516604.8899999997</v>
      </c>
      <c r="X18" s="17">
        <f>_xlfn.XLOOKUP($C18,TB_NG!$E:$E,TB_NG!Z:Z)</f>
        <v>3070173.05</v>
      </c>
      <c r="Y18" s="17">
        <f>_xlfn.XLOOKUP($C18,TB_NG!$E:$E,TB_NG!AA:AA)</f>
        <v>6192075.3399999999</v>
      </c>
      <c r="Z18" s="17">
        <f>_xlfn.XLOOKUP($C18,TB_NG!$E:$E,TB_NG!AB:AB)</f>
        <v>8895460</v>
      </c>
      <c r="AA18" s="17">
        <f>_xlfn.XLOOKUP($C18,TB_NG!$E:$E,TB_NG!AC:AC)</f>
        <v>3306488.21</v>
      </c>
      <c r="AB18" s="17">
        <f>_xlfn.XLOOKUP($C18,TB_NG!$E:$E,TB_NG!AD:AD)</f>
        <v>4180635.76</v>
      </c>
      <c r="AC18" s="17">
        <f>_xlfn.XLOOKUP($C18,TB_NG!$E:$E,TB_NG!AE:AE)</f>
        <v>1644368.78</v>
      </c>
      <c r="AD18" s="17">
        <f>_xlfn.XLOOKUP($C18,TB_NG!$E:$E,TB_NG!AF:AF)</f>
        <v>2923415.1</v>
      </c>
      <c r="AE18" s="17">
        <f>_xlfn.XLOOKUP($C18,TB_NG!$E:$E,TB_NG!AG:AG)</f>
        <v>7083089.7000000002</v>
      </c>
      <c r="AF18" s="17">
        <f>_xlfn.XLOOKUP($C18,TB_NG!$E:$E,TB_NG!AH:AH)</f>
        <v>0</v>
      </c>
      <c r="AG18" s="17">
        <f>_xlfn.XLOOKUP($C18,TB_NG!$E:$E,TB_NG!AI:AI)</f>
        <v>0</v>
      </c>
      <c r="AH18" s="17">
        <f>_xlfn.XLOOKUP($C18,TB_NG!$E:$E,TB_NG!AJ:AJ)</f>
        <v>0</v>
      </c>
      <c r="AI18" s="17">
        <f>_xlfn.XLOOKUP($C18,TB_NG!$E:$E,TB_NG!AK:AK)</f>
        <v>0</v>
      </c>
      <c r="AJ18" s="17">
        <f>_xlfn.XLOOKUP($C18,TB_NG!$E:$E,TB_NG!AL:AL)</f>
        <v>0</v>
      </c>
      <c r="AK18" s="17">
        <f>_xlfn.XLOOKUP($C18,TB_NG!$E:$E,TB_NG!AM:AM)</f>
        <v>0</v>
      </c>
      <c r="AL18" s="17">
        <f>_xlfn.XLOOKUP($C18,TB_NG!$E:$E,TB_NG!AN:AN)</f>
        <v>0</v>
      </c>
      <c r="AM18" s="17">
        <f>_xlfn.XLOOKUP($C18,TB_NG!$E:$E,TB_NG!AO:AO)</f>
        <v>0</v>
      </c>
    </row>
    <row r="19" spans="2:39" hidden="1" outlineLevel="1" x14ac:dyDescent="0.2">
      <c r="B19" s="21">
        <f>_xlfn.XLOOKUP($C19,TB_NG!$E:$E,TB_NG!A:A)</f>
        <v>10227</v>
      </c>
      <c r="C19" s="16" t="s">
        <v>166</v>
      </c>
      <c r="D19" s="17">
        <f>_xlfn.XLOOKUP($C19,TB_NG!$E:$E,TB_NG!F:F)</f>
        <v>0</v>
      </c>
      <c r="E19" s="17">
        <f>_xlfn.XLOOKUP($C19,TB_NG!$E:$E,TB_NG!G:G)</f>
        <v>0</v>
      </c>
      <c r="F19" s="17">
        <f>_xlfn.XLOOKUP($C19,TB_NG!$E:$E,TB_NG!H:H)</f>
        <v>0</v>
      </c>
      <c r="G19" s="17">
        <f>_xlfn.XLOOKUP($C19,TB_NG!$E:$E,TB_NG!I:I)</f>
        <v>0</v>
      </c>
      <c r="H19" s="17">
        <f>_xlfn.XLOOKUP($C19,TB_NG!$E:$E,TB_NG!J:J)</f>
        <v>0</v>
      </c>
      <c r="I19" s="17">
        <f>_xlfn.XLOOKUP($C19,TB_NG!$E:$E,TB_NG!K:K)</f>
        <v>0</v>
      </c>
      <c r="J19" s="17">
        <f>_xlfn.XLOOKUP($C19,TB_NG!$E:$E,TB_NG!L:L)</f>
        <v>7307364.3099999996</v>
      </c>
      <c r="K19" s="17">
        <f>_xlfn.XLOOKUP($C19,TB_NG!$E:$E,TB_NG!M:M)</f>
        <v>7877587.2000000002</v>
      </c>
      <c r="L19" s="17">
        <f>_xlfn.XLOOKUP($C19,TB_NG!$E:$E,TB_NG!N:N)</f>
        <v>15604052.98</v>
      </c>
      <c r="M19" s="17">
        <f>_xlfn.XLOOKUP($C19,TB_NG!$E:$E,TB_NG!O:O)</f>
        <v>8535343.6300000008</v>
      </c>
      <c r="N19" s="17">
        <f>_xlfn.XLOOKUP($C19,TB_NG!$E:$E,TB_NG!P:P)</f>
        <v>13877634.32</v>
      </c>
      <c r="O19" s="17">
        <f>_xlfn.XLOOKUP($C19,TB_NG!$E:$E,TB_NG!Q:Q)</f>
        <v>14829712.98</v>
      </c>
      <c r="P19" s="17">
        <f>_xlfn.XLOOKUP($C19,TB_NG!$E:$E,TB_NG!R:R)</f>
        <v>8867777.4399999995</v>
      </c>
      <c r="Q19" s="17">
        <f>_xlfn.XLOOKUP($C19,TB_NG!$E:$E,TB_NG!S:S)</f>
        <v>12596168.800000001</v>
      </c>
      <c r="R19" s="17">
        <f>_xlfn.XLOOKUP($C19,TB_NG!$E:$E,TB_NG!T:T)</f>
        <v>3607976.2</v>
      </c>
      <c r="S19" s="17">
        <f>_xlfn.XLOOKUP($C19,TB_NG!$E:$E,TB_NG!U:U)</f>
        <v>1477719.81</v>
      </c>
      <c r="T19" s="17">
        <f>_xlfn.XLOOKUP($C19,TB_NG!$E:$E,TB_NG!V:V)</f>
        <v>7984424.3099999996</v>
      </c>
      <c r="U19" s="17">
        <f>_xlfn.XLOOKUP($C19,TB_NG!$E:$E,TB_NG!W:W)</f>
        <v>9544782.7599999998</v>
      </c>
      <c r="V19" s="17">
        <f>_xlfn.XLOOKUP($C19,TB_NG!$E:$E,TB_NG!X:X)</f>
        <v>6358396.6600000001</v>
      </c>
      <c r="W19" s="17">
        <f>_xlfn.XLOOKUP($C19,TB_NG!$E:$E,TB_NG!Y:Y)</f>
        <v>9625581.9000000004</v>
      </c>
      <c r="X19" s="17">
        <f>_xlfn.XLOOKUP($C19,TB_NG!$E:$E,TB_NG!Z:Z)</f>
        <v>17124466.510000002</v>
      </c>
      <c r="Y19" s="17">
        <f>_xlfn.XLOOKUP($C19,TB_NG!$E:$E,TB_NG!AA:AA)</f>
        <v>10838955.550000001</v>
      </c>
      <c r="Z19" s="17">
        <f>_xlfn.XLOOKUP($C19,TB_NG!$E:$E,TB_NG!AB:AB)</f>
        <v>15049585.32</v>
      </c>
      <c r="AA19" s="17">
        <f>_xlfn.XLOOKUP($C19,TB_NG!$E:$E,TB_NG!AC:AC)</f>
        <v>14928308.75</v>
      </c>
      <c r="AB19" s="17">
        <f>_xlfn.XLOOKUP($C19,TB_NG!$E:$E,TB_NG!AD:AD)</f>
        <v>12556610.67</v>
      </c>
      <c r="AC19" s="17">
        <f>_xlfn.XLOOKUP($C19,TB_NG!$E:$E,TB_NG!AE:AE)</f>
        <v>13179854.52</v>
      </c>
      <c r="AD19" s="17">
        <f>_xlfn.XLOOKUP($C19,TB_NG!$E:$E,TB_NG!AF:AF)</f>
        <v>16621134.720000001</v>
      </c>
      <c r="AE19" s="17">
        <f>_xlfn.XLOOKUP($C19,TB_NG!$E:$E,TB_NG!AG:AG)</f>
        <v>9707401.9900000002</v>
      </c>
      <c r="AF19" s="17">
        <f>_xlfn.XLOOKUP($C19,TB_NG!$E:$E,TB_NG!AH:AH)</f>
        <v>0</v>
      </c>
      <c r="AG19" s="17">
        <f>_xlfn.XLOOKUP($C19,TB_NG!$E:$E,TB_NG!AI:AI)</f>
        <v>0</v>
      </c>
      <c r="AH19" s="17">
        <f>_xlfn.XLOOKUP($C19,TB_NG!$E:$E,TB_NG!AJ:AJ)</f>
        <v>0</v>
      </c>
      <c r="AI19" s="17">
        <f>_xlfn.XLOOKUP($C19,TB_NG!$E:$E,TB_NG!AK:AK)</f>
        <v>0</v>
      </c>
      <c r="AJ19" s="17">
        <f>_xlfn.XLOOKUP($C19,TB_NG!$E:$E,TB_NG!AL:AL)</f>
        <v>0</v>
      </c>
      <c r="AK19" s="17">
        <f>_xlfn.XLOOKUP($C19,TB_NG!$E:$E,TB_NG!AM:AM)</f>
        <v>0</v>
      </c>
      <c r="AL19" s="17">
        <f>_xlfn.XLOOKUP($C19,TB_NG!$E:$E,TB_NG!AN:AN)</f>
        <v>0</v>
      </c>
      <c r="AM19" s="17">
        <f>_xlfn.XLOOKUP($C19,TB_NG!$E:$E,TB_NG!AO:AO)</f>
        <v>0</v>
      </c>
    </row>
    <row r="20" spans="2:39" hidden="1" outlineLevel="1" x14ac:dyDescent="0.2">
      <c r="B20" s="21">
        <f>_xlfn.XLOOKUP($C20,TB_NG!$E:$E,TB_NG!A:A)</f>
        <v>10235</v>
      </c>
      <c r="C20" s="16" t="s">
        <v>167</v>
      </c>
      <c r="D20" s="17">
        <f>_xlfn.XLOOKUP($C20,TB_NG!$E:$E,TB_NG!F:F)</f>
        <v>4838975.16</v>
      </c>
      <c r="E20" s="17">
        <f>_xlfn.XLOOKUP($C20,TB_NG!$E:$E,TB_NG!G:G)</f>
        <v>279761.8</v>
      </c>
      <c r="F20" s="17">
        <f>_xlfn.XLOOKUP($C20,TB_NG!$E:$E,TB_NG!H:H)</f>
        <v>2614055.11</v>
      </c>
      <c r="G20" s="17">
        <f>_xlfn.XLOOKUP($C20,TB_NG!$E:$E,TB_NG!I:I)</f>
        <v>5479725.1399999997</v>
      </c>
      <c r="H20" s="17">
        <f>_xlfn.XLOOKUP($C20,TB_NG!$E:$E,TB_NG!J:J)</f>
        <v>4870820.16</v>
      </c>
      <c r="I20" s="17">
        <f>_xlfn.XLOOKUP($C20,TB_NG!$E:$E,TB_NG!K:K)</f>
        <v>10468814.58</v>
      </c>
      <c r="J20" s="17">
        <f>_xlfn.XLOOKUP($C20,TB_NG!$E:$E,TB_NG!L:L)</f>
        <v>5308883.17</v>
      </c>
      <c r="K20" s="17">
        <f>_xlfn.XLOOKUP($C20,TB_NG!$E:$E,TB_NG!M:M)</f>
        <v>28135098.25</v>
      </c>
      <c r="L20" s="17">
        <f>_xlfn.XLOOKUP($C20,TB_NG!$E:$E,TB_NG!N:N)</f>
        <v>1766586.76</v>
      </c>
      <c r="M20" s="17">
        <f>_xlfn.XLOOKUP($C20,TB_NG!$E:$E,TB_NG!O:O)</f>
        <v>5388894.4100000001</v>
      </c>
      <c r="N20" s="17">
        <f>_xlfn.XLOOKUP($C20,TB_NG!$E:$E,TB_NG!P:P)</f>
        <v>1166458.71</v>
      </c>
      <c r="O20" s="17">
        <f>_xlfn.XLOOKUP($C20,TB_NG!$E:$E,TB_NG!Q:Q)</f>
        <v>7139972.3799999999</v>
      </c>
      <c r="P20" s="17">
        <f>_xlfn.XLOOKUP($C20,TB_NG!$E:$E,TB_NG!R:R)</f>
        <v>252911.28</v>
      </c>
      <c r="Q20" s="17">
        <f>_xlfn.XLOOKUP($C20,TB_NG!$E:$E,TB_NG!S:S)</f>
        <v>41599349.560000002</v>
      </c>
      <c r="R20" s="17">
        <f>_xlfn.XLOOKUP($C20,TB_NG!$E:$E,TB_NG!T:T)</f>
        <v>17468961.579999998</v>
      </c>
      <c r="S20" s="17">
        <f>_xlfn.XLOOKUP($C20,TB_NG!$E:$E,TB_NG!U:U)</f>
        <v>13794481.93</v>
      </c>
      <c r="T20" s="17">
        <f>_xlfn.XLOOKUP($C20,TB_NG!$E:$E,TB_NG!V:V)</f>
        <v>5747187.9900000002</v>
      </c>
      <c r="U20" s="17">
        <f>_xlfn.XLOOKUP($C20,TB_NG!$E:$E,TB_NG!W:W)</f>
        <v>1842973.41</v>
      </c>
      <c r="V20" s="17">
        <f>_xlfn.XLOOKUP($C20,TB_NG!$E:$E,TB_NG!X:X)</f>
        <v>2090554.61</v>
      </c>
      <c r="W20" s="17">
        <f>_xlfn.XLOOKUP($C20,TB_NG!$E:$E,TB_NG!Y:Y)</f>
        <v>27790512.02</v>
      </c>
      <c r="X20" s="17">
        <f>_xlfn.XLOOKUP($C20,TB_NG!$E:$E,TB_NG!Z:Z)</f>
        <v>28941730.219999999</v>
      </c>
      <c r="Y20" s="17">
        <f>_xlfn.XLOOKUP($C20,TB_NG!$E:$E,TB_NG!AA:AA)</f>
        <v>30621230.219999999</v>
      </c>
      <c r="Z20" s="17">
        <f>_xlfn.XLOOKUP($C20,TB_NG!$E:$E,TB_NG!AB:AB)</f>
        <v>30621230.219999999</v>
      </c>
      <c r="AA20" s="17">
        <f>_xlfn.XLOOKUP($C20,TB_NG!$E:$E,TB_NG!AC:AC)</f>
        <v>15605051.470000001</v>
      </c>
      <c r="AB20" s="17">
        <f>_xlfn.XLOOKUP($C20,TB_NG!$E:$E,TB_NG!AD:AD)</f>
        <v>1239105.92</v>
      </c>
      <c r="AC20" s="17">
        <f>_xlfn.XLOOKUP($C20,TB_NG!$E:$E,TB_NG!AE:AE)</f>
        <v>1239105.92</v>
      </c>
      <c r="AD20" s="17">
        <f>_xlfn.XLOOKUP($C20,TB_NG!$E:$E,TB_NG!AF:AF)</f>
        <v>2213905.92</v>
      </c>
      <c r="AE20" s="17">
        <f>_xlfn.XLOOKUP($C20,TB_NG!$E:$E,TB_NG!AG:AG)</f>
        <v>1112576.67</v>
      </c>
      <c r="AF20" s="17">
        <f>_xlfn.XLOOKUP($C20,TB_NG!$E:$E,TB_NG!AH:AH)</f>
        <v>0</v>
      </c>
      <c r="AG20" s="17">
        <f>_xlfn.XLOOKUP($C20,TB_NG!$E:$E,TB_NG!AI:AI)</f>
        <v>0</v>
      </c>
      <c r="AH20" s="17">
        <f>_xlfn.XLOOKUP($C20,TB_NG!$E:$E,TB_NG!AJ:AJ)</f>
        <v>0</v>
      </c>
      <c r="AI20" s="17">
        <f>_xlfn.XLOOKUP($C20,TB_NG!$E:$E,TB_NG!AK:AK)</f>
        <v>0</v>
      </c>
      <c r="AJ20" s="17">
        <f>_xlfn.XLOOKUP($C20,TB_NG!$E:$E,TB_NG!AL:AL)</f>
        <v>0</v>
      </c>
      <c r="AK20" s="17">
        <f>_xlfn.XLOOKUP($C20,TB_NG!$E:$E,TB_NG!AM:AM)</f>
        <v>0</v>
      </c>
      <c r="AL20" s="17">
        <f>_xlfn.XLOOKUP($C20,TB_NG!$E:$E,TB_NG!AN:AN)</f>
        <v>0</v>
      </c>
      <c r="AM20" s="17">
        <f>_xlfn.XLOOKUP($C20,TB_NG!$E:$E,TB_NG!AO:AO)</f>
        <v>0</v>
      </c>
    </row>
    <row r="21" spans="2:39" hidden="1" outlineLevel="1" x14ac:dyDescent="0.2">
      <c r="B21" s="21">
        <f>_xlfn.XLOOKUP($C21,TB_NG!$E:$E,TB_NG!A:A)</f>
        <v>10240</v>
      </c>
      <c r="C21" s="16" t="s">
        <v>168</v>
      </c>
      <c r="D21" s="17">
        <f>_xlfn.XLOOKUP($C21,TB_NG!$E:$E,TB_NG!F:F)</f>
        <v>31493.46</v>
      </c>
      <c r="E21" s="17">
        <f>_xlfn.XLOOKUP($C21,TB_NG!$E:$E,TB_NG!G:G)</f>
        <v>31493.46</v>
      </c>
      <c r="F21" s="17">
        <f>_xlfn.XLOOKUP($C21,TB_NG!$E:$E,TB_NG!H:H)</f>
        <v>31493.46</v>
      </c>
      <c r="G21" s="17">
        <f>_xlfn.XLOOKUP($C21,TB_NG!$E:$E,TB_NG!I:I)</f>
        <v>31493.46</v>
      </c>
      <c r="H21" s="17">
        <f>_xlfn.XLOOKUP($C21,TB_NG!$E:$E,TB_NG!J:J)</f>
        <v>31493.46</v>
      </c>
      <c r="I21" s="17">
        <f>_xlfn.XLOOKUP($C21,TB_NG!$E:$E,TB_NG!K:K)</f>
        <v>31493.46</v>
      </c>
      <c r="J21" s="17">
        <f>_xlfn.XLOOKUP($C21,TB_NG!$E:$E,TB_NG!L:L)</f>
        <v>31493.46</v>
      </c>
      <c r="K21" s="17">
        <f>_xlfn.XLOOKUP($C21,TB_NG!$E:$E,TB_NG!M:M)</f>
        <v>31493.46</v>
      </c>
      <c r="L21" s="17">
        <f>_xlfn.XLOOKUP($C21,TB_NG!$E:$E,TB_NG!N:N)</f>
        <v>31493.46</v>
      </c>
      <c r="M21" s="17">
        <f>_xlfn.XLOOKUP($C21,TB_NG!$E:$E,TB_NG!O:O)</f>
        <v>31493.46</v>
      </c>
      <c r="N21" s="17">
        <f>_xlfn.XLOOKUP($C21,TB_NG!$E:$E,TB_NG!P:P)</f>
        <v>31493.46</v>
      </c>
      <c r="O21" s="17">
        <f>_xlfn.XLOOKUP($C21,TB_NG!$E:$E,TB_NG!Q:Q)</f>
        <v>31493.46</v>
      </c>
      <c r="P21" s="17">
        <f>_xlfn.XLOOKUP($C21,TB_NG!$E:$E,TB_NG!R:R)</f>
        <v>31493.46</v>
      </c>
      <c r="Q21" s="17">
        <f>_xlfn.XLOOKUP($C21,TB_NG!$E:$E,TB_NG!S:S)</f>
        <v>31493.46</v>
      </c>
      <c r="R21" s="17">
        <f>_xlfn.XLOOKUP($C21,TB_NG!$E:$E,TB_NG!T:T)</f>
        <v>31493.46</v>
      </c>
      <c r="S21" s="17">
        <f>_xlfn.XLOOKUP($C21,TB_NG!$E:$E,TB_NG!U:U)</f>
        <v>31493.46</v>
      </c>
      <c r="T21" s="17">
        <f>_xlfn.XLOOKUP($C21,TB_NG!$E:$E,TB_NG!V:V)</f>
        <v>31493.46</v>
      </c>
      <c r="U21" s="17">
        <f>_xlfn.XLOOKUP($C21,TB_NG!$E:$E,TB_NG!W:W)</f>
        <v>31493.46</v>
      </c>
      <c r="V21" s="17">
        <f>_xlfn.XLOOKUP($C21,TB_NG!$E:$E,TB_NG!X:X)</f>
        <v>31493.46</v>
      </c>
      <c r="W21" s="17">
        <f>_xlfn.XLOOKUP($C21,TB_NG!$E:$E,TB_NG!Y:Y)</f>
        <v>31493.46</v>
      </c>
      <c r="X21" s="17">
        <f>_xlfn.XLOOKUP($C21,TB_NG!$E:$E,TB_NG!Z:Z)</f>
        <v>31493.46</v>
      </c>
      <c r="Y21" s="17">
        <f>_xlfn.XLOOKUP($C21,TB_NG!$E:$E,TB_NG!AA:AA)</f>
        <v>31493.46</v>
      </c>
      <c r="Z21" s="17">
        <f>_xlfn.XLOOKUP($C21,TB_NG!$E:$E,TB_NG!AB:AB)</f>
        <v>31493.46</v>
      </c>
      <c r="AA21" s="17">
        <f>_xlfn.XLOOKUP($C21,TB_NG!$E:$E,TB_NG!AC:AC)</f>
        <v>31493.46</v>
      </c>
      <c r="AB21" s="17">
        <f>_xlfn.XLOOKUP($C21,TB_NG!$E:$E,TB_NG!AD:AD)</f>
        <v>31493.46</v>
      </c>
      <c r="AC21" s="17">
        <f>_xlfn.XLOOKUP($C21,TB_NG!$E:$E,TB_NG!AE:AE)</f>
        <v>31493.46</v>
      </c>
      <c r="AD21" s="17">
        <f>_xlfn.XLOOKUP($C21,TB_NG!$E:$E,TB_NG!AF:AF)</f>
        <v>31493.46</v>
      </c>
      <c r="AE21" s="17">
        <f>_xlfn.XLOOKUP($C21,TB_NG!$E:$E,TB_NG!AG:AG)</f>
        <v>31493.46</v>
      </c>
      <c r="AF21" s="17">
        <f>_xlfn.XLOOKUP($C21,TB_NG!$E:$E,TB_NG!AH:AH)</f>
        <v>0</v>
      </c>
      <c r="AG21" s="17">
        <f>_xlfn.XLOOKUP($C21,TB_NG!$E:$E,TB_NG!AI:AI)</f>
        <v>0</v>
      </c>
      <c r="AH21" s="17">
        <f>_xlfn.XLOOKUP($C21,TB_NG!$E:$E,TB_NG!AJ:AJ)</f>
        <v>0</v>
      </c>
      <c r="AI21" s="17">
        <f>_xlfn.XLOOKUP($C21,TB_NG!$E:$E,TB_NG!AK:AK)</f>
        <v>0</v>
      </c>
      <c r="AJ21" s="17">
        <f>_xlfn.XLOOKUP($C21,TB_NG!$E:$E,TB_NG!AL:AL)</f>
        <v>0</v>
      </c>
      <c r="AK21" s="17">
        <f>_xlfn.XLOOKUP($C21,TB_NG!$E:$E,TB_NG!AM:AM)</f>
        <v>0</v>
      </c>
      <c r="AL21" s="17">
        <f>_xlfn.XLOOKUP($C21,TB_NG!$E:$E,TB_NG!AN:AN)</f>
        <v>0</v>
      </c>
      <c r="AM21" s="17">
        <f>_xlfn.XLOOKUP($C21,TB_NG!$E:$E,TB_NG!AO:AO)</f>
        <v>0</v>
      </c>
    </row>
    <row r="22" spans="2:39" hidden="1" outlineLevel="1" x14ac:dyDescent="0.2">
      <c r="B22" s="21">
        <f>_xlfn.XLOOKUP($C22,TB_NG!$E:$E,TB_NG!A:A)</f>
        <v>10245</v>
      </c>
      <c r="C22" s="16" t="s">
        <v>169</v>
      </c>
      <c r="D22" s="17">
        <f>_xlfn.XLOOKUP($C22,TB_NG!$E:$E,TB_NG!F:F)</f>
        <v>247848.59</v>
      </c>
      <c r="E22" s="17">
        <f>_xlfn.XLOOKUP($C22,TB_NG!$E:$E,TB_NG!G:G)</f>
        <v>44840.59</v>
      </c>
      <c r="F22" s="17">
        <f>_xlfn.XLOOKUP($C22,TB_NG!$E:$E,TB_NG!H:H)</f>
        <v>178073.03</v>
      </c>
      <c r="G22" s="17">
        <f>_xlfn.XLOOKUP($C22,TB_NG!$E:$E,TB_NG!I:I)</f>
        <v>178073.03</v>
      </c>
      <c r="H22" s="17">
        <f>_xlfn.XLOOKUP($C22,TB_NG!$E:$E,TB_NG!J:J)</f>
        <v>178073.03</v>
      </c>
      <c r="I22" s="17">
        <f>_xlfn.XLOOKUP($C22,TB_NG!$E:$E,TB_NG!K:K)</f>
        <v>208999.86</v>
      </c>
      <c r="J22" s="17">
        <f>_xlfn.XLOOKUP($C22,TB_NG!$E:$E,TB_NG!L:L)</f>
        <v>208999.86</v>
      </c>
      <c r="K22" s="17">
        <f>_xlfn.XLOOKUP($C22,TB_NG!$E:$E,TB_NG!M:M)</f>
        <v>208999.86</v>
      </c>
      <c r="L22" s="17">
        <f>_xlfn.XLOOKUP($C22,TB_NG!$E:$E,TB_NG!N:N)</f>
        <v>208999.86</v>
      </c>
      <c r="M22" s="17">
        <f>_xlfn.XLOOKUP($C22,TB_NG!$E:$E,TB_NG!O:O)</f>
        <v>208999.86</v>
      </c>
      <c r="N22" s="17">
        <f>_xlfn.XLOOKUP($C22,TB_NG!$E:$E,TB_NG!P:P)</f>
        <v>208999.86</v>
      </c>
      <c r="O22" s="17">
        <f>_xlfn.XLOOKUP($C22,TB_NG!$E:$E,TB_NG!Q:Q)</f>
        <v>208999.86</v>
      </c>
      <c r="P22" s="17">
        <f>_xlfn.XLOOKUP($C22,TB_NG!$E:$E,TB_NG!R:R)</f>
        <v>208999.86</v>
      </c>
      <c r="Q22" s="17">
        <f>_xlfn.XLOOKUP($C22,TB_NG!$E:$E,TB_NG!S:S)</f>
        <v>208999.86</v>
      </c>
      <c r="R22" s="17">
        <f>_xlfn.XLOOKUP($C22,TB_NG!$E:$E,TB_NG!T:T)</f>
        <v>208999.86</v>
      </c>
      <c r="S22" s="17">
        <f>_xlfn.XLOOKUP($C22,TB_NG!$E:$E,TB_NG!U:U)</f>
        <v>208999.86</v>
      </c>
      <c r="T22" s="17">
        <f>_xlfn.XLOOKUP($C22,TB_NG!$E:$E,TB_NG!V:V)</f>
        <v>208999.86</v>
      </c>
      <c r="U22" s="17">
        <f>_xlfn.XLOOKUP($C22,TB_NG!$E:$E,TB_NG!W:W)</f>
        <v>208999.86</v>
      </c>
      <c r="V22" s="17">
        <f>_xlfn.XLOOKUP($C22,TB_NG!$E:$E,TB_NG!X:X)</f>
        <v>208999.86</v>
      </c>
      <c r="W22" s="17">
        <f>_xlfn.XLOOKUP($C22,TB_NG!$E:$E,TB_NG!Y:Y)</f>
        <v>208999.86</v>
      </c>
      <c r="X22" s="17">
        <f>_xlfn.XLOOKUP($C22,TB_NG!$E:$E,TB_NG!Z:Z)</f>
        <v>208999.86</v>
      </c>
      <c r="Y22" s="17">
        <f>_xlfn.XLOOKUP($C22,TB_NG!$E:$E,TB_NG!AA:AA)</f>
        <v>208999.86</v>
      </c>
      <c r="Z22" s="17">
        <f>_xlfn.XLOOKUP($C22,TB_NG!$E:$E,TB_NG!AB:AB)</f>
        <v>208999.86</v>
      </c>
      <c r="AA22" s="17">
        <f>_xlfn.XLOOKUP($C22,TB_NG!$E:$E,TB_NG!AC:AC)</f>
        <v>208999.86</v>
      </c>
      <c r="AB22" s="17">
        <f>_xlfn.XLOOKUP($C22,TB_NG!$E:$E,TB_NG!AD:AD)</f>
        <v>208999.86</v>
      </c>
      <c r="AC22" s="17">
        <f>_xlfn.XLOOKUP($C22,TB_NG!$E:$E,TB_NG!AE:AE)</f>
        <v>208999.86</v>
      </c>
      <c r="AD22" s="17">
        <f>_xlfn.XLOOKUP($C22,TB_NG!$E:$E,TB_NG!AF:AF)</f>
        <v>208999.86</v>
      </c>
      <c r="AE22" s="17">
        <f>_xlfn.XLOOKUP($C22,TB_NG!$E:$E,TB_NG!AG:AG)</f>
        <v>208999.86</v>
      </c>
      <c r="AF22" s="17">
        <f>_xlfn.XLOOKUP($C22,TB_NG!$E:$E,TB_NG!AH:AH)</f>
        <v>0</v>
      </c>
      <c r="AG22" s="17">
        <f>_xlfn.XLOOKUP($C22,TB_NG!$E:$E,TB_NG!AI:AI)</f>
        <v>0</v>
      </c>
      <c r="AH22" s="17">
        <f>_xlfn.XLOOKUP($C22,TB_NG!$E:$E,TB_NG!AJ:AJ)</f>
        <v>0</v>
      </c>
      <c r="AI22" s="17">
        <f>_xlfn.XLOOKUP($C22,TB_NG!$E:$E,TB_NG!AK:AK)</f>
        <v>0</v>
      </c>
      <c r="AJ22" s="17">
        <f>_xlfn.XLOOKUP($C22,TB_NG!$E:$E,TB_NG!AL:AL)</f>
        <v>0</v>
      </c>
      <c r="AK22" s="17">
        <f>_xlfn.XLOOKUP($C22,TB_NG!$E:$E,TB_NG!AM:AM)</f>
        <v>0</v>
      </c>
      <c r="AL22" s="17">
        <f>_xlfn.XLOOKUP($C22,TB_NG!$E:$E,TB_NG!AN:AN)</f>
        <v>0</v>
      </c>
      <c r="AM22" s="17">
        <f>_xlfn.XLOOKUP($C22,TB_NG!$E:$E,TB_NG!AO:AO)</f>
        <v>0</v>
      </c>
    </row>
    <row r="23" spans="2:39" hidden="1" outlineLevel="1" x14ac:dyDescent="0.2">
      <c r="B23" s="21">
        <f>_xlfn.XLOOKUP($C23,TB_NG!$E:$E,TB_NG!A:A)</f>
        <v>10253</v>
      </c>
      <c r="C23" s="16" t="s">
        <v>170</v>
      </c>
      <c r="D23" s="17">
        <f>_xlfn.XLOOKUP($C23,TB_NG!$E:$E,TB_NG!F:F)</f>
        <v>37858624</v>
      </c>
      <c r="E23" s="17">
        <f>_xlfn.XLOOKUP($C23,TB_NG!$E:$E,TB_NG!G:G)</f>
        <v>17136480</v>
      </c>
      <c r="F23" s="17">
        <f>_xlfn.XLOOKUP($C23,TB_NG!$E:$E,TB_NG!H:H)</f>
        <v>12626700</v>
      </c>
      <c r="G23" s="17">
        <f>_xlfn.XLOOKUP($C23,TB_NG!$E:$E,TB_NG!I:I)</f>
        <v>10123793.84</v>
      </c>
      <c r="H23" s="17">
        <f>_xlfn.XLOOKUP($C23,TB_NG!$E:$E,TB_NG!J:J)</f>
        <v>67011430.240000002</v>
      </c>
      <c r="I23" s="17">
        <f>_xlfn.XLOOKUP($C23,TB_NG!$E:$E,TB_NG!K:K)</f>
        <v>184987253.72</v>
      </c>
      <c r="J23" s="17">
        <f>_xlfn.XLOOKUP($C23,TB_NG!$E:$E,TB_NG!L:L)</f>
        <v>126624286.3</v>
      </c>
      <c r="K23" s="17">
        <f>_xlfn.XLOOKUP($C23,TB_NG!$E:$E,TB_NG!M:M)</f>
        <v>42317373.93</v>
      </c>
      <c r="L23" s="17">
        <f>_xlfn.XLOOKUP($C23,TB_NG!$E:$E,TB_NG!N:N)</f>
        <v>33514121.670000002</v>
      </c>
      <c r="M23" s="17">
        <f>_xlfn.XLOOKUP($C23,TB_NG!$E:$E,TB_NG!O:O)</f>
        <v>2902335.64</v>
      </c>
      <c r="N23" s="17">
        <f>_xlfn.XLOOKUP($C23,TB_NG!$E:$E,TB_NG!P:P)</f>
        <v>52928141.079999998</v>
      </c>
      <c r="O23" s="17">
        <f>_xlfn.XLOOKUP($C23,TB_NG!$E:$E,TB_NG!Q:Q)</f>
        <v>736446.95</v>
      </c>
      <c r="P23" s="17">
        <f>_xlfn.XLOOKUP($C23,TB_NG!$E:$E,TB_NG!R:R)</f>
        <v>20759084.719999999</v>
      </c>
      <c r="Q23" s="17">
        <f>_xlfn.XLOOKUP($C23,TB_NG!$E:$E,TB_NG!S:S)</f>
        <v>15470427.67</v>
      </c>
      <c r="R23" s="17">
        <f>_xlfn.XLOOKUP($C23,TB_NG!$E:$E,TB_NG!T:T)</f>
        <v>251667.85</v>
      </c>
      <c r="S23" s="17">
        <f>_xlfn.XLOOKUP($C23,TB_NG!$E:$E,TB_NG!U:U)</f>
        <v>153173.68</v>
      </c>
      <c r="T23" s="17">
        <f>_xlfn.XLOOKUP($C23,TB_NG!$E:$E,TB_NG!V:V)</f>
        <v>47042422.880000003</v>
      </c>
      <c r="U23" s="17">
        <f>_xlfn.XLOOKUP($C23,TB_NG!$E:$E,TB_NG!W:W)</f>
        <v>66958240.649999999</v>
      </c>
      <c r="V23" s="17">
        <f>_xlfn.XLOOKUP($C23,TB_NG!$E:$E,TB_NG!X:X)</f>
        <v>232422314.99000001</v>
      </c>
      <c r="W23" s="17">
        <f>_xlfn.XLOOKUP($C23,TB_NG!$E:$E,TB_NG!Y:Y)</f>
        <v>12268491.779999999</v>
      </c>
      <c r="X23" s="17">
        <f>_xlfn.XLOOKUP($C23,TB_NG!$E:$E,TB_NG!Z:Z)</f>
        <v>36979400.390000001</v>
      </c>
      <c r="Y23" s="17">
        <f>_xlfn.XLOOKUP($C23,TB_NG!$E:$E,TB_NG!AA:AA)</f>
        <v>716236.49</v>
      </c>
      <c r="Z23" s="17">
        <f>_xlfn.XLOOKUP($C23,TB_NG!$E:$E,TB_NG!AB:AB)</f>
        <v>38685658.240000002</v>
      </c>
      <c r="AA23" s="17">
        <f>_xlfn.XLOOKUP($C23,TB_NG!$E:$E,TB_NG!AC:AC)</f>
        <v>8369829.46</v>
      </c>
      <c r="AB23" s="17">
        <f>_xlfn.XLOOKUP($C23,TB_NG!$E:$E,TB_NG!AD:AD)</f>
        <v>70837683.010000005</v>
      </c>
      <c r="AC23" s="17">
        <f>_xlfn.XLOOKUP($C23,TB_NG!$E:$E,TB_NG!AE:AE)</f>
        <v>178902338.38</v>
      </c>
      <c r="AD23" s="17">
        <f>_xlfn.XLOOKUP($C23,TB_NG!$E:$E,TB_NG!AF:AF)</f>
        <v>92431200.609999999</v>
      </c>
      <c r="AE23" s="17">
        <f>_xlfn.XLOOKUP($C23,TB_NG!$E:$E,TB_NG!AG:AG)</f>
        <v>9522318.8300000001</v>
      </c>
      <c r="AF23" s="17">
        <f>_xlfn.XLOOKUP($C23,TB_NG!$E:$E,TB_NG!AH:AH)</f>
        <v>0</v>
      </c>
      <c r="AG23" s="17">
        <f>_xlfn.XLOOKUP($C23,TB_NG!$E:$E,TB_NG!AI:AI)</f>
        <v>0</v>
      </c>
      <c r="AH23" s="17">
        <f>_xlfn.XLOOKUP($C23,TB_NG!$E:$E,TB_NG!AJ:AJ)</f>
        <v>0</v>
      </c>
      <c r="AI23" s="17">
        <f>_xlfn.XLOOKUP($C23,TB_NG!$E:$E,TB_NG!AK:AK)</f>
        <v>0</v>
      </c>
      <c r="AJ23" s="17">
        <f>_xlfn.XLOOKUP($C23,TB_NG!$E:$E,TB_NG!AL:AL)</f>
        <v>0</v>
      </c>
      <c r="AK23" s="17">
        <f>_xlfn.XLOOKUP($C23,TB_NG!$E:$E,TB_NG!AM:AM)</f>
        <v>0</v>
      </c>
      <c r="AL23" s="17">
        <f>_xlfn.XLOOKUP($C23,TB_NG!$E:$E,TB_NG!AN:AN)</f>
        <v>0</v>
      </c>
      <c r="AM23" s="17">
        <f>_xlfn.XLOOKUP($C23,TB_NG!$E:$E,TB_NG!AO:AO)</f>
        <v>0</v>
      </c>
    </row>
    <row r="24" spans="2:39" hidden="1" outlineLevel="1" x14ac:dyDescent="0.2">
      <c r="B24" s="21">
        <f>_xlfn.XLOOKUP($C24,TB_NG!$E:$E,TB_NG!A:A)</f>
        <v>10255</v>
      </c>
      <c r="C24" s="16" t="s">
        <v>171</v>
      </c>
      <c r="D24" s="17">
        <f>_xlfn.XLOOKUP($C24,TB_NG!$E:$E,TB_NG!F:F)</f>
        <v>268169.90999999997</v>
      </c>
      <c r="E24" s="17">
        <f>_xlfn.XLOOKUP($C24,TB_NG!$E:$E,TB_NG!G:G)</f>
        <v>487862.28</v>
      </c>
      <c r="F24" s="17">
        <f>_xlfn.XLOOKUP($C24,TB_NG!$E:$E,TB_NG!H:H)</f>
        <v>27575.69</v>
      </c>
      <c r="G24" s="17">
        <f>_xlfn.XLOOKUP($C24,TB_NG!$E:$E,TB_NG!I:I)</f>
        <v>28839.38</v>
      </c>
      <c r="H24" s="17">
        <f>_xlfn.XLOOKUP($C24,TB_NG!$E:$E,TB_NG!J:J)</f>
        <v>-418254.39</v>
      </c>
      <c r="I24" s="17">
        <f>_xlfn.XLOOKUP($C24,TB_NG!$E:$E,TB_NG!K:K)</f>
        <v>1633190.64</v>
      </c>
      <c r="J24" s="17">
        <f>_xlfn.XLOOKUP($C24,TB_NG!$E:$E,TB_NG!L:L)</f>
        <v>403051.61</v>
      </c>
      <c r="K24" s="17">
        <f>_xlfn.XLOOKUP($C24,TB_NG!$E:$E,TB_NG!M:M)</f>
        <v>5646619.3799999999</v>
      </c>
      <c r="L24" s="17">
        <f>_xlfn.XLOOKUP($C24,TB_NG!$E:$E,TB_NG!N:N)</f>
        <v>4305608.58</v>
      </c>
      <c r="M24" s="17">
        <f>_xlfn.XLOOKUP($C24,TB_NG!$E:$E,TB_NG!O:O)</f>
        <v>2206724.2999999998</v>
      </c>
      <c r="N24" s="17">
        <f>_xlfn.XLOOKUP($C24,TB_NG!$E:$E,TB_NG!P:P)</f>
        <v>1075101.1399999999</v>
      </c>
      <c r="O24" s="17">
        <f>_xlfn.XLOOKUP($C24,TB_NG!$E:$E,TB_NG!Q:Q)</f>
        <v>1692570.56</v>
      </c>
      <c r="P24" s="17">
        <f>_xlfn.XLOOKUP($C24,TB_NG!$E:$E,TB_NG!R:R)</f>
        <v>824005.49</v>
      </c>
      <c r="Q24" s="17">
        <f>_xlfn.XLOOKUP($C24,TB_NG!$E:$E,TB_NG!S:S)</f>
        <v>4823286.13</v>
      </c>
      <c r="R24" s="17">
        <f>_xlfn.XLOOKUP($C24,TB_NG!$E:$E,TB_NG!T:T)</f>
        <v>4433711.3</v>
      </c>
      <c r="S24" s="17">
        <f>_xlfn.XLOOKUP($C24,TB_NG!$E:$E,TB_NG!U:U)</f>
        <v>2601950.5499999998</v>
      </c>
      <c r="T24" s="17">
        <f>_xlfn.XLOOKUP($C24,TB_NG!$E:$E,TB_NG!V:V)</f>
        <v>2648339.9900000002</v>
      </c>
      <c r="U24" s="17">
        <f>_xlfn.XLOOKUP($C24,TB_NG!$E:$E,TB_NG!W:W)</f>
        <v>942619.3</v>
      </c>
      <c r="V24" s="17">
        <f>_xlfn.XLOOKUP($C24,TB_NG!$E:$E,TB_NG!X:X)</f>
        <v>267336.96000000002</v>
      </c>
      <c r="W24" s="17">
        <f>_xlfn.XLOOKUP($C24,TB_NG!$E:$E,TB_NG!Y:Y)</f>
        <v>954642.62</v>
      </c>
      <c r="X24" s="17">
        <f>_xlfn.XLOOKUP($C24,TB_NG!$E:$E,TB_NG!Z:Z)</f>
        <v>1761043.98</v>
      </c>
      <c r="Y24" s="17">
        <f>_xlfn.XLOOKUP($C24,TB_NG!$E:$E,TB_NG!AA:AA)</f>
        <v>2633768.06</v>
      </c>
      <c r="Z24" s="17">
        <f>_xlfn.XLOOKUP($C24,TB_NG!$E:$E,TB_NG!AB:AB)</f>
        <v>1289718.29</v>
      </c>
      <c r="AA24" s="17">
        <f>_xlfn.XLOOKUP($C24,TB_NG!$E:$E,TB_NG!AC:AC)</f>
        <v>1043630.58</v>
      </c>
      <c r="AB24" s="17">
        <f>_xlfn.XLOOKUP($C24,TB_NG!$E:$E,TB_NG!AD:AD)</f>
        <v>2505446.29</v>
      </c>
      <c r="AC24" s="17">
        <f>_xlfn.XLOOKUP($C24,TB_NG!$E:$E,TB_NG!AE:AE)</f>
        <v>2415181.73</v>
      </c>
      <c r="AD24" s="17">
        <f>_xlfn.XLOOKUP($C24,TB_NG!$E:$E,TB_NG!AF:AF)</f>
        <v>1753797.44</v>
      </c>
      <c r="AE24" s="17">
        <f>_xlfn.XLOOKUP($C24,TB_NG!$E:$E,TB_NG!AG:AG)</f>
        <v>1147049.46</v>
      </c>
      <c r="AF24" s="17">
        <f>_xlfn.XLOOKUP($C24,TB_NG!$E:$E,TB_NG!AH:AH)</f>
        <v>0</v>
      </c>
      <c r="AG24" s="17">
        <f>_xlfn.XLOOKUP($C24,TB_NG!$E:$E,TB_NG!AI:AI)</f>
        <v>0</v>
      </c>
      <c r="AH24" s="17">
        <f>_xlfn.XLOOKUP($C24,TB_NG!$E:$E,TB_NG!AJ:AJ)</f>
        <v>0</v>
      </c>
      <c r="AI24" s="17">
        <f>_xlfn.XLOOKUP($C24,TB_NG!$E:$E,TB_NG!AK:AK)</f>
        <v>0</v>
      </c>
      <c r="AJ24" s="17">
        <f>_xlfn.XLOOKUP($C24,TB_NG!$E:$E,TB_NG!AL:AL)</f>
        <v>0</v>
      </c>
      <c r="AK24" s="17">
        <f>_xlfn.XLOOKUP($C24,TB_NG!$E:$E,TB_NG!AM:AM)</f>
        <v>0</v>
      </c>
      <c r="AL24" s="17">
        <f>_xlfn.XLOOKUP($C24,TB_NG!$E:$E,TB_NG!AN:AN)</f>
        <v>0</v>
      </c>
      <c r="AM24" s="17">
        <f>_xlfn.XLOOKUP($C24,TB_NG!$E:$E,TB_NG!AO:AO)</f>
        <v>0</v>
      </c>
    </row>
    <row r="25" spans="2:39" hidden="1" outlineLevel="1" x14ac:dyDescent="0.2">
      <c r="B25" s="21">
        <f>_xlfn.XLOOKUP($C25,TB_NG!$E:$E,TB_NG!A:A)</f>
        <v>10256</v>
      </c>
      <c r="C25" s="16" t="s">
        <v>172</v>
      </c>
      <c r="D25" s="17">
        <f>_xlfn.XLOOKUP($C25,TB_NG!$E:$E,TB_NG!F:F)</f>
        <v>0</v>
      </c>
      <c r="E25" s="17">
        <f>_xlfn.XLOOKUP($C25,TB_NG!$E:$E,TB_NG!G:G)</f>
        <v>0</v>
      </c>
      <c r="F25" s="17">
        <f>_xlfn.XLOOKUP($C25,TB_NG!$E:$E,TB_NG!H:H)</f>
        <v>6599985000</v>
      </c>
      <c r="G25" s="17">
        <f>_xlfn.XLOOKUP($C25,TB_NG!$E:$E,TB_NG!I:I)</f>
        <v>5355506611.1999998</v>
      </c>
      <c r="H25" s="17">
        <f>_xlfn.XLOOKUP($C25,TB_NG!$E:$E,TB_NG!J:J)</f>
        <v>1289090669.8699999</v>
      </c>
      <c r="I25" s="17">
        <f>_xlfn.XLOOKUP($C25,TB_NG!$E:$E,TB_NG!K:K)</f>
        <v>1445040840.75</v>
      </c>
      <c r="J25" s="17">
        <f>_xlfn.XLOOKUP($C25,TB_NG!$E:$E,TB_NG!L:L)</f>
        <v>1533122334.28</v>
      </c>
      <c r="K25" s="17">
        <f>_xlfn.XLOOKUP($C25,TB_NG!$E:$E,TB_NG!M:M)</f>
        <v>387668663.37</v>
      </c>
      <c r="L25" s="17">
        <f>_xlfn.XLOOKUP($C25,TB_NG!$E:$E,TB_NG!N:N)</f>
        <v>387668663.37</v>
      </c>
      <c r="M25" s="17">
        <f>_xlfn.XLOOKUP($C25,TB_NG!$E:$E,TB_NG!O:O)</f>
        <v>17697029.859999999</v>
      </c>
      <c r="N25" s="17">
        <f>_xlfn.XLOOKUP($C25,TB_NG!$E:$E,TB_NG!P:P)</f>
        <v>1294033.75</v>
      </c>
      <c r="O25" s="17">
        <f>_xlfn.XLOOKUP($C25,TB_NG!$E:$E,TB_NG!Q:Q)</f>
        <v>1189396.3899999999</v>
      </c>
      <c r="P25" s="17">
        <f>_xlfn.XLOOKUP($C25,TB_NG!$E:$E,TB_NG!R:R)</f>
        <v>1182337.52</v>
      </c>
      <c r="Q25" s="17">
        <f>_xlfn.XLOOKUP($C25,TB_NG!$E:$E,TB_NG!S:S)</f>
        <v>1151956.7</v>
      </c>
      <c r="R25" s="17">
        <f>_xlfn.XLOOKUP($C25,TB_NG!$E:$E,TB_NG!T:T)</f>
        <v>294478328.37</v>
      </c>
      <c r="S25" s="17">
        <f>_xlfn.XLOOKUP($C25,TB_NG!$E:$E,TB_NG!U:U)</f>
        <v>1180638.3700000001</v>
      </c>
      <c r="T25" s="17">
        <f>_xlfn.XLOOKUP($C25,TB_NG!$E:$E,TB_NG!V:V)</f>
        <v>1220772.3400000001</v>
      </c>
      <c r="U25" s="17">
        <f>_xlfn.XLOOKUP($C25,TB_NG!$E:$E,TB_NG!W:W)</f>
        <v>1185174.5900000001</v>
      </c>
      <c r="V25" s="17">
        <f>_xlfn.XLOOKUP($C25,TB_NG!$E:$E,TB_NG!X:X)</f>
        <v>1176732.6100000001</v>
      </c>
      <c r="W25" s="17">
        <f>_xlfn.XLOOKUP($C25,TB_NG!$E:$E,TB_NG!Y:Y)</f>
        <v>1182668.1399999999</v>
      </c>
      <c r="X25" s="17">
        <f>_xlfn.XLOOKUP($C25,TB_NG!$E:$E,TB_NG!Z:Z)</f>
        <v>1140773.5</v>
      </c>
      <c r="Y25" s="17">
        <f>_xlfn.XLOOKUP($C25,TB_NG!$E:$E,TB_NG!AA:AA)</f>
        <v>1114440.3899999999</v>
      </c>
      <c r="Z25" s="17">
        <f>_xlfn.XLOOKUP($C25,TB_NG!$E:$E,TB_NG!AB:AB)</f>
        <v>1112718.1599999999</v>
      </c>
      <c r="AA25" s="17">
        <f>_xlfn.XLOOKUP($C25,TB_NG!$E:$E,TB_NG!AC:AC)</f>
        <v>1114571.0900000001</v>
      </c>
      <c r="AB25" s="17">
        <f>_xlfn.XLOOKUP($C25,TB_NG!$E:$E,TB_NG!AD:AD)</f>
        <v>1066940.83</v>
      </c>
      <c r="AC25" s="17">
        <f>_xlfn.XLOOKUP($C25,TB_NG!$E:$E,TB_NG!AE:AE)</f>
        <v>1043398.65</v>
      </c>
      <c r="AD25" s="17">
        <f>_xlfn.XLOOKUP($C25,TB_NG!$E:$E,TB_NG!AF:AF)</f>
        <v>1063135.03</v>
      </c>
      <c r="AE25" s="17">
        <f>_xlfn.XLOOKUP($C25,TB_NG!$E:$E,TB_NG!AG:AG)</f>
        <v>1056822.77</v>
      </c>
      <c r="AF25" s="17">
        <f>_xlfn.XLOOKUP($C25,TB_NG!$E:$E,TB_NG!AH:AH)</f>
        <v>0</v>
      </c>
      <c r="AG25" s="17">
        <f>_xlfn.XLOOKUP($C25,TB_NG!$E:$E,TB_NG!AI:AI)</f>
        <v>0</v>
      </c>
      <c r="AH25" s="17">
        <f>_xlfn.XLOOKUP($C25,TB_NG!$E:$E,TB_NG!AJ:AJ)</f>
        <v>0</v>
      </c>
      <c r="AI25" s="17">
        <f>_xlfn.XLOOKUP($C25,TB_NG!$E:$E,TB_NG!AK:AK)</f>
        <v>0</v>
      </c>
      <c r="AJ25" s="17">
        <f>_xlfn.XLOOKUP($C25,TB_NG!$E:$E,TB_NG!AL:AL)</f>
        <v>0</v>
      </c>
      <c r="AK25" s="17">
        <f>_xlfn.XLOOKUP($C25,TB_NG!$E:$E,TB_NG!AM:AM)</f>
        <v>0</v>
      </c>
      <c r="AL25" s="17">
        <f>_xlfn.XLOOKUP($C25,TB_NG!$E:$E,TB_NG!AN:AN)</f>
        <v>0</v>
      </c>
      <c r="AM25" s="17">
        <f>_xlfn.XLOOKUP($C25,TB_NG!$E:$E,TB_NG!AO:AO)</f>
        <v>0</v>
      </c>
    </row>
    <row r="26" spans="2:39" hidden="1" outlineLevel="1" x14ac:dyDescent="0.2">
      <c r="B26" s="21">
        <f>_xlfn.XLOOKUP($C26,TB_NG!$E:$E,TB_NG!A:A)</f>
        <v>10260</v>
      </c>
      <c r="C26" s="16" t="s">
        <v>173</v>
      </c>
      <c r="D26" s="17">
        <f>_xlfn.XLOOKUP($C26,TB_NG!$E:$E,TB_NG!F:F)</f>
        <v>2034171.87</v>
      </c>
      <c r="E26" s="17">
        <f>_xlfn.XLOOKUP($C26,TB_NG!$E:$E,TB_NG!G:G)</f>
        <v>2034171.87</v>
      </c>
      <c r="F26" s="17">
        <f>_xlfn.XLOOKUP($C26,TB_NG!$E:$E,TB_NG!H:H)</f>
        <v>2034171.87</v>
      </c>
      <c r="G26" s="17">
        <f>_xlfn.XLOOKUP($C26,TB_NG!$E:$E,TB_NG!I:I)</f>
        <v>2034171.87</v>
      </c>
      <c r="H26" s="17">
        <f>_xlfn.XLOOKUP($C26,TB_NG!$E:$E,TB_NG!J:J)</f>
        <v>35493.360000000001</v>
      </c>
      <c r="I26" s="17">
        <f>_xlfn.XLOOKUP($C26,TB_NG!$E:$E,TB_NG!K:K)</f>
        <v>28443.360000000001</v>
      </c>
      <c r="J26" s="17">
        <f>_xlfn.XLOOKUP($C26,TB_NG!$E:$E,TB_NG!L:L)</f>
        <v>28443.360000000001</v>
      </c>
      <c r="K26" s="17">
        <f>_xlfn.XLOOKUP($C26,TB_NG!$E:$E,TB_NG!M:M)</f>
        <v>28443.360000000001</v>
      </c>
      <c r="L26" s="17">
        <f>_xlfn.XLOOKUP($C26,TB_NG!$E:$E,TB_NG!N:N)</f>
        <v>28443.360000000001</v>
      </c>
      <c r="M26" s="17">
        <f>_xlfn.XLOOKUP($C26,TB_NG!$E:$E,TB_NG!O:O)</f>
        <v>0</v>
      </c>
      <c r="N26" s="17">
        <f>_xlfn.XLOOKUP($C26,TB_NG!$E:$E,TB_NG!P:P)</f>
        <v>654050</v>
      </c>
      <c r="O26" s="17">
        <f>_xlfn.XLOOKUP($C26,TB_NG!$E:$E,TB_NG!Q:Q)</f>
        <v>0</v>
      </c>
      <c r="P26" s="17">
        <f>_xlfn.XLOOKUP($C26,TB_NG!$E:$E,TB_NG!R:R)</f>
        <v>200000</v>
      </c>
      <c r="Q26" s="17">
        <f>_xlfn.XLOOKUP($C26,TB_NG!$E:$E,TB_NG!S:S)</f>
        <v>202600</v>
      </c>
      <c r="R26" s="17">
        <f>_xlfn.XLOOKUP($C26,TB_NG!$E:$E,TB_NG!T:T)</f>
        <v>202600</v>
      </c>
      <c r="S26" s="17">
        <f>_xlfn.XLOOKUP($C26,TB_NG!$E:$E,TB_NG!U:U)</f>
        <v>202600</v>
      </c>
      <c r="T26" s="17">
        <f>_xlfn.XLOOKUP($C26,TB_NG!$E:$E,TB_NG!V:V)</f>
        <v>200000</v>
      </c>
      <c r="U26" s="17">
        <f>_xlfn.XLOOKUP($C26,TB_NG!$E:$E,TB_NG!W:W)</f>
        <v>207200</v>
      </c>
      <c r="V26" s="17">
        <f>_xlfn.XLOOKUP($C26,TB_NG!$E:$E,TB_NG!X:X)</f>
        <v>207200</v>
      </c>
      <c r="W26" s="17">
        <f>_xlfn.XLOOKUP($C26,TB_NG!$E:$E,TB_NG!Y:Y)</f>
        <v>207200</v>
      </c>
      <c r="X26" s="17">
        <f>_xlfn.XLOOKUP($C26,TB_NG!$E:$E,TB_NG!Z:Z)</f>
        <v>200000</v>
      </c>
      <c r="Y26" s="17">
        <f>_xlfn.XLOOKUP($C26,TB_NG!$E:$E,TB_NG!AA:AA)</f>
        <v>0</v>
      </c>
      <c r="Z26" s="17">
        <f>_xlfn.XLOOKUP($C26,TB_NG!$E:$E,TB_NG!AB:AB)</f>
        <v>0</v>
      </c>
      <c r="AA26" s="17">
        <f>_xlfn.XLOOKUP($C26,TB_NG!$E:$E,TB_NG!AC:AC)</f>
        <v>0</v>
      </c>
      <c r="AB26" s="17">
        <f>_xlfn.XLOOKUP($C26,TB_NG!$E:$E,TB_NG!AD:AD)</f>
        <v>0</v>
      </c>
      <c r="AC26" s="17">
        <f>_xlfn.XLOOKUP($C26,TB_NG!$E:$E,TB_NG!AE:AE)</f>
        <v>0</v>
      </c>
      <c r="AD26" s="17">
        <f>_xlfn.XLOOKUP($C26,TB_NG!$E:$E,TB_NG!AF:AF)</f>
        <v>0</v>
      </c>
      <c r="AE26" s="17">
        <f>_xlfn.XLOOKUP($C26,TB_NG!$E:$E,TB_NG!AG:AG)</f>
        <v>0</v>
      </c>
      <c r="AF26" s="17">
        <f>_xlfn.XLOOKUP($C26,TB_NG!$E:$E,TB_NG!AH:AH)</f>
        <v>0</v>
      </c>
      <c r="AG26" s="17">
        <f>_xlfn.XLOOKUP($C26,TB_NG!$E:$E,TB_NG!AI:AI)</f>
        <v>0</v>
      </c>
      <c r="AH26" s="17">
        <f>_xlfn.XLOOKUP($C26,TB_NG!$E:$E,TB_NG!AJ:AJ)</f>
        <v>0</v>
      </c>
      <c r="AI26" s="17">
        <f>_xlfn.XLOOKUP($C26,TB_NG!$E:$E,TB_NG!AK:AK)</f>
        <v>0</v>
      </c>
      <c r="AJ26" s="17">
        <f>_xlfn.XLOOKUP($C26,TB_NG!$E:$E,TB_NG!AL:AL)</f>
        <v>0</v>
      </c>
      <c r="AK26" s="17">
        <f>_xlfn.XLOOKUP($C26,TB_NG!$E:$E,TB_NG!AM:AM)</f>
        <v>0</v>
      </c>
      <c r="AL26" s="17">
        <f>_xlfn.XLOOKUP($C26,TB_NG!$E:$E,TB_NG!AN:AN)</f>
        <v>0</v>
      </c>
      <c r="AM26" s="17">
        <f>_xlfn.XLOOKUP($C26,TB_NG!$E:$E,TB_NG!AO:AO)</f>
        <v>0</v>
      </c>
    </row>
    <row r="27" spans="2:39" hidden="1" outlineLevel="1" x14ac:dyDescent="0.2">
      <c r="B27" s="21">
        <f>_xlfn.XLOOKUP($C27,TB_NG!$E:$E,TB_NG!A:A)</f>
        <v>10265</v>
      </c>
      <c r="C27" s="16" t="s">
        <v>174</v>
      </c>
      <c r="D27" s="17">
        <f>_xlfn.XLOOKUP($C27,TB_NG!$E:$E,TB_NG!F:F)</f>
        <v>223132.71</v>
      </c>
      <c r="E27" s="17">
        <f>_xlfn.XLOOKUP($C27,TB_NG!$E:$E,TB_NG!G:G)</f>
        <v>228133.55</v>
      </c>
      <c r="F27" s="17">
        <f>_xlfn.XLOOKUP($C27,TB_NG!$E:$E,TB_NG!H:H)</f>
        <v>233134.39</v>
      </c>
      <c r="G27" s="17">
        <f>_xlfn.XLOOKUP($C27,TB_NG!$E:$E,TB_NG!I:I)</f>
        <v>238135.23</v>
      </c>
      <c r="H27" s="17">
        <f>_xlfn.XLOOKUP($C27,TB_NG!$E:$E,TB_NG!J:J)</f>
        <v>253136.77</v>
      </c>
      <c r="I27" s="17">
        <f>_xlfn.XLOOKUP($C27,TB_NG!$E:$E,TB_NG!K:K)</f>
        <v>278138.03000000003</v>
      </c>
      <c r="J27" s="17">
        <f>_xlfn.XLOOKUP($C27,TB_NG!$E:$E,TB_NG!L:L)</f>
        <v>316140.96999999997</v>
      </c>
      <c r="K27" s="17">
        <f>_xlfn.XLOOKUP($C27,TB_NG!$E:$E,TB_NG!M:M)</f>
        <v>687892.51</v>
      </c>
      <c r="L27" s="17">
        <f>_xlfn.XLOOKUP($C27,TB_NG!$E:$E,TB_NG!N:N)</f>
        <v>1231165.51</v>
      </c>
      <c r="M27" s="17">
        <f>_xlfn.XLOOKUP($C27,TB_NG!$E:$E,TB_NG!O:O)</f>
        <v>1317911.4099999999</v>
      </c>
      <c r="N27" s="17">
        <f>_xlfn.XLOOKUP($C27,TB_NG!$E:$E,TB_NG!P:P)</f>
        <v>1344889.13</v>
      </c>
      <c r="O27" s="17">
        <f>_xlfn.XLOOKUP($C27,TB_NG!$E:$E,TB_NG!Q:Q)</f>
        <v>1397820.26</v>
      </c>
      <c r="P27" s="17">
        <f>_xlfn.XLOOKUP($C27,TB_NG!$E:$E,TB_NG!R:R)</f>
        <v>225675.26</v>
      </c>
      <c r="Q27" s="17">
        <f>_xlfn.XLOOKUP($C27,TB_NG!$E:$E,TB_NG!S:S)</f>
        <v>5300537.0599999996</v>
      </c>
      <c r="R27" s="17">
        <f>_xlfn.XLOOKUP($C27,TB_NG!$E:$E,TB_NG!T:T)</f>
        <v>5348305.92</v>
      </c>
      <c r="S27" s="17">
        <f>_xlfn.XLOOKUP($C27,TB_NG!$E:$E,TB_NG!U:U)</f>
        <v>3052588.87</v>
      </c>
      <c r="T27" s="17">
        <f>_xlfn.XLOOKUP($C27,TB_NG!$E:$E,TB_NG!V:V)</f>
        <v>49292.12</v>
      </c>
      <c r="U27" s="17">
        <f>_xlfn.XLOOKUP($C27,TB_NG!$E:$E,TB_NG!W:W)</f>
        <v>2113011.52</v>
      </c>
      <c r="V27" s="17">
        <f>_xlfn.XLOOKUP($C27,TB_NG!$E:$E,TB_NG!X:X)</f>
        <v>2159906.7599999998</v>
      </c>
      <c r="W27" s="17">
        <f>_xlfn.XLOOKUP($C27,TB_NG!$E:$E,TB_NG!Y:Y)</f>
        <v>2981792.46</v>
      </c>
      <c r="X27" s="17">
        <f>_xlfn.XLOOKUP($C27,TB_NG!$E:$E,TB_NG!Z:Z)</f>
        <v>3046053.75</v>
      </c>
      <c r="Y27" s="17">
        <f>_xlfn.XLOOKUP($C27,TB_NG!$E:$E,TB_NG!AA:AA)</f>
        <v>3061043.29</v>
      </c>
      <c r="Z27" s="17">
        <f>_xlfn.XLOOKUP($C27,TB_NG!$E:$E,TB_NG!AB:AB)</f>
        <v>3076507.99</v>
      </c>
      <c r="AA27" s="17">
        <f>_xlfn.XLOOKUP($C27,TB_NG!$E:$E,TB_NG!AC:AC)</f>
        <v>3102987.21</v>
      </c>
      <c r="AB27" s="17">
        <f>_xlfn.XLOOKUP($C27,TB_NG!$E:$E,TB_NG!AD:AD)</f>
        <v>3377453.16</v>
      </c>
      <c r="AC27" s="17">
        <f>_xlfn.XLOOKUP($C27,TB_NG!$E:$E,TB_NG!AE:AE)</f>
        <v>3404394.98</v>
      </c>
      <c r="AD27" s="17">
        <f>_xlfn.XLOOKUP($C27,TB_NG!$E:$E,TB_NG!AF:AF)</f>
        <v>3452331.14</v>
      </c>
      <c r="AE27" s="17">
        <f>_xlfn.XLOOKUP($C27,TB_NG!$E:$E,TB_NG!AG:AG)</f>
        <v>3490743.39</v>
      </c>
      <c r="AF27" s="17">
        <f>_xlfn.XLOOKUP($C27,TB_NG!$E:$E,TB_NG!AH:AH)</f>
        <v>0</v>
      </c>
      <c r="AG27" s="17">
        <f>_xlfn.XLOOKUP($C27,TB_NG!$E:$E,TB_NG!AI:AI)</f>
        <v>0</v>
      </c>
      <c r="AH27" s="17">
        <f>_xlfn.XLOOKUP($C27,TB_NG!$E:$E,TB_NG!AJ:AJ)</f>
        <v>0</v>
      </c>
      <c r="AI27" s="17">
        <f>_xlfn.XLOOKUP($C27,TB_NG!$E:$E,TB_NG!AK:AK)</f>
        <v>0</v>
      </c>
      <c r="AJ27" s="17">
        <f>_xlfn.XLOOKUP($C27,TB_NG!$E:$E,TB_NG!AL:AL)</f>
        <v>0</v>
      </c>
      <c r="AK27" s="17">
        <f>_xlfn.XLOOKUP($C27,TB_NG!$E:$E,TB_NG!AM:AM)</f>
        <v>0</v>
      </c>
      <c r="AL27" s="17">
        <f>_xlfn.XLOOKUP($C27,TB_NG!$E:$E,TB_NG!AN:AN)</f>
        <v>0</v>
      </c>
      <c r="AM27" s="17">
        <f>_xlfn.XLOOKUP($C27,TB_NG!$E:$E,TB_NG!AO:AO)</f>
        <v>0</v>
      </c>
    </row>
    <row r="28" spans="2:39" hidden="1" outlineLevel="1" x14ac:dyDescent="0.2">
      <c r="B28" s="21">
        <f>_xlfn.XLOOKUP($C28,TB_NG!$E:$E,TB_NG!A:A)</f>
        <v>10270</v>
      </c>
      <c r="C28" s="16" t="s">
        <v>175</v>
      </c>
      <c r="D28" s="17">
        <f>_xlfn.XLOOKUP($C28,TB_NG!$E:$E,TB_NG!F:F)</f>
        <v>114720.73</v>
      </c>
      <c r="E28" s="17">
        <f>_xlfn.XLOOKUP($C28,TB_NG!$E:$E,TB_NG!G:G)</f>
        <v>982562.37</v>
      </c>
      <c r="F28" s="17">
        <f>_xlfn.XLOOKUP($C28,TB_NG!$E:$E,TB_NG!H:H)</f>
        <v>8040054.1699999999</v>
      </c>
      <c r="G28" s="17">
        <f>_xlfn.XLOOKUP($C28,TB_NG!$E:$E,TB_NG!I:I)</f>
        <v>83152570.280000001</v>
      </c>
      <c r="H28" s="17">
        <f>_xlfn.XLOOKUP($C28,TB_NG!$E:$E,TB_NG!J:J)</f>
        <v>9615481.9000000004</v>
      </c>
      <c r="I28" s="17">
        <f>_xlfn.XLOOKUP($C28,TB_NG!$E:$E,TB_NG!K:K)</f>
        <v>11919686.869999999</v>
      </c>
      <c r="J28" s="17">
        <f>_xlfn.XLOOKUP($C28,TB_NG!$E:$E,TB_NG!L:L)</f>
        <v>386790302.29000002</v>
      </c>
      <c r="K28" s="17">
        <f>_xlfn.XLOOKUP($C28,TB_NG!$E:$E,TB_NG!M:M)</f>
        <v>224506400.15000001</v>
      </c>
      <c r="L28" s="17">
        <f>_xlfn.XLOOKUP($C28,TB_NG!$E:$E,TB_NG!N:N)</f>
        <v>120015089.09</v>
      </c>
      <c r="M28" s="17">
        <f>_xlfn.XLOOKUP($C28,TB_NG!$E:$E,TB_NG!O:O)</f>
        <v>106671760.56999999</v>
      </c>
      <c r="N28" s="17">
        <f>_xlfn.XLOOKUP($C28,TB_NG!$E:$E,TB_NG!P:P)</f>
        <v>21716083.25</v>
      </c>
      <c r="O28" s="17">
        <f>_xlfn.XLOOKUP($C28,TB_NG!$E:$E,TB_NG!Q:Q)</f>
        <v>18373650.23</v>
      </c>
      <c r="P28" s="17">
        <f>_xlfn.XLOOKUP($C28,TB_NG!$E:$E,TB_NG!R:R)</f>
        <v>24263967.030000001</v>
      </c>
      <c r="Q28" s="17">
        <f>_xlfn.XLOOKUP($C28,TB_NG!$E:$E,TB_NG!S:S)</f>
        <v>1555764.24</v>
      </c>
      <c r="R28" s="17">
        <f>_xlfn.XLOOKUP($C28,TB_NG!$E:$E,TB_NG!T:T)</f>
        <v>1555638.24</v>
      </c>
      <c r="S28" s="17">
        <f>_xlfn.XLOOKUP($C28,TB_NG!$E:$E,TB_NG!U:U)</f>
        <v>1555638.24</v>
      </c>
      <c r="T28" s="17">
        <f>_xlfn.XLOOKUP($C28,TB_NG!$E:$E,TB_NG!V:V)</f>
        <v>3000975.53</v>
      </c>
      <c r="U28" s="17">
        <f>_xlfn.XLOOKUP($C28,TB_NG!$E:$E,TB_NG!W:W)</f>
        <v>6999363.4900000002</v>
      </c>
      <c r="V28" s="17">
        <f>_xlfn.XLOOKUP($C28,TB_NG!$E:$E,TB_NG!X:X)</f>
        <v>697241.96</v>
      </c>
      <c r="W28" s="17">
        <f>_xlfn.XLOOKUP($C28,TB_NG!$E:$E,TB_NG!Y:Y)</f>
        <v>697187.96</v>
      </c>
      <c r="X28" s="17">
        <f>_xlfn.XLOOKUP($C28,TB_NG!$E:$E,TB_NG!Z:Z)</f>
        <v>697187.96</v>
      </c>
      <c r="Y28" s="17">
        <f>_xlfn.XLOOKUP($C28,TB_NG!$E:$E,TB_NG!AA:AA)</f>
        <v>697187.96</v>
      </c>
      <c r="Z28" s="17">
        <f>_xlfn.XLOOKUP($C28,TB_NG!$E:$E,TB_NG!AB:AB)</f>
        <v>1238262.96</v>
      </c>
      <c r="AA28" s="17">
        <f>_xlfn.XLOOKUP($C28,TB_NG!$E:$E,TB_NG!AC:AC)</f>
        <v>1170696.21</v>
      </c>
      <c r="AB28" s="17">
        <f>_xlfn.XLOOKUP($C28,TB_NG!$E:$E,TB_NG!AD:AD)</f>
        <v>1170660.21</v>
      </c>
      <c r="AC28" s="17">
        <f>_xlfn.XLOOKUP($C28,TB_NG!$E:$E,TB_NG!AE:AE)</f>
        <v>370445.21</v>
      </c>
      <c r="AD28" s="17">
        <f>_xlfn.XLOOKUP($C28,TB_NG!$E:$E,TB_NG!AF:AF)</f>
        <v>345228.71</v>
      </c>
      <c r="AE28" s="17">
        <f>_xlfn.XLOOKUP($C28,TB_NG!$E:$E,TB_NG!AG:AG)</f>
        <v>318245.96000000002</v>
      </c>
      <c r="AF28" s="17">
        <f>_xlfn.XLOOKUP($C28,TB_NG!$E:$E,TB_NG!AH:AH)</f>
        <v>0</v>
      </c>
      <c r="AG28" s="17">
        <f>_xlfn.XLOOKUP($C28,TB_NG!$E:$E,TB_NG!AI:AI)</f>
        <v>0</v>
      </c>
      <c r="AH28" s="17">
        <f>_xlfn.XLOOKUP($C28,TB_NG!$E:$E,TB_NG!AJ:AJ)</f>
        <v>0</v>
      </c>
      <c r="AI28" s="17">
        <f>_xlfn.XLOOKUP($C28,TB_NG!$E:$E,TB_NG!AK:AK)</f>
        <v>0</v>
      </c>
      <c r="AJ28" s="17">
        <f>_xlfn.XLOOKUP($C28,TB_NG!$E:$E,TB_NG!AL:AL)</f>
        <v>0</v>
      </c>
      <c r="AK28" s="17">
        <f>_xlfn.XLOOKUP($C28,TB_NG!$E:$E,TB_NG!AM:AM)</f>
        <v>0</v>
      </c>
      <c r="AL28" s="17">
        <f>_xlfn.XLOOKUP($C28,TB_NG!$E:$E,TB_NG!AN:AN)</f>
        <v>0</v>
      </c>
      <c r="AM28" s="17">
        <f>_xlfn.XLOOKUP($C28,TB_NG!$E:$E,TB_NG!AO:AO)</f>
        <v>0</v>
      </c>
    </row>
    <row r="29" spans="2:39" hidden="1" outlineLevel="1" x14ac:dyDescent="0.2">
      <c r="B29" s="21">
        <f>_xlfn.XLOOKUP($C29,TB_NG!$E:$E,TB_NG!A:A)</f>
        <v>10280</v>
      </c>
      <c r="C29" s="16" t="s">
        <v>176</v>
      </c>
      <c r="D29" s="17">
        <f>_xlfn.XLOOKUP($C29,TB_NG!$E:$E,TB_NG!F:F)</f>
        <v>563903.84</v>
      </c>
      <c r="E29" s="17">
        <f>_xlfn.XLOOKUP($C29,TB_NG!$E:$E,TB_NG!G:G)</f>
        <v>563903.84</v>
      </c>
      <c r="F29" s="17">
        <f>_xlfn.XLOOKUP($C29,TB_NG!$E:$E,TB_NG!H:H)</f>
        <v>563903.84</v>
      </c>
      <c r="G29" s="17">
        <f>_xlfn.XLOOKUP($C29,TB_NG!$E:$E,TB_NG!I:I)</f>
        <v>563903.84</v>
      </c>
      <c r="H29" s="17">
        <f>_xlfn.XLOOKUP($C29,TB_NG!$E:$E,TB_NG!J:J)</f>
        <v>563903.84</v>
      </c>
      <c r="I29" s="17">
        <f>_xlfn.XLOOKUP($C29,TB_NG!$E:$E,TB_NG!K:K)</f>
        <v>563903.84</v>
      </c>
      <c r="J29" s="17">
        <f>_xlfn.XLOOKUP($C29,TB_NG!$E:$E,TB_NG!L:L)</f>
        <v>563903.84</v>
      </c>
      <c r="K29" s="17">
        <f>_xlfn.XLOOKUP($C29,TB_NG!$E:$E,TB_NG!M:M)</f>
        <v>563903.84</v>
      </c>
      <c r="L29" s="17">
        <f>_xlfn.XLOOKUP($C29,TB_NG!$E:$E,TB_NG!N:N)</f>
        <v>563903.84</v>
      </c>
      <c r="M29" s="17">
        <f>_xlfn.XLOOKUP($C29,TB_NG!$E:$E,TB_NG!O:O)</f>
        <v>563903.84</v>
      </c>
      <c r="N29" s="17">
        <f>_xlfn.XLOOKUP($C29,TB_NG!$E:$E,TB_NG!P:P)</f>
        <v>563903.84</v>
      </c>
      <c r="O29" s="17">
        <f>_xlfn.XLOOKUP($C29,TB_NG!$E:$E,TB_NG!Q:Q)</f>
        <v>563903.84</v>
      </c>
      <c r="P29" s="17">
        <f>_xlfn.XLOOKUP($C29,TB_NG!$E:$E,TB_NG!R:R)</f>
        <v>563903.84</v>
      </c>
      <c r="Q29" s="17">
        <f>_xlfn.XLOOKUP($C29,TB_NG!$E:$E,TB_NG!S:S)</f>
        <v>563903.84</v>
      </c>
      <c r="R29" s="17">
        <f>_xlfn.XLOOKUP($C29,TB_NG!$E:$E,TB_NG!T:T)</f>
        <v>563903.84</v>
      </c>
      <c r="S29" s="17">
        <f>_xlfn.XLOOKUP($C29,TB_NG!$E:$E,TB_NG!U:U)</f>
        <v>563903.84</v>
      </c>
      <c r="T29" s="17">
        <f>_xlfn.XLOOKUP($C29,TB_NG!$E:$E,TB_NG!V:V)</f>
        <v>563903.84</v>
      </c>
      <c r="U29" s="17">
        <f>_xlfn.XLOOKUP($C29,TB_NG!$E:$E,TB_NG!W:W)</f>
        <v>563903.84</v>
      </c>
      <c r="V29" s="17">
        <f>_xlfn.XLOOKUP($C29,TB_NG!$E:$E,TB_NG!X:X)</f>
        <v>563903.84</v>
      </c>
      <c r="W29" s="17">
        <f>_xlfn.XLOOKUP($C29,TB_NG!$E:$E,TB_NG!Y:Y)</f>
        <v>563903.84</v>
      </c>
      <c r="X29" s="17">
        <f>_xlfn.XLOOKUP($C29,TB_NG!$E:$E,TB_NG!Z:Z)</f>
        <v>563903.84</v>
      </c>
      <c r="Y29" s="17">
        <f>_xlfn.XLOOKUP($C29,TB_NG!$E:$E,TB_NG!AA:AA)</f>
        <v>563903.84</v>
      </c>
      <c r="Z29" s="17">
        <f>_xlfn.XLOOKUP($C29,TB_NG!$E:$E,TB_NG!AB:AB)</f>
        <v>563903.84</v>
      </c>
      <c r="AA29" s="17">
        <f>_xlfn.XLOOKUP($C29,TB_NG!$E:$E,TB_NG!AC:AC)</f>
        <v>564653.84</v>
      </c>
      <c r="AB29" s="17">
        <f>_xlfn.XLOOKUP($C29,TB_NG!$E:$E,TB_NG!AD:AD)</f>
        <v>564653.84</v>
      </c>
      <c r="AC29" s="17">
        <f>_xlfn.XLOOKUP($C29,TB_NG!$E:$E,TB_NG!AE:AE)</f>
        <v>564653.84</v>
      </c>
      <c r="AD29" s="17">
        <f>_xlfn.XLOOKUP($C29,TB_NG!$E:$E,TB_NG!AF:AF)</f>
        <v>564653.84</v>
      </c>
      <c r="AE29" s="17">
        <f>_xlfn.XLOOKUP($C29,TB_NG!$E:$E,TB_NG!AG:AG)</f>
        <v>564653.84</v>
      </c>
      <c r="AF29" s="17">
        <f>_xlfn.XLOOKUP($C29,TB_NG!$E:$E,TB_NG!AH:AH)</f>
        <v>0</v>
      </c>
      <c r="AG29" s="17">
        <f>_xlfn.XLOOKUP($C29,TB_NG!$E:$E,TB_NG!AI:AI)</f>
        <v>0</v>
      </c>
      <c r="AH29" s="17">
        <f>_xlfn.XLOOKUP($C29,TB_NG!$E:$E,TB_NG!AJ:AJ)</f>
        <v>0</v>
      </c>
      <c r="AI29" s="17">
        <f>_xlfn.XLOOKUP($C29,TB_NG!$E:$E,TB_NG!AK:AK)</f>
        <v>0</v>
      </c>
      <c r="AJ29" s="17">
        <f>_xlfn.XLOOKUP($C29,TB_NG!$E:$E,TB_NG!AL:AL)</f>
        <v>0</v>
      </c>
      <c r="AK29" s="17">
        <f>_xlfn.XLOOKUP($C29,TB_NG!$E:$E,TB_NG!AM:AM)</f>
        <v>0</v>
      </c>
      <c r="AL29" s="17">
        <f>_xlfn.XLOOKUP($C29,TB_NG!$E:$E,TB_NG!AN:AN)</f>
        <v>0</v>
      </c>
      <c r="AM29" s="17">
        <f>_xlfn.XLOOKUP($C29,TB_NG!$E:$E,TB_NG!AO:AO)</f>
        <v>0</v>
      </c>
    </row>
    <row r="30" spans="2:39" hidden="1" outlineLevel="1" x14ac:dyDescent="0.2">
      <c r="B30" s="21">
        <f>_xlfn.XLOOKUP($C30,TB_NG!$E:$E,TB_NG!A:A)</f>
        <v>10285</v>
      </c>
      <c r="C30" s="16" t="s">
        <v>177</v>
      </c>
      <c r="D30" s="17">
        <f>_xlfn.XLOOKUP($C30,TB_NG!$E:$E,TB_NG!F:F)</f>
        <v>5940610.0099999998</v>
      </c>
      <c r="E30" s="17">
        <f>_xlfn.XLOOKUP($C30,TB_NG!$E:$E,TB_NG!G:G)</f>
        <v>1657539.09</v>
      </c>
      <c r="F30" s="17">
        <f>_xlfn.XLOOKUP($C30,TB_NG!$E:$E,TB_NG!H:H)</f>
        <v>1258401.5900000001</v>
      </c>
      <c r="G30" s="17">
        <f>_xlfn.XLOOKUP($C30,TB_NG!$E:$E,TB_NG!I:I)</f>
        <v>3933213.51</v>
      </c>
      <c r="H30" s="17">
        <f>_xlfn.XLOOKUP($C30,TB_NG!$E:$E,TB_NG!J:J)</f>
        <v>9789877.9299999997</v>
      </c>
      <c r="I30" s="17">
        <f>_xlfn.XLOOKUP($C30,TB_NG!$E:$E,TB_NG!K:K)</f>
        <v>4040743.08</v>
      </c>
      <c r="J30" s="17">
        <f>_xlfn.XLOOKUP($C30,TB_NG!$E:$E,TB_NG!L:L)</f>
        <v>6649299.6100000003</v>
      </c>
      <c r="K30" s="17">
        <f>_xlfn.XLOOKUP($C30,TB_NG!$E:$E,TB_NG!M:M)</f>
        <v>30044985.359999999</v>
      </c>
      <c r="L30" s="17">
        <f>_xlfn.XLOOKUP($C30,TB_NG!$E:$E,TB_NG!N:N)</f>
        <v>54253579.359999999</v>
      </c>
      <c r="M30" s="17">
        <f>_xlfn.XLOOKUP($C30,TB_NG!$E:$E,TB_NG!O:O)</f>
        <v>9233411.8900000006</v>
      </c>
      <c r="N30" s="17">
        <f>_xlfn.XLOOKUP($C30,TB_NG!$E:$E,TB_NG!P:P)</f>
        <v>3364100.09</v>
      </c>
      <c r="O30" s="17">
        <f>_xlfn.XLOOKUP($C30,TB_NG!$E:$E,TB_NG!Q:Q)</f>
        <v>9020498.2300000004</v>
      </c>
      <c r="P30" s="17">
        <f>_xlfn.XLOOKUP($C30,TB_NG!$E:$E,TB_NG!R:R)</f>
        <v>7878081.1100000003</v>
      </c>
      <c r="Q30" s="17">
        <f>_xlfn.XLOOKUP($C30,TB_NG!$E:$E,TB_NG!S:S)</f>
        <v>13900776.109999999</v>
      </c>
      <c r="R30" s="17">
        <f>_xlfn.XLOOKUP($C30,TB_NG!$E:$E,TB_NG!T:T)</f>
        <v>4842569.8899999997</v>
      </c>
      <c r="S30" s="17">
        <f>_xlfn.XLOOKUP($C30,TB_NG!$E:$E,TB_NG!U:U)</f>
        <v>4767326.5199999996</v>
      </c>
      <c r="T30" s="17">
        <f>_xlfn.XLOOKUP($C30,TB_NG!$E:$E,TB_NG!V:V)</f>
        <v>4168153.27</v>
      </c>
      <c r="U30" s="17">
        <f>_xlfn.XLOOKUP($C30,TB_NG!$E:$E,TB_NG!W:W)</f>
        <v>6374381.0099999998</v>
      </c>
      <c r="V30" s="17">
        <f>_xlfn.XLOOKUP($C30,TB_NG!$E:$E,TB_NG!X:X)</f>
        <v>19748381.010000002</v>
      </c>
      <c r="W30" s="17">
        <f>_xlfn.XLOOKUP($C30,TB_NG!$E:$E,TB_NG!Y:Y)</f>
        <v>33691130.609999999</v>
      </c>
      <c r="X30" s="17">
        <f>_xlfn.XLOOKUP($C30,TB_NG!$E:$E,TB_NG!Z:Z)</f>
        <v>19391172.23</v>
      </c>
      <c r="Y30" s="17">
        <f>_xlfn.XLOOKUP($C30,TB_NG!$E:$E,TB_NG!AA:AA)</f>
        <v>19433033.890000001</v>
      </c>
      <c r="Z30" s="17">
        <f>_xlfn.XLOOKUP($C30,TB_NG!$E:$E,TB_NG!AB:AB)</f>
        <v>32631583.890000001</v>
      </c>
      <c r="AA30" s="17">
        <f>_xlfn.XLOOKUP($C30,TB_NG!$E:$E,TB_NG!AC:AC)</f>
        <v>745578.1</v>
      </c>
      <c r="AB30" s="17">
        <f>_xlfn.XLOOKUP($C30,TB_NG!$E:$E,TB_NG!AD:AD)</f>
        <v>745578.1</v>
      </c>
      <c r="AC30" s="17">
        <f>_xlfn.XLOOKUP($C30,TB_NG!$E:$E,TB_NG!AE:AE)</f>
        <v>745578.1</v>
      </c>
      <c r="AD30" s="17">
        <f>_xlfn.XLOOKUP($C30,TB_NG!$E:$E,TB_NG!AF:AF)</f>
        <v>752778.1</v>
      </c>
      <c r="AE30" s="17">
        <f>_xlfn.XLOOKUP($C30,TB_NG!$E:$E,TB_NG!AG:AG)</f>
        <v>752778.1</v>
      </c>
      <c r="AF30" s="17">
        <f>_xlfn.XLOOKUP($C30,TB_NG!$E:$E,TB_NG!AH:AH)</f>
        <v>0</v>
      </c>
      <c r="AG30" s="17">
        <f>_xlfn.XLOOKUP($C30,TB_NG!$E:$E,TB_NG!AI:AI)</f>
        <v>0</v>
      </c>
      <c r="AH30" s="17">
        <f>_xlfn.XLOOKUP($C30,TB_NG!$E:$E,TB_NG!AJ:AJ)</f>
        <v>0</v>
      </c>
      <c r="AI30" s="17">
        <f>_xlfn.XLOOKUP($C30,TB_NG!$E:$E,TB_NG!AK:AK)</f>
        <v>0</v>
      </c>
      <c r="AJ30" s="17">
        <f>_xlfn.XLOOKUP($C30,TB_NG!$E:$E,TB_NG!AL:AL)</f>
        <v>0</v>
      </c>
      <c r="AK30" s="17">
        <f>_xlfn.XLOOKUP($C30,TB_NG!$E:$E,TB_NG!AM:AM)</f>
        <v>0</v>
      </c>
      <c r="AL30" s="17">
        <f>_xlfn.XLOOKUP($C30,TB_NG!$E:$E,TB_NG!AN:AN)</f>
        <v>0</v>
      </c>
      <c r="AM30" s="17">
        <f>_xlfn.XLOOKUP($C30,TB_NG!$E:$E,TB_NG!AO:AO)</f>
        <v>0</v>
      </c>
    </row>
    <row r="31" spans="2:39" hidden="1" outlineLevel="1" x14ac:dyDescent="0.2">
      <c r="B31" s="21">
        <f>_xlfn.XLOOKUP($C31,TB_NG!$E:$E,TB_NG!A:A)</f>
        <v>10293</v>
      </c>
      <c r="C31" s="16" t="s">
        <v>178</v>
      </c>
      <c r="D31" s="17">
        <f>_xlfn.XLOOKUP($C31,TB_NG!$E:$E,TB_NG!F:F)</f>
        <v>-2069159.5</v>
      </c>
      <c r="E31" s="17">
        <f>_xlfn.XLOOKUP($C31,TB_NG!$E:$E,TB_NG!G:G)</f>
        <v>676545</v>
      </c>
      <c r="F31" s="17">
        <f>_xlfn.XLOOKUP($C31,TB_NG!$E:$E,TB_NG!H:H)</f>
        <v>1480050</v>
      </c>
      <c r="G31" s="17">
        <f>_xlfn.XLOOKUP($C31,TB_NG!$E:$E,TB_NG!I:I)</f>
        <v>9892689.7699999996</v>
      </c>
      <c r="H31" s="17">
        <f>_xlfn.XLOOKUP($C31,TB_NG!$E:$E,TB_NG!J:J)</f>
        <v>10255503.68</v>
      </c>
      <c r="I31" s="17">
        <f>_xlfn.XLOOKUP($C31,TB_NG!$E:$E,TB_NG!K:K)</f>
        <v>437053.12</v>
      </c>
      <c r="J31" s="17">
        <f>_xlfn.XLOOKUP($C31,TB_NG!$E:$E,TB_NG!L:L)</f>
        <v>1974434.29</v>
      </c>
      <c r="K31" s="17">
        <f>_xlfn.XLOOKUP($C31,TB_NG!$E:$E,TB_NG!M:M)</f>
        <v>5263.4</v>
      </c>
      <c r="L31" s="17">
        <f>_xlfn.XLOOKUP($C31,TB_NG!$E:$E,TB_NG!N:N)</f>
        <v>5521.01</v>
      </c>
      <c r="M31" s="17">
        <f>_xlfn.XLOOKUP($C31,TB_NG!$E:$E,TB_NG!O:O)</f>
        <v>410539.2</v>
      </c>
      <c r="N31" s="17">
        <f>_xlfn.XLOOKUP($C31,TB_NG!$E:$E,TB_NG!P:P)</f>
        <v>420417.08</v>
      </c>
      <c r="O31" s="17">
        <f>_xlfn.XLOOKUP($C31,TB_NG!$E:$E,TB_NG!Q:Q)</f>
        <v>386421.58</v>
      </c>
      <c r="P31" s="17">
        <f>_xlfn.XLOOKUP($C31,TB_NG!$E:$E,TB_NG!R:R)</f>
        <v>196354.07</v>
      </c>
      <c r="Q31" s="17">
        <f>_xlfn.XLOOKUP($C31,TB_NG!$E:$E,TB_NG!S:S)</f>
        <v>223637.86</v>
      </c>
      <c r="R31" s="17">
        <f>_xlfn.XLOOKUP($C31,TB_NG!$E:$E,TB_NG!T:T)</f>
        <v>138832.69</v>
      </c>
      <c r="S31" s="17">
        <f>_xlfn.XLOOKUP($C31,TB_NG!$E:$E,TB_NG!U:U)</f>
        <v>179669.1</v>
      </c>
      <c r="T31" s="17">
        <f>_xlfn.XLOOKUP($C31,TB_NG!$E:$E,TB_NG!V:V)</f>
        <v>15979328.029999999</v>
      </c>
      <c r="U31" s="17">
        <f>_xlfn.XLOOKUP($C31,TB_NG!$E:$E,TB_NG!W:W)</f>
        <v>15514649.82</v>
      </c>
      <c r="V31" s="17">
        <f>_xlfn.XLOOKUP($C31,TB_NG!$E:$E,TB_NG!X:X)</f>
        <v>15405470.85</v>
      </c>
      <c r="W31" s="17">
        <f>_xlfn.XLOOKUP($C31,TB_NG!$E:$E,TB_NG!Y:Y)</f>
        <v>15484515.380000001</v>
      </c>
      <c r="X31" s="17">
        <f>_xlfn.XLOOKUP($C31,TB_NG!$E:$E,TB_NG!Z:Z)</f>
        <v>19884267.420000002</v>
      </c>
      <c r="Y31" s="17">
        <f>_xlfn.XLOOKUP($C31,TB_NG!$E:$E,TB_NG!AA:AA)</f>
        <v>19426934.670000002</v>
      </c>
      <c r="Z31" s="17">
        <f>_xlfn.XLOOKUP($C31,TB_NG!$E:$E,TB_NG!AB:AB)</f>
        <v>19398533.77</v>
      </c>
      <c r="AA31" s="17">
        <f>_xlfn.XLOOKUP($C31,TB_NG!$E:$E,TB_NG!AC:AC)</f>
        <v>19432503.84</v>
      </c>
      <c r="AB31" s="17">
        <f>_xlfn.XLOOKUP($C31,TB_NG!$E:$E,TB_NG!AD:AD)</f>
        <v>18603515.370000001</v>
      </c>
      <c r="AC31" s="17">
        <f>_xlfn.XLOOKUP($C31,TB_NG!$E:$E,TB_NG!AE:AE)</f>
        <v>18194302.07</v>
      </c>
      <c r="AD31" s="17">
        <f>_xlfn.XLOOKUP($C31,TB_NG!$E:$E,TB_NG!AF:AF)</f>
        <v>18539880.149999999</v>
      </c>
      <c r="AE31" s="17">
        <f>_xlfn.XLOOKUP($C31,TB_NG!$E:$E,TB_NG!AG:AG)</f>
        <v>18431189.75</v>
      </c>
      <c r="AF31" s="17">
        <f>_xlfn.XLOOKUP($C31,TB_NG!$E:$E,TB_NG!AH:AH)</f>
        <v>0</v>
      </c>
      <c r="AG31" s="17">
        <f>_xlfn.XLOOKUP($C31,TB_NG!$E:$E,TB_NG!AI:AI)</f>
        <v>0</v>
      </c>
      <c r="AH31" s="17">
        <f>_xlfn.XLOOKUP($C31,TB_NG!$E:$E,TB_NG!AJ:AJ)</f>
        <v>0</v>
      </c>
      <c r="AI31" s="17">
        <f>_xlfn.XLOOKUP($C31,TB_NG!$E:$E,TB_NG!AK:AK)</f>
        <v>0</v>
      </c>
      <c r="AJ31" s="17">
        <f>_xlfn.XLOOKUP($C31,TB_NG!$E:$E,TB_NG!AL:AL)</f>
        <v>0</v>
      </c>
      <c r="AK31" s="17">
        <f>_xlfn.XLOOKUP($C31,TB_NG!$E:$E,TB_NG!AM:AM)</f>
        <v>0</v>
      </c>
      <c r="AL31" s="17">
        <f>_xlfn.XLOOKUP($C31,TB_NG!$E:$E,TB_NG!AN:AN)</f>
        <v>0</v>
      </c>
      <c r="AM31" s="17">
        <f>_xlfn.XLOOKUP($C31,TB_NG!$E:$E,TB_NG!AO:AO)</f>
        <v>0</v>
      </c>
    </row>
    <row r="32" spans="2:39" hidden="1" outlineLevel="1" x14ac:dyDescent="0.2">
      <c r="B32" s="21">
        <f>_xlfn.XLOOKUP($C32,TB_NG!$E:$E,TB_NG!A:A)</f>
        <v>10305</v>
      </c>
      <c r="C32" s="16" t="s">
        <v>179</v>
      </c>
      <c r="D32" s="17">
        <f>_xlfn.XLOOKUP($C32,TB_NG!$E:$E,TB_NG!F:F)</f>
        <v>4980.08</v>
      </c>
      <c r="E32" s="17">
        <f>_xlfn.XLOOKUP($C32,TB_NG!$E:$E,TB_NG!G:G)</f>
        <v>4922.33</v>
      </c>
      <c r="F32" s="17">
        <f>_xlfn.XLOOKUP($C32,TB_NG!$E:$E,TB_NG!H:H)</f>
        <v>4864.58</v>
      </c>
      <c r="G32" s="17">
        <f>_xlfn.XLOOKUP($C32,TB_NG!$E:$E,TB_NG!I:I)</f>
        <v>4864.58</v>
      </c>
      <c r="H32" s="17">
        <f>_xlfn.XLOOKUP($C32,TB_NG!$E:$E,TB_NG!J:J)</f>
        <v>4864.58</v>
      </c>
      <c r="I32" s="17">
        <f>_xlfn.XLOOKUP($C32,TB_NG!$E:$E,TB_NG!K:K)</f>
        <v>4806.83</v>
      </c>
      <c r="J32" s="17">
        <f>_xlfn.XLOOKUP($C32,TB_NG!$E:$E,TB_NG!L:L)</f>
        <v>4806.83</v>
      </c>
      <c r="K32" s="17">
        <f>_xlfn.XLOOKUP($C32,TB_NG!$E:$E,TB_NG!M:M)</f>
        <v>4806.83</v>
      </c>
      <c r="L32" s="17">
        <f>_xlfn.XLOOKUP($C32,TB_NG!$E:$E,TB_NG!N:N)</f>
        <v>4753.08</v>
      </c>
      <c r="M32" s="17">
        <f>_xlfn.XLOOKUP($C32,TB_NG!$E:$E,TB_NG!O:O)</f>
        <v>4753.08</v>
      </c>
      <c r="N32" s="17">
        <f>_xlfn.XLOOKUP($C32,TB_NG!$E:$E,TB_NG!P:P)</f>
        <v>4753.08</v>
      </c>
      <c r="O32" s="17">
        <f>_xlfn.XLOOKUP($C32,TB_NG!$E:$E,TB_NG!Q:Q)</f>
        <v>4695.28</v>
      </c>
      <c r="P32" s="17">
        <f>_xlfn.XLOOKUP($C32,TB_NG!$E:$E,TB_NG!R:R)</f>
        <v>4695.28</v>
      </c>
      <c r="Q32" s="17">
        <f>_xlfn.XLOOKUP($C32,TB_NG!$E:$E,TB_NG!S:S)</f>
        <v>4695.28</v>
      </c>
      <c r="R32" s="17">
        <f>_xlfn.XLOOKUP($C32,TB_NG!$E:$E,TB_NG!T:T)</f>
        <v>4695.28</v>
      </c>
      <c r="S32" s="17">
        <f>_xlfn.XLOOKUP($C32,TB_NG!$E:$E,TB_NG!U:U)</f>
        <v>4695.28</v>
      </c>
      <c r="T32" s="17">
        <f>_xlfn.XLOOKUP($C32,TB_NG!$E:$E,TB_NG!V:V)</f>
        <v>4695.28</v>
      </c>
      <c r="U32" s="17">
        <f>_xlfn.XLOOKUP($C32,TB_NG!$E:$E,TB_NG!W:W)</f>
        <v>4695.28</v>
      </c>
      <c r="V32" s="17">
        <f>_xlfn.XLOOKUP($C32,TB_NG!$E:$E,TB_NG!X:X)</f>
        <v>4695.28</v>
      </c>
      <c r="W32" s="17">
        <f>_xlfn.XLOOKUP($C32,TB_NG!$E:$E,TB_NG!Y:Y)</f>
        <v>4695.28</v>
      </c>
      <c r="X32" s="17">
        <f>_xlfn.XLOOKUP($C32,TB_NG!$E:$E,TB_NG!Z:Z)</f>
        <v>4695.28</v>
      </c>
      <c r="Y32" s="17">
        <f>_xlfn.XLOOKUP($C32,TB_NG!$E:$E,TB_NG!AA:AA)</f>
        <v>4695.28</v>
      </c>
      <c r="Z32" s="17">
        <f>_xlfn.XLOOKUP($C32,TB_NG!$E:$E,TB_NG!AB:AB)</f>
        <v>5695.28</v>
      </c>
      <c r="AA32" s="17">
        <f>_xlfn.XLOOKUP($C32,TB_NG!$E:$E,TB_NG!AC:AC)</f>
        <v>5687.28</v>
      </c>
      <c r="AB32" s="17">
        <f>_xlfn.XLOOKUP($C32,TB_NG!$E:$E,TB_NG!AD:AD)</f>
        <v>5687.28</v>
      </c>
      <c r="AC32" s="17">
        <f>_xlfn.XLOOKUP($C32,TB_NG!$E:$E,TB_NG!AE:AE)</f>
        <v>5687.28</v>
      </c>
      <c r="AD32" s="17">
        <f>_xlfn.XLOOKUP($C32,TB_NG!$E:$E,TB_NG!AF:AF)</f>
        <v>5687.28</v>
      </c>
      <c r="AE32" s="17">
        <f>_xlfn.XLOOKUP($C32,TB_NG!$E:$E,TB_NG!AG:AG)</f>
        <v>5687.28</v>
      </c>
      <c r="AF32" s="17">
        <f>_xlfn.XLOOKUP($C32,TB_NG!$E:$E,TB_NG!AH:AH)</f>
        <v>0</v>
      </c>
      <c r="AG32" s="17">
        <f>_xlfn.XLOOKUP($C32,TB_NG!$E:$E,TB_NG!AI:AI)</f>
        <v>0</v>
      </c>
      <c r="AH32" s="17">
        <f>_xlfn.XLOOKUP($C32,TB_NG!$E:$E,TB_NG!AJ:AJ)</f>
        <v>0</v>
      </c>
      <c r="AI32" s="17">
        <f>_xlfn.XLOOKUP($C32,TB_NG!$E:$E,TB_NG!AK:AK)</f>
        <v>0</v>
      </c>
      <c r="AJ32" s="17">
        <f>_xlfn.XLOOKUP($C32,TB_NG!$E:$E,TB_NG!AL:AL)</f>
        <v>0</v>
      </c>
      <c r="AK32" s="17">
        <f>_xlfn.XLOOKUP($C32,TB_NG!$E:$E,TB_NG!AM:AM)</f>
        <v>0</v>
      </c>
      <c r="AL32" s="17">
        <f>_xlfn.XLOOKUP($C32,TB_NG!$E:$E,TB_NG!AN:AN)</f>
        <v>0</v>
      </c>
      <c r="AM32" s="17">
        <f>_xlfn.XLOOKUP($C32,TB_NG!$E:$E,TB_NG!AO:AO)</f>
        <v>0</v>
      </c>
    </row>
    <row r="33" spans="2:39" hidden="1" outlineLevel="1" x14ac:dyDescent="0.2">
      <c r="B33" s="21">
        <f>_xlfn.XLOOKUP($C33,TB_NG!$E:$E,TB_NG!A:A)</f>
        <v>10310</v>
      </c>
      <c r="C33" s="16" t="s">
        <v>180</v>
      </c>
      <c r="D33" s="17">
        <f>_xlfn.XLOOKUP($C33,TB_NG!$E:$E,TB_NG!F:F)</f>
        <v>408667.71</v>
      </c>
      <c r="E33" s="17">
        <f>_xlfn.XLOOKUP($C33,TB_NG!$E:$E,TB_NG!G:G)</f>
        <v>718617.68</v>
      </c>
      <c r="F33" s="17">
        <f>_xlfn.XLOOKUP($C33,TB_NG!$E:$E,TB_NG!H:H)</f>
        <v>4705326.13</v>
      </c>
      <c r="G33" s="17">
        <f>_xlfn.XLOOKUP($C33,TB_NG!$E:$E,TB_NG!I:I)</f>
        <v>12144826.130000001</v>
      </c>
      <c r="H33" s="17">
        <f>_xlfn.XLOOKUP($C33,TB_NG!$E:$E,TB_NG!J:J)</f>
        <v>4097384.66</v>
      </c>
      <c r="I33" s="17">
        <f>_xlfn.XLOOKUP($C33,TB_NG!$E:$E,TB_NG!K:K)</f>
        <v>5337184.55</v>
      </c>
      <c r="J33" s="17">
        <f>_xlfn.XLOOKUP($C33,TB_NG!$E:$E,TB_NG!L:L)</f>
        <v>4674193.16</v>
      </c>
      <c r="K33" s="17">
        <f>_xlfn.XLOOKUP($C33,TB_NG!$E:$E,TB_NG!M:M)</f>
        <v>5604043.1600000001</v>
      </c>
      <c r="L33" s="17">
        <f>_xlfn.XLOOKUP($C33,TB_NG!$E:$E,TB_NG!N:N)</f>
        <v>12113743.16</v>
      </c>
      <c r="M33" s="17">
        <f>_xlfn.XLOOKUP($C33,TB_NG!$E:$E,TB_NG!O:O)</f>
        <v>33813543.159999996</v>
      </c>
      <c r="N33" s="17">
        <f>_xlfn.XLOOKUP($C33,TB_NG!$E:$E,TB_NG!P:P)</f>
        <v>8913489.4100000001</v>
      </c>
      <c r="O33" s="17">
        <f>_xlfn.XLOOKUP($C33,TB_NG!$E:$E,TB_NG!Q:Q)</f>
        <v>6105534.4100000001</v>
      </c>
      <c r="P33" s="17">
        <f>_xlfn.XLOOKUP($C33,TB_NG!$E:$E,TB_NG!R:R)</f>
        <v>36205534.409999996</v>
      </c>
      <c r="Q33" s="17">
        <f>_xlfn.XLOOKUP($C33,TB_NG!$E:$E,TB_NG!S:S)</f>
        <v>30264244.41</v>
      </c>
      <c r="R33" s="17">
        <f>_xlfn.XLOOKUP($C33,TB_NG!$E:$E,TB_NG!T:T)</f>
        <v>20464723.16</v>
      </c>
      <c r="S33" s="17">
        <f>_xlfn.XLOOKUP($C33,TB_NG!$E:$E,TB_NG!U:U)</f>
        <v>38845879.850000001</v>
      </c>
      <c r="T33" s="17">
        <f>_xlfn.XLOOKUP($C33,TB_NG!$E:$E,TB_NG!V:V)</f>
        <v>23601424.550000001</v>
      </c>
      <c r="U33" s="17">
        <f>_xlfn.XLOOKUP($C33,TB_NG!$E:$E,TB_NG!W:W)</f>
        <v>1662600.19</v>
      </c>
      <c r="V33" s="17">
        <f>_xlfn.XLOOKUP($C33,TB_NG!$E:$E,TB_NG!X:X)</f>
        <v>13542278.689999999</v>
      </c>
      <c r="W33" s="17">
        <f>_xlfn.XLOOKUP($C33,TB_NG!$E:$E,TB_NG!Y:Y)</f>
        <v>3997444.26</v>
      </c>
      <c r="X33" s="17">
        <f>_xlfn.XLOOKUP($C33,TB_NG!$E:$E,TB_NG!Z:Z)</f>
        <v>2171389.7400000002</v>
      </c>
      <c r="Y33" s="17">
        <f>_xlfn.XLOOKUP($C33,TB_NG!$E:$E,TB_NG!AA:AA)</f>
        <v>1718680.12</v>
      </c>
      <c r="Z33" s="17">
        <f>_xlfn.XLOOKUP($C33,TB_NG!$E:$E,TB_NG!AB:AB)</f>
        <v>9197764.1199999992</v>
      </c>
      <c r="AA33" s="17">
        <f>_xlfn.XLOOKUP($C33,TB_NG!$E:$E,TB_NG!AC:AC)</f>
        <v>9184379.3699999992</v>
      </c>
      <c r="AB33" s="17">
        <f>_xlfn.XLOOKUP($C33,TB_NG!$E:$E,TB_NG!AD:AD)</f>
        <v>155209.62</v>
      </c>
      <c r="AC33" s="17">
        <f>_xlfn.XLOOKUP($C33,TB_NG!$E:$E,TB_NG!AE:AE)</f>
        <v>5123343.75</v>
      </c>
      <c r="AD33" s="17">
        <f>_xlfn.XLOOKUP($C33,TB_NG!$E:$E,TB_NG!AF:AF)</f>
        <v>5093339</v>
      </c>
      <c r="AE33" s="17">
        <f>_xlfn.XLOOKUP($C33,TB_NG!$E:$E,TB_NG!AG:AG)</f>
        <v>4706833</v>
      </c>
      <c r="AF33" s="17">
        <f>_xlfn.XLOOKUP($C33,TB_NG!$E:$E,TB_NG!AH:AH)</f>
        <v>0</v>
      </c>
      <c r="AG33" s="17">
        <f>_xlfn.XLOOKUP($C33,TB_NG!$E:$E,TB_NG!AI:AI)</f>
        <v>0</v>
      </c>
      <c r="AH33" s="17">
        <f>_xlfn.XLOOKUP($C33,TB_NG!$E:$E,TB_NG!AJ:AJ)</f>
        <v>0</v>
      </c>
      <c r="AI33" s="17">
        <f>_xlfn.XLOOKUP($C33,TB_NG!$E:$E,TB_NG!AK:AK)</f>
        <v>0</v>
      </c>
      <c r="AJ33" s="17">
        <f>_xlfn.XLOOKUP($C33,TB_NG!$E:$E,TB_NG!AL:AL)</f>
        <v>0</v>
      </c>
      <c r="AK33" s="17">
        <f>_xlfn.XLOOKUP($C33,TB_NG!$E:$E,TB_NG!AM:AM)</f>
        <v>0</v>
      </c>
      <c r="AL33" s="17">
        <f>_xlfn.XLOOKUP($C33,TB_NG!$E:$E,TB_NG!AN:AN)</f>
        <v>0</v>
      </c>
      <c r="AM33" s="17">
        <f>_xlfn.XLOOKUP($C33,TB_NG!$E:$E,TB_NG!AO:AO)</f>
        <v>0</v>
      </c>
    </row>
    <row r="34" spans="2:39" hidden="1" outlineLevel="1" x14ac:dyDescent="0.2">
      <c r="B34" s="21">
        <f>_xlfn.XLOOKUP($C34,TB_NG!$E:$E,TB_NG!A:A)</f>
        <v>10300</v>
      </c>
      <c r="C34" s="16" t="s">
        <v>181</v>
      </c>
      <c r="D34" s="17">
        <f>_xlfn.XLOOKUP($C34,TB_NG!$E:$E,TB_NG!F:F)</f>
        <v>0</v>
      </c>
      <c r="E34" s="17">
        <f>_xlfn.XLOOKUP($C34,TB_NG!$E:$E,TB_NG!G:G)</f>
        <v>0</v>
      </c>
      <c r="F34" s="17">
        <f>_xlfn.XLOOKUP($C34,TB_NG!$E:$E,TB_NG!H:H)</f>
        <v>0</v>
      </c>
      <c r="G34" s="17">
        <f>_xlfn.XLOOKUP($C34,TB_NG!$E:$E,TB_NG!I:I)</f>
        <v>0</v>
      </c>
      <c r="H34" s="17">
        <f>_xlfn.XLOOKUP($C34,TB_NG!$E:$E,TB_NG!J:J)</f>
        <v>0</v>
      </c>
      <c r="I34" s="17">
        <f>_xlfn.XLOOKUP($C34,TB_NG!$E:$E,TB_NG!K:K)</f>
        <v>0</v>
      </c>
      <c r="J34" s="17">
        <f>_xlfn.XLOOKUP($C34,TB_NG!$E:$E,TB_NG!L:L)</f>
        <v>0</v>
      </c>
      <c r="K34" s="17">
        <f>_xlfn.XLOOKUP($C34,TB_NG!$E:$E,TB_NG!M:M)</f>
        <v>0</v>
      </c>
      <c r="L34" s="17">
        <f>_xlfn.XLOOKUP($C34,TB_NG!$E:$E,TB_NG!N:N)</f>
        <v>0</v>
      </c>
      <c r="M34" s="17">
        <f>_xlfn.XLOOKUP($C34,TB_NG!$E:$E,TB_NG!O:O)</f>
        <v>0</v>
      </c>
      <c r="N34" s="17">
        <f>_xlfn.XLOOKUP($C34,TB_NG!$E:$E,TB_NG!P:P)</f>
        <v>0</v>
      </c>
      <c r="O34" s="17">
        <f>_xlfn.XLOOKUP($C34,TB_NG!$E:$E,TB_NG!Q:Q)</f>
        <v>0</v>
      </c>
      <c r="P34" s="17">
        <f>_xlfn.XLOOKUP($C34,TB_NG!$E:$E,TB_NG!R:R)</f>
        <v>0</v>
      </c>
      <c r="Q34" s="17">
        <f>_xlfn.XLOOKUP($C34,TB_NG!$E:$E,TB_NG!S:S)</f>
        <v>0</v>
      </c>
      <c r="R34" s="17">
        <f>_xlfn.XLOOKUP($C34,TB_NG!$E:$E,TB_NG!T:T)</f>
        <v>0</v>
      </c>
      <c r="S34" s="17">
        <f>_xlfn.XLOOKUP($C34,TB_NG!$E:$E,TB_NG!U:U)</f>
        <v>0</v>
      </c>
      <c r="T34" s="17">
        <f>_xlfn.XLOOKUP($C34,TB_NG!$E:$E,TB_NG!V:V)</f>
        <v>0</v>
      </c>
      <c r="U34" s="17">
        <f>_xlfn.XLOOKUP($C34,TB_NG!$E:$E,TB_NG!W:W)</f>
        <v>0</v>
      </c>
      <c r="V34" s="17">
        <f>_xlfn.XLOOKUP($C34,TB_NG!$E:$E,TB_NG!X:X)</f>
        <v>0</v>
      </c>
      <c r="W34" s="17">
        <f>_xlfn.XLOOKUP($C34,TB_NG!$E:$E,TB_NG!Y:Y)</f>
        <v>0</v>
      </c>
      <c r="X34" s="17">
        <f>_xlfn.XLOOKUP($C34,TB_NG!$E:$E,TB_NG!Z:Z)</f>
        <v>0</v>
      </c>
      <c r="Y34" s="17">
        <f>_xlfn.XLOOKUP($C34,TB_NG!$E:$E,TB_NG!AA:AA)</f>
        <v>0</v>
      </c>
      <c r="Z34" s="17">
        <f>_xlfn.XLOOKUP($C34,TB_NG!$E:$E,TB_NG!AB:AB)</f>
        <v>0</v>
      </c>
      <c r="AA34" s="17">
        <f>_xlfn.XLOOKUP($C34,TB_NG!$E:$E,TB_NG!AC:AC)</f>
        <v>0</v>
      </c>
      <c r="AB34" s="17">
        <f>_xlfn.XLOOKUP($C34,TB_NG!$E:$E,TB_NG!AD:AD)</f>
        <v>0</v>
      </c>
      <c r="AC34" s="17">
        <f>_xlfn.XLOOKUP($C34,TB_NG!$E:$E,TB_NG!AE:AE)</f>
        <v>0</v>
      </c>
      <c r="AD34" s="17">
        <f>_xlfn.XLOOKUP($C34,TB_NG!$E:$E,TB_NG!AF:AF)</f>
        <v>0</v>
      </c>
      <c r="AE34" s="17">
        <f>_xlfn.XLOOKUP($C34,TB_NG!$E:$E,TB_NG!AG:AG)</f>
        <v>0</v>
      </c>
      <c r="AF34" s="17">
        <f>_xlfn.XLOOKUP($C34,TB_NG!$E:$E,TB_NG!AH:AH)</f>
        <v>0</v>
      </c>
      <c r="AG34" s="17">
        <f>_xlfn.XLOOKUP($C34,TB_NG!$E:$E,TB_NG!AI:AI)</f>
        <v>0</v>
      </c>
      <c r="AH34" s="17">
        <f>_xlfn.XLOOKUP($C34,TB_NG!$E:$E,TB_NG!AJ:AJ)</f>
        <v>0</v>
      </c>
      <c r="AI34" s="17">
        <f>_xlfn.XLOOKUP($C34,TB_NG!$E:$E,TB_NG!AK:AK)</f>
        <v>0</v>
      </c>
      <c r="AJ34" s="17">
        <f>_xlfn.XLOOKUP($C34,TB_NG!$E:$E,TB_NG!AL:AL)</f>
        <v>0</v>
      </c>
      <c r="AK34" s="17">
        <f>_xlfn.XLOOKUP($C34,TB_NG!$E:$E,TB_NG!AM:AM)</f>
        <v>0</v>
      </c>
      <c r="AL34" s="17">
        <f>_xlfn.XLOOKUP($C34,TB_NG!$E:$E,TB_NG!AN:AN)</f>
        <v>0</v>
      </c>
      <c r="AM34" s="17">
        <f>_xlfn.XLOOKUP($C34,TB_NG!$E:$E,TB_NG!AO:AO)</f>
        <v>0</v>
      </c>
    </row>
    <row r="35" spans="2:39" hidden="1" outlineLevel="1" x14ac:dyDescent="0.2">
      <c r="B35" s="21">
        <v>10316</v>
      </c>
      <c r="C35" s="16" t="s">
        <v>181</v>
      </c>
      <c r="D35" s="17">
        <f>_xlfn.XLOOKUP($B35,TB_NG!$A:$A,TB_NG!F:F)</f>
        <v>766135.5</v>
      </c>
      <c r="E35" s="17">
        <f>_xlfn.XLOOKUP($B35,TB_NG!$A:$A,TB_NG!G:G)</f>
        <v>5779140</v>
      </c>
      <c r="F35" s="17">
        <f>_xlfn.XLOOKUP($B35,TB_NG!$A:$A,TB_NG!H:H)</f>
        <v>1725015</v>
      </c>
      <c r="G35" s="17">
        <f>_xlfn.XLOOKUP($B35,TB_NG!$A:$A,TB_NG!I:I)</f>
        <v>3118278.3</v>
      </c>
      <c r="H35" s="17">
        <f>_xlfn.XLOOKUP($B35,TB_NG!$A:$A,TB_NG!J:J)</f>
        <v>4672839.2699999996</v>
      </c>
      <c r="I35" s="17">
        <f>_xlfn.XLOOKUP($B35,TB_NG!$A:$A,TB_NG!K:K)</f>
        <v>6757162.9699999997</v>
      </c>
      <c r="J35" s="17">
        <f>_xlfn.XLOOKUP($B35,TB_NG!$A:$A,TB_NG!L:L)</f>
        <v>8283980.0499999998</v>
      </c>
      <c r="K35" s="17">
        <f>_xlfn.XLOOKUP($B35,TB_NG!$A:$A,TB_NG!M:M)</f>
        <v>11098547.33</v>
      </c>
      <c r="L35" s="17">
        <f>_xlfn.XLOOKUP($B35,TB_NG!$A:$A,TB_NG!N:N)</f>
        <v>13490505.48</v>
      </c>
      <c r="M35" s="17">
        <f>_xlfn.XLOOKUP($B35,TB_NG!$A:$A,TB_NG!O:O)</f>
        <v>6286942.2699999996</v>
      </c>
      <c r="N35" s="17">
        <f>_xlfn.XLOOKUP($B35,TB_NG!$A:$A,TB_NG!P:P)</f>
        <v>8268797.2199999997</v>
      </c>
      <c r="O35" s="17">
        <f>_xlfn.XLOOKUP($B35,TB_NG!$A:$A,TB_NG!Q:Q)</f>
        <v>6886059.71</v>
      </c>
      <c r="P35" s="17">
        <f>_xlfn.XLOOKUP($B35,TB_NG!$A:$A,TB_NG!R:R)</f>
        <v>4308872.53</v>
      </c>
      <c r="Q35" s="17">
        <f>_xlfn.XLOOKUP($B35,TB_NG!$A:$A,TB_NG!S:S)</f>
        <v>6960968.1100000003</v>
      </c>
      <c r="R35" s="17">
        <f>_xlfn.XLOOKUP($B35,TB_NG!$A:$A,TB_NG!T:T)</f>
        <v>13755124.199999999</v>
      </c>
      <c r="S35" s="17">
        <f>_xlfn.XLOOKUP($B35,TB_NG!$A:$A,TB_NG!U:U)</f>
        <v>1803130.68</v>
      </c>
      <c r="T35" s="17">
        <f>_xlfn.XLOOKUP($B35,TB_NG!$A:$A,TB_NG!V:V)</f>
        <v>4411309.33</v>
      </c>
      <c r="U35" s="17">
        <f>_xlfn.XLOOKUP($B35,TB_NG!$A:$A,TB_NG!W:W)</f>
        <v>4411309.33</v>
      </c>
      <c r="V35" s="17">
        <f>_xlfn.XLOOKUP($B35,TB_NG!$A:$A,TB_NG!X:X)</f>
        <v>9033422.0399999991</v>
      </c>
      <c r="W35" s="17">
        <f>_xlfn.XLOOKUP($B35,TB_NG!$A:$A,TB_NG!Y:Y)</f>
        <v>12136757.76</v>
      </c>
      <c r="X35" s="17">
        <f>_xlfn.XLOOKUP($B35,TB_NG!$A:$A,TB_NG!Z:Z)</f>
        <v>8722551.3599999994</v>
      </c>
      <c r="Y35" s="17">
        <f>_xlfn.XLOOKUP($B35,TB_NG!$A:$A,TB_NG!AA:AA)</f>
        <v>11204354.77</v>
      </c>
      <c r="Z35" s="17">
        <f>_xlfn.XLOOKUP($B35,TB_NG!$A:$A,TB_NG!AB:AB)</f>
        <v>12133425.6</v>
      </c>
      <c r="AA35" s="17">
        <f>_xlfn.XLOOKUP($B35,TB_NG!$A:$A,TB_NG!AC:AC)</f>
        <v>1487916.53</v>
      </c>
      <c r="AB35" s="17">
        <f>_xlfn.XLOOKUP($B35,TB_NG!$A:$A,TB_NG!AD:AD)</f>
        <v>7054104.6100000003</v>
      </c>
      <c r="AC35" s="17">
        <f>_xlfn.XLOOKUP($B35,TB_NG!$A:$A,TB_NG!AE:AE)</f>
        <v>8709749.3399999999</v>
      </c>
      <c r="AD35" s="17">
        <f>_xlfn.XLOOKUP($B35,TB_NG!$A:$A,TB_NG!AF:AF)</f>
        <v>15600007.939999999</v>
      </c>
      <c r="AE35" s="17">
        <f>_xlfn.XLOOKUP($B35,TB_NG!$A:$A,TB_NG!AG:AG)</f>
        <v>21016292.190000001</v>
      </c>
      <c r="AF35" s="17">
        <f>_xlfn.XLOOKUP($B35,TB_NG!$A:$A,TB_NG!AH:AH)</f>
        <v>0</v>
      </c>
      <c r="AG35" s="17">
        <f>_xlfn.XLOOKUP($B35,TB_NG!$A:$A,TB_NG!AI:AI)</f>
        <v>0</v>
      </c>
      <c r="AH35" s="17">
        <f>_xlfn.XLOOKUP($B35,TB_NG!$A:$A,TB_NG!AJ:AJ)</f>
        <v>0</v>
      </c>
      <c r="AI35" s="17">
        <f>_xlfn.XLOOKUP($B35,TB_NG!$A:$A,TB_NG!AK:AK)</f>
        <v>0</v>
      </c>
      <c r="AJ35" s="17">
        <f>_xlfn.XLOOKUP($B35,TB_NG!$A:$A,TB_NG!AL:AL)</f>
        <v>0</v>
      </c>
      <c r="AK35" s="17">
        <f>_xlfn.XLOOKUP($B35,TB_NG!$A:$A,TB_NG!AM:AM)</f>
        <v>0</v>
      </c>
      <c r="AL35" s="17">
        <f>_xlfn.XLOOKUP($B35,TB_NG!$A:$A,TB_NG!AN:AN)</f>
        <v>0</v>
      </c>
      <c r="AM35" s="17">
        <f>_xlfn.XLOOKUP($B35,TB_NG!$A:$A,TB_NG!AO:AO)</f>
        <v>0</v>
      </c>
    </row>
    <row r="36" spans="2:39" hidden="1" outlineLevel="1" x14ac:dyDescent="0.2">
      <c r="B36" s="21">
        <f>_xlfn.XLOOKUP($C36,TB_NG!$E:$E,TB_NG!A:A)</f>
        <v>10317</v>
      </c>
      <c r="C36" s="16" t="s">
        <v>182</v>
      </c>
      <c r="D36" s="17">
        <f>_xlfn.XLOOKUP($C36,TB_NG!$E:$E,TB_NG!F:F)</f>
        <v>0</v>
      </c>
      <c r="E36" s="17">
        <f>_xlfn.XLOOKUP($C36,TB_NG!$E:$E,TB_NG!G:G)</f>
        <v>0</v>
      </c>
      <c r="F36" s="17">
        <f>_xlfn.XLOOKUP($C36,TB_NG!$E:$E,TB_NG!H:H)</f>
        <v>0</v>
      </c>
      <c r="G36" s="17">
        <f>_xlfn.XLOOKUP($C36,TB_NG!$E:$E,TB_NG!I:I)</f>
        <v>0</v>
      </c>
      <c r="H36" s="17">
        <f>_xlfn.XLOOKUP($C36,TB_NG!$E:$E,TB_NG!J:J)</f>
        <v>101879.4</v>
      </c>
      <c r="I36" s="17">
        <f>_xlfn.XLOOKUP($C36,TB_NG!$E:$E,TB_NG!K:K)</f>
        <v>1101879.3999999999</v>
      </c>
      <c r="J36" s="17">
        <f>_xlfn.XLOOKUP($C36,TB_NG!$E:$E,TB_NG!L:L)</f>
        <v>101879.4</v>
      </c>
      <c r="K36" s="17">
        <f>_xlfn.XLOOKUP($C36,TB_NG!$E:$E,TB_NG!M:M)</f>
        <v>101797.4</v>
      </c>
      <c r="L36" s="17">
        <f>_xlfn.XLOOKUP($C36,TB_NG!$E:$E,TB_NG!N:N)</f>
        <v>101797.4</v>
      </c>
      <c r="M36" s="17">
        <f>_xlfn.XLOOKUP($C36,TB_NG!$E:$E,TB_NG!O:O)</f>
        <v>101797.4</v>
      </c>
      <c r="N36" s="17">
        <f>_xlfn.XLOOKUP($C36,TB_NG!$E:$E,TB_NG!P:P)</f>
        <v>101797.4</v>
      </c>
      <c r="O36" s="17">
        <f>_xlfn.XLOOKUP($C36,TB_NG!$E:$E,TB_NG!Q:Q)</f>
        <v>101797.4</v>
      </c>
      <c r="P36" s="17">
        <f>_xlfn.XLOOKUP($C36,TB_NG!$E:$E,TB_NG!R:R)</f>
        <v>101797.4</v>
      </c>
      <c r="Q36" s="17">
        <f>_xlfn.XLOOKUP($C36,TB_NG!$E:$E,TB_NG!S:S)</f>
        <v>101797.4</v>
      </c>
      <c r="R36" s="17">
        <f>_xlfn.XLOOKUP($C36,TB_NG!$E:$E,TB_NG!T:T)</f>
        <v>101797.4</v>
      </c>
      <c r="S36" s="17">
        <f>_xlfn.XLOOKUP($C36,TB_NG!$E:$E,TB_NG!U:U)</f>
        <v>101797.4</v>
      </c>
      <c r="T36" s="17">
        <f>_xlfn.XLOOKUP($C36,TB_NG!$E:$E,TB_NG!V:V)</f>
        <v>101797.4</v>
      </c>
      <c r="U36" s="17">
        <f>_xlfn.XLOOKUP($C36,TB_NG!$E:$E,TB_NG!W:W)</f>
        <v>101797.4</v>
      </c>
      <c r="V36" s="17">
        <f>_xlfn.XLOOKUP($C36,TB_NG!$E:$E,TB_NG!X:X)</f>
        <v>101797.4</v>
      </c>
      <c r="W36" s="17">
        <f>_xlfn.XLOOKUP($C36,TB_NG!$E:$E,TB_NG!Y:Y)</f>
        <v>101797.4</v>
      </c>
      <c r="X36" s="17">
        <f>_xlfn.XLOOKUP($C36,TB_NG!$E:$E,TB_NG!Z:Z)</f>
        <v>101797.4</v>
      </c>
      <c r="Y36" s="17">
        <f>_xlfn.XLOOKUP($C36,TB_NG!$E:$E,TB_NG!AA:AA)</f>
        <v>101797.4</v>
      </c>
      <c r="Z36" s="17">
        <f>_xlfn.XLOOKUP($C36,TB_NG!$E:$E,TB_NG!AB:AB)</f>
        <v>101797.4</v>
      </c>
      <c r="AA36" s="17">
        <f>_xlfn.XLOOKUP($C36,TB_NG!$E:$E,TB_NG!AC:AC)</f>
        <v>101797.4</v>
      </c>
      <c r="AB36" s="17">
        <f>_xlfn.XLOOKUP($C36,TB_NG!$E:$E,TB_NG!AD:AD)</f>
        <v>101797.4</v>
      </c>
      <c r="AC36" s="17">
        <f>_xlfn.XLOOKUP($C36,TB_NG!$E:$E,TB_NG!AE:AE)</f>
        <v>101797.4</v>
      </c>
      <c r="AD36" s="17">
        <f>_xlfn.XLOOKUP($C36,TB_NG!$E:$E,TB_NG!AF:AF)</f>
        <v>101797.4</v>
      </c>
      <c r="AE36" s="17">
        <f>_xlfn.XLOOKUP($C36,TB_NG!$E:$E,TB_NG!AG:AG)</f>
        <v>101797.4</v>
      </c>
      <c r="AF36" s="17">
        <f>_xlfn.XLOOKUP($C36,TB_NG!$E:$E,TB_NG!AH:AH)</f>
        <v>0</v>
      </c>
      <c r="AG36" s="17">
        <f>_xlfn.XLOOKUP($C36,TB_NG!$E:$E,TB_NG!AI:AI)</f>
        <v>0</v>
      </c>
      <c r="AH36" s="17">
        <f>_xlfn.XLOOKUP($C36,TB_NG!$E:$E,TB_NG!AJ:AJ)</f>
        <v>0</v>
      </c>
      <c r="AI36" s="17">
        <f>_xlfn.XLOOKUP($C36,TB_NG!$E:$E,TB_NG!AK:AK)</f>
        <v>0</v>
      </c>
      <c r="AJ36" s="17">
        <f>_xlfn.XLOOKUP($C36,TB_NG!$E:$E,TB_NG!AL:AL)</f>
        <v>0</v>
      </c>
      <c r="AK36" s="17">
        <f>_xlfn.XLOOKUP($C36,TB_NG!$E:$E,TB_NG!AM:AM)</f>
        <v>0</v>
      </c>
      <c r="AL36" s="17">
        <f>_xlfn.XLOOKUP($C36,TB_NG!$E:$E,TB_NG!AN:AN)</f>
        <v>0</v>
      </c>
      <c r="AM36" s="17">
        <f>_xlfn.XLOOKUP($C36,TB_NG!$E:$E,TB_NG!AO:AO)</f>
        <v>0</v>
      </c>
    </row>
    <row r="37" spans="2:39" hidden="1" outlineLevel="1" x14ac:dyDescent="0.2">
      <c r="B37" s="21">
        <f>_xlfn.XLOOKUP($C37,TB_NG!$E:$E,TB_NG!A:A)</f>
        <v>10320</v>
      </c>
      <c r="C37" s="16" t="s">
        <v>183</v>
      </c>
      <c r="D37" s="17">
        <f>_xlfn.XLOOKUP($C37,TB_NG!$E:$E,TB_NG!F:F)</f>
        <v>53.75</v>
      </c>
      <c r="E37" s="17">
        <f>_xlfn.XLOOKUP($C37,TB_NG!$E:$E,TB_NG!G:G)</f>
        <v>53.75</v>
      </c>
      <c r="F37" s="17">
        <f>_xlfn.XLOOKUP($C37,TB_NG!$E:$E,TB_NG!H:H)</f>
        <v>53.75</v>
      </c>
      <c r="G37" s="17">
        <f>_xlfn.XLOOKUP($C37,TB_NG!$E:$E,TB_NG!I:I)</f>
        <v>53.75</v>
      </c>
      <c r="H37" s="17">
        <f>_xlfn.XLOOKUP($C37,TB_NG!$E:$E,TB_NG!J:J)</f>
        <v>53.75</v>
      </c>
      <c r="I37" s="17">
        <f>_xlfn.XLOOKUP($C37,TB_NG!$E:$E,TB_NG!K:K)</f>
        <v>53.75</v>
      </c>
      <c r="J37" s="17">
        <f>_xlfn.XLOOKUP($C37,TB_NG!$E:$E,TB_NG!L:L)</f>
        <v>53.75</v>
      </c>
      <c r="K37" s="17">
        <f>_xlfn.XLOOKUP($C37,TB_NG!$E:$E,TB_NG!M:M)</f>
        <v>53.75</v>
      </c>
      <c r="L37" s="17">
        <f>_xlfn.XLOOKUP($C37,TB_NG!$E:$E,TB_NG!N:N)</f>
        <v>53.75</v>
      </c>
      <c r="M37" s="17">
        <f>_xlfn.XLOOKUP($C37,TB_NG!$E:$E,TB_NG!O:O)</f>
        <v>53.75</v>
      </c>
      <c r="N37" s="17">
        <f>_xlfn.XLOOKUP($C37,TB_NG!$E:$E,TB_NG!P:P)</f>
        <v>53.75</v>
      </c>
      <c r="O37" s="17">
        <f>_xlfn.XLOOKUP($C37,TB_NG!$E:$E,TB_NG!Q:Q)</f>
        <v>53.75</v>
      </c>
      <c r="P37" s="17">
        <f>_xlfn.XLOOKUP($C37,TB_NG!$E:$E,TB_NG!R:R)</f>
        <v>53.75</v>
      </c>
      <c r="Q37" s="17">
        <f>_xlfn.XLOOKUP($C37,TB_NG!$E:$E,TB_NG!S:S)</f>
        <v>53.75</v>
      </c>
      <c r="R37" s="17">
        <f>_xlfn.XLOOKUP($C37,TB_NG!$E:$E,TB_NG!T:T)</f>
        <v>53.75</v>
      </c>
      <c r="S37" s="17">
        <f>_xlfn.XLOOKUP($C37,TB_NG!$E:$E,TB_NG!U:U)</f>
        <v>53.75</v>
      </c>
      <c r="T37" s="17">
        <f>_xlfn.XLOOKUP($C37,TB_NG!$E:$E,TB_NG!V:V)</f>
        <v>53.75</v>
      </c>
      <c r="U37" s="17">
        <f>_xlfn.XLOOKUP($C37,TB_NG!$E:$E,TB_NG!W:W)</f>
        <v>53.75</v>
      </c>
      <c r="V37" s="17">
        <f>_xlfn.XLOOKUP($C37,TB_NG!$E:$E,TB_NG!X:X)</f>
        <v>53.75</v>
      </c>
      <c r="W37" s="17">
        <f>_xlfn.XLOOKUP($C37,TB_NG!$E:$E,TB_NG!Y:Y)</f>
        <v>53.75</v>
      </c>
      <c r="X37" s="17">
        <f>_xlfn.XLOOKUP($C37,TB_NG!$E:$E,TB_NG!Z:Z)</f>
        <v>53.75</v>
      </c>
      <c r="Y37" s="17">
        <f>_xlfn.XLOOKUP($C37,TB_NG!$E:$E,TB_NG!AA:AA)</f>
        <v>53.75</v>
      </c>
      <c r="Z37" s="17">
        <f>_xlfn.XLOOKUP($C37,TB_NG!$E:$E,TB_NG!AB:AB)</f>
        <v>53.75</v>
      </c>
      <c r="AA37" s="17">
        <f>_xlfn.XLOOKUP($C37,TB_NG!$E:$E,TB_NG!AC:AC)</f>
        <v>53.75</v>
      </c>
      <c r="AB37" s="17">
        <f>_xlfn.XLOOKUP($C37,TB_NG!$E:$E,TB_NG!AD:AD)</f>
        <v>53.75</v>
      </c>
      <c r="AC37" s="17">
        <f>_xlfn.XLOOKUP($C37,TB_NG!$E:$E,TB_NG!AE:AE)</f>
        <v>53.75</v>
      </c>
      <c r="AD37" s="17">
        <f>_xlfn.XLOOKUP($C37,TB_NG!$E:$E,TB_NG!AF:AF)</f>
        <v>53.75</v>
      </c>
      <c r="AE37" s="17">
        <f>_xlfn.XLOOKUP($C37,TB_NG!$E:$E,TB_NG!AG:AG)</f>
        <v>53.75</v>
      </c>
      <c r="AF37" s="17">
        <f>_xlfn.XLOOKUP($C37,TB_NG!$E:$E,TB_NG!AH:AH)</f>
        <v>0</v>
      </c>
      <c r="AG37" s="17">
        <f>_xlfn.XLOOKUP($C37,TB_NG!$E:$E,TB_NG!AI:AI)</f>
        <v>0</v>
      </c>
      <c r="AH37" s="17">
        <f>_xlfn.XLOOKUP($C37,TB_NG!$E:$E,TB_NG!AJ:AJ)</f>
        <v>0</v>
      </c>
      <c r="AI37" s="17">
        <f>_xlfn.XLOOKUP($C37,TB_NG!$E:$E,TB_NG!AK:AK)</f>
        <v>0</v>
      </c>
      <c r="AJ37" s="17">
        <f>_xlfn.XLOOKUP($C37,TB_NG!$E:$E,TB_NG!AL:AL)</f>
        <v>0</v>
      </c>
      <c r="AK37" s="17">
        <f>_xlfn.XLOOKUP($C37,TB_NG!$E:$E,TB_NG!AM:AM)</f>
        <v>0</v>
      </c>
      <c r="AL37" s="17">
        <f>_xlfn.XLOOKUP($C37,TB_NG!$E:$E,TB_NG!AN:AN)</f>
        <v>0</v>
      </c>
      <c r="AM37" s="17">
        <f>_xlfn.XLOOKUP($C37,TB_NG!$E:$E,TB_NG!AO:AO)</f>
        <v>0</v>
      </c>
    </row>
    <row r="38" spans="2:39" hidden="1" outlineLevel="1" x14ac:dyDescent="0.2">
      <c r="B38" s="21">
        <f>_xlfn.XLOOKUP($C38,TB_NG!$E:$E,TB_NG!A:A)</f>
        <v>10341</v>
      </c>
      <c r="C38" s="16" t="s">
        <v>184</v>
      </c>
      <c r="D38" s="17">
        <f>_xlfn.XLOOKUP($C38,TB_NG!$E:$E,TB_NG!F:F)</f>
        <v>2495130.4900000002</v>
      </c>
      <c r="E38" s="17">
        <f>_xlfn.XLOOKUP($C38,TB_NG!$E:$E,TB_NG!G:G)</f>
        <v>1401649.31</v>
      </c>
      <c r="F38" s="17">
        <f>_xlfn.XLOOKUP($C38,TB_NG!$E:$E,TB_NG!H:H)</f>
        <v>731965.97</v>
      </c>
      <c r="G38" s="17">
        <f>_xlfn.XLOOKUP($C38,TB_NG!$E:$E,TB_NG!I:I)</f>
        <v>404308.47</v>
      </c>
      <c r="H38" s="17">
        <f>_xlfn.XLOOKUP($C38,TB_NG!$E:$E,TB_NG!J:J)</f>
        <v>709449.32</v>
      </c>
      <c r="I38" s="17">
        <f>_xlfn.XLOOKUP($C38,TB_NG!$E:$E,TB_NG!K:K)</f>
        <v>244321.74</v>
      </c>
      <c r="J38" s="17">
        <f>_xlfn.XLOOKUP($C38,TB_NG!$E:$E,TB_NG!L:L)</f>
        <v>9161.61</v>
      </c>
      <c r="K38" s="17">
        <f>_xlfn.XLOOKUP($C38,TB_NG!$E:$E,TB_NG!M:M)</f>
        <v>968802.77</v>
      </c>
      <c r="L38" s="17">
        <f>_xlfn.XLOOKUP($C38,TB_NG!$E:$E,TB_NG!N:N)</f>
        <v>315827.77</v>
      </c>
      <c r="M38" s="17">
        <f>_xlfn.XLOOKUP($C38,TB_NG!$E:$E,TB_NG!O:O)</f>
        <v>339222.02</v>
      </c>
      <c r="N38" s="17">
        <f>_xlfn.XLOOKUP($C38,TB_NG!$E:$E,TB_NG!P:P)</f>
        <v>137206.01999999999</v>
      </c>
      <c r="O38" s="17">
        <f>_xlfn.XLOOKUP($C38,TB_NG!$E:$E,TB_NG!Q:Q)</f>
        <v>1477354.01</v>
      </c>
      <c r="P38" s="17">
        <f>_xlfn.XLOOKUP($C38,TB_NG!$E:$E,TB_NG!R:R)</f>
        <v>309064.26</v>
      </c>
      <c r="Q38" s="17">
        <f>_xlfn.XLOOKUP($C38,TB_NG!$E:$E,TB_NG!S:S)</f>
        <v>58756.26</v>
      </c>
      <c r="R38" s="17">
        <f>_xlfn.XLOOKUP($C38,TB_NG!$E:$E,TB_NG!T:T)</f>
        <v>887210.26</v>
      </c>
      <c r="S38" s="17">
        <f>_xlfn.XLOOKUP($C38,TB_NG!$E:$E,TB_NG!U:U)</f>
        <v>784610.18</v>
      </c>
      <c r="T38" s="17">
        <f>_xlfn.XLOOKUP($C38,TB_NG!$E:$E,TB_NG!V:V)</f>
        <v>444645.18</v>
      </c>
      <c r="U38" s="17">
        <f>_xlfn.XLOOKUP($C38,TB_NG!$E:$E,TB_NG!W:W)</f>
        <v>673437.1</v>
      </c>
      <c r="V38" s="17">
        <f>_xlfn.XLOOKUP($C38,TB_NG!$E:$E,TB_NG!X:X)</f>
        <v>943063.6</v>
      </c>
      <c r="W38" s="17">
        <f>_xlfn.XLOOKUP($C38,TB_NG!$E:$E,TB_NG!Y:Y)</f>
        <v>1030501.6</v>
      </c>
      <c r="X38" s="17">
        <f>_xlfn.XLOOKUP($C38,TB_NG!$E:$E,TB_NG!Z:Z)</f>
        <v>796679.6</v>
      </c>
      <c r="Y38" s="17">
        <f>_xlfn.XLOOKUP($C38,TB_NG!$E:$E,TB_NG!AA:AA)</f>
        <v>1011823.85</v>
      </c>
      <c r="Z38" s="17">
        <f>_xlfn.XLOOKUP($C38,TB_NG!$E:$E,TB_NG!AB:AB)</f>
        <v>701981.85</v>
      </c>
      <c r="AA38" s="17">
        <f>_xlfn.XLOOKUP($C38,TB_NG!$E:$E,TB_NG!AC:AC)</f>
        <v>1373385.85</v>
      </c>
      <c r="AB38" s="17">
        <f>_xlfn.XLOOKUP($C38,TB_NG!$E:$E,TB_NG!AD:AD)</f>
        <v>93161.85</v>
      </c>
      <c r="AC38" s="17">
        <f>_xlfn.XLOOKUP($C38,TB_NG!$E:$E,TB_NG!AE:AE)</f>
        <v>16537.849999999999</v>
      </c>
      <c r="AD38" s="17">
        <f>_xlfn.XLOOKUP($C38,TB_NG!$E:$E,TB_NG!AF:AF)</f>
        <v>628531.85</v>
      </c>
      <c r="AE38" s="17">
        <f>_xlfn.XLOOKUP($C38,TB_NG!$E:$E,TB_NG!AG:AG)</f>
        <v>867762.1</v>
      </c>
      <c r="AF38" s="17">
        <f>_xlfn.XLOOKUP($C38,TB_NG!$E:$E,TB_NG!AH:AH)</f>
        <v>0</v>
      </c>
      <c r="AG38" s="17">
        <f>_xlfn.XLOOKUP($C38,TB_NG!$E:$E,TB_NG!AI:AI)</f>
        <v>0</v>
      </c>
      <c r="AH38" s="17">
        <f>_xlfn.XLOOKUP($C38,TB_NG!$E:$E,TB_NG!AJ:AJ)</f>
        <v>0</v>
      </c>
      <c r="AI38" s="17">
        <f>_xlfn.XLOOKUP($C38,TB_NG!$E:$E,TB_NG!AK:AK)</f>
        <v>0</v>
      </c>
      <c r="AJ38" s="17">
        <f>_xlfn.XLOOKUP($C38,TB_NG!$E:$E,TB_NG!AL:AL)</f>
        <v>0</v>
      </c>
      <c r="AK38" s="17">
        <f>_xlfn.XLOOKUP($C38,TB_NG!$E:$E,TB_NG!AM:AM)</f>
        <v>0</v>
      </c>
      <c r="AL38" s="17">
        <f>_xlfn.XLOOKUP($C38,TB_NG!$E:$E,TB_NG!AN:AN)</f>
        <v>0</v>
      </c>
      <c r="AM38" s="17">
        <f>_xlfn.XLOOKUP($C38,TB_NG!$E:$E,TB_NG!AO:AO)</f>
        <v>0</v>
      </c>
    </row>
    <row r="39" spans="2:39" hidden="1" outlineLevel="1" x14ac:dyDescent="0.2">
      <c r="B39" s="21">
        <f>_xlfn.XLOOKUP($C39,TB_NG!$E:$E,TB_NG!A:A)</f>
        <v>10342</v>
      </c>
      <c r="C39" s="16" t="s">
        <v>185</v>
      </c>
      <c r="D39" s="17">
        <f>_xlfn.XLOOKUP($C39,TB_NG!$E:$E,TB_NG!F:F)</f>
        <v>39614157.359999999</v>
      </c>
      <c r="E39" s="17">
        <f>_xlfn.XLOOKUP($C39,TB_NG!$E:$E,TB_NG!G:G)</f>
        <v>719959.43</v>
      </c>
      <c r="F39" s="17">
        <f>_xlfn.XLOOKUP($C39,TB_NG!$E:$E,TB_NG!H:H)</f>
        <v>406406770.63</v>
      </c>
      <c r="G39" s="17">
        <f>_xlfn.XLOOKUP($C39,TB_NG!$E:$E,TB_NG!I:I)</f>
        <v>300691378.87</v>
      </c>
      <c r="H39" s="17">
        <f>_xlfn.XLOOKUP($C39,TB_NG!$E:$E,TB_NG!J:J)</f>
        <v>192529511.86000001</v>
      </c>
      <c r="I39" s="17">
        <f>_xlfn.XLOOKUP($C39,TB_NG!$E:$E,TB_NG!K:K)</f>
        <v>1672091.85</v>
      </c>
      <c r="J39" s="17">
        <f>_xlfn.XLOOKUP($C39,TB_NG!$E:$E,TB_NG!L:L)</f>
        <v>346793</v>
      </c>
      <c r="K39" s="17">
        <f>_xlfn.XLOOKUP($C39,TB_NG!$E:$E,TB_NG!M:M)</f>
        <v>374833522.77999997</v>
      </c>
      <c r="L39" s="17">
        <f>_xlfn.XLOOKUP($C39,TB_NG!$E:$E,TB_NG!N:N)</f>
        <v>191267318.11000001</v>
      </c>
      <c r="M39" s="17">
        <f>_xlfn.XLOOKUP($C39,TB_NG!$E:$E,TB_NG!O:O)</f>
        <v>97618935.579999998</v>
      </c>
      <c r="N39" s="17">
        <f>_xlfn.XLOOKUP($C39,TB_NG!$E:$E,TB_NG!P:P)</f>
        <v>185860896.83000001</v>
      </c>
      <c r="O39" s="17">
        <f>_xlfn.XLOOKUP($C39,TB_NG!$E:$E,TB_NG!Q:Q)</f>
        <v>19912975.34</v>
      </c>
      <c r="P39" s="17">
        <f>_xlfn.XLOOKUP($C39,TB_NG!$E:$E,TB_NG!R:R)</f>
        <v>3797977.09</v>
      </c>
      <c r="Q39" s="17">
        <f>_xlfn.XLOOKUP($C39,TB_NG!$E:$E,TB_NG!S:S)</f>
        <v>4353702.09</v>
      </c>
      <c r="R39" s="17">
        <f>_xlfn.XLOOKUP($C39,TB_NG!$E:$E,TB_NG!T:T)</f>
        <v>785209922.22000003</v>
      </c>
      <c r="S39" s="17">
        <f>_xlfn.XLOOKUP($C39,TB_NG!$E:$E,TB_NG!U:U)</f>
        <v>61501528.840000004</v>
      </c>
      <c r="T39" s="17">
        <f>_xlfn.XLOOKUP($C39,TB_NG!$E:$E,TB_NG!V:V)</f>
        <v>100506.8</v>
      </c>
      <c r="U39" s="17">
        <f>_xlfn.XLOOKUP($C39,TB_NG!$E:$E,TB_NG!W:W)</f>
        <v>503283552.75999999</v>
      </c>
      <c r="V39" s="17">
        <f>_xlfn.XLOOKUP($C39,TB_NG!$E:$E,TB_NG!X:X)</f>
        <v>272672784.22000003</v>
      </c>
      <c r="W39" s="17">
        <f>_xlfn.XLOOKUP($C39,TB_NG!$E:$E,TB_NG!Y:Y)</f>
        <v>136765219.41</v>
      </c>
      <c r="X39" s="17">
        <f>_xlfn.XLOOKUP($C39,TB_NG!$E:$E,TB_NG!Z:Z)</f>
        <v>28347207.940000001</v>
      </c>
      <c r="Y39" s="17">
        <f>_xlfn.XLOOKUP($C39,TB_NG!$E:$E,TB_NG!AA:AA)</f>
        <v>17263899.359999999</v>
      </c>
      <c r="Z39" s="17">
        <f>_xlfn.XLOOKUP($C39,TB_NG!$E:$E,TB_NG!AB:AB)</f>
        <v>39332181.689999998</v>
      </c>
      <c r="AA39" s="17">
        <f>_xlfn.XLOOKUP($C39,TB_NG!$E:$E,TB_NG!AC:AC)</f>
        <v>14797375.01</v>
      </c>
      <c r="AB39" s="17">
        <f>_xlfn.XLOOKUP($C39,TB_NG!$E:$E,TB_NG!AD:AD)</f>
        <v>3578388.69</v>
      </c>
      <c r="AC39" s="17">
        <f>_xlfn.XLOOKUP($C39,TB_NG!$E:$E,TB_NG!AE:AE)</f>
        <v>168342812.86000001</v>
      </c>
      <c r="AD39" s="17">
        <f>_xlfn.XLOOKUP($C39,TB_NG!$E:$E,TB_NG!AF:AF)</f>
        <v>58014712.079999998</v>
      </c>
      <c r="AE39" s="17">
        <f>_xlfn.XLOOKUP($C39,TB_NG!$E:$E,TB_NG!AG:AG)</f>
        <v>14264527.42</v>
      </c>
      <c r="AF39" s="17">
        <f>_xlfn.XLOOKUP($C39,TB_NG!$E:$E,TB_NG!AH:AH)</f>
        <v>0</v>
      </c>
      <c r="AG39" s="17">
        <f>_xlfn.XLOOKUP($C39,TB_NG!$E:$E,TB_NG!AI:AI)</f>
        <v>0</v>
      </c>
      <c r="AH39" s="17">
        <f>_xlfn.XLOOKUP($C39,TB_NG!$E:$E,TB_NG!AJ:AJ)</f>
        <v>0</v>
      </c>
      <c r="AI39" s="17">
        <f>_xlfn.XLOOKUP($C39,TB_NG!$E:$E,TB_NG!AK:AK)</f>
        <v>0</v>
      </c>
      <c r="AJ39" s="17">
        <f>_xlfn.XLOOKUP($C39,TB_NG!$E:$E,TB_NG!AL:AL)</f>
        <v>0</v>
      </c>
      <c r="AK39" s="17">
        <f>_xlfn.XLOOKUP($C39,TB_NG!$E:$E,TB_NG!AM:AM)</f>
        <v>0</v>
      </c>
      <c r="AL39" s="17">
        <f>_xlfn.XLOOKUP($C39,TB_NG!$E:$E,TB_NG!AN:AN)</f>
        <v>0</v>
      </c>
      <c r="AM39" s="17">
        <f>_xlfn.XLOOKUP($C39,TB_NG!$E:$E,TB_NG!AO:AO)</f>
        <v>0</v>
      </c>
    </row>
    <row r="40" spans="2:39" hidden="1" outlineLevel="1" x14ac:dyDescent="0.2">
      <c r="B40" s="21">
        <f>_xlfn.XLOOKUP($C40,TB_NG!$E:$E,TB_NG!A:A)</f>
        <v>10343</v>
      </c>
      <c r="C40" s="16" t="s">
        <v>186</v>
      </c>
      <c r="D40" s="17">
        <f>_xlfn.XLOOKUP($C40,TB_NG!$E:$E,TB_NG!F:F)</f>
        <v>0</v>
      </c>
      <c r="E40" s="17">
        <f>_xlfn.XLOOKUP($C40,TB_NG!$E:$E,TB_NG!G:G)</f>
        <v>0</v>
      </c>
      <c r="F40" s="17">
        <f>_xlfn.XLOOKUP($C40,TB_NG!$E:$E,TB_NG!H:H)</f>
        <v>0</v>
      </c>
      <c r="G40" s="17">
        <f>_xlfn.XLOOKUP($C40,TB_NG!$E:$E,TB_NG!I:I)</f>
        <v>1339161.1599999999</v>
      </c>
      <c r="H40" s="17">
        <f>_xlfn.XLOOKUP($C40,TB_NG!$E:$E,TB_NG!J:J)</f>
        <v>1369557.55</v>
      </c>
      <c r="I40" s="17">
        <f>_xlfn.XLOOKUP($C40,TB_NG!$E:$E,TB_NG!K:K)</f>
        <v>19401.39</v>
      </c>
      <c r="J40" s="17">
        <f>_xlfn.XLOOKUP($C40,TB_NG!$E:$E,TB_NG!L:L)</f>
        <v>20583.990000000002</v>
      </c>
      <c r="K40" s="17">
        <f>_xlfn.XLOOKUP($C40,TB_NG!$E:$E,TB_NG!M:M)</f>
        <v>20099.5</v>
      </c>
      <c r="L40" s="17">
        <f>_xlfn.XLOOKUP($C40,TB_NG!$E:$E,TB_NG!N:N)</f>
        <v>21083.27</v>
      </c>
      <c r="M40" s="17">
        <f>_xlfn.XLOOKUP($C40,TB_NG!$E:$E,TB_NG!O:O)</f>
        <v>20771.82</v>
      </c>
      <c r="N40" s="17">
        <f>_xlfn.XLOOKUP($C40,TB_NG!$E:$E,TB_NG!P:P)</f>
        <v>21288.43</v>
      </c>
      <c r="O40" s="17">
        <f>_xlfn.XLOOKUP($C40,TB_NG!$E:$E,TB_NG!Q:Q)</f>
        <v>19567.02</v>
      </c>
      <c r="P40" s="17">
        <f>_xlfn.XLOOKUP($C40,TB_NG!$E:$E,TB_NG!R:R)</f>
        <v>19450.89</v>
      </c>
      <c r="Q40" s="17">
        <f>_xlfn.XLOOKUP($C40,TB_NG!$E:$E,TB_NG!S:S)</f>
        <v>18951.09</v>
      </c>
      <c r="R40" s="17">
        <f>_xlfn.XLOOKUP($C40,TB_NG!$E:$E,TB_NG!T:T)</f>
        <v>19409.86</v>
      </c>
      <c r="S40" s="17">
        <f>_xlfn.XLOOKUP($C40,TB_NG!$E:$E,TB_NG!U:U)</f>
        <v>20248.02</v>
      </c>
      <c r="T40" s="17">
        <f>_xlfn.XLOOKUP($C40,TB_NG!$E:$E,TB_NG!V:V)</f>
        <v>20069.669999999998</v>
      </c>
      <c r="U40" s="17">
        <f>_xlfn.XLOOKUP($C40,TB_NG!$E:$E,TB_NG!W:W)</f>
        <v>19484.43</v>
      </c>
      <c r="V40" s="17">
        <f>_xlfn.XLOOKUP($C40,TB_NG!$E:$E,TB_NG!X:X)</f>
        <v>19345.650000000001</v>
      </c>
      <c r="W40" s="17">
        <f>_xlfn.XLOOKUP($C40,TB_NG!$E:$E,TB_NG!Y:Y)</f>
        <v>7710547.0800000001</v>
      </c>
      <c r="X40" s="17">
        <f>_xlfn.XLOOKUP($C40,TB_NG!$E:$E,TB_NG!Z:Z)</f>
        <v>7437409.96</v>
      </c>
      <c r="Y40" s="17">
        <f>_xlfn.XLOOKUP($C40,TB_NG!$E:$E,TB_NG!AA:AA)</f>
        <v>22485242.609999999</v>
      </c>
      <c r="Z40" s="17">
        <f>_xlfn.XLOOKUP($C40,TB_NG!$E:$E,TB_NG!AB:AB)</f>
        <v>22595219.57</v>
      </c>
      <c r="AA40" s="17">
        <f>_xlfn.XLOOKUP($C40,TB_NG!$E:$E,TB_NG!AC:AC)</f>
        <v>783193.31</v>
      </c>
      <c r="AB40" s="17">
        <f>_xlfn.XLOOKUP($C40,TB_NG!$E:$E,TB_NG!AD:AD)</f>
        <v>15598221.199999999</v>
      </c>
      <c r="AC40" s="17">
        <f>_xlfn.XLOOKUP($C40,TB_NG!$E:$E,TB_NG!AE:AE)</f>
        <v>76070594.280000001</v>
      </c>
      <c r="AD40" s="17">
        <f>_xlfn.XLOOKUP($C40,TB_NG!$E:$E,TB_NG!AF:AF)</f>
        <v>65781972.340000004</v>
      </c>
      <c r="AE40" s="17">
        <f>_xlfn.XLOOKUP($C40,TB_NG!$E:$E,TB_NG!AG:AG)</f>
        <v>159677404.83000001</v>
      </c>
      <c r="AF40" s="17">
        <f>_xlfn.XLOOKUP($C40,TB_NG!$E:$E,TB_NG!AH:AH)</f>
        <v>0</v>
      </c>
      <c r="AG40" s="17">
        <f>_xlfn.XLOOKUP($C40,TB_NG!$E:$E,TB_NG!AI:AI)</f>
        <v>0</v>
      </c>
      <c r="AH40" s="17">
        <f>_xlfn.XLOOKUP($C40,TB_NG!$E:$E,TB_NG!AJ:AJ)</f>
        <v>0</v>
      </c>
      <c r="AI40" s="17">
        <f>_xlfn.XLOOKUP($C40,TB_NG!$E:$E,TB_NG!AK:AK)</f>
        <v>0</v>
      </c>
      <c r="AJ40" s="17">
        <f>_xlfn.XLOOKUP($C40,TB_NG!$E:$E,TB_NG!AL:AL)</f>
        <v>0</v>
      </c>
      <c r="AK40" s="17">
        <f>_xlfn.XLOOKUP($C40,TB_NG!$E:$E,TB_NG!AM:AM)</f>
        <v>0</v>
      </c>
      <c r="AL40" s="17">
        <f>_xlfn.XLOOKUP($C40,TB_NG!$E:$E,TB_NG!AN:AN)</f>
        <v>0</v>
      </c>
      <c r="AM40" s="17">
        <f>_xlfn.XLOOKUP($C40,TB_NG!$E:$E,TB_NG!AO:AO)</f>
        <v>0</v>
      </c>
    </row>
    <row r="41" spans="2:39" hidden="1" outlineLevel="1" x14ac:dyDescent="0.2">
      <c r="B41" s="21">
        <f>_xlfn.XLOOKUP($C41,TB_NG!$E:$E,TB_NG!A:A)</f>
        <v>10344</v>
      </c>
      <c r="C41" s="16" t="s">
        <v>187</v>
      </c>
      <c r="D41" s="17">
        <f>_xlfn.XLOOKUP($C41,TB_NG!$E:$E,TB_NG!F:F)</f>
        <v>0</v>
      </c>
      <c r="E41" s="17">
        <f>_xlfn.XLOOKUP($C41,TB_NG!$E:$E,TB_NG!G:G)</f>
        <v>0</v>
      </c>
      <c r="F41" s="17">
        <f>_xlfn.XLOOKUP($C41,TB_NG!$E:$E,TB_NG!H:H)</f>
        <v>0</v>
      </c>
      <c r="G41" s="17">
        <f>_xlfn.XLOOKUP($C41,TB_NG!$E:$E,TB_NG!I:I)</f>
        <v>0</v>
      </c>
      <c r="H41" s="17">
        <f>_xlfn.XLOOKUP($C41,TB_NG!$E:$E,TB_NG!J:J)</f>
        <v>0</v>
      </c>
      <c r="I41" s="17">
        <f>_xlfn.XLOOKUP($C41,TB_NG!$E:$E,TB_NG!K:K)</f>
        <v>0</v>
      </c>
      <c r="J41" s="17">
        <f>_xlfn.XLOOKUP($C41,TB_NG!$E:$E,TB_NG!L:L)</f>
        <v>0</v>
      </c>
      <c r="K41" s="17">
        <f>_xlfn.XLOOKUP($C41,TB_NG!$E:$E,TB_NG!M:M)</f>
        <v>0</v>
      </c>
      <c r="L41" s="17">
        <f>_xlfn.XLOOKUP($C41,TB_NG!$E:$E,TB_NG!N:N)</f>
        <v>0</v>
      </c>
      <c r="M41" s="17">
        <f>_xlfn.XLOOKUP($C41,TB_NG!$E:$E,TB_NG!O:O)</f>
        <v>0</v>
      </c>
      <c r="N41" s="17">
        <f>_xlfn.XLOOKUP($C41,TB_NG!$E:$E,TB_NG!P:P)</f>
        <v>0</v>
      </c>
      <c r="O41" s="17">
        <f>_xlfn.XLOOKUP($C41,TB_NG!$E:$E,TB_NG!Q:Q)</f>
        <v>0</v>
      </c>
      <c r="P41" s="17">
        <f>_xlfn.XLOOKUP($C41,TB_NG!$E:$E,TB_NG!R:R)</f>
        <v>0</v>
      </c>
      <c r="Q41" s="17">
        <f>_xlfn.XLOOKUP($C41,TB_NG!$E:$E,TB_NG!S:S)</f>
        <v>0</v>
      </c>
      <c r="R41" s="17">
        <f>_xlfn.XLOOKUP($C41,TB_NG!$E:$E,TB_NG!T:T)</f>
        <v>908215.97</v>
      </c>
      <c r="S41" s="17">
        <f>_xlfn.XLOOKUP($C41,TB_NG!$E:$E,TB_NG!U:U)</f>
        <v>106367187.27</v>
      </c>
      <c r="T41" s="17">
        <f>_xlfn.XLOOKUP($C41,TB_NG!$E:$E,TB_NG!V:V)</f>
        <v>3575953.11</v>
      </c>
      <c r="U41" s="17">
        <f>_xlfn.XLOOKUP($C41,TB_NG!$E:$E,TB_NG!W:W)</f>
        <v>2726339.13</v>
      </c>
      <c r="V41" s="17">
        <f>_xlfn.XLOOKUP($C41,TB_NG!$E:$E,TB_NG!X:X)</f>
        <v>1829941.92</v>
      </c>
      <c r="W41" s="17">
        <f>_xlfn.XLOOKUP($C41,TB_NG!$E:$E,TB_NG!Y:Y)</f>
        <v>1843356.86</v>
      </c>
      <c r="X41" s="17">
        <f>_xlfn.XLOOKUP($C41,TB_NG!$E:$E,TB_NG!Z:Z)</f>
        <v>31482083.579999998</v>
      </c>
      <c r="Y41" s="17">
        <f>_xlfn.XLOOKUP($C41,TB_NG!$E:$E,TB_NG!AA:AA)</f>
        <v>1748498.56</v>
      </c>
      <c r="Z41" s="17">
        <f>_xlfn.XLOOKUP($C41,TB_NG!$E:$E,TB_NG!AB:AB)</f>
        <v>5186481.67</v>
      </c>
      <c r="AA41" s="17">
        <f>_xlfn.XLOOKUP($C41,TB_NG!$E:$E,TB_NG!AC:AC)</f>
        <v>8016039.8700000001</v>
      </c>
      <c r="AB41" s="17">
        <f>_xlfn.XLOOKUP($C41,TB_NG!$E:$E,TB_NG!AD:AD)</f>
        <v>262736.65999999997</v>
      </c>
      <c r="AC41" s="17">
        <f>_xlfn.XLOOKUP($C41,TB_NG!$E:$E,TB_NG!AE:AE)</f>
        <v>421685.06</v>
      </c>
      <c r="AD41" s="17">
        <f>_xlfn.XLOOKUP($C41,TB_NG!$E:$E,TB_NG!AF:AF)</f>
        <v>881581.86</v>
      </c>
      <c r="AE41" s="17">
        <f>_xlfn.XLOOKUP($C41,TB_NG!$E:$E,TB_NG!AG:AG)</f>
        <v>1262581.8600000001</v>
      </c>
      <c r="AF41" s="17">
        <f>_xlfn.XLOOKUP($C41,TB_NG!$E:$E,TB_NG!AH:AH)</f>
        <v>0</v>
      </c>
      <c r="AG41" s="17">
        <f>_xlfn.XLOOKUP($C41,TB_NG!$E:$E,TB_NG!AI:AI)</f>
        <v>0</v>
      </c>
      <c r="AH41" s="17">
        <f>_xlfn.XLOOKUP($C41,TB_NG!$E:$E,TB_NG!AJ:AJ)</f>
        <v>0</v>
      </c>
      <c r="AI41" s="17">
        <f>_xlfn.XLOOKUP($C41,TB_NG!$E:$E,TB_NG!AK:AK)</f>
        <v>0</v>
      </c>
      <c r="AJ41" s="17">
        <f>_xlfn.XLOOKUP($C41,TB_NG!$E:$E,TB_NG!AL:AL)</f>
        <v>0</v>
      </c>
      <c r="AK41" s="17">
        <f>_xlfn.XLOOKUP($C41,TB_NG!$E:$E,TB_NG!AM:AM)</f>
        <v>0</v>
      </c>
      <c r="AL41" s="17">
        <f>_xlfn.XLOOKUP($C41,TB_NG!$E:$E,TB_NG!AN:AN)</f>
        <v>0</v>
      </c>
      <c r="AM41" s="17">
        <f>_xlfn.XLOOKUP($C41,TB_NG!$E:$E,TB_NG!AO:AO)</f>
        <v>0</v>
      </c>
    </row>
    <row r="42" spans="2:39" hidden="1" outlineLevel="1" x14ac:dyDescent="0.2">
      <c r="B42" s="21">
        <f>_xlfn.XLOOKUP($C42,TB_NG!$E:$E,TB_NG!A:A)</f>
        <v>10348</v>
      </c>
      <c r="C42" s="16" t="s">
        <v>188</v>
      </c>
      <c r="D42" s="17">
        <f>_xlfn.XLOOKUP($C42,TB_NG!$E:$E,TB_NG!F:F)</f>
        <v>0</v>
      </c>
      <c r="E42" s="17">
        <f>_xlfn.XLOOKUP($C42,TB_NG!$E:$E,TB_NG!G:G)</f>
        <v>0</v>
      </c>
      <c r="F42" s="17">
        <f>_xlfn.XLOOKUP($C42,TB_NG!$E:$E,TB_NG!H:H)</f>
        <v>0</v>
      </c>
      <c r="G42" s="17">
        <f>_xlfn.XLOOKUP($C42,TB_NG!$E:$E,TB_NG!I:I)</f>
        <v>0</v>
      </c>
      <c r="H42" s="17">
        <f>_xlfn.XLOOKUP($C42,TB_NG!$E:$E,TB_NG!J:J)</f>
        <v>0</v>
      </c>
      <c r="I42" s="17">
        <f>_xlfn.XLOOKUP($C42,TB_NG!$E:$E,TB_NG!K:K)</f>
        <v>0</v>
      </c>
      <c r="J42" s="17">
        <f>_xlfn.XLOOKUP($C42,TB_NG!$E:$E,TB_NG!L:L)</f>
        <v>0</v>
      </c>
      <c r="K42" s="17">
        <f>_xlfn.XLOOKUP($C42,TB_NG!$E:$E,TB_NG!M:M)</f>
        <v>0</v>
      </c>
      <c r="L42" s="17">
        <f>_xlfn.XLOOKUP($C42,TB_NG!$E:$E,TB_NG!N:N)</f>
        <v>0</v>
      </c>
      <c r="M42" s="17">
        <f>_xlfn.XLOOKUP($C42,TB_NG!$E:$E,TB_NG!O:O)</f>
        <v>0</v>
      </c>
      <c r="N42" s="17">
        <f>_xlfn.XLOOKUP($C42,TB_NG!$E:$E,TB_NG!P:P)</f>
        <v>0</v>
      </c>
      <c r="O42" s="17">
        <f>_xlfn.XLOOKUP($C42,TB_NG!$E:$E,TB_NG!Q:Q)</f>
        <v>0</v>
      </c>
      <c r="P42" s="17">
        <f>_xlfn.XLOOKUP($C42,TB_NG!$E:$E,TB_NG!R:R)</f>
        <v>0</v>
      </c>
      <c r="Q42" s="17">
        <f>_xlfn.XLOOKUP($C42,TB_NG!$E:$E,TB_NG!S:S)</f>
        <v>0</v>
      </c>
      <c r="R42" s="17">
        <f>_xlfn.XLOOKUP($C42,TB_NG!$E:$E,TB_NG!T:T)</f>
        <v>5351833.95</v>
      </c>
      <c r="S42" s="17">
        <f>_xlfn.XLOOKUP($C42,TB_NG!$E:$E,TB_NG!U:U)</f>
        <v>25688802.949999999</v>
      </c>
      <c r="T42" s="17">
        <f>_xlfn.XLOOKUP($C42,TB_NG!$E:$E,TB_NG!V:V)</f>
        <v>25688802.949999999</v>
      </c>
      <c r="U42" s="17">
        <f>_xlfn.XLOOKUP($C42,TB_NG!$E:$E,TB_NG!W:W)</f>
        <v>25688802.949999999</v>
      </c>
      <c r="V42" s="17">
        <f>_xlfn.XLOOKUP($C42,TB_NG!$E:$E,TB_NG!X:X)</f>
        <v>25688802.949999999</v>
      </c>
      <c r="W42" s="17">
        <f>_xlfn.XLOOKUP($C42,TB_NG!$E:$E,TB_NG!Y:Y)</f>
        <v>25688802.949999999</v>
      </c>
      <c r="X42" s="17">
        <f>_xlfn.XLOOKUP($C42,TB_NG!$E:$E,TB_NG!Z:Z)</f>
        <v>0.01</v>
      </c>
      <c r="Y42" s="17">
        <f>_xlfn.XLOOKUP($C42,TB_NG!$E:$E,TB_NG!AA:AA)</f>
        <v>0.01</v>
      </c>
      <c r="Z42" s="17">
        <f>_xlfn.XLOOKUP($C42,TB_NG!$E:$E,TB_NG!AB:AB)</f>
        <v>0.01</v>
      </c>
      <c r="AA42" s="17">
        <f>_xlfn.XLOOKUP($C42,TB_NG!$E:$E,TB_NG!AC:AC)</f>
        <v>0.01</v>
      </c>
      <c r="AB42" s="17">
        <f>_xlfn.XLOOKUP($C42,TB_NG!$E:$E,TB_NG!AD:AD)</f>
        <v>0.01</v>
      </c>
      <c r="AC42" s="17">
        <f>_xlfn.XLOOKUP($C42,TB_NG!$E:$E,TB_NG!AE:AE)</f>
        <v>0.01</v>
      </c>
      <c r="AD42" s="17">
        <f>_xlfn.XLOOKUP($C42,TB_NG!$E:$E,TB_NG!AF:AF)</f>
        <v>0.01</v>
      </c>
      <c r="AE42" s="17">
        <f>_xlfn.XLOOKUP($C42,TB_NG!$E:$E,TB_NG!AG:AG)</f>
        <v>0.01</v>
      </c>
      <c r="AF42" s="17">
        <f>_xlfn.XLOOKUP($C42,TB_NG!$E:$E,TB_NG!AH:AH)</f>
        <v>0</v>
      </c>
      <c r="AG42" s="17">
        <f>_xlfn.XLOOKUP($C42,TB_NG!$E:$E,TB_NG!AI:AI)</f>
        <v>0</v>
      </c>
      <c r="AH42" s="17">
        <f>_xlfn.XLOOKUP($C42,TB_NG!$E:$E,TB_NG!AJ:AJ)</f>
        <v>0</v>
      </c>
      <c r="AI42" s="17">
        <f>_xlfn.XLOOKUP($C42,TB_NG!$E:$E,TB_NG!AK:AK)</f>
        <v>0</v>
      </c>
      <c r="AJ42" s="17">
        <f>_xlfn.XLOOKUP($C42,TB_NG!$E:$E,TB_NG!AL:AL)</f>
        <v>0</v>
      </c>
      <c r="AK42" s="17">
        <f>_xlfn.XLOOKUP($C42,TB_NG!$E:$E,TB_NG!AM:AM)</f>
        <v>0</v>
      </c>
      <c r="AL42" s="17">
        <f>_xlfn.XLOOKUP($C42,TB_NG!$E:$E,TB_NG!AN:AN)</f>
        <v>0</v>
      </c>
      <c r="AM42" s="17">
        <f>_xlfn.XLOOKUP($C42,TB_NG!$E:$E,TB_NG!AO:AO)</f>
        <v>0</v>
      </c>
    </row>
    <row r="43" spans="2:39" hidden="1" outlineLevel="1" x14ac:dyDescent="0.2">
      <c r="B43" s="21">
        <f>_xlfn.XLOOKUP($C43,TB_NG!$E:$E,TB_NG!A:A)</f>
        <v>10497</v>
      </c>
      <c r="C43" s="16" t="s">
        <v>189</v>
      </c>
      <c r="D43" s="17">
        <f>_xlfn.XLOOKUP($C43,TB_NG!$E:$E,TB_NG!F:F)</f>
        <v>1422924.68</v>
      </c>
      <c r="E43" s="17">
        <f>_xlfn.XLOOKUP($C43,TB_NG!$E:$E,TB_NG!G:G)</f>
        <v>24496.13</v>
      </c>
      <c r="F43" s="17">
        <f>_xlfn.XLOOKUP($C43,TB_NG!$E:$E,TB_NG!H:H)</f>
        <v>24496.13</v>
      </c>
      <c r="G43" s="17">
        <f>_xlfn.XLOOKUP($C43,TB_NG!$E:$E,TB_NG!I:I)</f>
        <v>9524436.5800000001</v>
      </c>
      <c r="H43" s="17">
        <f>_xlfn.XLOOKUP($C43,TB_NG!$E:$E,TB_NG!J:J)</f>
        <v>10734305.83</v>
      </c>
      <c r="I43" s="17">
        <f>_xlfn.XLOOKUP($C43,TB_NG!$E:$E,TB_NG!K:K)</f>
        <v>821680.58</v>
      </c>
      <c r="J43" s="17">
        <f>_xlfn.XLOOKUP($C43,TB_NG!$E:$E,TB_NG!L:L)</f>
        <v>921617.68</v>
      </c>
      <c r="K43" s="17">
        <f>_xlfn.XLOOKUP($C43,TB_NG!$E:$E,TB_NG!M:M)</f>
        <v>1416791.88</v>
      </c>
      <c r="L43" s="17">
        <f>_xlfn.XLOOKUP($C43,TB_NG!$E:$E,TB_NG!N:N)</f>
        <v>1666641.88</v>
      </c>
      <c r="M43" s="17">
        <f>_xlfn.XLOOKUP($C43,TB_NG!$E:$E,TB_NG!O:O)</f>
        <v>2400729.21</v>
      </c>
      <c r="N43" s="17">
        <f>_xlfn.XLOOKUP($C43,TB_NG!$E:$E,TB_NG!P:P)</f>
        <v>2400712.0099999998</v>
      </c>
      <c r="O43" s="17">
        <f>_xlfn.XLOOKUP($C43,TB_NG!$E:$E,TB_NG!Q:Q)</f>
        <v>2800612.01</v>
      </c>
      <c r="P43" s="17">
        <f>_xlfn.XLOOKUP($C43,TB_NG!$E:$E,TB_NG!R:R)</f>
        <v>3098436.21</v>
      </c>
      <c r="Q43" s="17">
        <f>_xlfn.XLOOKUP($C43,TB_NG!$E:$E,TB_NG!S:S)</f>
        <v>3397369.01</v>
      </c>
      <c r="R43" s="17">
        <f>_xlfn.XLOOKUP($C43,TB_NG!$E:$E,TB_NG!T:T)</f>
        <v>5109820.21</v>
      </c>
      <c r="S43" s="17">
        <f>_xlfn.XLOOKUP($C43,TB_NG!$E:$E,TB_NG!U:U)</f>
        <v>5409681.5099999998</v>
      </c>
      <c r="T43" s="17">
        <f>_xlfn.XLOOKUP($C43,TB_NG!$E:$E,TB_NG!V:V)</f>
        <v>5409681.5099999998</v>
      </c>
      <c r="U43" s="17">
        <f>_xlfn.XLOOKUP($C43,TB_NG!$E:$E,TB_NG!W:W)</f>
        <v>5409681.5099999998</v>
      </c>
      <c r="V43" s="17">
        <f>_xlfn.XLOOKUP($C43,TB_NG!$E:$E,TB_NG!X:X)</f>
        <v>5458755.71</v>
      </c>
      <c r="W43" s="17">
        <f>_xlfn.XLOOKUP($C43,TB_NG!$E:$E,TB_NG!Y:Y)</f>
        <v>5458755.71</v>
      </c>
      <c r="X43" s="17">
        <f>_xlfn.XLOOKUP($C43,TB_NG!$E:$E,TB_NG!Z:Z)</f>
        <v>5458755.71</v>
      </c>
      <c r="Y43" s="17">
        <f>_xlfn.XLOOKUP($C43,TB_NG!$E:$E,TB_NG!AA:AA)</f>
        <v>5458755.71</v>
      </c>
      <c r="Z43" s="17">
        <f>_xlfn.XLOOKUP($C43,TB_NG!$E:$E,TB_NG!AB:AB)</f>
        <v>5460548.8099999996</v>
      </c>
      <c r="AA43" s="17">
        <f>_xlfn.XLOOKUP($C43,TB_NG!$E:$E,TB_NG!AC:AC)</f>
        <v>5462330</v>
      </c>
      <c r="AB43" s="17">
        <f>_xlfn.XLOOKUP($C43,TB_NG!$E:$E,TB_NG!AD:AD)</f>
        <v>162226.29999999999</v>
      </c>
      <c r="AC43" s="17">
        <f>_xlfn.XLOOKUP($C43,TB_NG!$E:$E,TB_NG!AE:AE)</f>
        <v>162213.41</v>
      </c>
      <c r="AD43" s="17">
        <f>_xlfn.XLOOKUP($C43,TB_NG!$E:$E,TB_NG!AF:AF)</f>
        <v>157844.60999999999</v>
      </c>
      <c r="AE43" s="17">
        <f>_xlfn.XLOOKUP($C43,TB_NG!$E:$E,TB_NG!AG:AG)</f>
        <v>157844.60999999999</v>
      </c>
      <c r="AF43" s="17">
        <f>_xlfn.XLOOKUP($C43,TB_NG!$E:$E,TB_NG!AH:AH)</f>
        <v>0</v>
      </c>
      <c r="AG43" s="17">
        <f>_xlfn.XLOOKUP($C43,TB_NG!$E:$E,TB_NG!AI:AI)</f>
        <v>0</v>
      </c>
      <c r="AH43" s="17">
        <f>_xlfn.XLOOKUP($C43,TB_NG!$E:$E,TB_NG!AJ:AJ)</f>
        <v>0</v>
      </c>
      <c r="AI43" s="17">
        <f>_xlfn.XLOOKUP($C43,TB_NG!$E:$E,TB_NG!AK:AK)</f>
        <v>0</v>
      </c>
      <c r="AJ43" s="17">
        <f>_xlfn.XLOOKUP($C43,TB_NG!$E:$E,TB_NG!AL:AL)</f>
        <v>0</v>
      </c>
      <c r="AK43" s="17">
        <f>_xlfn.XLOOKUP($C43,TB_NG!$E:$E,TB_NG!AM:AM)</f>
        <v>0</v>
      </c>
      <c r="AL43" s="17">
        <f>_xlfn.XLOOKUP($C43,TB_NG!$E:$E,TB_NG!AN:AN)</f>
        <v>0</v>
      </c>
      <c r="AM43" s="17">
        <f>_xlfn.XLOOKUP($C43,TB_NG!$E:$E,TB_NG!AO:AO)</f>
        <v>0</v>
      </c>
    </row>
    <row r="44" spans="2:39" hidden="1" outlineLevel="1" x14ac:dyDescent="0.2">
      <c r="B44" s="21">
        <f>_xlfn.XLOOKUP($C44,TB_NG!$E:$E,TB_NG!A:A)</f>
        <v>10500</v>
      </c>
      <c r="C44" s="16" t="s">
        <v>361</v>
      </c>
      <c r="D44" s="17">
        <f>_xlfn.XLOOKUP($C44,TB_NG!$E:$E,TB_NG!F:F)</f>
        <v>15230000</v>
      </c>
      <c r="E44" s="17">
        <f>_xlfn.XLOOKUP($C44,TB_NG!$E:$E,TB_NG!G:G)</f>
        <v>40390000</v>
      </c>
      <c r="F44" s="17">
        <f>_xlfn.XLOOKUP($C44,TB_NG!$E:$E,TB_NG!H:H)</f>
        <v>5186000</v>
      </c>
      <c r="G44" s="17">
        <f>_xlfn.XLOOKUP($C44,TB_NG!$E:$E,TB_NG!I:I)</f>
        <v>42904000</v>
      </c>
      <c r="H44" s="17">
        <f>_xlfn.XLOOKUP($C44,TB_NG!$E:$E,TB_NG!J:J)</f>
        <v>0</v>
      </c>
      <c r="I44" s="17">
        <f>_xlfn.XLOOKUP($C44,TB_NG!$E:$E,TB_NG!K:K)</f>
        <v>0</v>
      </c>
      <c r="J44" s="17">
        <f>_xlfn.XLOOKUP($C44,TB_NG!$E:$E,TB_NG!L:L)</f>
        <v>0</v>
      </c>
      <c r="K44" s="17">
        <f>_xlfn.XLOOKUP($C44,TB_NG!$E:$E,TB_NG!M:M)</f>
        <v>62492895</v>
      </c>
      <c r="L44" s="17">
        <f>_xlfn.XLOOKUP($C44,TB_NG!$E:$E,TB_NG!N:N)</f>
        <v>0</v>
      </c>
      <c r="M44" s="17">
        <f>_xlfn.XLOOKUP($C44,TB_NG!$E:$E,TB_NG!O:O)</f>
        <v>0</v>
      </c>
      <c r="N44" s="17">
        <f>_xlfn.XLOOKUP($C44,TB_NG!$E:$E,TB_NG!P:P)</f>
        <v>0</v>
      </c>
      <c r="O44" s="17">
        <f>_xlfn.XLOOKUP($C44,TB_NG!$E:$E,TB_NG!Q:Q)</f>
        <v>0</v>
      </c>
      <c r="P44" s="17">
        <f>_xlfn.XLOOKUP($C44,TB_NG!$E:$E,TB_NG!R:R)</f>
        <v>0</v>
      </c>
      <c r="Q44" s="17">
        <f>_xlfn.XLOOKUP($C44,TB_NG!$E:$E,TB_NG!S:S)</f>
        <v>0</v>
      </c>
      <c r="R44" s="17">
        <f>_xlfn.XLOOKUP($C44,TB_NG!$E:$E,TB_NG!T:T)</f>
        <v>0</v>
      </c>
      <c r="S44" s="17">
        <f>_xlfn.XLOOKUP($C44,TB_NG!$E:$E,TB_NG!U:U)</f>
        <v>501445683.98000002</v>
      </c>
      <c r="T44" s="17">
        <f>_xlfn.XLOOKUP($C44,TB_NG!$E:$E,TB_NG!V:V)</f>
        <v>0</v>
      </c>
      <c r="U44" s="17">
        <f>_xlfn.XLOOKUP($C44,TB_NG!$E:$E,TB_NG!W:W)</f>
        <v>0</v>
      </c>
      <c r="V44" s="17">
        <f>_xlfn.XLOOKUP($C44,TB_NG!$E:$E,TB_NG!X:X)</f>
        <v>0</v>
      </c>
      <c r="W44" s="17">
        <f>_xlfn.XLOOKUP($C44,TB_NG!$E:$E,TB_NG!Y:Y)</f>
        <v>0</v>
      </c>
      <c r="X44" s="17">
        <f>_xlfn.XLOOKUP($C44,TB_NG!$E:$E,TB_NG!Z:Z)</f>
        <v>0</v>
      </c>
      <c r="Y44" s="17">
        <f>_xlfn.XLOOKUP($C44,TB_NG!$E:$E,TB_NG!AA:AA)</f>
        <v>0</v>
      </c>
      <c r="Z44" s="17">
        <f>_xlfn.XLOOKUP($C44,TB_NG!$E:$E,TB_NG!AB:AB)</f>
        <v>0</v>
      </c>
      <c r="AA44" s="17">
        <f>_xlfn.XLOOKUP($C44,TB_NG!$E:$E,TB_NG!AC:AC)</f>
        <v>0</v>
      </c>
      <c r="AB44" s="17">
        <f>_xlfn.XLOOKUP($C44,TB_NG!$E:$E,TB_NG!AD:AD)</f>
        <v>0</v>
      </c>
      <c r="AC44" s="17">
        <f>_xlfn.XLOOKUP($C44,TB_NG!$E:$E,TB_NG!AE:AE)</f>
        <v>0</v>
      </c>
      <c r="AD44" s="17">
        <f>_xlfn.XLOOKUP($C44,TB_NG!$E:$E,TB_NG!AF:AF)</f>
        <v>0</v>
      </c>
      <c r="AE44" s="17">
        <f>_xlfn.XLOOKUP($C44,TB_NG!$E:$E,TB_NG!AG:AG)</f>
        <v>0</v>
      </c>
      <c r="AF44" s="17">
        <f>_xlfn.XLOOKUP($C44,TB_NG!$E:$E,TB_NG!AH:AH)</f>
        <v>0</v>
      </c>
      <c r="AG44" s="17">
        <f>_xlfn.XLOOKUP($C44,TB_NG!$E:$E,TB_NG!AI:AI)</f>
        <v>0</v>
      </c>
      <c r="AH44" s="17">
        <f>_xlfn.XLOOKUP($C44,TB_NG!$E:$E,TB_NG!AJ:AJ)</f>
        <v>0</v>
      </c>
      <c r="AI44" s="17">
        <f>_xlfn.XLOOKUP($C44,TB_NG!$E:$E,TB_NG!AK:AK)</f>
        <v>0</v>
      </c>
      <c r="AJ44" s="17">
        <f>_xlfn.XLOOKUP($C44,TB_NG!$E:$E,TB_NG!AL:AL)</f>
        <v>0</v>
      </c>
      <c r="AK44" s="17">
        <f>_xlfn.XLOOKUP($C44,TB_NG!$E:$E,TB_NG!AM:AM)</f>
        <v>0</v>
      </c>
      <c r="AL44" s="17">
        <f>_xlfn.XLOOKUP($C44,TB_NG!$E:$E,TB_NG!AN:AN)</f>
        <v>0</v>
      </c>
      <c r="AM44" s="17">
        <f>_xlfn.XLOOKUP($C44,TB_NG!$E:$E,TB_NG!AO:AO)</f>
        <v>0</v>
      </c>
    </row>
    <row r="45" spans="2:39" hidden="1" outlineLevel="1" x14ac:dyDescent="0.2">
      <c r="B45" s="21">
        <f>_xlfn.XLOOKUP($C45,TB_NG!$E:$E,TB_NG!A:A)</f>
        <v>10801</v>
      </c>
      <c r="C45" s="16" t="s">
        <v>190</v>
      </c>
      <c r="D45" s="17">
        <f>_xlfn.XLOOKUP($C45,TB_NG!$E:$E,TB_NG!F:F)</f>
        <v>0</v>
      </c>
      <c r="E45" s="17">
        <f>_xlfn.XLOOKUP($C45,TB_NG!$E:$E,TB_NG!G:G)</f>
        <v>0</v>
      </c>
      <c r="F45" s="17">
        <f>_xlfn.XLOOKUP($C45,TB_NG!$E:$E,TB_NG!H:H)</f>
        <v>0</v>
      </c>
      <c r="G45" s="17">
        <f>_xlfn.XLOOKUP($C45,TB_NG!$E:$E,TB_NG!I:I)</f>
        <v>0</v>
      </c>
      <c r="H45" s="17">
        <f>_xlfn.XLOOKUP($C45,TB_NG!$E:$E,TB_NG!J:J)</f>
        <v>0</v>
      </c>
      <c r="I45" s="17">
        <f>_xlfn.XLOOKUP($C45,TB_NG!$E:$E,TB_NG!K:K)</f>
        <v>0</v>
      </c>
      <c r="J45" s="17">
        <f>_xlfn.XLOOKUP($C45,TB_NG!$E:$E,TB_NG!L:L)</f>
        <v>0</v>
      </c>
      <c r="K45" s="17">
        <f>_xlfn.XLOOKUP($C45,TB_NG!$E:$E,TB_NG!M:M)</f>
        <v>-79507.5</v>
      </c>
      <c r="L45" s="17">
        <f>_xlfn.XLOOKUP($C45,TB_NG!$E:$E,TB_NG!N:N)</f>
        <v>-83399</v>
      </c>
      <c r="M45" s="17">
        <f>_xlfn.XLOOKUP($C45,TB_NG!$E:$E,TB_NG!O:O)</f>
        <v>-82167</v>
      </c>
      <c r="N45" s="17">
        <f>_xlfn.XLOOKUP($C45,TB_NG!$E:$E,TB_NG!P:P)</f>
        <v>-84144</v>
      </c>
      <c r="O45" s="17">
        <f>_xlfn.XLOOKUP($C45,TB_NG!$E:$E,TB_NG!Q:Q)</f>
        <v>-77340</v>
      </c>
      <c r="P45" s="17">
        <f>_xlfn.XLOOKUP($C45,TB_NG!$E:$E,TB_NG!R:R)</f>
        <v>-76881</v>
      </c>
      <c r="Q45" s="17">
        <f>_xlfn.XLOOKUP($C45,TB_NG!$E:$E,TB_NG!S:S)</f>
        <v>768436004.13</v>
      </c>
      <c r="R45" s="17">
        <f>_xlfn.XLOOKUP($C45,TB_NG!$E:$E,TB_NG!T:T)</f>
        <v>787660881.75999999</v>
      </c>
      <c r="S45" s="17">
        <f>_xlfn.XLOOKUP($C45,TB_NG!$E:$E,TB_NG!U:U)</f>
        <v>59238.26</v>
      </c>
      <c r="T45" s="17">
        <f>_xlfn.XLOOKUP($C45,TB_NG!$E:$E,TB_NG!V:V)</f>
        <v>58700.6</v>
      </c>
      <c r="U45" s="17">
        <f>_xlfn.XLOOKUP($C45,TB_NG!$E:$E,TB_NG!W:W)</f>
        <v>56988.89</v>
      </c>
      <c r="V45" s="17">
        <f>_xlfn.XLOOKUP($C45,TB_NG!$E:$E,TB_NG!X:X)</f>
        <v>56582.95</v>
      </c>
      <c r="W45" s="17">
        <f>_xlfn.XLOOKUP($C45,TB_NG!$E:$E,TB_NG!Y:Y)</f>
        <v>56868.36</v>
      </c>
      <c r="X45" s="17">
        <f>_xlfn.XLOOKUP($C45,TB_NG!$E:$E,TB_NG!Z:Z)</f>
        <v>778957297.97000003</v>
      </c>
      <c r="Y45" s="17">
        <f>_xlfn.XLOOKUP($C45,TB_NG!$E:$E,TB_NG!AA:AA)</f>
        <v>211364.63</v>
      </c>
      <c r="Z45" s="17">
        <f>_xlfn.XLOOKUP($C45,TB_NG!$E:$E,TB_NG!AB:AB)</f>
        <v>434160.53</v>
      </c>
      <c r="AA45" s="17">
        <f>_xlfn.XLOOKUP($C45,TB_NG!$E:$E,TB_NG!AC:AC)</f>
        <v>766046936.07000005</v>
      </c>
      <c r="AB45" s="17">
        <f>_xlfn.XLOOKUP($C45,TB_NG!$E:$E,TB_NG!AD:AD)</f>
        <v>183372</v>
      </c>
      <c r="AC45" s="17">
        <f>_xlfn.XLOOKUP($C45,TB_NG!$E:$E,TB_NG!AE:AE)</f>
        <v>719229051.83000004</v>
      </c>
      <c r="AD45" s="17">
        <f>_xlfn.XLOOKUP($C45,TB_NG!$E:$E,TB_NG!AF:AF)</f>
        <v>41038781.939999998</v>
      </c>
      <c r="AE45" s="17">
        <f>_xlfn.XLOOKUP($C45,TB_NG!$E:$E,TB_NG!AG:AG)</f>
        <v>40588935.75</v>
      </c>
      <c r="AF45" s="17">
        <f>_xlfn.XLOOKUP($C45,TB_NG!$E:$E,TB_NG!AH:AH)</f>
        <v>0</v>
      </c>
      <c r="AG45" s="17">
        <f>_xlfn.XLOOKUP($C45,TB_NG!$E:$E,TB_NG!AI:AI)</f>
        <v>0</v>
      </c>
      <c r="AH45" s="17">
        <f>_xlfn.XLOOKUP($C45,TB_NG!$E:$E,TB_NG!AJ:AJ)</f>
        <v>0</v>
      </c>
      <c r="AI45" s="17">
        <f>_xlfn.XLOOKUP($C45,TB_NG!$E:$E,TB_NG!AK:AK)</f>
        <v>0</v>
      </c>
      <c r="AJ45" s="17">
        <f>_xlfn.XLOOKUP($C45,TB_NG!$E:$E,TB_NG!AL:AL)</f>
        <v>0</v>
      </c>
      <c r="AK45" s="17">
        <f>_xlfn.XLOOKUP($C45,TB_NG!$E:$E,TB_NG!AM:AM)</f>
        <v>0</v>
      </c>
      <c r="AL45" s="17">
        <f>_xlfn.XLOOKUP($C45,TB_NG!$E:$E,TB_NG!AN:AN)</f>
        <v>0</v>
      </c>
      <c r="AM45" s="17">
        <f>_xlfn.XLOOKUP($C45,TB_NG!$E:$E,TB_NG!AO:AO)</f>
        <v>0</v>
      </c>
    </row>
    <row r="46" spans="2:39" hidden="1" outlineLevel="1" x14ac:dyDescent="0.2">
      <c r="B46" s="21">
        <f>_xlfn.XLOOKUP($C46,TB_NG!$E:$E,TB_NG!A:A)</f>
        <v>13003</v>
      </c>
      <c r="C46" s="16" t="s">
        <v>191</v>
      </c>
      <c r="D46" s="17">
        <f>_xlfn.XLOOKUP($C46,TB_NG!$E:$E,TB_NG!F:F)</f>
        <v>5163400</v>
      </c>
      <c r="E46" s="17">
        <f>_xlfn.XLOOKUP($C46,TB_NG!$E:$E,TB_NG!G:G)</f>
        <v>5163400</v>
      </c>
      <c r="F46" s="17">
        <f>_xlfn.XLOOKUP($C46,TB_NG!$E:$E,TB_NG!H:H)</f>
        <v>5163400</v>
      </c>
      <c r="G46" s="17">
        <f>_xlfn.XLOOKUP($C46,TB_NG!$E:$E,TB_NG!I:I)</f>
        <v>5967808.5700000003</v>
      </c>
      <c r="H46" s="17">
        <f>_xlfn.XLOOKUP($C46,TB_NG!$E:$E,TB_NG!J:J)</f>
        <v>152278565.88</v>
      </c>
      <c r="I46" s="17">
        <f>_xlfn.XLOOKUP($C46,TB_NG!$E:$E,TB_NG!K:K)</f>
        <v>166762511.16</v>
      </c>
      <c r="J46" s="17">
        <f>_xlfn.XLOOKUP($C46,TB_NG!$E:$E,TB_NG!L:L)</f>
        <v>167380062.44</v>
      </c>
      <c r="K46" s="17">
        <f>_xlfn.XLOOKUP($C46,TB_NG!$E:$E,TB_NG!M:M)</f>
        <v>166174096.34</v>
      </c>
      <c r="L46" s="17">
        <f>_xlfn.XLOOKUP($C46,TB_NG!$E:$E,TB_NG!N:N)</f>
        <v>241900389.28999999</v>
      </c>
      <c r="M46" s="17">
        <f>_xlfn.XLOOKUP($C46,TB_NG!$E:$E,TB_NG!O:O)</f>
        <v>245689217.77000001</v>
      </c>
      <c r="N46" s="17">
        <f>_xlfn.XLOOKUP($C46,TB_NG!$E:$E,TB_NG!P:P)</f>
        <v>446530045.44</v>
      </c>
      <c r="O46" s="17">
        <f>_xlfn.XLOOKUP($C46,TB_NG!$E:$E,TB_NG!Q:Q)</f>
        <v>454454462.16000003</v>
      </c>
      <c r="P46" s="17">
        <f>_xlfn.XLOOKUP($C46,TB_NG!$E:$E,TB_NG!R:R)</f>
        <v>462702014.01999998</v>
      </c>
      <c r="Q46" s="17">
        <f>_xlfn.XLOOKUP($C46,TB_NG!$E:$E,TB_NG!S:S)</f>
        <v>258059954.34999999</v>
      </c>
      <c r="R46" s="17">
        <f>_xlfn.XLOOKUP($C46,TB_NG!$E:$E,TB_NG!T:T)</f>
        <v>262326003.61000001</v>
      </c>
      <c r="S46" s="17">
        <f>_xlfn.XLOOKUP($C46,TB_NG!$E:$E,TB_NG!U:U)</f>
        <v>266261432.21000001</v>
      </c>
      <c r="T46" s="17">
        <f>_xlfn.XLOOKUP($C46,TB_NG!$E:$E,TB_NG!V:V)</f>
        <v>140077509.49000001</v>
      </c>
      <c r="U46" s="17">
        <f>_xlfn.XLOOKUP($C46,TB_NG!$E:$E,TB_NG!W:W)</f>
        <v>141740079.49000001</v>
      </c>
      <c r="V46" s="17">
        <f>_xlfn.XLOOKUP($C46,TB_NG!$E:$E,TB_NG!X:X)</f>
        <v>136300367.16999999</v>
      </c>
      <c r="W46" s="17">
        <f>_xlfn.XLOOKUP($C46,TB_NG!$E:$E,TB_NG!Y:Y)</f>
        <v>112644149.51000001</v>
      </c>
      <c r="X46" s="17">
        <f>_xlfn.XLOOKUP($C46,TB_NG!$E:$E,TB_NG!Z:Z)</f>
        <v>114426553.89</v>
      </c>
      <c r="Y46" s="17">
        <f>_xlfn.XLOOKUP($C46,TB_NG!$E:$E,TB_NG!AA:AA)</f>
        <v>368729112.16000003</v>
      </c>
      <c r="Z46" s="17">
        <f>_xlfn.XLOOKUP($C46,TB_NG!$E:$E,TB_NG!AB:AB)</f>
        <v>373940066.38999999</v>
      </c>
      <c r="AA46" s="17">
        <f>_xlfn.XLOOKUP($C46,TB_NG!$E:$E,TB_NG!AC:AC)</f>
        <v>127042724.55</v>
      </c>
      <c r="AB46" s="17">
        <f>_xlfn.XLOOKUP($C46,TB_NG!$E:$E,TB_NG!AD:AD)</f>
        <v>128672575.05</v>
      </c>
      <c r="AC46" s="17">
        <f>_xlfn.XLOOKUP($C46,TB_NG!$E:$E,TB_NG!AE:AE)</f>
        <v>13112691.93</v>
      </c>
      <c r="AD46" s="17">
        <f>_xlfn.XLOOKUP($C46,TB_NG!$E:$E,TB_NG!AF:AF)</f>
        <v>116622885.93000001</v>
      </c>
      <c r="AE46" s="17">
        <f>_xlfn.XLOOKUP($C46,TB_NG!$E:$E,TB_NG!AG:AG)</f>
        <v>17785993.859999999</v>
      </c>
      <c r="AF46" s="17">
        <f>_xlfn.XLOOKUP($C46,TB_NG!$E:$E,TB_NG!AH:AH)</f>
        <v>0</v>
      </c>
      <c r="AG46" s="17">
        <f>_xlfn.XLOOKUP($C46,TB_NG!$E:$E,TB_NG!AI:AI)</f>
        <v>0</v>
      </c>
      <c r="AH46" s="17">
        <f>_xlfn.XLOOKUP($C46,TB_NG!$E:$E,TB_NG!AJ:AJ)</f>
        <v>0</v>
      </c>
      <c r="AI46" s="17">
        <f>_xlfn.XLOOKUP($C46,TB_NG!$E:$E,TB_NG!AK:AK)</f>
        <v>0</v>
      </c>
      <c r="AJ46" s="17">
        <f>_xlfn.XLOOKUP($C46,TB_NG!$E:$E,TB_NG!AL:AL)</f>
        <v>0</v>
      </c>
      <c r="AK46" s="17">
        <f>_xlfn.XLOOKUP($C46,TB_NG!$E:$E,TB_NG!AM:AM)</f>
        <v>0</v>
      </c>
      <c r="AL46" s="17">
        <f>_xlfn.XLOOKUP($C46,TB_NG!$E:$E,TB_NG!AN:AN)</f>
        <v>0</v>
      </c>
      <c r="AM46" s="17">
        <f>_xlfn.XLOOKUP($C46,TB_NG!$E:$E,TB_NG!AO:AO)</f>
        <v>0</v>
      </c>
    </row>
    <row r="47" spans="2:39" hidden="1" outlineLevel="1" x14ac:dyDescent="0.2">
      <c r="B47" s="21">
        <f>_xlfn.XLOOKUP($C47,TB_NG!$E:$E,TB_NG!A:A)</f>
        <v>19006</v>
      </c>
      <c r="C47" s="16" t="s">
        <v>192</v>
      </c>
      <c r="D47" s="17">
        <f>_xlfn.XLOOKUP($C47,TB_NG!$E:$E,TB_NG!F:F)</f>
        <v>142575</v>
      </c>
      <c r="E47" s="17">
        <f>_xlfn.XLOOKUP($C47,TB_NG!$E:$E,TB_NG!G:G)</f>
        <v>611775</v>
      </c>
      <c r="F47" s="17">
        <f>_xlfn.XLOOKUP($C47,TB_NG!$E:$E,TB_NG!H:H)</f>
        <v>622380</v>
      </c>
      <c r="G47" s="17">
        <f>_xlfn.XLOOKUP($C47,TB_NG!$E:$E,TB_NG!I:I)</f>
        <v>555514.69999999995</v>
      </c>
      <c r="H47" s="17">
        <f>_xlfn.XLOOKUP($C47,TB_NG!$E:$E,TB_NG!J:J)</f>
        <v>1561885.21</v>
      </c>
      <c r="I47" s="17">
        <f>_xlfn.XLOOKUP($C47,TB_NG!$E:$E,TB_NG!K:K)</f>
        <v>2393769.14</v>
      </c>
      <c r="J47" s="17">
        <f>_xlfn.XLOOKUP($C47,TB_NG!$E:$E,TB_NG!L:L)</f>
        <v>1444233.77</v>
      </c>
      <c r="K47" s="17">
        <f>_xlfn.XLOOKUP($C47,TB_NG!$E:$E,TB_NG!M:M)</f>
        <v>1336870.9099999999</v>
      </c>
      <c r="L47" s="17">
        <f>_xlfn.XLOOKUP($C47,TB_NG!$E:$E,TB_NG!N:N)</f>
        <v>355279.74</v>
      </c>
      <c r="M47" s="17">
        <f>_xlfn.XLOOKUP($C47,TB_NG!$E:$E,TB_NG!O:O)</f>
        <v>-55068.32</v>
      </c>
      <c r="N47" s="17">
        <f>_xlfn.XLOOKUP($C47,TB_NG!$E:$E,TB_NG!P:P)</f>
        <v>-56393.31</v>
      </c>
      <c r="O47" s="17">
        <f>_xlfn.XLOOKUP($C47,TB_NG!$E:$E,TB_NG!Q:Q)</f>
        <v>25676.880000000001</v>
      </c>
      <c r="P47" s="17">
        <f>_xlfn.XLOOKUP($C47,TB_NG!$E:$E,TB_NG!R:R)</f>
        <v>207486.44</v>
      </c>
      <c r="Q47" s="17">
        <f>_xlfn.XLOOKUP($C47,TB_NG!$E:$E,TB_NG!S:S)</f>
        <v>202154.96</v>
      </c>
      <c r="R47" s="17">
        <f>_xlfn.XLOOKUP($C47,TB_NG!$E:$E,TB_NG!T:T)</f>
        <v>26530.43</v>
      </c>
      <c r="S47" s="17">
        <f>_xlfn.XLOOKUP($C47,TB_NG!$E:$E,TB_NG!U:U)</f>
        <v>1174833.46</v>
      </c>
      <c r="T47" s="17">
        <f>_xlfn.XLOOKUP($C47,TB_NG!$E:$E,TB_NG!V:V)</f>
        <v>2978551.14</v>
      </c>
      <c r="U47" s="17">
        <f>_xlfn.XLOOKUP($C47,TB_NG!$E:$E,TB_NG!W:W)</f>
        <v>2902456.11</v>
      </c>
      <c r="V47" s="17">
        <f>_xlfn.XLOOKUP($C47,TB_NG!$E:$E,TB_NG!X:X)</f>
        <v>2051097.67</v>
      </c>
      <c r="W47" s="17">
        <f>_xlfn.XLOOKUP($C47,TB_NG!$E:$E,TB_NG!Y:Y)</f>
        <v>2072503.43</v>
      </c>
      <c r="X47" s="17">
        <f>_xlfn.XLOOKUP($C47,TB_NG!$E:$E,TB_NG!Z:Z)</f>
        <v>1985333.15</v>
      </c>
      <c r="Y47" s="17">
        <f>_xlfn.XLOOKUP($C47,TB_NG!$E:$E,TB_NG!AA:AA)</f>
        <v>0</v>
      </c>
      <c r="Z47" s="17">
        <f>_xlfn.XLOOKUP($C47,TB_NG!$E:$E,TB_NG!AB:AB)</f>
        <v>0</v>
      </c>
      <c r="AA47" s="17">
        <f>_xlfn.XLOOKUP($C47,TB_NG!$E:$E,TB_NG!AC:AC)</f>
        <v>0</v>
      </c>
      <c r="AB47" s="17">
        <f>_xlfn.XLOOKUP($C47,TB_NG!$E:$E,TB_NG!AD:AD)</f>
        <v>0</v>
      </c>
      <c r="AC47" s="17">
        <f>_xlfn.XLOOKUP($C47,TB_NG!$E:$E,TB_NG!AE:AE)</f>
        <v>0</v>
      </c>
      <c r="AD47" s="17">
        <f>_xlfn.XLOOKUP($C47,TB_NG!$E:$E,TB_NG!AF:AF)</f>
        <v>0</v>
      </c>
      <c r="AE47" s="17">
        <f>_xlfn.XLOOKUP($C47,TB_NG!$E:$E,TB_NG!AG:AG)</f>
        <v>137455</v>
      </c>
      <c r="AF47" s="17">
        <f>_xlfn.XLOOKUP($C47,TB_NG!$E:$E,TB_NG!AH:AH)</f>
        <v>0</v>
      </c>
      <c r="AG47" s="17">
        <f>_xlfn.XLOOKUP($C47,TB_NG!$E:$E,TB_NG!AI:AI)</f>
        <v>0</v>
      </c>
      <c r="AH47" s="17">
        <f>_xlfn.XLOOKUP($C47,TB_NG!$E:$E,TB_NG!AJ:AJ)</f>
        <v>0</v>
      </c>
      <c r="AI47" s="17">
        <f>_xlfn.XLOOKUP($C47,TB_NG!$E:$E,TB_NG!AK:AK)</f>
        <v>0</v>
      </c>
      <c r="AJ47" s="17">
        <f>_xlfn.XLOOKUP($C47,TB_NG!$E:$E,TB_NG!AL:AL)</f>
        <v>0</v>
      </c>
      <c r="AK47" s="17">
        <f>_xlfn.XLOOKUP($C47,TB_NG!$E:$E,TB_NG!AM:AM)</f>
        <v>0</v>
      </c>
      <c r="AL47" s="17">
        <f>_xlfn.XLOOKUP($C47,TB_NG!$E:$E,TB_NG!AN:AN)</f>
        <v>0</v>
      </c>
      <c r="AM47" s="17">
        <f>_xlfn.XLOOKUP($C47,TB_NG!$E:$E,TB_NG!AO:AO)</f>
        <v>0</v>
      </c>
    </row>
    <row r="48" spans="2:39" hidden="1" outlineLevel="1" x14ac:dyDescent="0.2">
      <c r="B48" s="21">
        <f>_xlfn.XLOOKUP($C48,TB_NG!$E:$E,TB_NG!A:A)</f>
        <v>19007</v>
      </c>
      <c r="C48" s="16" t="s">
        <v>193</v>
      </c>
      <c r="D48" s="17">
        <f>_xlfn.XLOOKUP($C48,TB_NG!$E:$E,TB_NG!F:F)</f>
        <v>0</v>
      </c>
      <c r="E48" s="17">
        <f>_xlfn.XLOOKUP($C48,TB_NG!$E:$E,TB_NG!G:G)</f>
        <v>0</v>
      </c>
      <c r="F48" s="17">
        <f>_xlfn.XLOOKUP($C48,TB_NG!$E:$E,TB_NG!H:H)</f>
        <v>0</v>
      </c>
      <c r="G48" s="17">
        <f>_xlfn.XLOOKUP($C48,TB_NG!$E:$E,TB_NG!I:I)</f>
        <v>0</v>
      </c>
      <c r="H48" s="17">
        <f>_xlfn.XLOOKUP($C48,TB_NG!$E:$E,TB_NG!J:J)</f>
        <v>3922344185.9299998</v>
      </c>
      <c r="I48" s="17">
        <f>_xlfn.XLOOKUP($C48,TB_NG!$E:$E,TB_NG!K:K)</f>
        <v>4428487269.9300003</v>
      </c>
      <c r="J48" s="17">
        <f>_xlfn.XLOOKUP($C48,TB_NG!$E:$E,TB_NG!L:L)</f>
        <v>4728660856.4200001</v>
      </c>
      <c r="K48" s="17">
        <f>_xlfn.XLOOKUP($C48,TB_NG!$E:$E,TB_NG!M:M)</f>
        <v>5565814629.9200001</v>
      </c>
      <c r="L48" s="17">
        <f>_xlfn.XLOOKUP($C48,TB_NG!$E:$E,TB_NG!N:N)</f>
        <v>5873852910.0799999</v>
      </c>
      <c r="M48" s="17">
        <f>_xlfn.XLOOKUP($C48,TB_NG!$E:$E,TB_NG!O:O)</f>
        <v>5860667243.1800003</v>
      </c>
      <c r="N48" s="17">
        <f>_xlfn.XLOOKUP($C48,TB_NG!$E:$E,TB_NG!P:P)</f>
        <v>5799974303.1400003</v>
      </c>
      <c r="O48" s="17">
        <f>_xlfn.XLOOKUP($C48,TB_NG!$E:$E,TB_NG!Q:Q)</f>
        <v>5275410725.1000004</v>
      </c>
      <c r="P48" s="17">
        <f>_xlfn.XLOOKUP($C48,TB_NG!$E:$E,TB_NG!R:R)</f>
        <v>4790487113.6099997</v>
      </c>
      <c r="Q48" s="17">
        <f>_xlfn.XLOOKUP($C48,TB_NG!$E:$E,TB_NG!S:S)</f>
        <v>3671032305.3699999</v>
      </c>
      <c r="R48" s="17">
        <f>_xlfn.XLOOKUP($C48,TB_NG!$E:$E,TB_NG!T:T)</f>
        <v>3453453321.8099999</v>
      </c>
      <c r="S48" s="17">
        <f>_xlfn.XLOOKUP($C48,TB_NG!$E:$E,TB_NG!U:U)</f>
        <v>3964436312.2800002</v>
      </c>
      <c r="T48" s="17">
        <f>_xlfn.XLOOKUP($C48,TB_NG!$E:$E,TB_NG!V:V)</f>
        <v>3948747884.3699999</v>
      </c>
      <c r="U48" s="17">
        <f>_xlfn.XLOOKUP($C48,TB_NG!$E:$E,TB_NG!W:W)</f>
        <v>3507712736.9499998</v>
      </c>
      <c r="V48" s="17">
        <f>_xlfn.XLOOKUP($C48,TB_NG!$E:$E,TB_NG!X:X)</f>
        <v>2918717986.8499999</v>
      </c>
      <c r="W48" s="17">
        <f>_xlfn.XLOOKUP($C48,TB_NG!$E:$E,TB_NG!Y:Y)</f>
        <v>2963297188.27</v>
      </c>
      <c r="X48" s="17">
        <f>_xlfn.XLOOKUP($C48,TB_NG!$E:$E,TB_NG!Z:Z)</f>
        <v>1690403830.4100001</v>
      </c>
      <c r="Y48" s="17">
        <f>_xlfn.XLOOKUP($C48,TB_NG!$E:$E,TB_NG!AA:AA)</f>
        <v>2424086685.0999999</v>
      </c>
      <c r="Z48" s="17">
        <f>_xlfn.XLOOKUP($C48,TB_NG!$E:$E,TB_NG!AB:AB)</f>
        <v>2133598880.9400001</v>
      </c>
      <c r="AA48" s="17">
        <f>_xlfn.XLOOKUP($C48,TB_NG!$E:$E,TB_NG!AC:AC)</f>
        <v>1324564914.54</v>
      </c>
      <c r="AB48" s="17">
        <f>_xlfn.XLOOKUP($C48,TB_NG!$E:$E,TB_NG!AD:AD)</f>
        <v>1921410970.8900001</v>
      </c>
      <c r="AC48" s="17">
        <f>_xlfn.XLOOKUP($C48,TB_NG!$E:$E,TB_NG!AE:AE)</f>
        <v>1045035989.16</v>
      </c>
      <c r="AD48" s="17">
        <f>_xlfn.XLOOKUP($C48,TB_NG!$E:$E,TB_NG!AF:AF)</f>
        <v>1853886160.78</v>
      </c>
      <c r="AE48" s="17">
        <f>_xlfn.XLOOKUP($C48,TB_NG!$E:$E,TB_NG!AG:AG)</f>
        <v>1899833787.6600001</v>
      </c>
      <c r="AF48" s="17">
        <f>_xlfn.XLOOKUP($C48,TB_NG!$E:$E,TB_NG!AH:AH)</f>
        <v>0</v>
      </c>
      <c r="AG48" s="17">
        <f>_xlfn.XLOOKUP($C48,TB_NG!$E:$E,TB_NG!AI:AI)</f>
        <v>0</v>
      </c>
      <c r="AH48" s="17">
        <f>_xlfn.XLOOKUP($C48,TB_NG!$E:$E,TB_NG!AJ:AJ)</f>
        <v>0</v>
      </c>
      <c r="AI48" s="17">
        <f>_xlfn.XLOOKUP($C48,TB_NG!$E:$E,TB_NG!AK:AK)</f>
        <v>0</v>
      </c>
      <c r="AJ48" s="17">
        <f>_xlfn.XLOOKUP($C48,TB_NG!$E:$E,TB_NG!AL:AL)</f>
        <v>0</v>
      </c>
      <c r="AK48" s="17">
        <f>_xlfn.XLOOKUP($C48,TB_NG!$E:$E,TB_NG!AM:AM)</f>
        <v>0</v>
      </c>
      <c r="AL48" s="17">
        <f>_xlfn.XLOOKUP($C48,TB_NG!$E:$E,TB_NG!AN:AN)</f>
        <v>0</v>
      </c>
      <c r="AM48" s="17">
        <f>_xlfn.XLOOKUP($C48,TB_NG!$E:$E,TB_NG!AO:AO)</f>
        <v>0</v>
      </c>
    </row>
    <row r="49" spans="2:39" hidden="1" outlineLevel="1" x14ac:dyDescent="0.2">
      <c r="B49" s="21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</row>
    <row r="50" spans="2:39" collapsed="1" x14ac:dyDescent="0.2">
      <c r="B50" s="15"/>
      <c r="C50" s="22" t="s">
        <v>31</v>
      </c>
      <c r="D50" s="23">
        <f t="shared" ref="D50:AM50" si="1">SUM(D6:D49)</f>
        <v>111008304.24000001</v>
      </c>
      <c r="E50" s="23">
        <f t="shared" si="1"/>
        <v>100159906.03</v>
      </c>
      <c r="F50" s="23">
        <f t="shared" si="1"/>
        <v>7088880324.0100012</v>
      </c>
      <c r="G50" s="23">
        <f t="shared" si="1"/>
        <v>5924100171.5299997</v>
      </c>
      <c r="H50" s="23">
        <f t="shared" si="1"/>
        <v>5723119603.4099998</v>
      </c>
      <c r="I50" s="23">
        <f t="shared" si="1"/>
        <v>7287637732.1000004</v>
      </c>
      <c r="J50" s="23">
        <f t="shared" si="1"/>
        <v>7017708979.8899994</v>
      </c>
      <c r="K50" s="23">
        <f t="shared" si="1"/>
        <v>6936530482.6800003</v>
      </c>
      <c r="L50" s="23">
        <f t="shared" si="1"/>
        <v>6974473192.3400002</v>
      </c>
      <c r="M50" s="23">
        <f t="shared" si="1"/>
        <v>6432942785.1599998</v>
      </c>
      <c r="N50" s="23">
        <f t="shared" si="1"/>
        <v>6609097653.0900002</v>
      </c>
      <c r="O50" s="23">
        <f t="shared" si="1"/>
        <v>5871087408.5300007</v>
      </c>
      <c r="P50" s="23">
        <f t="shared" si="1"/>
        <v>5426350629.3799992</v>
      </c>
      <c r="Q50" s="23">
        <f t="shared" si="1"/>
        <v>4929259296.3999996</v>
      </c>
      <c r="R50" s="23">
        <f t="shared" si="1"/>
        <v>5687263985.5499992</v>
      </c>
      <c r="S50" s="23">
        <f t="shared" si="1"/>
        <v>5046671217.46</v>
      </c>
      <c r="T50" s="23">
        <f t="shared" si="1"/>
        <v>4269848283.0900002</v>
      </c>
      <c r="U50" s="23">
        <f t="shared" si="1"/>
        <v>4328626886.8599997</v>
      </c>
      <c r="V50" s="23">
        <f t="shared" si="1"/>
        <v>3708311870.0500002</v>
      </c>
      <c r="W50" s="23">
        <f t="shared" si="1"/>
        <v>3747734244.54</v>
      </c>
      <c r="X50" s="23">
        <f t="shared" si="1"/>
        <v>3309235331.0600004</v>
      </c>
      <c r="Y50" s="23">
        <f t="shared" si="1"/>
        <v>3317831621.2999997</v>
      </c>
      <c r="Z50" s="23">
        <f t="shared" si="1"/>
        <v>2866497553.3100004</v>
      </c>
      <c r="AA50" s="23">
        <f t="shared" si="1"/>
        <v>2378903541.9099998</v>
      </c>
      <c r="AB50" s="23">
        <f t="shared" si="1"/>
        <v>2351081974.21</v>
      </c>
      <c r="AC50" s="23">
        <f t="shared" si="1"/>
        <v>2499288491.1999998</v>
      </c>
      <c r="AD50" s="23">
        <f t="shared" si="1"/>
        <v>2709729523</v>
      </c>
      <c r="AE50" s="23">
        <f t="shared" si="1"/>
        <v>2458659337.4700003</v>
      </c>
      <c r="AF50" s="23">
        <f t="shared" si="1"/>
        <v>0</v>
      </c>
      <c r="AG50" s="23">
        <f t="shared" si="1"/>
        <v>0</v>
      </c>
      <c r="AH50" s="23">
        <f t="shared" si="1"/>
        <v>0</v>
      </c>
      <c r="AI50" s="23">
        <f t="shared" si="1"/>
        <v>0</v>
      </c>
      <c r="AJ50" s="23">
        <f t="shared" si="1"/>
        <v>0</v>
      </c>
      <c r="AK50" s="23">
        <f t="shared" si="1"/>
        <v>0</v>
      </c>
      <c r="AL50" s="23">
        <f t="shared" si="1"/>
        <v>0</v>
      </c>
      <c r="AM50" s="23">
        <f t="shared" si="1"/>
        <v>0</v>
      </c>
    </row>
    <row r="51" spans="2:39" x14ac:dyDescent="0.2">
      <c r="B51" s="21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</row>
    <row r="52" spans="2:39" hidden="1" outlineLevel="1" x14ac:dyDescent="0.2">
      <c r="B52" s="21"/>
      <c r="C52" s="20" t="s">
        <v>194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</row>
    <row r="53" spans="2:39" hidden="1" outlineLevel="1" x14ac:dyDescent="0.2">
      <c r="B53" s="21">
        <f>_xlfn.XLOOKUP($C53,TB_NG!$E:$E,TB_NG!A:A)</f>
        <v>11000</v>
      </c>
      <c r="C53" s="16" t="s">
        <v>195</v>
      </c>
      <c r="D53" s="17">
        <f>_xlfn.XLOOKUP($C53,TB_NG!$E:$E,TB_NG!F:F)</f>
        <v>156264272.31999999</v>
      </c>
      <c r="E53" s="17">
        <f>_xlfn.XLOOKUP($C53,TB_NG!$E:$E,TB_NG!G:G)</f>
        <v>564863684.07000005</v>
      </c>
      <c r="F53" s="17">
        <f>_xlfn.XLOOKUP($C53,TB_NG!$E:$E,TB_NG!H:H)</f>
        <v>855022952.01999998</v>
      </c>
      <c r="G53" s="17">
        <f>_xlfn.XLOOKUP($C53,TB_NG!$E:$E,TB_NG!I:I)</f>
        <v>845955586.53999996</v>
      </c>
      <c r="H53" s="17">
        <f>_xlfn.XLOOKUP($C53,TB_NG!$E:$E,TB_NG!J:J)</f>
        <v>677613947.49000001</v>
      </c>
      <c r="I53" s="17">
        <f>_xlfn.XLOOKUP($C53,TB_NG!$E:$E,TB_NG!K:K)</f>
        <v>641845991.34000003</v>
      </c>
      <c r="J53" s="17">
        <f>_xlfn.XLOOKUP($C53,TB_NG!$E:$E,TB_NG!L:L)</f>
        <v>680846040.74000001</v>
      </c>
      <c r="K53" s="17">
        <f>_xlfn.XLOOKUP($C53,TB_NG!$E:$E,TB_NG!M:M)</f>
        <v>503058169.26999998</v>
      </c>
      <c r="L53" s="17">
        <f>_xlfn.XLOOKUP($C53,TB_NG!$E:$E,TB_NG!N:N)</f>
        <v>384273723.79000002</v>
      </c>
      <c r="M53" s="17">
        <f>_xlfn.XLOOKUP($C53,TB_NG!$E:$E,TB_NG!O:O)</f>
        <v>261318604.97</v>
      </c>
      <c r="N53" s="17">
        <f>_xlfn.XLOOKUP($C53,TB_NG!$E:$E,TB_NG!P:P)</f>
        <v>226024768.34999999</v>
      </c>
      <c r="O53" s="17">
        <f>_xlfn.XLOOKUP($C53,TB_NG!$E:$E,TB_NG!Q:Q)</f>
        <v>1302620817.1600001</v>
      </c>
      <c r="P53" s="17">
        <f>_xlfn.XLOOKUP($C53,TB_NG!$E:$E,TB_NG!R:R)</f>
        <v>1236827968.52</v>
      </c>
      <c r="Q53" s="17">
        <f>_xlfn.XLOOKUP($C53,TB_NG!$E:$E,TB_NG!S:S)</f>
        <v>1273270111.49</v>
      </c>
      <c r="R53" s="17">
        <f>_xlfn.XLOOKUP($C53,TB_NG!$E:$E,TB_NG!T:T)</f>
        <v>518778937.31</v>
      </c>
      <c r="S53" s="17">
        <f>_xlfn.XLOOKUP($C53,TB_NG!$E:$E,TB_NG!U:U)</f>
        <v>438828428.83999997</v>
      </c>
      <c r="T53" s="17">
        <f>_xlfn.XLOOKUP($C53,TB_NG!$E:$E,TB_NG!V:V)</f>
        <v>490025471.18000001</v>
      </c>
      <c r="U53" s="17">
        <f>_xlfn.XLOOKUP($C53,TB_NG!$E:$E,TB_NG!W:W)</f>
        <v>83560599.980000004</v>
      </c>
      <c r="V53" s="17">
        <f>_xlfn.XLOOKUP($C53,TB_NG!$E:$E,TB_NG!X:X)</f>
        <v>85682880.909999996</v>
      </c>
      <c r="W53" s="17">
        <f>_xlfn.XLOOKUP($C53,TB_NG!$E:$E,TB_NG!Y:Y)</f>
        <v>132495694.84</v>
      </c>
      <c r="X53" s="17">
        <f>_xlfn.XLOOKUP($C53,TB_NG!$E:$E,TB_NG!Z:Z)</f>
        <v>145474271.58000001</v>
      </c>
      <c r="Y53" s="17">
        <f>_xlfn.XLOOKUP($C53,TB_NG!$E:$E,TB_NG!AA:AA)</f>
        <v>175308641.75999999</v>
      </c>
      <c r="Z53" s="17">
        <f>_xlfn.XLOOKUP($C53,TB_NG!$E:$E,TB_NG!AB:AB)</f>
        <v>172662378.19999999</v>
      </c>
      <c r="AA53" s="17">
        <f>_xlfn.XLOOKUP($C53,TB_NG!$E:$E,TB_NG!AC:AC)</f>
        <v>215046153.13999999</v>
      </c>
      <c r="AB53" s="17">
        <f>_xlfn.XLOOKUP($C53,TB_NG!$E:$E,TB_NG!AD:AD)</f>
        <v>470028366.91000003</v>
      </c>
      <c r="AC53" s="17">
        <f>_xlfn.XLOOKUP($C53,TB_NG!$E:$E,TB_NG!AE:AE)</f>
        <v>738813643.82000005</v>
      </c>
      <c r="AD53" s="17">
        <f>_xlfn.XLOOKUP($C53,TB_NG!$E:$E,TB_NG!AF:AF)</f>
        <v>701404828.05999994</v>
      </c>
      <c r="AE53" s="17">
        <f>_xlfn.XLOOKUP($C53,TB_NG!$E:$E,TB_NG!AG:AG)</f>
        <v>573307915.97000003</v>
      </c>
      <c r="AF53" s="17">
        <f>_xlfn.XLOOKUP($C53,TB_NG!$E:$E,TB_NG!AH:AH)</f>
        <v>0</v>
      </c>
      <c r="AG53" s="17">
        <f>_xlfn.XLOOKUP($C53,TB_NG!$E:$E,TB_NG!AI:AI)</f>
        <v>0</v>
      </c>
      <c r="AH53" s="17">
        <f>_xlfn.XLOOKUP($C53,TB_NG!$E:$E,TB_NG!AJ:AJ)</f>
        <v>0</v>
      </c>
      <c r="AI53" s="17">
        <f>_xlfn.XLOOKUP($C53,TB_NG!$E:$E,TB_NG!AK:AK)</f>
        <v>0</v>
      </c>
      <c r="AJ53" s="17">
        <f>_xlfn.XLOOKUP($C53,TB_NG!$E:$E,TB_NG!AL:AL)</f>
        <v>0</v>
      </c>
      <c r="AK53" s="17">
        <f>_xlfn.XLOOKUP($C53,TB_NG!$E:$E,TB_NG!AM:AM)</f>
        <v>0</v>
      </c>
      <c r="AL53" s="17">
        <f>_xlfn.XLOOKUP($C53,TB_NG!$E:$E,TB_NG!AN:AN)</f>
        <v>0</v>
      </c>
      <c r="AM53" s="17">
        <f>_xlfn.XLOOKUP($C53,TB_NG!$E:$E,TB_NG!AO:AO)</f>
        <v>0</v>
      </c>
    </row>
    <row r="54" spans="2:39" hidden="1" outlineLevel="1" x14ac:dyDescent="0.2">
      <c r="B54" s="21">
        <f>_xlfn.XLOOKUP($C54,TB_NG!$E:$E,TB_NG!A:A)</f>
        <v>11001</v>
      </c>
      <c r="C54" s="16" t="s">
        <v>196</v>
      </c>
      <c r="D54" s="17">
        <f>_xlfn.XLOOKUP($C54,TB_NG!$E:$E,TB_NG!F:F)</f>
        <v>0</v>
      </c>
      <c r="E54" s="17">
        <f>_xlfn.XLOOKUP($C54,TB_NG!$E:$E,TB_NG!G:G)</f>
        <v>0</v>
      </c>
      <c r="F54" s="17">
        <f>_xlfn.XLOOKUP($C54,TB_NG!$E:$E,TB_NG!H:H)</f>
        <v>0</v>
      </c>
      <c r="G54" s="17">
        <f>_xlfn.XLOOKUP($C54,TB_NG!$E:$E,TB_NG!I:I)</f>
        <v>0</v>
      </c>
      <c r="H54" s="17">
        <f>_xlfn.XLOOKUP($C54,TB_NG!$E:$E,TB_NG!J:J)</f>
        <v>0</v>
      </c>
      <c r="I54" s="17">
        <f>_xlfn.XLOOKUP($C54,TB_NG!$E:$E,TB_NG!K:K)</f>
        <v>0</v>
      </c>
      <c r="J54" s="17">
        <f>_xlfn.XLOOKUP($C54,TB_NG!$E:$E,TB_NG!L:L)</f>
        <v>0</v>
      </c>
      <c r="K54" s="17">
        <f>_xlfn.XLOOKUP($C54,TB_NG!$E:$E,TB_NG!M:M)</f>
        <v>0</v>
      </c>
      <c r="L54" s="17">
        <f>_xlfn.XLOOKUP($C54,TB_NG!$E:$E,TB_NG!N:N)</f>
        <v>0</v>
      </c>
      <c r="M54" s="17">
        <f>_xlfn.XLOOKUP($C54,TB_NG!$E:$E,TB_NG!O:O)</f>
        <v>0</v>
      </c>
      <c r="N54" s="17">
        <f>_xlfn.XLOOKUP($C54,TB_NG!$E:$E,TB_NG!P:P)</f>
        <v>0</v>
      </c>
      <c r="O54" s="17">
        <f>_xlfn.XLOOKUP($C54,TB_NG!$E:$E,TB_NG!Q:Q)</f>
        <v>0</v>
      </c>
      <c r="P54" s="17">
        <f>_xlfn.XLOOKUP($C54,TB_NG!$E:$E,TB_NG!R:R)</f>
        <v>0</v>
      </c>
      <c r="Q54" s="17">
        <f>_xlfn.XLOOKUP($C54,TB_NG!$E:$E,TB_NG!S:S)</f>
        <v>0</v>
      </c>
      <c r="R54" s="17">
        <f>_xlfn.XLOOKUP($C54,TB_NG!$E:$E,TB_NG!T:T)</f>
        <v>0</v>
      </c>
      <c r="S54" s="17">
        <f>_xlfn.XLOOKUP($C54,TB_NG!$E:$E,TB_NG!U:U)</f>
        <v>0</v>
      </c>
      <c r="T54" s="17">
        <f>_xlfn.XLOOKUP($C54,TB_NG!$E:$E,TB_NG!V:V)</f>
        <v>0</v>
      </c>
      <c r="U54" s="17">
        <f>_xlfn.XLOOKUP($C54,TB_NG!$E:$E,TB_NG!W:W)</f>
        <v>0</v>
      </c>
      <c r="V54" s="17">
        <f>_xlfn.XLOOKUP($C54,TB_NG!$E:$E,TB_NG!X:X)</f>
        <v>0</v>
      </c>
      <c r="W54" s="17">
        <f>_xlfn.XLOOKUP($C54,TB_NG!$E:$E,TB_NG!Y:Y)</f>
        <v>0</v>
      </c>
      <c r="X54" s="17">
        <f>_xlfn.XLOOKUP($C54,TB_NG!$E:$E,TB_NG!Z:Z)</f>
        <v>0</v>
      </c>
      <c r="Y54" s="17">
        <f>_xlfn.XLOOKUP($C54,TB_NG!$E:$E,TB_NG!AA:AA)</f>
        <v>0</v>
      </c>
      <c r="Z54" s="17">
        <f>_xlfn.XLOOKUP($C54,TB_NG!$E:$E,TB_NG!AB:AB)</f>
        <v>0</v>
      </c>
      <c r="AA54" s="17">
        <f>_xlfn.XLOOKUP($C54,TB_NG!$E:$E,TB_NG!AC:AC)</f>
        <v>0</v>
      </c>
      <c r="AB54" s="17">
        <f>_xlfn.XLOOKUP($C54,TB_NG!$E:$E,TB_NG!AD:AD)</f>
        <v>0</v>
      </c>
      <c r="AC54" s="17">
        <f>_xlfn.XLOOKUP($C54,TB_NG!$E:$E,TB_NG!AE:AE)</f>
        <v>0</v>
      </c>
      <c r="AD54" s="17">
        <f>_xlfn.XLOOKUP($C54,TB_NG!$E:$E,TB_NG!AF:AF)</f>
        <v>0</v>
      </c>
      <c r="AE54" s="17">
        <f>_xlfn.XLOOKUP($C54,TB_NG!$E:$E,TB_NG!AG:AG)</f>
        <v>0</v>
      </c>
      <c r="AF54" s="17">
        <f>_xlfn.XLOOKUP($C54,TB_NG!$E:$E,TB_NG!AH:AH)</f>
        <v>0</v>
      </c>
      <c r="AG54" s="17">
        <f>_xlfn.XLOOKUP($C54,TB_NG!$E:$E,TB_NG!AI:AI)</f>
        <v>0</v>
      </c>
      <c r="AH54" s="17">
        <f>_xlfn.XLOOKUP($C54,TB_NG!$E:$E,TB_NG!AJ:AJ)</f>
        <v>0</v>
      </c>
      <c r="AI54" s="17">
        <f>_xlfn.XLOOKUP($C54,TB_NG!$E:$E,TB_NG!AK:AK)</f>
        <v>0</v>
      </c>
      <c r="AJ54" s="17">
        <f>_xlfn.XLOOKUP($C54,TB_NG!$E:$E,TB_NG!AL:AL)</f>
        <v>0</v>
      </c>
      <c r="AK54" s="17">
        <f>_xlfn.XLOOKUP($C54,TB_NG!$E:$E,TB_NG!AM:AM)</f>
        <v>0</v>
      </c>
      <c r="AL54" s="17">
        <f>_xlfn.XLOOKUP($C54,TB_NG!$E:$E,TB_NG!AN:AN)</f>
        <v>0</v>
      </c>
      <c r="AM54" s="17">
        <f>_xlfn.XLOOKUP($C54,TB_NG!$E:$E,TB_NG!AO:AO)</f>
        <v>0</v>
      </c>
    </row>
    <row r="55" spans="2:39" hidden="1" outlineLevel="1" x14ac:dyDescent="0.2">
      <c r="B55" s="21">
        <f>_xlfn.XLOOKUP($C55,TB_NG!$E:$E,TB_NG!A:A)</f>
        <v>11002</v>
      </c>
      <c r="C55" s="16" t="s">
        <v>197</v>
      </c>
      <c r="D55" s="17">
        <f>_xlfn.XLOOKUP($C55,TB_NG!$E:$E,TB_NG!F:F)</f>
        <v>0</v>
      </c>
      <c r="E55" s="17">
        <f>_xlfn.XLOOKUP($C55,TB_NG!$E:$E,TB_NG!G:G)</f>
        <v>0</v>
      </c>
      <c r="F55" s="17">
        <f>_xlfn.XLOOKUP($C55,TB_NG!$E:$E,TB_NG!H:H)</f>
        <v>0</v>
      </c>
      <c r="G55" s="17">
        <f>_xlfn.XLOOKUP($C55,TB_NG!$E:$E,TB_NG!I:I)</f>
        <v>0</v>
      </c>
      <c r="H55" s="17">
        <f>_xlfn.XLOOKUP($C55,TB_NG!$E:$E,TB_NG!J:J)</f>
        <v>0</v>
      </c>
      <c r="I55" s="17">
        <f>_xlfn.XLOOKUP($C55,TB_NG!$E:$E,TB_NG!K:K)</f>
        <v>0</v>
      </c>
      <c r="J55" s="17">
        <f>_xlfn.XLOOKUP($C55,TB_NG!$E:$E,TB_NG!L:L)</f>
        <v>0</v>
      </c>
      <c r="K55" s="17">
        <f>_xlfn.XLOOKUP($C55,TB_NG!$E:$E,TB_NG!M:M)</f>
        <v>0</v>
      </c>
      <c r="L55" s="17">
        <f>_xlfn.XLOOKUP($C55,TB_NG!$E:$E,TB_NG!N:N)</f>
        <v>0</v>
      </c>
      <c r="M55" s="17">
        <f>_xlfn.XLOOKUP($C55,TB_NG!$E:$E,TB_NG!O:O)</f>
        <v>0</v>
      </c>
      <c r="N55" s="17">
        <f>_xlfn.XLOOKUP($C55,TB_NG!$E:$E,TB_NG!P:P)</f>
        <v>0</v>
      </c>
      <c r="O55" s="17">
        <f>_xlfn.XLOOKUP($C55,TB_NG!$E:$E,TB_NG!Q:Q)</f>
        <v>0</v>
      </c>
      <c r="P55" s="17">
        <f>_xlfn.XLOOKUP($C55,TB_NG!$E:$E,TB_NG!R:R)</f>
        <v>0</v>
      </c>
      <c r="Q55" s="17">
        <f>_xlfn.XLOOKUP($C55,TB_NG!$E:$E,TB_NG!S:S)</f>
        <v>0</v>
      </c>
      <c r="R55" s="17">
        <f>_xlfn.XLOOKUP($C55,TB_NG!$E:$E,TB_NG!T:T)</f>
        <v>0</v>
      </c>
      <c r="S55" s="17">
        <f>_xlfn.XLOOKUP($C55,TB_NG!$E:$E,TB_NG!U:U)</f>
        <v>0</v>
      </c>
      <c r="T55" s="17">
        <f>_xlfn.XLOOKUP($C55,TB_NG!$E:$E,TB_NG!V:V)</f>
        <v>0</v>
      </c>
      <c r="U55" s="17">
        <f>_xlfn.XLOOKUP($C55,TB_NG!$E:$E,TB_NG!W:W)</f>
        <v>0</v>
      </c>
      <c r="V55" s="17">
        <f>_xlfn.XLOOKUP($C55,TB_NG!$E:$E,TB_NG!X:X)</f>
        <v>0</v>
      </c>
      <c r="W55" s="17">
        <f>_xlfn.XLOOKUP($C55,TB_NG!$E:$E,TB_NG!Y:Y)</f>
        <v>0</v>
      </c>
      <c r="X55" s="17">
        <f>_xlfn.XLOOKUP($C55,TB_NG!$E:$E,TB_NG!Z:Z)</f>
        <v>0</v>
      </c>
      <c r="Y55" s="17">
        <f>_xlfn.XLOOKUP($C55,TB_NG!$E:$E,TB_NG!AA:AA)</f>
        <v>0</v>
      </c>
      <c r="Z55" s="17">
        <f>_xlfn.XLOOKUP($C55,TB_NG!$E:$E,TB_NG!AB:AB)</f>
        <v>0</v>
      </c>
      <c r="AA55" s="17">
        <f>_xlfn.XLOOKUP($C55,TB_NG!$E:$E,TB_NG!AC:AC)</f>
        <v>0</v>
      </c>
      <c r="AB55" s="17">
        <f>_xlfn.XLOOKUP($C55,TB_NG!$E:$E,TB_NG!AD:AD)</f>
        <v>0</v>
      </c>
      <c r="AC55" s="17">
        <f>_xlfn.XLOOKUP($C55,TB_NG!$E:$E,TB_NG!AE:AE)</f>
        <v>0</v>
      </c>
      <c r="AD55" s="17">
        <f>_xlfn.XLOOKUP($C55,TB_NG!$E:$E,TB_NG!AF:AF)</f>
        <v>0</v>
      </c>
      <c r="AE55" s="17">
        <f>_xlfn.XLOOKUP($C55,TB_NG!$E:$E,TB_NG!AG:AG)</f>
        <v>0</v>
      </c>
      <c r="AF55" s="17">
        <f>_xlfn.XLOOKUP($C55,TB_NG!$E:$E,TB_NG!AH:AH)</f>
        <v>0</v>
      </c>
      <c r="AG55" s="17">
        <f>_xlfn.XLOOKUP($C55,TB_NG!$E:$E,TB_NG!AI:AI)</f>
        <v>0</v>
      </c>
      <c r="AH55" s="17">
        <f>_xlfn.XLOOKUP($C55,TB_NG!$E:$E,TB_NG!AJ:AJ)</f>
        <v>0</v>
      </c>
      <c r="AI55" s="17">
        <f>_xlfn.XLOOKUP($C55,TB_NG!$E:$E,TB_NG!AK:AK)</f>
        <v>0</v>
      </c>
      <c r="AJ55" s="17">
        <f>_xlfn.XLOOKUP($C55,TB_NG!$E:$E,TB_NG!AL:AL)</f>
        <v>0</v>
      </c>
      <c r="AK55" s="17">
        <f>_xlfn.XLOOKUP($C55,TB_NG!$E:$E,TB_NG!AM:AM)</f>
        <v>0</v>
      </c>
      <c r="AL55" s="17">
        <f>_xlfn.XLOOKUP($C55,TB_NG!$E:$E,TB_NG!AN:AN)</f>
        <v>0</v>
      </c>
      <c r="AM55" s="17">
        <f>_xlfn.XLOOKUP($C55,TB_NG!$E:$E,TB_NG!AO:AO)</f>
        <v>0</v>
      </c>
    </row>
    <row r="56" spans="2:39" hidden="1" outlineLevel="1" x14ac:dyDescent="0.2">
      <c r="B56" s="21">
        <f>_xlfn.XLOOKUP($C56,TB_NG!$E:$E,TB_NG!A:A)</f>
        <v>11003</v>
      </c>
      <c r="C56" s="16" t="s">
        <v>198</v>
      </c>
      <c r="D56" s="17">
        <f>_xlfn.XLOOKUP($C56,TB_NG!$E:$E,TB_NG!F:F)</f>
        <v>0</v>
      </c>
      <c r="E56" s="17">
        <f>_xlfn.XLOOKUP($C56,TB_NG!$E:$E,TB_NG!G:G)</f>
        <v>0</v>
      </c>
      <c r="F56" s="17">
        <f>_xlfn.XLOOKUP($C56,TB_NG!$E:$E,TB_NG!H:H)</f>
        <v>0</v>
      </c>
      <c r="G56" s="17">
        <f>_xlfn.XLOOKUP($C56,TB_NG!$E:$E,TB_NG!I:I)</f>
        <v>0</v>
      </c>
      <c r="H56" s="17">
        <f>_xlfn.XLOOKUP($C56,TB_NG!$E:$E,TB_NG!J:J)</f>
        <v>0</v>
      </c>
      <c r="I56" s="17">
        <f>_xlfn.XLOOKUP($C56,TB_NG!$E:$E,TB_NG!K:K)</f>
        <v>0</v>
      </c>
      <c r="J56" s="17">
        <f>_xlfn.XLOOKUP($C56,TB_NG!$E:$E,TB_NG!L:L)</f>
        <v>0</v>
      </c>
      <c r="K56" s="17">
        <f>_xlfn.XLOOKUP($C56,TB_NG!$E:$E,TB_NG!M:M)</f>
        <v>0</v>
      </c>
      <c r="L56" s="17">
        <f>_xlfn.XLOOKUP($C56,TB_NG!$E:$E,TB_NG!N:N)</f>
        <v>0</v>
      </c>
      <c r="M56" s="17">
        <f>_xlfn.XLOOKUP($C56,TB_NG!$E:$E,TB_NG!O:O)</f>
        <v>0</v>
      </c>
      <c r="N56" s="17">
        <f>_xlfn.XLOOKUP($C56,TB_NG!$E:$E,TB_NG!P:P)</f>
        <v>0</v>
      </c>
      <c r="O56" s="17">
        <f>_xlfn.XLOOKUP($C56,TB_NG!$E:$E,TB_NG!Q:Q)</f>
        <v>0</v>
      </c>
      <c r="P56" s="17">
        <f>_xlfn.XLOOKUP($C56,TB_NG!$E:$E,TB_NG!R:R)</f>
        <v>0</v>
      </c>
      <c r="Q56" s="17">
        <f>_xlfn.XLOOKUP($C56,TB_NG!$E:$E,TB_NG!S:S)</f>
        <v>0</v>
      </c>
      <c r="R56" s="17">
        <f>_xlfn.XLOOKUP($C56,TB_NG!$E:$E,TB_NG!T:T)</f>
        <v>0</v>
      </c>
      <c r="S56" s="17">
        <f>_xlfn.XLOOKUP($C56,TB_NG!$E:$E,TB_NG!U:U)</f>
        <v>0</v>
      </c>
      <c r="T56" s="17">
        <f>_xlfn.XLOOKUP($C56,TB_NG!$E:$E,TB_NG!V:V)</f>
        <v>0</v>
      </c>
      <c r="U56" s="17">
        <f>_xlfn.XLOOKUP($C56,TB_NG!$E:$E,TB_NG!W:W)</f>
        <v>0</v>
      </c>
      <c r="V56" s="17">
        <f>_xlfn.XLOOKUP($C56,TB_NG!$E:$E,TB_NG!X:X)</f>
        <v>0</v>
      </c>
      <c r="W56" s="17">
        <f>_xlfn.XLOOKUP($C56,TB_NG!$E:$E,TB_NG!Y:Y)</f>
        <v>0</v>
      </c>
      <c r="X56" s="17">
        <f>_xlfn.XLOOKUP($C56,TB_NG!$E:$E,TB_NG!Z:Z)</f>
        <v>0</v>
      </c>
      <c r="Y56" s="17">
        <f>_xlfn.XLOOKUP($C56,TB_NG!$E:$E,TB_NG!AA:AA)</f>
        <v>0</v>
      </c>
      <c r="Z56" s="17">
        <f>_xlfn.XLOOKUP($C56,TB_NG!$E:$E,TB_NG!AB:AB)</f>
        <v>0</v>
      </c>
      <c r="AA56" s="17">
        <f>_xlfn.XLOOKUP($C56,TB_NG!$E:$E,TB_NG!AC:AC)</f>
        <v>0</v>
      </c>
      <c r="AB56" s="17">
        <f>_xlfn.XLOOKUP($C56,TB_NG!$E:$E,TB_NG!AD:AD)</f>
        <v>0</v>
      </c>
      <c r="AC56" s="17">
        <f>_xlfn.XLOOKUP($C56,TB_NG!$E:$E,TB_NG!AE:AE)</f>
        <v>0</v>
      </c>
      <c r="AD56" s="17">
        <f>_xlfn.XLOOKUP($C56,TB_NG!$E:$E,TB_NG!AF:AF)</f>
        <v>0</v>
      </c>
      <c r="AE56" s="17">
        <f>_xlfn.XLOOKUP($C56,TB_NG!$E:$E,TB_NG!AG:AG)</f>
        <v>0</v>
      </c>
      <c r="AF56" s="17">
        <f>_xlfn.XLOOKUP($C56,TB_NG!$E:$E,TB_NG!AH:AH)</f>
        <v>0</v>
      </c>
      <c r="AG56" s="17">
        <f>_xlfn.XLOOKUP($C56,TB_NG!$E:$E,TB_NG!AI:AI)</f>
        <v>0</v>
      </c>
      <c r="AH56" s="17">
        <f>_xlfn.XLOOKUP($C56,TB_NG!$E:$E,TB_NG!AJ:AJ)</f>
        <v>0</v>
      </c>
      <c r="AI56" s="17">
        <f>_xlfn.XLOOKUP($C56,TB_NG!$E:$E,TB_NG!AK:AK)</f>
        <v>0</v>
      </c>
      <c r="AJ56" s="17">
        <f>_xlfn.XLOOKUP($C56,TB_NG!$E:$E,TB_NG!AL:AL)</f>
        <v>0</v>
      </c>
      <c r="AK56" s="17">
        <f>_xlfn.XLOOKUP($C56,TB_NG!$E:$E,TB_NG!AM:AM)</f>
        <v>0</v>
      </c>
      <c r="AL56" s="17">
        <f>_xlfn.XLOOKUP($C56,TB_NG!$E:$E,TB_NG!AN:AN)</f>
        <v>0</v>
      </c>
      <c r="AM56" s="17">
        <f>_xlfn.XLOOKUP($C56,TB_NG!$E:$E,TB_NG!AO:AO)</f>
        <v>0</v>
      </c>
    </row>
    <row r="57" spans="2:39" hidden="1" outlineLevel="1" x14ac:dyDescent="0.2">
      <c r="B57" s="21">
        <f>_xlfn.XLOOKUP($C57,TB_NG!$E:$E,TB_NG!A:A)</f>
        <v>11004</v>
      </c>
      <c r="C57" s="16" t="s">
        <v>199</v>
      </c>
      <c r="D57" s="17">
        <f>_xlfn.XLOOKUP($C57,TB_NG!$E:$E,TB_NG!F:F)</f>
        <v>0</v>
      </c>
      <c r="E57" s="17">
        <f>_xlfn.XLOOKUP($C57,TB_NG!$E:$E,TB_NG!G:G)</f>
        <v>0</v>
      </c>
      <c r="F57" s="17">
        <f>_xlfn.XLOOKUP($C57,TB_NG!$E:$E,TB_NG!H:H)</f>
        <v>0</v>
      </c>
      <c r="G57" s="17">
        <f>_xlfn.XLOOKUP($C57,TB_NG!$E:$E,TB_NG!I:I)</f>
        <v>0</v>
      </c>
      <c r="H57" s="17">
        <f>_xlfn.XLOOKUP($C57,TB_NG!$E:$E,TB_NG!J:J)</f>
        <v>0</v>
      </c>
      <c r="I57" s="17">
        <f>_xlfn.XLOOKUP($C57,TB_NG!$E:$E,TB_NG!K:K)</f>
        <v>0</v>
      </c>
      <c r="J57" s="17">
        <f>_xlfn.XLOOKUP($C57,TB_NG!$E:$E,TB_NG!L:L)</f>
        <v>0</v>
      </c>
      <c r="K57" s="17">
        <f>_xlfn.XLOOKUP($C57,TB_NG!$E:$E,TB_NG!M:M)</f>
        <v>0</v>
      </c>
      <c r="L57" s="17">
        <f>_xlfn.XLOOKUP($C57,TB_NG!$E:$E,TB_NG!N:N)</f>
        <v>0</v>
      </c>
      <c r="M57" s="17">
        <f>_xlfn.XLOOKUP($C57,TB_NG!$E:$E,TB_NG!O:O)</f>
        <v>0</v>
      </c>
      <c r="N57" s="17">
        <f>_xlfn.XLOOKUP($C57,TB_NG!$E:$E,TB_NG!P:P)</f>
        <v>0</v>
      </c>
      <c r="O57" s="17">
        <f>_xlfn.XLOOKUP($C57,TB_NG!$E:$E,TB_NG!Q:Q)</f>
        <v>0</v>
      </c>
      <c r="P57" s="17">
        <f>_xlfn.XLOOKUP($C57,TB_NG!$E:$E,TB_NG!R:R)</f>
        <v>0</v>
      </c>
      <c r="Q57" s="17">
        <f>_xlfn.XLOOKUP($C57,TB_NG!$E:$E,TB_NG!S:S)</f>
        <v>0</v>
      </c>
      <c r="R57" s="17">
        <f>_xlfn.XLOOKUP($C57,TB_NG!$E:$E,TB_NG!T:T)</f>
        <v>0</v>
      </c>
      <c r="S57" s="17">
        <f>_xlfn.XLOOKUP($C57,TB_NG!$E:$E,TB_NG!U:U)</f>
        <v>0</v>
      </c>
      <c r="T57" s="17">
        <f>_xlfn.XLOOKUP($C57,TB_NG!$E:$E,TB_NG!V:V)</f>
        <v>0</v>
      </c>
      <c r="U57" s="17">
        <f>_xlfn.XLOOKUP($C57,TB_NG!$E:$E,TB_NG!W:W)</f>
        <v>0</v>
      </c>
      <c r="V57" s="17">
        <f>_xlfn.XLOOKUP($C57,TB_NG!$E:$E,TB_NG!X:X)</f>
        <v>0</v>
      </c>
      <c r="W57" s="17">
        <f>_xlfn.XLOOKUP($C57,TB_NG!$E:$E,TB_NG!Y:Y)</f>
        <v>0</v>
      </c>
      <c r="X57" s="17">
        <f>_xlfn.XLOOKUP($C57,TB_NG!$E:$E,TB_NG!Z:Z)</f>
        <v>0</v>
      </c>
      <c r="Y57" s="17">
        <f>_xlfn.XLOOKUP($C57,TB_NG!$E:$E,TB_NG!AA:AA)</f>
        <v>0</v>
      </c>
      <c r="Z57" s="17">
        <f>_xlfn.XLOOKUP($C57,TB_NG!$E:$E,TB_NG!AB:AB)</f>
        <v>0</v>
      </c>
      <c r="AA57" s="17">
        <f>_xlfn.XLOOKUP($C57,TB_NG!$E:$E,TB_NG!AC:AC)</f>
        <v>0</v>
      </c>
      <c r="AB57" s="17">
        <f>_xlfn.XLOOKUP($C57,TB_NG!$E:$E,TB_NG!AD:AD)</f>
        <v>0</v>
      </c>
      <c r="AC57" s="17">
        <f>_xlfn.XLOOKUP($C57,TB_NG!$E:$E,TB_NG!AE:AE)</f>
        <v>0</v>
      </c>
      <c r="AD57" s="17">
        <f>_xlfn.XLOOKUP($C57,TB_NG!$E:$E,TB_NG!AF:AF)</f>
        <v>0</v>
      </c>
      <c r="AE57" s="17">
        <f>_xlfn.XLOOKUP($C57,TB_NG!$E:$E,TB_NG!AG:AG)</f>
        <v>0</v>
      </c>
      <c r="AF57" s="17">
        <f>_xlfn.XLOOKUP($C57,TB_NG!$E:$E,TB_NG!AH:AH)</f>
        <v>0</v>
      </c>
      <c r="AG57" s="17">
        <f>_xlfn.XLOOKUP($C57,TB_NG!$E:$E,TB_NG!AI:AI)</f>
        <v>0</v>
      </c>
      <c r="AH57" s="17">
        <f>_xlfn.XLOOKUP($C57,TB_NG!$E:$E,TB_NG!AJ:AJ)</f>
        <v>0</v>
      </c>
      <c r="AI57" s="17">
        <f>_xlfn.XLOOKUP($C57,TB_NG!$E:$E,TB_NG!AK:AK)</f>
        <v>0</v>
      </c>
      <c r="AJ57" s="17">
        <f>_xlfn.XLOOKUP($C57,TB_NG!$E:$E,TB_NG!AL:AL)</f>
        <v>0</v>
      </c>
      <c r="AK57" s="17">
        <f>_xlfn.XLOOKUP($C57,TB_NG!$E:$E,TB_NG!AM:AM)</f>
        <v>0</v>
      </c>
      <c r="AL57" s="17">
        <f>_xlfn.XLOOKUP($C57,TB_NG!$E:$E,TB_NG!AN:AN)</f>
        <v>0</v>
      </c>
      <c r="AM57" s="17">
        <f>_xlfn.XLOOKUP($C57,TB_NG!$E:$E,TB_NG!AO:AO)</f>
        <v>0</v>
      </c>
    </row>
    <row r="58" spans="2:39" hidden="1" outlineLevel="1" x14ac:dyDescent="0.2">
      <c r="B58" s="21">
        <f>_xlfn.XLOOKUP($C58,TB_NG!$E:$E,TB_NG!A:A)</f>
        <v>11005</v>
      </c>
      <c r="C58" s="16" t="s">
        <v>200</v>
      </c>
      <c r="D58" s="17">
        <f>_xlfn.XLOOKUP($C58,TB_NG!$E:$E,TB_NG!F:F)</f>
        <v>0</v>
      </c>
      <c r="E58" s="17">
        <f>_xlfn.XLOOKUP($C58,TB_NG!$E:$E,TB_NG!G:G)</f>
        <v>0</v>
      </c>
      <c r="F58" s="17">
        <f>_xlfn.XLOOKUP($C58,TB_NG!$E:$E,TB_NG!H:H)</f>
        <v>0</v>
      </c>
      <c r="G58" s="17">
        <f>_xlfn.XLOOKUP($C58,TB_NG!$E:$E,TB_NG!I:I)</f>
        <v>0</v>
      </c>
      <c r="H58" s="17">
        <f>_xlfn.XLOOKUP($C58,TB_NG!$E:$E,TB_NG!J:J)</f>
        <v>0</v>
      </c>
      <c r="I58" s="17">
        <f>_xlfn.XLOOKUP($C58,TB_NG!$E:$E,TB_NG!K:K)</f>
        <v>0</v>
      </c>
      <c r="J58" s="17">
        <f>_xlfn.XLOOKUP($C58,TB_NG!$E:$E,TB_NG!L:L)</f>
        <v>0</v>
      </c>
      <c r="K58" s="17">
        <f>_xlfn.XLOOKUP($C58,TB_NG!$E:$E,TB_NG!M:M)</f>
        <v>0</v>
      </c>
      <c r="L58" s="17">
        <f>_xlfn.XLOOKUP($C58,TB_NG!$E:$E,TB_NG!N:N)</f>
        <v>0</v>
      </c>
      <c r="M58" s="17">
        <f>_xlfn.XLOOKUP($C58,TB_NG!$E:$E,TB_NG!O:O)</f>
        <v>0</v>
      </c>
      <c r="N58" s="17">
        <f>_xlfn.XLOOKUP($C58,TB_NG!$E:$E,TB_NG!P:P)</f>
        <v>0</v>
      </c>
      <c r="O58" s="17">
        <f>_xlfn.XLOOKUP($C58,TB_NG!$E:$E,TB_NG!Q:Q)</f>
        <v>0</v>
      </c>
      <c r="P58" s="17">
        <f>_xlfn.XLOOKUP($C58,TB_NG!$E:$E,TB_NG!R:R)</f>
        <v>0</v>
      </c>
      <c r="Q58" s="17">
        <f>_xlfn.XLOOKUP($C58,TB_NG!$E:$E,TB_NG!S:S)</f>
        <v>0</v>
      </c>
      <c r="R58" s="17">
        <f>_xlfn.XLOOKUP($C58,TB_NG!$E:$E,TB_NG!T:T)</f>
        <v>0</v>
      </c>
      <c r="S58" s="17">
        <f>_xlfn.XLOOKUP($C58,TB_NG!$E:$E,TB_NG!U:U)</f>
        <v>0</v>
      </c>
      <c r="T58" s="17">
        <f>_xlfn.XLOOKUP($C58,TB_NG!$E:$E,TB_NG!V:V)</f>
        <v>0</v>
      </c>
      <c r="U58" s="17">
        <f>_xlfn.XLOOKUP($C58,TB_NG!$E:$E,TB_NG!W:W)</f>
        <v>0</v>
      </c>
      <c r="V58" s="17">
        <f>_xlfn.XLOOKUP($C58,TB_NG!$E:$E,TB_NG!X:X)</f>
        <v>0</v>
      </c>
      <c r="W58" s="17">
        <f>_xlfn.XLOOKUP($C58,TB_NG!$E:$E,TB_NG!Y:Y)</f>
        <v>0</v>
      </c>
      <c r="X58" s="17">
        <f>_xlfn.XLOOKUP($C58,TB_NG!$E:$E,TB_NG!Z:Z)</f>
        <v>0</v>
      </c>
      <c r="Y58" s="17">
        <f>_xlfn.XLOOKUP($C58,TB_NG!$E:$E,TB_NG!AA:AA)</f>
        <v>0</v>
      </c>
      <c r="Z58" s="17">
        <f>_xlfn.XLOOKUP($C58,TB_NG!$E:$E,TB_NG!AB:AB)</f>
        <v>0</v>
      </c>
      <c r="AA58" s="17">
        <f>_xlfn.XLOOKUP($C58,TB_NG!$E:$E,TB_NG!AC:AC)</f>
        <v>0</v>
      </c>
      <c r="AB58" s="17">
        <f>_xlfn.XLOOKUP($C58,TB_NG!$E:$E,TB_NG!AD:AD)</f>
        <v>0</v>
      </c>
      <c r="AC58" s="17">
        <f>_xlfn.XLOOKUP($C58,TB_NG!$E:$E,TB_NG!AE:AE)</f>
        <v>0</v>
      </c>
      <c r="AD58" s="17">
        <f>_xlfn.XLOOKUP($C58,TB_NG!$E:$E,TB_NG!AF:AF)</f>
        <v>0</v>
      </c>
      <c r="AE58" s="17">
        <f>_xlfn.XLOOKUP($C58,TB_NG!$E:$E,TB_NG!AG:AG)</f>
        <v>0</v>
      </c>
      <c r="AF58" s="17">
        <f>_xlfn.XLOOKUP($C58,TB_NG!$E:$E,TB_NG!AH:AH)</f>
        <v>0</v>
      </c>
      <c r="AG58" s="17">
        <f>_xlfn.XLOOKUP($C58,TB_NG!$E:$E,TB_NG!AI:AI)</f>
        <v>0</v>
      </c>
      <c r="AH58" s="17">
        <f>_xlfn.XLOOKUP($C58,TB_NG!$E:$E,TB_NG!AJ:AJ)</f>
        <v>0</v>
      </c>
      <c r="AI58" s="17">
        <f>_xlfn.XLOOKUP($C58,TB_NG!$E:$E,TB_NG!AK:AK)</f>
        <v>0</v>
      </c>
      <c r="AJ58" s="17">
        <f>_xlfn.XLOOKUP($C58,TB_NG!$E:$E,TB_NG!AL:AL)</f>
        <v>0</v>
      </c>
      <c r="AK58" s="17">
        <f>_xlfn.XLOOKUP($C58,TB_NG!$E:$E,TB_NG!AM:AM)</f>
        <v>0</v>
      </c>
      <c r="AL58" s="17">
        <f>_xlfn.XLOOKUP($C58,TB_NG!$E:$E,TB_NG!AN:AN)</f>
        <v>0</v>
      </c>
      <c r="AM58" s="17">
        <f>_xlfn.XLOOKUP($C58,TB_NG!$E:$E,TB_NG!AO:AO)</f>
        <v>0</v>
      </c>
    </row>
    <row r="59" spans="2:39" hidden="1" outlineLevel="1" x14ac:dyDescent="0.2">
      <c r="B59" s="21">
        <f>_xlfn.XLOOKUP($C59,TB_NG!$E:$E,TB_NG!A:A)</f>
        <v>11700</v>
      </c>
      <c r="C59" s="16" t="s">
        <v>201</v>
      </c>
      <c r="D59" s="17">
        <f>_xlfn.XLOOKUP($C59,TB_NG!$E:$E,TB_NG!F:F)</f>
        <v>0</v>
      </c>
      <c r="E59" s="17">
        <f>_xlfn.XLOOKUP($C59,TB_NG!$E:$E,TB_NG!G:G)</f>
        <v>0</v>
      </c>
      <c r="F59" s="17">
        <f>_xlfn.XLOOKUP($C59,TB_NG!$E:$E,TB_NG!H:H)</f>
        <v>0</v>
      </c>
      <c r="G59" s="17">
        <f>_xlfn.XLOOKUP($C59,TB_NG!$E:$E,TB_NG!I:I)</f>
        <v>0</v>
      </c>
      <c r="H59" s="17">
        <f>_xlfn.XLOOKUP($C59,TB_NG!$E:$E,TB_NG!J:J)</f>
        <v>0</v>
      </c>
      <c r="I59" s="17">
        <f>_xlfn.XLOOKUP($C59,TB_NG!$E:$E,TB_NG!K:K)</f>
        <v>0</v>
      </c>
      <c r="J59" s="17">
        <f>_xlfn.XLOOKUP($C59,TB_NG!$E:$E,TB_NG!L:L)</f>
        <v>0</v>
      </c>
      <c r="K59" s="17">
        <f>_xlfn.XLOOKUP($C59,TB_NG!$E:$E,TB_NG!M:M)</f>
        <v>0</v>
      </c>
      <c r="L59" s="17">
        <f>_xlfn.XLOOKUP($C59,TB_NG!$E:$E,TB_NG!N:N)</f>
        <v>0</v>
      </c>
      <c r="M59" s="17">
        <f>_xlfn.XLOOKUP($C59,TB_NG!$E:$E,TB_NG!O:O)</f>
        <v>0</v>
      </c>
      <c r="N59" s="17">
        <f>_xlfn.XLOOKUP($C59,TB_NG!$E:$E,TB_NG!P:P)</f>
        <v>0</v>
      </c>
      <c r="O59" s="17">
        <f>_xlfn.XLOOKUP($C59,TB_NG!$E:$E,TB_NG!Q:Q)</f>
        <v>0</v>
      </c>
      <c r="P59" s="17">
        <f>_xlfn.XLOOKUP($C59,TB_NG!$E:$E,TB_NG!R:R)</f>
        <v>0</v>
      </c>
      <c r="Q59" s="17">
        <f>_xlfn.XLOOKUP($C59,TB_NG!$E:$E,TB_NG!S:S)</f>
        <v>0</v>
      </c>
      <c r="R59" s="17">
        <f>_xlfn.XLOOKUP($C59,TB_NG!$E:$E,TB_NG!T:T)</f>
        <v>0</v>
      </c>
      <c r="S59" s="17">
        <f>_xlfn.XLOOKUP($C59,TB_NG!$E:$E,TB_NG!U:U)</f>
        <v>0</v>
      </c>
      <c r="T59" s="17">
        <f>_xlfn.XLOOKUP($C59,TB_NG!$E:$E,TB_NG!V:V)</f>
        <v>0</v>
      </c>
      <c r="U59" s="17">
        <f>_xlfn.XLOOKUP($C59,TB_NG!$E:$E,TB_NG!W:W)</f>
        <v>0</v>
      </c>
      <c r="V59" s="17">
        <f>_xlfn.XLOOKUP($C59,TB_NG!$E:$E,TB_NG!X:X)</f>
        <v>0</v>
      </c>
      <c r="W59" s="17">
        <f>_xlfn.XLOOKUP($C59,TB_NG!$E:$E,TB_NG!Y:Y)</f>
        <v>0</v>
      </c>
      <c r="X59" s="17">
        <f>_xlfn.XLOOKUP($C59,TB_NG!$E:$E,TB_NG!Z:Z)</f>
        <v>0</v>
      </c>
      <c r="Y59" s="17">
        <f>_xlfn.XLOOKUP($C59,TB_NG!$E:$E,TB_NG!AA:AA)</f>
        <v>0</v>
      </c>
      <c r="Z59" s="17">
        <f>_xlfn.XLOOKUP($C59,TB_NG!$E:$E,TB_NG!AB:AB)</f>
        <v>0</v>
      </c>
      <c r="AA59" s="17">
        <f>_xlfn.XLOOKUP($C59,TB_NG!$E:$E,TB_NG!AC:AC)</f>
        <v>0</v>
      </c>
      <c r="AB59" s="17">
        <f>_xlfn.XLOOKUP($C59,TB_NG!$E:$E,TB_NG!AD:AD)</f>
        <v>0</v>
      </c>
      <c r="AC59" s="17">
        <f>_xlfn.XLOOKUP($C59,TB_NG!$E:$E,TB_NG!AE:AE)</f>
        <v>0</v>
      </c>
      <c r="AD59" s="17">
        <f>_xlfn.XLOOKUP($C59,TB_NG!$E:$E,TB_NG!AF:AF)</f>
        <v>0</v>
      </c>
      <c r="AE59" s="17">
        <f>_xlfn.XLOOKUP($C59,TB_NG!$E:$E,TB_NG!AG:AG)</f>
        <v>0</v>
      </c>
      <c r="AF59" s="17">
        <f>_xlfn.XLOOKUP($C59,TB_NG!$E:$E,TB_NG!AH:AH)</f>
        <v>0</v>
      </c>
      <c r="AG59" s="17">
        <f>_xlfn.XLOOKUP($C59,TB_NG!$E:$E,TB_NG!AI:AI)</f>
        <v>0</v>
      </c>
      <c r="AH59" s="17">
        <f>_xlfn.XLOOKUP($C59,TB_NG!$E:$E,TB_NG!AJ:AJ)</f>
        <v>0</v>
      </c>
      <c r="AI59" s="17">
        <f>_xlfn.XLOOKUP($C59,TB_NG!$E:$E,TB_NG!AK:AK)</f>
        <v>0</v>
      </c>
      <c r="AJ59" s="17">
        <f>_xlfn.XLOOKUP($C59,TB_NG!$E:$E,TB_NG!AL:AL)</f>
        <v>0</v>
      </c>
      <c r="AK59" s="17">
        <f>_xlfn.XLOOKUP($C59,TB_NG!$E:$E,TB_NG!AM:AM)</f>
        <v>0</v>
      </c>
      <c r="AL59" s="17">
        <f>_xlfn.XLOOKUP($C59,TB_NG!$E:$E,TB_NG!AN:AN)</f>
        <v>0</v>
      </c>
      <c r="AM59" s="17">
        <f>_xlfn.XLOOKUP($C59,TB_NG!$E:$E,TB_NG!AO:AO)</f>
        <v>0</v>
      </c>
    </row>
    <row r="60" spans="2:39" hidden="1" outlineLevel="1" x14ac:dyDescent="0.2">
      <c r="B60" s="21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</row>
    <row r="61" spans="2:39" collapsed="1" x14ac:dyDescent="0.2">
      <c r="B61" s="15"/>
      <c r="C61" s="22" t="s">
        <v>32</v>
      </c>
      <c r="D61" s="23">
        <f>SUM(D53:D60)</f>
        <v>156264272.31999999</v>
      </c>
      <c r="E61" s="23">
        <f t="shared" ref="E61:AM61" si="2">SUM(E53:E60)</f>
        <v>564863684.07000005</v>
      </c>
      <c r="F61" s="23">
        <f t="shared" si="2"/>
        <v>855022952.01999998</v>
      </c>
      <c r="G61" s="23">
        <f t="shared" si="2"/>
        <v>845955586.53999996</v>
      </c>
      <c r="H61" s="23">
        <f t="shared" si="2"/>
        <v>677613947.49000001</v>
      </c>
      <c r="I61" s="23">
        <f t="shared" si="2"/>
        <v>641845991.34000003</v>
      </c>
      <c r="J61" s="23">
        <f t="shared" si="2"/>
        <v>680846040.74000001</v>
      </c>
      <c r="K61" s="23">
        <f t="shared" si="2"/>
        <v>503058169.26999998</v>
      </c>
      <c r="L61" s="23">
        <f t="shared" si="2"/>
        <v>384273723.79000002</v>
      </c>
      <c r="M61" s="23">
        <f t="shared" si="2"/>
        <v>261318604.97</v>
      </c>
      <c r="N61" s="23">
        <f t="shared" si="2"/>
        <v>226024768.34999999</v>
      </c>
      <c r="O61" s="23">
        <f t="shared" si="2"/>
        <v>1302620817.1600001</v>
      </c>
      <c r="P61" s="23">
        <f t="shared" si="2"/>
        <v>1236827968.52</v>
      </c>
      <c r="Q61" s="23">
        <f t="shared" si="2"/>
        <v>1273270111.49</v>
      </c>
      <c r="R61" s="23">
        <f t="shared" si="2"/>
        <v>518778937.31</v>
      </c>
      <c r="S61" s="23">
        <f t="shared" si="2"/>
        <v>438828428.83999997</v>
      </c>
      <c r="T61" s="23">
        <f t="shared" si="2"/>
        <v>490025471.18000001</v>
      </c>
      <c r="U61" s="23">
        <f t="shared" si="2"/>
        <v>83560599.980000004</v>
      </c>
      <c r="V61" s="23">
        <f t="shared" si="2"/>
        <v>85682880.909999996</v>
      </c>
      <c r="W61" s="23">
        <f t="shared" si="2"/>
        <v>132495694.84</v>
      </c>
      <c r="X61" s="23">
        <f t="shared" si="2"/>
        <v>145474271.58000001</v>
      </c>
      <c r="Y61" s="23">
        <f t="shared" si="2"/>
        <v>175308641.75999999</v>
      </c>
      <c r="Z61" s="23">
        <f t="shared" si="2"/>
        <v>172662378.19999999</v>
      </c>
      <c r="AA61" s="23">
        <f t="shared" si="2"/>
        <v>215046153.13999999</v>
      </c>
      <c r="AB61" s="23">
        <f t="shared" si="2"/>
        <v>470028366.91000003</v>
      </c>
      <c r="AC61" s="23">
        <f t="shared" si="2"/>
        <v>738813643.82000005</v>
      </c>
      <c r="AD61" s="23">
        <f t="shared" si="2"/>
        <v>701404828.05999994</v>
      </c>
      <c r="AE61" s="23">
        <f t="shared" si="2"/>
        <v>573307915.97000003</v>
      </c>
      <c r="AF61" s="23">
        <f t="shared" si="2"/>
        <v>0</v>
      </c>
      <c r="AG61" s="23">
        <f t="shared" si="2"/>
        <v>0</v>
      </c>
      <c r="AH61" s="23">
        <f t="shared" si="2"/>
        <v>0</v>
      </c>
      <c r="AI61" s="23">
        <f t="shared" si="2"/>
        <v>0</v>
      </c>
      <c r="AJ61" s="23">
        <f t="shared" si="2"/>
        <v>0</v>
      </c>
      <c r="AK61" s="23">
        <f t="shared" si="2"/>
        <v>0</v>
      </c>
      <c r="AL61" s="23">
        <f t="shared" si="2"/>
        <v>0</v>
      </c>
      <c r="AM61" s="23">
        <f t="shared" si="2"/>
        <v>0</v>
      </c>
    </row>
    <row r="62" spans="2:39" x14ac:dyDescent="0.2">
      <c r="B62" s="21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</row>
    <row r="63" spans="2:39" hidden="1" outlineLevel="1" x14ac:dyDescent="0.2">
      <c r="B63" s="21"/>
      <c r="C63" s="20" t="s">
        <v>202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</row>
    <row r="64" spans="2:39" hidden="1" outlineLevel="1" x14ac:dyDescent="0.2">
      <c r="B64" s="21">
        <f>_xlfn.XLOOKUP($C64,TB_NG!$E:$E,TB_NG!A:A)</f>
        <v>12100</v>
      </c>
      <c r="C64" s="16" t="s">
        <v>203</v>
      </c>
      <c r="D64" s="17">
        <f>_xlfn.XLOOKUP($C64,TB_NG!$E:$E,TB_NG!F:F)</f>
        <v>94581089.150000006</v>
      </c>
      <c r="E64" s="17">
        <f>_xlfn.XLOOKUP($C64,TB_NG!$E:$E,TB_NG!G:G)</f>
        <v>94581089.150000006</v>
      </c>
      <c r="F64" s="17">
        <f>_xlfn.XLOOKUP($C64,TB_NG!$E:$E,TB_NG!H:H)</f>
        <v>94581089.150000006</v>
      </c>
      <c r="G64" s="17">
        <f>_xlfn.XLOOKUP($C64,TB_NG!$E:$E,TB_NG!I:I)</f>
        <v>94581089.150000006</v>
      </c>
      <c r="H64" s="17">
        <f>_xlfn.XLOOKUP($C64,TB_NG!$E:$E,TB_NG!J:J)</f>
        <v>94581089.150000006</v>
      </c>
      <c r="I64" s="17">
        <f>_xlfn.XLOOKUP($C64,TB_NG!$E:$E,TB_NG!K:K)</f>
        <v>94581089.150000006</v>
      </c>
      <c r="J64" s="17">
        <f>_xlfn.XLOOKUP($C64,TB_NG!$E:$E,TB_NG!L:L)</f>
        <v>94581089.150000006</v>
      </c>
      <c r="K64" s="17">
        <f>_xlfn.XLOOKUP($C64,TB_NG!$E:$E,TB_NG!M:M)</f>
        <v>94581089.150000006</v>
      </c>
      <c r="L64" s="17">
        <f>_xlfn.XLOOKUP($C64,TB_NG!$E:$E,TB_NG!N:N)</f>
        <v>94581089.150000006</v>
      </c>
      <c r="M64" s="17">
        <f>_xlfn.XLOOKUP($C64,TB_NG!$E:$E,TB_NG!O:O)</f>
        <v>94581089.150000006</v>
      </c>
      <c r="N64" s="17">
        <f>_xlfn.XLOOKUP($C64,TB_NG!$E:$E,TB_NG!P:P)</f>
        <v>94581089.150000006</v>
      </c>
      <c r="O64" s="17">
        <f>_xlfn.XLOOKUP($C64,TB_NG!$E:$E,TB_NG!Q:Q)</f>
        <v>94581089.150000006</v>
      </c>
      <c r="P64" s="17">
        <f>_xlfn.XLOOKUP($C64,TB_NG!$E:$E,TB_NG!R:R)</f>
        <v>94581089.150000006</v>
      </c>
      <c r="Q64" s="17">
        <f>_xlfn.XLOOKUP($C64,TB_NG!$E:$E,TB_NG!S:S)</f>
        <v>94581089.150000006</v>
      </c>
      <c r="R64" s="17">
        <f>_xlfn.XLOOKUP($C64,TB_NG!$E:$E,TB_NG!T:T)</f>
        <v>87411677.140000001</v>
      </c>
      <c r="S64" s="17">
        <f>_xlfn.XLOOKUP($C64,TB_NG!$E:$E,TB_NG!U:U)</f>
        <v>78587785.299999997</v>
      </c>
      <c r="T64" s="17">
        <f>_xlfn.XLOOKUP($C64,TB_NG!$E:$E,TB_NG!V:V)</f>
        <v>71142626.680000007</v>
      </c>
      <c r="U64" s="17">
        <f>_xlfn.XLOOKUP($C64,TB_NG!$E:$E,TB_NG!W:W)</f>
        <v>71142626.680000007</v>
      </c>
      <c r="V64" s="17">
        <f>_xlfn.XLOOKUP($C64,TB_NG!$E:$E,TB_NG!X:X)</f>
        <v>56803802.659999996</v>
      </c>
      <c r="W64" s="17">
        <f>_xlfn.XLOOKUP($C64,TB_NG!$E:$E,TB_NG!Y:Y)</f>
        <v>56803802.659999996</v>
      </c>
      <c r="X64" s="17">
        <f>_xlfn.XLOOKUP($C64,TB_NG!$E:$E,TB_NG!Z:Z)</f>
        <v>55976562.82</v>
      </c>
      <c r="Y64" s="17">
        <f>_xlfn.XLOOKUP($C64,TB_NG!$E:$E,TB_NG!AA:AA)</f>
        <v>55976562.82</v>
      </c>
      <c r="Z64" s="17">
        <f>_xlfn.XLOOKUP($C64,TB_NG!$E:$E,TB_NG!AB:AB)</f>
        <v>55700816.210000001</v>
      </c>
      <c r="AA64" s="17">
        <f>_xlfn.XLOOKUP($C64,TB_NG!$E:$E,TB_NG!AC:AC)</f>
        <v>55425069.600000001</v>
      </c>
      <c r="AB64" s="17">
        <f>_xlfn.XLOOKUP($C64,TB_NG!$E:$E,TB_NG!AD:AD)</f>
        <v>54597829.740000002</v>
      </c>
      <c r="AC64" s="17">
        <f>_xlfn.XLOOKUP($C64,TB_NG!$E:$E,TB_NG!AE:AE)</f>
        <v>46325431.140000001</v>
      </c>
      <c r="AD64" s="17">
        <f>_xlfn.XLOOKUP($C64,TB_NG!$E:$E,TB_NG!AF:AF)</f>
        <v>46325431.140000001</v>
      </c>
      <c r="AE64" s="17">
        <f>_xlfn.XLOOKUP($C64,TB_NG!$E:$E,TB_NG!AG:AG)</f>
        <v>45773937.899999999</v>
      </c>
      <c r="AF64" s="17">
        <f>_xlfn.XLOOKUP($C64,TB_NG!$E:$E,TB_NG!AH:AH)</f>
        <v>0</v>
      </c>
      <c r="AG64" s="17">
        <f>_xlfn.XLOOKUP($C64,TB_NG!$E:$E,TB_NG!AI:AI)</f>
        <v>0</v>
      </c>
      <c r="AH64" s="17">
        <f>_xlfn.XLOOKUP($C64,TB_NG!$E:$E,TB_NG!AJ:AJ)</f>
        <v>0</v>
      </c>
      <c r="AI64" s="17">
        <f>_xlfn.XLOOKUP($C64,TB_NG!$E:$E,TB_NG!AK:AK)</f>
        <v>0</v>
      </c>
      <c r="AJ64" s="17">
        <f>_xlfn.XLOOKUP($C64,TB_NG!$E:$E,TB_NG!AL:AL)</f>
        <v>0</v>
      </c>
      <c r="AK64" s="17">
        <f>_xlfn.XLOOKUP($C64,TB_NG!$E:$E,TB_NG!AM:AM)</f>
        <v>0</v>
      </c>
      <c r="AL64" s="17">
        <f>_xlfn.XLOOKUP($C64,TB_NG!$E:$E,TB_NG!AN:AN)</f>
        <v>0</v>
      </c>
      <c r="AM64" s="17">
        <f>_xlfn.XLOOKUP($C64,TB_NG!$E:$E,TB_NG!AO:AO)</f>
        <v>0</v>
      </c>
    </row>
    <row r="65" spans="2:39" hidden="1" outlineLevel="1" x14ac:dyDescent="0.2">
      <c r="B65" s="21">
        <f>_xlfn.XLOOKUP($C65,TB_NG!$E:$E,TB_NG!A:A)</f>
        <v>12101</v>
      </c>
      <c r="C65" s="16" t="s">
        <v>204</v>
      </c>
      <c r="D65" s="17">
        <f>_xlfn.XLOOKUP($C65,TB_NG!$E:$E,TB_NG!F:F)</f>
        <v>0</v>
      </c>
      <c r="E65" s="17">
        <f>_xlfn.XLOOKUP($C65,TB_NG!$E:$E,TB_NG!G:G)</f>
        <v>0</v>
      </c>
      <c r="F65" s="17">
        <f>_xlfn.XLOOKUP($C65,TB_NG!$E:$E,TB_NG!H:H)</f>
        <v>0</v>
      </c>
      <c r="G65" s="17">
        <f>_xlfn.XLOOKUP($C65,TB_NG!$E:$E,TB_NG!I:I)</f>
        <v>0</v>
      </c>
      <c r="H65" s="17">
        <f>_xlfn.XLOOKUP($C65,TB_NG!$E:$E,TB_NG!J:J)</f>
        <v>0</v>
      </c>
      <c r="I65" s="17">
        <f>_xlfn.XLOOKUP($C65,TB_NG!$E:$E,TB_NG!K:K)</f>
        <v>0</v>
      </c>
      <c r="J65" s="17">
        <f>_xlfn.XLOOKUP($C65,TB_NG!$E:$E,TB_NG!L:L)</f>
        <v>0</v>
      </c>
      <c r="K65" s="17">
        <f>_xlfn.XLOOKUP($C65,TB_NG!$E:$E,TB_NG!M:M)</f>
        <v>0</v>
      </c>
      <c r="L65" s="17">
        <f>_xlfn.XLOOKUP($C65,TB_NG!$E:$E,TB_NG!N:N)</f>
        <v>0</v>
      </c>
      <c r="M65" s="17">
        <f>_xlfn.XLOOKUP($C65,TB_NG!$E:$E,TB_NG!O:O)</f>
        <v>0</v>
      </c>
      <c r="N65" s="17">
        <f>_xlfn.XLOOKUP($C65,TB_NG!$E:$E,TB_NG!P:P)</f>
        <v>0</v>
      </c>
      <c r="O65" s="17">
        <f>_xlfn.XLOOKUP($C65,TB_NG!$E:$E,TB_NG!Q:Q)</f>
        <v>0</v>
      </c>
      <c r="P65" s="17">
        <f>_xlfn.XLOOKUP($C65,TB_NG!$E:$E,TB_NG!R:R)</f>
        <v>0</v>
      </c>
      <c r="Q65" s="17">
        <f>_xlfn.XLOOKUP($C65,TB_NG!$E:$E,TB_NG!S:S)</f>
        <v>0</v>
      </c>
      <c r="R65" s="17">
        <f>_xlfn.XLOOKUP($C65,TB_NG!$E:$E,TB_NG!T:T)</f>
        <v>0</v>
      </c>
      <c r="S65" s="17">
        <f>_xlfn.XLOOKUP($C65,TB_NG!$E:$E,TB_NG!U:U)</f>
        <v>0</v>
      </c>
      <c r="T65" s="17">
        <f>_xlfn.XLOOKUP($C65,TB_NG!$E:$E,TB_NG!V:V)</f>
        <v>0</v>
      </c>
      <c r="U65" s="17">
        <f>_xlfn.XLOOKUP($C65,TB_NG!$E:$E,TB_NG!W:W)</f>
        <v>0</v>
      </c>
      <c r="V65" s="17">
        <f>_xlfn.XLOOKUP($C65,TB_NG!$E:$E,TB_NG!X:X)</f>
        <v>0</v>
      </c>
      <c r="W65" s="17">
        <f>_xlfn.XLOOKUP($C65,TB_NG!$E:$E,TB_NG!Y:Y)</f>
        <v>0</v>
      </c>
      <c r="X65" s="17">
        <f>_xlfn.XLOOKUP($C65,TB_NG!$E:$E,TB_NG!Z:Z)</f>
        <v>0</v>
      </c>
      <c r="Y65" s="17">
        <f>_xlfn.XLOOKUP($C65,TB_NG!$E:$E,TB_NG!AA:AA)</f>
        <v>0</v>
      </c>
      <c r="Z65" s="17">
        <f>_xlfn.XLOOKUP($C65,TB_NG!$E:$E,TB_NG!AB:AB)</f>
        <v>0</v>
      </c>
      <c r="AA65" s="17">
        <f>_xlfn.XLOOKUP($C65,TB_NG!$E:$E,TB_NG!AC:AC)</f>
        <v>0</v>
      </c>
      <c r="AB65" s="17">
        <f>_xlfn.XLOOKUP($C65,TB_NG!$E:$E,TB_NG!AD:AD)</f>
        <v>0</v>
      </c>
      <c r="AC65" s="17">
        <f>_xlfn.XLOOKUP($C65,TB_NG!$E:$E,TB_NG!AE:AE)</f>
        <v>0</v>
      </c>
      <c r="AD65" s="17">
        <f>_xlfn.XLOOKUP($C65,TB_NG!$E:$E,TB_NG!AF:AF)</f>
        <v>0</v>
      </c>
      <c r="AE65" s="17">
        <f>_xlfn.XLOOKUP($C65,TB_NG!$E:$E,TB_NG!AG:AG)</f>
        <v>0</v>
      </c>
      <c r="AF65" s="17">
        <f>_xlfn.XLOOKUP($C65,TB_NG!$E:$E,TB_NG!AH:AH)</f>
        <v>0</v>
      </c>
      <c r="AG65" s="17">
        <f>_xlfn.XLOOKUP($C65,TB_NG!$E:$E,TB_NG!AI:AI)</f>
        <v>0</v>
      </c>
      <c r="AH65" s="17">
        <f>_xlfn.XLOOKUP($C65,TB_NG!$E:$E,TB_NG!AJ:AJ)</f>
        <v>0</v>
      </c>
      <c r="AI65" s="17">
        <f>_xlfn.XLOOKUP($C65,TB_NG!$E:$E,TB_NG!AK:AK)</f>
        <v>0</v>
      </c>
      <c r="AJ65" s="17">
        <f>_xlfn.XLOOKUP($C65,TB_NG!$E:$E,TB_NG!AL:AL)</f>
        <v>0</v>
      </c>
      <c r="AK65" s="17">
        <f>_xlfn.XLOOKUP($C65,TB_NG!$E:$E,TB_NG!AM:AM)</f>
        <v>0</v>
      </c>
      <c r="AL65" s="17">
        <f>_xlfn.XLOOKUP($C65,TB_NG!$E:$E,TB_NG!AN:AN)</f>
        <v>0</v>
      </c>
      <c r="AM65" s="17">
        <f>_xlfn.XLOOKUP($C65,TB_NG!$E:$E,TB_NG!AO:AO)</f>
        <v>0</v>
      </c>
    </row>
    <row r="66" spans="2:39" hidden="1" outlineLevel="1" x14ac:dyDescent="0.2">
      <c r="B66" s="21">
        <f>_xlfn.XLOOKUP($C66,TB_NG!$E:$E,TB_NG!A:A)</f>
        <v>12200</v>
      </c>
      <c r="C66" s="16" t="s">
        <v>205</v>
      </c>
      <c r="D66" s="17">
        <f>_xlfn.XLOOKUP($C66,TB_NG!$E:$E,TB_NG!F:F)</f>
        <v>0</v>
      </c>
      <c r="E66" s="17">
        <f>_xlfn.XLOOKUP($C66,TB_NG!$E:$E,TB_NG!G:G)</f>
        <v>0</v>
      </c>
      <c r="F66" s="17">
        <f>_xlfn.XLOOKUP($C66,TB_NG!$E:$E,TB_NG!H:H)</f>
        <v>0</v>
      </c>
      <c r="G66" s="17">
        <f>_xlfn.XLOOKUP($C66,TB_NG!$E:$E,TB_NG!I:I)</f>
        <v>0</v>
      </c>
      <c r="H66" s="17">
        <f>_xlfn.XLOOKUP($C66,TB_NG!$E:$E,TB_NG!J:J)</f>
        <v>0</v>
      </c>
      <c r="I66" s="17">
        <f>_xlfn.XLOOKUP($C66,TB_NG!$E:$E,TB_NG!K:K)</f>
        <v>0</v>
      </c>
      <c r="J66" s="17">
        <f>_xlfn.XLOOKUP($C66,TB_NG!$E:$E,TB_NG!L:L)</f>
        <v>0</v>
      </c>
      <c r="K66" s="17">
        <f>_xlfn.XLOOKUP($C66,TB_NG!$E:$E,TB_NG!M:M)</f>
        <v>0</v>
      </c>
      <c r="L66" s="17">
        <f>_xlfn.XLOOKUP($C66,TB_NG!$E:$E,TB_NG!N:N)</f>
        <v>0</v>
      </c>
      <c r="M66" s="17">
        <f>_xlfn.XLOOKUP($C66,TB_NG!$E:$E,TB_NG!O:O)</f>
        <v>0</v>
      </c>
      <c r="N66" s="17">
        <f>_xlfn.XLOOKUP($C66,TB_NG!$E:$E,TB_NG!P:P)</f>
        <v>0</v>
      </c>
      <c r="O66" s="17">
        <f>_xlfn.XLOOKUP($C66,TB_NG!$E:$E,TB_NG!Q:Q)</f>
        <v>0</v>
      </c>
      <c r="P66" s="17">
        <f>_xlfn.XLOOKUP($C66,TB_NG!$E:$E,TB_NG!R:R)</f>
        <v>0</v>
      </c>
      <c r="Q66" s="17">
        <f>_xlfn.XLOOKUP($C66,TB_NG!$E:$E,TB_NG!S:S)</f>
        <v>0</v>
      </c>
      <c r="R66" s="17">
        <f>_xlfn.XLOOKUP($C66,TB_NG!$E:$E,TB_NG!T:T)</f>
        <v>0</v>
      </c>
      <c r="S66" s="17">
        <f>_xlfn.XLOOKUP($C66,TB_NG!$E:$E,TB_NG!U:U)</f>
        <v>0</v>
      </c>
      <c r="T66" s="17">
        <f>_xlfn.XLOOKUP($C66,TB_NG!$E:$E,TB_NG!V:V)</f>
        <v>0</v>
      </c>
      <c r="U66" s="17">
        <f>_xlfn.XLOOKUP($C66,TB_NG!$E:$E,TB_NG!W:W)</f>
        <v>0</v>
      </c>
      <c r="V66" s="17">
        <f>_xlfn.XLOOKUP($C66,TB_NG!$E:$E,TB_NG!X:X)</f>
        <v>0</v>
      </c>
      <c r="W66" s="17">
        <f>_xlfn.XLOOKUP($C66,TB_NG!$E:$E,TB_NG!Y:Y)</f>
        <v>0</v>
      </c>
      <c r="X66" s="17">
        <f>_xlfn.XLOOKUP($C66,TB_NG!$E:$E,TB_NG!Z:Z)</f>
        <v>0</v>
      </c>
      <c r="Y66" s="17">
        <f>_xlfn.XLOOKUP($C66,TB_NG!$E:$E,TB_NG!AA:AA)</f>
        <v>0</v>
      </c>
      <c r="Z66" s="17">
        <f>_xlfn.XLOOKUP($C66,TB_NG!$E:$E,TB_NG!AB:AB)</f>
        <v>0</v>
      </c>
      <c r="AA66" s="17">
        <f>_xlfn.XLOOKUP($C66,TB_NG!$E:$E,TB_NG!AC:AC)</f>
        <v>0</v>
      </c>
      <c r="AB66" s="17">
        <f>_xlfn.XLOOKUP($C66,TB_NG!$E:$E,TB_NG!AD:AD)</f>
        <v>0</v>
      </c>
      <c r="AC66" s="17">
        <f>_xlfn.XLOOKUP($C66,TB_NG!$E:$E,TB_NG!AE:AE)</f>
        <v>0</v>
      </c>
      <c r="AD66" s="17">
        <f>_xlfn.XLOOKUP($C66,TB_NG!$E:$E,TB_NG!AF:AF)</f>
        <v>0</v>
      </c>
      <c r="AE66" s="17">
        <f>_xlfn.XLOOKUP($C66,TB_NG!$E:$E,TB_NG!AG:AG)</f>
        <v>0</v>
      </c>
      <c r="AF66" s="17">
        <f>_xlfn.XLOOKUP($C66,TB_NG!$E:$E,TB_NG!AH:AH)</f>
        <v>0</v>
      </c>
      <c r="AG66" s="17">
        <f>_xlfn.XLOOKUP($C66,TB_NG!$E:$E,TB_NG!AI:AI)</f>
        <v>0</v>
      </c>
      <c r="AH66" s="17">
        <f>_xlfn.XLOOKUP($C66,TB_NG!$E:$E,TB_NG!AJ:AJ)</f>
        <v>0</v>
      </c>
      <c r="AI66" s="17">
        <f>_xlfn.XLOOKUP($C66,TB_NG!$E:$E,TB_NG!AK:AK)</f>
        <v>0</v>
      </c>
      <c r="AJ66" s="17">
        <f>_xlfn.XLOOKUP($C66,TB_NG!$E:$E,TB_NG!AL:AL)</f>
        <v>0</v>
      </c>
      <c r="AK66" s="17">
        <f>_xlfn.XLOOKUP($C66,TB_NG!$E:$E,TB_NG!AM:AM)</f>
        <v>0</v>
      </c>
      <c r="AL66" s="17">
        <f>_xlfn.XLOOKUP($C66,TB_NG!$E:$E,TB_NG!AN:AN)</f>
        <v>0</v>
      </c>
      <c r="AM66" s="17">
        <f>_xlfn.XLOOKUP($C66,TB_NG!$E:$E,TB_NG!AO:AO)</f>
        <v>0</v>
      </c>
    </row>
    <row r="67" spans="2:39" hidden="1" outlineLevel="1" x14ac:dyDescent="0.2">
      <c r="B67" s="21">
        <f>_xlfn.XLOOKUP($C67,TB_NG!$E:$E,TB_NG!A:A)</f>
        <v>12300</v>
      </c>
      <c r="C67" s="16" t="s">
        <v>206</v>
      </c>
      <c r="D67" s="17">
        <f>_xlfn.XLOOKUP($C67,TB_NG!$E:$E,TB_NG!F:F)</f>
        <v>0</v>
      </c>
      <c r="E67" s="17">
        <f>_xlfn.XLOOKUP($C67,TB_NG!$E:$E,TB_NG!G:G)</f>
        <v>0</v>
      </c>
      <c r="F67" s="17">
        <f>_xlfn.XLOOKUP($C67,TB_NG!$E:$E,TB_NG!H:H)</f>
        <v>0</v>
      </c>
      <c r="G67" s="17">
        <f>_xlfn.XLOOKUP($C67,TB_NG!$E:$E,TB_NG!I:I)</f>
        <v>0</v>
      </c>
      <c r="H67" s="17">
        <f>_xlfn.XLOOKUP($C67,TB_NG!$E:$E,TB_NG!J:J)</f>
        <v>0</v>
      </c>
      <c r="I67" s="17">
        <f>_xlfn.XLOOKUP($C67,TB_NG!$E:$E,TB_NG!K:K)</f>
        <v>0</v>
      </c>
      <c r="J67" s="17">
        <f>_xlfn.XLOOKUP($C67,TB_NG!$E:$E,TB_NG!L:L)</f>
        <v>0</v>
      </c>
      <c r="K67" s="17">
        <f>_xlfn.XLOOKUP($C67,TB_NG!$E:$E,TB_NG!M:M)</f>
        <v>0</v>
      </c>
      <c r="L67" s="17">
        <f>_xlfn.XLOOKUP($C67,TB_NG!$E:$E,TB_NG!N:N)</f>
        <v>0</v>
      </c>
      <c r="M67" s="17">
        <f>_xlfn.XLOOKUP($C67,TB_NG!$E:$E,TB_NG!O:O)</f>
        <v>0</v>
      </c>
      <c r="N67" s="17">
        <f>_xlfn.XLOOKUP($C67,TB_NG!$E:$E,TB_NG!P:P)</f>
        <v>0</v>
      </c>
      <c r="O67" s="17">
        <f>_xlfn.XLOOKUP($C67,TB_NG!$E:$E,TB_NG!Q:Q)</f>
        <v>0</v>
      </c>
      <c r="P67" s="17">
        <f>_xlfn.XLOOKUP($C67,TB_NG!$E:$E,TB_NG!R:R)</f>
        <v>0</v>
      </c>
      <c r="Q67" s="17">
        <f>_xlfn.XLOOKUP($C67,TB_NG!$E:$E,TB_NG!S:S)</f>
        <v>0</v>
      </c>
      <c r="R67" s="17">
        <f>_xlfn.XLOOKUP($C67,TB_NG!$E:$E,TB_NG!T:T)</f>
        <v>0</v>
      </c>
      <c r="S67" s="17">
        <f>_xlfn.XLOOKUP($C67,TB_NG!$E:$E,TB_NG!U:U)</f>
        <v>0</v>
      </c>
      <c r="T67" s="17">
        <f>_xlfn.XLOOKUP($C67,TB_NG!$E:$E,TB_NG!V:V)</f>
        <v>0</v>
      </c>
      <c r="U67" s="17">
        <f>_xlfn.XLOOKUP($C67,TB_NG!$E:$E,TB_NG!W:W)</f>
        <v>0</v>
      </c>
      <c r="V67" s="17">
        <f>_xlfn.XLOOKUP($C67,TB_NG!$E:$E,TB_NG!X:X)</f>
        <v>0</v>
      </c>
      <c r="W67" s="17">
        <f>_xlfn.XLOOKUP($C67,TB_NG!$E:$E,TB_NG!Y:Y)</f>
        <v>0</v>
      </c>
      <c r="X67" s="17">
        <f>_xlfn.XLOOKUP($C67,TB_NG!$E:$E,TB_NG!Z:Z)</f>
        <v>0</v>
      </c>
      <c r="Y67" s="17">
        <f>_xlfn.XLOOKUP($C67,TB_NG!$E:$E,TB_NG!AA:AA)</f>
        <v>0</v>
      </c>
      <c r="Z67" s="17">
        <f>_xlfn.XLOOKUP($C67,TB_NG!$E:$E,TB_NG!AB:AB)</f>
        <v>0</v>
      </c>
      <c r="AA67" s="17">
        <f>_xlfn.XLOOKUP($C67,TB_NG!$E:$E,TB_NG!AC:AC)</f>
        <v>0</v>
      </c>
      <c r="AB67" s="17">
        <f>_xlfn.XLOOKUP($C67,TB_NG!$E:$E,TB_NG!AD:AD)</f>
        <v>0</v>
      </c>
      <c r="AC67" s="17">
        <f>_xlfn.XLOOKUP($C67,TB_NG!$E:$E,TB_NG!AE:AE)</f>
        <v>0</v>
      </c>
      <c r="AD67" s="17">
        <f>_xlfn.XLOOKUP($C67,TB_NG!$E:$E,TB_NG!AF:AF)</f>
        <v>0</v>
      </c>
      <c r="AE67" s="17">
        <f>_xlfn.XLOOKUP($C67,TB_NG!$E:$E,TB_NG!AG:AG)</f>
        <v>0</v>
      </c>
      <c r="AF67" s="17">
        <f>_xlfn.XLOOKUP($C67,TB_NG!$E:$E,TB_NG!AH:AH)</f>
        <v>0</v>
      </c>
      <c r="AG67" s="17">
        <f>_xlfn.XLOOKUP($C67,TB_NG!$E:$E,TB_NG!AI:AI)</f>
        <v>0</v>
      </c>
      <c r="AH67" s="17">
        <f>_xlfn.XLOOKUP($C67,TB_NG!$E:$E,TB_NG!AJ:AJ)</f>
        <v>0</v>
      </c>
      <c r="AI67" s="17">
        <f>_xlfn.XLOOKUP($C67,TB_NG!$E:$E,TB_NG!AK:AK)</f>
        <v>0</v>
      </c>
      <c r="AJ67" s="17">
        <f>_xlfn.XLOOKUP($C67,TB_NG!$E:$E,TB_NG!AL:AL)</f>
        <v>0</v>
      </c>
      <c r="AK67" s="17">
        <f>_xlfn.XLOOKUP($C67,TB_NG!$E:$E,TB_NG!AM:AM)</f>
        <v>0</v>
      </c>
      <c r="AL67" s="17">
        <f>_xlfn.XLOOKUP($C67,TB_NG!$E:$E,TB_NG!AN:AN)</f>
        <v>0</v>
      </c>
      <c r="AM67" s="17">
        <f>_xlfn.XLOOKUP($C67,TB_NG!$E:$E,TB_NG!AO:AO)</f>
        <v>0</v>
      </c>
    </row>
    <row r="68" spans="2:39" hidden="1" outlineLevel="1" x14ac:dyDescent="0.2">
      <c r="B68" s="21"/>
      <c r="C68" s="1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</row>
    <row r="69" spans="2:39" collapsed="1" x14ac:dyDescent="0.2">
      <c r="B69" s="15"/>
      <c r="C69" s="22" t="s">
        <v>34</v>
      </c>
      <c r="D69" s="23">
        <f t="shared" ref="D69:AM69" si="3">SUM(D64:D68)</f>
        <v>94581089.150000006</v>
      </c>
      <c r="E69" s="23">
        <f t="shared" si="3"/>
        <v>94581089.150000006</v>
      </c>
      <c r="F69" s="23">
        <f t="shared" si="3"/>
        <v>94581089.150000006</v>
      </c>
      <c r="G69" s="23">
        <f t="shared" si="3"/>
        <v>94581089.150000006</v>
      </c>
      <c r="H69" s="23">
        <f t="shared" si="3"/>
        <v>94581089.150000006</v>
      </c>
      <c r="I69" s="23">
        <f t="shared" si="3"/>
        <v>94581089.150000006</v>
      </c>
      <c r="J69" s="23">
        <f t="shared" si="3"/>
        <v>94581089.150000006</v>
      </c>
      <c r="K69" s="23">
        <f t="shared" si="3"/>
        <v>94581089.150000006</v>
      </c>
      <c r="L69" s="23">
        <f t="shared" si="3"/>
        <v>94581089.150000006</v>
      </c>
      <c r="M69" s="23">
        <f t="shared" si="3"/>
        <v>94581089.150000006</v>
      </c>
      <c r="N69" s="23">
        <f t="shared" si="3"/>
        <v>94581089.150000006</v>
      </c>
      <c r="O69" s="23">
        <f t="shared" si="3"/>
        <v>94581089.150000006</v>
      </c>
      <c r="P69" s="23">
        <f t="shared" si="3"/>
        <v>94581089.150000006</v>
      </c>
      <c r="Q69" s="23">
        <f t="shared" si="3"/>
        <v>94581089.150000006</v>
      </c>
      <c r="R69" s="23">
        <f t="shared" si="3"/>
        <v>87411677.140000001</v>
      </c>
      <c r="S69" s="23">
        <f t="shared" si="3"/>
        <v>78587785.299999997</v>
      </c>
      <c r="T69" s="23">
        <f t="shared" si="3"/>
        <v>71142626.680000007</v>
      </c>
      <c r="U69" s="23">
        <f t="shared" si="3"/>
        <v>71142626.680000007</v>
      </c>
      <c r="V69" s="23">
        <f t="shared" si="3"/>
        <v>56803802.659999996</v>
      </c>
      <c r="W69" s="23">
        <f t="shared" si="3"/>
        <v>56803802.659999996</v>
      </c>
      <c r="X69" s="23">
        <f t="shared" si="3"/>
        <v>55976562.82</v>
      </c>
      <c r="Y69" s="23">
        <f t="shared" si="3"/>
        <v>55976562.82</v>
      </c>
      <c r="Z69" s="23">
        <f t="shared" si="3"/>
        <v>55700816.210000001</v>
      </c>
      <c r="AA69" s="23">
        <f t="shared" si="3"/>
        <v>55425069.600000001</v>
      </c>
      <c r="AB69" s="23">
        <f t="shared" si="3"/>
        <v>54597829.740000002</v>
      </c>
      <c r="AC69" s="23">
        <f t="shared" si="3"/>
        <v>46325431.140000001</v>
      </c>
      <c r="AD69" s="23">
        <f t="shared" si="3"/>
        <v>46325431.140000001</v>
      </c>
      <c r="AE69" s="23">
        <f t="shared" si="3"/>
        <v>45773937.899999999</v>
      </c>
      <c r="AF69" s="23">
        <f t="shared" si="3"/>
        <v>0</v>
      </c>
      <c r="AG69" s="23">
        <f t="shared" si="3"/>
        <v>0</v>
      </c>
      <c r="AH69" s="23">
        <f t="shared" si="3"/>
        <v>0</v>
      </c>
      <c r="AI69" s="23">
        <f t="shared" si="3"/>
        <v>0</v>
      </c>
      <c r="AJ69" s="23">
        <f t="shared" si="3"/>
        <v>0</v>
      </c>
      <c r="AK69" s="23">
        <f t="shared" si="3"/>
        <v>0</v>
      </c>
      <c r="AL69" s="23">
        <f t="shared" si="3"/>
        <v>0</v>
      </c>
      <c r="AM69" s="23">
        <f t="shared" si="3"/>
        <v>0</v>
      </c>
    </row>
    <row r="70" spans="2:39" x14ac:dyDescent="0.2">
      <c r="B70" s="21"/>
      <c r="C70" s="1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</row>
    <row r="71" spans="2:39" hidden="1" outlineLevel="1" x14ac:dyDescent="0.2">
      <c r="B71" s="21"/>
      <c r="C71" s="20" t="s">
        <v>207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</row>
    <row r="72" spans="2:39" hidden="1" outlineLevel="1" x14ac:dyDescent="0.2">
      <c r="B72" s="21">
        <f>_xlfn.XLOOKUP($C72,TB_NG!$E:$E,TB_NG!A:A)</f>
        <v>13116</v>
      </c>
      <c r="C72" s="16" t="s">
        <v>208</v>
      </c>
      <c r="D72" s="17">
        <f>_xlfn.XLOOKUP($C72,TB_NG!$E:$E,TB_NG!F:F)</f>
        <v>0</v>
      </c>
      <c r="E72" s="17">
        <f>_xlfn.XLOOKUP($C72,TB_NG!$E:$E,TB_NG!G:G)</f>
        <v>0</v>
      </c>
      <c r="F72" s="17">
        <f>_xlfn.XLOOKUP($C72,TB_NG!$E:$E,TB_NG!H:H)</f>
        <v>0</v>
      </c>
      <c r="G72" s="17">
        <f>_xlfn.XLOOKUP($C72,TB_NG!$E:$E,TB_NG!I:I)</f>
        <v>0</v>
      </c>
      <c r="H72" s="17">
        <f>_xlfn.XLOOKUP($C72,TB_NG!$E:$E,TB_NG!J:J)</f>
        <v>0</v>
      </c>
      <c r="I72" s="17">
        <f>_xlfn.XLOOKUP($C72,TB_NG!$E:$E,TB_NG!K:K)</f>
        <v>0</v>
      </c>
      <c r="J72" s="17">
        <f>_xlfn.XLOOKUP($C72,TB_NG!$E:$E,TB_NG!L:L)</f>
        <v>0</v>
      </c>
      <c r="K72" s="17">
        <f>_xlfn.XLOOKUP($C72,TB_NG!$E:$E,TB_NG!M:M)</f>
        <v>0</v>
      </c>
      <c r="L72" s="17">
        <f>_xlfn.XLOOKUP($C72,TB_NG!$E:$E,TB_NG!N:N)</f>
        <v>0</v>
      </c>
      <c r="M72" s="17">
        <f>_xlfn.XLOOKUP($C72,TB_NG!$E:$E,TB_NG!O:O)</f>
        <v>0</v>
      </c>
      <c r="N72" s="17">
        <f>_xlfn.XLOOKUP($C72,TB_NG!$E:$E,TB_NG!P:P)</f>
        <v>40635</v>
      </c>
      <c r="O72" s="17">
        <f>_xlfn.XLOOKUP($C72,TB_NG!$E:$E,TB_NG!Q:Q)</f>
        <v>111900</v>
      </c>
      <c r="P72" s="17">
        <f>_xlfn.XLOOKUP($C72,TB_NG!$E:$E,TB_NG!R:R)</f>
        <v>98100</v>
      </c>
      <c r="Q72" s="17">
        <f>_xlfn.XLOOKUP($C72,TB_NG!$E:$E,TB_NG!S:S)</f>
        <v>139100</v>
      </c>
      <c r="R72" s="17">
        <f>_xlfn.XLOOKUP($C72,TB_NG!$E:$E,TB_NG!T:T)</f>
        <v>131900</v>
      </c>
      <c r="S72" s="17">
        <f>_xlfn.XLOOKUP($C72,TB_NG!$E:$E,TB_NG!U:U)</f>
        <v>113300</v>
      </c>
      <c r="T72" s="17">
        <f>_xlfn.XLOOKUP($C72,TB_NG!$E:$E,TB_NG!V:V)</f>
        <v>111100</v>
      </c>
      <c r="U72" s="17">
        <f>_xlfn.XLOOKUP($C72,TB_NG!$E:$E,TB_NG!W:W)</f>
        <v>101500</v>
      </c>
      <c r="V72" s="17">
        <f>_xlfn.XLOOKUP($C72,TB_NG!$E:$E,TB_NG!X:X)</f>
        <v>74700</v>
      </c>
      <c r="W72" s="17">
        <f>_xlfn.XLOOKUP($C72,TB_NG!$E:$E,TB_NG!Y:Y)</f>
        <v>72300</v>
      </c>
      <c r="X72" s="17">
        <f>_xlfn.XLOOKUP($C72,TB_NG!$E:$E,TB_NG!Z:Z)</f>
        <v>57300</v>
      </c>
      <c r="Y72" s="17">
        <f>_xlfn.XLOOKUP($C72,TB_NG!$E:$E,TB_NG!AA:AA)</f>
        <v>55100</v>
      </c>
      <c r="Z72" s="17">
        <f>_xlfn.XLOOKUP($C72,TB_NG!$E:$E,TB_NG!AB:AB)</f>
        <v>51900</v>
      </c>
      <c r="AA72" s="17">
        <f>_xlfn.XLOOKUP($C72,TB_NG!$E:$E,TB_NG!AC:AC)</f>
        <v>48700</v>
      </c>
      <c r="AB72" s="17">
        <f>_xlfn.XLOOKUP($C72,TB_NG!$E:$E,TB_NG!AD:AD)</f>
        <v>41100</v>
      </c>
      <c r="AC72" s="17">
        <f>_xlfn.XLOOKUP($C72,TB_NG!$E:$E,TB_NG!AE:AE)</f>
        <v>32500</v>
      </c>
      <c r="AD72" s="17">
        <f>_xlfn.XLOOKUP($C72,TB_NG!$E:$E,TB_NG!AF:AF)</f>
        <v>18500</v>
      </c>
      <c r="AE72" s="17">
        <f>_xlfn.XLOOKUP($C72,TB_NG!$E:$E,TB_NG!AG:AG)</f>
        <v>14300</v>
      </c>
      <c r="AF72" s="17">
        <f>_xlfn.XLOOKUP($C72,TB_NG!$E:$E,TB_NG!AH:AH)</f>
        <v>0</v>
      </c>
      <c r="AG72" s="17">
        <f>_xlfn.XLOOKUP($C72,TB_NG!$E:$E,TB_NG!AI:AI)</f>
        <v>0</v>
      </c>
      <c r="AH72" s="17">
        <f>_xlfn.XLOOKUP($C72,TB_NG!$E:$E,TB_NG!AJ:AJ)</f>
        <v>0</v>
      </c>
      <c r="AI72" s="17">
        <f>_xlfn.XLOOKUP($C72,TB_NG!$E:$E,TB_NG!AK:AK)</f>
        <v>0</v>
      </c>
      <c r="AJ72" s="17">
        <f>_xlfn.XLOOKUP($C72,TB_NG!$E:$E,TB_NG!AL:AL)</f>
        <v>0</v>
      </c>
      <c r="AK72" s="17">
        <f>_xlfn.XLOOKUP($C72,TB_NG!$E:$E,TB_NG!AM:AM)</f>
        <v>0</v>
      </c>
      <c r="AL72" s="17">
        <f>_xlfn.XLOOKUP($C72,TB_NG!$E:$E,TB_NG!AN:AN)</f>
        <v>0</v>
      </c>
      <c r="AM72" s="17">
        <f>_xlfn.XLOOKUP($C72,TB_NG!$E:$E,TB_NG!AO:AO)</f>
        <v>0</v>
      </c>
    </row>
    <row r="73" spans="2:39" hidden="1" outlineLevel="1" x14ac:dyDescent="0.2">
      <c r="B73" s="21">
        <f>_xlfn.XLOOKUP($C73,TB_NG!$E:$E,TB_NG!A:A)</f>
        <v>13120</v>
      </c>
      <c r="C73" s="16" t="s">
        <v>209</v>
      </c>
      <c r="D73" s="17">
        <f>_xlfn.XLOOKUP($C73,TB_NG!$E:$E,TB_NG!F:F)</f>
        <v>15587602.92</v>
      </c>
      <c r="E73" s="17">
        <f>_xlfn.XLOOKUP($C73,TB_NG!$E:$E,TB_NG!G:G)</f>
        <v>69874789.719999999</v>
      </c>
      <c r="F73" s="17">
        <f>_xlfn.XLOOKUP($C73,TB_NG!$E:$E,TB_NG!H:H)</f>
        <v>34448695.130000003</v>
      </c>
      <c r="G73" s="17">
        <f>_xlfn.XLOOKUP($C73,TB_NG!$E:$E,TB_NG!I:I)</f>
        <v>36936979.539999999</v>
      </c>
      <c r="H73" s="17">
        <f>_xlfn.XLOOKUP($C73,TB_NG!$E:$E,TB_NG!J:J)</f>
        <v>30274587.219999999</v>
      </c>
      <c r="I73" s="17">
        <f>_xlfn.XLOOKUP($C73,TB_NG!$E:$E,TB_NG!K:K)</f>
        <v>52726922.32</v>
      </c>
      <c r="J73" s="17">
        <f>_xlfn.XLOOKUP($C73,TB_NG!$E:$E,TB_NG!L:L)</f>
        <v>50979200.530000001</v>
      </c>
      <c r="K73" s="17">
        <f>_xlfn.XLOOKUP($C73,TB_NG!$E:$E,TB_NG!M:M)</f>
        <v>44614274.549999997</v>
      </c>
      <c r="L73" s="17">
        <f>_xlfn.XLOOKUP($C73,TB_NG!$E:$E,TB_NG!N:N)</f>
        <v>48719489.780000001</v>
      </c>
      <c r="M73" s="17">
        <f>_xlfn.XLOOKUP($C73,TB_NG!$E:$E,TB_NG!O:O)</f>
        <v>108136211.08</v>
      </c>
      <c r="N73" s="17">
        <f>_xlfn.XLOOKUP($C73,TB_NG!$E:$E,TB_NG!P:P)</f>
        <v>81824833.780000001</v>
      </c>
      <c r="O73" s="17">
        <f>_xlfn.XLOOKUP($C73,TB_NG!$E:$E,TB_NG!Q:Q)</f>
        <v>75063432.430000007</v>
      </c>
      <c r="P73" s="17">
        <f>_xlfn.XLOOKUP($C73,TB_NG!$E:$E,TB_NG!R:R)</f>
        <v>85060331.489999995</v>
      </c>
      <c r="Q73" s="17">
        <f>_xlfn.XLOOKUP($C73,TB_NG!$E:$E,TB_NG!S:S)</f>
        <v>104645309.26000001</v>
      </c>
      <c r="R73" s="17">
        <f>_xlfn.XLOOKUP($C73,TB_NG!$E:$E,TB_NG!T:T)</f>
        <v>83951218.739999995</v>
      </c>
      <c r="S73" s="17">
        <f>_xlfn.XLOOKUP($C73,TB_NG!$E:$E,TB_NG!U:U)</f>
        <v>56741192.780000001</v>
      </c>
      <c r="T73" s="17">
        <f>_xlfn.XLOOKUP($C73,TB_NG!$E:$E,TB_NG!V:V)</f>
        <v>63721645.049999997</v>
      </c>
      <c r="U73" s="17">
        <f>_xlfn.XLOOKUP($C73,TB_NG!$E:$E,TB_NG!W:W)</f>
        <v>60516883.399999999</v>
      </c>
      <c r="V73" s="17">
        <f>_xlfn.XLOOKUP($C73,TB_NG!$E:$E,TB_NG!X:X)</f>
        <v>71575192.790000007</v>
      </c>
      <c r="W73" s="17">
        <f>_xlfn.XLOOKUP($C73,TB_NG!$E:$E,TB_NG!Y:Y)</f>
        <v>95716723.189999998</v>
      </c>
      <c r="X73" s="17">
        <f>_xlfn.XLOOKUP($C73,TB_NG!$E:$E,TB_NG!Z:Z)</f>
        <v>272448710.39999998</v>
      </c>
      <c r="Y73" s="17">
        <f>_xlfn.XLOOKUP($C73,TB_NG!$E:$E,TB_NG!AA:AA)</f>
        <v>252563544.81999999</v>
      </c>
      <c r="Z73" s="17">
        <f>_xlfn.XLOOKUP($C73,TB_NG!$E:$E,TB_NG!AB:AB)</f>
        <v>240236002.88</v>
      </c>
      <c r="AA73" s="17">
        <f>_xlfn.XLOOKUP($C73,TB_NG!$E:$E,TB_NG!AC:AC)</f>
        <v>322963371.66000003</v>
      </c>
      <c r="AB73" s="17">
        <f>_xlfn.XLOOKUP($C73,TB_NG!$E:$E,TB_NG!AD:AD)</f>
        <v>289937689.69</v>
      </c>
      <c r="AC73" s="17">
        <f>_xlfn.XLOOKUP($C73,TB_NG!$E:$E,TB_NG!AE:AE)</f>
        <v>255411621.47999999</v>
      </c>
      <c r="AD73" s="17">
        <f>_xlfn.XLOOKUP($C73,TB_NG!$E:$E,TB_NG!AF:AF)</f>
        <v>239092460.11000001</v>
      </c>
      <c r="AE73" s="17">
        <f>_xlfn.XLOOKUP($C73,TB_NG!$E:$E,TB_NG!AG:AG)</f>
        <v>211073690.13999999</v>
      </c>
      <c r="AF73" s="17">
        <f>_xlfn.XLOOKUP($C73,TB_NG!$E:$E,TB_NG!AH:AH)</f>
        <v>0</v>
      </c>
      <c r="AG73" s="17">
        <f>_xlfn.XLOOKUP($C73,TB_NG!$E:$E,TB_NG!AI:AI)</f>
        <v>0</v>
      </c>
      <c r="AH73" s="17">
        <f>_xlfn.XLOOKUP($C73,TB_NG!$E:$E,TB_NG!AJ:AJ)</f>
        <v>0</v>
      </c>
      <c r="AI73" s="17">
        <f>_xlfn.XLOOKUP($C73,TB_NG!$E:$E,TB_NG!AK:AK)</f>
        <v>0</v>
      </c>
      <c r="AJ73" s="17">
        <f>_xlfn.XLOOKUP($C73,TB_NG!$E:$E,TB_NG!AL:AL)</f>
        <v>0</v>
      </c>
      <c r="AK73" s="17">
        <f>_xlfn.XLOOKUP($C73,TB_NG!$E:$E,TB_NG!AM:AM)</f>
        <v>0</v>
      </c>
      <c r="AL73" s="17">
        <f>_xlfn.XLOOKUP($C73,TB_NG!$E:$E,TB_NG!AN:AN)</f>
        <v>0</v>
      </c>
      <c r="AM73" s="17">
        <f>_xlfn.XLOOKUP($C73,TB_NG!$E:$E,TB_NG!AO:AO)</f>
        <v>0</v>
      </c>
    </row>
    <row r="74" spans="2:39" hidden="1" outlineLevel="1" x14ac:dyDescent="0.2">
      <c r="B74" s="21">
        <f>_xlfn.XLOOKUP($C74,TB_NG!$E:$E,TB_NG!A:A)</f>
        <v>13130</v>
      </c>
      <c r="C74" s="16" t="s">
        <v>210</v>
      </c>
      <c r="D74" s="17">
        <f>_xlfn.XLOOKUP($C74,TB_NG!$E:$E,TB_NG!F:F)</f>
        <v>4889575.54</v>
      </c>
      <c r="E74" s="17">
        <f>_xlfn.XLOOKUP($C74,TB_NG!$E:$E,TB_NG!G:G)</f>
        <v>4184990.15</v>
      </c>
      <c r="F74" s="17">
        <f>_xlfn.XLOOKUP($C74,TB_NG!$E:$E,TB_NG!H:H)</f>
        <v>4171904.76</v>
      </c>
      <c r="G74" s="17">
        <f>_xlfn.XLOOKUP($C74,TB_NG!$E:$E,TB_NG!I:I)</f>
        <v>3409694.37</v>
      </c>
      <c r="H74" s="17">
        <f>_xlfn.XLOOKUP($C74,TB_NG!$E:$E,TB_NG!J:J)</f>
        <v>16642540.210000001</v>
      </c>
      <c r="I74" s="17">
        <f>_xlfn.XLOOKUP($C74,TB_NG!$E:$E,TB_NG!K:K)</f>
        <v>14069374.619999999</v>
      </c>
      <c r="J74" s="17">
        <f>_xlfn.XLOOKUP($C74,TB_NG!$E:$E,TB_NG!L:L)</f>
        <v>14860413.130000001</v>
      </c>
      <c r="K74" s="17">
        <f>_xlfn.XLOOKUP($C74,TB_NG!$E:$E,TB_NG!M:M)</f>
        <v>12069837.609999999</v>
      </c>
      <c r="L74" s="17">
        <f>_xlfn.XLOOKUP($C74,TB_NG!$E:$E,TB_NG!N:N)</f>
        <v>14001626.18</v>
      </c>
      <c r="M74" s="17">
        <f>_xlfn.XLOOKUP($C74,TB_NG!$E:$E,TB_NG!O:O)</f>
        <v>12230758.5</v>
      </c>
      <c r="N74" s="17">
        <f>_xlfn.XLOOKUP($C74,TB_NG!$E:$E,TB_NG!P:P)</f>
        <v>9542363</v>
      </c>
      <c r="O74" s="17">
        <f>_xlfn.XLOOKUP($C74,TB_NG!$E:$E,TB_NG!Q:Q)</f>
        <v>13037097.65</v>
      </c>
      <c r="P74" s="17">
        <f>_xlfn.XLOOKUP($C74,TB_NG!$E:$E,TB_NG!R:R)</f>
        <v>9466030.4600000009</v>
      </c>
      <c r="Q74" s="17">
        <f>_xlfn.XLOOKUP($C74,TB_NG!$E:$E,TB_NG!S:S)</f>
        <v>6225129.4299999997</v>
      </c>
      <c r="R74" s="17">
        <f>_xlfn.XLOOKUP($C74,TB_NG!$E:$E,TB_NG!T:T)</f>
        <v>8628152.6600000001</v>
      </c>
      <c r="S74" s="17">
        <f>_xlfn.XLOOKUP($C74,TB_NG!$E:$E,TB_NG!U:U)</f>
        <v>23573074.829999998</v>
      </c>
      <c r="T74" s="17">
        <f>_xlfn.XLOOKUP($C74,TB_NG!$E:$E,TB_NG!V:V)</f>
        <v>21405581.52</v>
      </c>
      <c r="U74" s="17">
        <f>_xlfn.XLOOKUP($C74,TB_NG!$E:$E,TB_NG!W:W)</f>
        <v>19824614.449999999</v>
      </c>
      <c r="V74" s="17">
        <f>_xlfn.XLOOKUP($C74,TB_NG!$E:$E,TB_NG!X:X)</f>
        <v>17673759.600000001</v>
      </c>
      <c r="W74" s="17">
        <f>_xlfn.XLOOKUP($C74,TB_NG!$E:$E,TB_NG!Y:Y)</f>
        <v>18244912.920000002</v>
      </c>
      <c r="X74" s="17">
        <f>_xlfn.XLOOKUP($C74,TB_NG!$E:$E,TB_NG!Z:Z)</f>
        <v>16737937.460000001</v>
      </c>
      <c r="Y74" s="17">
        <f>_xlfn.XLOOKUP($C74,TB_NG!$E:$E,TB_NG!AA:AA)</f>
        <v>21392567.75</v>
      </c>
      <c r="Z74" s="17">
        <f>_xlfn.XLOOKUP($C74,TB_NG!$E:$E,TB_NG!AB:AB)</f>
        <v>14915739.15</v>
      </c>
      <c r="AA74" s="17">
        <f>_xlfn.XLOOKUP($C74,TB_NG!$E:$E,TB_NG!AC:AC)</f>
        <v>13268184.74</v>
      </c>
      <c r="AB74" s="17">
        <f>_xlfn.XLOOKUP($C74,TB_NG!$E:$E,TB_NG!AD:AD)</f>
        <v>11041151.869999999</v>
      </c>
      <c r="AC74" s="17">
        <f>_xlfn.XLOOKUP($C74,TB_NG!$E:$E,TB_NG!AE:AE)</f>
        <v>8470948.4600000009</v>
      </c>
      <c r="AD74" s="17">
        <f>_xlfn.XLOOKUP($C74,TB_NG!$E:$E,TB_NG!AF:AF)</f>
        <v>14241882.050000001</v>
      </c>
      <c r="AE74" s="17">
        <f>_xlfn.XLOOKUP($C74,TB_NG!$E:$E,TB_NG!AG:AG)</f>
        <v>7867554.2599999998</v>
      </c>
      <c r="AF74" s="17">
        <f>_xlfn.XLOOKUP($C74,TB_NG!$E:$E,TB_NG!AH:AH)</f>
        <v>0</v>
      </c>
      <c r="AG74" s="17">
        <f>_xlfn.XLOOKUP($C74,TB_NG!$E:$E,TB_NG!AI:AI)</f>
        <v>0</v>
      </c>
      <c r="AH74" s="17">
        <f>_xlfn.XLOOKUP($C74,TB_NG!$E:$E,TB_NG!AJ:AJ)</f>
        <v>0</v>
      </c>
      <c r="AI74" s="17">
        <f>_xlfn.XLOOKUP($C74,TB_NG!$E:$E,TB_NG!AK:AK)</f>
        <v>0</v>
      </c>
      <c r="AJ74" s="17">
        <f>_xlfn.XLOOKUP($C74,TB_NG!$E:$E,TB_NG!AL:AL)</f>
        <v>0</v>
      </c>
      <c r="AK74" s="17">
        <f>_xlfn.XLOOKUP($C74,TB_NG!$E:$E,TB_NG!AM:AM)</f>
        <v>0</v>
      </c>
      <c r="AL74" s="17">
        <f>_xlfn.XLOOKUP($C74,TB_NG!$E:$E,TB_NG!AN:AN)</f>
        <v>0</v>
      </c>
      <c r="AM74" s="17">
        <f>_xlfn.XLOOKUP($C74,TB_NG!$E:$E,TB_NG!AO:AO)</f>
        <v>0</v>
      </c>
    </row>
    <row r="75" spans="2:39" hidden="1" outlineLevel="1" x14ac:dyDescent="0.2">
      <c r="B75" s="21">
        <f>_xlfn.XLOOKUP($C75,TB_NG!$E:$E,TB_NG!A:A)</f>
        <v>13135</v>
      </c>
      <c r="C75" s="16" t="s">
        <v>211</v>
      </c>
      <c r="D75" s="17">
        <f>_xlfn.XLOOKUP($C75,TB_NG!$E:$E,TB_NG!F:F)</f>
        <v>1600000.11</v>
      </c>
      <c r="E75" s="17">
        <f>_xlfn.XLOOKUP($C75,TB_NG!$E:$E,TB_NG!G:G)</f>
        <v>0.11</v>
      </c>
      <c r="F75" s="17">
        <f>_xlfn.XLOOKUP($C75,TB_NG!$E:$E,TB_NG!H:H)</f>
        <v>0.11</v>
      </c>
      <c r="G75" s="17">
        <f>_xlfn.XLOOKUP($C75,TB_NG!$E:$E,TB_NG!I:I)</f>
        <v>0.11</v>
      </c>
      <c r="H75" s="17">
        <f>_xlfn.XLOOKUP($C75,TB_NG!$E:$E,TB_NG!J:J)</f>
        <v>18333333.440000001</v>
      </c>
      <c r="I75" s="17">
        <f>_xlfn.XLOOKUP($C75,TB_NG!$E:$E,TB_NG!K:K)</f>
        <v>16296296.4</v>
      </c>
      <c r="J75" s="17">
        <f>_xlfn.XLOOKUP($C75,TB_NG!$E:$E,TB_NG!L:L)</f>
        <v>14259259.359999999</v>
      </c>
      <c r="K75" s="17">
        <f>_xlfn.XLOOKUP($C75,TB_NG!$E:$E,TB_NG!M:M)</f>
        <v>12222222.32</v>
      </c>
      <c r="L75" s="17">
        <f>_xlfn.XLOOKUP($C75,TB_NG!$E:$E,TB_NG!N:N)</f>
        <v>10185185.279999999</v>
      </c>
      <c r="M75" s="17">
        <f>_xlfn.XLOOKUP($C75,TB_NG!$E:$E,TB_NG!O:O)</f>
        <v>8148148.2400000002</v>
      </c>
      <c r="N75" s="17">
        <f>_xlfn.XLOOKUP($C75,TB_NG!$E:$E,TB_NG!P:P)</f>
        <v>6111111.2000000002</v>
      </c>
      <c r="O75" s="17">
        <f>_xlfn.XLOOKUP($C75,TB_NG!$E:$E,TB_NG!Q:Q)</f>
        <v>4074074.16</v>
      </c>
      <c r="P75" s="17">
        <f>_xlfn.XLOOKUP($C75,TB_NG!$E:$E,TB_NG!R:R)</f>
        <v>2037037.12</v>
      </c>
      <c r="Q75" s="17">
        <f>_xlfn.XLOOKUP($C75,TB_NG!$E:$E,TB_NG!S:S)</f>
        <v>0.12</v>
      </c>
      <c r="R75" s="17">
        <f>_xlfn.XLOOKUP($C75,TB_NG!$E:$E,TB_NG!T:T)</f>
        <v>0.12</v>
      </c>
      <c r="S75" s="17">
        <f>_xlfn.XLOOKUP($C75,TB_NG!$E:$E,TB_NG!U:U)</f>
        <v>0.12</v>
      </c>
      <c r="T75" s="17">
        <f>_xlfn.XLOOKUP($C75,TB_NG!$E:$E,TB_NG!V:V)</f>
        <v>0.12</v>
      </c>
      <c r="U75" s="17">
        <f>_xlfn.XLOOKUP($C75,TB_NG!$E:$E,TB_NG!W:W)</f>
        <v>3370370.48</v>
      </c>
      <c r="V75" s="17">
        <f>_xlfn.XLOOKUP($C75,TB_NG!$E:$E,TB_NG!X:X)</f>
        <v>962963.07</v>
      </c>
      <c r="W75" s="17">
        <f>_xlfn.XLOOKUP($C75,TB_NG!$E:$E,TB_NG!Y:Y)</f>
        <v>14444444.550000001</v>
      </c>
      <c r="X75" s="17">
        <f>_xlfn.XLOOKUP($C75,TB_NG!$E:$E,TB_NG!Z:Z)</f>
        <v>11638889</v>
      </c>
      <c r="Y75" s="17">
        <f>_xlfn.XLOOKUP($C75,TB_NG!$E:$E,TB_NG!AA:AA)</f>
        <v>9311111.2200000007</v>
      </c>
      <c r="Z75" s="17">
        <f>_xlfn.XLOOKUP($C75,TB_NG!$E:$E,TB_NG!AB:AB)</f>
        <v>6983333.4400000004</v>
      </c>
      <c r="AA75" s="17">
        <f>_xlfn.XLOOKUP($C75,TB_NG!$E:$E,TB_NG!AC:AC)</f>
        <v>4655555.66</v>
      </c>
      <c r="AB75" s="17">
        <f>_xlfn.XLOOKUP($C75,TB_NG!$E:$E,TB_NG!AD:AD)</f>
        <v>2327777.88</v>
      </c>
      <c r="AC75" s="17">
        <f>_xlfn.XLOOKUP($C75,TB_NG!$E:$E,TB_NG!AE:AE)</f>
        <v>0.13</v>
      </c>
      <c r="AD75" s="17">
        <f>_xlfn.XLOOKUP($C75,TB_NG!$E:$E,TB_NG!AF:AF)</f>
        <v>0.13</v>
      </c>
      <c r="AE75" s="17">
        <f>_xlfn.XLOOKUP($C75,TB_NG!$E:$E,TB_NG!AG:AG)</f>
        <v>0.13</v>
      </c>
      <c r="AF75" s="17">
        <f>_xlfn.XLOOKUP($C75,TB_NG!$E:$E,TB_NG!AH:AH)</f>
        <v>0</v>
      </c>
      <c r="AG75" s="17">
        <f>_xlfn.XLOOKUP($C75,TB_NG!$E:$E,TB_NG!AI:AI)</f>
        <v>0</v>
      </c>
      <c r="AH75" s="17">
        <f>_xlfn.XLOOKUP($C75,TB_NG!$E:$E,TB_NG!AJ:AJ)</f>
        <v>0</v>
      </c>
      <c r="AI75" s="17">
        <f>_xlfn.XLOOKUP($C75,TB_NG!$E:$E,TB_NG!AK:AK)</f>
        <v>0</v>
      </c>
      <c r="AJ75" s="17">
        <f>_xlfn.XLOOKUP($C75,TB_NG!$E:$E,TB_NG!AL:AL)</f>
        <v>0</v>
      </c>
      <c r="AK75" s="17">
        <f>_xlfn.XLOOKUP($C75,TB_NG!$E:$E,TB_NG!AM:AM)</f>
        <v>0</v>
      </c>
      <c r="AL75" s="17">
        <f>_xlfn.XLOOKUP($C75,TB_NG!$E:$E,TB_NG!AN:AN)</f>
        <v>0</v>
      </c>
      <c r="AM75" s="17">
        <f>_xlfn.XLOOKUP($C75,TB_NG!$E:$E,TB_NG!AO:AO)</f>
        <v>0</v>
      </c>
    </row>
    <row r="76" spans="2:39" hidden="1" outlineLevel="1" x14ac:dyDescent="0.2">
      <c r="B76" s="21"/>
      <c r="C76" s="16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</row>
    <row r="77" spans="2:39" collapsed="1" x14ac:dyDescent="0.2">
      <c r="B77" s="15"/>
      <c r="C77" s="22" t="s">
        <v>36</v>
      </c>
      <c r="D77" s="23">
        <f>SUM(D72:D76)</f>
        <v>22077178.57</v>
      </c>
      <c r="E77" s="23">
        <f t="shared" ref="E77:AM77" si="4">SUM(E72:E76)</f>
        <v>74059779.980000004</v>
      </c>
      <c r="F77" s="23">
        <f t="shared" si="4"/>
        <v>38620600</v>
      </c>
      <c r="G77" s="23">
        <f t="shared" si="4"/>
        <v>40346674.019999996</v>
      </c>
      <c r="H77" s="23">
        <f t="shared" si="4"/>
        <v>65250460.870000005</v>
      </c>
      <c r="I77" s="23">
        <f t="shared" si="4"/>
        <v>83092593.340000004</v>
      </c>
      <c r="J77" s="23">
        <f t="shared" si="4"/>
        <v>80098873.020000011</v>
      </c>
      <c r="K77" s="23">
        <f t="shared" si="4"/>
        <v>68906334.479999989</v>
      </c>
      <c r="L77" s="23">
        <f t="shared" si="4"/>
        <v>72906301.239999995</v>
      </c>
      <c r="M77" s="23">
        <f t="shared" si="4"/>
        <v>128515117.81999999</v>
      </c>
      <c r="N77" s="23">
        <f t="shared" si="4"/>
        <v>97518942.980000004</v>
      </c>
      <c r="O77" s="23">
        <f t="shared" si="4"/>
        <v>92286504.24000001</v>
      </c>
      <c r="P77" s="23">
        <f t="shared" si="4"/>
        <v>96661499.069999993</v>
      </c>
      <c r="Q77" s="23">
        <f t="shared" si="4"/>
        <v>111009538.81</v>
      </c>
      <c r="R77" s="23">
        <f t="shared" si="4"/>
        <v>92711271.519999996</v>
      </c>
      <c r="S77" s="23">
        <f t="shared" si="4"/>
        <v>80427567.730000004</v>
      </c>
      <c r="T77" s="23">
        <f t="shared" si="4"/>
        <v>85238326.689999998</v>
      </c>
      <c r="U77" s="23">
        <f t="shared" si="4"/>
        <v>83813368.329999998</v>
      </c>
      <c r="V77" s="23">
        <f t="shared" si="4"/>
        <v>90286615.460000008</v>
      </c>
      <c r="W77" s="23">
        <f t="shared" si="4"/>
        <v>128478380.66</v>
      </c>
      <c r="X77" s="23">
        <f t="shared" si="4"/>
        <v>300882836.85999995</v>
      </c>
      <c r="Y77" s="23">
        <f t="shared" si="4"/>
        <v>283322323.79000002</v>
      </c>
      <c r="Z77" s="23">
        <f t="shared" si="4"/>
        <v>262186975.47</v>
      </c>
      <c r="AA77" s="23">
        <f t="shared" si="4"/>
        <v>340935812.06000006</v>
      </c>
      <c r="AB77" s="23">
        <f t="shared" si="4"/>
        <v>303347719.44</v>
      </c>
      <c r="AC77" s="23">
        <f t="shared" si="4"/>
        <v>263915070.06999999</v>
      </c>
      <c r="AD77" s="23">
        <f t="shared" si="4"/>
        <v>253352842.29000002</v>
      </c>
      <c r="AE77" s="23">
        <f t="shared" si="4"/>
        <v>218955544.52999997</v>
      </c>
      <c r="AF77" s="23">
        <f t="shared" si="4"/>
        <v>0</v>
      </c>
      <c r="AG77" s="23">
        <f t="shared" si="4"/>
        <v>0</v>
      </c>
      <c r="AH77" s="23">
        <f t="shared" si="4"/>
        <v>0</v>
      </c>
      <c r="AI77" s="23">
        <f t="shared" si="4"/>
        <v>0</v>
      </c>
      <c r="AJ77" s="23">
        <f t="shared" si="4"/>
        <v>0</v>
      </c>
      <c r="AK77" s="23">
        <f t="shared" si="4"/>
        <v>0</v>
      </c>
      <c r="AL77" s="23">
        <f t="shared" si="4"/>
        <v>0</v>
      </c>
      <c r="AM77" s="23">
        <f t="shared" si="4"/>
        <v>0</v>
      </c>
    </row>
    <row r="78" spans="2:39" x14ac:dyDescent="0.2">
      <c r="B78" s="21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</row>
    <row r="79" spans="2:39" hidden="1" outlineLevel="1" x14ac:dyDescent="0.2">
      <c r="B79" s="21"/>
      <c r="C79" s="20" t="s">
        <v>212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</row>
    <row r="80" spans="2:39" hidden="1" outlineLevel="1" x14ac:dyDescent="0.2">
      <c r="B80" s="21">
        <f>_xlfn.XLOOKUP($C80,TB_NG!$E:$E,TB_NG!A:A)</f>
        <v>13004</v>
      </c>
      <c r="C80" s="16" t="s">
        <v>39</v>
      </c>
      <c r="D80" s="17">
        <f>_xlfn.XLOOKUP($C80,TB_NG!$E:$E,TB_NG!F:F)</f>
        <v>49500.4</v>
      </c>
      <c r="E80" s="17">
        <f>_xlfn.XLOOKUP($C80,TB_NG!$E:$E,TB_NG!G:G)</f>
        <v>2271850.4</v>
      </c>
      <c r="F80" s="17">
        <f>_xlfn.XLOOKUP($C80,TB_NG!$E:$E,TB_NG!H:H)</f>
        <v>326935.40000000002</v>
      </c>
      <c r="G80" s="17">
        <f>_xlfn.XLOOKUP($C80,TB_NG!$E:$E,TB_NG!I:I)</f>
        <v>1275951.47</v>
      </c>
      <c r="H80" s="17">
        <f>_xlfn.XLOOKUP($C80,TB_NG!$E:$E,TB_NG!J:J)</f>
        <v>13907181.300000001</v>
      </c>
      <c r="I80" s="17">
        <f>_xlfn.XLOOKUP($C80,TB_NG!$E:$E,TB_NG!K:K)</f>
        <v>3572489.35</v>
      </c>
      <c r="J80" s="17">
        <f>_xlfn.XLOOKUP($C80,TB_NG!$E:$E,TB_NG!L:L)</f>
        <v>4016143.03</v>
      </c>
      <c r="K80" s="17">
        <f>_xlfn.XLOOKUP($C80,TB_NG!$E:$E,TB_NG!M:M)</f>
        <v>7014445</v>
      </c>
      <c r="L80" s="17">
        <f>_xlfn.XLOOKUP($C80,TB_NG!$E:$E,TB_NG!N:N)</f>
        <v>345714.9</v>
      </c>
      <c r="M80" s="17">
        <f>_xlfn.XLOOKUP($C80,TB_NG!$E:$E,TB_NG!O:O)</f>
        <v>9045220.8300000001</v>
      </c>
      <c r="N80" s="17">
        <f>_xlfn.XLOOKUP($C80,TB_NG!$E:$E,TB_NG!P:P)</f>
        <v>194390.73</v>
      </c>
      <c r="O80" s="17">
        <f>_xlfn.XLOOKUP($C80,TB_NG!$E:$E,TB_NG!Q:Q)</f>
        <v>2660413.5099999998</v>
      </c>
      <c r="P80" s="17">
        <f>_xlfn.XLOOKUP($C80,TB_NG!$E:$E,TB_NG!R:R)</f>
        <v>2711256.75</v>
      </c>
      <c r="Q80" s="17">
        <f>_xlfn.XLOOKUP($C80,TB_NG!$E:$E,TB_NG!S:S)</f>
        <v>5351146</v>
      </c>
      <c r="R80" s="17">
        <f>_xlfn.XLOOKUP($C80,TB_NG!$E:$E,TB_NG!T:T)</f>
        <v>2377547.19</v>
      </c>
      <c r="S80" s="17">
        <f>_xlfn.XLOOKUP($C80,TB_NG!$E:$E,TB_NG!U:U)</f>
        <v>2525317.1800000002</v>
      </c>
      <c r="T80" s="17">
        <f>_xlfn.XLOOKUP($C80,TB_NG!$E:$E,TB_NG!V:V)</f>
        <v>5971230.6799999997</v>
      </c>
      <c r="U80" s="17">
        <f>_xlfn.XLOOKUP($C80,TB_NG!$E:$E,TB_NG!W:W)</f>
        <v>2537992</v>
      </c>
      <c r="V80" s="17">
        <f>_xlfn.XLOOKUP($C80,TB_NG!$E:$E,TB_NG!X:X)</f>
        <v>4880721.05</v>
      </c>
      <c r="W80" s="17">
        <f>_xlfn.XLOOKUP($C80,TB_NG!$E:$E,TB_NG!Y:Y)</f>
        <v>1948373.63</v>
      </c>
      <c r="X80" s="17">
        <f>_xlfn.XLOOKUP($C80,TB_NG!$E:$E,TB_NG!Z:Z)</f>
        <v>210000</v>
      </c>
      <c r="Y80" s="17">
        <f>_xlfn.XLOOKUP($C80,TB_NG!$E:$E,TB_NG!AA:AA)</f>
        <v>2499043.81</v>
      </c>
      <c r="Z80" s="17">
        <f>_xlfn.XLOOKUP($C80,TB_NG!$E:$E,TB_NG!AB:AB)</f>
        <v>18152149.399999999</v>
      </c>
      <c r="AA80" s="17">
        <f>_xlfn.XLOOKUP($C80,TB_NG!$E:$E,TB_NG!AC:AC)</f>
        <v>402004.23</v>
      </c>
      <c r="AB80" s="17">
        <f>_xlfn.XLOOKUP($C80,TB_NG!$E:$E,TB_NG!AD:AD)</f>
        <v>732616.21</v>
      </c>
      <c r="AC80" s="17">
        <f>_xlfn.XLOOKUP($C80,TB_NG!$E:$E,TB_NG!AE:AE)</f>
        <v>4418410.5</v>
      </c>
      <c r="AD80" s="17">
        <f>_xlfn.XLOOKUP($C80,TB_NG!$E:$E,TB_NG!AF:AF)</f>
        <v>1737292.6</v>
      </c>
      <c r="AE80" s="17">
        <f>_xlfn.XLOOKUP($C80,TB_NG!$E:$E,TB_NG!AG:AG)</f>
        <v>7688792.6900000004</v>
      </c>
      <c r="AF80" s="17">
        <f>_xlfn.XLOOKUP($C80,TB_NG!$E:$E,TB_NG!AH:AH)</f>
        <v>0</v>
      </c>
      <c r="AG80" s="17">
        <f>_xlfn.XLOOKUP($C80,TB_NG!$E:$E,TB_NG!AI:AI)</f>
        <v>0</v>
      </c>
      <c r="AH80" s="17">
        <f>_xlfn.XLOOKUP($C80,TB_NG!$E:$E,TB_NG!AJ:AJ)</f>
        <v>0</v>
      </c>
      <c r="AI80" s="17">
        <f>_xlfn.XLOOKUP($C80,TB_NG!$E:$E,TB_NG!AK:AK)</f>
        <v>0</v>
      </c>
      <c r="AJ80" s="17">
        <f>_xlfn.XLOOKUP($C80,TB_NG!$E:$E,TB_NG!AL:AL)</f>
        <v>0</v>
      </c>
      <c r="AK80" s="17">
        <f>_xlfn.XLOOKUP($C80,TB_NG!$E:$E,TB_NG!AM:AM)</f>
        <v>0</v>
      </c>
      <c r="AL80" s="17">
        <f>_xlfn.XLOOKUP($C80,TB_NG!$E:$E,TB_NG!AN:AN)</f>
        <v>0</v>
      </c>
      <c r="AM80" s="17">
        <f>_xlfn.XLOOKUP($C80,TB_NG!$E:$E,TB_NG!AO:AO)</f>
        <v>0</v>
      </c>
    </row>
    <row r="81" spans="2:39" hidden="1" outlineLevel="1" x14ac:dyDescent="0.2">
      <c r="B81" s="21">
        <f>_xlfn.XLOOKUP($C81,TB_NG!$E:$E,TB_NG!A:A)</f>
        <v>13008</v>
      </c>
      <c r="C81" s="16" t="s">
        <v>213</v>
      </c>
      <c r="D81" s="17">
        <f>_xlfn.XLOOKUP($C81,TB_NG!$E:$E,TB_NG!F:F)</f>
        <v>12561503.369999999</v>
      </c>
      <c r="E81" s="17">
        <f>_xlfn.XLOOKUP($C81,TB_NG!$E:$E,TB_NG!G:G)</f>
        <v>12561503.369999999</v>
      </c>
      <c r="F81" s="17">
        <f>_xlfn.XLOOKUP($C81,TB_NG!$E:$E,TB_NG!H:H)</f>
        <v>12561503.369999999</v>
      </c>
      <c r="G81" s="17">
        <f>_xlfn.XLOOKUP($C81,TB_NG!$E:$E,TB_NG!I:I)</f>
        <v>12561503.369999999</v>
      </c>
      <c r="H81" s="17">
        <f>_xlfn.XLOOKUP($C81,TB_NG!$E:$E,TB_NG!J:J)</f>
        <v>13561503.369999999</v>
      </c>
      <c r="I81" s="17">
        <f>_xlfn.XLOOKUP($C81,TB_NG!$E:$E,TB_NG!K:K)</f>
        <v>0</v>
      </c>
      <c r="J81" s="17">
        <f>_xlfn.XLOOKUP($C81,TB_NG!$E:$E,TB_NG!L:L)</f>
        <v>0</v>
      </c>
      <c r="K81" s="17">
        <f>_xlfn.XLOOKUP($C81,TB_NG!$E:$E,TB_NG!M:M)</f>
        <v>0</v>
      </c>
      <c r="L81" s="17">
        <f>_xlfn.XLOOKUP($C81,TB_NG!$E:$E,TB_NG!N:N)</f>
        <v>0</v>
      </c>
      <c r="M81" s="17">
        <f>_xlfn.XLOOKUP($C81,TB_NG!$E:$E,TB_NG!O:O)</f>
        <v>0</v>
      </c>
      <c r="N81" s="17">
        <f>_xlfn.XLOOKUP($C81,TB_NG!$E:$E,TB_NG!P:P)</f>
        <v>600000</v>
      </c>
      <c r="O81" s="17">
        <f>_xlfn.XLOOKUP($C81,TB_NG!$E:$E,TB_NG!Q:Q)</f>
        <v>600000</v>
      </c>
      <c r="P81" s="17">
        <f>_xlfn.XLOOKUP($C81,TB_NG!$E:$E,TB_NG!R:R)</f>
        <v>600000</v>
      </c>
      <c r="Q81" s="17">
        <f>_xlfn.XLOOKUP($C81,TB_NG!$E:$E,TB_NG!S:S)</f>
        <v>600000</v>
      </c>
      <c r="R81" s="17">
        <f>_xlfn.XLOOKUP($C81,TB_NG!$E:$E,TB_NG!T:T)</f>
        <v>600000</v>
      </c>
      <c r="S81" s="17">
        <f>_xlfn.XLOOKUP($C81,TB_NG!$E:$E,TB_NG!U:U)</f>
        <v>600000</v>
      </c>
      <c r="T81" s="17">
        <f>_xlfn.XLOOKUP($C81,TB_NG!$E:$E,TB_NG!V:V)</f>
        <v>600000</v>
      </c>
      <c r="U81" s="17">
        <f>_xlfn.XLOOKUP($C81,TB_NG!$E:$E,TB_NG!W:W)</f>
        <v>600000</v>
      </c>
      <c r="V81" s="17">
        <f>_xlfn.XLOOKUP($C81,TB_NG!$E:$E,TB_NG!X:X)</f>
        <v>599999.46</v>
      </c>
      <c r="W81" s="17">
        <f>_xlfn.XLOOKUP($C81,TB_NG!$E:$E,TB_NG!Y:Y)</f>
        <v>599999.46</v>
      </c>
      <c r="X81" s="17">
        <f>_xlfn.XLOOKUP($C81,TB_NG!$E:$E,TB_NG!Z:Z)</f>
        <v>0</v>
      </c>
      <c r="Y81" s="17">
        <f>_xlfn.XLOOKUP($C81,TB_NG!$E:$E,TB_NG!AA:AA)</f>
        <v>0</v>
      </c>
      <c r="Z81" s="17">
        <f>_xlfn.XLOOKUP($C81,TB_NG!$E:$E,TB_NG!AB:AB)</f>
        <v>0</v>
      </c>
      <c r="AA81" s="17">
        <f>_xlfn.XLOOKUP($C81,TB_NG!$E:$E,TB_NG!AC:AC)</f>
        <v>0</v>
      </c>
      <c r="AB81" s="17">
        <f>_xlfn.XLOOKUP($C81,TB_NG!$E:$E,TB_NG!AD:AD)</f>
        <v>0</v>
      </c>
      <c r="AC81" s="17">
        <f>_xlfn.XLOOKUP($C81,TB_NG!$E:$E,TB_NG!AE:AE)</f>
        <v>0</v>
      </c>
      <c r="AD81" s="17">
        <f>_xlfn.XLOOKUP($C81,TB_NG!$E:$E,TB_NG!AF:AF)</f>
        <v>0</v>
      </c>
      <c r="AE81" s="17">
        <f>_xlfn.XLOOKUP($C81,TB_NG!$E:$E,TB_NG!AG:AG)</f>
        <v>0</v>
      </c>
      <c r="AF81" s="17">
        <f>_xlfn.XLOOKUP($C81,TB_NG!$E:$E,TB_NG!AH:AH)</f>
        <v>0</v>
      </c>
      <c r="AG81" s="17">
        <f>_xlfn.XLOOKUP($C81,TB_NG!$E:$E,TB_NG!AI:AI)</f>
        <v>0</v>
      </c>
      <c r="AH81" s="17">
        <f>_xlfn.XLOOKUP($C81,TB_NG!$E:$E,TB_NG!AJ:AJ)</f>
        <v>0</v>
      </c>
      <c r="AI81" s="17">
        <f>_xlfn.XLOOKUP($C81,TB_NG!$E:$E,TB_NG!AK:AK)</f>
        <v>0</v>
      </c>
      <c r="AJ81" s="17">
        <f>_xlfn.XLOOKUP($C81,TB_NG!$E:$E,TB_NG!AL:AL)</f>
        <v>0</v>
      </c>
      <c r="AK81" s="17">
        <f>_xlfn.XLOOKUP($C81,TB_NG!$E:$E,TB_NG!AM:AM)</f>
        <v>0</v>
      </c>
      <c r="AL81" s="17">
        <f>_xlfn.XLOOKUP($C81,TB_NG!$E:$E,TB_NG!AN:AN)</f>
        <v>0</v>
      </c>
      <c r="AM81" s="17">
        <f>_xlfn.XLOOKUP($C81,TB_NG!$E:$E,TB_NG!AO:AO)</f>
        <v>0</v>
      </c>
    </row>
    <row r="82" spans="2:39" hidden="1" outlineLevel="1" x14ac:dyDescent="0.2">
      <c r="B82" s="15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8"/>
    </row>
    <row r="83" spans="2:39" collapsed="1" x14ac:dyDescent="0.2">
      <c r="B83" s="15"/>
      <c r="C83" s="22" t="s">
        <v>38</v>
      </c>
      <c r="D83" s="23">
        <f t="shared" ref="D83:AM83" si="5">SUM(D80:D82)</f>
        <v>12611003.77</v>
      </c>
      <c r="E83" s="23">
        <f t="shared" si="5"/>
        <v>14833353.77</v>
      </c>
      <c r="F83" s="23">
        <f t="shared" si="5"/>
        <v>12888438.77</v>
      </c>
      <c r="G83" s="23">
        <f t="shared" si="5"/>
        <v>13837454.84</v>
      </c>
      <c r="H83" s="23">
        <f t="shared" si="5"/>
        <v>27468684.670000002</v>
      </c>
      <c r="I83" s="23">
        <f t="shared" si="5"/>
        <v>3572489.35</v>
      </c>
      <c r="J83" s="23">
        <f t="shared" si="5"/>
        <v>4016143.03</v>
      </c>
      <c r="K83" s="23">
        <f t="shared" si="5"/>
        <v>7014445</v>
      </c>
      <c r="L83" s="23">
        <f t="shared" si="5"/>
        <v>345714.9</v>
      </c>
      <c r="M83" s="23">
        <f t="shared" si="5"/>
        <v>9045220.8300000001</v>
      </c>
      <c r="N83" s="23">
        <f t="shared" si="5"/>
        <v>794390.73</v>
      </c>
      <c r="O83" s="23">
        <f t="shared" si="5"/>
        <v>3260413.51</v>
      </c>
      <c r="P83" s="23">
        <f t="shared" si="5"/>
        <v>3311256.75</v>
      </c>
      <c r="Q83" s="23">
        <f t="shared" si="5"/>
        <v>5951146</v>
      </c>
      <c r="R83" s="23">
        <f t="shared" si="5"/>
        <v>2977547.19</v>
      </c>
      <c r="S83" s="23">
        <f t="shared" si="5"/>
        <v>3125317.18</v>
      </c>
      <c r="T83" s="23">
        <f t="shared" si="5"/>
        <v>6571230.6799999997</v>
      </c>
      <c r="U83" s="23">
        <f t="shared" si="5"/>
        <v>3137992</v>
      </c>
      <c r="V83" s="23">
        <f t="shared" si="5"/>
        <v>5480720.5099999998</v>
      </c>
      <c r="W83" s="23">
        <f t="shared" si="5"/>
        <v>2548373.09</v>
      </c>
      <c r="X83" s="23">
        <f t="shared" si="5"/>
        <v>210000</v>
      </c>
      <c r="Y83" s="23">
        <f t="shared" si="5"/>
        <v>2499043.81</v>
      </c>
      <c r="Z83" s="23">
        <f t="shared" si="5"/>
        <v>18152149.399999999</v>
      </c>
      <c r="AA83" s="23">
        <f t="shared" si="5"/>
        <v>402004.23</v>
      </c>
      <c r="AB83" s="23">
        <f t="shared" si="5"/>
        <v>732616.21</v>
      </c>
      <c r="AC83" s="23">
        <f t="shared" si="5"/>
        <v>4418410.5</v>
      </c>
      <c r="AD83" s="23">
        <f t="shared" si="5"/>
        <v>1737292.6</v>
      </c>
      <c r="AE83" s="23">
        <f t="shared" si="5"/>
        <v>7688792.6900000004</v>
      </c>
      <c r="AF83" s="23">
        <f t="shared" si="5"/>
        <v>0</v>
      </c>
      <c r="AG83" s="23">
        <f t="shared" si="5"/>
        <v>0</v>
      </c>
      <c r="AH83" s="23">
        <f t="shared" si="5"/>
        <v>0</v>
      </c>
      <c r="AI83" s="23">
        <f t="shared" si="5"/>
        <v>0</v>
      </c>
      <c r="AJ83" s="23">
        <f t="shared" si="5"/>
        <v>0</v>
      </c>
      <c r="AK83" s="23">
        <f t="shared" si="5"/>
        <v>0</v>
      </c>
      <c r="AL83" s="23">
        <f t="shared" si="5"/>
        <v>0</v>
      </c>
      <c r="AM83" s="23">
        <f t="shared" si="5"/>
        <v>0</v>
      </c>
    </row>
    <row r="84" spans="2:39" x14ac:dyDescent="0.2">
      <c r="B84" s="15"/>
      <c r="C84" s="1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8"/>
    </row>
    <row r="85" spans="2:39" hidden="1" outlineLevel="1" x14ac:dyDescent="0.2">
      <c r="B85" s="15"/>
      <c r="C85" s="20" t="s">
        <v>214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8"/>
    </row>
    <row r="86" spans="2:39" hidden="1" outlineLevel="1" x14ac:dyDescent="0.2">
      <c r="B86" s="21">
        <v>50000</v>
      </c>
      <c r="C86" s="16" t="s">
        <v>215</v>
      </c>
      <c r="D86" s="17">
        <f>_xlfn.XLOOKUP($C86,TB_NG!$E:$E,TB_NG!F:F)</f>
        <v>1440000</v>
      </c>
      <c r="E86" s="17">
        <f>_xlfn.XLOOKUP($C86,TB_NG!$E:$E,TB_NG!G:G)</f>
        <v>1440000</v>
      </c>
      <c r="F86" s="17">
        <f>_xlfn.XLOOKUP($C86,TB_NG!$E:$E,TB_NG!H:H)</f>
        <v>1440000</v>
      </c>
      <c r="G86" s="17">
        <f>_xlfn.XLOOKUP($C86,TB_NG!$E:$E,TB_NG!I:I)</f>
        <v>1440000</v>
      </c>
      <c r="H86" s="17">
        <f>_xlfn.XLOOKUP($C86,TB_NG!$E:$E,TB_NG!J:J)</f>
        <v>1440000</v>
      </c>
      <c r="I86" s="17">
        <f>_xlfn.XLOOKUP($C86,TB_NG!$E:$E,TB_NG!K:K)</f>
        <v>1440000</v>
      </c>
      <c r="J86" s="17">
        <f>_xlfn.XLOOKUP($C86,TB_NG!$E:$E,TB_NG!L:L)</f>
        <v>1440000</v>
      </c>
      <c r="K86" s="17">
        <f>_xlfn.XLOOKUP($C86,TB_NG!$E:$E,TB_NG!M:M)</f>
        <v>1440000</v>
      </c>
      <c r="L86" s="17">
        <f>_xlfn.XLOOKUP($C86,TB_NG!$E:$E,TB_NG!N:N)</f>
        <v>1440000</v>
      </c>
      <c r="M86" s="17">
        <f>_xlfn.XLOOKUP($C86,TB_NG!$E:$E,TB_NG!O:O)</f>
        <v>1440000</v>
      </c>
      <c r="N86" s="17">
        <f>_xlfn.XLOOKUP($C86,TB_NG!$E:$E,TB_NG!P:P)</f>
        <v>1440000</v>
      </c>
      <c r="O86" s="17">
        <f>_xlfn.XLOOKUP($C86,TB_NG!$E:$E,TB_NG!Q:Q)</f>
        <v>1440000</v>
      </c>
      <c r="P86" s="17">
        <f>_xlfn.XLOOKUP($C86,TB_NG!$E:$E,TB_NG!R:R)</f>
        <v>1440000</v>
      </c>
      <c r="Q86" s="17">
        <f>_xlfn.XLOOKUP($C86,TB_NG!$E:$E,TB_NG!S:S)</f>
        <v>1440000</v>
      </c>
      <c r="R86" s="17">
        <f>_xlfn.XLOOKUP($C86,TB_NG!$E:$E,TB_NG!T:T)</f>
        <v>1440000</v>
      </c>
      <c r="S86" s="17">
        <f>_xlfn.XLOOKUP($C86,TB_NG!$E:$E,TB_NG!U:U)</f>
        <v>1440000</v>
      </c>
      <c r="T86" s="17">
        <f>_xlfn.XLOOKUP($C86,TB_NG!$E:$E,TB_NG!V:V)</f>
        <v>1440000</v>
      </c>
      <c r="U86" s="17">
        <f>_xlfn.XLOOKUP($C86,TB_NG!$E:$E,TB_NG!W:W)</f>
        <v>1440000</v>
      </c>
      <c r="V86" s="17">
        <f>_xlfn.XLOOKUP($C86,TB_NG!$E:$E,TB_NG!X:X)</f>
        <v>1440000</v>
      </c>
      <c r="W86" s="17">
        <f>_xlfn.XLOOKUP($C86,TB_NG!$E:$E,TB_NG!Y:Y)</f>
        <v>1540000</v>
      </c>
      <c r="X86" s="17">
        <f>_xlfn.XLOOKUP($C86,TB_NG!$E:$E,TB_NG!Z:Z)</f>
        <v>1440000</v>
      </c>
      <c r="Y86" s="17">
        <f>_xlfn.XLOOKUP($C86,TB_NG!$E:$E,TB_NG!AA:AA)</f>
        <v>1440000</v>
      </c>
      <c r="Z86" s="17">
        <f>_xlfn.XLOOKUP($C86,TB_NG!$E:$E,TB_NG!AB:AB)</f>
        <v>1440000</v>
      </c>
      <c r="AA86" s="17">
        <f>_xlfn.XLOOKUP($C86,TB_NG!$E:$E,TB_NG!AC:AC)</f>
        <v>1440000</v>
      </c>
      <c r="AB86" s="17">
        <f>_xlfn.XLOOKUP($C86,TB_NG!$E:$E,TB_NG!AD:AD)</f>
        <v>1440000</v>
      </c>
      <c r="AC86" s="17">
        <f>_xlfn.XLOOKUP($C86,TB_NG!$E:$E,TB_NG!AE:AE)</f>
        <v>1440000</v>
      </c>
      <c r="AD86" s="17">
        <f>_xlfn.XLOOKUP($C86,TB_NG!$E:$E,TB_NG!AF:AF)</f>
        <v>1440000</v>
      </c>
      <c r="AE86" s="17">
        <f>_xlfn.XLOOKUP($C86,TB_NG!$E:$E,TB_NG!AG:AG)</f>
        <v>1440000</v>
      </c>
      <c r="AF86" s="17">
        <f>_xlfn.XLOOKUP($C86,TB_NG!$E:$E,TB_NG!AH:AH)</f>
        <v>0</v>
      </c>
      <c r="AG86" s="17">
        <f>_xlfn.XLOOKUP($C86,TB_NG!$E:$E,TB_NG!AI:AI)</f>
        <v>0</v>
      </c>
      <c r="AH86" s="17">
        <f>_xlfn.XLOOKUP($C86,TB_NG!$E:$E,TB_NG!AJ:AJ)</f>
        <v>0</v>
      </c>
      <c r="AI86" s="17">
        <f>_xlfn.XLOOKUP($C86,TB_NG!$E:$E,TB_NG!AK:AK)</f>
        <v>0</v>
      </c>
      <c r="AJ86" s="17">
        <f>_xlfn.XLOOKUP($C86,TB_NG!$E:$E,TB_NG!AL:AL)</f>
        <v>0</v>
      </c>
      <c r="AK86" s="17">
        <f>_xlfn.XLOOKUP($C86,TB_NG!$E:$E,TB_NG!AM:AM)</f>
        <v>0</v>
      </c>
      <c r="AL86" s="17">
        <f>_xlfn.XLOOKUP($C86,TB_NG!$E:$E,TB_NG!AN:AN)</f>
        <v>0</v>
      </c>
      <c r="AM86" s="17">
        <f>_xlfn.XLOOKUP($C86,TB_NG!$E:$E,TB_NG!AO:AO)</f>
        <v>0</v>
      </c>
    </row>
    <row r="87" spans="2:39" hidden="1" outlineLevel="1" x14ac:dyDescent="0.2">
      <c r="B87" s="21">
        <v>50005</v>
      </c>
      <c r="C87" s="16" t="s">
        <v>216</v>
      </c>
      <c r="D87" s="17">
        <f>_xlfn.XLOOKUP($C87,TB_NG!$E:$E,TB_NG!F:F)</f>
        <v>18458333.32</v>
      </c>
      <c r="E87" s="17">
        <f>_xlfn.XLOOKUP($C87,TB_NG!$E:$E,TB_NG!G:G)</f>
        <v>18054999.989999998</v>
      </c>
      <c r="F87" s="17">
        <f>_xlfn.XLOOKUP($C87,TB_NG!$E:$E,TB_NG!H:H)</f>
        <v>17631666.66</v>
      </c>
      <c r="G87" s="17">
        <f>_xlfn.XLOOKUP($C87,TB_NG!$E:$E,TB_NG!I:I)</f>
        <v>17720833.32</v>
      </c>
      <c r="H87" s="17">
        <f>_xlfn.XLOOKUP($C87,TB_NG!$E:$E,TB_NG!J:J)</f>
        <v>18124999.989999998</v>
      </c>
      <c r="I87" s="17">
        <f>_xlfn.XLOOKUP($C87,TB_NG!$E:$E,TB_NG!K:K)</f>
        <v>18587499.989999998</v>
      </c>
      <c r="J87" s="17">
        <f>_xlfn.XLOOKUP($C87,TB_NG!$E:$E,TB_NG!L:L)</f>
        <v>18749999.989999998</v>
      </c>
      <c r="K87" s="17">
        <f>_xlfn.XLOOKUP($C87,TB_NG!$E:$E,TB_NG!M:M)</f>
        <v>18445833.329999998</v>
      </c>
      <c r="L87" s="17">
        <f>_xlfn.XLOOKUP($C87,TB_NG!$E:$E,TB_NG!N:N)</f>
        <v>18141666.670000002</v>
      </c>
      <c r="M87" s="17">
        <f>_xlfn.XLOOKUP($C87,TB_NG!$E:$E,TB_NG!O:O)</f>
        <v>18765833.34</v>
      </c>
      <c r="N87" s="17">
        <f>_xlfn.XLOOKUP($C87,TB_NG!$E:$E,TB_NG!P:P)</f>
        <v>20569802.109999999</v>
      </c>
      <c r="O87" s="17">
        <f>_xlfn.XLOOKUP($C87,TB_NG!$E:$E,TB_NG!Q:Q)</f>
        <v>19858168.43</v>
      </c>
      <c r="P87" s="17">
        <f>_xlfn.XLOOKUP($C87,TB_NG!$E:$E,TB_NG!R:R)</f>
        <v>29900088.079999998</v>
      </c>
      <c r="Q87" s="17">
        <f>_xlfn.XLOOKUP($C87,TB_NG!$E:$E,TB_NG!S:S)</f>
        <v>26694007.690000001</v>
      </c>
      <c r="R87" s="17">
        <f>_xlfn.XLOOKUP($C87,TB_NG!$E:$E,TB_NG!T:T)</f>
        <v>22794447.350000001</v>
      </c>
      <c r="S87" s="17">
        <f>_xlfn.XLOOKUP($C87,TB_NG!$E:$E,TB_NG!U:U)</f>
        <v>21036633.66</v>
      </c>
      <c r="T87" s="17">
        <f>_xlfn.XLOOKUP($C87,TB_NG!$E:$E,TB_NG!V:V)</f>
        <v>36527899.969999999</v>
      </c>
      <c r="U87" s="17">
        <f>_xlfn.XLOOKUP($C87,TB_NG!$E:$E,TB_NG!W:W)</f>
        <v>32467411.510000002</v>
      </c>
      <c r="V87" s="17">
        <f>_xlfn.XLOOKUP($C87,TB_NG!$E:$E,TB_NG!X:X)</f>
        <v>32263389.800000001</v>
      </c>
      <c r="W87" s="17">
        <f>_xlfn.XLOOKUP($C87,TB_NG!$E:$E,TB_NG!Y:Y)</f>
        <v>30879467.960000001</v>
      </c>
      <c r="X87" s="17">
        <f>_xlfn.XLOOKUP($C87,TB_NG!$E:$E,TB_NG!Z:Z)</f>
        <v>29935446.899999999</v>
      </c>
      <c r="Y87" s="17">
        <f>_xlfn.XLOOKUP($C87,TB_NG!$E:$E,TB_NG!AA:AA)</f>
        <v>30064125.859999999</v>
      </c>
      <c r="Z87" s="17">
        <f>_xlfn.XLOOKUP($C87,TB_NG!$E:$E,TB_NG!AB:AB)</f>
        <v>28210000.030000001</v>
      </c>
      <c r="AA87" s="17">
        <f>_xlfn.XLOOKUP($C87,TB_NG!$E:$E,TB_NG!AC:AC)</f>
        <v>27171428.09</v>
      </c>
      <c r="AB87" s="17">
        <f>_xlfn.XLOOKUP($C87,TB_NG!$E:$E,TB_NG!AD:AD)</f>
        <v>25131566.940000001</v>
      </c>
      <c r="AC87" s="17">
        <f>_xlfn.XLOOKUP($C87,TB_NG!$E:$E,TB_NG!AE:AE)</f>
        <v>20908420.219999999</v>
      </c>
      <c r="AD87" s="17">
        <f>_xlfn.XLOOKUP($C87,TB_NG!$E:$E,TB_NG!AF:AF)</f>
        <v>19835273.5</v>
      </c>
      <c r="AE87" s="17">
        <f>_xlfn.XLOOKUP($C87,TB_NG!$E:$E,TB_NG!AG:AG)</f>
        <v>24922126.760000002</v>
      </c>
      <c r="AF87" s="17">
        <f>_xlfn.XLOOKUP($C87,TB_NG!$E:$E,TB_NG!AH:AH)</f>
        <v>0</v>
      </c>
      <c r="AG87" s="17">
        <f>_xlfn.XLOOKUP($C87,TB_NG!$E:$E,TB_NG!AI:AI)</f>
        <v>0</v>
      </c>
      <c r="AH87" s="17">
        <f>_xlfn.XLOOKUP($C87,TB_NG!$E:$E,TB_NG!AJ:AJ)</f>
        <v>0</v>
      </c>
      <c r="AI87" s="17">
        <f>_xlfn.XLOOKUP($C87,TB_NG!$E:$E,TB_NG!AK:AK)</f>
        <v>0</v>
      </c>
      <c r="AJ87" s="17">
        <f>_xlfn.XLOOKUP($C87,TB_NG!$E:$E,TB_NG!AL:AL)</f>
        <v>0</v>
      </c>
      <c r="AK87" s="17">
        <f>_xlfn.XLOOKUP($C87,TB_NG!$E:$E,TB_NG!AM:AM)</f>
        <v>0</v>
      </c>
      <c r="AL87" s="17">
        <f>_xlfn.XLOOKUP($C87,TB_NG!$E:$E,TB_NG!AN:AN)</f>
        <v>0</v>
      </c>
      <c r="AM87" s="17">
        <f>_xlfn.XLOOKUP($C87,TB_NG!$E:$E,TB_NG!AO:AO)</f>
        <v>0</v>
      </c>
    </row>
    <row r="88" spans="2:39" hidden="1" outlineLevel="1" x14ac:dyDescent="0.2">
      <c r="B88" s="21">
        <v>13301</v>
      </c>
      <c r="C88" s="362" t="s">
        <v>409</v>
      </c>
      <c r="D88" s="17">
        <f>_xlfn.XLOOKUP($C88,TB_NG!$E:$E,TB_NG!F:F)</f>
        <v>0</v>
      </c>
      <c r="E88" s="17">
        <f>_xlfn.XLOOKUP($C88,TB_NG!$E:$E,TB_NG!G:G)</f>
        <v>0</v>
      </c>
      <c r="F88" s="17">
        <f>_xlfn.XLOOKUP($C88,TB_NG!$E:$E,TB_NG!H:H)</f>
        <v>0</v>
      </c>
      <c r="G88" s="17">
        <f>_xlfn.XLOOKUP($C88,TB_NG!$E:$E,TB_NG!I:I)</f>
        <v>0</v>
      </c>
      <c r="H88" s="17">
        <f>_xlfn.XLOOKUP($C88,TB_NG!$E:$E,TB_NG!J:J)</f>
        <v>0</v>
      </c>
      <c r="I88" s="17">
        <f>_xlfn.XLOOKUP($C88,TB_NG!$E:$E,TB_NG!K:K)</f>
        <v>0</v>
      </c>
      <c r="J88" s="17">
        <f>_xlfn.XLOOKUP($C88,TB_NG!$E:$E,TB_NG!L:L)</f>
        <v>0</v>
      </c>
      <c r="K88" s="17">
        <f>_xlfn.XLOOKUP($C88,TB_NG!$E:$E,TB_NG!M:M)</f>
        <v>0</v>
      </c>
      <c r="L88" s="17">
        <f>_xlfn.XLOOKUP($C88,TB_NG!$E:$E,TB_NG!N:N)</f>
        <v>0</v>
      </c>
      <c r="M88" s="17">
        <f>_xlfn.XLOOKUP($C88,TB_NG!$E:$E,TB_NG!O:O)</f>
        <v>0</v>
      </c>
      <c r="N88" s="17">
        <f>_xlfn.XLOOKUP($C88,TB_NG!$E:$E,TB_NG!P:P)</f>
        <v>10000000</v>
      </c>
      <c r="O88" s="17">
        <f>_xlfn.XLOOKUP($C88,TB_NG!$E:$E,TB_NG!Q:Q)</f>
        <v>0</v>
      </c>
      <c r="P88" s="17">
        <f>_xlfn.XLOOKUP($C88,TB_NG!$E:$E,TB_NG!R:R)</f>
        <v>0</v>
      </c>
      <c r="Q88" s="17">
        <f>_xlfn.XLOOKUP($C88,TB_NG!$E:$E,TB_NG!S:S)</f>
        <v>0</v>
      </c>
      <c r="R88" s="17">
        <f>_xlfn.XLOOKUP($C88,TB_NG!$E:$E,TB_NG!T:T)</f>
        <v>0</v>
      </c>
      <c r="S88" s="17">
        <f>_xlfn.XLOOKUP($C88,TB_NG!$E:$E,TB_NG!U:U)</f>
        <v>0</v>
      </c>
      <c r="T88" s="17">
        <f>_xlfn.XLOOKUP($C88,TB_NG!$E:$E,TB_NG!V:V)</f>
        <v>0</v>
      </c>
      <c r="U88" s="17">
        <f>_xlfn.XLOOKUP($C88,TB_NG!$E:$E,TB_NG!W:W)</f>
        <v>0</v>
      </c>
      <c r="V88" s="17">
        <f>_xlfn.XLOOKUP($C88,TB_NG!$E:$E,TB_NG!X:X)</f>
        <v>0</v>
      </c>
      <c r="W88" s="17">
        <f>_xlfn.XLOOKUP($C88,TB_NG!$E:$E,TB_NG!Y:Y)</f>
        <v>0</v>
      </c>
      <c r="X88" s="17">
        <f>_xlfn.XLOOKUP($C88,TB_NG!$E:$E,TB_NG!Z:Z)</f>
        <v>0</v>
      </c>
      <c r="Y88" s="17">
        <f>_xlfn.XLOOKUP($C88,TB_NG!$E:$E,TB_NG!AA:AA)</f>
        <v>0</v>
      </c>
      <c r="Z88" s="17">
        <f>_xlfn.XLOOKUP($C88,TB_NG!$E:$E,TB_NG!AB:AB)</f>
        <v>0</v>
      </c>
      <c r="AA88" s="17">
        <f>_xlfn.XLOOKUP($C88,TB_NG!$E:$E,TB_NG!AC:AC)</f>
        <v>0</v>
      </c>
      <c r="AB88" s="17">
        <f>_xlfn.XLOOKUP($C88,TB_NG!$E:$E,TB_NG!AD:AD)</f>
        <v>0</v>
      </c>
      <c r="AC88" s="17">
        <f>_xlfn.XLOOKUP($C88,TB_NG!$E:$E,TB_NG!AE:AE)</f>
        <v>0</v>
      </c>
      <c r="AD88" s="17">
        <f>_xlfn.XLOOKUP($C88,TB_NG!$E:$E,TB_NG!AF:AF)</f>
        <v>0</v>
      </c>
      <c r="AE88" s="17">
        <f>_xlfn.XLOOKUP($C88,TB_NG!$E:$E,TB_NG!AG:AG)</f>
        <v>0</v>
      </c>
      <c r="AF88" s="17">
        <f>_xlfn.XLOOKUP($C88,TB_NG!$E:$E,TB_NG!AH:AH)</f>
        <v>0</v>
      </c>
      <c r="AG88" s="17">
        <f>_xlfn.XLOOKUP($C88,TB_NG!$E:$E,TB_NG!AI:AI)</f>
        <v>0</v>
      </c>
      <c r="AH88" s="17">
        <f>_xlfn.XLOOKUP($C88,TB_NG!$E:$E,TB_NG!AJ:AJ)</f>
        <v>0</v>
      </c>
      <c r="AI88" s="17">
        <f>_xlfn.XLOOKUP($C88,TB_NG!$E:$E,TB_NG!AK:AK)</f>
        <v>0</v>
      </c>
      <c r="AJ88" s="17">
        <f>_xlfn.XLOOKUP($C88,TB_NG!$E:$E,TB_NG!AL:AL)</f>
        <v>0</v>
      </c>
      <c r="AK88" s="17">
        <f>_xlfn.XLOOKUP($C88,TB_NG!$E:$E,TB_NG!AM:AM)</f>
        <v>0</v>
      </c>
      <c r="AL88" s="17">
        <f>_xlfn.XLOOKUP($C88,TB_NG!$E:$E,TB_NG!AN:AN)</f>
        <v>0</v>
      </c>
      <c r="AM88" s="17">
        <f>_xlfn.XLOOKUP($C88,TB_NG!$E:$E,TB_NG!AO:AO)</f>
        <v>0</v>
      </c>
    </row>
    <row r="89" spans="2:39" hidden="1" outlineLevel="1" x14ac:dyDescent="0.2">
      <c r="B89" s="21">
        <v>53005</v>
      </c>
      <c r="C89" s="16" t="s">
        <v>217</v>
      </c>
      <c r="D89" s="17">
        <f>_xlfn.XLOOKUP($C89,TB_NG!$E:$E,TB_NG!F:F)</f>
        <v>6243492.71</v>
      </c>
      <c r="E89" s="17">
        <f>_xlfn.XLOOKUP($C89,TB_NG!$E:$E,TB_NG!G:G)</f>
        <v>8207356.8300000001</v>
      </c>
      <c r="F89" s="17">
        <f>_xlfn.XLOOKUP($C89,TB_NG!$E:$E,TB_NG!H:H)</f>
        <v>9933685.3499999996</v>
      </c>
      <c r="G89" s="17">
        <f>_xlfn.XLOOKUP($C89,TB_NG!$E:$E,TB_NG!I:I)</f>
        <v>12188701.869999999</v>
      </c>
      <c r="H89" s="17">
        <f>_xlfn.XLOOKUP($C89,TB_NG!$E:$E,TB_NG!J:J)</f>
        <v>9960434.1199999992</v>
      </c>
      <c r="I89" s="17">
        <f>_xlfn.XLOOKUP($C89,TB_NG!$E:$E,TB_NG!K:K)</f>
        <v>6102149.7800000003</v>
      </c>
      <c r="J89" s="17">
        <f>_xlfn.XLOOKUP($C89,TB_NG!$E:$E,TB_NG!L:L)</f>
        <v>8198177.1500000004</v>
      </c>
      <c r="K89" s="17">
        <f>_xlfn.XLOOKUP($C89,TB_NG!$E:$E,TB_NG!M:M)</f>
        <v>10151260</v>
      </c>
      <c r="L89" s="17">
        <f>_xlfn.XLOOKUP($C89,TB_NG!$E:$E,TB_NG!N:N)</f>
        <v>5820369.4699999997</v>
      </c>
      <c r="M89" s="17">
        <f>_xlfn.XLOOKUP($C89,TB_NG!$E:$E,TB_NG!O:O)</f>
        <v>12913475.17</v>
      </c>
      <c r="N89" s="17">
        <f>_xlfn.XLOOKUP($C89,TB_NG!$E:$E,TB_NG!P:P)</f>
        <v>12968586.57</v>
      </c>
      <c r="O89" s="17">
        <f>_xlfn.XLOOKUP($C89,TB_NG!$E:$E,TB_NG!Q:Q)</f>
        <v>10898024.24</v>
      </c>
      <c r="P89" s="17">
        <f>_xlfn.XLOOKUP($C89,TB_NG!$E:$E,TB_NG!R:R)</f>
        <v>15113486.93</v>
      </c>
      <c r="Q89" s="17">
        <f>_xlfn.XLOOKUP($C89,TB_NG!$E:$E,TB_NG!S:S)</f>
        <v>14885950.32</v>
      </c>
      <c r="R89" s="17">
        <f>_xlfn.XLOOKUP($C89,TB_NG!$E:$E,TB_NG!T:T)</f>
        <v>13008398.060000001</v>
      </c>
      <c r="S89" s="17">
        <f>_xlfn.XLOOKUP($C89,TB_NG!$E:$E,TB_NG!U:U)</f>
        <v>12913965.560000001</v>
      </c>
      <c r="T89" s="17">
        <f>_xlfn.XLOOKUP($C89,TB_NG!$E:$E,TB_NG!V:V)</f>
        <v>12389631.630000001</v>
      </c>
      <c r="U89" s="17">
        <f>_xlfn.XLOOKUP($C89,TB_NG!$E:$E,TB_NG!W:W)</f>
        <v>4901041.1900000004</v>
      </c>
      <c r="V89" s="17">
        <f>_xlfn.XLOOKUP($C89,TB_NG!$E:$E,TB_NG!X:X)</f>
        <v>4245944.76</v>
      </c>
      <c r="W89" s="17">
        <f>_xlfn.XLOOKUP($C89,TB_NG!$E:$E,TB_NG!Y:Y)</f>
        <v>3487923.33</v>
      </c>
      <c r="X89" s="17">
        <f>_xlfn.XLOOKUP($C89,TB_NG!$E:$E,TB_NG!Z:Z)</f>
        <v>2646501.9</v>
      </c>
      <c r="Y89" s="17">
        <f>_xlfn.XLOOKUP($C89,TB_NG!$E:$E,TB_NG!AA:AA)</f>
        <v>2218050.4700000002</v>
      </c>
      <c r="Z89" s="17">
        <f>_xlfn.XLOOKUP($C89,TB_NG!$E:$E,TB_NG!AB:AB)</f>
        <v>3559099.04</v>
      </c>
      <c r="AA89" s="17">
        <f>_xlfn.XLOOKUP($C89,TB_NG!$E:$E,TB_NG!AC:AC)</f>
        <v>2435621.84</v>
      </c>
      <c r="AB89" s="17">
        <f>_xlfn.XLOOKUP($C89,TB_NG!$E:$E,TB_NG!AD:AD)</f>
        <v>1051374.0800000001</v>
      </c>
      <c r="AC89" s="17">
        <f>_xlfn.XLOOKUP($C89,TB_NG!$E:$E,TB_NG!AE:AE)</f>
        <v>888624.08</v>
      </c>
      <c r="AD89" s="17">
        <f>_xlfn.XLOOKUP($C89,TB_NG!$E:$E,TB_NG!AF:AF)</f>
        <v>1011249.08</v>
      </c>
      <c r="AE89" s="17">
        <f>_xlfn.XLOOKUP($C89,TB_NG!$E:$E,TB_NG!AG:AG)</f>
        <v>1290699.08</v>
      </c>
      <c r="AF89" s="17">
        <f>_xlfn.XLOOKUP($C89,TB_NG!$E:$E,TB_NG!AH:AH)</f>
        <v>0</v>
      </c>
      <c r="AG89" s="17">
        <f>_xlfn.XLOOKUP($C89,TB_NG!$E:$E,TB_NG!AI:AI)</f>
        <v>0</v>
      </c>
      <c r="AH89" s="17">
        <f>_xlfn.XLOOKUP($C89,TB_NG!$E:$E,TB_NG!AJ:AJ)</f>
        <v>0</v>
      </c>
      <c r="AI89" s="17">
        <f>_xlfn.XLOOKUP($C89,TB_NG!$E:$E,TB_NG!AK:AK)</f>
        <v>0</v>
      </c>
      <c r="AJ89" s="17">
        <f>_xlfn.XLOOKUP($C89,TB_NG!$E:$E,TB_NG!AL:AL)</f>
        <v>0</v>
      </c>
      <c r="AK89" s="17">
        <f>_xlfn.XLOOKUP($C89,TB_NG!$E:$E,TB_NG!AM:AM)</f>
        <v>0</v>
      </c>
      <c r="AL89" s="17">
        <f>_xlfn.XLOOKUP($C89,TB_NG!$E:$E,TB_NG!AN:AN)</f>
        <v>0</v>
      </c>
      <c r="AM89" s="17">
        <f>_xlfn.XLOOKUP($C89,TB_NG!$E:$E,TB_NG!AO:AO)</f>
        <v>0</v>
      </c>
    </row>
    <row r="90" spans="2:39" hidden="1" outlineLevel="1" x14ac:dyDescent="0.2">
      <c r="B90" s="21">
        <f>_xlfn.XLOOKUP($C90,TB_NG!$E:$E,TB_NG!A:A)</f>
        <v>13400</v>
      </c>
      <c r="C90" s="16" t="s">
        <v>218</v>
      </c>
      <c r="D90" s="17">
        <f>_xlfn.XLOOKUP($C90,TB_NG!$E:$E,TB_NG!F:F)</f>
        <v>305145909.02999997</v>
      </c>
      <c r="E90" s="17">
        <f>_xlfn.XLOOKUP($C90,TB_NG!$E:$E,TB_NG!G:G)</f>
        <v>313643468.25</v>
      </c>
      <c r="F90" s="17">
        <f>_xlfn.XLOOKUP($C90,TB_NG!$E:$E,TB_NG!H:H)</f>
        <v>345334052.72000003</v>
      </c>
      <c r="G90" s="17">
        <f>_xlfn.XLOOKUP($C90,TB_NG!$E:$E,TB_NG!I:I)</f>
        <v>394948400.66000003</v>
      </c>
      <c r="H90" s="17">
        <f>_xlfn.XLOOKUP($C90,TB_NG!$E:$E,TB_NG!J:J)</f>
        <v>421038561.36000001</v>
      </c>
      <c r="I90" s="17">
        <f>_xlfn.XLOOKUP($C90,TB_NG!$E:$E,TB_NG!K:K)</f>
        <v>421038561.36000001</v>
      </c>
      <c r="J90" s="17">
        <f>_xlfn.XLOOKUP($C90,TB_NG!$E:$E,TB_NG!L:L)</f>
        <v>421113561.36000001</v>
      </c>
      <c r="K90" s="17">
        <f>_xlfn.XLOOKUP($C90,TB_NG!$E:$E,TB_NG!M:M)</f>
        <v>459214113.20999998</v>
      </c>
      <c r="L90" s="17">
        <f>_xlfn.XLOOKUP($C90,TB_NG!$E:$E,TB_NG!N:N)</f>
        <v>443925487.08999997</v>
      </c>
      <c r="M90" s="17">
        <f>_xlfn.XLOOKUP($C90,TB_NG!$E:$E,TB_NG!O:O)</f>
        <v>454629154.98000002</v>
      </c>
      <c r="N90" s="17">
        <f>_xlfn.XLOOKUP($C90,TB_NG!$E:$E,TB_NG!P:P)</f>
        <v>456145048.47000003</v>
      </c>
      <c r="O90" s="17">
        <f>_xlfn.XLOOKUP($C90,TB_NG!$E:$E,TB_NG!Q:Q)</f>
        <v>466104687.24000001</v>
      </c>
      <c r="P90" s="17">
        <f>_xlfn.XLOOKUP($C90,TB_NG!$E:$E,TB_NG!R:R)</f>
        <v>472564818.79000002</v>
      </c>
      <c r="Q90" s="17">
        <f>_xlfn.XLOOKUP($C90,TB_NG!$E:$E,TB_NG!S:S)</f>
        <v>472564818.79000002</v>
      </c>
      <c r="R90" s="17">
        <f>_xlfn.XLOOKUP($C90,TB_NG!$E:$E,TB_NG!T:T)</f>
        <v>509096092.43000001</v>
      </c>
      <c r="S90" s="17">
        <f>_xlfn.XLOOKUP($C90,TB_NG!$E:$E,TB_NG!U:U)</f>
        <v>514536526.37</v>
      </c>
      <c r="T90" s="17">
        <f>_xlfn.XLOOKUP($C90,TB_NG!$E:$E,TB_NG!V:V)</f>
        <v>514536526.37</v>
      </c>
      <c r="U90" s="17">
        <f>_xlfn.XLOOKUP($C90,TB_NG!$E:$E,TB_NG!W:W)</f>
        <v>547375401.25</v>
      </c>
      <c r="V90" s="17">
        <f>_xlfn.XLOOKUP($C90,TB_NG!$E:$E,TB_NG!X:X)</f>
        <v>550768486.45000005</v>
      </c>
      <c r="W90" s="17">
        <f>_xlfn.XLOOKUP($C90,TB_NG!$E:$E,TB_NG!Y:Y)</f>
        <v>529096062.88</v>
      </c>
      <c r="X90" s="17">
        <f>_xlfn.XLOOKUP($C90,TB_NG!$E:$E,TB_NG!Z:Z)</f>
        <v>529096062.88</v>
      </c>
      <c r="Y90" s="17">
        <f>_xlfn.XLOOKUP($C90,TB_NG!$E:$E,TB_NG!AA:AA)</f>
        <v>529096062.88</v>
      </c>
      <c r="Z90" s="17">
        <f>_xlfn.XLOOKUP($C90,TB_NG!$E:$E,TB_NG!AB:AB)</f>
        <v>533004810.48000002</v>
      </c>
      <c r="AA90" s="17">
        <f>_xlfn.XLOOKUP($C90,TB_NG!$E:$E,TB_NG!AC:AC)</f>
        <v>533116438.38999999</v>
      </c>
      <c r="AB90" s="17">
        <f>_xlfn.XLOOKUP($C90,TB_NG!$E:$E,TB_NG!AD:AD)</f>
        <v>533116438.38999999</v>
      </c>
      <c r="AC90" s="17">
        <f>_xlfn.XLOOKUP($C90,TB_NG!$E:$E,TB_NG!AE:AE)</f>
        <v>535628490.38999999</v>
      </c>
      <c r="AD90" s="17">
        <f>_xlfn.XLOOKUP($C90,TB_NG!$E:$E,TB_NG!AF:AF)</f>
        <v>541268486.66999996</v>
      </c>
      <c r="AE90" s="17">
        <f>_xlfn.XLOOKUP($C90,TB_NG!$E:$E,TB_NG!AG:AG)</f>
        <v>541284486.66999996</v>
      </c>
      <c r="AF90" s="17">
        <f>_xlfn.XLOOKUP($C90,TB_NG!$E:$E,TB_NG!AH:AH)</f>
        <v>0</v>
      </c>
      <c r="AG90" s="17">
        <f>_xlfn.XLOOKUP($C90,TB_NG!$E:$E,TB_NG!AI:AI)</f>
        <v>0</v>
      </c>
      <c r="AH90" s="17">
        <f>_xlfn.XLOOKUP($C90,TB_NG!$E:$E,TB_NG!AJ:AJ)</f>
        <v>0</v>
      </c>
      <c r="AI90" s="17">
        <f>_xlfn.XLOOKUP($C90,TB_NG!$E:$E,TB_NG!AK:AK)</f>
        <v>0</v>
      </c>
      <c r="AJ90" s="17">
        <f>_xlfn.XLOOKUP($C90,TB_NG!$E:$E,TB_NG!AL:AL)</f>
        <v>0</v>
      </c>
      <c r="AK90" s="17">
        <f>_xlfn.XLOOKUP($C90,TB_NG!$E:$E,TB_NG!AM:AM)</f>
        <v>0</v>
      </c>
      <c r="AL90" s="17">
        <f>_xlfn.XLOOKUP($C90,TB_NG!$E:$E,TB_NG!AN:AN)</f>
        <v>0</v>
      </c>
      <c r="AM90" s="17">
        <f>_xlfn.XLOOKUP($C90,TB_NG!$E:$E,TB_NG!AO:AO)</f>
        <v>0</v>
      </c>
    </row>
    <row r="91" spans="2:39" hidden="1" outlineLevel="1" x14ac:dyDescent="0.2">
      <c r="B91" s="21">
        <f>_xlfn.XLOOKUP($C91,TB_NG!$E:$E,TB_NG!A:A)</f>
        <v>11020</v>
      </c>
      <c r="C91" s="16" t="s">
        <v>372</v>
      </c>
      <c r="D91" s="17">
        <f>_xlfn.XLOOKUP($C91,TB_NG!$E:$E,TB_NG!F:F)</f>
        <v>501558.17</v>
      </c>
      <c r="E91" s="17">
        <f>_xlfn.XLOOKUP($C91,TB_NG!$E:$E,TB_NG!G:G)</f>
        <v>501558.17</v>
      </c>
      <c r="F91" s="17">
        <f>_xlfn.XLOOKUP($C91,TB_NG!$E:$E,TB_NG!H:H)</f>
        <v>509115.23</v>
      </c>
      <c r="G91" s="17">
        <f>_xlfn.XLOOKUP($C91,TB_NG!$E:$E,TB_NG!I:I)</f>
        <v>0</v>
      </c>
      <c r="H91" s="17">
        <f>_xlfn.XLOOKUP($C91,TB_NG!$E:$E,TB_NG!J:J)</f>
        <v>0</v>
      </c>
      <c r="I91" s="17">
        <f>_xlfn.XLOOKUP($C91,TB_NG!$E:$E,TB_NG!K:K)</f>
        <v>0</v>
      </c>
      <c r="J91" s="17">
        <f>_xlfn.XLOOKUP($C91,TB_NG!$E:$E,TB_NG!L:L)</f>
        <v>0</v>
      </c>
      <c r="K91" s="17">
        <f>_xlfn.XLOOKUP($C91,TB_NG!$E:$E,TB_NG!M:M)</f>
        <v>0</v>
      </c>
      <c r="L91" s="17">
        <f>_xlfn.XLOOKUP($C91,TB_NG!$E:$E,TB_NG!N:N)</f>
        <v>0</v>
      </c>
      <c r="M91" s="17">
        <f>_xlfn.XLOOKUP($C91,TB_NG!$E:$E,TB_NG!O:O)</f>
        <v>0</v>
      </c>
      <c r="N91" s="17">
        <f>_xlfn.XLOOKUP($C91,TB_NG!$E:$E,TB_NG!P:P)</f>
        <v>0</v>
      </c>
      <c r="O91" s="17">
        <f>_xlfn.XLOOKUP($C91,TB_NG!$E:$E,TB_NG!Q:Q)</f>
        <v>0</v>
      </c>
      <c r="P91" s="17">
        <f>_xlfn.XLOOKUP($C91,TB_NG!$E:$E,TB_NG!R:R)</f>
        <v>0</v>
      </c>
      <c r="Q91" s="17">
        <f>_xlfn.XLOOKUP($C91,TB_NG!$E:$E,TB_NG!S:S)</f>
        <v>0</v>
      </c>
      <c r="R91" s="17">
        <f>_xlfn.XLOOKUP($C91,TB_NG!$E:$E,TB_NG!T:T)</f>
        <v>0</v>
      </c>
      <c r="S91" s="17">
        <f>_xlfn.XLOOKUP($C91,TB_NG!$E:$E,TB_NG!U:U)</f>
        <v>0</v>
      </c>
      <c r="T91" s="17">
        <f>_xlfn.XLOOKUP($C91,TB_NG!$E:$E,TB_NG!V:V)</f>
        <v>0</v>
      </c>
      <c r="U91" s="17">
        <f>_xlfn.XLOOKUP($C91,TB_NG!$E:$E,TB_NG!W:W)</f>
        <v>0</v>
      </c>
      <c r="V91" s="17">
        <f>_xlfn.XLOOKUP($C91,TB_NG!$E:$E,TB_NG!X:X)</f>
        <v>0</v>
      </c>
      <c r="W91" s="17">
        <f>_xlfn.XLOOKUP($C91,TB_NG!$E:$E,TB_NG!Y:Y)</f>
        <v>0</v>
      </c>
      <c r="X91" s="17">
        <f>_xlfn.XLOOKUP($C91,TB_NG!$E:$E,TB_NG!Z:Z)</f>
        <v>0</v>
      </c>
      <c r="Y91" s="17">
        <f>_xlfn.XLOOKUP($C91,TB_NG!$E:$E,TB_NG!AA:AA)</f>
        <v>0</v>
      </c>
      <c r="Z91" s="17">
        <f>_xlfn.XLOOKUP($C91,TB_NG!$E:$E,TB_NG!AB:AB)</f>
        <v>0</v>
      </c>
      <c r="AA91" s="17">
        <f>_xlfn.XLOOKUP($C91,TB_NG!$E:$E,TB_NG!AC:AC)</f>
        <v>0</v>
      </c>
      <c r="AB91" s="17">
        <f>_xlfn.XLOOKUP($C91,TB_NG!$E:$E,TB_NG!AD:AD)</f>
        <v>0</v>
      </c>
      <c r="AC91" s="17">
        <f>_xlfn.XLOOKUP($C91,TB_NG!$E:$E,TB_NG!AE:AE)</f>
        <v>0</v>
      </c>
      <c r="AD91" s="17">
        <f>_xlfn.XLOOKUP($C91,TB_NG!$E:$E,TB_NG!AF:AF)</f>
        <v>0</v>
      </c>
      <c r="AE91" s="17">
        <f>_xlfn.XLOOKUP($C91,TB_NG!$E:$E,TB_NG!AG:AG)</f>
        <v>0</v>
      </c>
      <c r="AF91" s="17">
        <f>_xlfn.XLOOKUP($C91,TB_NG!$E:$E,TB_NG!AH:AH)</f>
        <v>0</v>
      </c>
      <c r="AG91" s="17">
        <f>_xlfn.XLOOKUP($C91,TB_NG!$E:$E,TB_NG!AI:AI)</f>
        <v>0</v>
      </c>
      <c r="AH91" s="17">
        <f>_xlfn.XLOOKUP($C91,TB_NG!$E:$E,TB_NG!AJ:AJ)</f>
        <v>0</v>
      </c>
      <c r="AI91" s="17">
        <f>_xlfn.XLOOKUP($C91,TB_NG!$E:$E,TB_NG!AK:AK)</f>
        <v>0</v>
      </c>
      <c r="AJ91" s="17">
        <f>_xlfn.XLOOKUP($C91,TB_NG!$E:$E,TB_NG!AL:AL)</f>
        <v>0</v>
      </c>
      <c r="AK91" s="17">
        <f>_xlfn.XLOOKUP($C91,TB_NG!$E:$E,TB_NG!AM:AM)</f>
        <v>0</v>
      </c>
      <c r="AL91" s="17">
        <f>_xlfn.XLOOKUP($C91,TB_NG!$E:$E,TB_NG!AN:AN)</f>
        <v>0</v>
      </c>
      <c r="AM91" s="17">
        <f>_xlfn.XLOOKUP($C91,TB_NG!$E:$E,TB_NG!AO:AO)</f>
        <v>0</v>
      </c>
    </row>
    <row r="92" spans="2:39" hidden="1" outlineLevel="1" x14ac:dyDescent="0.2">
      <c r="B92" s="21">
        <v>13023</v>
      </c>
      <c r="C92" s="401" t="str">
        <f>_xlfn.XLOOKUP($B92,'[1]Trial Balance'!$A:$A,'[1]Trial Balance'!E:E)</f>
        <v>Value Jet Wallet</v>
      </c>
      <c r="D92" s="17">
        <f>_xlfn.XLOOKUP($B92,TB_NG!$A:$A,TB_NG!F:F)</f>
        <v>0</v>
      </c>
      <c r="E92" s="17">
        <f>_xlfn.XLOOKUP($B92,TB_NG!$A:$A,TB_NG!G:G)</f>
        <v>0</v>
      </c>
      <c r="F92" s="17">
        <f>_xlfn.XLOOKUP($B92,TB_NG!$A:$A,TB_NG!H:H)</f>
        <v>0</v>
      </c>
      <c r="G92" s="17">
        <f>_xlfn.XLOOKUP($B92,TB_NG!$A:$A,TB_NG!I:I)</f>
        <v>0</v>
      </c>
      <c r="H92" s="17">
        <f>_xlfn.XLOOKUP($B92,TB_NG!$A:$A,TB_NG!J:J)</f>
        <v>0</v>
      </c>
      <c r="I92" s="17">
        <f>_xlfn.XLOOKUP($B92,TB_NG!$A:$A,TB_NG!K:K)</f>
        <v>0</v>
      </c>
      <c r="J92" s="17">
        <f>_xlfn.XLOOKUP($B92,TB_NG!$A:$A,TB_NG!L:L)</f>
        <v>0</v>
      </c>
      <c r="K92" s="17">
        <f>_xlfn.XLOOKUP($B92,TB_NG!$A:$A,TB_NG!M:M)</f>
        <v>0</v>
      </c>
      <c r="L92" s="17">
        <f>_xlfn.XLOOKUP($B92,TB_NG!$A:$A,TB_NG!N:N)</f>
        <v>0</v>
      </c>
      <c r="M92" s="17">
        <f>_xlfn.XLOOKUP($B92,TB_NG!$A:$A,TB_NG!O:O)</f>
        <v>0</v>
      </c>
      <c r="N92" s="17">
        <f>_xlfn.XLOOKUP($B92,TB_NG!$A:$A,TB_NG!P:P)</f>
        <v>0</v>
      </c>
      <c r="O92" s="17">
        <f>_xlfn.XLOOKUP($B92,TB_NG!$A:$A,TB_NG!Q:Q)</f>
        <v>0</v>
      </c>
      <c r="P92" s="17">
        <f>_xlfn.XLOOKUP($B92,TB_NG!$A:$A,TB_NG!R:R)</f>
        <v>0</v>
      </c>
      <c r="Q92" s="17">
        <f>_xlfn.XLOOKUP($B92,TB_NG!$A:$A,TB_NG!S:S)</f>
        <v>0</v>
      </c>
      <c r="R92" s="17">
        <f>_xlfn.XLOOKUP($B92,TB_NG!$A:$A,TB_NG!T:T)</f>
        <v>0</v>
      </c>
      <c r="S92" s="17">
        <f>_xlfn.XLOOKUP($B92,TB_NG!$A:$A,TB_NG!U:U)</f>
        <v>0</v>
      </c>
      <c r="T92" s="17">
        <f>_xlfn.XLOOKUP($B92,TB_NG!$A:$A,TB_NG!V:V)</f>
        <v>0</v>
      </c>
      <c r="U92" s="17">
        <f>_xlfn.XLOOKUP($B92,TB_NG!$A:$A,TB_NG!W:W)</f>
        <v>0</v>
      </c>
      <c r="V92" s="17">
        <f>_xlfn.XLOOKUP($B92,TB_NG!$A:$A,TB_NG!X:X)</f>
        <v>0</v>
      </c>
      <c r="W92" s="17">
        <f>_xlfn.XLOOKUP($B92,TB_NG!$A:$A,TB_NG!Y:Y)</f>
        <v>0</v>
      </c>
      <c r="X92" s="17">
        <f>_xlfn.XLOOKUP($B92,TB_NG!$A:$A,TB_NG!Z:Z)</f>
        <v>0</v>
      </c>
      <c r="Y92" s="17">
        <f>_xlfn.XLOOKUP($B92,TB_NG!$A:$A,TB_NG!AA:AA)</f>
        <v>0</v>
      </c>
      <c r="Z92" s="17">
        <f>_xlfn.XLOOKUP($B92,TB_NG!$A:$A,TB_NG!AB:AB)</f>
        <v>420002</v>
      </c>
      <c r="AA92" s="17">
        <f>_xlfn.XLOOKUP($B92,TB_NG!$A:$A,TB_NG!AC:AC)</f>
        <v>420002</v>
      </c>
      <c r="AB92" s="17">
        <f>_xlfn.XLOOKUP($B92,TB_NG!$A:$A,TB_NG!AD:AD)</f>
        <v>1000002</v>
      </c>
      <c r="AC92" s="17">
        <f>_xlfn.XLOOKUP($B92,TB_NG!$A:$A,TB_NG!AE:AE)</f>
        <v>367380</v>
      </c>
      <c r="AD92" s="17">
        <f>_xlfn.XLOOKUP($B92,TB_NG!$A:$A,TB_NG!AF:AF)</f>
        <v>367380</v>
      </c>
      <c r="AE92" s="17">
        <f>_xlfn.XLOOKUP($B92,TB_NG!$A:$A,TB_NG!AG:AG)</f>
        <v>367380</v>
      </c>
      <c r="AF92" s="17">
        <f>_xlfn.XLOOKUP($B92,TB_NG!$A:$A,TB_NG!AH:AH)</f>
        <v>0</v>
      </c>
      <c r="AG92" s="17">
        <f>_xlfn.XLOOKUP($B92,TB_NG!$A:$A,TB_NG!AI:AI)</f>
        <v>0</v>
      </c>
      <c r="AH92" s="17">
        <f>_xlfn.XLOOKUP($B92,TB_NG!$A:$A,TB_NG!AJ:AJ)</f>
        <v>0</v>
      </c>
      <c r="AI92" s="17">
        <f>_xlfn.XLOOKUP($B92,TB_NG!$A:$A,TB_NG!AK:AK)</f>
        <v>0</v>
      </c>
      <c r="AJ92" s="17">
        <f>_xlfn.XLOOKUP($B92,TB_NG!$A:$A,TB_NG!AL:AL)</f>
        <v>0</v>
      </c>
      <c r="AK92" s="17">
        <f>_xlfn.XLOOKUP($B92,TB_NG!$A:$A,TB_NG!AM:AM)</f>
        <v>0</v>
      </c>
      <c r="AL92" s="17">
        <f>_xlfn.XLOOKUP($B92,TB_NG!$A:$A,TB_NG!AN:AN)</f>
        <v>0</v>
      </c>
      <c r="AM92" s="17">
        <f>_xlfn.XLOOKUP($B92,TB_NG!$A:$A,TB_NG!AO:AO)</f>
        <v>0</v>
      </c>
    </row>
    <row r="93" spans="2:39" hidden="1" outlineLevel="1" x14ac:dyDescent="0.2">
      <c r="B93" s="21">
        <v>13024</v>
      </c>
      <c r="C93" s="401" t="str">
        <f>_xlfn.XLOOKUP($B93,'[1]Trial Balance'!$A:$A,'[1]Trial Balance'!E:E)</f>
        <v>NotchHR Wallet</v>
      </c>
      <c r="D93" s="17">
        <f>_xlfn.XLOOKUP($B93,TB_NG!$A:$A,TB_NG!F:F)</f>
        <v>0</v>
      </c>
      <c r="E93" s="17">
        <f>_xlfn.XLOOKUP($B93,TB_NG!$A:$A,TB_NG!G:G)</f>
        <v>0</v>
      </c>
      <c r="F93" s="17">
        <f>_xlfn.XLOOKUP($B93,TB_NG!$A:$A,TB_NG!H:H)</f>
        <v>0</v>
      </c>
      <c r="G93" s="17">
        <f>_xlfn.XLOOKUP($B93,TB_NG!$A:$A,TB_NG!I:I)</f>
        <v>0</v>
      </c>
      <c r="H93" s="17">
        <f>_xlfn.XLOOKUP($B93,TB_NG!$A:$A,TB_NG!J:J)</f>
        <v>0</v>
      </c>
      <c r="I93" s="17">
        <f>_xlfn.XLOOKUP($B93,TB_NG!$A:$A,TB_NG!K:K)</f>
        <v>0</v>
      </c>
      <c r="J93" s="17">
        <f>_xlfn.XLOOKUP($B93,TB_NG!$A:$A,TB_NG!L:L)</f>
        <v>0</v>
      </c>
      <c r="K93" s="17">
        <f>_xlfn.XLOOKUP($B93,TB_NG!$A:$A,TB_NG!M:M)</f>
        <v>0</v>
      </c>
      <c r="L93" s="17">
        <f>_xlfn.XLOOKUP($B93,TB_NG!$A:$A,TB_NG!N:N)</f>
        <v>0</v>
      </c>
      <c r="M93" s="17">
        <f>_xlfn.XLOOKUP($B93,TB_NG!$A:$A,TB_NG!O:O)</f>
        <v>0</v>
      </c>
      <c r="N93" s="17">
        <f>_xlfn.XLOOKUP($B93,TB_NG!$A:$A,TB_NG!P:P)</f>
        <v>0</v>
      </c>
      <c r="O93" s="17">
        <f>_xlfn.XLOOKUP($B93,TB_NG!$A:$A,TB_NG!Q:Q)</f>
        <v>0</v>
      </c>
      <c r="P93" s="17">
        <f>_xlfn.XLOOKUP($B93,TB_NG!$A:$A,TB_NG!R:R)</f>
        <v>0</v>
      </c>
      <c r="Q93" s="17">
        <f>_xlfn.XLOOKUP($B93,TB_NG!$A:$A,TB_NG!S:S)</f>
        <v>0</v>
      </c>
      <c r="R93" s="17">
        <f>_xlfn.XLOOKUP($B93,TB_NG!$A:$A,TB_NG!T:T)</f>
        <v>0</v>
      </c>
      <c r="S93" s="17">
        <f>_xlfn.XLOOKUP($B93,TB_NG!$A:$A,TB_NG!U:U)</f>
        <v>0</v>
      </c>
      <c r="T93" s="17">
        <f>_xlfn.XLOOKUP($B93,TB_NG!$A:$A,TB_NG!V:V)</f>
        <v>0</v>
      </c>
      <c r="U93" s="17">
        <f>_xlfn.XLOOKUP($B93,TB_NG!$A:$A,TB_NG!W:W)</f>
        <v>0</v>
      </c>
      <c r="V93" s="17">
        <f>_xlfn.XLOOKUP($B93,TB_NG!$A:$A,TB_NG!X:X)</f>
        <v>0</v>
      </c>
      <c r="W93" s="17">
        <f>_xlfn.XLOOKUP($B93,TB_NG!$A:$A,TB_NG!Y:Y)</f>
        <v>0</v>
      </c>
      <c r="X93" s="17">
        <f>_xlfn.XLOOKUP($B93,TB_NG!$A:$A,TB_NG!Z:Z)</f>
        <v>0</v>
      </c>
      <c r="Y93" s="17">
        <f>_xlfn.XLOOKUP($B93,TB_NG!$A:$A,TB_NG!AA:AA)</f>
        <v>0</v>
      </c>
      <c r="Z93" s="17">
        <f>_xlfn.XLOOKUP($B93,TB_NG!$A:$A,TB_NG!AB:AB)</f>
        <v>0</v>
      </c>
      <c r="AA93" s="17">
        <f>_xlfn.XLOOKUP($B93,TB_NG!$A:$A,TB_NG!AC:AC)</f>
        <v>0</v>
      </c>
      <c r="AB93" s="17">
        <f>_xlfn.XLOOKUP($B93,TB_NG!$A:$A,TB_NG!AD:AD)</f>
        <v>0</v>
      </c>
      <c r="AC93" s="17">
        <f>_xlfn.XLOOKUP($B93,TB_NG!$A:$A,TB_NG!AE:AE)</f>
        <v>5297817.95</v>
      </c>
      <c r="AD93" s="17">
        <f>_xlfn.XLOOKUP($B93,TB_NG!$A:$A,TB_NG!AF:AF)</f>
        <v>5874028.5099999998</v>
      </c>
      <c r="AE93" s="17">
        <f>_xlfn.XLOOKUP($B93,TB_NG!$A:$A,TB_NG!AG:AG)</f>
        <v>2979938.74</v>
      </c>
      <c r="AF93" s="17">
        <f>_xlfn.XLOOKUP($B93,TB_NG!$A:$A,TB_NG!AH:AH)</f>
        <v>0</v>
      </c>
      <c r="AG93" s="17">
        <f>_xlfn.XLOOKUP($B93,TB_NG!$A:$A,TB_NG!AI:AI)</f>
        <v>0</v>
      </c>
      <c r="AH93" s="17">
        <f>_xlfn.XLOOKUP($B93,TB_NG!$A:$A,TB_NG!AJ:AJ)</f>
        <v>0</v>
      </c>
      <c r="AI93" s="17">
        <f>_xlfn.XLOOKUP($B93,TB_NG!$A:$A,TB_NG!AK:AK)</f>
        <v>0</v>
      </c>
      <c r="AJ93" s="17">
        <f>_xlfn.XLOOKUP($B93,TB_NG!$A:$A,TB_NG!AL:AL)</f>
        <v>0</v>
      </c>
      <c r="AK93" s="17">
        <f>_xlfn.XLOOKUP($B93,TB_NG!$A:$A,TB_NG!AM:AM)</f>
        <v>0</v>
      </c>
      <c r="AL93" s="17">
        <f>_xlfn.XLOOKUP($B93,TB_NG!$A:$A,TB_NG!AN:AN)</f>
        <v>0</v>
      </c>
      <c r="AM93" s="17">
        <f>_xlfn.XLOOKUP($B93,TB_NG!$A:$A,TB_NG!AO:AO)</f>
        <v>0</v>
      </c>
    </row>
    <row r="94" spans="2:39" hidden="1" outlineLevel="1" x14ac:dyDescent="0.2">
      <c r="B94" s="21">
        <f>_xlfn.XLOOKUP($C94,TB_NG!$E:$E,TB_NG!A:A)</f>
        <v>17000</v>
      </c>
      <c r="C94" s="16" t="s">
        <v>219</v>
      </c>
      <c r="D94" s="17">
        <f>_xlfn.XLOOKUP($C94,TB_NG!$E:$E,TB_NG!F:F)</f>
        <v>170606570.56999999</v>
      </c>
      <c r="E94" s="17">
        <f>_xlfn.XLOOKUP($C94,TB_NG!$E:$E,TB_NG!G:G)</f>
        <v>177031054.99000001</v>
      </c>
      <c r="F94" s="17">
        <f>_xlfn.XLOOKUP($C94,TB_NG!$E:$E,TB_NG!H:H)</f>
        <v>211205923.84999999</v>
      </c>
      <c r="G94" s="17">
        <f>_xlfn.XLOOKUP($C94,TB_NG!$E:$E,TB_NG!I:I)</f>
        <v>248704331.25999999</v>
      </c>
      <c r="H94" s="17">
        <f>_xlfn.XLOOKUP($C94,TB_NG!$E:$E,TB_NG!J:J)</f>
        <v>268893776.79000002</v>
      </c>
      <c r="I94" s="17">
        <f>_xlfn.XLOOKUP($C94,TB_NG!$E:$E,TB_NG!K:K)</f>
        <v>268893776.79000002</v>
      </c>
      <c r="J94" s="17">
        <f>_xlfn.XLOOKUP($C94,TB_NG!$E:$E,TB_NG!L:L)</f>
        <v>268893776.79000002</v>
      </c>
      <c r="K94" s="17">
        <f>_xlfn.XLOOKUP($C94,TB_NG!$E:$E,TB_NG!M:M)</f>
        <v>271402110.11000001</v>
      </c>
      <c r="L94" s="17">
        <f>_xlfn.XLOOKUP($C94,TB_NG!$E:$E,TB_NG!N:N)</f>
        <v>277699390.52999997</v>
      </c>
      <c r="M94" s="17">
        <f>_xlfn.XLOOKUP($C94,TB_NG!$E:$E,TB_NG!O:O)</f>
        <v>285727141.44999999</v>
      </c>
      <c r="N94" s="17">
        <f>_xlfn.XLOOKUP($C94,TB_NG!$E:$E,TB_NG!P:P)</f>
        <v>288000981.68000001</v>
      </c>
      <c r="O94" s="17">
        <f>_xlfn.XLOOKUP($C94,TB_NG!$E:$E,TB_NG!Q:Q)</f>
        <v>302198656.10000002</v>
      </c>
      <c r="P94" s="17">
        <f>_xlfn.XLOOKUP($C94,TB_NG!$E:$E,TB_NG!R:R)</f>
        <v>311888853.44</v>
      </c>
      <c r="Q94" s="17">
        <f>_xlfn.XLOOKUP($C94,TB_NG!$E:$E,TB_NG!S:S)</f>
        <v>311888853.44</v>
      </c>
      <c r="R94" s="17">
        <f>_xlfn.XLOOKUP($C94,TB_NG!$E:$E,TB_NG!T:T)</f>
        <v>366685763.89999998</v>
      </c>
      <c r="S94" s="17">
        <f>_xlfn.XLOOKUP($C94,TB_NG!$E:$E,TB_NG!U:U)</f>
        <v>366818663.89999998</v>
      </c>
      <c r="T94" s="17">
        <f>_xlfn.XLOOKUP($C94,TB_NG!$E:$E,TB_NG!V:V)</f>
        <v>366818663.89999998</v>
      </c>
      <c r="U94" s="17">
        <f>_xlfn.XLOOKUP($C94,TB_NG!$E:$E,TB_NG!W:W)</f>
        <v>388114354.81999999</v>
      </c>
      <c r="V94" s="17">
        <f>_xlfn.XLOOKUP($C94,TB_NG!$E:$E,TB_NG!X:X)</f>
        <v>389713354.81999999</v>
      </c>
      <c r="W94" s="17">
        <f>_xlfn.XLOOKUP($C94,TB_NG!$E:$E,TB_NG!Y:Y)</f>
        <v>389713354.81999999</v>
      </c>
      <c r="X94" s="17">
        <f>_xlfn.XLOOKUP($C94,TB_NG!$E:$E,TB_NG!Z:Z)</f>
        <v>389713354.81999999</v>
      </c>
      <c r="Y94" s="17">
        <f>_xlfn.XLOOKUP($C94,TB_NG!$E:$E,TB_NG!AA:AA)</f>
        <v>389713354.81999999</v>
      </c>
      <c r="Z94" s="17">
        <f>_xlfn.XLOOKUP($C94,TB_NG!$E:$E,TB_NG!AB:AB)</f>
        <v>395576476.22000003</v>
      </c>
      <c r="AA94" s="17">
        <f>_xlfn.XLOOKUP($C94,TB_NG!$E:$E,TB_NG!AC:AC)</f>
        <v>0</v>
      </c>
      <c r="AB94" s="17">
        <f>_xlfn.XLOOKUP($C94,TB_NG!$E:$E,TB_NG!AD:AD)</f>
        <v>0</v>
      </c>
      <c r="AC94" s="17">
        <f>_xlfn.XLOOKUP($C94,TB_NG!$E:$E,TB_NG!AE:AE)</f>
        <v>0</v>
      </c>
      <c r="AD94" s="17">
        <f>_xlfn.XLOOKUP($C94,TB_NG!$E:$E,TB_NG!AF:AF)</f>
        <v>0</v>
      </c>
      <c r="AE94" s="17">
        <f>_xlfn.XLOOKUP($C94,TB_NG!$E:$E,TB_NG!AG:AG)</f>
        <v>0</v>
      </c>
      <c r="AF94" s="17">
        <f>_xlfn.XLOOKUP($C94,TB_NG!$E:$E,TB_NG!AH:AH)</f>
        <v>0</v>
      </c>
      <c r="AG94" s="17">
        <f>_xlfn.XLOOKUP($C94,TB_NG!$E:$E,TB_NG!AI:AI)</f>
        <v>0</v>
      </c>
      <c r="AH94" s="17">
        <f>_xlfn.XLOOKUP($C94,TB_NG!$E:$E,TB_NG!AJ:AJ)</f>
        <v>0</v>
      </c>
      <c r="AI94" s="17">
        <f>_xlfn.XLOOKUP($C94,TB_NG!$E:$E,TB_NG!AK:AK)</f>
        <v>0</v>
      </c>
      <c r="AJ94" s="17">
        <f>_xlfn.XLOOKUP($C94,TB_NG!$E:$E,TB_NG!AL:AL)</f>
        <v>0</v>
      </c>
      <c r="AK94" s="17">
        <f>_xlfn.XLOOKUP($C94,TB_NG!$E:$E,TB_NG!AM:AM)</f>
        <v>0</v>
      </c>
      <c r="AL94" s="17">
        <f>_xlfn.XLOOKUP($C94,TB_NG!$E:$E,TB_NG!AN:AN)</f>
        <v>0</v>
      </c>
      <c r="AM94" s="17">
        <f>_xlfn.XLOOKUP($C94,TB_NG!$E:$E,TB_NG!AO:AO)</f>
        <v>0</v>
      </c>
    </row>
    <row r="95" spans="2:39" hidden="1" outlineLevel="1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</row>
    <row r="96" spans="2:39" collapsed="1" x14ac:dyDescent="0.2">
      <c r="B96" s="15"/>
      <c r="C96" s="22" t="s">
        <v>40</v>
      </c>
      <c r="D96" s="23">
        <f>SUM(D86:D95)</f>
        <v>502395863.79999995</v>
      </c>
      <c r="E96" s="23">
        <f t="shared" ref="E96:AM96" si="6">SUM(E86:E95)</f>
        <v>518878438.23000002</v>
      </c>
      <c r="F96" s="23">
        <f t="shared" si="6"/>
        <v>586054443.81000006</v>
      </c>
      <c r="G96" s="23">
        <f t="shared" si="6"/>
        <v>675002267.11000001</v>
      </c>
      <c r="H96" s="23">
        <f t="shared" si="6"/>
        <v>719457772.25999999</v>
      </c>
      <c r="I96" s="23">
        <f t="shared" si="6"/>
        <v>716061987.92000008</v>
      </c>
      <c r="J96" s="23">
        <f t="shared" si="6"/>
        <v>718395515.28999996</v>
      </c>
      <c r="K96" s="23">
        <f t="shared" si="6"/>
        <v>760653316.64999998</v>
      </c>
      <c r="L96" s="23">
        <f t="shared" si="6"/>
        <v>747026913.75999999</v>
      </c>
      <c r="M96" s="23">
        <f t="shared" si="6"/>
        <v>773475604.94000006</v>
      </c>
      <c r="N96" s="23">
        <f t="shared" si="6"/>
        <v>789124418.83000004</v>
      </c>
      <c r="O96" s="23">
        <f t="shared" si="6"/>
        <v>800499536.00999999</v>
      </c>
      <c r="P96" s="23">
        <f t="shared" si="6"/>
        <v>830907247.24000001</v>
      </c>
      <c r="Q96" s="23">
        <f t="shared" si="6"/>
        <v>827473630.24000001</v>
      </c>
      <c r="R96" s="23">
        <f t="shared" si="6"/>
        <v>913024701.74000001</v>
      </c>
      <c r="S96" s="23">
        <f t="shared" si="6"/>
        <v>916745789.49000001</v>
      </c>
      <c r="T96" s="23">
        <f t="shared" si="6"/>
        <v>931712721.87</v>
      </c>
      <c r="U96" s="23">
        <f t="shared" si="6"/>
        <v>974298208.76999998</v>
      </c>
      <c r="V96" s="23">
        <f t="shared" si="6"/>
        <v>978431175.82999992</v>
      </c>
      <c r="W96" s="23">
        <f t="shared" si="6"/>
        <v>954716808.99000001</v>
      </c>
      <c r="X96" s="23">
        <f t="shared" si="6"/>
        <v>952831366.5</v>
      </c>
      <c r="Y96" s="23">
        <f t="shared" si="6"/>
        <v>952531594.02999997</v>
      </c>
      <c r="Z96" s="23">
        <f t="shared" si="6"/>
        <v>962210387.7700001</v>
      </c>
      <c r="AA96" s="23">
        <f t="shared" si="6"/>
        <v>564583490.31999993</v>
      </c>
      <c r="AB96" s="23">
        <f t="shared" si="6"/>
        <v>561739381.40999997</v>
      </c>
      <c r="AC96" s="23">
        <f t="shared" si="6"/>
        <v>564530732.63999999</v>
      </c>
      <c r="AD96" s="23">
        <f>SUM(AD86:AD95)</f>
        <v>569796417.75999999</v>
      </c>
      <c r="AE96" s="23">
        <f t="shared" si="6"/>
        <v>572284631.25</v>
      </c>
      <c r="AF96" s="23">
        <f t="shared" si="6"/>
        <v>0</v>
      </c>
      <c r="AG96" s="23">
        <f t="shared" si="6"/>
        <v>0</v>
      </c>
      <c r="AH96" s="23">
        <f t="shared" si="6"/>
        <v>0</v>
      </c>
      <c r="AI96" s="23">
        <f t="shared" si="6"/>
        <v>0</v>
      </c>
      <c r="AJ96" s="23">
        <f t="shared" si="6"/>
        <v>0</v>
      </c>
      <c r="AK96" s="23">
        <f t="shared" si="6"/>
        <v>0</v>
      </c>
      <c r="AL96" s="23">
        <f t="shared" si="6"/>
        <v>0</v>
      </c>
      <c r="AM96" s="23">
        <f t="shared" si="6"/>
        <v>0</v>
      </c>
    </row>
    <row r="97" spans="2:39" x14ac:dyDescent="0.2">
      <c r="B97" s="21"/>
      <c r="C97" s="16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</row>
    <row r="98" spans="2:39" hidden="1" outlineLevel="1" x14ac:dyDescent="0.2">
      <c r="B98" s="21"/>
      <c r="C98" s="20" t="s">
        <v>220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</row>
    <row r="99" spans="2:39" hidden="1" outlineLevel="1" x14ac:dyDescent="0.2">
      <c r="B99" s="21">
        <f>_xlfn.XLOOKUP($C99,TB_NG!$E:$E,TB_NG!A:A)</f>
        <v>14000</v>
      </c>
      <c r="C99" s="16" t="s">
        <v>221</v>
      </c>
      <c r="D99" s="17">
        <f>_xlfn.XLOOKUP($C99,TB_NG!$E:$E,TB_NG!F:F)</f>
        <v>-125319791.42</v>
      </c>
      <c r="E99" s="17">
        <f>_xlfn.XLOOKUP($C99,TB_NG!$E:$E,TB_NG!G:G)</f>
        <v>-123695322.29000001</v>
      </c>
      <c r="F99" s="17">
        <f>_xlfn.XLOOKUP($C99,TB_NG!$E:$E,TB_NG!H:H)</f>
        <v>-122014070.22</v>
      </c>
      <c r="G99" s="17">
        <f>_xlfn.XLOOKUP($C99,TB_NG!$E:$E,TB_NG!I:I)</f>
        <v>-119776296.28</v>
      </c>
      <c r="H99" s="17">
        <f>_xlfn.XLOOKUP($C99,TB_NG!$E:$E,TB_NG!J:J)</f>
        <v>-117314718.72</v>
      </c>
      <c r="I99" s="17">
        <f>_xlfn.XLOOKUP($C99,TB_NG!$E:$E,TB_NG!K:K)</f>
        <v>-115015198.62</v>
      </c>
      <c r="J99" s="17">
        <f>_xlfn.XLOOKUP($C99,TB_NG!$E:$E,TB_NG!L:L)</f>
        <v>-111174435.17</v>
      </c>
      <c r="K99" s="17">
        <f>_xlfn.XLOOKUP($C99,TB_NG!$E:$E,TB_NG!M:M)</f>
        <v>-108378862.88</v>
      </c>
      <c r="L99" s="17">
        <f>_xlfn.XLOOKUP($C99,TB_NG!$E:$E,TB_NG!N:N)</f>
        <v>-105483782.89</v>
      </c>
      <c r="M99" s="17">
        <f>_xlfn.XLOOKUP($C99,TB_NG!$E:$E,TB_NG!O:O)</f>
        <v>-102689600.92</v>
      </c>
      <c r="N99" s="17">
        <f>_xlfn.XLOOKUP($C99,TB_NG!$E:$E,TB_NG!P:P)</f>
        <v>-99922944.659999996</v>
      </c>
      <c r="O99" s="17">
        <f>_xlfn.XLOOKUP($C99,TB_NG!$E:$E,TB_NG!Q:Q)</f>
        <v>-349512635.64999998</v>
      </c>
      <c r="P99" s="17">
        <f>_xlfn.XLOOKUP($C99,TB_NG!$E:$E,TB_NG!R:R)</f>
        <v>-345952131.94999999</v>
      </c>
      <c r="Q99" s="17">
        <f>_xlfn.XLOOKUP($C99,TB_NG!$E:$E,TB_NG!S:S)</f>
        <v>-342245217.87</v>
      </c>
      <c r="R99" s="17">
        <f>_xlfn.XLOOKUP($C99,TB_NG!$E:$E,TB_NG!T:T)</f>
        <v>-338271278.72000003</v>
      </c>
      <c r="S99" s="17">
        <f>_xlfn.XLOOKUP($C99,TB_NG!$E:$E,TB_NG!U:U)</f>
        <v>-334448738.54000002</v>
      </c>
      <c r="T99" s="17">
        <f>_xlfn.XLOOKUP($C99,TB_NG!$E:$E,TB_NG!V:V)</f>
        <v>-330494250.91000003</v>
      </c>
      <c r="U99" s="17">
        <f>_xlfn.XLOOKUP($C99,TB_NG!$E:$E,TB_NG!W:W)</f>
        <v>-326542645.45999998</v>
      </c>
      <c r="V99" s="17">
        <f>_xlfn.XLOOKUP($C99,TB_NG!$E:$E,TB_NG!X:X)</f>
        <v>-322669887.00999999</v>
      </c>
      <c r="W99" s="17">
        <f>_xlfn.XLOOKUP($C99,TB_NG!$E:$E,TB_NG!Y:Y)</f>
        <v>-318560734.56999999</v>
      </c>
      <c r="X99" s="17">
        <f>_xlfn.XLOOKUP($C99,TB_NG!$E:$E,TB_NG!Z:Z)</f>
        <v>-313993615.92000002</v>
      </c>
      <c r="Y99" s="17">
        <f>_xlfn.XLOOKUP($C99,TB_NG!$E:$E,TB_NG!AA:AA)</f>
        <v>-310074394.69</v>
      </c>
      <c r="Z99" s="17">
        <f>_xlfn.XLOOKUP($C99,TB_NG!$E:$E,TB_NG!AB:AB)</f>
        <v>-306045878.44</v>
      </c>
      <c r="AA99" s="17">
        <f>_xlfn.XLOOKUP($C99,TB_NG!$E:$E,TB_NG!AC:AC)</f>
        <v>-626072596.49000001</v>
      </c>
      <c r="AB99" s="17">
        <f>_xlfn.XLOOKUP($C99,TB_NG!$E:$E,TB_NG!AD:AD)</f>
        <v>-622215929.97000003</v>
      </c>
      <c r="AC99" s="17">
        <f>_xlfn.XLOOKUP($C99,TB_NG!$E:$E,TB_NG!AE:AE)</f>
        <v>-618013830.13999999</v>
      </c>
      <c r="AD99" s="17">
        <f>_xlfn.XLOOKUP($C99,TB_NG!$E:$E,TB_NG!AF:AF)</f>
        <v>-613759357.80999994</v>
      </c>
      <c r="AE99" s="17">
        <f>_xlfn.XLOOKUP($C99,TB_NG!$E:$E,TB_NG!AG:AG)</f>
        <v>-609462487.11000001</v>
      </c>
      <c r="AF99" s="17">
        <f>_xlfn.XLOOKUP($C99,TB_NG!$E:$E,TB_NG!AH:AH)</f>
        <v>0</v>
      </c>
      <c r="AG99" s="17">
        <f>_xlfn.XLOOKUP($C99,TB_NG!$E:$E,TB_NG!AI:AI)</f>
        <v>0</v>
      </c>
      <c r="AH99" s="17">
        <f>_xlfn.XLOOKUP($C99,TB_NG!$E:$E,TB_NG!AJ:AJ)</f>
        <v>0</v>
      </c>
      <c r="AI99" s="17">
        <f>_xlfn.XLOOKUP($C99,TB_NG!$E:$E,TB_NG!AK:AK)</f>
        <v>0</v>
      </c>
      <c r="AJ99" s="17">
        <f>_xlfn.XLOOKUP($C99,TB_NG!$E:$E,TB_NG!AL:AL)</f>
        <v>0</v>
      </c>
      <c r="AK99" s="17">
        <f>_xlfn.XLOOKUP($C99,TB_NG!$E:$E,TB_NG!AM:AM)</f>
        <v>0</v>
      </c>
      <c r="AL99" s="17">
        <f>_xlfn.XLOOKUP($C99,TB_NG!$E:$E,TB_NG!AN:AN)</f>
        <v>0</v>
      </c>
      <c r="AM99" s="17">
        <f>_xlfn.XLOOKUP($C99,TB_NG!$E:$E,TB_NG!AO:AO)</f>
        <v>0</v>
      </c>
    </row>
    <row r="100" spans="2:39" hidden="1" outlineLevel="1" x14ac:dyDescent="0.2">
      <c r="B100" s="21">
        <f>_xlfn.XLOOKUP($C100,TB_NG!$E:$E,TB_NG!A:A)</f>
        <v>14001</v>
      </c>
      <c r="C100" s="16" t="s">
        <v>222</v>
      </c>
      <c r="D100" s="17">
        <f>_xlfn.XLOOKUP($C100,TB_NG!$E:$E,TB_NG!F:F)</f>
        <v>-186070180.63</v>
      </c>
      <c r="E100" s="17">
        <f>_xlfn.XLOOKUP($C100,TB_NG!$E:$E,TB_NG!G:G)</f>
        <v>-187691790.90000001</v>
      </c>
      <c r="F100" s="17">
        <f>_xlfn.XLOOKUP($C100,TB_NG!$E:$E,TB_NG!H:H)</f>
        <v>-188444806.75</v>
      </c>
      <c r="G100" s="17">
        <f>_xlfn.XLOOKUP($C100,TB_NG!$E:$E,TB_NG!I:I)</f>
        <v>-184079052.63</v>
      </c>
      <c r="H100" s="17">
        <f>_xlfn.XLOOKUP($C100,TB_NG!$E:$E,TB_NG!J:J)</f>
        <v>-178692361.96000001</v>
      </c>
      <c r="I100" s="17">
        <f>_xlfn.XLOOKUP($C100,TB_NG!$E:$E,TB_NG!K:K)</f>
        <v>-174947850.88</v>
      </c>
      <c r="J100" s="17">
        <f>_xlfn.XLOOKUP($C100,TB_NG!$E:$E,TB_NG!L:L)</f>
        <v>-169973185.53</v>
      </c>
      <c r="K100" s="17">
        <f>_xlfn.XLOOKUP($C100,TB_NG!$E:$E,TB_NG!M:M)</f>
        <v>-175738239.08000001</v>
      </c>
      <c r="L100" s="17">
        <f>_xlfn.XLOOKUP($C100,TB_NG!$E:$E,TB_NG!N:N)</f>
        <v>-140993774.84999999</v>
      </c>
      <c r="M100" s="17">
        <f>_xlfn.XLOOKUP($C100,TB_NG!$E:$E,TB_NG!O:O)</f>
        <v>-111582080.88</v>
      </c>
      <c r="N100" s="17">
        <f>_xlfn.XLOOKUP($C100,TB_NG!$E:$E,TB_NG!P:P)</f>
        <v>-216774730.50999999</v>
      </c>
      <c r="O100" s="17">
        <f>_xlfn.XLOOKUP($C100,TB_NG!$E:$E,TB_NG!Q:Q)</f>
        <v>-408048937.57999998</v>
      </c>
      <c r="P100" s="17">
        <f>_xlfn.XLOOKUP($C100,TB_NG!$E:$E,TB_NG!R:R)</f>
        <v>-407611639.51999998</v>
      </c>
      <c r="Q100" s="17">
        <f>_xlfn.XLOOKUP($C100,TB_NG!$E:$E,TB_NG!S:S)</f>
        <v>-354587182.82999998</v>
      </c>
      <c r="R100" s="17">
        <f>_xlfn.XLOOKUP($C100,TB_NG!$E:$E,TB_NG!T:T)</f>
        <v>-353686473</v>
      </c>
      <c r="S100" s="17">
        <f>_xlfn.XLOOKUP($C100,TB_NG!$E:$E,TB_NG!U:U)</f>
        <v>-353443883.91000003</v>
      </c>
      <c r="T100" s="17">
        <f>_xlfn.XLOOKUP($C100,TB_NG!$E:$E,TB_NG!V:V)</f>
        <v>-353027152.50999999</v>
      </c>
      <c r="U100" s="17">
        <f>_xlfn.XLOOKUP($C100,TB_NG!$E:$E,TB_NG!W:W)</f>
        <v>-352583620.5</v>
      </c>
      <c r="V100" s="17">
        <f>_xlfn.XLOOKUP($C100,TB_NG!$E:$E,TB_NG!X:X)</f>
        <v>-352056654.45999998</v>
      </c>
      <c r="W100" s="17">
        <f>_xlfn.XLOOKUP($C100,TB_NG!$E:$E,TB_NG!Y:Y)</f>
        <v>-349897889.79000002</v>
      </c>
      <c r="X100" s="17">
        <f>_xlfn.XLOOKUP($C100,TB_NG!$E:$E,TB_NG!Z:Z)</f>
        <v>-343165037.39999998</v>
      </c>
      <c r="Y100" s="17">
        <f>_xlfn.XLOOKUP($C100,TB_NG!$E:$E,TB_NG!AA:AA)</f>
        <v>-328516060.98000002</v>
      </c>
      <c r="Z100" s="17">
        <f>_xlfn.XLOOKUP($C100,TB_NG!$E:$E,TB_NG!AB:AB)</f>
        <v>-328515069.05000001</v>
      </c>
      <c r="AA100" s="17">
        <f>_xlfn.XLOOKUP($C100,TB_NG!$E:$E,TB_NG!AC:AC)</f>
        <v>-584798566.20000005</v>
      </c>
      <c r="AB100" s="17">
        <f>_xlfn.XLOOKUP($C100,TB_NG!$E:$E,TB_NG!AD:AD)</f>
        <v>-565467348.90999997</v>
      </c>
      <c r="AC100" s="17">
        <f>_xlfn.XLOOKUP($C100,TB_NG!$E:$E,TB_NG!AE:AE)</f>
        <v>-549422384.96000004</v>
      </c>
      <c r="AD100" s="17">
        <f>_xlfn.XLOOKUP($C100,TB_NG!$E:$E,TB_NG!AF:AF)</f>
        <v>-531517567.81999999</v>
      </c>
      <c r="AE100" s="17">
        <f>_xlfn.XLOOKUP($C100,TB_NG!$E:$E,TB_NG!AG:AG)</f>
        <v>-514419965.77999997</v>
      </c>
      <c r="AF100" s="17">
        <f>_xlfn.XLOOKUP($C100,TB_NG!$E:$E,TB_NG!AH:AH)</f>
        <v>0</v>
      </c>
      <c r="AG100" s="17">
        <f>_xlfn.XLOOKUP($C100,TB_NG!$E:$E,TB_NG!AI:AI)</f>
        <v>0</v>
      </c>
      <c r="AH100" s="17">
        <f>_xlfn.XLOOKUP($C100,TB_NG!$E:$E,TB_NG!AJ:AJ)</f>
        <v>0</v>
      </c>
      <c r="AI100" s="17">
        <f>_xlfn.XLOOKUP($C100,TB_NG!$E:$E,TB_NG!AK:AK)</f>
        <v>0</v>
      </c>
      <c r="AJ100" s="17">
        <f>_xlfn.XLOOKUP($C100,TB_NG!$E:$E,TB_NG!AL:AL)</f>
        <v>0</v>
      </c>
      <c r="AK100" s="17">
        <f>_xlfn.XLOOKUP($C100,TB_NG!$E:$E,TB_NG!AM:AM)</f>
        <v>0</v>
      </c>
      <c r="AL100" s="17">
        <f>_xlfn.XLOOKUP($C100,TB_NG!$E:$E,TB_NG!AN:AN)</f>
        <v>0</v>
      </c>
      <c r="AM100" s="17">
        <f>_xlfn.XLOOKUP($C100,TB_NG!$E:$E,TB_NG!AO:AO)</f>
        <v>0</v>
      </c>
    </row>
    <row r="101" spans="2:39" hidden="1" outlineLevel="1" x14ac:dyDescent="0.2">
      <c r="B101" s="21">
        <f>_xlfn.XLOOKUP($C101,TB_NG!$E:$E,TB_NG!A:A)</f>
        <v>14010</v>
      </c>
      <c r="C101" s="16" t="s">
        <v>223</v>
      </c>
      <c r="D101" s="17">
        <f>_xlfn.XLOOKUP($C101,TB_NG!$E:$E,TB_NG!F:F)</f>
        <v>37218036.689999998</v>
      </c>
      <c r="E101" s="17">
        <f>_xlfn.XLOOKUP($C101,TB_NG!$E:$E,TB_NG!G:G)</f>
        <v>23831374.739999998</v>
      </c>
      <c r="F101" s="17">
        <f>_xlfn.XLOOKUP($C101,TB_NG!$E:$E,TB_NG!H:H)</f>
        <v>20212011.27</v>
      </c>
      <c r="G101" s="17">
        <f>_xlfn.XLOOKUP($C101,TB_NG!$E:$E,TB_NG!I:I)</f>
        <v>21870321.710000001</v>
      </c>
      <c r="H101" s="17">
        <f>_xlfn.XLOOKUP($C101,TB_NG!$E:$E,TB_NG!J:J)</f>
        <v>20626653.109999999</v>
      </c>
      <c r="I101" s="17">
        <f>_xlfn.XLOOKUP($C101,TB_NG!$E:$E,TB_NG!K:K)</f>
        <v>16844653.109999999</v>
      </c>
      <c r="J101" s="17">
        <f>_xlfn.XLOOKUP($C101,TB_NG!$E:$E,TB_NG!L:L)</f>
        <v>16857653.109999999</v>
      </c>
      <c r="K101" s="17">
        <f>_xlfn.XLOOKUP($C101,TB_NG!$E:$E,TB_NG!M:M)</f>
        <v>12931653.109999999</v>
      </c>
      <c r="L101" s="17">
        <f>_xlfn.XLOOKUP($C101,TB_NG!$E:$E,TB_NG!N:N)</f>
        <v>12372839.16</v>
      </c>
      <c r="M101" s="17">
        <f>_xlfn.XLOOKUP($C101,TB_NG!$E:$E,TB_NG!O:O)</f>
        <v>7171397.2999999998</v>
      </c>
      <c r="N101" s="17">
        <f>_xlfn.XLOOKUP($C101,TB_NG!$E:$E,TB_NG!P:P)</f>
        <v>6319397.2999999998</v>
      </c>
      <c r="O101" s="17">
        <f>_xlfn.XLOOKUP($C101,TB_NG!$E:$E,TB_NG!Q:Q)</f>
        <v>7493927.7300000004</v>
      </c>
      <c r="P101" s="17">
        <f>_xlfn.XLOOKUP($C101,TB_NG!$E:$E,TB_NG!R:R)</f>
        <v>7668014.4500000002</v>
      </c>
      <c r="Q101" s="17">
        <f>_xlfn.XLOOKUP($C101,TB_NG!$E:$E,TB_NG!S:S)</f>
        <v>-179000</v>
      </c>
      <c r="R101" s="17">
        <f>_xlfn.XLOOKUP($C101,TB_NG!$E:$E,TB_NG!T:T)</f>
        <v>-179000</v>
      </c>
      <c r="S101" s="17">
        <f>_xlfn.XLOOKUP($C101,TB_NG!$E:$E,TB_NG!U:U)</f>
        <v>305581.40000000002</v>
      </c>
      <c r="T101" s="17">
        <f>_xlfn.XLOOKUP($C101,TB_NG!$E:$E,TB_NG!V:V)</f>
        <v>305581.40000000002</v>
      </c>
      <c r="U101" s="17">
        <f>_xlfn.XLOOKUP($C101,TB_NG!$E:$E,TB_NG!W:W)</f>
        <v>818549.6</v>
      </c>
      <c r="V101" s="17">
        <f>_xlfn.XLOOKUP($C101,TB_NG!$E:$E,TB_NG!X:X)</f>
        <v>984549.6</v>
      </c>
      <c r="W101" s="17">
        <f>_xlfn.XLOOKUP($C101,TB_NG!$E:$E,TB_NG!Y:Y)</f>
        <v>0</v>
      </c>
      <c r="X101" s="17">
        <f>_xlfn.XLOOKUP($C101,TB_NG!$E:$E,TB_NG!Z:Z)</f>
        <v>303050</v>
      </c>
      <c r="Y101" s="17">
        <f>_xlfn.XLOOKUP($C101,TB_NG!$E:$E,TB_NG!AA:AA)</f>
        <v>380050</v>
      </c>
      <c r="Z101" s="17">
        <f>_xlfn.XLOOKUP($C101,TB_NG!$E:$E,TB_NG!AB:AB)</f>
        <v>159650</v>
      </c>
      <c r="AA101" s="17">
        <f>_xlfn.XLOOKUP($C101,TB_NG!$E:$E,TB_NG!AC:AC)</f>
        <v>-164634.51</v>
      </c>
      <c r="AB101" s="17">
        <f>_xlfn.XLOOKUP($C101,TB_NG!$E:$E,TB_NG!AD:AD)</f>
        <v>3717159.41</v>
      </c>
      <c r="AC101" s="17">
        <f>_xlfn.XLOOKUP($C101,TB_NG!$E:$E,TB_NG!AE:AE)</f>
        <v>5801094.4100000001</v>
      </c>
      <c r="AD101" s="17">
        <f>_xlfn.XLOOKUP($C101,TB_NG!$E:$E,TB_NG!AF:AF)</f>
        <v>8214468.3300000001</v>
      </c>
      <c r="AE101" s="17">
        <f>_xlfn.XLOOKUP($C101,TB_NG!$E:$E,TB_NG!AG:AG)</f>
        <v>5270581.9800000004</v>
      </c>
      <c r="AF101" s="17">
        <f>_xlfn.XLOOKUP($C101,TB_NG!$E:$E,TB_NG!AH:AH)</f>
        <v>0</v>
      </c>
      <c r="AG101" s="17">
        <f>_xlfn.XLOOKUP($C101,TB_NG!$E:$E,TB_NG!AI:AI)</f>
        <v>0</v>
      </c>
      <c r="AH101" s="17">
        <f>_xlfn.XLOOKUP($C101,TB_NG!$E:$E,TB_NG!AJ:AJ)</f>
        <v>0</v>
      </c>
      <c r="AI101" s="17">
        <f>_xlfn.XLOOKUP($C101,TB_NG!$E:$E,TB_NG!AK:AK)</f>
        <v>0</v>
      </c>
      <c r="AJ101" s="17">
        <f>_xlfn.XLOOKUP($C101,TB_NG!$E:$E,TB_NG!AL:AL)</f>
        <v>0</v>
      </c>
      <c r="AK101" s="17">
        <f>_xlfn.XLOOKUP($C101,TB_NG!$E:$E,TB_NG!AM:AM)</f>
        <v>0</v>
      </c>
      <c r="AL101" s="17">
        <f>_xlfn.XLOOKUP($C101,TB_NG!$E:$E,TB_NG!AN:AN)</f>
        <v>0</v>
      </c>
      <c r="AM101" s="17">
        <f>_xlfn.XLOOKUP($C101,TB_NG!$E:$E,TB_NG!AO:AO)</f>
        <v>0</v>
      </c>
    </row>
    <row r="102" spans="2:39" hidden="1" outlineLevel="1" x14ac:dyDescent="0.2">
      <c r="B102" s="21">
        <f>_xlfn.XLOOKUP($C102,TB_NG!$E:$E,TB_NG!A:A)</f>
        <v>14013</v>
      </c>
      <c r="C102" s="16" t="s">
        <v>224</v>
      </c>
      <c r="D102" s="17">
        <f>_xlfn.XLOOKUP($C102,TB_NG!$E:$E,TB_NG!F:F)</f>
        <v>0</v>
      </c>
      <c r="E102" s="17">
        <f>_xlfn.XLOOKUP($C102,TB_NG!$E:$E,TB_NG!G:G)</f>
        <v>0</v>
      </c>
      <c r="F102" s="17">
        <f>_xlfn.XLOOKUP($C102,TB_NG!$E:$E,TB_NG!H:H)</f>
        <v>0</v>
      </c>
      <c r="G102" s="17">
        <f>_xlfn.XLOOKUP($C102,TB_NG!$E:$E,TB_NG!I:I)</f>
        <v>0</v>
      </c>
      <c r="H102" s="17">
        <f>_xlfn.XLOOKUP($C102,TB_NG!$E:$E,TB_NG!J:J)</f>
        <v>0</v>
      </c>
      <c r="I102" s="17">
        <f>_xlfn.XLOOKUP($C102,TB_NG!$E:$E,TB_NG!K:K)</f>
        <v>0</v>
      </c>
      <c r="J102" s="17">
        <f>_xlfn.XLOOKUP($C102,TB_NG!$E:$E,TB_NG!L:L)</f>
        <v>0</v>
      </c>
      <c r="K102" s="17">
        <f>_xlfn.XLOOKUP($C102,TB_NG!$E:$E,TB_NG!M:M)</f>
        <v>0</v>
      </c>
      <c r="L102" s="17">
        <f>_xlfn.XLOOKUP($C102,TB_NG!$E:$E,TB_NG!N:N)</f>
        <v>0</v>
      </c>
      <c r="M102" s="17">
        <f>_xlfn.XLOOKUP($C102,TB_NG!$E:$E,TB_NG!O:O)</f>
        <v>0</v>
      </c>
      <c r="N102" s="17">
        <f>_xlfn.XLOOKUP($C102,TB_NG!$E:$E,TB_NG!P:P)</f>
        <v>0</v>
      </c>
      <c r="O102" s="17">
        <f>_xlfn.XLOOKUP($C102,TB_NG!$E:$E,TB_NG!Q:Q)</f>
        <v>0</v>
      </c>
      <c r="P102" s="17">
        <f>_xlfn.XLOOKUP($C102,TB_NG!$E:$E,TB_NG!R:R)</f>
        <v>0</v>
      </c>
      <c r="Q102" s="17">
        <f>_xlfn.XLOOKUP($C102,TB_NG!$E:$E,TB_NG!S:S)</f>
        <v>0</v>
      </c>
      <c r="R102" s="17">
        <f>_xlfn.XLOOKUP($C102,TB_NG!$E:$E,TB_NG!T:T)</f>
        <v>0</v>
      </c>
      <c r="S102" s="17">
        <f>_xlfn.XLOOKUP($C102,TB_NG!$E:$E,TB_NG!U:U)</f>
        <v>0</v>
      </c>
      <c r="T102" s="17">
        <f>_xlfn.XLOOKUP($C102,TB_NG!$E:$E,TB_NG!V:V)</f>
        <v>0</v>
      </c>
      <c r="U102" s="17">
        <f>_xlfn.XLOOKUP($C102,TB_NG!$E:$E,TB_NG!W:W)</f>
        <v>0</v>
      </c>
      <c r="V102" s="17">
        <f>_xlfn.XLOOKUP($C102,TB_NG!$E:$E,TB_NG!X:X)</f>
        <v>0</v>
      </c>
      <c r="W102" s="17">
        <f>_xlfn.XLOOKUP($C102,TB_NG!$E:$E,TB_NG!Y:Y)</f>
        <v>0</v>
      </c>
      <c r="X102" s="17">
        <f>_xlfn.XLOOKUP($C102,TB_NG!$E:$E,TB_NG!Z:Z)</f>
        <v>0</v>
      </c>
      <c r="Y102" s="17">
        <f>_xlfn.XLOOKUP($C102,TB_NG!$E:$E,TB_NG!AA:AA)</f>
        <v>0</v>
      </c>
      <c r="Z102" s="17">
        <f>_xlfn.XLOOKUP($C102,TB_NG!$E:$E,TB_NG!AB:AB)</f>
        <v>0</v>
      </c>
      <c r="AA102" s="17">
        <f>_xlfn.XLOOKUP($C102,TB_NG!$E:$E,TB_NG!AC:AC)</f>
        <v>0</v>
      </c>
      <c r="AB102" s="17">
        <f>_xlfn.XLOOKUP($C102,TB_NG!$E:$E,TB_NG!AD:AD)</f>
        <v>0</v>
      </c>
      <c r="AC102" s="17">
        <f>_xlfn.XLOOKUP($C102,TB_NG!$E:$E,TB_NG!AE:AE)</f>
        <v>0</v>
      </c>
      <c r="AD102" s="17">
        <f>_xlfn.XLOOKUP($C102,TB_NG!$E:$E,TB_NG!AF:AF)</f>
        <v>0</v>
      </c>
      <c r="AE102" s="17">
        <f>_xlfn.XLOOKUP($C102,TB_NG!$E:$E,TB_NG!AG:AG)</f>
        <v>0</v>
      </c>
      <c r="AF102" s="17">
        <f>_xlfn.XLOOKUP($C102,TB_NG!$E:$E,TB_NG!AH:AH)</f>
        <v>0</v>
      </c>
      <c r="AG102" s="17">
        <f>_xlfn.XLOOKUP($C102,TB_NG!$E:$E,TB_NG!AI:AI)</f>
        <v>0</v>
      </c>
      <c r="AH102" s="17">
        <f>_xlfn.XLOOKUP($C102,TB_NG!$E:$E,TB_NG!AJ:AJ)</f>
        <v>0</v>
      </c>
      <c r="AI102" s="17">
        <f>_xlfn.XLOOKUP($C102,TB_NG!$E:$E,TB_NG!AK:AK)</f>
        <v>0</v>
      </c>
      <c r="AJ102" s="17">
        <f>_xlfn.XLOOKUP($C102,TB_NG!$E:$E,TB_NG!AL:AL)</f>
        <v>0</v>
      </c>
      <c r="AK102" s="17">
        <f>_xlfn.XLOOKUP($C102,TB_NG!$E:$E,TB_NG!AM:AM)</f>
        <v>0</v>
      </c>
      <c r="AL102" s="17">
        <f>_xlfn.XLOOKUP($C102,TB_NG!$E:$E,TB_NG!AN:AN)</f>
        <v>0</v>
      </c>
      <c r="AM102" s="17">
        <f>_xlfn.XLOOKUP($C102,TB_NG!$E:$E,TB_NG!AO:AO)</f>
        <v>0</v>
      </c>
    </row>
    <row r="103" spans="2:39" hidden="1" outlineLevel="1" x14ac:dyDescent="0.2">
      <c r="B103" s="21">
        <f>_xlfn.XLOOKUP($C103,TB_NG!$E:$E,TB_NG!A:A)</f>
        <v>14014</v>
      </c>
      <c r="C103" s="16" t="s">
        <v>225</v>
      </c>
      <c r="D103" s="17">
        <f>_xlfn.XLOOKUP($C103,TB_NG!$E:$E,TB_NG!F:F)</f>
        <v>32724180.43</v>
      </c>
      <c r="E103" s="17">
        <f>_xlfn.XLOOKUP($C103,TB_NG!$E:$E,TB_NG!G:G)</f>
        <v>33870839.969999999</v>
      </c>
      <c r="F103" s="17">
        <f>_xlfn.XLOOKUP($C103,TB_NG!$E:$E,TB_NG!H:H)</f>
        <v>28105430.59</v>
      </c>
      <c r="G103" s="17">
        <f>_xlfn.XLOOKUP($C103,TB_NG!$E:$E,TB_NG!I:I)</f>
        <v>31289687.91</v>
      </c>
      <c r="H103" s="17">
        <f>_xlfn.XLOOKUP($C103,TB_NG!$E:$E,TB_NG!J:J)</f>
        <v>34803874.420000002</v>
      </c>
      <c r="I103" s="17">
        <f>_xlfn.XLOOKUP($C103,TB_NG!$E:$E,TB_NG!K:K)</f>
        <v>37665409.960000001</v>
      </c>
      <c r="J103" s="17">
        <f>_xlfn.XLOOKUP($C103,TB_NG!$E:$E,TB_NG!L:L)</f>
        <v>47381600.159999996</v>
      </c>
      <c r="K103" s="17">
        <f>_xlfn.XLOOKUP($C103,TB_NG!$E:$E,TB_NG!M:M)</f>
        <v>47945948.689999998</v>
      </c>
      <c r="L103" s="17">
        <f>_xlfn.XLOOKUP($C103,TB_NG!$E:$E,TB_NG!N:N)</f>
        <v>50153299.07</v>
      </c>
      <c r="M103" s="17">
        <f>_xlfn.XLOOKUP($C103,TB_NG!$E:$E,TB_NG!O:O)</f>
        <v>39705998.890000001</v>
      </c>
      <c r="N103" s="17">
        <f>_xlfn.XLOOKUP($C103,TB_NG!$E:$E,TB_NG!P:P)</f>
        <v>40465810.390000001</v>
      </c>
      <c r="O103" s="17">
        <f>_xlfn.XLOOKUP($C103,TB_NG!$E:$E,TB_NG!Q:Q)</f>
        <v>40465810.390000001</v>
      </c>
      <c r="P103" s="17">
        <f>_xlfn.XLOOKUP($C103,TB_NG!$E:$E,TB_NG!R:R)</f>
        <v>40465810.390000001</v>
      </c>
      <c r="Q103" s="17">
        <f>_xlfn.XLOOKUP($C103,TB_NG!$E:$E,TB_NG!S:S)</f>
        <v>40465810.390000001</v>
      </c>
      <c r="R103" s="17">
        <f>_xlfn.XLOOKUP($C103,TB_NG!$E:$E,TB_NG!T:T)</f>
        <v>40465810.390000001</v>
      </c>
      <c r="S103" s="17">
        <f>_xlfn.XLOOKUP($C103,TB_NG!$E:$E,TB_NG!U:U)</f>
        <v>40465810.390000001</v>
      </c>
      <c r="T103" s="17">
        <f>_xlfn.XLOOKUP($C103,TB_NG!$E:$E,TB_NG!V:V)</f>
        <v>40465810.390000001</v>
      </c>
      <c r="U103" s="17">
        <f>_xlfn.XLOOKUP($C103,TB_NG!$E:$E,TB_NG!W:W)</f>
        <v>40465810.390000001</v>
      </c>
      <c r="V103" s="17">
        <f>_xlfn.XLOOKUP($C103,TB_NG!$E:$E,TB_NG!X:X)</f>
        <v>40465810.390000001</v>
      </c>
      <c r="W103" s="17">
        <f>_xlfn.XLOOKUP($C103,TB_NG!$E:$E,TB_NG!Y:Y)</f>
        <v>40465810.390000001</v>
      </c>
      <c r="X103" s="17">
        <f>_xlfn.XLOOKUP($C103,TB_NG!$E:$E,TB_NG!Z:Z)</f>
        <v>0</v>
      </c>
      <c r="Y103" s="17">
        <f>_xlfn.XLOOKUP($C103,TB_NG!$E:$E,TB_NG!AA:AA)</f>
        <v>0</v>
      </c>
      <c r="Z103" s="17">
        <f>_xlfn.XLOOKUP($C103,TB_NG!$E:$E,TB_NG!AB:AB)</f>
        <v>0</v>
      </c>
      <c r="AA103" s="17">
        <f>_xlfn.XLOOKUP($C103,TB_NG!$E:$E,TB_NG!AC:AC)</f>
        <v>0</v>
      </c>
      <c r="AB103" s="17">
        <f>_xlfn.XLOOKUP($C103,TB_NG!$E:$E,TB_NG!AD:AD)</f>
        <v>0</v>
      </c>
      <c r="AC103" s="17">
        <f>_xlfn.XLOOKUP($C103,TB_NG!$E:$E,TB_NG!AE:AE)</f>
        <v>0</v>
      </c>
      <c r="AD103" s="17">
        <f>_xlfn.XLOOKUP($C103,TB_NG!$E:$E,TB_NG!AF:AF)</f>
        <v>0</v>
      </c>
      <c r="AE103" s="17">
        <f>_xlfn.XLOOKUP($C103,TB_NG!$E:$E,TB_NG!AG:AG)</f>
        <v>0</v>
      </c>
      <c r="AF103" s="17">
        <f>_xlfn.XLOOKUP($C103,TB_NG!$E:$E,TB_NG!AH:AH)</f>
        <v>0</v>
      </c>
      <c r="AG103" s="17">
        <f>_xlfn.XLOOKUP($C103,TB_NG!$E:$E,TB_NG!AI:AI)</f>
        <v>0</v>
      </c>
      <c r="AH103" s="17">
        <f>_xlfn.XLOOKUP($C103,TB_NG!$E:$E,TB_NG!AJ:AJ)</f>
        <v>0</v>
      </c>
      <c r="AI103" s="17">
        <f>_xlfn.XLOOKUP($C103,TB_NG!$E:$E,TB_NG!AK:AK)</f>
        <v>0</v>
      </c>
      <c r="AJ103" s="17">
        <f>_xlfn.XLOOKUP($C103,TB_NG!$E:$E,TB_NG!AL:AL)</f>
        <v>0</v>
      </c>
      <c r="AK103" s="17">
        <f>_xlfn.XLOOKUP($C103,TB_NG!$E:$E,TB_NG!AM:AM)</f>
        <v>0</v>
      </c>
      <c r="AL103" s="17">
        <f>_xlfn.XLOOKUP($C103,TB_NG!$E:$E,TB_NG!AN:AN)</f>
        <v>0</v>
      </c>
      <c r="AM103" s="17">
        <f>_xlfn.XLOOKUP($C103,TB_NG!$E:$E,TB_NG!AO:AO)</f>
        <v>0</v>
      </c>
    </row>
    <row r="104" spans="2:39" hidden="1" outlineLevel="1" x14ac:dyDescent="0.2">
      <c r="B104" s="21">
        <f>_xlfn.XLOOKUP($C104,TB_NG!$E:$E,TB_NG!A:A)</f>
        <v>14016</v>
      </c>
      <c r="C104" s="16" t="s">
        <v>226</v>
      </c>
      <c r="D104" s="17">
        <f>_xlfn.XLOOKUP($C104,TB_NG!$E:$E,TB_NG!F:F)</f>
        <v>805000</v>
      </c>
      <c r="E104" s="17">
        <f>_xlfn.XLOOKUP($C104,TB_NG!$E:$E,TB_NG!G:G)</f>
        <v>2380000</v>
      </c>
      <c r="F104" s="17">
        <f>_xlfn.XLOOKUP($C104,TB_NG!$E:$E,TB_NG!H:H)</f>
        <v>2380000</v>
      </c>
      <c r="G104" s="17">
        <f>_xlfn.XLOOKUP($C104,TB_NG!$E:$E,TB_NG!I:I)</f>
        <v>2380000</v>
      </c>
      <c r="H104" s="17">
        <f>_xlfn.XLOOKUP($C104,TB_NG!$E:$E,TB_NG!J:J)</f>
        <v>2380000</v>
      </c>
      <c r="I104" s="17">
        <f>_xlfn.XLOOKUP($C104,TB_NG!$E:$E,TB_NG!K:K)</f>
        <v>2380000</v>
      </c>
      <c r="J104" s="17">
        <f>_xlfn.XLOOKUP($C104,TB_NG!$E:$E,TB_NG!L:L)</f>
        <v>2380000</v>
      </c>
      <c r="K104" s="17">
        <f>_xlfn.XLOOKUP($C104,TB_NG!$E:$E,TB_NG!M:M)</f>
        <v>2380000</v>
      </c>
      <c r="L104" s="17">
        <f>_xlfn.XLOOKUP($C104,TB_NG!$E:$E,TB_NG!N:N)</f>
        <v>2380000</v>
      </c>
      <c r="M104" s="17">
        <f>_xlfn.XLOOKUP($C104,TB_NG!$E:$E,TB_NG!O:O)</f>
        <v>2380000</v>
      </c>
      <c r="N104" s="17">
        <f>_xlfn.XLOOKUP($C104,TB_NG!$E:$E,TB_NG!P:P)</f>
        <v>18767386.48</v>
      </c>
      <c r="O104" s="17">
        <f>_xlfn.XLOOKUP($C104,TB_NG!$E:$E,TB_NG!Q:Q)</f>
        <v>19576056.48</v>
      </c>
      <c r="P104" s="17">
        <f>_xlfn.XLOOKUP($C104,TB_NG!$E:$E,TB_NG!R:R)</f>
        <v>20501784.48</v>
      </c>
      <c r="Q104" s="17">
        <f>_xlfn.XLOOKUP($C104,TB_NG!$E:$E,TB_NG!S:S)</f>
        <v>21430757.66</v>
      </c>
      <c r="R104" s="17">
        <f>_xlfn.XLOOKUP($C104,TB_NG!$E:$E,TB_NG!T:T)</f>
        <v>21430757.66</v>
      </c>
      <c r="S104" s="17">
        <f>_xlfn.XLOOKUP($C104,TB_NG!$E:$E,TB_NG!U:U)</f>
        <v>21430757.66</v>
      </c>
      <c r="T104" s="17">
        <f>_xlfn.XLOOKUP($C104,TB_NG!$E:$E,TB_NG!V:V)</f>
        <v>21430757.66</v>
      </c>
      <c r="U104" s="17">
        <f>_xlfn.XLOOKUP($C104,TB_NG!$E:$E,TB_NG!W:W)</f>
        <v>21430757.66</v>
      </c>
      <c r="V104" s="17">
        <f>_xlfn.XLOOKUP($C104,TB_NG!$E:$E,TB_NG!X:X)</f>
        <v>21430757.66</v>
      </c>
      <c r="W104" s="17">
        <f>_xlfn.XLOOKUP($C104,TB_NG!$E:$E,TB_NG!Y:Y)</f>
        <v>21661042.16</v>
      </c>
      <c r="X104" s="17">
        <f>_xlfn.XLOOKUP($C104,TB_NG!$E:$E,TB_NG!Z:Z)</f>
        <v>24641562.16</v>
      </c>
      <c r="Y104" s="17">
        <f>_xlfn.XLOOKUP($C104,TB_NG!$E:$E,TB_NG!AA:AA)</f>
        <v>24641562.16</v>
      </c>
      <c r="Z104" s="17">
        <f>_xlfn.XLOOKUP($C104,TB_NG!$E:$E,TB_NG!AB:AB)</f>
        <v>24786952.16</v>
      </c>
      <c r="AA104" s="17">
        <f>_xlfn.XLOOKUP($C104,TB_NG!$E:$E,TB_NG!AC:AC)</f>
        <v>24786952.16</v>
      </c>
      <c r="AB104" s="17">
        <f>_xlfn.XLOOKUP($C104,TB_NG!$E:$E,TB_NG!AD:AD)</f>
        <v>24786952.16</v>
      </c>
      <c r="AC104" s="17">
        <f>_xlfn.XLOOKUP($C104,TB_NG!$E:$E,TB_NG!AE:AE)</f>
        <v>24786952.16</v>
      </c>
      <c r="AD104" s="17">
        <f>_xlfn.XLOOKUP($C104,TB_NG!$E:$E,TB_NG!AF:AF)</f>
        <v>25625579.02</v>
      </c>
      <c r="AE104" s="17">
        <f>_xlfn.XLOOKUP($C104,TB_NG!$E:$E,TB_NG!AG:AG)</f>
        <v>26984689.02</v>
      </c>
      <c r="AF104" s="17">
        <f>_xlfn.XLOOKUP($C104,TB_NG!$E:$E,TB_NG!AH:AH)</f>
        <v>0</v>
      </c>
      <c r="AG104" s="17">
        <f>_xlfn.XLOOKUP($C104,TB_NG!$E:$E,TB_NG!AI:AI)</f>
        <v>0</v>
      </c>
      <c r="AH104" s="17">
        <f>_xlfn.XLOOKUP($C104,TB_NG!$E:$E,TB_NG!AJ:AJ)</f>
        <v>0</v>
      </c>
      <c r="AI104" s="17">
        <f>_xlfn.XLOOKUP($C104,TB_NG!$E:$E,TB_NG!AK:AK)</f>
        <v>0</v>
      </c>
      <c r="AJ104" s="17">
        <f>_xlfn.XLOOKUP($C104,TB_NG!$E:$E,TB_NG!AL:AL)</f>
        <v>0</v>
      </c>
      <c r="AK104" s="17">
        <f>_xlfn.XLOOKUP($C104,TB_NG!$E:$E,TB_NG!AM:AM)</f>
        <v>0</v>
      </c>
      <c r="AL104" s="17">
        <f>_xlfn.XLOOKUP($C104,TB_NG!$E:$E,TB_NG!AN:AN)</f>
        <v>0</v>
      </c>
      <c r="AM104" s="17">
        <f>_xlfn.XLOOKUP($C104,TB_NG!$E:$E,TB_NG!AO:AO)</f>
        <v>0</v>
      </c>
    </row>
    <row r="105" spans="2:39" hidden="1" outlineLevel="1" x14ac:dyDescent="0.2">
      <c r="B105" s="21">
        <f>_xlfn.XLOOKUP($C105,TB_NG!$E:$E,TB_NG!A:A)</f>
        <v>14017</v>
      </c>
      <c r="C105" s="16" t="s">
        <v>227</v>
      </c>
      <c r="D105" s="17">
        <f>_xlfn.XLOOKUP($C105,TB_NG!$E:$E,TB_NG!F:F)</f>
        <v>0</v>
      </c>
      <c r="E105" s="17">
        <f>_xlfn.XLOOKUP($C105,TB_NG!$E:$E,TB_NG!G:G)</f>
        <v>0</v>
      </c>
      <c r="F105" s="17">
        <f>_xlfn.XLOOKUP($C105,TB_NG!$E:$E,TB_NG!H:H)</f>
        <v>0</v>
      </c>
      <c r="G105" s="17">
        <f>_xlfn.XLOOKUP($C105,TB_NG!$E:$E,TB_NG!I:I)</f>
        <v>0</v>
      </c>
      <c r="H105" s="17">
        <f>_xlfn.XLOOKUP($C105,TB_NG!$E:$E,TB_NG!J:J)</f>
        <v>0</v>
      </c>
      <c r="I105" s="17">
        <f>_xlfn.XLOOKUP($C105,TB_NG!$E:$E,TB_NG!K:K)</f>
        <v>0</v>
      </c>
      <c r="J105" s="17">
        <f>_xlfn.XLOOKUP($C105,TB_NG!$E:$E,TB_NG!L:L)</f>
        <v>0</v>
      </c>
      <c r="K105" s="17">
        <f>_xlfn.XLOOKUP($C105,TB_NG!$E:$E,TB_NG!M:M)</f>
        <v>0</v>
      </c>
      <c r="L105" s="17">
        <f>_xlfn.XLOOKUP($C105,TB_NG!$E:$E,TB_NG!N:N)</f>
        <v>0</v>
      </c>
      <c r="M105" s="17">
        <f>_xlfn.XLOOKUP($C105,TB_NG!$E:$E,TB_NG!O:O)</f>
        <v>0</v>
      </c>
      <c r="N105" s="17">
        <f>_xlfn.XLOOKUP($C105,TB_NG!$E:$E,TB_NG!P:P)</f>
        <v>0</v>
      </c>
      <c r="O105" s="17">
        <f>_xlfn.XLOOKUP($C105,TB_NG!$E:$E,TB_NG!Q:Q)</f>
        <v>0</v>
      </c>
      <c r="P105" s="17">
        <f>_xlfn.XLOOKUP($C105,TB_NG!$E:$E,TB_NG!R:R)</f>
        <v>0</v>
      </c>
      <c r="Q105" s="17">
        <f>_xlfn.XLOOKUP($C105,TB_NG!$E:$E,TB_NG!S:S)</f>
        <v>0</v>
      </c>
      <c r="R105" s="17">
        <f>_xlfn.XLOOKUP($C105,TB_NG!$E:$E,TB_NG!T:T)</f>
        <v>0</v>
      </c>
      <c r="S105" s="17">
        <f>_xlfn.XLOOKUP($C105,TB_NG!$E:$E,TB_NG!U:U)</f>
        <v>0</v>
      </c>
      <c r="T105" s="17">
        <f>_xlfn.XLOOKUP($C105,TB_NG!$E:$E,TB_NG!V:V)</f>
        <v>0</v>
      </c>
      <c r="U105" s="17">
        <f>_xlfn.XLOOKUP($C105,TB_NG!$E:$E,TB_NG!W:W)</f>
        <v>0</v>
      </c>
      <c r="V105" s="17">
        <f>_xlfn.XLOOKUP($C105,TB_NG!$E:$E,TB_NG!X:X)</f>
        <v>0</v>
      </c>
      <c r="W105" s="17">
        <f>_xlfn.XLOOKUP($C105,TB_NG!$E:$E,TB_NG!Y:Y)</f>
        <v>0</v>
      </c>
      <c r="X105" s="17">
        <f>_xlfn.XLOOKUP($C105,TB_NG!$E:$E,TB_NG!Z:Z)</f>
        <v>0</v>
      </c>
      <c r="Y105" s="17">
        <f>_xlfn.XLOOKUP($C105,TB_NG!$E:$E,TB_NG!AA:AA)</f>
        <v>0</v>
      </c>
      <c r="Z105" s="17">
        <f>_xlfn.XLOOKUP($C105,TB_NG!$E:$E,TB_NG!AB:AB)</f>
        <v>0</v>
      </c>
      <c r="AA105" s="17">
        <f>_xlfn.XLOOKUP($C105,TB_NG!$E:$E,TB_NG!AC:AC)</f>
        <v>0</v>
      </c>
      <c r="AB105" s="17">
        <f>_xlfn.XLOOKUP($C105,TB_NG!$E:$E,TB_NG!AD:AD)</f>
        <v>0</v>
      </c>
      <c r="AC105" s="17">
        <f>_xlfn.XLOOKUP($C105,TB_NG!$E:$E,TB_NG!AE:AE)</f>
        <v>0</v>
      </c>
      <c r="AD105" s="17">
        <f>_xlfn.XLOOKUP($C105,TB_NG!$E:$E,TB_NG!AF:AF)</f>
        <v>0</v>
      </c>
      <c r="AE105" s="17">
        <f>_xlfn.XLOOKUP($C105,TB_NG!$E:$E,TB_NG!AG:AG)</f>
        <v>0</v>
      </c>
      <c r="AF105" s="17">
        <f>_xlfn.XLOOKUP($C105,TB_NG!$E:$E,TB_NG!AH:AH)</f>
        <v>0</v>
      </c>
      <c r="AG105" s="17">
        <f>_xlfn.XLOOKUP($C105,TB_NG!$E:$E,TB_NG!AI:AI)</f>
        <v>0</v>
      </c>
      <c r="AH105" s="17">
        <f>_xlfn.XLOOKUP($C105,TB_NG!$E:$E,TB_NG!AJ:AJ)</f>
        <v>0</v>
      </c>
      <c r="AI105" s="17">
        <f>_xlfn.XLOOKUP($C105,TB_NG!$E:$E,TB_NG!AK:AK)</f>
        <v>0</v>
      </c>
      <c r="AJ105" s="17">
        <f>_xlfn.XLOOKUP($C105,TB_NG!$E:$E,TB_NG!AL:AL)</f>
        <v>0</v>
      </c>
      <c r="AK105" s="17">
        <f>_xlfn.XLOOKUP($C105,TB_NG!$E:$E,TB_NG!AM:AM)</f>
        <v>0</v>
      </c>
      <c r="AL105" s="17">
        <f>_xlfn.XLOOKUP($C105,TB_NG!$E:$E,TB_NG!AN:AN)</f>
        <v>0</v>
      </c>
      <c r="AM105" s="17">
        <f>_xlfn.XLOOKUP($C105,TB_NG!$E:$E,TB_NG!AO:AO)</f>
        <v>0</v>
      </c>
    </row>
    <row r="106" spans="2:39" hidden="1" outlineLevel="1" x14ac:dyDescent="0.2">
      <c r="B106" s="21">
        <f>_xlfn.XLOOKUP($C106,TB_NG!$E:$E,TB_NG!A:A)</f>
        <v>14020</v>
      </c>
      <c r="C106" s="16" t="s">
        <v>228</v>
      </c>
      <c r="D106" s="17">
        <f>_xlfn.XLOOKUP($C106,TB_NG!$E:$E,TB_NG!F:F)</f>
        <v>0</v>
      </c>
      <c r="E106" s="17">
        <f>_xlfn.XLOOKUP($C106,TB_NG!$E:$E,TB_NG!G:G)</f>
        <v>0</v>
      </c>
      <c r="F106" s="17">
        <f>_xlfn.XLOOKUP($C106,TB_NG!$E:$E,TB_NG!H:H)</f>
        <v>0</v>
      </c>
      <c r="G106" s="17">
        <f>_xlfn.XLOOKUP($C106,TB_NG!$E:$E,TB_NG!I:I)</f>
        <v>0</v>
      </c>
      <c r="H106" s="17">
        <f>_xlfn.XLOOKUP($C106,TB_NG!$E:$E,TB_NG!J:J)</f>
        <v>0</v>
      </c>
      <c r="I106" s="17">
        <f>_xlfn.XLOOKUP($C106,TB_NG!$E:$E,TB_NG!K:K)</f>
        <v>0</v>
      </c>
      <c r="J106" s="17">
        <f>_xlfn.XLOOKUP($C106,TB_NG!$E:$E,TB_NG!L:L)</f>
        <v>0</v>
      </c>
      <c r="K106" s="17">
        <f>_xlfn.XLOOKUP($C106,TB_NG!$E:$E,TB_NG!M:M)</f>
        <v>0</v>
      </c>
      <c r="L106" s="17">
        <f>_xlfn.XLOOKUP($C106,TB_NG!$E:$E,TB_NG!N:N)</f>
        <v>1726190.7</v>
      </c>
      <c r="M106" s="17">
        <f>_xlfn.XLOOKUP($C106,TB_NG!$E:$E,TB_NG!O:O)</f>
        <v>0</v>
      </c>
      <c r="N106" s="17">
        <f>_xlfn.XLOOKUP($C106,TB_NG!$E:$E,TB_NG!P:P)</f>
        <v>0</v>
      </c>
      <c r="O106" s="17">
        <f>_xlfn.XLOOKUP($C106,TB_NG!$E:$E,TB_NG!Q:Q)</f>
        <v>0</v>
      </c>
      <c r="P106" s="17">
        <f>_xlfn.XLOOKUP($C106,TB_NG!$E:$E,TB_NG!R:R)</f>
        <v>0</v>
      </c>
      <c r="Q106" s="17">
        <f>_xlfn.XLOOKUP($C106,TB_NG!$E:$E,TB_NG!S:S)</f>
        <v>0</v>
      </c>
      <c r="R106" s="17">
        <f>_xlfn.XLOOKUP($C106,TB_NG!$E:$E,TB_NG!T:T)</f>
        <v>0</v>
      </c>
      <c r="S106" s="17">
        <f>_xlfn.XLOOKUP($C106,TB_NG!$E:$E,TB_NG!U:U)</f>
        <v>0</v>
      </c>
      <c r="T106" s="17">
        <f>_xlfn.XLOOKUP($C106,TB_NG!$E:$E,TB_NG!V:V)</f>
        <v>0</v>
      </c>
      <c r="U106" s="17">
        <f>_xlfn.XLOOKUP($C106,TB_NG!$E:$E,TB_NG!W:W)</f>
        <v>0</v>
      </c>
      <c r="V106" s="17">
        <f>_xlfn.XLOOKUP($C106,TB_NG!$E:$E,TB_NG!X:X)</f>
        <v>0</v>
      </c>
      <c r="W106" s="17">
        <f>_xlfn.XLOOKUP($C106,TB_NG!$E:$E,TB_NG!Y:Y)</f>
        <v>0</v>
      </c>
      <c r="X106" s="17">
        <f>_xlfn.XLOOKUP($C106,TB_NG!$E:$E,TB_NG!Z:Z)</f>
        <v>0</v>
      </c>
      <c r="Y106" s="17">
        <f>_xlfn.XLOOKUP($C106,TB_NG!$E:$E,TB_NG!AA:AA)</f>
        <v>0</v>
      </c>
      <c r="Z106" s="17">
        <f>_xlfn.XLOOKUP($C106,TB_NG!$E:$E,TB_NG!AB:AB)</f>
        <v>0</v>
      </c>
      <c r="AA106" s="17">
        <f>_xlfn.XLOOKUP($C106,TB_NG!$E:$E,TB_NG!AC:AC)</f>
        <v>0</v>
      </c>
      <c r="AB106" s="17">
        <f>_xlfn.XLOOKUP($C106,TB_NG!$E:$E,TB_NG!AD:AD)</f>
        <v>0</v>
      </c>
      <c r="AC106" s="17">
        <f>_xlfn.XLOOKUP($C106,TB_NG!$E:$E,TB_NG!AE:AE)</f>
        <v>0</v>
      </c>
      <c r="AD106" s="17">
        <f>_xlfn.XLOOKUP($C106,TB_NG!$E:$E,TB_NG!AF:AF)</f>
        <v>0</v>
      </c>
      <c r="AE106" s="17">
        <f>_xlfn.XLOOKUP($C106,TB_NG!$E:$E,TB_NG!AG:AG)</f>
        <v>0</v>
      </c>
      <c r="AF106" s="17">
        <f>_xlfn.XLOOKUP($C106,TB_NG!$E:$E,TB_NG!AH:AH)</f>
        <v>0</v>
      </c>
      <c r="AG106" s="17">
        <f>_xlfn.XLOOKUP($C106,TB_NG!$E:$E,TB_NG!AI:AI)</f>
        <v>0</v>
      </c>
      <c r="AH106" s="17">
        <f>_xlfn.XLOOKUP($C106,TB_NG!$E:$E,TB_NG!AJ:AJ)</f>
        <v>0</v>
      </c>
      <c r="AI106" s="17">
        <f>_xlfn.XLOOKUP($C106,TB_NG!$E:$E,TB_NG!AK:AK)</f>
        <v>0</v>
      </c>
      <c r="AJ106" s="17">
        <f>_xlfn.XLOOKUP($C106,TB_NG!$E:$E,TB_NG!AL:AL)</f>
        <v>0</v>
      </c>
      <c r="AK106" s="17">
        <f>_xlfn.XLOOKUP($C106,TB_NG!$E:$E,TB_NG!AM:AM)</f>
        <v>0</v>
      </c>
      <c r="AL106" s="17">
        <f>_xlfn.XLOOKUP($C106,TB_NG!$E:$E,TB_NG!AN:AN)</f>
        <v>0</v>
      </c>
      <c r="AM106" s="17">
        <f>_xlfn.XLOOKUP($C106,TB_NG!$E:$E,TB_NG!AO:AO)</f>
        <v>0</v>
      </c>
    </row>
    <row r="107" spans="2:39" hidden="1" outlineLevel="1" x14ac:dyDescent="0.2">
      <c r="B107" s="21">
        <f>_xlfn.XLOOKUP($C107,TB_NG!$E:$E,TB_NG!A:A)</f>
        <v>14021</v>
      </c>
      <c r="C107" s="16" t="s">
        <v>229</v>
      </c>
      <c r="D107" s="17">
        <f>_xlfn.XLOOKUP($C107,TB_NG!$E:$E,TB_NG!F:F)</f>
        <v>0</v>
      </c>
      <c r="E107" s="17">
        <f>_xlfn.XLOOKUP($C107,TB_NG!$E:$E,TB_NG!G:G)</f>
        <v>0</v>
      </c>
      <c r="F107" s="17">
        <f>_xlfn.XLOOKUP($C107,TB_NG!$E:$E,TB_NG!H:H)</f>
        <v>0</v>
      </c>
      <c r="G107" s="17">
        <f>_xlfn.XLOOKUP($C107,TB_NG!$E:$E,TB_NG!I:I)</f>
        <v>0</v>
      </c>
      <c r="H107" s="17">
        <f>_xlfn.XLOOKUP($C107,TB_NG!$E:$E,TB_NG!J:J)</f>
        <v>0</v>
      </c>
      <c r="I107" s="17">
        <f>_xlfn.XLOOKUP($C107,TB_NG!$E:$E,TB_NG!K:K)</f>
        <v>0</v>
      </c>
      <c r="J107" s="17">
        <f>_xlfn.XLOOKUP($C107,TB_NG!$E:$E,TB_NG!L:L)</f>
        <v>0</v>
      </c>
      <c r="K107" s="17">
        <f>_xlfn.XLOOKUP($C107,TB_NG!$E:$E,TB_NG!M:M)</f>
        <v>0</v>
      </c>
      <c r="L107" s="17">
        <f>_xlfn.XLOOKUP($C107,TB_NG!$E:$E,TB_NG!N:N)</f>
        <v>0</v>
      </c>
      <c r="M107" s="17">
        <f>_xlfn.XLOOKUP($C107,TB_NG!$E:$E,TB_NG!O:O)</f>
        <v>0</v>
      </c>
      <c r="N107" s="17">
        <f>_xlfn.XLOOKUP($C107,TB_NG!$E:$E,TB_NG!P:P)</f>
        <v>0</v>
      </c>
      <c r="O107" s="17">
        <f>_xlfn.XLOOKUP($C107,TB_NG!$E:$E,TB_NG!Q:Q)</f>
        <v>1481337</v>
      </c>
      <c r="P107" s="17">
        <f>_xlfn.XLOOKUP($C107,TB_NG!$E:$E,TB_NG!R:R)</f>
        <v>1481337</v>
      </c>
      <c r="Q107" s="17">
        <f>_xlfn.XLOOKUP($C107,TB_NG!$E:$E,TB_NG!S:S)</f>
        <v>1481337</v>
      </c>
      <c r="R107" s="17">
        <f>_xlfn.XLOOKUP($C107,TB_NG!$E:$E,TB_NG!T:T)</f>
        <v>1481337</v>
      </c>
      <c r="S107" s="17">
        <f>_xlfn.XLOOKUP($C107,TB_NG!$E:$E,TB_NG!U:U)</f>
        <v>1481337</v>
      </c>
      <c r="T107" s="17">
        <f>_xlfn.XLOOKUP($C107,TB_NG!$E:$E,TB_NG!V:V)</f>
        <v>1721338.5</v>
      </c>
      <c r="U107" s="17">
        <f>_xlfn.XLOOKUP($C107,TB_NG!$E:$E,TB_NG!W:W)</f>
        <v>1721338.5</v>
      </c>
      <c r="V107" s="17">
        <f>_xlfn.XLOOKUP($C107,TB_NG!$E:$E,TB_NG!X:X)</f>
        <v>1721338.5</v>
      </c>
      <c r="W107" s="17">
        <f>_xlfn.XLOOKUP($C107,TB_NG!$E:$E,TB_NG!Y:Y)</f>
        <v>1721338.5</v>
      </c>
      <c r="X107" s="17">
        <f>_xlfn.XLOOKUP($C107,TB_NG!$E:$E,TB_NG!Z:Z)</f>
        <v>1721338.5</v>
      </c>
      <c r="Y107" s="17">
        <f>_xlfn.XLOOKUP($C107,TB_NG!$E:$E,TB_NG!AA:AA)</f>
        <v>1721338.5</v>
      </c>
      <c r="Z107" s="17">
        <f>_xlfn.XLOOKUP($C107,TB_NG!$E:$E,TB_NG!AB:AB)</f>
        <v>1721338.5</v>
      </c>
      <c r="AA107" s="17">
        <f>_xlfn.XLOOKUP($C107,TB_NG!$E:$E,TB_NG!AC:AC)</f>
        <v>1721338.5</v>
      </c>
      <c r="AB107" s="17">
        <f>_xlfn.XLOOKUP($C107,TB_NG!$E:$E,TB_NG!AD:AD)</f>
        <v>1721338.5</v>
      </c>
      <c r="AC107" s="17">
        <f>_xlfn.XLOOKUP($C107,TB_NG!$E:$E,TB_NG!AE:AE)</f>
        <v>1721338.5</v>
      </c>
      <c r="AD107" s="17">
        <f>_xlfn.XLOOKUP($C107,TB_NG!$E:$E,TB_NG!AF:AF)</f>
        <v>1721338.5</v>
      </c>
      <c r="AE107" s="17">
        <f>_xlfn.XLOOKUP($C107,TB_NG!$E:$E,TB_NG!AG:AG)</f>
        <v>1721338.5</v>
      </c>
      <c r="AF107" s="17">
        <f>_xlfn.XLOOKUP($C107,TB_NG!$E:$E,TB_NG!AH:AH)</f>
        <v>0</v>
      </c>
      <c r="AG107" s="17">
        <f>_xlfn.XLOOKUP($C107,TB_NG!$E:$E,TB_NG!AI:AI)</f>
        <v>0</v>
      </c>
      <c r="AH107" s="17">
        <f>_xlfn.XLOOKUP($C107,TB_NG!$E:$E,TB_NG!AJ:AJ)</f>
        <v>0</v>
      </c>
      <c r="AI107" s="17">
        <f>_xlfn.XLOOKUP($C107,TB_NG!$E:$E,TB_NG!AK:AK)</f>
        <v>0</v>
      </c>
      <c r="AJ107" s="17">
        <f>_xlfn.XLOOKUP($C107,TB_NG!$E:$E,TB_NG!AL:AL)</f>
        <v>0</v>
      </c>
      <c r="AK107" s="17">
        <f>_xlfn.XLOOKUP($C107,TB_NG!$E:$E,TB_NG!AM:AM)</f>
        <v>0</v>
      </c>
      <c r="AL107" s="17">
        <f>_xlfn.XLOOKUP($C107,TB_NG!$E:$E,TB_NG!AN:AN)</f>
        <v>0</v>
      </c>
      <c r="AM107" s="17">
        <f>_xlfn.XLOOKUP($C107,TB_NG!$E:$E,TB_NG!AO:AO)</f>
        <v>0</v>
      </c>
    </row>
    <row r="108" spans="2:39" hidden="1" outlineLevel="1" x14ac:dyDescent="0.2">
      <c r="B108" s="21">
        <f>_xlfn.XLOOKUP($C108,TB_NG!$E:$E,TB_NG!A:A)</f>
        <v>19004</v>
      </c>
      <c r="C108" s="16" t="s">
        <v>230</v>
      </c>
      <c r="D108" s="17">
        <f>_xlfn.XLOOKUP($C108,TB_NG!$E:$E,TB_NG!F:F)</f>
        <v>17413421.199999999</v>
      </c>
      <c r="E108" s="17">
        <f>_xlfn.XLOOKUP($C108,TB_NG!$E:$E,TB_NG!G:G)</f>
        <v>13333191.279999999</v>
      </c>
      <c r="F108" s="17">
        <f>_xlfn.XLOOKUP($C108,TB_NG!$E:$E,TB_NG!H:H)</f>
        <v>12613421.199999999</v>
      </c>
      <c r="G108" s="17">
        <f>_xlfn.XLOOKUP($C108,TB_NG!$E:$E,TB_NG!I:I)</f>
        <v>12636079.560000001</v>
      </c>
      <c r="H108" s="17">
        <f>_xlfn.XLOOKUP($C108,TB_NG!$E:$E,TB_NG!J:J)</f>
        <v>12636079.560000001</v>
      </c>
      <c r="I108" s="17">
        <f>_xlfn.XLOOKUP($C108,TB_NG!$E:$E,TB_NG!K:K)</f>
        <v>12636079.560000001</v>
      </c>
      <c r="J108" s="17">
        <f>_xlfn.XLOOKUP($C108,TB_NG!$E:$E,TB_NG!L:L)</f>
        <v>13173579.560000001</v>
      </c>
      <c r="K108" s="17">
        <f>_xlfn.XLOOKUP($C108,TB_NG!$E:$E,TB_NG!M:M)</f>
        <v>17500454.559999999</v>
      </c>
      <c r="L108" s="17">
        <f>_xlfn.XLOOKUP($C108,TB_NG!$E:$E,TB_NG!N:N)</f>
        <v>17545454.559999999</v>
      </c>
      <c r="M108" s="17">
        <f>_xlfn.XLOOKUP($C108,TB_NG!$E:$E,TB_NG!O:O)</f>
        <v>17545454.559999999</v>
      </c>
      <c r="N108" s="17">
        <f>_xlfn.XLOOKUP($C108,TB_NG!$E:$E,TB_NG!P:P)</f>
        <v>17545454.559999999</v>
      </c>
      <c r="O108" s="17">
        <f>_xlfn.XLOOKUP($C108,TB_NG!$E:$E,TB_NG!Q:Q)</f>
        <v>2523980.39</v>
      </c>
      <c r="P108" s="17">
        <f>_xlfn.XLOOKUP($C108,TB_NG!$E:$E,TB_NG!R:R)</f>
        <v>2523980.39</v>
      </c>
      <c r="Q108" s="17">
        <f>_xlfn.XLOOKUP($C108,TB_NG!$E:$E,TB_NG!S:S)</f>
        <v>2523980.39</v>
      </c>
      <c r="R108" s="17">
        <f>_xlfn.XLOOKUP($C108,TB_NG!$E:$E,TB_NG!T:T)</f>
        <v>2523980.39</v>
      </c>
      <c r="S108" s="17">
        <f>_xlfn.XLOOKUP($C108,TB_NG!$E:$E,TB_NG!U:U)</f>
        <v>2523980.39</v>
      </c>
      <c r="T108" s="17">
        <f>_xlfn.XLOOKUP($C108,TB_NG!$E:$E,TB_NG!V:V)</f>
        <v>2523980.39</v>
      </c>
      <c r="U108" s="17">
        <f>_xlfn.XLOOKUP($C108,TB_NG!$E:$E,TB_NG!W:W)</f>
        <v>2523980.39</v>
      </c>
      <c r="V108" s="17">
        <f>_xlfn.XLOOKUP($C108,TB_NG!$E:$E,TB_NG!X:X)</f>
        <v>2523980.39</v>
      </c>
      <c r="W108" s="17">
        <f>_xlfn.XLOOKUP($C108,TB_NG!$E:$E,TB_NG!Y:Y)</f>
        <v>0</v>
      </c>
      <c r="X108" s="17">
        <f>_xlfn.XLOOKUP($C108,TB_NG!$E:$E,TB_NG!Z:Z)</f>
        <v>0</v>
      </c>
      <c r="Y108" s="17">
        <f>_xlfn.XLOOKUP($C108,TB_NG!$E:$E,TB_NG!AA:AA)</f>
        <v>0</v>
      </c>
      <c r="Z108" s="17">
        <f>_xlfn.XLOOKUP($C108,TB_NG!$E:$E,TB_NG!AB:AB)</f>
        <v>0</v>
      </c>
      <c r="AA108" s="17">
        <f>_xlfn.XLOOKUP($C108,TB_NG!$E:$E,TB_NG!AC:AC)</f>
        <v>0</v>
      </c>
      <c r="AB108" s="17">
        <f>_xlfn.XLOOKUP($C108,TB_NG!$E:$E,TB_NG!AD:AD)</f>
        <v>0</v>
      </c>
      <c r="AC108" s="17">
        <f>_xlfn.XLOOKUP($C108,TB_NG!$E:$E,TB_NG!AE:AE)</f>
        <v>0</v>
      </c>
      <c r="AD108" s="17">
        <f>_xlfn.XLOOKUP($C108,TB_NG!$E:$E,TB_NG!AF:AF)</f>
        <v>0</v>
      </c>
      <c r="AE108" s="17">
        <f>_xlfn.XLOOKUP($C108,TB_NG!$E:$E,TB_NG!AG:AG)</f>
        <v>0</v>
      </c>
      <c r="AF108" s="17">
        <f>_xlfn.XLOOKUP($C108,TB_NG!$E:$E,TB_NG!AH:AH)</f>
        <v>0</v>
      </c>
      <c r="AG108" s="17">
        <f>_xlfn.XLOOKUP($C108,TB_NG!$E:$E,TB_NG!AI:AI)</f>
        <v>0</v>
      </c>
      <c r="AH108" s="17">
        <f>_xlfn.XLOOKUP($C108,TB_NG!$E:$E,TB_NG!AJ:AJ)</f>
        <v>0</v>
      </c>
      <c r="AI108" s="17">
        <f>_xlfn.XLOOKUP($C108,TB_NG!$E:$E,TB_NG!AK:AK)</f>
        <v>0</v>
      </c>
      <c r="AJ108" s="17">
        <f>_xlfn.XLOOKUP($C108,TB_NG!$E:$E,TB_NG!AL:AL)</f>
        <v>0</v>
      </c>
      <c r="AK108" s="17">
        <f>_xlfn.XLOOKUP($C108,TB_NG!$E:$E,TB_NG!AM:AM)</f>
        <v>0</v>
      </c>
      <c r="AL108" s="17">
        <f>_xlfn.XLOOKUP($C108,TB_NG!$E:$E,TB_NG!AN:AN)</f>
        <v>0</v>
      </c>
      <c r="AM108" s="17">
        <f>_xlfn.XLOOKUP($C108,TB_NG!$E:$E,TB_NG!AO:AO)</f>
        <v>0</v>
      </c>
    </row>
    <row r="109" spans="2:39" hidden="1" outlineLevel="1" x14ac:dyDescent="0.2">
      <c r="B109" s="21"/>
      <c r="C109" s="1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</row>
    <row r="110" spans="2:39" collapsed="1" x14ac:dyDescent="0.2">
      <c r="B110" s="15"/>
      <c r="C110" s="22" t="s">
        <v>42</v>
      </c>
      <c r="D110" s="23">
        <f>SUM(D99:D109)</f>
        <v>-223229333.73000002</v>
      </c>
      <c r="E110" s="23">
        <f t="shared" ref="E110:AM110" si="7">SUM(E99:E109)</f>
        <v>-237971707.19999999</v>
      </c>
      <c r="F110" s="23">
        <f t="shared" si="7"/>
        <v>-247148013.91000006</v>
      </c>
      <c r="G110" s="23">
        <f t="shared" si="7"/>
        <v>-235679259.72999999</v>
      </c>
      <c r="H110" s="23">
        <f t="shared" si="7"/>
        <v>-225560473.58999997</v>
      </c>
      <c r="I110" s="23">
        <f t="shared" si="7"/>
        <v>-220436906.86999997</v>
      </c>
      <c r="J110" s="23">
        <f t="shared" si="7"/>
        <v>-201354787.86999997</v>
      </c>
      <c r="K110" s="23">
        <f t="shared" si="7"/>
        <v>-203359045.60000002</v>
      </c>
      <c r="L110" s="23">
        <f t="shared" si="7"/>
        <v>-162299774.25000003</v>
      </c>
      <c r="M110" s="23">
        <f t="shared" si="7"/>
        <v>-147468831.05000001</v>
      </c>
      <c r="N110" s="23">
        <f t="shared" si="7"/>
        <v>-233599626.43999997</v>
      </c>
      <c r="O110" s="23">
        <f t="shared" si="7"/>
        <v>-686020461.24000001</v>
      </c>
      <c r="P110" s="23">
        <f t="shared" si="7"/>
        <v>-680922844.75999999</v>
      </c>
      <c r="Q110" s="23">
        <f t="shared" si="7"/>
        <v>-631109515.26000011</v>
      </c>
      <c r="R110" s="23">
        <f t="shared" si="7"/>
        <v>-626234866.28000009</v>
      </c>
      <c r="S110" s="23">
        <f t="shared" si="7"/>
        <v>-621685155.61000013</v>
      </c>
      <c r="T110" s="23">
        <f t="shared" si="7"/>
        <v>-617073935.08000016</v>
      </c>
      <c r="U110" s="23">
        <f t="shared" si="7"/>
        <v>-612165829.42000008</v>
      </c>
      <c r="V110" s="23">
        <f t="shared" si="7"/>
        <v>-607600104.93000007</v>
      </c>
      <c r="W110" s="23">
        <f t="shared" si="7"/>
        <v>-604610433.31000006</v>
      </c>
      <c r="X110" s="23">
        <f t="shared" si="7"/>
        <v>-630492702.65999997</v>
      </c>
      <c r="Y110" s="23">
        <f t="shared" si="7"/>
        <v>-611847505.01000011</v>
      </c>
      <c r="Z110" s="23">
        <f t="shared" si="7"/>
        <v>-607893006.83000004</v>
      </c>
      <c r="AA110" s="23">
        <f t="shared" si="7"/>
        <v>-1184527506.54</v>
      </c>
      <c r="AB110" s="23">
        <f t="shared" si="7"/>
        <v>-1157457828.8099999</v>
      </c>
      <c r="AC110" s="23">
        <f t="shared" si="7"/>
        <v>-1135126830.0299997</v>
      </c>
      <c r="AD110" s="23">
        <f t="shared" si="7"/>
        <v>-1109715539.78</v>
      </c>
      <c r="AE110" s="23">
        <f t="shared" si="7"/>
        <v>-1089905843.3899999</v>
      </c>
      <c r="AF110" s="23">
        <f t="shared" si="7"/>
        <v>0</v>
      </c>
      <c r="AG110" s="23">
        <f t="shared" si="7"/>
        <v>0</v>
      </c>
      <c r="AH110" s="23">
        <f t="shared" si="7"/>
        <v>0</v>
      </c>
      <c r="AI110" s="23">
        <f t="shared" si="7"/>
        <v>0</v>
      </c>
      <c r="AJ110" s="23">
        <f t="shared" si="7"/>
        <v>0</v>
      </c>
      <c r="AK110" s="23">
        <f t="shared" si="7"/>
        <v>0</v>
      </c>
      <c r="AL110" s="23">
        <f t="shared" si="7"/>
        <v>0</v>
      </c>
      <c r="AM110" s="23">
        <f t="shared" si="7"/>
        <v>0</v>
      </c>
    </row>
    <row r="111" spans="2:39" x14ac:dyDescent="0.2">
      <c r="B111" s="15"/>
      <c r="C111" s="16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8"/>
    </row>
    <row r="112" spans="2:39" s="27" customFormat="1" x14ac:dyDescent="0.2">
      <c r="B112" s="24"/>
      <c r="C112" s="25" t="s">
        <v>231</v>
      </c>
      <c r="D112" s="26">
        <f t="shared" ref="D112:AM112" si="8">D50+D61+D69+D77+D83+D96+D110</f>
        <v>675708378.11999989</v>
      </c>
      <c r="E112" s="26">
        <f t="shared" si="8"/>
        <v>1129404544.03</v>
      </c>
      <c r="F112" s="26">
        <f t="shared" si="8"/>
        <v>8428899833.8500004</v>
      </c>
      <c r="G112" s="26">
        <f t="shared" si="8"/>
        <v>7358143983.46</v>
      </c>
      <c r="H112" s="26">
        <f t="shared" si="8"/>
        <v>7081931084.2599993</v>
      </c>
      <c r="I112" s="26">
        <f t="shared" si="8"/>
        <v>8606354976.3299999</v>
      </c>
      <c r="J112" s="26">
        <f t="shared" si="8"/>
        <v>8394291853.249999</v>
      </c>
      <c r="K112" s="26">
        <f t="shared" si="8"/>
        <v>8167384791.6299992</v>
      </c>
      <c r="L112" s="26">
        <f t="shared" si="8"/>
        <v>8111307160.9299994</v>
      </c>
      <c r="M112" s="26">
        <f t="shared" si="8"/>
        <v>7552409591.8199987</v>
      </c>
      <c r="N112" s="26">
        <f t="shared" si="8"/>
        <v>7583541636.6899996</v>
      </c>
      <c r="O112" s="26">
        <f t="shared" si="8"/>
        <v>7478315307.3600006</v>
      </c>
      <c r="P112" s="26">
        <f t="shared" si="8"/>
        <v>7007716845.3499985</v>
      </c>
      <c r="Q112" s="26">
        <f t="shared" si="8"/>
        <v>6610435296.829999</v>
      </c>
      <c r="R112" s="26">
        <f t="shared" si="8"/>
        <v>6675933254.1700001</v>
      </c>
      <c r="S112" s="26">
        <f t="shared" si="8"/>
        <v>5942700950.3899994</v>
      </c>
      <c r="T112" s="26">
        <f t="shared" si="8"/>
        <v>5237464725.1100006</v>
      </c>
      <c r="U112" s="26">
        <f t="shared" si="8"/>
        <v>4932413853.1999989</v>
      </c>
      <c r="V112" s="26">
        <f t="shared" si="8"/>
        <v>4317396960.4899998</v>
      </c>
      <c r="W112" s="26">
        <f t="shared" si="8"/>
        <v>4418166871.4699993</v>
      </c>
      <c r="X112" s="26">
        <f t="shared" si="8"/>
        <v>4134117666.1600008</v>
      </c>
      <c r="Y112" s="26">
        <f t="shared" si="8"/>
        <v>4175622282.499999</v>
      </c>
      <c r="Z112" s="26">
        <f t="shared" si="8"/>
        <v>3729517253.5300007</v>
      </c>
      <c r="AA112" s="26">
        <f t="shared" si="8"/>
        <v>2370768564.7199993</v>
      </c>
      <c r="AB112" s="26">
        <f t="shared" si="8"/>
        <v>2584070059.1099997</v>
      </c>
      <c r="AC112" s="26">
        <f t="shared" si="8"/>
        <v>2982164949.3400002</v>
      </c>
      <c r="AD112" s="26">
        <f t="shared" si="8"/>
        <v>3172630795.0699997</v>
      </c>
      <c r="AE112" s="26">
        <f t="shared" si="8"/>
        <v>2786764316.420001</v>
      </c>
      <c r="AF112" s="26">
        <f t="shared" si="8"/>
        <v>0</v>
      </c>
      <c r="AG112" s="26">
        <f t="shared" si="8"/>
        <v>0</v>
      </c>
      <c r="AH112" s="26">
        <f t="shared" si="8"/>
        <v>0</v>
      </c>
      <c r="AI112" s="26">
        <f t="shared" si="8"/>
        <v>0</v>
      </c>
      <c r="AJ112" s="26">
        <f t="shared" si="8"/>
        <v>0</v>
      </c>
      <c r="AK112" s="26">
        <f t="shared" si="8"/>
        <v>0</v>
      </c>
      <c r="AL112" s="26">
        <f t="shared" si="8"/>
        <v>0</v>
      </c>
      <c r="AM112" s="26">
        <f t="shared" si="8"/>
        <v>0</v>
      </c>
    </row>
    <row r="113" spans="2:39" s="31" customFormat="1" x14ac:dyDescent="0.2">
      <c r="B113" s="28"/>
      <c r="C113" s="29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</row>
    <row r="114" spans="2:39" x14ac:dyDescent="0.2">
      <c r="B114" s="15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8"/>
    </row>
    <row r="115" spans="2:39" hidden="1" outlineLevel="1" x14ac:dyDescent="0.2">
      <c r="B115" s="15"/>
      <c r="C115" s="20" t="s">
        <v>232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8"/>
    </row>
    <row r="116" spans="2:39" hidden="1" outlineLevel="1" x14ac:dyDescent="0.2">
      <c r="B116" s="21">
        <f>_xlfn.XLOOKUP($C116,TB_NG!$E:$E,TB_NG!A:A)</f>
        <v>15000</v>
      </c>
      <c r="C116" s="16" t="s">
        <v>233</v>
      </c>
      <c r="D116" s="17">
        <f>_xlfn.XLOOKUP($C116,TB_NG!$E:$E,TB_NG!F:F)</f>
        <v>26403926.010000002</v>
      </c>
      <c r="E116" s="17">
        <f>_xlfn.XLOOKUP($C116,TB_NG!$E:$E,TB_NG!G:G)</f>
        <v>26403926.010000002</v>
      </c>
      <c r="F116" s="17">
        <f>_xlfn.XLOOKUP($C116,TB_NG!$E:$E,TB_NG!H:H)</f>
        <v>26403926.010000002</v>
      </c>
      <c r="G116" s="17">
        <f>_xlfn.XLOOKUP($C116,TB_NG!$E:$E,TB_NG!I:I)</f>
        <v>26403926.010000002</v>
      </c>
      <c r="H116" s="17">
        <f>_xlfn.XLOOKUP($C116,TB_NG!$E:$E,TB_NG!J:J)</f>
        <v>26403926.010000002</v>
      </c>
      <c r="I116" s="17">
        <f>_xlfn.XLOOKUP($C116,TB_NG!$E:$E,TB_NG!K:K)</f>
        <v>26404192.68</v>
      </c>
      <c r="J116" s="17">
        <f>_xlfn.XLOOKUP($C116,TB_NG!$E:$E,TB_NG!L:L)</f>
        <v>27291067.68</v>
      </c>
      <c r="K116" s="17">
        <f>_xlfn.XLOOKUP($C116,TB_NG!$E:$E,TB_NG!M:M)</f>
        <v>27291067.68</v>
      </c>
      <c r="L116" s="17">
        <f>_xlfn.XLOOKUP($C116,TB_NG!$E:$E,TB_NG!N:N)</f>
        <v>27291067.68</v>
      </c>
      <c r="M116" s="17">
        <f>_xlfn.XLOOKUP($C116,TB_NG!$E:$E,TB_NG!O:O)</f>
        <v>27291067.68</v>
      </c>
      <c r="N116" s="17">
        <f>_xlfn.XLOOKUP($C116,TB_NG!$E:$E,TB_NG!P:P)</f>
        <v>27291067.68</v>
      </c>
      <c r="O116" s="17">
        <f>_xlfn.XLOOKUP($C116,TB_NG!$E:$E,TB_NG!Q:Q)</f>
        <v>36171942.920000002</v>
      </c>
      <c r="P116" s="17">
        <f>_xlfn.XLOOKUP($C116,TB_NG!$E:$E,TB_NG!R:R)</f>
        <v>36171942.920000002</v>
      </c>
      <c r="Q116" s="17">
        <f>_xlfn.XLOOKUP($C116,TB_NG!$E:$E,TB_NG!S:S)</f>
        <v>37033192.920000002</v>
      </c>
      <c r="R116" s="17">
        <f>_xlfn.XLOOKUP($C116,TB_NG!$E:$E,TB_NG!T:T)</f>
        <v>38615442.920000002</v>
      </c>
      <c r="S116" s="17">
        <f>_xlfn.XLOOKUP($C116,TB_NG!$E:$E,TB_NG!U:U)</f>
        <v>38615442.920000002</v>
      </c>
      <c r="T116" s="17">
        <f>_xlfn.XLOOKUP($C116,TB_NG!$E:$E,TB_NG!V:V)</f>
        <v>38615442.920000002</v>
      </c>
      <c r="U116" s="17">
        <f>_xlfn.XLOOKUP($C116,TB_NG!$E:$E,TB_NG!W:W)</f>
        <v>38615442.920000002</v>
      </c>
      <c r="V116" s="17">
        <f>_xlfn.XLOOKUP($C116,TB_NG!$E:$E,TB_NG!X:X)</f>
        <v>38615442.920000002</v>
      </c>
      <c r="W116" s="17">
        <f>_xlfn.XLOOKUP($C116,TB_NG!$E:$E,TB_NG!Y:Y)</f>
        <v>38615442.920000002</v>
      </c>
      <c r="X116" s="17">
        <f>_xlfn.XLOOKUP($C116,TB_NG!$E:$E,TB_NG!Z:Z)</f>
        <v>38615442.920000002</v>
      </c>
      <c r="Y116" s="17">
        <f>_xlfn.XLOOKUP($C116,TB_NG!$E:$E,TB_NG!AA:AA)</f>
        <v>38385442.920000002</v>
      </c>
      <c r="Z116" s="17">
        <f>_xlfn.XLOOKUP($C116,TB_NG!$E:$E,TB_NG!AB:AB)</f>
        <v>38385442.920000002</v>
      </c>
      <c r="AA116" s="17">
        <f>_xlfn.XLOOKUP($C116,TB_NG!$E:$E,TB_NG!AC:AC)</f>
        <v>38515442.920000002</v>
      </c>
      <c r="AB116" s="17">
        <f>_xlfn.XLOOKUP($C116,TB_NG!$E:$E,TB_NG!AD:AD)</f>
        <v>36071942.920000002</v>
      </c>
      <c r="AC116" s="17">
        <f>_xlfn.XLOOKUP($C116,TB_NG!$E:$E,TB_NG!AE:AE)</f>
        <v>36071942.920000002</v>
      </c>
      <c r="AD116" s="17">
        <f>_xlfn.XLOOKUP($C116,TB_NG!$E:$E,TB_NG!AF:AF)</f>
        <v>36071942.920000002</v>
      </c>
      <c r="AE116" s="17">
        <f>_xlfn.XLOOKUP($C116,TB_NG!$E:$E,TB_NG!AG:AG)</f>
        <v>36071942.920000002</v>
      </c>
      <c r="AF116" s="17">
        <f>_xlfn.XLOOKUP($C116,TB_NG!$E:$E,TB_NG!AH:AH)</f>
        <v>0</v>
      </c>
      <c r="AG116" s="17">
        <f>_xlfn.XLOOKUP($C116,TB_NG!$E:$E,TB_NG!AI:AI)</f>
        <v>0</v>
      </c>
      <c r="AH116" s="17">
        <f>_xlfn.XLOOKUP($C116,TB_NG!$E:$E,TB_NG!AJ:AJ)</f>
        <v>0</v>
      </c>
      <c r="AI116" s="17">
        <f>_xlfn.XLOOKUP($C116,TB_NG!$E:$E,TB_NG!AK:AK)</f>
        <v>0</v>
      </c>
      <c r="AJ116" s="17">
        <f>_xlfn.XLOOKUP($C116,TB_NG!$E:$E,TB_NG!AL:AL)</f>
        <v>0</v>
      </c>
      <c r="AK116" s="17">
        <f>_xlfn.XLOOKUP($C116,TB_NG!$E:$E,TB_NG!AM:AM)</f>
        <v>0</v>
      </c>
      <c r="AL116" s="17">
        <f>_xlfn.XLOOKUP($C116,TB_NG!$E:$E,TB_NG!AN:AN)</f>
        <v>0</v>
      </c>
      <c r="AM116" s="17">
        <f>_xlfn.XLOOKUP($C116,TB_NG!$E:$E,TB_NG!AO:AO)</f>
        <v>0</v>
      </c>
    </row>
    <row r="117" spans="2:39" hidden="1" outlineLevel="1" x14ac:dyDescent="0.2">
      <c r="B117" s="21">
        <f>_xlfn.XLOOKUP($C117,TB_NG!$E:$E,TB_NG!A:A)</f>
        <v>15100</v>
      </c>
      <c r="C117" s="16" t="s">
        <v>234</v>
      </c>
      <c r="D117" s="17">
        <f>_xlfn.XLOOKUP($C117,TB_NG!$E:$E,TB_NG!F:F)</f>
        <v>88402001</v>
      </c>
      <c r="E117" s="17">
        <f>_xlfn.XLOOKUP($C117,TB_NG!$E:$E,TB_NG!G:G)</f>
        <v>88402001</v>
      </c>
      <c r="F117" s="17">
        <f>_xlfn.XLOOKUP($C117,TB_NG!$E:$E,TB_NG!H:H)</f>
        <v>88402001</v>
      </c>
      <c r="G117" s="17">
        <f>_xlfn.XLOOKUP($C117,TB_NG!$E:$E,TB_NG!I:I)</f>
        <v>88402001</v>
      </c>
      <c r="H117" s="17">
        <f>_xlfn.XLOOKUP($C117,TB_NG!$E:$E,TB_NG!J:J)</f>
        <v>88402001</v>
      </c>
      <c r="I117" s="17">
        <f>_xlfn.XLOOKUP($C117,TB_NG!$E:$E,TB_NG!K:K)</f>
        <v>88402001</v>
      </c>
      <c r="J117" s="17">
        <f>_xlfn.XLOOKUP($C117,TB_NG!$E:$E,TB_NG!L:L)</f>
        <v>88402001</v>
      </c>
      <c r="K117" s="17">
        <f>_xlfn.XLOOKUP($C117,TB_NG!$E:$E,TB_NG!M:M)</f>
        <v>88402001</v>
      </c>
      <c r="L117" s="17">
        <f>_xlfn.XLOOKUP($C117,TB_NG!$E:$E,TB_NG!N:N)</f>
        <v>88402001</v>
      </c>
      <c r="M117" s="17">
        <f>_xlfn.XLOOKUP($C117,TB_NG!$E:$E,TB_NG!O:O)</f>
        <v>88402001</v>
      </c>
      <c r="N117" s="17">
        <f>_xlfn.XLOOKUP($C117,TB_NG!$E:$E,TB_NG!P:P)</f>
        <v>88402001</v>
      </c>
      <c r="O117" s="17">
        <f>_xlfn.XLOOKUP($C117,TB_NG!$E:$E,TB_NG!Q:Q)</f>
        <v>3645000</v>
      </c>
      <c r="P117" s="17">
        <f>_xlfn.XLOOKUP($C117,TB_NG!$E:$E,TB_NG!R:R)</f>
        <v>3645000</v>
      </c>
      <c r="Q117" s="17">
        <f>_xlfn.XLOOKUP($C117,TB_NG!$E:$E,TB_NG!S:S)</f>
        <v>3645000</v>
      </c>
      <c r="R117" s="17">
        <f>_xlfn.XLOOKUP($C117,TB_NG!$E:$E,TB_NG!T:T)</f>
        <v>3645000</v>
      </c>
      <c r="S117" s="17">
        <f>_xlfn.XLOOKUP($C117,TB_NG!$E:$E,TB_NG!U:U)</f>
        <v>3645000</v>
      </c>
      <c r="T117" s="17">
        <f>_xlfn.XLOOKUP($C117,TB_NG!$E:$E,TB_NG!V:V)</f>
        <v>3645000</v>
      </c>
      <c r="U117" s="17">
        <f>_xlfn.XLOOKUP($C117,TB_NG!$E:$E,TB_NG!W:W)</f>
        <v>3645000</v>
      </c>
      <c r="V117" s="17">
        <f>_xlfn.XLOOKUP($C117,TB_NG!$E:$E,TB_NG!X:X)</f>
        <v>3645000</v>
      </c>
      <c r="W117" s="17">
        <f>_xlfn.XLOOKUP($C117,TB_NG!$E:$E,TB_NG!Y:Y)</f>
        <v>3645000</v>
      </c>
      <c r="X117" s="17">
        <f>_xlfn.XLOOKUP($C117,TB_NG!$E:$E,TB_NG!Z:Z)</f>
        <v>3645000</v>
      </c>
      <c r="Y117" s="17">
        <f>_xlfn.XLOOKUP($C117,TB_NG!$E:$E,TB_NG!AA:AA)</f>
        <v>3645000</v>
      </c>
      <c r="Z117" s="17">
        <f>_xlfn.XLOOKUP($C117,TB_NG!$E:$E,TB_NG!AB:AB)</f>
        <v>3645000</v>
      </c>
      <c r="AA117" s="17">
        <f>_xlfn.XLOOKUP($C117,TB_NG!$E:$E,TB_NG!AC:AC)</f>
        <v>3645000</v>
      </c>
      <c r="AB117" s="17">
        <f>_xlfn.XLOOKUP($C117,TB_NG!$E:$E,TB_NG!AD:AD)</f>
        <v>3645000</v>
      </c>
      <c r="AC117" s="17">
        <f>_xlfn.XLOOKUP($C117,TB_NG!$E:$E,TB_NG!AE:AE)</f>
        <v>5141700</v>
      </c>
      <c r="AD117" s="17">
        <f>_xlfn.XLOOKUP($C117,TB_NG!$E:$E,TB_NG!AF:AF)</f>
        <v>5141700</v>
      </c>
      <c r="AE117" s="17">
        <f>_xlfn.XLOOKUP($C117,TB_NG!$E:$E,TB_NG!AG:AG)</f>
        <v>5141700</v>
      </c>
      <c r="AF117" s="17">
        <f>_xlfn.XLOOKUP($C117,TB_NG!$E:$E,TB_NG!AH:AH)</f>
        <v>0</v>
      </c>
      <c r="AG117" s="17">
        <f>_xlfn.XLOOKUP($C117,TB_NG!$E:$E,TB_NG!AI:AI)</f>
        <v>0</v>
      </c>
      <c r="AH117" s="17">
        <f>_xlfn.XLOOKUP($C117,TB_NG!$E:$E,TB_NG!AJ:AJ)</f>
        <v>0</v>
      </c>
      <c r="AI117" s="17">
        <f>_xlfn.XLOOKUP($C117,TB_NG!$E:$E,TB_NG!AK:AK)</f>
        <v>0</v>
      </c>
      <c r="AJ117" s="17">
        <f>_xlfn.XLOOKUP($C117,TB_NG!$E:$E,TB_NG!AL:AL)</f>
        <v>0</v>
      </c>
      <c r="AK117" s="17">
        <f>_xlfn.XLOOKUP($C117,TB_NG!$E:$E,TB_NG!AM:AM)</f>
        <v>0</v>
      </c>
      <c r="AL117" s="17">
        <f>_xlfn.XLOOKUP($C117,TB_NG!$E:$E,TB_NG!AN:AN)</f>
        <v>0</v>
      </c>
      <c r="AM117" s="17">
        <f>_xlfn.XLOOKUP($C117,TB_NG!$E:$E,TB_NG!AO:AO)</f>
        <v>0</v>
      </c>
    </row>
    <row r="118" spans="2:39" hidden="1" outlineLevel="1" x14ac:dyDescent="0.2">
      <c r="B118" s="21">
        <f>_xlfn.XLOOKUP($C118,TB_NG!$E:$E,TB_NG!A:A)</f>
        <v>15200</v>
      </c>
      <c r="C118" s="16" t="s">
        <v>235</v>
      </c>
      <c r="D118" s="17">
        <f>_xlfn.XLOOKUP($C118,TB_NG!$E:$E,TB_NG!F:F)</f>
        <v>254750375.25999999</v>
      </c>
      <c r="E118" s="17">
        <f>_xlfn.XLOOKUP($C118,TB_NG!$E:$E,TB_NG!G:G)</f>
        <v>254750375.25999999</v>
      </c>
      <c r="F118" s="17">
        <f>_xlfn.XLOOKUP($C118,TB_NG!$E:$E,TB_NG!H:H)</f>
        <v>254750375.25999999</v>
      </c>
      <c r="G118" s="17">
        <f>_xlfn.XLOOKUP($C118,TB_NG!$E:$E,TB_NG!I:I)</f>
        <v>258638575.25999999</v>
      </c>
      <c r="H118" s="17">
        <f>_xlfn.XLOOKUP($C118,TB_NG!$E:$E,TB_NG!J:J)</f>
        <v>271567375.25999999</v>
      </c>
      <c r="I118" s="17">
        <f>_xlfn.XLOOKUP($C118,TB_NG!$E:$E,TB_NG!K:K)</f>
        <v>271567375.25999999</v>
      </c>
      <c r="J118" s="17">
        <f>_xlfn.XLOOKUP($C118,TB_NG!$E:$E,TB_NG!L:L)</f>
        <v>276163000.25999999</v>
      </c>
      <c r="K118" s="17">
        <f>_xlfn.XLOOKUP($C118,TB_NG!$E:$E,TB_NG!M:M)</f>
        <v>280188875.25999999</v>
      </c>
      <c r="L118" s="17">
        <f>_xlfn.XLOOKUP($C118,TB_NG!$E:$E,TB_NG!N:N)</f>
        <v>280188875.25999999</v>
      </c>
      <c r="M118" s="17">
        <f>_xlfn.XLOOKUP($C118,TB_NG!$E:$E,TB_NG!O:O)</f>
        <v>293110375.25999999</v>
      </c>
      <c r="N118" s="17">
        <f>_xlfn.XLOOKUP($C118,TB_NG!$E:$E,TB_NG!P:P)</f>
        <v>301179875.25999999</v>
      </c>
      <c r="O118" s="17">
        <f>_xlfn.XLOOKUP($C118,TB_NG!$E:$E,TB_NG!Q:Q)</f>
        <v>302982472.25999999</v>
      </c>
      <c r="P118" s="17">
        <f>_xlfn.XLOOKUP($C118,TB_NG!$E:$E,TB_NG!R:R)</f>
        <v>301799972.25999999</v>
      </c>
      <c r="Q118" s="17">
        <f>_xlfn.XLOOKUP($C118,TB_NG!$E:$E,TB_NG!S:S)</f>
        <v>316900706.66000003</v>
      </c>
      <c r="R118" s="17">
        <f>_xlfn.XLOOKUP($C118,TB_NG!$E:$E,TB_NG!T:T)</f>
        <v>316900706.66000003</v>
      </c>
      <c r="S118" s="17">
        <f>_xlfn.XLOOKUP($C118,TB_NG!$E:$E,TB_NG!U:U)</f>
        <v>316900706.66000003</v>
      </c>
      <c r="T118" s="17">
        <f>_xlfn.XLOOKUP($C118,TB_NG!$E:$E,TB_NG!V:V)</f>
        <v>316900706.66000003</v>
      </c>
      <c r="U118" s="17">
        <f>_xlfn.XLOOKUP($C118,TB_NG!$E:$E,TB_NG!W:W)</f>
        <v>316900706.66000003</v>
      </c>
      <c r="V118" s="17">
        <f>_xlfn.XLOOKUP($C118,TB_NG!$E:$E,TB_NG!X:X)</f>
        <v>319910706.66000003</v>
      </c>
      <c r="W118" s="17">
        <f>_xlfn.XLOOKUP($C118,TB_NG!$E:$E,TB_NG!Y:Y)</f>
        <v>326910706.66000003</v>
      </c>
      <c r="X118" s="17">
        <f>_xlfn.XLOOKUP($C118,TB_NG!$E:$E,TB_NG!Z:Z)</f>
        <v>326910706.66000003</v>
      </c>
      <c r="Y118" s="17">
        <f>_xlfn.XLOOKUP($C118,TB_NG!$E:$E,TB_NG!AA:AA)</f>
        <v>326910706.66000003</v>
      </c>
      <c r="Z118" s="17">
        <f>_xlfn.XLOOKUP($C118,TB_NG!$E:$E,TB_NG!AB:AB)</f>
        <v>340489606.66000003</v>
      </c>
      <c r="AA118" s="17">
        <f>_xlfn.XLOOKUP($C118,TB_NG!$E:$E,TB_NG!AC:AC)</f>
        <v>343338606.66000003</v>
      </c>
      <c r="AB118" s="17">
        <f>_xlfn.XLOOKUP($C118,TB_NG!$E:$E,TB_NG!AD:AD)</f>
        <v>345909006.66000003</v>
      </c>
      <c r="AC118" s="17">
        <f>_xlfn.XLOOKUP($C118,TB_NG!$E:$E,TB_NG!AE:AE)</f>
        <v>350267006.66000003</v>
      </c>
      <c r="AD118" s="17">
        <f>_xlfn.XLOOKUP($C118,TB_NG!$E:$E,TB_NG!AF:AF)</f>
        <v>367417006.66000003</v>
      </c>
      <c r="AE118" s="17">
        <f>_xlfn.XLOOKUP($C118,TB_NG!$E:$E,TB_NG!AG:AG)</f>
        <v>378277006.66000003</v>
      </c>
      <c r="AF118" s="17">
        <f>_xlfn.XLOOKUP($C118,TB_NG!$E:$E,TB_NG!AH:AH)</f>
        <v>0</v>
      </c>
      <c r="AG118" s="17">
        <f>_xlfn.XLOOKUP($C118,TB_NG!$E:$E,TB_NG!AI:AI)</f>
        <v>0</v>
      </c>
      <c r="AH118" s="17">
        <f>_xlfn.XLOOKUP($C118,TB_NG!$E:$E,TB_NG!AJ:AJ)</f>
        <v>0</v>
      </c>
      <c r="AI118" s="17">
        <f>_xlfn.XLOOKUP($C118,TB_NG!$E:$E,TB_NG!AK:AK)</f>
        <v>0</v>
      </c>
      <c r="AJ118" s="17">
        <f>_xlfn.XLOOKUP($C118,TB_NG!$E:$E,TB_NG!AL:AL)</f>
        <v>0</v>
      </c>
      <c r="AK118" s="17">
        <f>_xlfn.XLOOKUP($C118,TB_NG!$E:$E,TB_NG!AM:AM)</f>
        <v>0</v>
      </c>
      <c r="AL118" s="17">
        <f>_xlfn.XLOOKUP($C118,TB_NG!$E:$E,TB_NG!AN:AN)</f>
        <v>0</v>
      </c>
      <c r="AM118" s="17">
        <f>_xlfn.XLOOKUP($C118,TB_NG!$E:$E,TB_NG!AO:AO)</f>
        <v>0</v>
      </c>
    </row>
    <row r="119" spans="2:39" hidden="1" outlineLevel="1" x14ac:dyDescent="0.2">
      <c r="B119" s="21">
        <f>_xlfn.XLOOKUP($C119,TB_NG!$E:$E,TB_NG!A:A)</f>
        <v>15300</v>
      </c>
      <c r="C119" s="16" t="s">
        <v>236</v>
      </c>
      <c r="D119" s="17">
        <f>_xlfn.XLOOKUP($C119,TB_NG!$E:$E,TB_NG!F:F)</f>
        <v>16565780</v>
      </c>
      <c r="E119" s="17">
        <f>_xlfn.XLOOKUP($C119,TB_NG!$E:$E,TB_NG!G:G)</f>
        <v>16565780</v>
      </c>
      <c r="F119" s="17">
        <f>_xlfn.XLOOKUP($C119,TB_NG!$E:$E,TB_NG!H:H)</f>
        <v>16565780</v>
      </c>
      <c r="G119" s="17">
        <f>_xlfn.XLOOKUP($C119,TB_NG!$E:$E,TB_NG!I:I)</f>
        <v>16565780</v>
      </c>
      <c r="H119" s="17">
        <f>_xlfn.XLOOKUP($C119,TB_NG!$E:$E,TB_NG!J:J)</f>
        <v>17087942.25</v>
      </c>
      <c r="I119" s="17">
        <f>_xlfn.XLOOKUP($C119,TB_NG!$E:$E,TB_NG!K:K)</f>
        <v>17087942.25</v>
      </c>
      <c r="J119" s="17">
        <f>_xlfn.XLOOKUP($C119,TB_NG!$E:$E,TB_NG!L:L)</f>
        <v>17087942.25</v>
      </c>
      <c r="K119" s="17">
        <f>_xlfn.XLOOKUP($C119,TB_NG!$E:$E,TB_NG!M:M)</f>
        <v>17087942.25</v>
      </c>
      <c r="L119" s="17">
        <f>_xlfn.XLOOKUP($C119,TB_NG!$E:$E,TB_NG!N:N)</f>
        <v>17087942.25</v>
      </c>
      <c r="M119" s="17">
        <f>_xlfn.XLOOKUP($C119,TB_NG!$E:$E,TB_NG!O:O)</f>
        <v>17087942.25</v>
      </c>
      <c r="N119" s="17">
        <f>_xlfn.XLOOKUP($C119,TB_NG!$E:$E,TB_NG!P:P)</f>
        <v>17087942.25</v>
      </c>
      <c r="O119" s="17">
        <f>_xlfn.XLOOKUP($C119,TB_NG!$E:$E,TB_NG!Q:Q)</f>
        <v>16565780.25</v>
      </c>
      <c r="P119" s="17">
        <f>_xlfn.XLOOKUP($C119,TB_NG!$E:$E,TB_NG!R:R)</f>
        <v>16565780.25</v>
      </c>
      <c r="Q119" s="17">
        <f>_xlfn.XLOOKUP($C119,TB_NG!$E:$E,TB_NG!S:S)</f>
        <v>16565780.25</v>
      </c>
      <c r="R119" s="17">
        <f>_xlfn.XLOOKUP($C119,TB_NG!$E:$E,TB_NG!T:T)</f>
        <v>16565780.25</v>
      </c>
      <c r="S119" s="17">
        <f>_xlfn.XLOOKUP($C119,TB_NG!$E:$E,TB_NG!U:U)</f>
        <v>16565780.25</v>
      </c>
      <c r="T119" s="17">
        <f>_xlfn.XLOOKUP($C119,TB_NG!$E:$E,TB_NG!V:V)</f>
        <v>17185780.25</v>
      </c>
      <c r="U119" s="17">
        <f>_xlfn.XLOOKUP($C119,TB_NG!$E:$E,TB_NG!W:W)</f>
        <v>17185780.25</v>
      </c>
      <c r="V119" s="17">
        <f>_xlfn.XLOOKUP($C119,TB_NG!$E:$E,TB_NG!X:X)</f>
        <v>25280780.25</v>
      </c>
      <c r="W119" s="17">
        <f>_xlfn.XLOOKUP($C119,TB_NG!$E:$E,TB_NG!Y:Y)</f>
        <v>25560780.25</v>
      </c>
      <c r="X119" s="17">
        <f>_xlfn.XLOOKUP($C119,TB_NG!$E:$E,TB_NG!Z:Z)</f>
        <v>25560780.25</v>
      </c>
      <c r="Y119" s="17">
        <f>_xlfn.XLOOKUP($C119,TB_NG!$E:$E,TB_NG!AA:AA)</f>
        <v>25560780.25</v>
      </c>
      <c r="Z119" s="17">
        <f>_xlfn.XLOOKUP($C119,TB_NG!$E:$E,TB_NG!AB:AB)</f>
        <v>25560780.25</v>
      </c>
      <c r="AA119" s="17">
        <f>_xlfn.XLOOKUP($C119,TB_NG!$E:$E,TB_NG!AC:AC)</f>
        <v>25560780.25</v>
      </c>
      <c r="AB119" s="17">
        <f>_xlfn.XLOOKUP($C119,TB_NG!$E:$E,TB_NG!AD:AD)</f>
        <v>25560780.25</v>
      </c>
      <c r="AC119" s="17">
        <f>_xlfn.XLOOKUP($C119,TB_NG!$E:$E,TB_NG!AE:AE)</f>
        <v>26275780.25</v>
      </c>
      <c r="AD119" s="17">
        <f>_xlfn.XLOOKUP($C119,TB_NG!$E:$E,TB_NG!AF:AF)</f>
        <v>26275780.25</v>
      </c>
      <c r="AE119" s="17">
        <f>_xlfn.XLOOKUP($C119,TB_NG!$E:$E,TB_NG!AG:AG)</f>
        <v>28200780.25</v>
      </c>
      <c r="AF119" s="17">
        <f>_xlfn.XLOOKUP($C119,TB_NG!$E:$E,TB_NG!AH:AH)</f>
        <v>0</v>
      </c>
      <c r="AG119" s="17">
        <f>_xlfn.XLOOKUP($C119,TB_NG!$E:$E,TB_NG!AI:AI)</f>
        <v>0</v>
      </c>
      <c r="AH119" s="17">
        <f>_xlfn.XLOOKUP($C119,TB_NG!$E:$E,TB_NG!AJ:AJ)</f>
        <v>0</v>
      </c>
      <c r="AI119" s="17">
        <f>_xlfn.XLOOKUP($C119,TB_NG!$E:$E,TB_NG!AK:AK)</f>
        <v>0</v>
      </c>
      <c r="AJ119" s="17">
        <f>_xlfn.XLOOKUP($C119,TB_NG!$E:$E,TB_NG!AL:AL)</f>
        <v>0</v>
      </c>
      <c r="AK119" s="17">
        <f>_xlfn.XLOOKUP($C119,TB_NG!$E:$E,TB_NG!AM:AM)</f>
        <v>0</v>
      </c>
      <c r="AL119" s="17">
        <f>_xlfn.XLOOKUP($C119,TB_NG!$E:$E,TB_NG!AN:AN)</f>
        <v>0</v>
      </c>
      <c r="AM119" s="17">
        <f>_xlfn.XLOOKUP($C119,TB_NG!$E:$E,TB_NG!AO:AO)</f>
        <v>0</v>
      </c>
    </row>
    <row r="120" spans="2:39" hidden="1" outlineLevel="1" x14ac:dyDescent="0.2">
      <c r="B120" s="21">
        <f>_xlfn.XLOOKUP($C120,TB_NG!$E:$E,TB_NG!A:A)</f>
        <v>15400</v>
      </c>
      <c r="C120" s="16" t="s">
        <v>237</v>
      </c>
      <c r="D120" s="17">
        <f>_xlfn.XLOOKUP($C120,TB_NG!$E:$E,TB_NG!F:F)</f>
        <v>174166123.81</v>
      </c>
      <c r="E120" s="17">
        <f>_xlfn.XLOOKUP($C120,TB_NG!$E:$E,TB_NG!G:G)</f>
        <v>174166123.81</v>
      </c>
      <c r="F120" s="17">
        <f>_xlfn.XLOOKUP($C120,TB_NG!$E:$E,TB_NG!H:H)</f>
        <v>174166123.81</v>
      </c>
      <c r="G120" s="17">
        <f>_xlfn.XLOOKUP($C120,TB_NG!$E:$E,TB_NG!I:I)</f>
        <v>174166123.81</v>
      </c>
      <c r="H120" s="17">
        <f>_xlfn.XLOOKUP($C120,TB_NG!$E:$E,TB_NG!J:J)</f>
        <v>174166123.81</v>
      </c>
      <c r="I120" s="17">
        <f>_xlfn.XLOOKUP($C120,TB_NG!$E:$E,TB_NG!K:K)</f>
        <v>174166123.81</v>
      </c>
      <c r="J120" s="17">
        <f>_xlfn.XLOOKUP($C120,TB_NG!$E:$E,TB_NG!L:L)</f>
        <v>174166123.81</v>
      </c>
      <c r="K120" s="17">
        <f>_xlfn.XLOOKUP($C120,TB_NG!$E:$E,TB_NG!M:M)</f>
        <v>174166123.81</v>
      </c>
      <c r="L120" s="17">
        <f>_xlfn.XLOOKUP($C120,TB_NG!$E:$E,TB_NG!N:N)</f>
        <v>174166123.81</v>
      </c>
      <c r="M120" s="17">
        <f>_xlfn.XLOOKUP($C120,TB_NG!$E:$E,TB_NG!O:O)</f>
        <v>174166123.81</v>
      </c>
      <c r="N120" s="17">
        <f>_xlfn.XLOOKUP($C120,TB_NG!$E:$E,TB_NG!P:P)</f>
        <v>174166123.81</v>
      </c>
      <c r="O120" s="17">
        <f>_xlfn.XLOOKUP($C120,TB_NG!$E:$E,TB_NG!Q:Q)</f>
        <v>179350495.81</v>
      </c>
      <c r="P120" s="17">
        <f>_xlfn.XLOOKUP($C120,TB_NG!$E:$E,TB_NG!R:R)</f>
        <v>179350495.81</v>
      </c>
      <c r="Q120" s="17">
        <f>_xlfn.XLOOKUP($C120,TB_NG!$E:$E,TB_NG!S:S)</f>
        <v>179350495.81</v>
      </c>
      <c r="R120" s="17">
        <f>_xlfn.XLOOKUP($C120,TB_NG!$E:$E,TB_NG!T:T)</f>
        <v>179350495.81</v>
      </c>
      <c r="S120" s="17">
        <f>_xlfn.XLOOKUP($C120,TB_NG!$E:$E,TB_NG!U:U)</f>
        <v>179350495.81</v>
      </c>
      <c r="T120" s="17">
        <f>_xlfn.XLOOKUP($C120,TB_NG!$E:$E,TB_NG!V:V)</f>
        <v>179350495.81</v>
      </c>
      <c r="U120" s="17">
        <f>_xlfn.XLOOKUP($C120,TB_NG!$E:$E,TB_NG!W:W)</f>
        <v>179350495.81</v>
      </c>
      <c r="V120" s="17">
        <f>_xlfn.XLOOKUP($C120,TB_NG!$E:$E,TB_NG!X:X)</f>
        <v>179350495.81</v>
      </c>
      <c r="W120" s="17">
        <f>_xlfn.XLOOKUP($C120,TB_NG!$E:$E,TB_NG!Y:Y)</f>
        <v>179350495.81</v>
      </c>
      <c r="X120" s="17">
        <f>_xlfn.XLOOKUP($C120,TB_NG!$E:$E,TB_NG!Z:Z)</f>
        <v>179350495.81</v>
      </c>
      <c r="Y120" s="17">
        <f>_xlfn.XLOOKUP($C120,TB_NG!$E:$E,TB_NG!AA:AA)</f>
        <v>179350495.81</v>
      </c>
      <c r="Z120" s="17">
        <f>_xlfn.XLOOKUP($C120,TB_NG!$E:$E,TB_NG!AB:AB)</f>
        <v>179350495.81</v>
      </c>
      <c r="AA120" s="17">
        <f>_xlfn.XLOOKUP($C120,TB_NG!$E:$E,TB_NG!AC:AC)</f>
        <v>179350495.81</v>
      </c>
      <c r="AB120" s="17">
        <f>_xlfn.XLOOKUP($C120,TB_NG!$E:$E,TB_NG!AD:AD)</f>
        <v>186936657.31</v>
      </c>
      <c r="AC120" s="17">
        <f>_xlfn.XLOOKUP($C120,TB_NG!$E:$E,TB_NG!AE:AE)</f>
        <v>186936657.31</v>
      </c>
      <c r="AD120" s="17">
        <f>_xlfn.XLOOKUP($C120,TB_NG!$E:$E,TB_NG!AF:AF)</f>
        <v>186936657.31</v>
      </c>
      <c r="AE120" s="17">
        <f>_xlfn.XLOOKUP($C120,TB_NG!$E:$E,TB_NG!AG:AG)</f>
        <v>188782657.31</v>
      </c>
      <c r="AF120" s="17">
        <f>_xlfn.XLOOKUP($C120,TB_NG!$E:$E,TB_NG!AH:AH)</f>
        <v>0</v>
      </c>
      <c r="AG120" s="17">
        <f>_xlfn.XLOOKUP($C120,TB_NG!$E:$E,TB_NG!AI:AI)</f>
        <v>0</v>
      </c>
      <c r="AH120" s="17">
        <f>_xlfn.XLOOKUP($C120,TB_NG!$E:$E,TB_NG!AJ:AJ)</f>
        <v>0</v>
      </c>
      <c r="AI120" s="17">
        <f>_xlfn.XLOOKUP($C120,TB_NG!$E:$E,TB_NG!AK:AK)</f>
        <v>0</v>
      </c>
      <c r="AJ120" s="17">
        <f>_xlfn.XLOOKUP($C120,TB_NG!$E:$E,TB_NG!AL:AL)</f>
        <v>0</v>
      </c>
      <c r="AK120" s="17">
        <f>_xlfn.XLOOKUP($C120,TB_NG!$E:$E,TB_NG!AM:AM)</f>
        <v>0</v>
      </c>
      <c r="AL120" s="17">
        <f>_xlfn.XLOOKUP($C120,TB_NG!$E:$E,TB_NG!AN:AN)</f>
        <v>0</v>
      </c>
      <c r="AM120" s="17">
        <f>_xlfn.XLOOKUP($C120,TB_NG!$E:$E,TB_NG!AO:AO)</f>
        <v>0</v>
      </c>
    </row>
    <row r="121" spans="2:39" hidden="1" outlineLevel="1" x14ac:dyDescent="0.2">
      <c r="B121" s="21">
        <f>_xlfn.XLOOKUP($C121,TB_NG!$E:$E,TB_NG!A:A)</f>
        <v>15405</v>
      </c>
      <c r="C121" s="16" t="s">
        <v>238</v>
      </c>
      <c r="D121" s="17">
        <f>_xlfn.XLOOKUP($C121,TB_NG!$E:$E,TB_NG!F:F)</f>
        <v>17904365.100000001</v>
      </c>
      <c r="E121" s="17">
        <f>_xlfn.XLOOKUP($C121,TB_NG!$E:$E,TB_NG!G:G)</f>
        <v>17904365.100000001</v>
      </c>
      <c r="F121" s="17">
        <f>_xlfn.XLOOKUP($C121,TB_NG!$E:$E,TB_NG!H:H)</f>
        <v>17904365.100000001</v>
      </c>
      <c r="G121" s="17">
        <f>_xlfn.XLOOKUP($C121,TB_NG!$E:$E,TB_NG!I:I)</f>
        <v>17904365.100000001</v>
      </c>
      <c r="H121" s="17">
        <f>_xlfn.XLOOKUP($C121,TB_NG!$E:$E,TB_NG!J:J)</f>
        <v>17904365.100000001</v>
      </c>
      <c r="I121" s="17">
        <f>_xlfn.XLOOKUP($C121,TB_NG!$E:$E,TB_NG!K:K)</f>
        <v>17904365.100000001</v>
      </c>
      <c r="J121" s="17">
        <f>_xlfn.XLOOKUP($C121,TB_NG!$E:$E,TB_NG!L:L)</f>
        <v>17904365.100000001</v>
      </c>
      <c r="K121" s="17">
        <f>_xlfn.XLOOKUP($C121,TB_NG!$E:$E,TB_NG!M:M)</f>
        <v>17904365.100000001</v>
      </c>
      <c r="L121" s="17">
        <f>_xlfn.XLOOKUP($C121,TB_NG!$E:$E,TB_NG!N:N)</f>
        <v>17904365.100000001</v>
      </c>
      <c r="M121" s="17">
        <f>_xlfn.XLOOKUP($C121,TB_NG!$E:$E,TB_NG!O:O)</f>
        <v>17904365.100000001</v>
      </c>
      <c r="N121" s="17">
        <f>_xlfn.XLOOKUP($C121,TB_NG!$E:$E,TB_NG!P:P)</f>
        <v>17904365.100000001</v>
      </c>
      <c r="O121" s="17">
        <f>_xlfn.XLOOKUP($C121,TB_NG!$E:$E,TB_NG!Q:Q)</f>
        <v>17904365.100000001</v>
      </c>
      <c r="P121" s="17">
        <f>_xlfn.XLOOKUP($C121,TB_NG!$E:$E,TB_NG!R:R)</f>
        <v>17904365.100000001</v>
      </c>
      <c r="Q121" s="17">
        <f>_xlfn.XLOOKUP($C121,TB_NG!$E:$E,TB_NG!S:S)</f>
        <v>17904365.100000001</v>
      </c>
      <c r="R121" s="17">
        <f>_xlfn.XLOOKUP($C121,TB_NG!$E:$E,TB_NG!T:T)</f>
        <v>17904365.100000001</v>
      </c>
      <c r="S121" s="17">
        <f>_xlfn.XLOOKUP($C121,TB_NG!$E:$E,TB_NG!U:U)</f>
        <v>17904365.100000001</v>
      </c>
      <c r="T121" s="17">
        <f>_xlfn.XLOOKUP($C121,TB_NG!$E:$E,TB_NG!V:V)</f>
        <v>17904365.100000001</v>
      </c>
      <c r="U121" s="17">
        <f>_xlfn.XLOOKUP($C121,TB_NG!$E:$E,TB_NG!W:W)</f>
        <v>17904365.100000001</v>
      </c>
      <c r="V121" s="17">
        <f>_xlfn.XLOOKUP($C121,TB_NG!$E:$E,TB_NG!X:X)</f>
        <v>17904365.100000001</v>
      </c>
      <c r="W121" s="17">
        <f>_xlfn.XLOOKUP($C121,TB_NG!$E:$E,TB_NG!Y:Y)</f>
        <v>17904365.100000001</v>
      </c>
      <c r="X121" s="17">
        <f>_xlfn.XLOOKUP($C121,TB_NG!$E:$E,TB_NG!Z:Z)</f>
        <v>17904365.100000001</v>
      </c>
      <c r="Y121" s="17">
        <f>_xlfn.XLOOKUP($C121,TB_NG!$E:$E,TB_NG!AA:AA)</f>
        <v>17904365.100000001</v>
      </c>
      <c r="Z121" s="17">
        <f>_xlfn.XLOOKUP($C121,TB_NG!$E:$E,TB_NG!AB:AB)</f>
        <v>17904365.100000001</v>
      </c>
      <c r="AA121" s="17">
        <f>_xlfn.XLOOKUP($C121,TB_NG!$E:$E,TB_NG!AC:AC)</f>
        <v>17904365.100000001</v>
      </c>
      <c r="AB121" s="17">
        <f>_xlfn.XLOOKUP($C121,TB_NG!$E:$E,TB_NG!AD:AD)</f>
        <v>0</v>
      </c>
      <c r="AC121" s="17">
        <f>_xlfn.XLOOKUP($C121,TB_NG!$E:$E,TB_NG!AE:AE)</f>
        <v>0</v>
      </c>
      <c r="AD121" s="17">
        <f>_xlfn.XLOOKUP($C121,TB_NG!$E:$E,TB_NG!AF:AF)</f>
        <v>0</v>
      </c>
      <c r="AE121" s="17">
        <f>_xlfn.XLOOKUP($C121,TB_NG!$E:$E,TB_NG!AG:AG)</f>
        <v>0</v>
      </c>
      <c r="AF121" s="17">
        <f>_xlfn.XLOOKUP($C121,TB_NG!$E:$E,TB_NG!AH:AH)</f>
        <v>0</v>
      </c>
      <c r="AG121" s="17">
        <f>_xlfn.XLOOKUP($C121,TB_NG!$E:$E,TB_NG!AI:AI)</f>
        <v>0</v>
      </c>
      <c r="AH121" s="17">
        <f>_xlfn.XLOOKUP($C121,TB_NG!$E:$E,TB_NG!AJ:AJ)</f>
        <v>0</v>
      </c>
      <c r="AI121" s="17">
        <f>_xlfn.XLOOKUP($C121,TB_NG!$E:$E,TB_NG!AK:AK)</f>
        <v>0</v>
      </c>
      <c r="AJ121" s="17">
        <f>_xlfn.XLOOKUP($C121,TB_NG!$E:$E,TB_NG!AL:AL)</f>
        <v>0</v>
      </c>
      <c r="AK121" s="17">
        <f>_xlfn.XLOOKUP($C121,TB_NG!$E:$E,TB_NG!AM:AM)</f>
        <v>0</v>
      </c>
      <c r="AL121" s="17">
        <f>_xlfn.XLOOKUP($C121,TB_NG!$E:$E,TB_NG!AN:AN)</f>
        <v>0</v>
      </c>
      <c r="AM121" s="17">
        <f>_xlfn.XLOOKUP($C121,TB_NG!$E:$E,TB_NG!AO:AO)</f>
        <v>0</v>
      </c>
    </row>
    <row r="122" spans="2:39" hidden="1" outlineLevel="1" x14ac:dyDescent="0.2">
      <c r="B122" s="21">
        <f>_xlfn.XLOOKUP($C122,TB_NG!$E:$E,TB_NG!A:A)</f>
        <v>15410</v>
      </c>
      <c r="C122" s="16" t="s">
        <v>239</v>
      </c>
      <c r="D122" s="17">
        <f>_xlfn.XLOOKUP($C122,TB_NG!$E:$E,TB_NG!F:F)</f>
        <v>2410161.5</v>
      </c>
      <c r="E122" s="17">
        <f>_xlfn.XLOOKUP($C122,TB_NG!$E:$E,TB_NG!G:G)</f>
        <v>2410161.5</v>
      </c>
      <c r="F122" s="17">
        <f>_xlfn.XLOOKUP($C122,TB_NG!$E:$E,TB_NG!H:H)</f>
        <v>2410161.5</v>
      </c>
      <c r="G122" s="17">
        <f>_xlfn.XLOOKUP($C122,TB_NG!$E:$E,TB_NG!I:I)</f>
        <v>2410161.5</v>
      </c>
      <c r="H122" s="17">
        <f>_xlfn.XLOOKUP($C122,TB_NG!$E:$E,TB_NG!J:J)</f>
        <v>2410161.5</v>
      </c>
      <c r="I122" s="17">
        <f>_xlfn.XLOOKUP($C122,TB_NG!$E:$E,TB_NG!K:K)</f>
        <v>2410161.5</v>
      </c>
      <c r="J122" s="17">
        <f>_xlfn.XLOOKUP($C122,TB_NG!$E:$E,TB_NG!L:L)</f>
        <v>2410161.5</v>
      </c>
      <c r="K122" s="17">
        <f>_xlfn.XLOOKUP($C122,TB_NG!$E:$E,TB_NG!M:M)</f>
        <v>2410161.5</v>
      </c>
      <c r="L122" s="17">
        <f>_xlfn.XLOOKUP($C122,TB_NG!$E:$E,TB_NG!N:N)</f>
        <v>2410161.5</v>
      </c>
      <c r="M122" s="17">
        <f>_xlfn.XLOOKUP($C122,TB_NG!$E:$E,TB_NG!O:O)</f>
        <v>2410161.5</v>
      </c>
      <c r="N122" s="17">
        <f>_xlfn.XLOOKUP($C122,TB_NG!$E:$E,TB_NG!P:P)</f>
        <v>2410161.5</v>
      </c>
      <c r="O122" s="17">
        <f>_xlfn.XLOOKUP($C122,TB_NG!$E:$E,TB_NG!Q:Q)</f>
        <v>2410161.5</v>
      </c>
      <c r="P122" s="17">
        <f>_xlfn.XLOOKUP($C122,TB_NG!$E:$E,TB_NG!R:R)</f>
        <v>2410161.5</v>
      </c>
      <c r="Q122" s="17">
        <f>_xlfn.XLOOKUP($C122,TB_NG!$E:$E,TB_NG!S:S)</f>
        <v>2410161.5</v>
      </c>
      <c r="R122" s="17">
        <f>_xlfn.XLOOKUP($C122,TB_NG!$E:$E,TB_NG!T:T)</f>
        <v>2410161.5</v>
      </c>
      <c r="S122" s="17">
        <f>_xlfn.XLOOKUP($C122,TB_NG!$E:$E,TB_NG!U:U)</f>
        <v>2410161.5</v>
      </c>
      <c r="T122" s="17">
        <f>_xlfn.XLOOKUP($C122,TB_NG!$E:$E,TB_NG!V:V)</f>
        <v>2410161.5</v>
      </c>
      <c r="U122" s="17">
        <f>_xlfn.XLOOKUP($C122,TB_NG!$E:$E,TB_NG!W:W)</f>
        <v>2410161.5</v>
      </c>
      <c r="V122" s="17">
        <f>_xlfn.XLOOKUP($C122,TB_NG!$E:$E,TB_NG!X:X)</f>
        <v>2410161.5</v>
      </c>
      <c r="W122" s="17">
        <f>_xlfn.XLOOKUP($C122,TB_NG!$E:$E,TB_NG!Y:Y)</f>
        <v>4414161.5</v>
      </c>
      <c r="X122" s="17">
        <f>_xlfn.XLOOKUP($C122,TB_NG!$E:$E,TB_NG!Z:Z)</f>
        <v>4514161.5</v>
      </c>
      <c r="Y122" s="17">
        <f>_xlfn.XLOOKUP($C122,TB_NG!$E:$E,TB_NG!AA:AA)</f>
        <v>4514161.5</v>
      </c>
      <c r="Z122" s="17">
        <f>_xlfn.XLOOKUP($C122,TB_NG!$E:$E,TB_NG!AB:AB)</f>
        <v>4514161.5</v>
      </c>
      <c r="AA122" s="17">
        <f>_xlfn.XLOOKUP($C122,TB_NG!$E:$E,TB_NG!AC:AC)</f>
        <v>4514161.5</v>
      </c>
      <c r="AB122" s="17">
        <f>_xlfn.XLOOKUP($C122,TB_NG!$E:$E,TB_NG!AD:AD)</f>
        <v>0</v>
      </c>
      <c r="AC122" s="17">
        <f>_xlfn.XLOOKUP($C122,TB_NG!$E:$E,TB_NG!AE:AE)</f>
        <v>0</v>
      </c>
      <c r="AD122" s="17">
        <f>_xlfn.XLOOKUP($C122,TB_NG!$E:$E,TB_NG!AF:AF)</f>
        <v>0</v>
      </c>
      <c r="AE122" s="17">
        <f>_xlfn.XLOOKUP($C122,TB_NG!$E:$E,TB_NG!AG:AG)</f>
        <v>0</v>
      </c>
      <c r="AF122" s="17">
        <f>_xlfn.XLOOKUP($C122,TB_NG!$E:$E,TB_NG!AH:AH)</f>
        <v>0</v>
      </c>
      <c r="AG122" s="17">
        <f>_xlfn.XLOOKUP($C122,TB_NG!$E:$E,TB_NG!AI:AI)</f>
        <v>0</v>
      </c>
      <c r="AH122" s="17">
        <f>_xlfn.XLOOKUP($C122,TB_NG!$E:$E,TB_NG!AJ:AJ)</f>
        <v>0</v>
      </c>
      <c r="AI122" s="17">
        <f>_xlfn.XLOOKUP($C122,TB_NG!$E:$E,TB_NG!AK:AK)</f>
        <v>0</v>
      </c>
      <c r="AJ122" s="17">
        <f>_xlfn.XLOOKUP($C122,TB_NG!$E:$E,TB_NG!AL:AL)</f>
        <v>0</v>
      </c>
      <c r="AK122" s="17">
        <f>_xlfn.XLOOKUP($C122,TB_NG!$E:$E,TB_NG!AM:AM)</f>
        <v>0</v>
      </c>
      <c r="AL122" s="17">
        <f>_xlfn.XLOOKUP($C122,TB_NG!$E:$E,TB_NG!AN:AN)</f>
        <v>0</v>
      </c>
      <c r="AM122" s="17">
        <f>_xlfn.XLOOKUP($C122,TB_NG!$E:$E,TB_NG!AO:AO)</f>
        <v>0</v>
      </c>
    </row>
    <row r="123" spans="2:39" hidden="1" outlineLevel="1" x14ac:dyDescent="0.2">
      <c r="B123" s="21">
        <f>_xlfn.XLOOKUP($C123,TB_NG!$E:$E,TB_NG!A:A)</f>
        <v>15600</v>
      </c>
      <c r="C123" s="16" t="s">
        <v>240</v>
      </c>
      <c r="D123" s="17">
        <f>_xlfn.XLOOKUP($C123,TB_NG!$E:$E,TB_NG!F:F)</f>
        <v>0</v>
      </c>
      <c r="E123" s="17">
        <f>_xlfn.XLOOKUP($C123,TB_NG!$E:$E,TB_NG!G:G)</f>
        <v>0</v>
      </c>
      <c r="F123" s="17">
        <f>_xlfn.XLOOKUP($C123,TB_NG!$E:$E,TB_NG!H:H)</f>
        <v>0</v>
      </c>
      <c r="G123" s="17">
        <f>_xlfn.XLOOKUP($C123,TB_NG!$E:$E,TB_NG!I:I)</f>
        <v>0</v>
      </c>
      <c r="H123" s="17">
        <f>_xlfn.XLOOKUP($C123,TB_NG!$E:$E,TB_NG!J:J)</f>
        <v>0</v>
      </c>
      <c r="I123" s="17">
        <f>_xlfn.XLOOKUP($C123,TB_NG!$E:$E,TB_NG!K:K)</f>
        <v>0</v>
      </c>
      <c r="J123" s="17">
        <f>_xlfn.XLOOKUP($C123,TB_NG!$E:$E,TB_NG!L:L)</f>
        <v>0</v>
      </c>
      <c r="K123" s="17">
        <f>_xlfn.XLOOKUP($C123,TB_NG!$E:$E,TB_NG!M:M)</f>
        <v>0</v>
      </c>
      <c r="L123" s="17">
        <f>_xlfn.XLOOKUP($C123,TB_NG!$E:$E,TB_NG!N:N)</f>
        <v>0</v>
      </c>
      <c r="M123" s="17">
        <f>_xlfn.XLOOKUP($C123,TB_NG!$E:$E,TB_NG!O:O)</f>
        <v>0</v>
      </c>
      <c r="N123" s="17">
        <f>_xlfn.XLOOKUP($C123,TB_NG!$E:$E,TB_NG!P:P)</f>
        <v>0</v>
      </c>
      <c r="O123" s="17">
        <f>_xlfn.XLOOKUP($C123,TB_NG!$E:$E,TB_NG!Q:Q)</f>
        <v>0</v>
      </c>
      <c r="P123" s="17">
        <f>_xlfn.XLOOKUP($C123,TB_NG!$E:$E,TB_NG!R:R)</f>
        <v>0</v>
      </c>
      <c r="Q123" s="17">
        <f>_xlfn.XLOOKUP($C123,TB_NG!$E:$E,TB_NG!S:S)</f>
        <v>0</v>
      </c>
      <c r="R123" s="17">
        <f>_xlfn.XLOOKUP($C123,TB_NG!$E:$E,TB_NG!T:T)</f>
        <v>0</v>
      </c>
      <c r="S123" s="17">
        <f>_xlfn.XLOOKUP($C123,TB_NG!$E:$E,TB_NG!U:U)</f>
        <v>0</v>
      </c>
      <c r="T123" s="17">
        <f>_xlfn.XLOOKUP($C123,TB_NG!$E:$E,TB_NG!V:V)</f>
        <v>0</v>
      </c>
      <c r="U123" s="17">
        <f>_xlfn.XLOOKUP($C123,TB_NG!$E:$E,TB_NG!W:W)</f>
        <v>0</v>
      </c>
      <c r="V123" s="17">
        <f>_xlfn.XLOOKUP($C123,TB_NG!$E:$E,TB_NG!X:X)</f>
        <v>0</v>
      </c>
      <c r="W123" s="17">
        <f>_xlfn.XLOOKUP($C123,TB_NG!$E:$E,TB_NG!Y:Y)</f>
        <v>0</v>
      </c>
      <c r="X123" s="17">
        <f>_xlfn.XLOOKUP($C123,TB_NG!$E:$E,TB_NG!Z:Z)</f>
        <v>0</v>
      </c>
      <c r="Y123" s="17">
        <f>_xlfn.XLOOKUP($C123,TB_NG!$E:$E,TB_NG!AA:AA)</f>
        <v>0</v>
      </c>
      <c r="Z123" s="17">
        <f>_xlfn.XLOOKUP($C123,TB_NG!$E:$E,TB_NG!AB:AB)</f>
        <v>0</v>
      </c>
      <c r="AA123" s="17">
        <f>_xlfn.XLOOKUP($C123,TB_NG!$E:$E,TB_NG!AC:AC)</f>
        <v>0</v>
      </c>
      <c r="AB123" s="17">
        <f>_xlfn.XLOOKUP($C123,TB_NG!$E:$E,TB_NG!AD:AD)</f>
        <v>0</v>
      </c>
      <c r="AC123" s="17">
        <f>_xlfn.XLOOKUP($C123,TB_NG!$E:$E,TB_NG!AE:AE)</f>
        <v>0</v>
      </c>
      <c r="AD123" s="17">
        <f>_xlfn.XLOOKUP($C123,TB_NG!$E:$E,TB_NG!AF:AF)</f>
        <v>0</v>
      </c>
      <c r="AE123" s="17">
        <f>_xlfn.XLOOKUP($C123,TB_NG!$E:$E,TB_NG!AG:AG)</f>
        <v>0</v>
      </c>
      <c r="AF123" s="17">
        <f>_xlfn.XLOOKUP($C123,TB_NG!$E:$E,TB_NG!AH:AH)</f>
        <v>0</v>
      </c>
      <c r="AG123" s="17">
        <f>_xlfn.XLOOKUP($C123,TB_NG!$E:$E,TB_NG!AI:AI)</f>
        <v>0</v>
      </c>
      <c r="AH123" s="17">
        <f>_xlfn.XLOOKUP($C123,TB_NG!$E:$E,TB_NG!AJ:AJ)</f>
        <v>0</v>
      </c>
      <c r="AI123" s="17">
        <f>_xlfn.XLOOKUP($C123,TB_NG!$E:$E,TB_NG!AK:AK)</f>
        <v>0</v>
      </c>
      <c r="AJ123" s="17">
        <f>_xlfn.XLOOKUP($C123,TB_NG!$E:$E,TB_NG!AL:AL)</f>
        <v>0</v>
      </c>
      <c r="AK123" s="17">
        <f>_xlfn.XLOOKUP($C123,TB_NG!$E:$E,TB_NG!AM:AM)</f>
        <v>0</v>
      </c>
      <c r="AL123" s="17">
        <f>_xlfn.XLOOKUP($C123,TB_NG!$E:$E,TB_NG!AN:AN)</f>
        <v>0</v>
      </c>
      <c r="AM123" s="17">
        <f>_xlfn.XLOOKUP($C123,TB_NG!$E:$E,TB_NG!AO:AO)</f>
        <v>0</v>
      </c>
    </row>
    <row r="124" spans="2:39" hidden="1" outlineLevel="1" x14ac:dyDescent="0.2">
      <c r="B124" s="21">
        <f>_xlfn.XLOOKUP($C124,TB_NG!$E:$E,TB_NG!A:A)</f>
        <v>15999</v>
      </c>
      <c r="C124" s="16" t="s">
        <v>241</v>
      </c>
      <c r="D124" s="17">
        <f>_xlfn.XLOOKUP($C124,TB_NG!$E:$E,TB_NG!F:F)</f>
        <v>0</v>
      </c>
      <c r="E124" s="17">
        <f>_xlfn.XLOOKUP($C124,TB_NG!$E:$E,TB_NG!G:G)</f>
        <v>0</v>
      </c>
      <c r="F124" s="17">
        <f>_xlfn.XLOOKUP($C124,TB_NG!$E:$E,TB_NG!H:H)</f>
        <v>0</v>
      </c>
      <c r="G124" s="17">
        <f>_xlfn.XLOOKUP($C124,TB_NG!$E:$E,TB_NG!I:I)</f>
        <v>0</v>
      </c>
      <c r="H124" s="17">
        <f>_xlfn.XLOOKUP($C124,TB_NG!$E:$E,TB_NG!J:J)</f>
        <v>0</v>
      </c>
      <c r="I124" s="17">
        <f>_xlfn.XLOOKUP($C124,TB_NG!$E:$E,TB_NG!K:K)</f>
        <v>0</v>
      </c>
      <c r="J124" s="17">
        <f>_xlfn.XLOOKUP($C124,TB_NG!$E:$E,TB_NG!L:L)</f>
        <v>0</v>
      </c>
      <c r="K124" s="17">
        <f>_xlfn.XLOOKUP($C124,TB_NG!$E:$E,TB_NG!M:M)</f>
        <v>0</v>
      </c>
      <c r="L124" s="17">
        <f>_xlfn.XLOOKUP($C124,TB_NG!$E:$E,TB_NG!N:N)</f>
        <v>0</v>
      </c>
      <c r="M124" s="17">
        <f>_xlfn.XLOOKUP($C124,TB_NG!$E:$E,TB_NG!O:O)</f>
        <v>0</v>
      </c>
      <c r="N124" s="17">
        <f>_xlfn.XLOOKUP($C124,TB_NG!$E:$E,TB_NG!P:P)</f>
        <v>0</v>
      </c>
      <c r="O124" s="17">
        <f>_xlfn.XLOOKUP($C124,TB_NG!$E:$E,TB_NG!Q:Q)</f>
        <v>0</v>
      </c>
      <c r="P124" s="17">
        <f>_xlfn.XLOOKUP($C124,TB_NG!$E:$E,TB_NG!R:R)</f>
        <v>0</v>
      </c>
      <c r="Q124" s="17">
        <f>_xlfn.XLOOKUP($C124,TB_NG!$E:$E,TB_NG!S:S)</f>
        <v>0</v>
      </c>
      <c r="R124" s="17">
        <f>_xlfn.XLOOKUP($C124,TB_NG!$E:$E,TB_NG!T:T)</f>
        <v>0</v>
      </c>
      <c r="S124" s="17">
        <f>_xlfn.XLOOKUP($C124,TB_NG!$E:$E,TB_NG!U:U)</f>
        <v>0</v>
      </c>
      <c r="T124" s="17">
        <f>_xlfn.XLOOKUP($C124,TB_NG!$E:$E,TB_NG!V:V)</f>
        <v>0</v>
      </c>
      <c r="U124" s="17">
        <f>_xlfn.XLOOKUP($C124,TB_NG!$E:$E,TB_NG!W:W)</f>
        <v>0</v>
      </c>
      <c r="V124" s="17">
        <f>_xlfn.XLOOKUP($C124,TB_NG!$E:$E,TB_NG!X:X)</f>
        <v>0</v>
      </c>
      <c r="W124" s="17">
        <f>_xlfn.XLOOKUP($C124,TB_NG!$E:$E,TB_NG!Y:Y)</f>
        <v>0</v>
      </c>
      <c r="X124" s="17">
        <f>_xlfn.XLOOKUP($C124,TB_NG!$E:$E,TB_NG!Z:Z)</f>
        <v>0</v>
      </c>
      <c r="Y124" s="17">
        <f>_xlfn.XLOOKUP($C124,TB_NG!$E:$E,TB_NG!AA:AA)</f>
        <v>0</v>
      </c>
      <c r="Z124" s="17">
        <f>_xlfn.XLOOKUP($C124,TB_NG!$E:$E,TB_NG!AB:AB)</f>
        <v>0</v>
      </c>
      <c r="AA124" s="17">
        <f>_xlfn.XLOOKUP($C124,TB_NG!$E:$E,TB_NG!AC:AC)</f>
        <v>0</v>
      </c>
      <c r="AB124" s="17">
        <f>_xlfn.XLOOKUP($C124,TB_NG!$E:$E,TB_NG!AD:AD)</f>
        <v>0</v>
      </c>
      <c r="AC124" s="17">
        <f>_xlfn.XLOOKUP($C124,TB_NG!$E:$E,TB_NG!AE:AE)</f>
        <v>0</v>
      </c>
      <c r="AD124" s="17">
        <f>_xlfn.XLOOKUP($C124,TB_NG!$E:$E,TB_NG!AF:AF)</f>
        <v>0</v>
      </c>
      <c r="AE124" s="17">
        <f>_xlfn.XLOOKUP($C124,TB_NG!$E:$E,TB_NG!AG:AG)</f>
        <v>0</v>
      </c>
      <c r="AF124" s="17">
        <f>_xlfn.XLOOKUP($C124,TB_NG!$E:$E,TB_NG!AH:AH)</f>
        <v>0</v>
      </c>
      <c r="AG124" s="17">
        <f>_xlfn.XLOOKUP($C124,TB_NG!$E:$E,TB_NG!AI:AI)</f>
        <v>0</v>
      </c>
      <c r="AH124" s="17">
        <f>_xlfn.XLOOKUP($C124,TB_NG!$E:$E,TB_NG!AJ:AJ)</f>
        <v>0</v>
      </c>
      <c r="AI124" s="17">
        <f>_xlfn.XLOOKUP($C124,TB_NG!$E:$E,TB_NG!AK:AK)</f>
        <v>0</v>
      </c>
      <c r="AJ124" s="17">
        <f>_xlfn.XLOOKUP($C124,TB_NG!$E:$E,TB_NG!AL:AL)</f>
        <v>0</v>
      </c>
      <c r="AK124" s="17">
        <f>_xlfn.XLOOKUP($C124,TB_NG!$E:$E,TB_NG!AM:AM)</f>
        <v>0</v>
      </c>
      <c r="AL124" s="17">
        <f>_xlfn.XLOOKUP($C124,TB_NG!$E:$E,TB_NG!AN:AN)</f>
        <v>0</v>
      </c>
      <c r="AM124" s="17">
        <f>_xlfn.XLOOKUP($C124,TB_NG!$E:$E,TB_NG!AO:AO)</f>
        <v>0</v>
      </c>
    </row>
    <row r="125" spans="2:39" hidden="1" outlineLevel="1" x14ac:dyDescent="0.2">
      <c r="B125" s="21">
        <f>_xlfn.XLOOKUP($C125,TB_NG!$E:$E,TB_NG!A:A)</f>
        <v>16000</v>
      </c>
      <c r="C125" s="16" t="s">
        <v>242</v>
      </c>
      <c r="D125" s="17">
        <f>_xlfn.XLOOKUP($C125,TB_NG!$E:$E,TB_NG!F:F)</f>
        <v>-25729894.710000001</v>
      </c>
      <c r="E125" s="17">
        <f>_xlfn.XLOOKUP($C125,TB_NG!$E:$E,TB_NG!G:G)</f>
        <v>-25795028.399999999</v>
      </c>
      <c r="F125" s="17">
        <f>_xlfn.XLOOKUP($C125,TB_NG!$E:$E,TB_NG!H:H)</f>
        <v>-25860162.09</v>
      </c>
      <c r="G125" s="17">
        <f>_xlfn.XLOOKUP($C125,TB_NG!$E:$E,TB_NG!I:I)</f>
        <v>-25925295.77</v>
      </c>
      <c r="H125" s="17">
        <f>_xlfn.XLOOKUP($C125,TB_NG!$E:$E,TB_NG!J:J)</f>
        <v>-25990429.460000001</v>
      </c>
      <c r="I125" s="17">
        <f>_xlfn.XLOOKUP($C125,TB_NG!$E:$E,TB_NG!K:K)</f>
        <v>-26053952.16</v>
      </c>
      <c r="J125" s="17">
        <f>_xlfn.XLOOKUP($C125,TB_NG!$E:$E,TB_NG!L:L)</f>
        <v>-26109562.41</v>
      </c>
      <c r="K125" s="17">
        <f>_xlfn.XLOOKUP($C125,TB_NG!$E:$E,TB_NG!M:M)</f>
        <v>-26160688.16</v>
      </c>
      <c r="L125" s="17">
        <f>_xlfn.XLOOKUP($C125,TB_NG!$E:$E,TB_NG!N:N)</f>
        <v>-26209429</v>
      </c>
      <c r="M125" s="17">
        <f>_xlfn.XLOOKUP($C125,TB_NG!$E:$E,TB_NG!O:O)</f>
        <v>-26237311.920000002</v>
      </c>
      <c r="N125" s="17">
        <f>_xlfn.XLOOKUP($C125,TB_NG!$E:$E,TB_NG!P:P)</f>
        <v>-26257605.670000002</v>
      </c>
      <c r="O125" s="17">
        <f>_xlfn.XLOOKUP($C125,TB_NG!$E:$E,TB_NG!Q:Q)</f>
        <v>-26406453.420000002</v>
      </c>
      <c r="P125" s="17">
        <f>_xlfn.XLOOKUP($C125,TB_NG!$E:$E,TB_NG!R:R)</f>
        <v>-26569114.219999999</v>
      </c>
      <c r="Q125" s="17">
        <f>_xlfn.XLOOKUP($C125,TB_NG!$E:$E,TB_NG!S:S)</f>
        <v>-26745642.800000001</v>
      </c>
      <c r="R125" s="17">
        <f>_xlfn.XLOOKUP($C125,TB_NG!$E:$E,TB_NG!T:T)</f>
        <v>-26945354.059999999</v>
      </c>
      <c r="S125" s="17">
        <f>_xlfn.XLOOKUP($C125,TB_NG!$E:$E,TB_NG!U:U)</f>
        <v>-27145260.149999999</v>
      </c>
      <c r="T125" s="17">
        <f>_xlfn.XLOOKUP($C125,TB_NG!$E:$E,TB_NG!V:V)</f>
        <v>-27339931.239999998</v>
      </c>
      <c r="U125" s="17">
        <f>_xlfn.XLOOKUP($C125,TB_NG!$E:$E,TB_NG!W:W)</f>
        <v>-27534602.329999998</v>
      </c>
      <c r="V125" s="17">
        <f>_xlfn.XLOOKUP($C125,TB_NG!$E:$E,TB_NG!X:X)</f>
        <v>-27729273.420000002</v>
      </c>
      <c r="W125" s="17">
        <f>_xlfn.XLOOKUP($C125,TB_NG!$E:$E,TB_NG!Y:Y)</f>
        <v>-27923944.510000002</v>
      </c>
      <c r="X125" s="17">
        <f>_xlfn.XLOOKUP($C125,TB_NG!$E:$E,TB_NG!Z:Z)</f>
        <v>-28118615.600000001</v>
      </c>
      <c r="Y125" s="17">
        <f>_xlfn.XLOOKUP($C125,TB_NG!$E:$E,TB_NG!AA:AA)</f>
        <v>-28083286.690000001</v>
      </c>
      <c r="Z125" s="17">
        <f>_xlfn.XLOOKUP($C125,TB_NG!$E:$E,TB_NG!AB:AB)</f>
        <v>-28277957.780000001</v>
      </c>
      <c r="AA125" s="17">
        <f>_xlfn.XLOOKUP($C125,TB_NG!$E:$E,TB_NG!AC:AC)</f>
        <v>-28475128.870000001</v>
      </c>
      <c r="AB125" s="17">
        <f>_xlfn.XLOOKUP($C125,TB_NG!$E:$E,TB_NG!AD:AD)</f>
        <v>-28229212.440000001</v>
      </c>
      <c r="AC125" s="17">
        <f>_xlfn.XLOOKUP($C125,TB_NG!$E:$E,TB_NG!AE:AE)</f>
        <v>-28340036.850000001</v>
      </c>
      <c r="AD125" s="17">
        <f>_xlfn.XLOOKUP($C125,TB_NG!$E:$E,TB_NG!AF:AF)</f>
        <v>-28494034.600000001</v>
      </c>
      <c r="AE125" s="17">
        <f>_xlfn.XLOOKUP($C125,TB_NG!$E:$E,TB_NG!AG:AG)</f>
        <v>-28648032.350000001</v>
      </c>
      <c r="AF125" s="17">
        <f>_xlfn.XLOOKUP($C125,TB_NG!$E:$E,TB_NG!AH:AH)</f>
        <v>0</v>
      </c>
      <c r="AG125" s="17">
        <f>_xlfn.XLOOKUP($C125,TB_NG!$E:$E,TB_NG!AI:AI)</f>
        <v>0</v>
      </c>
      <c r="AH125" s="17">
        <f>_xlfn.XLOOKUP($C125,TB_NG!$E:$E,TB_NG!AJ:AJ)</f>
        <v>0</v>
      </c>
      <c r="AI125" s="17">
        <f>_xlfn.XLOOKUP($C125,TB_NG!$E:$E,TB_NG!AK:AK)</f>
        <v>0</v>
      </c>
      <c r="AJ125" s="17">
        <f>_xlfn.XLOOKUP($C125,TB_NG!$E:$E,TB_NG!AL:AL)</f>
        <v>0</v>
      </c>
      <c r="AK125" s="17">
        <f>_xlfn.XLOOKUP($C125,TB_NG!$E:$E,TB_NG!AM:AM)</f>
        <v>0</v>
      </c>
      <c r="AL125" s="17">
        <f>_xlfn.XLOOKUP($C125,TB_NG!$E:$E,TB_NG!AN:AN)</f>
        <v>0</v>
      </c>
      <c r="AM125" s="17">
        <f>_xlfn.XLOOKUP($C125,TB_NG!$E:$E,TB_NG!AO:AO)</f>
        <v>0</v>
      </c>
    </row>
    <row r="126" spans="2:39" hidden="1" outlineLevel="1" x14ac:dyDescent="0.2">
      <c r="B126" s="21">
        <f>_xlfn.XLOOKUP($C126,TB_NG!$E:$E,TB_NG!A:A)</f>
        <v>16100</v>
      </c>
      <c r="C126" s="16" t="s">
        <v>243</v>
      </c>
      <c r="D126" s="17">
        <f>_xlfn.XLOOKUP($C126,TB_NG!$E:$E,TB_NG!F:F)</f>
        <v>-87566688.560000002</v>
      </c>
      <c r="E126" s="17">
        <f>_xlfn.XLOOKUP($C126,TB_NG!$E:$E,TB_NG!G:G)</f>
        <v>-87642626.060000002</v>
      </c>
      <c r="F126" s="17">
        <f>_xlfn.XLOOKUP($C126,TB_NG!$E:$E,TB_NG!H:H)</f>
        <v>-87718563.560000002</v>
      </c>
      <c r="G126" s="17">
        <f>_xlfn.XLOOKUP($C126,TB_NG!$E:$E,TB_NG!I:I)</f>
        <v>-87794501.060000002</v>
      </c>
      <c r="H126" s="17">
        <f>_xlfn.XLOOKUP($C126,TB_NG!$E:$E,TB_NG!J:J)</f>
        <v>-87870438.560000002</v>
      </c>
      <c r="I126" s="17">
        <f>_xlfn.XLOOKUP($C126,TB_NG!$E:$E,TB_NG!K:K)</f>
        <v>-87946376.060000002</v>
      </c>
      <c r="J126" s="17">
        <f>_xlfn.XLOOKUP($C126,TB_NG!$E:$E,TB_NG!L:L)</f>
        <v>-88022313.560000002</v>
      </c>
      <c r="K126" s="17">
        <f>_xlfn.XLOOKUP($C126,TB_NG!$E:$E,TB_NG!M:M)</f>
        <v>-88098251.060000002</v>
      </c>
      <c r="L126" s="17">
        <f>_xlfn.XLOOKUP($C126,TB_NG!$E:$E,TB_NG!N:N)</f>
        <v>-88174188.560000002</v>
      </c>
      <c r="M126" s="17">
        <f>_xlfn.XLOOKUP($C126,TB_NG!$E:$E,TB_NG!O:O)</f>
        <v>-88250126.060000002</v>
      </c>
      <c r="N126" s="17">
        <f>_xlfn.XLOOKUP($C126,TB_NG!$E:$E,TB_NG!P:P)</f>
        <v>-88326063.560000002</v>
      </c>
      <c r="O126" s="17">
        <f>_xlfn.XLOOKUP($C126,TB_NG!$E:$E,TB_NG!Q:Q)</f>
        <v>-3644980.06</v>
      </c>
      <c r="P126" s="17">
        <f>_xlfn.XLOOKUP($C126,TB_NG!$E:$E,TB_NG!R:R)</f>
        <v>-3644980.06</v>
      </c>
      <c r="Q126" s="17">
        <f>_xlfn.XLOOKUP($C126,TB_NG!$E:$E,TB_NG!S:S)</f>
        <v>-3644980.06</v>
      </c>
      <c r="R126" s="17">
        <f>_xlfn.XLOOKUP($C126,TB_NG!$E:$E,TB_NG!T:T)</f>
        <v>-3644980.06</v>
      </c>
      <c r="S126" s="17">
        <f>_xlfn.XLOOKUP($C126,TB_NG!$E:$E,TB_NG!U:U)</f>
        <v>-3644980.06</v>
      </c>
      <c r="T126" s="17">
        <f>_xlfn.XLOOKUP($C126,TB_NG!$E:$E,TB_NG!V:V)</f>
        <v>-3644980.06</v>
      </c>
      <c r="U126" s="17">
        <f>_xlfn.XLOOKUP($C126,TB_NG!$E:$E,TB_NG!W:W)</f>
        <v>-3644980.06</v>
      </c>
      <c r="V126" s="17">
        <f>_xlfn.XLOOKUP($C126,TB_NG!$E:$E,TB_NG!X:X)</f>
        <v>-3644980.06</v>
      </c>
      <c r="W126" s="17">
        <f>_xlfn.XLOOKUP($C126,TB_NG!$E:$E,TB_NG!Y:Y)</f>
        <v>-3644980.06</v>
      </c>
      <c r="X126" s="17">
        <f>_xlfn.XLOOKUP($C126,TB_NG!$E:$E,TB_NG!Z:Z)</f>
        <v>-3644980.06</v>
      </c>
      <c r="Y126" s="17">
        <f>_xlfn.XLOOKUP($C126,TB_NG!$E:$E,TB_NG!AA:AA)</f>
        <v>-3644980.06</v>
      </c>
      <c r="Z126" s="17">
        <f>_xlfn.XLOOKUP($C126,TB_NG!$E:$E,TB_NG!AB:AB)</f>
        <v>-3644980.06</v>
      </c>
      <c r="AA126" s="17">
        <f>_xlfn.XLOOKUP($C126,TB_NG!$E:$E,TB_NG!AC:AC)</f>
        <v>-3644980.06</v>
      </c>
      <c r="AB126" s="17">
        <f>_xlfn.XLOOKUP($C126,TB_NG!$E:$E,TB_NG!AD:AD)</f>
        <v>-3644980.06</v>
      </c>
      <c r="AC126" s="17">
        <f>_xlfn.XLOOKUP($C126,TB_NG!$E:$E,TB_NG!AE:AE)</f>
        <v>-3676161.31</v>
      </c>
      <c r="AD126" s="17">
        <f>_xlfn.XLOOKUP($C126,TB_NG!$E:$E,TB_NG!AF:AF)</f>
        <v>-3707342.56</v>
      </c>
      <c r="AE126" s="17">
        <f>_xlfn.XLOOKUP($C126,TB_NG!$E:$E,TB_NG!AG:AG)</f>
        <v>-3738523.81</v>
      </c>
      <c r="AF126" s="17">
        <f>_xlfn.XLOOKUP($C126,TB_NG!$E:$E,TB_NG!AH:AH)</f>
        <v>0</v>
      </c>
      <c r="AG126" s="17">
        <f>_xlfn.XLOOKUP($C126,TB_NG!$E:$E,TB_NG!AI:AI)</f>
        <v>0</v>
      </c>
      <c r="AH126" s="17">
        <f>_xlfn.XLOOKUP($C126,TB_NG!$E:$E,TB_NG!AJ:AJ)</f>
        <v>0</v>
      </c>
      <c r="AI126" s="17">
        <f>_xlfn.XLOOKUP($C126,TB_NG!$E:$E,TB_NG!AK:AK)</f>
        <v>0</v>
      </c>
      <c r="AJ126" s="17">
        <f>_xlfn.XLOOKUP($C126,TB_NG!$E:$E,TB_NG!AL:AL)</f>
        <v>0</v>
      </c>
      <c r="AK126" s="17">
        <f>_xlfn.XLOOKUP($C126,TB_NG!$E:$E,TB_NG!AM:AM)</f>
        <v>0</v>
      </c>
      <c r="AL126" s="17">
        <f>_xlfn.XLOOKUP($C126,TB_NG!$E:$E,TB_NG!AN:AN)</f>
        <v>0</v>
      </c>
      <c r="AM126" s="17">
        <f>_xlfn.XLOOKUP($C126,TB_NG!$E:$E,TB_NG!AO:AO)</f>
        <v>0</v>
      </c>
    </row>
    <row r="127" spans="2:39" hidden="1" outlineLevel="1" x14ac:dyDescent="0.2">
      <c r="B127" s="21">
        <f>_xlfn.XLOOKUP($C127,TB_NG!$E:$E,TB_NG!A:A)</f>
        <v>16200</v>
      </c>
      <c r="C127" s="16" t="s">
        <v>244</v>
      </c>
      <c r="D127" s="17">
        <f>_xlfn.XLOOKUP($C127,TB_NG!$E:$E,TB_NG!F:F)</f>
        <v>-167484027.13999999</v>
      </c>
      <c r="E127" s="17">
        <f>_xlfn.XLOOKUP($C127,TB_NG!$E:$E,TB_NG!G:G)</f>
        <v>-170069251.18000001</v>
      </c>
      <c r="F127" s="17">
        <f>_xlfn.XLOOKUP($C127,TB_NG!$E:$E,TB_NG!H:H)</f>
        <v>-172632417.30000001</v>
      </c>
      <c r="G127" s="17">
        <f>_xlfn.XLOOKUP($C127,TB_NG!$E:$E,TB_NG!I:I)</f>
        <v>-175149645.93000001</v>
      </c>
      <c r="H127" s="17">
        <f>_xlfn.XLOOKUP($C127,TB_NG!$E:$E,TB_NG!J:J)</f>
        <v>-177762723.72</v>
      </c>
      <c r="I127" s="17">
        <f>_xlfn.XLOOKUP($C127,TB_NG!$E:$E,TB_NG!K:K)</f>
        <v>-180756305.09</v>
      </c>
      <c r="J127" s="17">
        <f>_xlfn.XLOOKUP($C127,TB_NG!$E:$E,TB_NG!L:L)</f>
        <v>-183570530.94999999</v>
      </c>
      <c r="K127" s="17">
        <f>_xlfn.XLOOKUP($C127,TB_NG!$E:$E,TB_NG!M:M)</f>
        <v>-186384792.22</v>
      </c>
      <c r="L127" s="17">
        <f>_xlfn.XLOOKUP($C127,TB_NG!$E:$E,TB_NG!N:N)</f>
        <v>-189156636.83000001</v>
      </c>
      <c r="M127" s="17">
        <f>_xlfn.XLOOKUP($C127,TB_NG!$E:$E,TB_NG!O:O)</f>
        <v>-192115360.59999999</v>
      </c>
      <c r="N127" s="17">
        <f>_xlfn.XLOOKUP($C127,TB_NG!$E:$E,TB_NG!P:P)</f>
        <v>-195206876.03999999</v>
      </c>
      <c r="O127" s="17">
        <f>_xlfn.XLOOKUP($C127,TB_NG!$E:$E,TB_NG!Q:Q)</f>
        <v>-198247297.96000001</v>
      </c>
      <c r="P127" s="17">
        <f>_xlfn.XLOOKUP($C127,TB_NG!$E:$E,TB_NG!R:R)</f>
        <v>-200382566.47999999</v>
      </c>
      <c r="Q127" s="17">
        <f>_xlfn.XLOOKUP($C127,TB_NG!$E:$E,TB_NG!S:S)</f>
        <v>-203715513.91</v>
      </c>
      <c r="R127" s="17">
        <f>_xlfn.XLOOKUP($C127,TB_NG!$E:$E,TB_NG!T:T)</f>
        <v>-207074569.44</v>
      </c>
      <c r="S127" s="17">
        <f>_xlfn.XLOOKUP($C127,TB_NG!$E:$E,TB_NG!U:U)</f>
        <v>-210416219.56999999</v>
      </c>
      <c r="T127" s="17">
        <f>_xlfn.XLOOKUP($C127,TB_NG!$E:$E,TB_NG!V:V)</f>
        <v>-213757869.69999999</v>
      </c>
      <c r="U127" s="17">
        <f>_xlfn.XLOOKUP($C127,TB_NG!$E:$E,TB_NG!W:W)</f>
        <v>-217099519.83000001</v>
      </c>
      <c r="V127" s="17">
        <f>_xlfn.XLOOKUP($C127,TB_NG!$E:$E,TB_NG!X:X)</f>
        <v>-220476386.25</v>
      </c>
      <c r="W127" s="17">
        <f>_xlfn.XLOOKUP($C127,TB_NG!$E:$E,TB_NG!Y:Y)</f>
        <v>-223975027.30000001</v>
      </c>
      <c r="X127" s="17">
        <f>_xlfn.XLOOKUP($C127,TB_NG!$E:$E,TB_NG!Z:Z)</f>
        <v>-227446263.91</v>
      </c>
      <c r="Y127" s="17">
        <f>_xlfn.XLOOKUP($C127,TB_NG!$E:$E,TB_NG!AA:AA)</f>
        <v>-230911083.84999999</v>
      </c>
      <c r="Z127" s="17">
        <f>_xlfn.XLOOKUP($C127,TB_NG!$E:$E,TB_NG!AB:AB)</f>
        <v>-234591052.13</v>
      </c>
      <c r="AA127" s="17">
        <f>_xlfn.XLOOKUP($C127,TB_NG!$E:$E,TB_NG!AC:AC)</f>
        <v>-238311503.74000001</v>
      </c>
      <c r="AB127" s="17">
        <f>_xlfn.XLOOKUP($C127,TB_NG!$E:$E,TB_NG!AD:AD)</f>
        <v>-242100948.5</v>
      </c>
      <c r="AC127" s="17">
        <f>_xlfn.XLOOKUP($C127,TB_NG!$E:$E,TB_NG!AE:AE)</f>
        <v>-245611256.56999999</v>
      </c>
      <c r="AD127" s="17">
        <f>_xlfn.XLOOKUP($C127,TB_NG!$E:$E,TB_NG!AF:AF)</f>
        <v>-248861047.75999999</v>
      </c>
      <c r="AE127" s="17">
        <f>_xlfn.XLOOKUP($C127,TB_NG!$E:$E,TB_NG!AG:AG)</f>
        <v>-252291838.94999999</v>
      </c>
      <c r="AF127" s="17">
        <f>_xlfn.XLOOKUP($C127,TB_NG!$E:$E,TB_NG!AH:AH)</f>
        <v>0</v>
      </c>
      <c r="AG127" s="17">
        <f>_xlfn.XLOOKUP($C127,TB_NG!$E:$E,TB_NG!AI:AI)</f>
        <v>0</v>
      </c>
      <c r="AH127" s="17">
        <f>_xlfn.XLOOKUP($C127,TB_NG!$E:$E,TB_NG!AJ:AJ)</f>
        <v>0</v>
      </c>
      <c r="AI127" s="17">
        <f>_xlfn.XLOOKUP($C127,TB_NG!$E:$E,TB_NG!AK:AK)</f>
        <v>0</v>
      </c>
      <c r="AJ127" s="17">
        <f>_xlfn.XLOOKUP($C127,TB_NG!$E:$E,TB_NG!AL:AL)</f>
        <v>0</v>
      </c>
      <c r="AK127" s="17">
        <f>_xlfn.XLOOKUP($C127,TB_NG!$E:$E,TB_NG!AM:AM)</f>
        <v>0</v>
      </c>
      <c r="AL127" s="17">
        <f>_xlfn.XLOOKUP($C127,TB_NG!$E:$E,TB_NG!AN:AN)</f>
        <v>0</v>
      </c>
      <c r="AM127" s="17">
        <f>_xlfn.XLOOKUP($C127,TB_NG!$E:$E,TB_NG!AO:AO)</f>
        <v>0</v>
      </c>
    </row>
    <row r="128" spans="2:39" hidden="1" outlineLevel="1" x14ac:dyDescent="0.2">
      <c r="B128" s="21">
        <f>_xlfn.XLOOKUP($C128,TB_NG!$E:$E,TB_NG!A:A)</f>
        <v>16300</v>
      </c>
      <c r="C128" s="16" t="s">
        <v>245</v>
      </c>
      <c r="D128" s="17">
        <f>_xlfn.XLOOKUP($C128,TB_NG!$E:$E,TB_NG!F:F)</f>
        <v>-12930446.59</v>
      </c>
      <c r="E128" s="17">
        <f>_xlfn.XLOOKUP($C128,TB_NG!$E:$E,TB_NG!G:G)</f>
        <v>-13017613.26</v>
      </c>
      <c r="F128" s="17">
        <f>_xlfn.XLOOKUP($C128,TB_NG!$E:$E,TB_NG!H:H)</f>
        <v>-13104779.93</v>
      </c>
      <c r="G128" s="17">
        <f>_xlfn.XLOOKUP($C128,TB_NG!$E:$E,TB_NG!I:I)</f>
        <v>-13191946.6</v>
      </c>
      <c r="H128" s="17">
        <f>_xlfn.XLOOKUP($C128,TB_NG!$E:$E,TB_NG!J:J)</f>
        <v>-13289991.65</v>
      </c>
      <c r="I128" s="17">
        <f>_xlfn.XLOOKUP($C128,TB_NG!$E:$E,TB_NG!K:K)</f>
        <v>-13388036.699999999</v>
      </c>
      <c r="J128" s="17">
        <f>_xlfn.XLOOKUP($C128,TB_NG!$E:$E,TB_NG!L:L)</f>
        <v>-13486081.75</v>
      </c>
      <c r="K128" s="17">
        <f>_xlfn.XLOOKUP($C128,TB_NG!$E:$E,TB_NG!M:M)</f>
        <v>-13584126.800000001</v>
      </c>
      <c r="L128" s="17">
        <f>_xlfn.XLOOKUP($C128,TB_NG!$E:$E,TB_NG!N:N)</f>
        <v>-13682171.85</v>
      </c>
      <c r="M128" s="17">
        <f>_xlfn.XLOOKUP($C128,TB_NG!$E:$E,TB_NG!O:O)</f>
        <v>-13780216.9</v>
      </c>
      <c r="N128" s="17">
        <f>_xlfn.XLOOKUP($C128,TB_NG!$E:$E,TB_NG!P:P)</f>
        <v>-13878261.949999999</v>
      </c>
      <c r="O128" s="17">
        <f>_xlfn.XLOOKUP($C128,TB_NG!$E:$E,TB_NG!Q:Q)</f>
        <v>-13889279.960000001</v>
      </c>
      <c r="P128" s="17">
        <f>_xlfn.XLOOKUP($C128,TB_NG!$E:$E,TB_NG!R:R)</f>
        <v>-13987325.01</v>
      </c>
      <c r="Q128" s="17">
        <f>_xlfn.XLOOKUP($C128,TB_NG!$E:$E,TB_NG!S:S)</f>
        <v>-14085370.060000001</v>
      </c>
      <c r="R128" s="17">
        <f>_xlfn.XLOOKUP($C128,TB_NG!$E:$E,TB_NG!T:T)</f>
        <v>-14161658.35</v>
      </c>
      <c r="S128" s="17">
        <f>_xlfn.XLOOKUP($C128,TB_NG!$E:$E,TB_NG!U:U)</f>
        <v>-14248825.02</v>
      </c>
      <c r="T128" s="17">
        <f>_xlfn.XLOOKUP($C128,TB_NG!$E:$E,TB_NG!V:V)</f>
        <v>-14348908.35</v>
      </c>
      <c r="U128" s="17">
        <f>_xlfn.XLOOKUP($C128,TB_NG!$E:$E,TB_NG!W:W)</f>
        <v>-14448991.68</v>
      </c>
      <c r="V128" s="17">
        <f>_xlfn.XLOOKUP($C128,TB_NG!$E:$E,TB_NG!X:X)</f>
        <v>-14717720.85</v>
      </c>
      <c r="W128" s="17">
        <f>_xlfn.XLOOKUP($C128,TB_NG!$E:$E,TB_NG!Y:Y)</f>
        <v>-14998116.68</v>
      </c>
      <c r="X128" s="17">
        <f>_xlfn.XLOOKUP($C128,TB_NG!$E:$E,TB_NG!Z:Z)</f>
        <v>-15272679.18</v>
      </c>
      <c r="Y128" s="17">
        <f>_xlfn.XLOOKUP($C128,TB_NG!$E:$E,TB_NG!AA:AA)</f>
        <v>-15547241.68</v>
      </c>
      <c r="Z128" s="17">
        <f>_xlfn.XLOOKUP($C128,TB_NG!$E:$E,TB_NG!AB:AB)</f>
        <v>-15821804.18</v>
      </c>
      <c r="AA128" s="17">
        <f>_xlfn.XLOOKUP($C128,TB_NG!$E:$E,TB_NG!AC:AC)</f>
        <v>-16096366.68</v>
      </c>
      <c r="AB128" s="17">
        <f>_xlfn.XLOOKUP($C128,TB_NG!$E:$E,TB_NG!AD:AD)</f>
        <v>-16370929.18</v>
      </c>
      <c r="AC128" s="17">
        <f>_xlfn.XLOOKUP($C128,TB_NG!$E:$E,TB_NG!AE:AE)</f>
        <v>-16660387.51</v>
      </c>
      <c r="AD128" s="17">
        <f>_xlfn.XLOOKUP($C128,TB_NG!$E:$E,TB_NG!AF:AF)</f>
        <v>-16949845.84</v>
      </c>
      <c r="AE128" s="17">
        <f>_xlfn.XLOOKUP($C128,TB_NG!$E:$E,TB_NG!AG:AG)</f>
        <v>-17279408.34</v>
      </c>
      <c r="AF128" s="17">
        <f>_xlfn.XLOOKUP($C128,TB_NG!$E:$E,TB_NG!AH:AH)</f>
        <v>0</v>
      </c>
      <c r="AG128" s="17">
        <f>_xlfn.XLOOKUP($C128,TB_NG!$E:$E,TB_NG!AI:AI)</f>
        <v>0</v>
      </c>
      <c r="AH128" s="17">
        <f>_xlfn.XLOOKUP($C128,TB_NG!$E:$E,TB_NG!AJ:AJ)</f>
        <v>0</v>
      </c>
      <c r="AI128" s="17">
        <f>_xlfn.XLOOKUP($C128,TB_NG!$E:$E,TB_NG!AK:AK)</f>
        <v>0</v>
      </c>
      <c r="AJ128" s="17">
        <f>_xlfn.XLOOKUP($C128,TB_NG!$E:$E,TB_NG!AL:AL)</f>
        <v>0</v>
      </c>
      <c r="AK128" s="17">
        <f>_xlfn.XLOOKUP($C128,TB_NG!$E:$E,TB_NG!AM:AM)</f>
        <v>0</v>
      </c>
      <c r="AL128" s="17">
        <f>_xlfn.XLOOKUP($C128,TB_NG!$E:$E,TB_NG!AN:AN)</f>
        <v>0</v>
      </c>
      <c r="AM128" s="17">
        <f>_xlfn.XLOOKUP($C128,TB_NG!$E:$E,TB_NG!AO:AO)</f>
        <v>0</v>
      </c>
    </row>
    <row r="129" spans="2:39" hidden="1" outlineLevel="1" x14ac:dyDescent="0.2">
      <c r="B129" s="21">
        <f>_xlfn.XLOOKUP($C129,TB_NG!$E:$E,TB_NG!A:A)</f>
        <v>16400</v>
      </c>
      <c r="C129" s="16" t="s">
        <v>246</v>
      </c>
      <c r="D129" s="17">
        <f>_xlfn.XLOOKUP($C129,TB_NG!$E:$E,TB_NG!F:F)</f>
        <v>0</v>
      </c>
      <c r="E129" s="17">
        <f>_xlfn.XLOOKUP($C129,TB_NG!$E:$E,TB_NG!G:G)</f>
        <v>0</v>
      </c>
      <c r="F129" s="17">
        <f>_xlfn.XLOOKUP($C129,TB_NG!$E:$E,TB_NG!H:H)</f>
        <v>0</v>
      </c>
      <c r="G129" s="17">
        <f>_xlfn.XLOOKUP($C129,TB_NG!$E:$E,TB_NG!I:I)</f>
        <v>0</v>
      </c>
      <c r="H129" s="17">
        <f>_xlfn.XLOOKUP($C129,TB_NG!$E:$E,TB_NG!J:J)</f>
        <v>0</v>
      </c>
      <c r="I129" s="17">
        <f>_xlfn.XLOOKUP($C129,TB_NG!$E:$E,TB_NG!K:K)</f>
        <v>0</v>
      </c>
      <c r="J129" s="17">
        <f>_xlfn.XLOOKUP($C129,TB_NG!$E:$E,TB_NG!L:L)</f>
        <v>0</v>
      </c>
      <c r="K129" s="17">
        <f>_xlfn.XLOOKUP($C129,TB_NG!$E:$E,TB_NG!M:M)</f>
        <v>0</v>
      </c>
      <c r="L129" s="17">
        <f>_xlfn.XLOOKUP($C129,TB_NG!$E:$E,TB_NG!N:N)</f>
        <v>0</v>
      </c>
      <c r="M129" s="17">
        <f>_xlfn.XLOOKUP($C129,TB_NG!$E:$E,TB_NG!O:O)</f>
        <v>0</v>
      </c>
      <c r="N129" s="17">
        <f>_xlfn.XLOOKUP($C129,TB_NG!$E:$E,TB_NG!P:P)</f>
        <v>0</v>
      </c>
      <c r="O129" s="17">
        <f>_xlfn.XLOOKUP($C129,TB_NG!$E:$E,TB_NG!Q:Q)</f>
        <v>0</v>
      </c>
      <c r="P129" s="17">
        <f>_xlfn.XLOOKUP($C129,TB_NG!$E:$E,TB_NG!R:R)</f>
        <v>0</v>
      </c>
      <c r="Q129" s="17">
        <f>_xlfn.XLOOKUP($C129,TB_NG!$E:$E,TB_NG!S:S)</f>
        <v>0</v>
      </c>
      <c r="R129" s="17">
        <f>_xlfn.XLOOKUP($C129,TB_NG!$E:$E,TB_NG!T:T)</f>
        <v>0</v>
      </c>
      <c r="S129" s="17">
        <f>_xlfn.XLOOKUP($C129,TB_NG!$E:$E,TB_NG!U:U)</f>
        <v>0</v>
      </c>
      <c r="T129" s="17">
        <f>_xlfn.XLOOKUP($C129,TB_NG!$E:$E,TB_NG!V:V)</f>
        <v>0</v>
      </c>
      <c r="U129" s="17">
        <f>_xlfn.XLOOKUP($C129,TB_NG!$E:$E,TB_NG!W:W)</f>
        <v>0</v>
      </c>
      <c r="V129" s="17">
        <f>_xlfn.XLOOKUP($C129,TB_NG!$E:$E,TB_NG!X:X)</f>
        <v>0</v>
      </c>
      <c r="W129" s="17">
        <f>_xlfn.XLOOKUP($C129,TB_NG!$E:$E,TB_NG!Y:Y)</f>
        <v>0</v>
      </c>
      <c r="X129" s="17">
        <f>_xlfn.XLOOKUP($C129,TB_NG!$E:$E,TB_NG!Z:Z)</f>
        <v>0</v>
      </c>
      <c r="Y129" s="17">
        <f>_xlfn.XLOOKUP($C129,TB_NG!$E:$E,TB_NG!AA:AA)</f>
        <v>0</v>
      </c>
      <c r="Z129" s="17">
        <f>_xlfn.XLOOKUP($C129,TB_NG!$E:$E,TB_NG!AB:AB)</f>
        <v>0</v>
      </c>
      <c r="AA129" s="17">
        <f>_xlfn.XLOOKUP($C129,TB_NG!$E:$E,TB_NG!AC:AC)</f>
        <v>0</v>
      </c>
      <c r="AB129" s="17">
        <f>_xlfn.XLOOKUP($C129,TB_NG!$E:$E,TB_NG!AD:AD)</f>
        <v>0</v>
      </c>
      <c r="AC129" s="17">
        <f>_xlfn.XLOOKUP($C129,TB_NG!$E:$E,TB_NG!AE:AE)</f>
        <v>0</v>
      </c>
      <c r="AD129" s="17">
        <f>_xlfn.XLOOKUP($C129,TB_NG!$E:$E,TB_NG!AF:AF)</f>
        <v>0</v>
      </c>
      <c r="AE129" s="17">
        <f>_xlfn.XLOOKUP($C129,TB_NG!$E:$E,TB_NG!AG:AG)</f>
        <v>0</v>
      </c>
      <c r="AF129" s="17">
        <f>_xlfn.XLOOKUP($C129,TB_NG!$E:$E,TB_NG!AH:AH)</f>
        <v>0</v>
      </c>
      <c r="AG129" s="17">
        <f>_xlfn.XLOOKUP($C129,TB_NG!$E:$E,TB_NG!AI:AI)</f>
        <v>0</v>
      </c>
      <c r="AH129" s="17">
        <f>_xlfn.XLOOKUP($C129,TB_NG!$E:$E,TB_NG!AJ:AJ)</f>
        <v>0</v>
      </c>
      <c r="AI129" s="17">
        <f>_xlfn.XLOOKUP($C129,TB_NG!$E:$E,TB_NG!AK:AK)</f>
        <v>0</v>
      </c>
      <c r="AJ129" s="17">
        <f>_xlfn.XLOOKUP($C129,TB_NG!$E:$E,TB_NG!AL:AL)</f>
        <v>0</v>
      </c>
      <c r="AK129" s="17">
        <f>_xlfn.XLOOKUP($C129,TB_NG!$E:$E,TB_NG!AM:AM)</f>
        <v>0</v>
      </c>
      <c r="AL129" s="17">
        <f>_xlfn.XLOOKUP($C129,TB_NG!$E:$E,TB_NG!AN:AN)</f>
        <v>0</v>
      </c>
      <c r="AM129" s="17">
        <f>_xlfn.XLOOKUP($C129,TB_NG!$E:$E,TB_NG!AO:AO)</f>
        <v>0</v>
      </c>
    </row>
    <row r="130" spans="2:39" hidden="1" outlineLevel="1" x14ac:dyDescent="0.2">
      <c r="B130" s="21"/>
      <c r="C130" s="16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</row>
    <row r="131" spans="2:39" collapsed="1" x14ac:dyDescent="0.2">
      <c r="B131" s="15"/>
      <c r="C131" s="22" t="s">
        <v>45</v>
      </c>
      <c r="D131" s="23">
        <f t="shared" ref="D131:AM131" si="9">SUM(D116:D130)</f>
        <v>286891675.67999995</v>
      </c>
      <c r="E131" s="23">
        <f t="shared" si="9"/>
        <v>284078213.77999997</v>
      </c>
      <c r="F131" s="23">
        <f t="shared" si="9"/>
        <v>281286809.79999989</v>
      </c>
      <c r="G131" s="23">
        <f t="shared" si="9"/>
        <v>282429543.31999993</v>
      </c>
      <c r="H131" s="23">
        <f t="shared" si="9"/>
        <v>293028311.53999996</v>
      </c>
      <c r="I131" s="23">
        <f t="shared" si="9"/>
        <v>289797491.59000009</v>
      </c>
      <c r="J131" s="23">
        <f t="shared" si="9"/>
        <v>292236172.93000007</v>
      </c>
      <c r="K131" s="23">
        <f t="shared" si="9"/>
        <v>293222678.36000007</v>
      </c>
      <c r="L131" s="23">
        <f t="shared" si="9"/>
        <v>290228110.36000001</v>
      </c>
      <c r="M131" s="23">
        <f t="shared" si="9"/>
        <v>299989021.12000012</v>
      </c>
      <c r="N131" s="23">
        <f t="shared" si="9"/>
        <v>304772729.38000005</v>
      </c>
      <c r="O131" s="23">
        <f t="shared" si="9"/>
        <v>316842206.44</v>
      </c>
      <c r="P131" s="23">
        <f t="shared" si="9"/>
        <v>313263732.07000005</v>
      </c>
      <c r="Q131" s="23">
        <f t="shared" si="9"/>
        <v>325618195.41000026</v>
      </c>
      <c r="R131" s="23">
        <f t="shared" si="9"/>
        <v>323565390.33000022</v>
      </c>
      <c r="S131" s="23">
        <f t="shared" si="9"/>
        <v>319936667.44000024</v>
      </c>
      <c r="T131" s="23">
        <f t="shared" si="9"/>
        <v>316920262.89000016</v>
      </c>
      <c r="U131" s="23">
        <f t="shared" si="9"/>
        <v>313283858.34000009</v>
      </c>
      <c r="V131" s="23">
        <f t="shared" si="9"/>
        <v>320548591.66000021</v>
      </c>
      <c r="W131" s="23">
        <f t="shared" si="9"/>
        <v>325858883.69000018</v>
      </c>
      <c r="X131" s="23">
        <f t="shared" si="9"/>
        <v>322018413.49000019</v>
      </c>
      <c r="Y131" s="23">
        <f t="shared" si="9"/>
        <v>318084359.9600001</v>
      </c>
      <c r="Z131" s="23">
        <f t="shared" si="9"/>
        <v>327514058.09000021</v>
      </c>
      <c r="AA131" s="23">
        <f t="shared" si="9"/>
        <v>326300872.89000016</v>
      </c>
      <c r="AB131" s="23">
        <f t="shared" si="9"/>
        <v>307777316.9600001</v>
      </c>
      <c r="AC131" s="23">
        <f t="shared" si="9"/>
        <v>310405244.90000015</v>
      </c>
      <c r="AD131" s="23">
        <f t="shared" si="9"/>
        <v>323830816.38000017</v>
      </c>
      <c r="AE131" s="23">
        <f t="shared" si="9"/>
        <v>334516283.69000018</v>
      </c>
      <c r="AF131" s="23">
        <f t="shared" si="9"/>
        <v>0</v>
      </c>
      <c r="AG131" s="23">
        <f t="shared" si="9"/>
        <v>0</v>
      </c>
      <c r="AH131" s="23">
        <f t="shared" si="9"/>
        <v>0</v>
      </c>
      <c r="AI131" s="23">
        <f t="shared" si="9"/>
        <v>0</v>
      </c>
      <c r="AJ131" s="23">
        <f t="shared" si="9"/>
        <v>0</v>
      </c>
      <c r="AK131" s="23">
        <f t="shared" si="9"/>
        <v>0</v>
      </c>
      <c r="AL131" s="23">
        <f t="shared" si="9"/>
        <v>0</v>
      </c>
      <c r="AM131" s="23">
        <f t="shared" si="9"/>
        <v>0</v>
      </c>
    </row>
    <row r="132" spans="2:39" x14ac:dyDescent="0.2">
      <c r="B132" s="15"/>
      <c r="C132" s="16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8"/>
    </row>
    <row r="133" spans="2:39" hidden="1" outlineLevel="1" x14ac:dyDescent="0.2">
      <c r="B133" s="15"/>
      <c r="C133" s="20" t="s">
        <v>247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39" hidden="1" outlineLevel="1" x14ac:dyDescent="0.2">
      <c r="B134" s="21">
        <f>_xlfn.XLOOKUP($C134,TB_NG!$E:$E,TB_NG!A:A)</f>
        <v>12105</v>
      </c>
      <c r="C134" s="16" t="s">
        <v>248</v>
      </c>
      <c r="D134" s="17">
        <f>_xlfn.XLOOKUP($C134,TB_NG!$E:$E,TB_NG!F:F)</f>
        <v>0</v>
      </c>
      <c r="E134" s="17">
        <f>_xlfn.XLOOKUP($C134,TB_NG!$E:$E,TB_NG!G:G)</f>
        <v>0</v>
      </c>
      <c r="F134" s="17">
        <f>_xlfn.XLOOKUP($C134,TB_NG!$E:$E,TB_NG!H:H)</f>
        <v>0</v>
      </c>
      <c r="G134" s="17">
        <f>_xlfn.XLOOKUP($C134,TB_NG!$E:$E,TB_NG!I:I)</f>
        <v>0</v>
      </c>
      <c r="H134" s="17">
        <f>_xlfn.XLOOKUP($C134,TB_NG!$E:$E,TB_NG!J:J)</f>
        <v>0</v>
      </c>
      <c r="I134" s="17">
        <f>_xlfn.XLOOKUP($C134,TB_NG!$E:$E,TB_NG!K:K)</f>
        <v>0</v>
      </c>
      <c r="J134" s="17">
        <f>_xlfn.XLOOKUP($C134,TB_NG!$E:$E,TB_NG!L:L)</f>
        <v>0</v>
      </c>
      <c r="K134" s="17">
        <f>_xlfn.XLOOKUP($C134,TB_NG!$E:$E,TB_NG!M:M)</f>
        <v>0</v>
      </c>
      <c r="L134" s="17">
        <f>_xlfn.XLOOKUP($C134,TB_NG!$E:$E,TB_NG!N:N)</f>
        <v>0</v>
      </c>
      <c r="M134" s="17">
        <f>_xlfn.XLOOKUP($C134,TB_NG!$E:$E,TB_NG!O:O)</f>
        <v>0</v>
      </c>
      <c r="N134" s="17">
        <f>_xlfn.XLOOKUP($C134,TB_NG!$E:$E,TB_NG!P:P)</f>
        <v>0</v>
      </c>
      <c r="O134" s="17">
        <f>_xlfn.XLOOKUP($C134,TB_NG!$E:$E,TB_NG!Q:Q)</f>
        <v>0</v>
      </c>
      <c r="P134" s="17">
        <f>_xlfn.XLOOKUP($C134,TB_NG!$E:$E,TB_NG!R:R)</f>
        <v>0</v>
      </c>
      <c r="Q134" s="17">
        <f>_xlfn.XLOOKUP($C134,TB_NG!$E:$E,TB_NG!S:S)</f>
        <v>0</v>
      </c>
      <c r="R134" s="17">
        <f>_xlfn.XLOOKUP($C134,TB_NG!$E:$E,TB_NG!T:T)</f>
        <v>0</v>
      </c>
      <c r="S134" s="17">
        <f>_xlfn.XLOOKUP($C134,TB_NG!$E:$E,TB_NG!U:U)</f>
        <v>0</v>
      </c>
      <c r="T134" s="17">
        <f>_xlfn.XLOOKUP($C134,TB_NG!$E:$E,TB_NG!V:V)</f>
        <v>0</v>
      </c>
      <c r="U134" s="17">
        <f>_xlfn.XLOOKUP($C134,TB_NG!$E:$E,TB_NG!W:W)</f>
        <v>0</v>
      </c>
      <c r="V134" s="17">
        <f>_xlfn.XLOOKUP($C134,TB_NG!$E:$E,TB_NG!X:X)</f>
        <v>0</v>
      </c>
      <c r="W134" s="17">
        <f>_xlfn.XLOOKUP($C134,TB_NG!$E:$E,TB_NG!Y:Y)</f>
        <v>0</v>
      </c>
      <c r="X134" s="17">
        <f>_xlfn.XLOOKUP($C134,TB_NG!$E:$E,TB_NG!Z:Z)</f>
        <v>0</v>
      </c>
      <c r="Y134" s="17">
        <f>_xlfn.XLOOKUP($C134,TB_NG!$E:$E,TB_NG!AA:AA)</f>
        <v>0</v>
      </c>
      <c r="Z134" s="17">
        <f>_xlfn.XLOOKUP($C134,TB_NG!$E:$E,TB_NG!AB:AB)</f>
        <v>0</v>
      </c>
      <c r="AA134" s="17">
        <f>_xlfn.XLOOKUP($C134,TB_NG!$E:$E,TB_NG!AC:AC)</f>
        <v>0</v>
      </c>
      <c r="AB134" s="17">
        <f>_xlfn.XLOOKUP($C134,TB_NG!$E:$E,TB_NG!AD:AD)</f>
        <v>0</v>
      </c>
      <c r="AC134" s="17">
        <f>_xlfn.XLOOKUP($C134,TB_NG!$E:$E,TB_NG!AE:AE)</f>
        <v>0</v>
      </c>
      <c r="AD134" s="17">
        <f>_xlfn.XLOOKUP($C134,TB_NG!$E:$E,TB_NG!AF:AF)</f>
        <v>0</v>
      </c>
      <c r="AE134" s="17">
        <f>_xlfn.XLOOKUP($C134,TB_NG!$E:$E,TB_NG!AG:AG)</f>
        <v>0</v>
      </c>
      <c r="AF134" s="17">
        <f>_xlfn.XLOOKUP($C134,TB_NG!$E:$E,TB_NG!AH:AH)</f>
        <v>0</v>
      </c>
      <c r="AG134" s="17">
        <f>_xlfn.XLOOKUP($C134,TB_NG!$E:$E,TB_NG!AI:AI)</f>
        <v>0</v>
      </c>
      <c r="AH134" s="17">
        <f>_xlfn.XLOOKUP($C134,TB_NG!$E:$E,TB_NG!AJ:AJ)</f>
        <v>0</v>
      </c>
      <c r="AI134" s="17">
        <f>_xlfn.XLOOKUP($C134,TB_NG!$E:$E,TB_NG!AK:AK)</f>
        <v>0</v>
      </c>
      <c r="AJ134" s="17">
        <f>_xlfn.XLOOKUP($C134,TB_NG!$E:$E,TB_NG!AL:AL)</f>
        <v>0</v>
      </c>
      <c r="AK134" s="17">
        <f>_xlfn.XLOOKUP($C134,TB_NG!$E:$E,TB_NG!AM:AM)</f>
        <v>0</v>
      </c>
      <c r="AL134" s="17">
        <f>_xlfn.XLOOKUP($C134,TB_NG!$E:$E,TB_NG!AN:AN)</f>
        <v>0</v>
      </c>
      <c r="AM134" s="17">
        <f>_xlfn.XLOOKUP($C134,TB_NG!$E:$E,TB_NG!AO:AO)</f>
        <v>0</v>
      </c>
    </row>
    <row r="135" spans="2:39" hidden="1" outlineLevel="1" x14ac:dyDescent="0.2">
      <c r="B135" s="21">
        <f>_xlfn.XLOOKUP($C135,TB_NG!$E:$E,TB_NG!A:A)</f>
        <v>15500</v>
      </c>
      <c r="C135" s="16" t="s">
        <v>249</v>
      </c>
      <c r="D135" s="17">
        <f>_xlfn.XLOOKUP($C135,TB_NG!$E:$E,TB_NG!F:F)</f>
        <v>18388298.050000001</v>
      </c>
      <c r="E135" s="17">
        <f>_xlfn.XLOOKUP($C135,TB_NG!$E:$E,TB_NG!G:G)</f>
        <v>18388298.050000001</v>
      </c>
      <c r="F135" s="17">
        <f>_xlfn.XLOOKUP($C135,TB_NG!$E:$E,TB_NG!H:H)</f>
        <v>18388298.050000001</v>
      </c>
      <c r="G135" s="17">
        <f>_xlfn.XLOOKUP($C135,TB_NG!$E:$E,TB_NG!I:I)</f>
        <v>18388298.050000001</v>
      </c>
      <c r="H135" s="17">
        <f>_xlfn.XLOOKUP($C135,TB_NG!$E:$E,TB_NG!J:J)</f>
        <v>18388298.050000001</v>
      </c>
      <c r="I135" s="17">
        <f>_xlfn.XLOOKUP($C135,TB_NG!$E:$E,TB_NG!K:K)</f>
        <v>53411028.170000002</v>
      </c>
      <c r="J135" s="17">
        <f>_xlfn.XLOOKUP($C135,TB_NG!$E:$E,TB_NG!L:L)</f>
        <v>53411028.170000002</v>
      </c>
      <c r="K135" s="17">
        <f>_xlfn.XLOOKUP($C135,TB_NG!$E:$E,TB_NG!M:M)</f>
        <v>61627057.890000001</v>
      </c>
      <c r="L135" s="17">
        <f>_xlfn.XLOOKUP($C135,TB_NG!$E:$E,TB_NG!N:N)</f>
        <v>61627057.890000001</v>
      </c>
      <c r="M135" s="17">
        <f>_xlfn.XLOOKUP($C135,TB_NG!$E:$E,TB_NG!O:O)</f>
        <v>61627057.890000001</v>
      </c>
      <c r="N135" s="17">
        <f>_xlfn.XLOOKUP($C135,TB_NG!$E:$E,TB_NG!P:P)</f>
        <v>61627057.890000001</v>
      </c>
      <c r="O135" s="17">
        <f>_xlfn.XLOOKUP($C135,TB_NG!$E:$E,TB_NG!Q:Q)</f>
        <v>61627057.890000001</v>
      </c>
      <c r="P135" s="17">
        <f>_xlfn.XLOOKUP($C135,TB_NG!$E:$E,TB_NG!R:R)</f>
        <v>61627057.890000001</v>
      </c>
      <c r="Q135" s="17">
        <f>_xlfn.XLOOKUP($C135,TB_NG!$E:$E,TB_NG!S:S)</f>
        <v>61627057.890000001</v>
      </c>
      <c r="R135" s="17">
        <f>_xlfn.XLOOKUP($C135,TB_NG!$E:$E,TB_NG!T:T)</f>
        <v>61627057.890000001</v>
      </c>
      <c r="S135" s="17">
        <f>_xlfn.XLOOKUP($C135,TB_NG!$E:$E,TB_NG!U:U)</f>
        <v>61627057.890000001</v>
      </c>
      <c r="T135" s="17">
        <f>_xlfn.XLOOKUP($C135,TB_NG!$E:$E,TB_NG!V:V)</f>
        <v>61627057.890000001</v>
      </c>
      <c r="U135" s="17">
        <f>_xlfn.XLOOKUP($C135,TB_NG!$E:$E,TB_NG!W:W)</f>
        <v>61627057.890000001</v>
      </c>
      <c r="V135" s="17">
        <f>_xlfn.XLOOKUP($C135,TB_NG!$E:$E,TB_NG!X:X)</f>
        <v>61627057.890000001</v>
      </c>
      <c r="W135" s="17">
        <f>_xlfn.XLOOKUP($C135,TB_NG!$E:$E,TB_NG!Y:Y)</f>
        <v>61627057.890000001</v>
      </c>
      <c r="X135" s="17">
        <f>_xlfn.XLOOKUP($C135,TB_NG!$E:$E,TB_NG!Z:Z)</f>
        <v>61627057.890000001</v>
      </c>
      <c r="Y135" s="17">
        <f>_xlfn.XLOOKUP($C135,TB_NG!$E:$E,TB_NG!AA:AA)</f>
        <v>61627057.890000001</v>
      </c>
      <c r="Z135" s="17">
        <f>_xlfn.XLOOKUP($C135,TB_NG!$E:$E,TB_NG!AB:AB)</f>
        <v>61627057.890000001</v>
      </c>
      <c r="AA135" s="17">
        <f>_xlfn.XLOOKUP($C135,TB_NG!$E:$E,TB_NG!AC:AC)</f>
        <v>61627057.890000001</v>
      </c>
      <c r="AB135" s="17">
        <f>_xlfn.XLOOKUP($C135,TB_NG!$E:$E,TB_NG!AD:AD)</f>
        <v>61627057.890000001</v>
      </c>
      <c r="AC135" s="17">
        <f>_xlfn.XLOOKUP($C135,TB_NG!$E:$E,TB_NG!AE:AE)</f>
        <v>61627057.890000001</v>
      </c>
      <c r="AD135" s="17">
        <f>_xlfn.XLOOKUP($C135,TB_NG!$E:$E,TB_NG!AF:AF)</f>
        <v>61627057.890000001</v>
      </c>
      <c r="AE135" s="17">
        <f>_xlfn.XLOOKUP($C135,TB_NG!$E:$E,TB_NG!AG:AG)</f>
        <v>61627057.890000001</v>
      </c>
      <c r="AF135" s="17">
        <f>_xlfn.XLOOKUP($C135,TB_NG!$E:$E,TB_NG!AH:AH)</f>
        <v>0</v>
      </c>
      <c r="AG135" s="17">
        <f>_xlfn.XLOOKUP($C135,TB_NG!$E:$E,TB_NG!AI:AI)</f>
        <v>0</v>
      </c>
      <c r="AH135" s="17">
        <f>_xlfn.XLOOKUP($C135,TB_NG!$E:$E,TB_NG!AJ:AJ)</f>
        <v>0</v>
      </c>
      <c r="AI135" s="17">
        <f>_xlfn.XLOOKUP($C135,TB_NG!$E:$E,TB_NG!AK:AK)</f>
        <v>0</v>
      </c>
      <c r="AJ135" s="17">
        <f>_xlfn.XLOOKUP($C135,TB_NG!$E:$E,TB_NG!AL:AL)</f>
        <v>0</v>
      </c>
      <c r="AK135" s="17">
        <f>_xlfn.XLOOKUP($C135,TB_NG!$E:$E,TB_NG!AM:AM)</f>
        <v>0</v>
      </c>
      <c r="AL135" s="17">
        <f>_xlfn.XLOOKUP($C135,TB_NG!$E:$E,TB_NG!AN:AN)</f>
        <v>0</v>
      </c>
      <c r="AM135" s="17">
        <f>_xlfn.XLOOKUP($C135,TB_NG!$E:$E,TB_NG!AO:AO)</f>
        <v>0</v>
      </c>
    </row>
    <row r="136" spans="2:39" hidden="1" outlineLevel="1" x14ac:dyDescent="0.2">
      <c r="B136" s="21">
        <v>15511</v>
      </c>
      <c r="C136" s="401" t="str">
        <f>_xlfn.XLOOKUP($B136,'[1]Trial Balance'!$A:$A,'[1]Trial Balance'!E:E)</f>
        <v>Intangible Assets - MFA Benin</v>
      </c>
      <c r="D136" s="17">
        <f>_xlfn.XLOOKUP($B136,TB_NG!$A:$A,TB_NG!F:F)</f>
        <v>0</v>
      </c>
      <c r="E136" s="17">
        <f>_xlfn.XLOOKUP($B136,TB_NG!$A:$A,TB_NG!G:G)</f>
        <v>0</v>
      </c>
      <c r="F136" s="17">
        <f>_xlfn.XLOOKUP($B136,TB_NG!$A:$A,TB_NG!H:H)</f>
        <v>0</v>
      </c>
      <c r="G136" s="17">
        <f>_xlfn.XLOOKUP($B136,TB_NG!$A:$A,TB_NG!I:I)</f>
        <v>0</v>
      </c>
      <c r="H136" s="17">
        <f>_xlfn.XLOOKUP($B136,TB_NG!$A:$A,TB_NG!J:J)</f>
        <v>0</v>
      </c>
      <c r="I136" s="17">
        <f>_xlfn.XLOOKUP($B136,TB_NG!$A:$A,TB_NG!K:K)</f>
        <v>0</v>
      </c>
      <c r="J136" s="17">
        <f>_xlfn.XLOOKUP($B136,TB_NG!$A:$A,TB_NG!L:L)</f>
        <v>0</v>
      </c>
      <c r="K136" s="17">
        <f>_xlfn.XLOOKUP($B136,TB_NG!$A:$A,TB_NG!M:M)</f>
        <v>0</v>
      </c>
      <c r="L136" s="17">
        <f>_xlfn.XLOOKUP($B136,TB_NG!$A:$A,TB_NG!N:N)</f>
        <v>0</v>
      </c>
      <c r="M136" s="17">
        <f>_xlfn.XLOOKUP($B136,TB_NG!$A:$A,TB_NG!O:O)</f>
        <v>0</v>
      </c>
      <c r="N136" s="17">
        <f>_xlfn.XLOOKUP($B136,TB_NG!$A:$A,TB_NG!P:P)</f>
        <v>0</v>
      </c>
      <c r="O136" s="17">
        <f>_xlfn.XLOOKUP($B136,TB_NG!$A:$A,TB_NG!Q:Q)</f>
        <v>0</v>
      </c>
      <c r="P136" s="17">
        <f>_xlfn.XLOOKUP($B136,TB_NG!$A:$A,TB_NG!R:R)</f>
        <v>0</v>
      </c>
      <c r="Q136" s="17">
        <f>_xlfn.XLOOKUP($B136,TB_NG!$A:$A,TB_NG!S:S)</f>
        <v>0</v>
      </c>
      <c r="R136" s="17">
        <f>_xlfn.XLOOKUP($B136,TB_NG!$A:$A,TB_NG!T:T)</f>
        <v>0</v>
      </c>
      <c r="S136" s="17">
        <f>_xlfn.XLOOKUP($B136,TB_NG!$A:$A,TB_NG!U:U)</f>
        <v>0</v>
      </c>
      <c r="T136" s="17">
        <f>_xlfn.XLOOKUP($B136,TB_NG!$A:$A,TB_NG!V:V)</f>
        <v>0</v>
      </c>
      <c r="U136" s="17">
        <f>_xlfn.XLOOKUP($B136,TB_NG!$A:$A,TB_NG!W:W)</f>
        <v>0</v>
      </c>
      <c r="V136" s="17">
        <f>_xlfn.XLOOKUP($B136,TB_NG!$A:$A,TB_NG!X:X)</f>
        <v>0</v>
      </c>
      <c r="W136" s="17">
        <f>_xlfn.XLOOKUP($B136,TB_NG!$A:$A,TB_NG!Y:Y)</f>
        <v>74539381.689999998</v>
      </c>
      <c r="X136" s="17">
        <f>_xlfn.XLOOKUP($B136,TB_NG!$A:$A,TB_NG!Z:Z)</f>
        <v>88357376.590000004</v>
      </c>
      <c r="Y136" s="17">
        <f>_xlfn.XLOOKUP($B136,TB_NG!$A:$A,TB_NG!AA:AA)</f>
        <v>98267389.469999999</v>
      </c>
      <c r="Z136" s="17">
        <f>_xlfn.XLOOKUP($B136,TB_NG!$A:$A,TB_NG!AB:AB)</f>
        <v>107697884.17</v>
      </c>
      <c r="AA136" s="17">
        <f>_xlfn.XLOOKUP($B136,TB_NG!$A:$A,TB_NG!AC:AC)</f>
        <v>107697884.17</v>
      </c>
      <c r="AB136" s="17">
        <f>_xlfn.XLOOKUP($B136,TB_NG!$A:$A,TB_NG!AD:AD)</f>
        <v>107697884.17</v>
      </c>
      <c r="AC136" s="17">
        <f>_xlfn.XLOOKUP($B136,TB_NG!$A:$A,TB_NG!AE:AE)</f>
        <v>107697884.17</v>
      </c>
      <c r="AD136" s="17">
        <f>_xlfn.XLOOKUP($B136,TB_NG!$A:$A,TB_NG!AF:AF)</f>
        <v>107697884.17</v>
      </c>
      <c r="AE136" s="17">
        <f>_xlfn.XLOOKUP($B136,TB_NG!$A:$A,TB_NG!AG:AG)</f>
        <v>107697884.17</v>
      </c>
      <c r="AF136" s="17">
        <f>_xlfn.XLOOKUP($B136,TB_NG!$A:$A,TB_NG!AH:AH)</f>
        <v>0</v>
      </c>
      <c r="AG136" s="17">
        <f>_xlfn.XLOOKUP($B136,TB_NG!$A:$A,TB_NG!AI:AI)</f>
        <v>0</v>
      </c>
      <c r="AH136" s="17">
        <f>_xlfn.XLOOKUP($B136,TB_NG!$A:$A,TB_NG!AJ:AJ)</f>
        <v>0</v>
      </c>
      <c r="AI136" s="17">
        <f>_xlfn.XLOOKUP($B136,TB_NG!$A:$A,TB_NG!AK:AK)</f>
        <v>0</v>
      </c>
      <c r="AJ136" s="17">
        <f>_xlfn.XLOOKUP($B136,TB_NG!$A:$A,TB_NG!AL:AL)</f>
        <v>0</v>
      </c>
      <c r="AK136" s="17">
        <f>_xlfn.XLOOKUP($B136,TB_NG!$A:$A,TB_NG!AM:AM)</f>
        <v>0</v>
      </c>
      <c r="AL136" s="17">
        <f>_xlfn.XLOOKUP($B136,TB_NG!$A:$A,TB_NG!AN:AN)</f>
        <v>0</v>
      </c>
      <c r="AM136" s="17">
        <f>_xlfn.XLOOKUP($B136,TB_NG!$A:$A,TB_NG!AO:AO)</f>
        <v>0</v>
      </c>
    </row>
    <row r="137" spans="2:39" hidden="1" outlineLevel="1" x14ac:dyDescent="0.2">
      <c r="B137" s="21">
        <v>69905</v>
      </c>
      <c r="C137" s="401" t="str">
        <f>_xlfn.XLOOKUP($B137,'[1]Trial Balance'!$A:$A,'[1]Trial Balance'!E:E)</f>
        <v>Accumulated Amortization - MFA Benin</v>
      </c>
      <c r="D137" s="17">
        <f>_xlfn.XLOOKUP($B137,TB_NG!$A:$A,TB_NG!F:F)</f>
        <v>0</v>
      </c>
      <c r="E137" s="17">
        <f>_xlfn.XLOOKUP($B137,TB_NG!$A:$A,TB_NG!G:G)</f>
        <v>0</v>
      </c>
      <c r="F137" s="17">
        <f>_xlfn.XLOOKUP($B137,TB_NG!$A:$A,TB_NG!H:H)</f>
        <v>0</v>
      </c>
      <c r="G137" s="17">
        <f>_xlfn.XLOOKUP($B137,TB_NG!$A:$A,TB_NG!I:I)</f>
        <v>0</v>
      </c>
      <c r="H137" s="17">
        <f>_xlfn.XLOOKUP($B137,TB_NG!$A:$A,TB_NG!J:J)</f>
        <v>0</v>
      </c>
      <c r="I137" s="17">
        <f>_xlfn.XLOOKUP($B137,TB_NG!$A:$A,TB_NG!K:K)</f>
        <v>0</v>
      </c>
      <c r="J137" s="17">
        <f>_xlfn.XLOOKUP($B137,TB_NG!$A:$A,TB_NG!L:L)</f>
        <v>0</v>
      </c>
      <c r="K137" s="17">
        <f>_xlfn.XLOOKUP($B137,TB_NG!$A:$A,TB_NG!M:M)</f>
        <v>0</v>
      </c>
      <c r="L137" s="17">
        <f>_xlfn.XLOOKUP($B137,TB_NG!$A:$A,TB_NG!N:N)</f>
        <v>0</v>
      </c>
      <c r="M137" s="17">
        <f>_xlfn.XLOOKUP($B137,TB_NG!$A:$A,TB_NG!O:O)</f>
        <v>0</v>
      </c>
      <c r="N137" s="17">
        <f>_xlfn.XLOOKUP($B137,TB_NG!$A:$A,TB_NG!P:P)</f>
        <v>0</v>
      </c>
      <c r="O137" s="17">
        <f>_xlfn.XLOOKUP($B137,TB_NG!$A:$A,TB_NG!Q:Q)</f>
        <v>0</v>
      </c>
      <c r="P137" s="17">
        <f>_xlfn.XLOOKUP($B137,TB_NG!$A:$A,TB_NG!R:R)</f>
        <v>0</v>
      </c>
      <c r="Q137" s="17">
        <f>_xlfn.XLOOKUP($B137,TB_NG!$A:$A,TB_NG!S:S)</f>
        <v>0</v>
      </c>
      <c r="R137" s="17">
        <f>_xlfn.XLOOKUP($B137,TB_NG!$A:$A,TB_NG!T:T)</f>
        <v>0</v>
      </c>
      <c r="S137" s="17">
        <f>_xlfn.XLOOKUP($B137,TB_NG!$A:$A,TB_NG!U:U)</f>
        <v>0</v>
      </c>
      <c r="T137" s="17">
        <f>_xlfn.XLOOKUP($B137,TB_NG!$A:$A,TB_NG!V:V)</f>
        <v>0</v>
      </c>
      <c r="U137" s="17">
        <f>_xlfn.XLOOKUP($B137,TB_NG!$A:$A,TB_NG!W:W)</f>
        <v>0</v>
      </c>
      <c r="V137" s="17">
        <f>_xlfn.XLOOKUP($B137,TB_NG!$A:$A,TB_NG!X:X)</f>
        <v>0</v>
      </c>
      <c r="W137" s="17">
        <f>_xlfn.XLOOKUP($B137,TB_NG!$A:$A,TB_NG!Y:Y)</f>
        <v>0</v>
      </c>
      <c r="X137" s="17">
        <f>_xlfn.XLOOKUP($B137,TB_NG!$A:$A,TB_NG!Z:Z)</f>
        <v>0</v>
      </c>
      <c r="Y137" s="17">
        <f>_xlfn.XLOOKUP($B137,TB_NG!$A:$A,TB_NG!AA:AA)</f>
        <v>0</v>
      </c>
      <c r="Z137" s="17">
        <f>_xlfn.XLOOKUP($B137,TB_NG!$A:$A,TB_NG!AB:AB)</f>
        <v>0</v>
      </c>
      <c r="AA137" s="17">
        <f>_xlfn.XLOOKUP($B137,TB_NG!$A:$A,TB_NG!AC:AC)</f>
        <v>0</v>
      </c>
      <c r="AB137" s="17">
        <f>_xlfn.XLOOKUP($B137,TB_NG!$A:$A,TB_NG!AD:AD)</f>
        <v>-1794964.74</v>
      </c>
      <c r="AC137" s="17">
        <f>_xlfn.XLOOKUP($B137,TB_NG!$A:$A,TB_NG!AE:AE)</f>
        <v>-3589929.48</v>
      </c>
      <c r="AD137" s="17">
        <f>_xlfn.XLOOKUP($B137,TB_NG!$A:$A,TB_NG!AF:AF)</f>
        <v>-5384894.2199999997</v>
      </c>
      <c r="AE137" s="17">
        <f>_xlfn.XLOOKUP($B137,TB_NG!$A:$A,TB_NG!AG:AG)</f>
        <v>-7179858.96</v>
      </c>
      <c r="AF137" s="17">
        <f>_xlfn.XLOOKUP($B137,TB_NG!$A:$A,TB_NG!AH:AH)</f>
        <v>0</v>
      </c>
      <c r="AG137" s="17">
        <f>_xlfn.XLOOKUP($B137,TB_NG!$A:$A,TB_NG!AI:AI)</f>
        <v>0</v>
      </c>
      <c r="AH137" s="17">
        <f>_xlfn.XLOOKUP($B137,TB_NG!$A:$A,TB_NG!AJ:AJ)</f>
        <v>0</v>
      </c>
      <c r="AI137" s="17">
        <f>_xlfn.XLOOKUP($B137,TB_NG!$A:$A,TB_NG!AK:AK)</f>
        <v>0</v>
      </c>
      <c r="AJ137" s="17">
        <f>_xlfn.XLOOKUP($B137,TB_NG!$A:$A,TB_NG!AL:AL)</f>
        <v>0</v>
      </c>
      <c r="AK137" s="17">
        <f>_xlfn.XLOOKUP($B137,TB_NG!$A:$A,TB_NG!AM:AM)</f>
        <v>0</v>
      </c>
      <c r="AL137" s="17">
        <f>_xlfn.XLOOKUP($B137,TB_NG!$A:$A,TB_NG!AN:AN)</f>
        <v>0</v>
      </c>
      <c r="AM137" s="17">
        <f>_xlfn.XLOOKUP($B137,TB_NG!$A:$A,TB_NG!AO:AO)</f>
        <v>0</v>
      </c>
    </row>
    <row r="138" spans="2:39" hidden="1" outlineLevel="1" x14ac:dyDescent="0.2">
      <c r="B138" s="21">
        <v>89906</v>
      </c>
      <c r="C138" s="401" t="str">
        <f>_xlfn.XLOOKUP($B138,'[1]Trial Balance'!$A:$A,'[1]Trial Balance'!E:E)</f>
        <v>Accumulated Amortization - Biosmart X</v>
      </c>
      <c r="D138" s="17">
        <f>_xlfn.XLOOKUP($B138,TB_NG!$A:$A,TB_NG!F:F)</f>
        <v>0</v>
      </c>
      <c r="E138" s="17">
        <f>_xlfn.XLOOKUP($B138,TB_NG!$A:$A,TB_NG!G:G)</f>
        <v>0</v>
      </c>
      <c r="F138" s="17">
        <f>_xlfn.XLOOKUP($B138,TB_NG!$A:$A,TB_NG!H:H)</f>
        <v>0</v>
      </c>
      <c r="G138" s="17">
        <f>_xlfn.XLOOKUP($B138,TB_NG!$A:$A,TB_NG!I:I)</f>
        <v>0</v>
      </c>
      <c r="H138" s="17">
        <f>_xlfn.XLOOKUP($B138,TB_NG!$A:$A,TB_NG!J:J)</f>
        <v>0</v>
      </c>
      <c r="I138" s="17">
        <f>_xlfn.XLOOKUP($B138,TB_NG!$A:$A,TB_NG!K:K)</f>
        <v>0</v>
      </c>
      <c r="J138" s="17">
        <f>_xlfn.XLOOKUP($B138,TB_NG!$A:$A,TB_NG!L:L)</f>
        <v>0</v>
      </c>
      <c r="K138" s="17">
        <f>_xlfn.XLOOKUP($B138,TB_NG!$A:$A,TB_NG!M:M)</f>
        <v>0</v>
      </c>
      <c r="L138" s="17">
        <f>_xlfn.XLOOKUP($B138,TB_NG!$A:$A,TB_NG!N:N)</f>
        <v>0</v>
      </c>
      <c r="M138" s="17">
        <f>_xlfn.XLOOKUP($B138,TB_NG!$A:$A,TB_NG!O:O)</f>
        <v>0</v>
      </c>
      <c r="N138" s="17">
        <f>_xlfn.XLOOKUP($B138,TB_NG!$A:$A,TB_NG!P:P)</f>
        <v>0</v>
      </c>
      <c r="O138" s="17">
        <f>_xlfn.XLOOKUP($B138,TB_NG!$A:$A,TB_NG!Q:Q)</f>
        <v>0</v>
      </c>
      <c r="P138" s="17">
        <f>_xlfn.XLOOKUP($B138,TB_NG!$A:$A,TB_NG!R:R)</f>
        <v>0</v>
      </c>
      <c r="Q138" s="17">
        <f>_xlfn.XLOOKUP($B138,TB_NG!$A:$A,TB_NG!S:S)</f>
        <v>0</v>
      </c>
      <c r="R138" s="17">
        <f>_xlfn.XLOOKUP($B138,TB_NG!$A:$A,TB_NG!T:T)</f>
        <v>0</v>
      </c>
      <c r="S138" s="17">
        <f>_xlfn.XLOOKUP($B138,TB_NG!$A:$A,TB_NG!U:U)</f>
        <v>0</v>
      </c>
      <c r="T138" s="17">
        <f>_xlfn.XLOOKUP($B138,TB_NG!$A:$A,TB_NG!V:V)</f>
        <v>0</v>
      </c>
      <c r="U138" s="17">
        <f>_xlfn.XLOOKUP($B138,TB_NG!$A:$A,TB_NG!W:W)</f>
        <v>0</v>
      </c>
      <c r="V138" s="17">
        <f>_xlfn.XLOOKUP($B138,TB_NG!$A:$A,TB_NG!X:X)</f>
        <v>0</v>
      </c>
      <c r="W138" s="17">
        <f>_xlfn.XLOOKUP($B138,TB_NG!$A:$A,TB_NG!Y:Y)</f>
        <v>0</v>
      </c>
      <c r="X138" s="17">
        <f>_xlfn.XLOOKUP($B138,TB_NG!$A:$A,TB_NG!Z:Z)</f>
        <v>0</v>
      </c>
      <c r="Y138" s="17">
        <f>_xlfn.XLOOKUP($B138,TB_NG!$A:$A,TB_NG!AA:AA)</f>
        <v>0</v>
      </c>
      <c r="Z138" s="17">
        <f>_xlfn.XLOOKUP($B138,TB_NG!$A:$A,TB_NG!AB:AB)</f>
        <v>0</v>
      </c>
      <c r="AA138" s="17">
        <f>_xlfn.XLOOKUP($B138,TB_NG!$A:$A,TB_NG!AC:AC)</f>
        <v>0</v>
      </c>
      <c r="AB138" s="17">
        <f>_xlfn.XLOOKUP($B138,TB_NG!$A:$A,TB_NG!AD:AD)</f>
        <v>-5361549.59</v>
      </c>
      <c r="AC138" s="17">
        <f>_xlfn.XLOOKUP($B138,TB_NG!$A:$A,TB_NG!AE:AE)</f>
        <v>-10723099.18</v>
      </c>
      <c r="AD138" s="17">
        <f>_xlfn.XLOOKUP($B138,TB_NG!$A:$A,TB_NG!AF:AF)</f>
        <v>-16084648.77</v>
      </c>
      <c r="AE138" s="17">
        <f>_xlfn.XLOOKUP($B138,TB_NG!$A:$A,TB_NG!AG:AG)</f>
        <v>-21446198.359999999</v>
      </c>
      <c r="AF138" s="17">
        <f>_xlfn.XLOOKUP($B138,TB_NG!$A:$A,TB_NG!AH:AH)</f>
        <v>0</v>
      </c>
      <c r="AG138" s="17">
        <f>_xlfn.XLOOKUP($B138,TB_NG!$A:$A,TB_NG!AI:AI)</f>
        <v>0</v>
      </c>
      <c r="AH138" s="17">
        <f>_xlfn.XLOOKUP($B138,TB_NG!$A:$A,TB_NG!AJ:AJ)</f>
        <v>0</v>
      </c>
      <c r="AI138" s="17">
        <f>_xlfn.XLOOKUP($B138,TB_NG!$A:$A,TB_NG!AK:AK)</f>
        <v>0</v>
      </c>
      <c r="AJ138" s="17">
        <f>_xlfn.XLOOKUP($B138,TB_NG!$A:$A,TB_NG!AL:AL)</f>
        <v>0</v>
      </c>
      <c r="AK138" s="17">
        <f>_xlfn.XLOOKUP($B138,TB_NG!$A:$A,TB_NG!AM:AM)</f>
        <v>0</v>
      </c>
      <c r="AL138" s="17">
        <f>_xlfn.XLOOKUP($B138,TB_NG!$A:$A,TB_NG!AN:AN)</f>
        <v>0</v>
      </c>
      <c r="AM138" s="17">
        <f>_xlfn.XLOOKUP($B138,TB_NG!$A:$A,TB_NG!AO:AO)</f>
        <v>0</v>
      </c>
    </row>
    <row r="139" spans="2:39" hidden="1" outlineLevel="1" x14ac:dyDescent="0.2">
      <c r="B139" s="21">
        <f>_xlfn.XLOOKUP($C139,TB_NG!$E:$E,TB_NG!A:A)</f>
        <v>15501</v>
      </c>
      <c r="C139" s="16" t="s">
        <v>250</v>
      </c>
      <c r="D139" s="17">
        <f>_xlfn.XLOOKUP($C139,TB_NG!$E:$E,TB_NG!F:F)</f>
        <v>363793880.81999999</v>
      </c>
      <c r="E139" s="17">
        <f>_xlfn.XLOOKUP($C139,TB_NG!$E:$E,TB_NG!G:G)</f>
        <v>383107008.41000003</v>
      </c>
      <c r="F139" s="17">
        <f>_xlfn.XLOOKUP($C139,TB_NG!$E:$E,TB_NG!H:H)</f>
        <v>408381553.41000003</v>
      </c>
      <c r="G139" s="17">
        <f>_xlfn.XLOOKUP($C139,TB_NG!$E:$E,TB_NG!I:I)</f>
        <v>429326894.85000002</v>
      </c>
      <c r="H139" s="17">
        <f>_xlfn.XLOOKUP($C139,TB_NG!$E:$E,TB_NG!J:J)</f>
        <v>451571950.82999998</v>
      </c>
      <c r="I139" s="17">
        <f>_xlfn.XLOOKUP($C139,TB_NG!$E:$E,TB_NG!K:K)</f>
        <v>474971974.51999998</v>
      </c>
      <c r="J139" s="17">
        <f>_xlfn.XLOOKUP($C139,TB_NG!$E:$E,TB_NG!L:L)</f>
        <v>497179611.41000003</v>
      </c>
      <c r="K139" s="17">
        <f>_xlfn.XLOOKUP($C139,TB_NG!$E:$E,TB_NG!M:M)</f>
        <v>519321513.86000001</v>
      </c>
      <c r="L139" s="17">
        <f>_xlfn.XLOOKUP($C139,TB_NG!$E:$E,TB_NG!N:N)</f>
        <v>544266299.65999997</v>
      </c>
      <c r="M139" s="17">
        <f>_xlfn.XLOOKUP($C139,TB_NG!$E:$E,TB_NG!O:O)</f>
        <v>546358998.30999994</v>
      </c>
      <c r="N139" s="17">
        <f>_xlfn.XLOOKUP($C139,TB_NG!$E:$E,TB_NG!P:P)</f>
        <v>576262713.03999996</v>
      </c>
      <c r="O139" s="17">
        <f>_xlfn.XLOOKUP($C139,TB_NG!$E:$E,TB_NG!Q:Q)</f>
        <v>608045544.54999995</v>
      </c>
      <c r="P139" s="17">
        <f>_xlfn.XLOOKUP($C139,TB_NG!$E:$E,TB_NG!R:R)</f>
        <v>621367684.12</v>
      </c>
      <c r="Q139" s="17">
        <f>_xlfn.XLOOKUP($C139,TB_NG!$E:$E,TB_NG!S:S)</f>
        <v>629243877.60000002</v>
      </c>
      <c r="R139" s="17">
        <f>_xlfn.XLOOKUP($C139,TB_NG!$E:$E,TB_NG!T:T)</f>
        <v>638405483.95000005</v>
      </c>
      <c r="S139" s="17">
        <f>_xlfn.XLOOKUP($C139,TB_NG!$E:$E,TB_NG!U:U)</f>
        <v>643385951.24000001</v>
      </c>
      <c r="T139" s="17">
        <f>_xlfn.XLOOKUP($C139,TB_NG!$E:$E,TB_NG!V:V)</f>
        <v>643949346.76999998</v>
      </c>
      <c r="U139" s="17">
        <f>_xlfn.XLOOKUP($C139,TB_NG!$E:$E,TB_NG!W:W)</f>
        <v>644391600.25</v>
      </c>
      <c r="V139" s="17">
        <f>_xlfn.XLOOKUP($C139,TB_NG!$E:$E,TB_NG!X:X)</f>
        <v>644834851.25</v>
      </c>
      <c r="W139" s="17">
        <f>_xlfn.XLOOKUP($C139,TB_NG!$E:$E,TB_NG!Y:Y)</f>
        <v>645172846.52999997</v>
      </c>
      <c r="X139" s="17">
        <f>_xlfn.XLOOKUP($C139,TB_NG!$E:$E,TB_NG!Z:Z)</f>
        <v>643385951.24000001</v>
      </c>
      <c r="Y139" s="17">
        <f>_xlfn.XLOOKUP($C139,TB_NG!$E:$E,TB_NG!AA:AA)</f>
        <v>643385951.24000001</v>
      </c>
      <c r="Z139" s="17">
        <f>_xlfn.XLOOKUP($C139,TB_NG!$E:$E,TB_NG!AB:AB)</f>
        <v>643385951.24000001</v>
      </c>
      <c r="AA139" s="17">
        <f>_xlfn.XLOOKUP($C139,TB_NG!$E:$E,TB_NG!AC:AC)</f>
        <v>643385951.24000001</v>
      </c>
      <c r="AB139" s="17">
        <f>_xlfn.XLOOKUP($C139,TB_NG!$E:$E,TB_NG!AD:AD)</f>
        <v>643385951.24000001</v>
      </c>
      <c r="AC139" s="17">
        <f>_xlfn.XLOOKUP($C139,TB_NG!$E:$E,TB_NG!AE:AE)</f>
        <v>643385951.24000001</v>
      </c>
      <c r="AD139" s="17">
        <f>_xlfn.XLOOKUP($C139,TB_NG!$E:$E,TB_NG!AF:AF)</f>
        <v>643385951.24000001</v>
      </c>
      <c r="AE139" s="17">
        <f>_xlfn.XLOOKUP($C139,TB_NG!$E:$E,TB_NG!AG:AG)</f>
        <v>643385951.24000001</v>
      </c>
      <c r="AF139" s="17">
        <f>_xlfn.XLOOKUP($C139,TB_NG!$E:$E,TB_NG!AH:AH)</f>
        <v>0</v>
      </c>
      <c r="AG139" s="17">
        <f>_xlfn.XLOOKUP($C139,TB_NG!$E:$E,TB_NG!AI:AI)</f>
        <v>0</v>
      </c>
      <c r="AH139" s="17">
        <f>_xlfn.XLOOKUP($C139,TB_NG!$E:$E,TB_NG!AJ:AJ)</f>
        <v>0</v>
      </c>
      <c r="AI139" s="17">
        <f>_xlfn.XLOOKUP($C139,TB_NG!$E:$E,TB_NG!AK:AK)</f>
        <v>0</v>
      </c>
      <c r="AJ139" s="17">
        <f>_xlfn.XLOOKUP($C139,TB_NG!$E:$E,TB_NG!AL:AL)</f>
        <v>0</v>
      </c>
      <c r="AK139" s="17">
        <f>_xlfn.XLOOKUP($C139,TB_NG!$E:$E,TB_NG!AM:AM)</f>
        <v>0</v>
      </c>
      <c r="AL139" s="17">
        <f>_xlfn.XLOOKUP($C139,TB_NG!$E:$E,TB_NG!AN:AN)</f>
        <v>0</v>
      </c>
      <c r="AM139" s="17">
        <f>_xlfn.XLOOKUP($C139,TB_NG!$E:$E,TB_NG!AO:AO)</f>
        <v>0</v>
      </c>
    </row>
    <row r="140" spans="2:39" hidden="1" outlineLevel="1" x14ac:dyDescent="0.2">
      <c r="B140" s="21">
        <f>_xlfn.XLOOKUP($C140,TB_NG!$E:$E,TB_NG!A:A)</f>
        <v>15505</v>
      </c>
      <c r="C140" s="16" t="s">
        <v>251</v>
      </c>
      <c r="D140" s="17">
        <f>_xlfn.XLOOKUP($C140,TB_NG!$E:$E,TB_NG!F:F)</f>
        <v>8503671.5099999998</v>
      </c>
      <c r="E140" s="17">
        <f>_xlfn.XLOOKUP($C140,TB_NG!$E:$E,TB_NG!G:G)</f>
        <v>8503671.5099999998</v>
      </c>
      <c r="F140" s="17">
        <f>_xlfn.XLOOKUP($C140,TB_NG!$E:$E,TB_NG!H:H)</f>
        <v>8503671.5099999998</v>
      </c>
      <c r="G140" s="17">
        <f>_xlfn.XLOOKUP($C140,TB_NG!$E:$E,TB_NG!I:I)</f>
        <v>8503671.5099999998</v>
      </c>
      <c r="H140" s="17">
        <f>_xlfn.XLOOKUP($C140,TB_NG!$E:$E,TB_NG!J:J)</f>
        <v>8503671.5099999998</v>
      </c>
      <c r="I140" s="17">
        <f>_xlfn.XLOOKUP($C140,TB_NG!$E:$E,TB_NG!K:K)</f>
        <v>8503671.5099999998</v>
      </c>
      <c r="J140" s="17">
        <f>_xlfn.XLOOKUP($C140,TB_NG!$E:$E,TB_NG!L:L)</f>
        <v>8503671.5099999998</v>
      </c>
      <c r="K140" s="17">
        <f>_xlfn.XLOOKUP($C140,TB_NG!$E:$E,TB_NG!M:M)</f>
        <v>8503671.5099999998</v>
      </c>
      <c r="L140" s="17">
        <f>_xlfn.XLOOKUP($C140,TB_NG!$E:$E,TB_NG!N:N)</f>
        <v>8503671.5099999998</v>
      </c>
      <c r="M140" s="17">
        <f>_xlfn.XLOOKUP($C140,TB_NG!$E:$E,TB_NG!O:O)</f>
        <v>8503671.5099999998</v>
      </c>
      <c r="N140" s="17">
        <f>_xlfn.XLOOKUP($C140,TB_NG!$E:$E,TB_NG!P:P)</f>
        <v>8503671.5099999998</v>
      </c>
      <c r="O140" s="17">
        <f>_xlfn.XLOOKUP($C140,TB_NG!$E:$E,TB_NG!Q:Q)</f>
        <v>8503671.5099999998</v>
      </c>
      <c r="P140" s="17">
        <f>_xlfn.XLOOKUP($C140,TB_NG!$E:$E,TB_NG!R:R)</f>
        <v>8503671.5099999998</v>
      </c>
      <c r="Q140" s="17">
        <f>_xlfn.XLOOKUP($C140,TB_NG!$E:$E,TB_NG!S:S)</f>
        <v>8503671.5099999998</v>
      </c>
      <c r="R140" s="17">
        <f>_xlfn.XLOOKUP($C140,TB_NG!$E:$E,TB_NG!T:T)</f>
        <v>8503671.5099999998</v>
      </c>
      <c r="S140" s="17">
        <f>_xlfn.XLOOKUP($C140,TB_NG!$E:$E,TB_NG!U:U)</f>
        <v>8503671.5099999998</v>
      </c>
      <c r="T140" s="17">
        <f>_xlfn.XLOOKUP($C140,TB_NG!$E:$E,TB_NG!V:V)</f>
        <v>8503671.5099999998</v>
      </c>
      <c r="U140" s="17">
        <f>_xlfn.XLOOKUP($C140,TB_NG!$E:$E,TB_NG!W:W)</f>
        <v>7288861.2699999996</v>
      </c>
      <c r="V140" s="17">
        <f>_xlfn.XLOOKUP($C140,TB_NG!$E:$E,TB_NG!X:X)</f>
        <v>8503671.5099999998</v>
      </c>
      <c r="W140" s="17">
        <f>_xlfn.XLOOKUP($C140,TB_NG!$E:$E,TB_NG!Y:Y)</f>
        <v>8503671.5099999998</v>
      </c>
      <c r="X140" s="17">
        <f>_xlfn.XLOOKUP($C140,TB_NG!$E:$E,TB_NG!Z:Z)</f>
        <v>8503671.5099999998</v>
      </c>
      <c r="Y140" s="17">
        <f>_xlfn.XLOOKUP($C140,TB_NG!$E:$E,TB_NG!AA:AA)</f>
        <v>8503671.5099999998</v>
      </c>
      <c r="Z140" s="17">
        <f>_xlfn.XLOOKUP($C140,TB_NG!$E:$E,TB_NG!AB:AB)</f>
        <v>8503671.5099999998</v>
      </c>
      <c r="AA140" s="17">
        <f>_xlfn.XLOOKUP($C140,TB_NG!$E:$E,TB_NG!AC:AC)</f>
        <v>0</v>
      </c>
      <c r="AB140" s="17">
        <f>_xlfn.XLOOKUP($C140,TB_NG!$E:$E,TB_NG!AD:AD)</f>
        <v>0</v>
      </c>
      <c r="AC140" s="17">
        <f>_xlfn.XLOOKUP($C140,TB_NG!$E:$E,TB_NG!AE:AE)</f>
        <v>0</v>
      </c>
      <c r="AD140" s="17">
        <f>_xlfn.XLOOKUP($C140,TB_NG!$E:$E,TB_NG!AF:AF)</f>
        <v>0</v>
      </c>
      <c r="AE140" s="17">
        <f>_xlfn.XLOOKUP($C140,TB_NG!$E:$E,TB_NG!AG:AG)</f>
        <v>0</v>
      </c>
      <c r="AF140" s="17">
        <f>_xlfn.XLOOKUP($C140,TB_NG!$E:$E,TB_NG!AH:AH)</f>
        <v>0</v>
      </c>
      <c r="AG140" s="17">
        <f>_xlfn.XLOOKUP($C140,TB_NG!$E:$E,TB_NG!AI:AI)</f>
        <v>0</v>
      </c>
      <c r="AH140" s="17">
        <f>_xlfn.XLOOKUP($C140,TB_NG!$E:$E,TB_NG!AJ:AJ)</f>
        <v>0</v>
      </c>
      <c r="AI140" s="17">
        <f>_xlfn.XLOOKUP($C140,TB_NG!$E:$E,TB_NG!AK:AK)</f>
        <v>0</v>
      </c>
      <c r="AJ140" s="17">
        <f>_xlfn.XLOOKUP($C140,TB_NG!$E:$E,TB_NG!AL:AL)</f>
        <v>0</v>
      </c>
      <c r="AK140" s="17">
        <f>_xlfn.XLOOKUP($C140,TB_NG!$E:$E,TB_NG!AM:AM)</f>
        <v>0</v>
      </c>
      <c r="AL140" s="17">
        <f>_xlfn.XLOOKUP($C140,TB_NG!$E:$E,TB_NG!AN:AN)</f>
        <v>0</v>
      </c>
      <c r="AM140" s="17">
        <f>_xlfn.XLOOKUP($C140,TB_NG!$E:$E,TB_NG!AO:AO)</f>
        <v>0</v>
      </c>
    </row>
    <row r="141" spans="2:39" hidden="1" outlineLevel="1" x14ac:dyDescent="0.2">
      <c r="B141" s="21">
        <f>_xlfn.XLOOKUP($C141,TB_NG!$E:$E,TB_NG!A:A)</f>
        <v>15509</v>
      </c>
      <c r="C141" s="16" t="s">
        <v>252</v>
      </c>
      <c r="D141" s="17">
        <f>_xlfn.XLOOKUP($C141,TB_NG!$E:$E,TB_NG!F:F)</f>
        <v>0</v>
      </c>
      <c r="E141" s="17">
        <f>_xlfn.XLOOKUP($C141,TB_NG!$E:$E,TB_NG!G:G)</f>
        <v>0</v>
      </c>
      <c r="F141" s="17">
        <f>_xlfn.XLOOKUP($C141,TB_NG!$E:$E,TB_NG!H:H)</f>
        <v>0</v>
      </c>
      <c r="G141" s="17">
        <f>_xlfn.XLOOKUP($C141,TB_NG!$E:$E,TB_NG!I:I)</f>
        <v>0</v>
      </c>
      <c r="H141" s="17">
        <f>_xlfn.XLOOKUP($C141,TB_NG!$E:$E,TB_NG!J:J)</f>
        <v>0</v>
      </c>
      <c r="I141" s="17">
        <f>_xlfn.XLOOKUP($C141,TB_NG!$E:$E,TB_NG!K:K)</f>
        <v>2400000</v>
      </c>
      <c r="J141" s="17">
        <f>_xlfn.XLOOKUP($C141,TB_NG!$E:$E,TB_NG!L:L)</f>
        <v>2400000</v>
      </c>
      <c r="K141" s="17">
        <f>_xlfn.XLOOKUP($C141,TB_NG!$E:$E,TB_NG!M:M)</f>
        <v>2400000</v>
      </c>
      <c r="L141" s="17">
        <f>_xlfn.XLOOKUP($C141,TB_NG!$E:$E,TB_NG!N:N)</f>
        <v>2400000</v>
      </c>
      <c r="M141" s="17">
        <f>_xlfn.XLOOKUP($C141,TB_NG!$E:$E,TB_NG!O:O)</f>
        <v>4400000</v>
      </c>
      <c r="N141" s="17">
        <f>_xlfn.XLOOKUP($C141,TB_NG!$E:$E,TB_NG!P:P)</f>
        <v>4400000</v>
      </c>
      <c r="O141" s="17">
        <f>_xlfn.XLOOKUP($C141,TB_NG!$E:$E,TB_NG!Q:Q)</f>
        <v>4400000</v>
      </c>
      <c r="P141" s="17">
        <f>_xlfn.XLOOKUP($C141,TB_NG!$E:$E,TB_NG!R:R)</f>
        <v>4400000</v>
      </c>
      <c r="Q141" s="17">
        <f>_xlfn.XLOOKUP($C141,TB_NG!$E:$E,TB_NG!S:S)</f>
        <v>4400000</v>
      </c>
      <c r="R141" s="17">
        <f>_xlfn.XLOOKUP($C141,TB_NG!$E:$E,TB_NG!T:T)</f>
        <v>4400000</v>
      </c>
      <c r="S141" s="17">
        <f>_xlfn.XLOOKUP($C141,TB_NG!$E:$E,TB_NG!U:U)</f>
        <v>5400000</v>
      </c>
      <c r="T141" s="17">
        <f>_xlfn.XLOOKUP($C141,TB_NG!$E:$E,TB_NG!V:V)</f>
        <v>5400000</v>
      </c>
      <c r="U141" s="17">
        <f>_xlfn.XLOOKUP($C141,TB_NG!$E:$E,TB_NG!W:W)</f>
        <v>5400000</v>
      </c>
      <c r="V141" s="17">
        <f>_xlfn.XLOOKUP($C141,TB_NG!$E:$E,TB_NG!X:X)</f>
        <v>10400000</v>
      </c>
      <c r="W141" s="17">
        <f>_xlfn.XLOOKUP($C141,TB_NG!$E:$E,TB_NG!Y:Y)</f>
        <v>10400000</v>
      </c>
      <c r="X141" s="17">
        <f>_xlfn.XLOOKUP($C141,TB_NG!$E:$E,TB_NG!Z:Z)</f>
        <v>10400000</v>
      </c>
      <c r="Y141" s="17">
        <f>_xlfn.XLOOKUP($C141,TB_NG!$E:$E,TB_NG!AA:AA)</f>
        <v>10400000</v>
      </c>
      <c r="Z141" s="17">
        <f>_xlfn.XLOOKUP($C141,TB_NG!$E:$E,TB_NG!AB:AB)</f>
        <v>11400000</v>
      </c>
      <c r="AA141" s="17">
        <f>_xlfn.XLOOKUP($C141,TB_NG!$E:$E,TB_NG!AC:AC)</f>
        <v>11400000</v>
      </c>
      <c r="AB141" s="17">
        <f>_xlfn.XLOOKUP($C141,TB_NG!$E:$E,TB_NG!AD:AD)</f>
        <v>11400000</v>
      </c>
      <c r="AC141" s="17">
        <f>_xlfn.XLOOKUP($C141,TB_NG!$E:$E,TB_NG!AE:AE)</f>
        <v>11400000</v>
      </c>
      <c r="AD141" s="17">
        <f>_xlfn.XLOOKUP($C141,TB_NG!$E:$E,TB_NG!AF:AF)</f>
        <v>11400000</v>
      </c>
      <c r="AE141" s="17">
        <f>_xlfn.XLOOKUP($C141,TB_NG!$E:$E,TB_NG!AG:AG)</f>
        <v>11400000</v>
      </c>
      <c r="AF141" s="17">
        <f>_xlfn.XLOOKUP($C141,TB_NG!$E:$E,TB_NG!AH:AH)</f>
        <v>0</v>
      </c>
      <c r="AG141" s="17">
        <f>_xlfn.XLOOKUP($C141,TB_NG!$E:$E,TB_NG!AI:AI)</f>
        <v>0</v>
      </c>
      <c r="AH141" s="17">
        <f>_xlfn.XLOOKUP($C141,TB_NG!$E:$E,TB_NG!AJ:AJ)</f>
        <v>0</v>
      </c>
      <c r="AI141" s="17">
        <f>_xlfn.XLOOKUP($C141,TB_NG!$E:$E,TB_NG!AK:AK)</f>
        <v>0</v>
      </c>
      <c r="AJ141" s="17">
        <f>_xlfn.XLOOKUP($C141,TB_NG!$E:$E,TB_NG!AL:AL)</f>
        <v>0</v>
      </c>
      <c r="AK141" s="17">
        <f>_xlfn.XLOOKUP($C141,TB_NG!$E:$E,TB_NG!AM:AM)</f>
        <v>0</v>
      </c>
      <c r="AL141" s="17">
        <f>_xlfn.XLOOKUP($C141,TB_NG!$E:$E,TB_NG!AN:AN)</f>
        <v>0</v>
      </c>
      <c r="AM141" s="17">
        <f>_xlfn.XLOOKUP($C141,TB_NG!$E:$E,TB_NG!AO:AO)</f>
        <v>0</v>
      </c>
    </row>
    <row r="142" spans="2:39" hidden="1" outlineLevel="1" x14ac:dyDescent="0.2">
      <c r="B142" s="21">
        <f>_xlfn.XLOOKUP($C142,TB_NG!$E:$E,TB_NG!A:A)</f>
        <v>15510</v>
      </c>
      <c r="C142" s="16" t="s">
        <v>253</v>
      </c>
      <c r="D142" s="17">
        <f>_xlfn.XLOOKUP($C142,TB_NG!$E:$E,TB_NG!F:F)</f>
        <v>0</v>
      </c>
      <c r="E142" s="17">
        <f>_xlfn.XLOOKUP($C142,TB_NG!$E:$E,TB_NG!G:G)</f>
        <v>0</v>
      </c>
      <c r="F142" s="17">
        <f>_xlfn.XLOOKUP($C142,TB_NG!$E:$E,TB_NG!H:H)</f>
        <v>0</v>
      </c>
      <c r="G142" s="17">
        <f>_xlfn.XLOOKUP($C142,TB_NG!$E:$E,TB_NG!I:I)</f>
        <v>0</v>
      </c>
      <c r="H142" s="17">
        <f>_xlfn.XLOOKUP($C142,TB_NG!$E:$E,TB_NG!J:J)</f>
        <v>0</v>
      </c>
      <c r="I142" s="17">
        <f>_xlfn.XLOOKUP($C142,TB_NG!$E:$E,TB_NG!K:K)</f>
        <v>9685283.8000000007</v>
      </c>
      <c r="J142" s="17">
        <f>_xlfn.XLOOKUP($C142,TB_NG!$E:$E,TB_NG!L:L)</f>
        <v>99160219.060000002</v>
      </c>
      <c r="K142" s="17">
        <f>_xlfn.XLOOKUP($C142,TB_NG!$E:$E,TB_NG!M:M)</f>
        <v>150618380.36000001</v>
      </c>
      <c r="L142" s="17">
        <f>_xlfn.XLOOKUP($C142,TB_NG!$E:$E,TB_NG!N:N)</f>
        <v>252189301.40000001</v>
      </c>
      <c r="M142" s="17">
        <f>_xlfn.XLOOKUP($C142,TB_NG!$E:$E,TB_NG!O:O)</f>
        <v>409542430.24000001</v>
      </c>
      <c r="N142" s="17">
        <f>_xlfn.XLOOKUP($C142,TB_NG!$E:$E,TB_NG!P:P)</f>
        <v>418121134.19</v>
      </c>
      <c r="O142" s="17">
        <f>_xlfn.XLOOKUP($C142,TB_NG!$E:$E,TB_NG!Q:Q)</f>
        <v>425611613.13999999</v>
      </c>
      <c r="P142" s="17">
        <f>_xlfn.XLOOKUP($C142,TB_NG!$E:$E,TB_NG!R:R)</f>
        <v>551035086.30999994</v>
      </c>
      <c r="Q142" s="17">
        <f>_xlfn.XLOOKUP($C142,TB_NG!$E:$E,TB_NG!S:S)</f>
        <v>647006032.61000001</v>
      </c>
      <c r="R142" s="17">
        <f>_xlfn.XLOOKUP($C142,TB_NG!$E:$E,TB_NG!T:T)</f>
        <v>701593285.34000003</v>
      </c>
      <c r="S142" s="17">
        <f>_xlfn.XLOOKUP($C142,TB_NG!$E:$E,TB_NG!U:U)</f>
        <v>891065643.45000005</v>
      </c>
      <c r="T142" s="17">
        <f>_xlfn.XLOOKUP($C142,TB_NG!$E:$E,TB_NG!V:V)</f>
        <v>896413018.45000005</v>
      </c>
      <c r="U142" s="17">
        <f>_xlfn.XLOOKUP($C142,TB_NG!$E:$E,TB_NG!W:W)</f>
        <v>971341658.44000006</v>
      </c>
      <c r="V142" s="17">
        <f>_xlfn.XLOOKUP($C142,TB_NG!$E:$E,TB_NG!X:X)</f>
        <v>1066894070.23</v>
      </c>
      <c r="W142" s="17">
        <f>_xlfn.XLOOKUP($C142,TB_NG!$E:$E,TB_NG!Y:Y)</f>
        <v>1185707663.48</v>
      </c>
      <c r="X142" s="17">
        <f>_xlfn.XLOOKUP($C142,TB_NG!$E:$E,TB_NG!Z:Z)</f>
        <v>1305043294.6800001</v>
      </c>
      <c r="Y142" s="17">
        <f>_xlfn.XLOOKUP($C142,TB_NG!$E:$E,TB_NG!AA:AA)</f>
        <v>1381601549.5599999</v>
      </c>
      <c r="Z142" s="17">
        <f>_xlfn.XLOOKUP($C142,TB_NG!$E:$E,TB_NG!AB:AB)</f>
        <v>1399438542.73</v>
      </c>
      <c r="AA142" s="17">
        <f>_xlfn.XLOOKUP($C142,TB_NG!$E:$E,TB_NG!AC:AC)</f>
        <v>1579061423.45</v>
      </c>
      <c r="AB142" s="17">
        <f>_xlfn.XLOOKUP($C142,TB_NG!$E:$E,TB_NG!AD:AD)</f>
        <v>1582904816.3800001</v>
      </c>
      <c r="AC142" s="17">
        <f>_xlfn.XLOOKUP($C142,TB_NG!$E:$E,TB_NG!AE:AE)</f>
        <v>1587533938.73</v>
      </c>
      <c r="AD142" s="17">
        <f>_xlfn.XLOOKUP($C142,TB_NG!$E:$E,TB_NG!AF:AF)</f>
        <v>1670262314.0899999</v>
      </c>
      <c r="AE142" s="17">
        <f>_xlfn.XLOOKUP($C142,TB_NG!$E:$E,TB_NG!AG:AG)</f>
        <v>1671302043.48</v>
      </c>
      <c r="AF142" s="17">
        <f>_xlfn.XLOOKUP($C142,TB_NG!$E:$E,TB_NG!AH:AH)</f>
        <v>0</v>
      </c>
      <c r="AG142" s="17">
        <f>_xlfn.XLOOKUP($C142,TB_NG!$E:$E,TB_NG!AI:AI)</f>
        <v>0</v>
      </c>
      <c r="AH142" s="17">
        <f>_xlfn.XLOOKUP($C142,TB_NG!$E:$E,TB_NG!AJ:AJ)</f>
        <v>0</v>
      </c>
      <c r="AI142" s="17">
        <f>_xlfn.XLOOKUP($C142,TB_NG!$E:$E,TB_NG!AK:AK)</f>
        <v>0</v>
      </c>
      <c r="AJ142" s="17">
        <f>_xlfn.XLOOKUP($C142,TB_NG!$E:$E,TB_NG!AL:AL)</f>
        <v>0</v>
      </c>
      <c r="AK142" s="17">
        <f>_xlfn.XLOOKUP($C142,TB_NG!$E:$E,TB_NG!AM:AM)</f>
        <v>0</v>
      </c>
      <c r="AL142" s="17">
        <f>_xlfn.XLOOKUP($C142,TB_NG!$E:$E,TB_NG!AN:AN)</f>
        <v>0</v>
      </c>
      <c r="AM142" s="17">
        <f>_xlfn.XLOOKUP($C142,TB_NG!$E:$E,TB_NG!AO:AO)</f>
        <v>0</v>
      </c>
    </row>
    <row r="143" spans="2:39" hidden="1" outlineLevel="1" x14ac:dyDescent="0.2">
      <c r="B143" s="21">
        <f>_xlfn.XLOOKUP($C143,TB_NG!$E:$E,TB_NG!A:A)</f>
        <v>16500</v>
      </c>
      <c r="C143" s="16" t="s">
        <v>254</v>
      </c>
      <c r="D143" s="17">
        <f>_xlfn.XLOOKUP($C143,TB_NG!$E:$E,TB_NG!F:F)</f>
        <v>-17904365.100000001</v>
      </c>
      <c r="E143" s="17">
        <f>_xlfn.XLOOKUP($C143,TB_NG!$E:$E,TB_NG!G:G)</f>
        <v>-17904365.100000001</v>
      </c>
      <c r="F143" s="17">
        <f>_xlfn.XLOOKUP($C143,TB_NG!$E:$E,TB_NG!H:H)</f>
        <v>-17904365.100000001</v>
      </c>
      <c r="G143" s="17">
        <f>_xlfn.XLOOKUP($C143,TB_NG!$E:$E,TB_NG!I:I)</f>
        <v>-17904365.100000001</v>
      </c>
      <c r="H143" s="17">
        <f>_xlfn.XLOOKUP($C143,TB_NG!$E:$E,TB_NG!J:J)</f>
        <v>-17904365.100000001</v>
      </c>
      <c r="I143" s="17">
        <f>_xlfn.XLOOKUP($C143,TB_NG!$E:$E,TB_NG!K:K)</f>
        <v>-17904365.100000001</v>
      </c>
      <c r="J143" s="17">
        <f>_xlfn.XLOOKUP($C143,TB_NG!$E:$E,TB_NG!L:L)</f>
        <v>-17904365.100000001</v>
      </c>
      <c r="K143" s="17">
        <f>_xlfn.XLOOKUP($C143,TB_NG!$E:$E,TB_NG!M:M)</f>
        <v>-17904365.100000001</v>
      </c>
      <c r="L143" s="17">
        <f>_xlfn.XLOOKUP($C143,TB_NG!$E:$E,TB_NG!N:N)</f>
        <v>-17904365.100000001</v>
      </c>
      <c r="M143" s="17">
        <f>_xlfn.XLOOKUP($C143,TB_NG!$E:$E,TB_NG!O:O)</f>
        <v>-17904365.100000001</v>
      </c>
      <c r="N143" s="17">
        <f>_xlfn.XLOOKUP($C143,TB_NG!$E:$E,TB_NG!P:P)</f>
        <v>-17904365.100000001</v>
      </c>
      <c r="O143" s="17">
        <f>_xlfn.XLOOKUP($C143,TB_NG!$E:$E,TB_NG!Q:Q)</f>
        <v>-17904365.100000001</v>
      </c>
      <c r="P143" s="17">
        <f>_xlfn.XLOOKUP($C143,TB_NG!$E:$E,TB_NG!R:R)</f>
        <v>-17904365.100000001</v>
      </c>
      <c r="Q143" s="17">
        <f>_xlfn.XLOOKUP($C143,TB_NG!$E:$E,TB_NG!S:S)</f>
        <v>-17904365.100000001</v>
      </c>
      <c r="R143" s="17">
        <f>_xlfn.XLOOKUP($C143,TB_NG!$E:$E,TB_NG!T:T)</f>
        <v>-17904365.100000001</v>
      </c>
      <c r="S143" s="17">
        <f>_xlfn.XLOOKUP($C143,TB_NG!$E:$E,TB_NG!U:U)</f>
        <v>-17904365.100000001</v>
      </c>
      <c r="T143" s="17">
        <f>_xlfn.XLOOKUP($C143,TB_NG!$E:$E,TB_NG!V:V)</f>
        <v>-17904365.100000001</v>
      </c>
      <c r="U143" s="17">
        <f>_xlfn.XLOOKUP($C143,TB_NG!$E:$E,TB_NG!W:W)</f>
        <v>-17904365.100000001</v>
      </c>
      <c r="V143" s="17">
        <f>_xlfn.XLOOKUP($C143,TB_NG!$E:$E,TB_NG!X:X)</f>
        <v>-17904365.100000001</v>
      </c>
      <c r="W143" s="17">
        <f>_xlfn.XLOOKUP($C143,TB_NG!$E:$E,TB_NG!Y:Y)</f>
        <v>-17904365.100000001</v>
      </c>
      <c r="X143" s="17">
        <f>_xlfn.XLOOKUP($C143,TB_NG!$E:$E,TB_NG!Z:Z)</f>
        <v>-17904365.100000001</v>
      </c>
      <c r="Y143" s="17">
        <f>_xlfn.XLOOKUP($C143,TB_NG!$E:$E,TB_NG!AA:AA)</f>
        <v>-17904365.100000001</v>
      </c>
      <c r="Z143" s="17">
        <f>_xlfn.XLOOKUP($C143,TB_NG!$E:$E,TB_NG!AB:AB)</f>
        <v>-17904365.100000001</v>
      </c>
      <c r="AA143" s="17">
        <f>_xlfn.XLOOKUP($C143,TB_NG!$E:$E,TB_NG!AC:AC)</f>
        <v>-17904365.100000001</v>
      </c>
      <c r="AB143" s="17">
        <f>_xlfn.XLOOKUP($C143,TB_NG!$E:$E,TB_NG!AD:AD)</f>
        <v>0</v>
      </c>
      <c r="AC143" s="17">
        <f>_xlfn.XLOOKUP($C143,TB_NG!$E:$E,TB_NG!AE:AE)</f>
        <v>0</v>
      </c>
      <c r="AD143" s="17">
        <f>_xlfn.XLOOKUP($C143,TB_NG!$E:$E,TB_NG!AF:AF)</f>
        <v>0</v>
      </c>
      <c r="AE143" s="17">
        <f>_xlfn.XLOOKUP($C143,TB_NG!$E:$E,TB_NG!AG:AG)</f>
        <v>0</v>
      </c>
      <c r="AF143" s="17">
        <f>_xlfn.XLOOKUP($C143,TB_NG!$E:$E,TB_NG!AH:AH)</f>
        <v>0</v>
      </c>
      <c r="AG143" s="17">
        <f>_xlfn.XLOOKUP($C143,TB_NG!$E:$E,TB_NG!AI:AI)</f>
        <v>0</v>
      </c>
      <c r="AH143" s="17">
        <f>_xlfn.XLOOKUP($C143,TB_NG!$E:$E,TB_NG!AJ:AJ)</f>
        <v>0</v>
      </c>
      <c r="AI143" s="17">
        <f>_xlfn.XLOOKUP($C143,TB_NG!$E:$E,TB_NG!AK:AK)</f>
        <v>0</v>
      </c>
      <c r="AJ143" s="17">
        <f>_xlfn.XLOOKUP($C143,TB_NG!$E:$E,TB_NG!AL:AL)</f>
        <v>0</v>
      </c>
      <c r="AK143" s="17">
        <f>_xlfn.XLOOKUP($C143,TB_NG!$E:$E,TB_NG!AM:AM)</f>
        <v>0</v>
      </c>
      <c r="AL143" s="17">
        <f>_xlfn.XLOOKUP($C143,TB_NG!$E:$E,TB_NG!AN:AN)</f>
        <v>0</v>
      </c>
      <c r="AM143" s="17">
        <f>_xlfn.XLOOKUP($C143,TB_NG!$E:$E,TB_NG!AO:AO)</f>
        <v>0</v>
      </c>
    </row>
    <row r="144" spans="2:39" hidden="1" outlineLevel="1" x14ac:dyDescent="0.2">
      <c r="B144" s="21">
        <f>_xlfn.XLOOKUP($C144,TB_NG!$E:$E,TB_NG!A:A)</f>
        <v>69904</v>
      </c>
      <c r="C144" s="16" t="s">
        <v>255</v>
      </c>
      <c r="D144" s="17">
        <f>_xlfn.XLOOKUP($C144,TB_NG!$E:$E,TB_NG!F:F)</f>
        <v>-16048298.060000001</v>
      </c>
      <c r="E144" s="17">
        <f>_xlfn.XLOOKUP($C144,TB_NG!$E:$E,TB_NG!G:G)</f>
        <v>-16327097.98</v>
      </c>
      <c r="F144" s="17">
        <f>_xlfn.XLOOKUP($C144,TB_NG!$E:$E,TB_NG!H:H)</f>
        <v>-16327097.98</v>
      </c>
      <c r="G144" s="17">
        <f>_xlfn.XLOOKUP($C144,TB_NG!$E:$E,TB_NG!I:I)</f>
        <v>-16048298.050000001</v>
      </c>
      <c r="H144" s="17">
        <f>_xlfn.XLOOKUP($C144,TB_NG!$E:$E,TB_NG!J:J)</f>
        <v>-16048298.050000001</v>
      </c>
      <c r="I144" s="17">
        <f>_xlfn.XLOOKUP($C144,TB_NG!$E:$E,TB_NG!K:K)</f>
        <v>-16048298.050000001</v>
      </c>
      <c r="J144" s="17">
        <f>_xlfn.XLOOKUP($C144,TB_NG!$E:$E,TB_NG!L:L)</f>
        <v>-16048298.050000001</v>
      </c>
      <c r="K144" s="17">
        <f>_xlfn.XLOOKUP($C144,TB_NG!$E:$E,TB_NG!M:M)</f>
        <v>-17249374.710000001</v>
      </c>
      <c r="L144" s="17">
        <f>_xlfn.XLOOKUP($C144,TB_NG!$E:$E,TB_NG!N:N)</f>
        <v>-18450451.370000001</v>
      </c>
      <c r="M144" s="17">
        <f>_xlfn.XLOOKUP($C144,TB_NG!$E:$E,TB_NG!O:O)</f>
        <v>-19651528.030000001</v>
      </c>
      <c r="N144" s="17">
        <f>_xlfn.XLOOKUP($C144,TB_NG!$E:$E,TB_NG!P:P)</f>
        <v>-20852604.690000001</v>
      </c>
      <c r="O144" s="17">
        <f>_xlfn.XLOOKUP($C144,TB_NG!$E:$E,TB_NG!Q:Q)</f>
        <v>-22053681.350000001</v>
      </c>
      <c r="P144" s="17">
        <f>_xlfn.XLOOKUP($C144,TB_NG!$E:$E,TB_NG!R:R)</f>
        <v>-23254758.010000002</v>
      </c>
      <c r="Q144" s="17">
        <f>_xlfn.XLOOKUP($C144,TB_NG!$E:$E,TB_NG!S:S)</f>
        <v>-24455834.670000002</v>
      </c>
      <c r="R144" s="17">
        <f>_xlfn.XLOOKUP($C144,TB_NG!$E:$E,TB_NG!T:T)</f>
        <v>-25656911.329999998</v>
      </c>
      <c r="S144" s="17">
        <f>_xlfn.XLOOKUP($C144,TB_NG!$E:$E,TB_NG!U:U)</f>
        <v>-26857987.989999998</v>
      </c>
      <c r="T144" s="17">
        <f>_xlfn.XLOOKUP($C144,TB_NG!$E:$E,TB_NG!V:V)</f>
        <v>-28059064.649999999</v>
      </c>
      <c r="U144" s="17">
        <f>_xlfn.XLOOKUP($C144,TB_NG!$E:$E,TB_NG!W:W)</f>
        <v>-28045331.07</v>
      </c>
      <c r="V144" s="17">
        <f>_xlfn.XLOOKUP($C144,TB_NG!$E:$E,TB_NG!X:X)</f>
        <v>-32890838.449999999</v>
      </c>
      <c r="W144" s="17">
        <f>_xlfn.XLOOKUP($C144,TB_NG!$E:$E,TB_NG!Y:Y)</f>
        <v>-35306725.350000001</v>
      </c>
      <c r="X144" s="17">
        <f>_xlfn.XLOOKUP($C144,TB_NG!$E:$E,TB_NG!Z:Z)</f>
        <v>-37722612.25</v>
      </c>
      <c r="Y144" s="17">
        <f>_xlfn.XLOOKUP($C144,TB_NG!$E:$E,TB_NG!AA:AA)</f>
        <v>-40138499.149999999</v>
      </c>
      <c r="Z144" s="17">
        <f>_xlfn.XLOOKUP($C144,TB_NG!$E:$E,TB_NG!AB:AB)</f>
        <v>-42554386.049999997</v>
      </c>
      <c r="AA144" s="17">
        <f>_xlfn.XLOOKUP($C144,TB_NG!$E:$E,TB_NG!AC:AC)</f>
        <v>-36466601.439999998</v>
      </c>
      <c r="AB144" s="17">
        <f>_xlfn.XLOOKUP($C144,TB_NG!$E:$E,TB_NG!AD:AD)</f>
        <v>-37667678.100000001</v>
      </c>
      <c r="AC144" s="17">
        <f>_xlfn.XLOOKUP($C144,TB_NG!$E:$E,TB_NG!AE:AE)</f>
        <v>-38868754.759999998</v>
      </c>
      <c r="AD144" s="17">
        <f>_xlfn.XLOOKUP($C144,TB_NG!$E:$E,TB_NG!AF:AF)</f>
        <v>-40069831.420000002</v>
      </c>
      <c r="AE144" s="17">
        <f>_xlfn.XLOOKUP($C144,TB_NG!$E:$E,TB_NG!AG:AG)</f>
        <v>-41270908.079999998</v>
      </c>
      <c r="AF144" s="17">
        <f>_xlfn.XLOOKUP($C144,TB_NG!$E:$E,TB_NG!AH:AH)</f>
        <v>0</v>
      </c>
      <c r="AG144" s="17">
        <f>_xlfn.XLOOKUP($C144,TB_NG!$E:$E,TB_NG!AI:AI)</f>
        <v>0</v>
      </c>
      <c r="AH144" s="17">
        <f>_xlfn.XLOOKUP($C144,TB_NG!$E:$E,TB_NG!AJ:AJ)</f>
        <v>0</v>
      </c>
      <c r="AI144" s="17">
        <f>_xlfn.XLOOKUP($C144,TB_NG!$E:$E,TB_NG!AK:AK)</f>
        <v>0</v>
      </c>
      <c r="AJ144" s="17">
        <f>_xlfn.XLOOKUP($C144,TB_NG!$E:$E,TB_NG!AL:AL)</f>
        <v>0</v>
      </c>
      <c r="AK144" s="17">
        <f>_xlfn.XLOOKUP($C144,TB_NG!$E:$E,TB_NG!AM:AM)</f>
        <v>0</v>
      </c>
      <c r="AL144" s="17">
        <f>_xlfn.XLOOKUP($C144,TB_NG!$E:$E,TB_NG!AN:AN)</f>
        <v>0</v>
      </c>
      <c r="AM144" s="17">
        <f>_xlfn.XLOOKUP($C144,TB_NG!$E:$E,TB_NG!AO:AO)</f>
        <v>0</v>
      </c>
    </row>
    <row r="145" spans="2:39" hidden="1" outlineLevel="1" x14ac:dyDescent="0.2">
      <c r="B145" s="21"/>
      <c r="C145" s="16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</row>
    <row r="146" spans="2:39" collapsed="1" x14ac:dyDescent="0.2">
      <c r="B146" s="15"/>
      <c r="C146" s="22" t="s">
        <v>47</v>
      </c>
      <c r="D146" s="23">
        <f t="shared" ref="D146:AM146" si="10">SUM(D134:D145)</f>
        <v>356733187.21999997</v>
      </c>
      <c r="E146" s="23">
        <f t="shared" si="10"/>
        <v>375767514.88999999</v>
      </c>
      <c r="F146" s="23">
        <f t="shared" si="10"/>
        <v>401042059.88999999</v>
      </c>
      <c r="G146" s="23">
        <f t="shared" si="10"/>
        <v>422266201.25999999</v>
      </c>
      <c r="H146" s="23">
        <f t="shared" si="10"/>
        <v>444511257.23999995</v>
      </c>
      <c r="I146" s="23">
        <f t="shared" si="10"/>
        <v>515019294.84999996</v>
      </c>
      <c r="J146" s="23">
        <f t="shared" si="10"/>
        <v>626701867.00000012</v>
      </c>
      <c r="K146" s="23">
        <f t="shared" si="10"/>
        <v>707316883.80999994</v>
      </c>
      <c r="L146" s="23">
        <f t="shared" si="10"/>
        <v>832631513.98999989</v>
      </c>
      <c r="M146" s="23">
        <f t="shared" si="10"/>
        <v>992876264.81999993</v>
      </c>
      <c r="N146" s="23">
        <f t="shared" si="10"/>
        <v>1030157606.8399998</v>
      </c>
      <c r="O146" s="23">
        <f t="shared" si="10"/>
        <v>1068229840.64</v>
      </c>
      <c r="P146" s="23">
        <f t="shared" si="10"/>
        <v>1205774376.72</v>
      </c>
      <c r="Q146" s="23">
        <f t="shared" si="10"/>
        <v>1308420439.8400002</v>
      </c>
      <c r="R146" s="23">
        <f t="shared" si="10"/>
        <v>1370968222.2600002</v>
      </c>
      <c r="S146" s="23">
        <f t="shared" si="10"/>
        <v>1565219971.0000002</v>
      </c>
      <c r="T146" s="23">
        <f t="shared" si="10"/>
        <v>1569929664.8699999</v>
      </c>
      <c r="U146" s="23">
        <f t="shared" si="10"/>
        <v>1644099481.6800001</v>
      </c>
      <c r="V146" s="23">
        <f t="shared" si="10"/>
        <v>1741464447.3300002</v>
      </c>
      <c r="W146" s="23">
        <f t="shared" si="10"/>
        <v>1932739530.6500001</v>
      </c>
      <c r="X146" s="23">
        <f t="shared" si="10"/>
        <v>2061690374.5600002</v>
      </c>
      <c r="Y146" s="23">
        <f t="shared" si="10"/>
        <v>2145742755.4200001</v>
      </c>
      <c r="Z146" s="23">
        <f t="shared" si="10"/>
        <v>2171594356.3899999</v>
      </c>
      <c r="AA146" s="23">
        <f t="shared" si="10"/>
        <v>2348801350.21</v>
      </c>
      <c r="AB146" s="23">
        <f t="shared" si="10"/>
        <v>2362191517.2500005</v>
      </c>
      <c r="AC146" s="23">
        <f t="shared" si="10"/>
        <v>2358463048.6099997</v>
      </c>
      <c r="AD146" s="23">
        <f t="shared" si="10"/>
        <v>2432833832.9799995</v>
      </c>
      <c r="AE146" s="23">
        <f t="shared" si="10"/>
        <v>2425515971.3800001</v>
      </c>
      <c r="AF146" s="23">
        <f t="shared" si="10"/>
        <v>0</v>
      </c>
      <c r="AG146" s="23">
        <f t="shared" si="10"/>
        <v>0</v>
      </c>
      <c r="AH146" s="23">
        <f t="shared" si="10"/>
        <v>0</v>
      </c>
      <c r="AI146" s="23">
        <f t="shared" si="10"/>
        <v>0</v>
      </c>
      <c r="AJ146" s="23">
        <f t="shared" si="10"/>
        <v>0</v>
      </c>
      <c r="AK146" s="23">
        <f t="shared" si="10"/>
        <v>0</v>
      </c>
      <c r="AL146" s="23">
        <f t="shared" si="10"/>
        <v>0</v>
      </c>
      <c r="AM146" s="23">
        <f t="shared" si="10"/>
        <v>0</v>
      </c>
    </row>
    <row r="147" spans="2:39" x14ac:dyDescent="0.2">
      <c r="B147" s="15"/>
      <c r="C147" s="16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8"/>
    </row>
    <row r="148" spans="2:39" hidden="1" outlineLevel="1" x14ac:dyDescent="0.2">
      <c r="B148" s="15"/>
      <c r="C148" s="20" t="s">
        <v>256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8"/>
    </row>
    <row r="149" spans="2:39" hidden="1" outlineLevel="1" x14ac:dyDescent="0.2">
      <c r="B149" s="21">
        <f>_xlfn.XLOOKUP($C149,TB_NG!$E:$E,TB_NG!A:A)</f>
        <v>10105</v>
      </c>
      <c r="C149" s="16" t="s">
        <v>257</v>
      </c>
      <c r="D149" s="17">
        <f>_xlfn.XLOOKUP($C149,TB_NG!$E:$E,TB_NG!F:F)</f>
        <v>520056540.63999999</v>
      </c>
      <c r="E149" s="17">
        <f>_xlfn.XLOOKUP($C149,TB_NG!$E:$E,TB_NG!G:G)</f>
        <v>520056540.63999999</v>
      </c>
      <c r="F149" s="17">
        <f>_xlfn.XLOOKUP($C149,TB_NG!$E:$E,TB_NG!H:H)</f>
        <v>520056540.63999999</v>
      </c>
      <c r="G149" s="17">
        <f>_xlfn.XLOOKUP($C149,TB_NG!$E:$E,TB_NG!I:I)</f>
        <v>755041235.00999999</v>
      </c>
      <c r="H149" s="17">
        <f>_xlfn.XLOOKUP($C149,TB_NG!$E:$E,TB_NG!J:J)</f>
        <v>755041235.00999999</v>
      </c>
      <c r="I149" s="17">
        <f>_xlfn.XLOOKUP($C149,TB_NG!$E:$E,TB_NG!K:K)</f>
        <v>755041235.00999999</v>
      </c>
      <c r="J149" s="17">
        <f>_xlfn.XLOOKUP($C149,TB_NG!$E:$E,TB_NG!L:L)</f>
        <v>755041235.00999999</v>
      </c>
      <c r="K149" s="17">
        <f>_xlfn.XLOOKUP($C149,TB_NG!$E:$E,TB_NG!M:M)</f>
        <v>881160918.50999999</v>
      </c>
      <c r="L149" s="17">
        <f>_xlfn.XLOOKUP($C149,TB_NG!$E:$E,TB_NG!N:N)</f>
        <v>881160918.50999999</v>
      </c>
      <c r="M149" s="17">
        <f>_xlfn.XLOOKUP($C149,TB_NG!$E:$E,TB_NG!O:O)</f>
        <v>881160918.50999999</v>
      </c>
      <c r="N149" s="17">
        <f>_xlfn.XLOOKUP($C149,TB_NG!$E:$E,TB_NG!P:P)</f>
        <v>881160918.50999999</v>
      </c>
      <c r="O149" s="17">
        <f>_xlfn.XLOOKUP($C149,TB_NG!$E:$E,TB_NG!Q:Q)</f>
        <v>881160918.50999999</v>
      </c>
      <c r="P149" s="17">
        <f>_xlfn.XLOOKUP($C149,TB_NG!$E:$E,TB_NG!R:R)</f>
        <v>1005318518.51</v>
      </c>
      <c r="Q149" s="17">
        <f>_xlfn.XLOOKUP($C149,TB_NG!$E:$E,TB_NG!S:S)</f>
        <v>1005318518.51</v>
      </c>
      <c r="R149" s="17">
        <f>_xlfn.XLOOKUP($C149,TB_NG!$E:$E,TB_NG!T:T)</f>
        <v>1005318518.51</v>
      </c>
      <c r="S149" s="17">
        <f>_xlfn.XLOOKUP($C149,TB_NG!$E:$E,TB_NG!U:U)</f>
        <v>1114207018.51</v>
      </c>
      <c r="T149" s="17">
        <f>_xlfn.XLOOKUP($C149,TB_NG!$E:$E,TB_NG!V:V)</f>
        <v>1114207018.51</v>
      </c>
      <c r="U149" s="17">
        <f>_xlfn.XLOOKUP($C149,TB_NG!$E:$E,TB_NG!W:W)</f>
        <v>1272514018.51</v>
      </c>
      <c r="V149" s="17">
        <f>_xlfn.XLOOKUP($C149,TB_NG!$E:$E,TB_NG!X:X)</f>
        <v>1500499973.51</v>
      </c>
      <c r="W149" s="17">
        <f>_xlfn.XLOOKUP($C149,TB_NG!$E:$E,TB_NG!Y:Y)</f>
        <v>1500499973.51</v>
      </c>
      <c r="X149" s="17">
        <f>_xlfn.XLOOKUP($C149,TB_NG!$E:$E,TB_NG!Z:Z)</f>
        <v>1500499973.51</v>
      </c>
      <c r="Y149" s="17">
        <f>_xlfn.XLOOKUP($C149,TB_NG!$E:$E,TB_NG!AA:AA)</f>
        <v>1500499973.51</v>
      </c>
      <c r="Z149" s="17">
        <f>_xlfn.XLOOKUP($C149,TB_NG!$E:$E,TB_NG!AB:AB)</f>
        <v>1627186907.1099999</v>
      </c>
      <c r="AA149" s="17">
        <f>_xlfn.XLOOKUP($C149,TB_NG!$E:$E,TB_NG!AC:AC)</f>
        <v>1627186907.1099999</v>
      </c>
      <c r="AB149" s="17">
        <f>_xlfn.XLOOKUP($C149,TB_NG!$E:$E,TB_NG!AD:AD)</f>
        <v>1627186907.1099999</v>
      </c>
      <c r="AC149" s="17">
        <f>_xlfn.XLOOKUP($C149,TB_NG!$E:$E,TB_NG!AE:AE)</f>
        <v>1627186907.1099999</v>
      </c>
      <c r="AD149" s="17">
        <f>_xlfn.XLOOKUP($C149,TB_NG!$E:$E,TB_NG!AF:AF)</f>
        <v>1627186907.1099999</v>
      </c>
      <c r="AE149" s="17">
        <f>_xlfn.XLOOKUP($C149,TB_NG!$E:$E,TB_NG!AG:AG)</f>
        <v>1672476283.5899999</v>
      </c>
      <c r="AF149" s="17">
        <f>_xlfn.XLOOKUP($C149,TB_NG!$E:$E,TB_NG!AH:AH)</f>
        <v>0</v>
      </c>
      <c r="AG149" s="17">
        <f>_xlfn.XLOOKUP($C149,TB_NG!$E:$E,TB_NG!AI:AI)</f>
        <v>0</v>
      </c>
      <c r="AH149" s="17">
        <f>_xlfn.XLOOKUP($C149,TB_NG!$E:$E,TB_NG!AJ:AJ)</f>
        <v>0</v>
      </c>
      <c r="AI149" s="17">
        <f>_xlfn.XLOOKUP($C149,TB_NG!$E:$E,TB_NG!AK:AK)</f>
        <v>0</v>
      </c>
      <c r="AJ149" s="17">
        <f>_xlfn.XLOOKUP($C149,TB_NG!$E:$E,TB_NG!AL:AL)</f>
        <v>0</v>
      </c>
      <c r="AK149" s="17">
        <f>_xlfn.XLOOKUP($C149,TB_NG!$E:$E,TB_NG!AM:AM)</f>
        <v>0</v>
      </c>
      <c r="AL149" s="17">
        <f>_xlfn.XLOOKUP($C149,TB_NG!$E:$E,TB_NG!AN:AN)</f>
        <v>0</v>
      </c>
      <c r="AM149" s="17">
        <f>_xlfn.XLOOKUP($C149,TB_NG!$E:$E,TB_NG!AO:AO)</f>
        <v>0</v>
      </c>
    </row>
    <row r="150" spans="2:39" hidden="1" outlineLevel="1" x14ac:dyDescent="0.2">
      <c r="B150" s="21">
        <f>_xlfn.XLOOKUP($C150,TB_NG!$E:$E,TB_NG!A:A)</f>
        <v>10107</v>
      </c>
      <c r="C150" s="16" t="s">
        <v>258</v>
      </c>
      <c r="D150" s="17"/>
      <c r="E150" s="17">
        <f>_xlfn.XLOOKUP($C150,TB_NG!$E:$E,TB_NG!G:G)</f>
        <v>256479066.40000001</v>
      </c>
      <c r="F150" s="17">
        <f>_xlfn.XLOOKUP($C150,TB_NG!$E:$E,TB_NG!H:H)</f>
        <v>271479066.39999998</v>
      </c>
      <c r="G150" s="17">
        <f>_xlfn.XLOOKUP($C150,TB_NG!$E:$E,TB_NG!I:I)</f>
        <v>323720767.32999998</v>
      </c>
      <c r="H150" s="17">
        <f>_xlfn.XLOOKUP($C150,TB_NG!$E:$E,TB_NG!J:J)</f>
        <v>450724367.32999998</v>
      </c>
      <c r="I150" s="17">
        <f>_xlfn.XLOOKUP($C150,TB_NG!$E:$E,TB_NG!K:K)</f>
        <v>450724367.32999998</v>
      </c>
      <c r="J150" s="17">
        <f>_xlfn.XLOOKUP($C150,TB_NG!$E:$E,TB_NG!L:L)</f>
        <v>450724367.32999998</v>
      </c>
      <c r="K150" s="17">
        <f>_xlfn.XLOOKUP($C150,TB_NG!$E:$E,TB_NG!M:M)</f>
        <v>576450757.33000004</v>
      </c>
      <c r="L150" s="17">
        <f>_xlfn.XLOOKUP($C150,TB_NG!$E:$E,TB_NG!N:N)</f>
        <v>576450757.33000004</v>
      </c>
      <c r="M150" s="17">
        <f>_xlfn.XLOOKUP($C150,TB_NG!$E:$E,TB_NG!O:O)</f>
        <v>576450757.33000004</v>
      </c>
      <c r="N150" s="17">
        <f>_xlfn.XLOOKUP($C150,TB_NG!$E:$E,TB_NG!P:P)</f>
        <v>576450757.33000004</v>
      </c>
      <c r="O150" s="17">
        <f>_xlfn.XLOOKUP($C150,TB_NG!$E:$E,TB_NG!Q:Q)</f>
        <v>594962917.33000004</v>
      </c>
      <c r="P150" s="17">
        <f>_xlfn.XLOOKUP($C150,TB_NG!$E:$E,TB_NG!R:R)</f>
        <v>681873237.33000004</v>
      </c>
      <c r="Q150" s="17">
        <f>_xlfn.XLOOKUP($C150,TB_NG!$E:$E,TB_NG!S:S)</f>
        <v>681873237.33000004</v>
      </c>
      <c r="R150" s="17">
        <f>_xlfn.XLOOKUP($C150,TB_NG!$E:$E,TB_NG!T:T)</f>
        <v>681873237.33000004</v>
      </c>
      <c r="S150" s="17">
        <f>_xlfn.XLOOKUP($C150,TB_NG!$E:$E,TB_NG!U:U)</f>
        <v>754984087.33000004</v>
      </c>
      <c r="T150" s="17">
        <f>_xlfn.XLOOKUP($C150,TB_NG!$E:$E,TB_NG!V:V)</f>
        <v>754984087.33000004</v>
      </c>
      <c r="U150" s="17">
        <f>_xlfn.XLOOKUP($C150,TB_NG!$E:$E,TB_NG!W:W)</f>
        <v>754984087.33000004</v>
      </c>
      <c r="V150" s="17">
        <f>_xlfn.XLOOKUP($C150,TB_NG!$E:$E,TB_NG!X:X)</f>
        <v>863450446.94000006</v>
      </c>
      <c r="W150" s="17">
        <f>_xlfn.XLOOKUP($C150,TB_NG!$E:$E,TB_NG!Y:Y)</f>
        <v>863450446.94000006</v>
      </c>
      <c r="X150" s="17">
        <f>_xlfn.XLOOKUP($C150,TB_NG!$E:$E,TB_NG!Z:Z)</f>
        <v>863450446.94000006</v>
      </c>
      <c r="Y150" s="17">
        <f>_xlfn.XLOOKUP($C150,TB_NG!$E:$E,TB_NG!AA:AA)</f>
        <v>863450446.94000006</v>
      </c>
      <c r="Z150" s="17">
        <f>_xlfn.XLOOKUP($C150,TB_NG!$E:$E,TB_NG!AB:AB)</f>
        <v>903224418.94000006</v>
      </c>
      <c r="AA150" s="17">
        <f>_xlfn.XLOOKUP($C150,TB_NG!$E:$E,TB_NG!AC:AC)</f>
        <v>903224418.94000006</v>
      </c>
      <c r="AB150" s="17">
        <f>_xlfn.XLOOKUP($C150,TB_NG!$E:$E,TB_NG!AD:AD)</f>
        <v>967076718.94000006</v>
      </c>
      <c r="AC150" s="17">
        <f>_xlfn.XLOOKUP($C150,TB_NG!$E:$E,TB_NG!AE:AE)</f>
        <v>967076718.94000006</v>
      </c>
      <c r="AD150" s="17">
        <f>_xlfn.XLOOKUP($C150,TB_NG!$E:$E,TB_NG!AF:AF)</f>
        <v>967076718.94000006</v>
      </c>
      <c r="AE150" s="17">
        <f>_xlfn.XLOOKUP($C150,TB_NG!$E:$E,TB_NG!AG:AG)</f>
        <v>1040395527.16</v>
      </c>
      <c r="AF150" s="17">
        <f>_xlfn.XLOOKUP($C150,TB_NG!$E:$E,TB_NG!AH:AH)</f>
        <v>0</v>
      </c>
      <c r="AG150" s="17">
        <f>_xlfn.XLOOKUP($C150,TB_NG!$E:$E,TB_NG!AI:AI)</f>
        <v>0</v>
      </c>
      <c r="AH150" s="17">
        <f>_xlfn.XLOOKUP($C150,TB_NG!$E:$E,TB_NG!AJ:AJ)</f>
        <v>0</v>
      </c>
      <c r="AI150" s="17">
        <f>_xlfn.XLOOKUP($C150,TB_NG!$E:$E,TB_NG!AK:AK)</f>
        <v>0</v>
      </c>
      <c r="AJ150" s="17">
        <f>_xlfn.XLOOKUP($C150,TB_NG!$E:$E,TB_NG!AL:AL)</f>
        <v>0</v>
      </c>
      <c r="AK150" s="17">
        <f>_xlfn.XLOOKUP($C150,TB_NG!$E:$E,TB_NG!AM:AM)</f>
        <v>0</v>
      </c>
      <c r="AL150" s="17">
        <f>_xlfn.XLOOKUP($C150,TB_NG!$E:$E,TB_NG!AN:AN)</f>
        <v>0</v>
      </c>
      <c r="AM150" s="17">
        <f>_xlfn.XLOOKUP($C150,TB_NG!$E:$E,TB_NG!AO:AO)</f>
        <v>0</v>
      </c>
    </row>
    <row r="151" spans="2:39" hidden="1" outlineLevel="1" x14ac:dyDescent="0.2">
      <c r="B151" s="21">
        <f>_xlfn.XLOOKUP($C151,TB_NG!$E:$E,TB_NG!A:A)</f>
        <v>10108</v>
      </c>
      <c r="C151" s="16" t="s">
        <v>259</v>
      </c>
      <c r="D151" s="17"/>
      <c r="E151" s="17">
        <f>_xlfn.XLOOKUP($C151,TB_NG!$E:$E,TB_NG!G:G)</f>
        <v>0</v>
      </c>
      <c r="F151" s="17">
        <f>_xlfn.XLOOKUP($C151,TB_NG!$E:$E,TB_NG!H:H)</f>
        <v>0</v>
      </c>
      <c r="G151" s="17">
        <f>_xlfn.XLOOKUP($C151,TB_NG!$E:$E,TB_NG!I:I)</f>
        <v>0</v>
      </c>
      <c r="H151" s="17">
        <f>_xlfn.XLOOKUP($C151,TB_NG!$E:$E,TB_NG!J:J)</f>
        <v>0</v>
      </c>
      <c r="I151" s="17">
        <f>_xlfn.XLOOKUP($C151,TB_NG!$E:$E,TB_NG!K:K)</f>
        <v>0</v>
      </c>
      <c r="J151" s="17">
        <f>_xlfn.XLOOKUP($C151,TB_NG!$E:$E,TB_NG!L:L)</f>
        <v>0</v>
      </c>
      <c r="K151" s="17">
        <f>_xlfn.XLOOKUP($C151,TB_NG!$E:$E,TB_NG!M:M)</f>
        <v>0</v>
      </c>
      <c r="L151" s="17">
        <f>_xlfn.XLOOKUP($C151,TB_NG!$E:$E,TB_NG!N:N)</f>
        <v>0</v>
      </c>
      <c r="M151" s="17">
        <f>_xlfn.XLOOKUP($C151,TB_NG!$E:$E,TB_NG!O:O)</f>
        <v>417482.5</v>
      </c>
      <c r="N151" s="17">
        <f>_xlfn.XLOOKUP($C151,TB_NG!$E:$E,TB_NG!P:P)</f>
        <v>417482.5</v>
      </c>
      <c r="O151" s="17">
        <f>_xlfn.XLOOKUP($C151,TB_NG!$E:$E,TB_NG!Q:Q)</f>
        <v>417482.5</v>
      </c>
      <c r="P151" s="17">
        <f>_xlfn.XLOOKUP($C151,TB_NG!$E:$E,TB_NG!R:R)</f>
        <v>417482.5</v>
      </c>
      <c r="Q151" s="17">
        <f>_xlfn.XLOOKUP($C151,TB_NG!$E:$E,TB_NG!S:S)</f>
        <v>417482.5</v>
      </c>
      <c r="R151" s="17">
        <f>_xlfn.XLOOKUP($C151,TB_NG!$E:$E,TB_NG!T:T)</f>
        <v>417482.5</v>
      </c>
      <c r="S151" s="17">
        <f>_xlfn.XLOOKUP($C151,TB_NG!$E:$E,TB_NG!U:U)</f>
        <v>417482.5</v>
      </c>
      <c r="T151" s="17">
        <f>_xlfn.XLOOKUP($C151,TB_NG!$E:$E,TB_NG!V:V)</f>
        <v>417482.5</v>
      </c>
      <c r="U151" s="17">
        <f>_xlfn.XLOOKUP($C151,TB_NG!$E:$E,TB_NG!W:W)</f>
        <v>735318.6</v>
      </c>
      <c r="V151" s="17">
        <f>_xlfn.XLOOKUP($C151,TB_NG!$E:$E,TB_NG!X:X)</f>
        <v>735318.6</v>
      </c>
      <c r="W151" s="17">
        <f>_xlfn.XLOOKUP($C151,TB_NG!$E:$E,TB_NG!Y:Y)</f>
        <v>735318.6</v>
      </c>
      <c r="X151" s="17">
        <f>_xlfn.XLOOKUP($C151,TB_NG!$E:$E,TB_NG!Z:Z)</f>
        <v>1332914.6000000001</v>
      </c>
      <c r="Y151" s="17">
        <f>_xlfn.XLOOKUP($C151,TB_NG!$E:$E,TB_NG!AA:AA)</f>
        <v>1332914.6000000001</v>
      </c>
      <c r="Z151" s="17">
        <f>_xlfn.XLOOKUP($C151,TB_NG!$E:$E,TB_NG!AB:AB)</f>
        <v>1332914.6000000001</v>
      </c>
      <c r="AA151" s="17">
        <f>_xlfn.XLOOKUP($C151,TB_NG!$E:$E,TB_NG!AC:AC)</f>
        <v>1332914.6000000001</v>
      </c>
      <c r="AB151" s="17">
        <f>_xlfn.XLOOKUP($C151,TB_NG!$E:$E,TB_NG!AD:AD)</f>
        <v>1332914.6000000001</v>
      </c>
      <c r="AC151" s="17">
        <f>_xlfn.XLOOKUP($C151,TB_NG!$E:$E,TB_NG!AE:AE)</f>
        <v>1332914.6000000001</v>
      </c>
      <c r="AD151" s="17">
        <f>_xlfn.XLOOKUP($C151,TB_NG!$E:$E,TB_NG!AF:AF)</f>
        <v>2444283.84</v>
      </c>
      <c r="AE151" s="17">
        <f>_xlfn.XLOOKUP($C151,TB_NG!$E:$E,TB_NG!AG:AG)</f>
        <v>2444283.84</v>
      </c>
      <c r="AF151" s="17">
        <f>_xlfn.XLOOKUP($C151,TB_NG!$E:$E,TB_NG!AH:AH)</f>
        <v>0</v>
      </c>
      <c r="AG151" s="17">
        <f>_xlfn.XLOOKUP($C151,TB_NG!$E:$E,TB_NG!AI:AI)</f>
        <v>0</v>
      </c>
      <c r="AH151" s="17">
        <f>_xlfn.XLOOKUP($C151,TB_NG!$E:$E,TB_NG!AJ:AJ)</f>
        <v>0</v>
      </c>
      <c r="AI151" s="17">
        <f>_xlfn.XLOOKUP($C151,TB_NG!$E:$E,TB_NG!AK:AK)</f>
        <v>0</v>
      </c>
      <c r="AJ151" s="17">
        <f>_xlfn.XLOOKUP($C151,TB_NG!$E:$E,TB_NG!AL:AL)</f>
        <v>0</v>
      </c>
      <c r="AK151" s="17">
        <f>_xlfn.XLOOKUP($C151,TB_NG!$E:$E,TB_NG!AM:AM)</f>
        <v>0</v>
      </c>
      <c r="AL151" s="17">
        <f>_xlfn.XLOOKUP($C151,TB_NG!$E:$E,TB_NG!AN:AN)</f>
        <v>0</v>
      </c>
      <c r="AM151" s="17">
        <f>_xlfn.XLOOKUP($C151,TB_NG!$E:$E,TB_NG!AO:AO)</f>
        <v>0</v>
      </c>
    </row>
    <row r="152" spans="2:39" hidden="1" outlineLevel="1" x14ac:dyDescent="0.2">
      <c r="B152" s="21">
        <f>_xlfn.XLOOKUP($C152,TB_NG!$E:$E,TB_NG!A:A)</f>
        <v>10109</v>
      </c>
      <c r="C152" s="16" t="s">
        <v>260</v>
      </c>
      <c r="D152" s="17"/>
      <c r="E152" s="17">
        <f>_xlfn.XLOOKUP($C152,TB_NG!$E:$E,TB_NG!G:G)</f>
        <v>0</v>
      </c>
      <c r="F152" s="17">
        <f>_xlfn.XLOOKUP($C152,TB_NG!$E:$E,TB_NG!H:H)</f>
        <v>0</v>
      </c>
      <c r="G152" s="17">
        <f>_xlfn.XLOOKUP($C152,TB_NG!$E:$E,TB_NG!I:I)</f>
        <v>0</v>
      </c>
      <c r="H152" s="17">
        <f>_xlfn.XLOOKUP($C152,TB_NG!$E:$E,TB_NG!J:J)</f>
        <v>0</v>
      </c>
      <c r="I152" s="17">
        <f>_xlfn.XLOOKUP($C152,TB_NG!$E:$E,TB_NG!K:K)</f>
        <v>0</v>
      </c>
      <c r="J152" s="17">
        <f>_xlfn.XLOOKUP($C152,TB_NG!$E:$E,TB_NG!L:L)</f>
        <v>0</v>
      </c>
      <c r="K152" s="17">
        <f>_xlfn.XLOOKUP($C152,TB_NG!$E:$E,TB_NG!M:M)</f>
        <v>0</v>
      </c>
      <c r="L152" s="17">
        <f>_xlfn.XLOOKUP($C152,TB_NG!$E:$E,TB_NG!N:N)</f>
        <v>0</v>
      </c>
      <c r="M152" s="17">
        <f>_xlfn.XLOOKUP($C152,TB_NG!$E:$E,TB_NG!O:O)</f>
        <v>1726190.7</v>
      </c>
      <c r="N152" s="17">
        <f>_xlfn.XLOOKUP($C152,TB_NG!$E:$E,TB_NG!P:P)</f>
        <v>1726190.7</v>
      </c>
      <c r="O152" s="17">
        <f>_xlfn.XLOOKUP($C152,TB_NG!$E:$E,TB_NG!Q:Q)</f>
        <v>1726190.7</v>
      </c>
      <c r="P152" s="17">
        <f>_xlfn.XLOOKUP($C152,TB_NG!$E:$E,TB_NG!R:R)</f>
        <v>1741619.5</v>
      </c>
      <c r="Q152" s="17">
        <f>_xlfn.XLOOKUP($C152,TB_NG!$E:$E,TB_NG!S:S)</f>
        <v>1741619.5</v>
      </c>
      <c r="R152" s="17">
        <f>_xlfn.XLOOKUP($C152,TB_NG!$E:$E,TB_NG!T:T)</f>
        <v>1741619.5</v>
      </c>
      <c r="S152" s="17">
        <f>_xlfn.XLOOKUP($C152,TB_NG!$E:$E,TB_NG!U:U)</f>
        <v>1741619.5</v>
      </c>
      <c r="T152" s="17">
        <f>_xlfn.XLOOKUP($C152,TB_NG!$E:$E,TB_NG!V:V)</f>
        <v>1741619.5</v>
      </c>
      <c r="U152" s="17">
        <f>_xlfn.XLOOKUP($C152,TB_NG!$E:$E,TB_NG!W:W)</f>
        <v>1741619.5</v>
      </c>
      <c r="V152" s="17">
        <f>_xlfn.XLOOKUP($C152,TB_NG!$E:$E,TB_NG!X:X)</f>
        <v>1741619.5</v>
      </c>
      <c r="W152" s="17">
        <f>_xlfn.XLOOKUP($C152,TB_NG!$E:$E,TB_NG!Y:Y)</f>
        <v>1741619.5</v>
      </c>
      <c r="X152" s="17">
        <f>_xlfn.XLOOKUP($C152,TB_NG!$E:$E,TB_NG!Z:Z)</f>
        <v>2361359.54</v>
      </c>
      <c r="Y152" s="17">
        <f>_xlfn.XLOOKUP($C152,TB_NG!$E:$E,TB_NG!AA:AA)</f>
        <v>2361359.54</v>
      </c>
      <c r="Z152" s="17">
        <f>_xlfn.XLOOKUP($C152,TB_NG!$E:$E,TB_NG!AB:AB)</f>
        <v>2361359.54</v>
      </c>
      <c r="AA152" s="17">
        <f>_xlfn.XLOOKUP($C152,TB_NG!$E:$E,TB_NG!AC:AC)</f>
        <v>2361359.54</v>
      </c>
      <c r="AB152" s="17">
        <f>_xlfn.XLOOKUP($C152,TB_NG!$E:$E,TB_NG!AD:AD)</f>
        <v>2361359.54</v>
      </c>
      <c r="AC152" s="17">
        <f>_xlfn.XLOOKUP($C152,TB_NG!$E:$E,TB_NG!AE:AE)</f>
        <v>2361359.54</v>
      </c>
      <c r="AD152" s="17">
        <f>_xlfn.XLOOKUP($C152,TB_NG!$E:$E,TB_NG!AF:AF)</f>
        <v>2361359.54</v>
      </c>
      <c r="AE152" s="17">
        <f>_xlfn.XLOOKUP($C152,TB_NG!$E:$E,TB_NG!AG:AG)</f>
        <v>2361359.54</v>
      </c>
      <c r="AF152" s="17">
        <f>_xlfn.XLOOKUP($C152,TB_NG!$E:$E,TB_NG!AH:AH)</f>
        <v>0</v>
      </c>
      <c r="AG152" s="17">
        <f>_xlfn.XLOOKUP($C152,TB_NG!$E:$E,TB_NG!AI:AI)</f>
        <v>0</v>
      </c>
      <c r="AH152" s="17">
        <f>_xlfn.XLOOKUP($C152,TB_NG!$E:$E,TB_NG!AJ:AJ)</f>
        <v>0</v>
      </c>
      <c r="AI152" s="17">
        <f>_xlfn.XLOOKUP($C152,TB_NG!$E:$E,TB_NG!AK:AK)</f>
        <v>0</v>
      </c>
      <c r="AJ152" s="17">
        <f>_xlfn.XLOOKUP($C152,TB_NG!$E:$E,TB_NG!AL:AL)</f>
        <v>0</v>
      </c>
      <c r="AK152" s="17">
        <f>_xlfn.XLOOKUP($C152,TB_NG!$E:$E,TB_NG!AM:AM)</f>
        <v>0</v>
      </c>
      <c r="AL152" s="17">
        <f>_xlfn.XLOOKUP($C152,TB_NG!$E:$E,TB_NG!AN:AN)</f>
        <v>0</v>
      </c>
      <c r="AM152" s="17">
        <f>_xlfn.XLOOKUP($C152,TB_NG!$E:$E,TB_NG!AO:AO)</f>
        <v>0</v>
      </c>
    </row>
    <row r="153" spans="2:39" hidden="1" outlineLevel="1" x14ac:dyDescent="0.2">
      <c r="B153" s="21">
        <f>_xlfn.XLOOKUP($C153,TB_NG!$E:$E,TB_NG!A:A)</f>
        <v>10110</v>
      </c>
      <c r="C153" s="16" t="s">
        <v>261</v>
      </c>
      <c r="D153" s="17"/>
      <c r="E153" s="17">
        <f>_xlfn.XLOOKUP($C153,TB_NG!$E:$E,TB_NG!G:G)</f>
        <v>0</v>
      </c>
      <c r="F153" s="17">
        <f>_xlfn.XLOOKUP($C153,TB_NG!$E:$E,TB_NG!H:H)</f>
        <v>0</v>
      </c>
      <c r="G153" s="17">
        <f>_xlfn.XLOOKUP($C153,TB_NG!$E:$E,TB_NG!I:I)</f>
        <v>0</v>
      </c>
      <c r="H153" s="17">
        <f>_xlfn.XLOOKUP($C153,TB_NG!$E:$E,TB_NG!J:J)</f>
        <v>0</v>
      </c>
      <c r="I153" s="17">
        <f>_xlfn.XLOOKUP($C153,TB_NG!$E:$E,TB_NG!K:K)</f>
        <v>0</v>
      </c>
      <c r="J153" s="17">
        <f>_xlfn.XLOOKUP($C153,TB_NG!$E:$E,TB_NG!L:L)</f>
        <v>0</v>
      </c>
      <c r="K153" s="17">
        <f>_xlfn.XLOOKUP($C153,TB_NG!$E:$E,TB_NG!M:M)</f>
        <v>0</v>
      </c>
      <c r="L153" s="17">
        <f>_xlfn.XLOOKUP($C153,TB_NG!$E:$E,TB_NG!N:N)</f>
        <v>0</v>
      </c>
      <c r="M153" s="17">
        <f>_xlfn.XLOOKUP($C153,TB_NG!$E:$E,TB_NG!O:O)</f>
        <v>0</v>
      </c>
      <c r="N153" s="17">
        <f>_xlfn.XLOOKUP($C153,TB_NG!$E:$E,TB_NG!P:P)</f>
        <v>1000000</v>
      </c>
      <c r="O153" s="17">
        <f>_xlfn.XLOOKUP($C153,TB_NG!$E:$E,TB_NG!Q:Q)</f>
        <v>1000000</v>
      </c>
      <c r="P153" s="17">
        <f>_xlfn.XLOOKUP($C153,TB_NG!$E:$E,TB_NG!R:R)</f>
        <v>1000000</v>
      </c>
      <c r="Q153" s="17">
        <f>_xlfn.XLOOKUP($C153,TB_NG!$E:$E,TB_NG!S:S)</f>
        <v>1000000</v>
      </c>
      <c r="R153" s="17">
        <f>_xlfn.XLOOKUP($C153,TB_NG!$E:$E,TB_NG!T:T)</f>
        <v>1000000</v>
      </c>
      <c r="S153" s="17">
        <f>_xlfn.XLOOKUP($C153,TB_NG!$E:$E,TB_NG!U:U)</f>
        <v>1000000</v>
      </c>
      <c r="T153" s="17">
        <f>_xlfn.XLOOKUP($C153,TB_NG!$E:$E,TB_NG!V:V)</f>
        <v>1000000</v>
      </c>
      <c r="U153" s="17">
        <f>_xlfn.XLOOKUP($C153,TB_NG!$E:$E,TB_NG!W:W)</f>
        <v>1000000</v>
      </c>
      <c r="V153" s="17">
        <f>_xlfn.XLOOKUP($C153,TB_NG!$E:$E,TB_NG!X:X)</f>
        <v>1000000</v>
      </c>
      <c r="W153" s="17">
        <f>_xlfn.XLOOKUP($C153,TB_NG!$E:$E,TB_NG!Y:Y)</f>
        <v>1000000</v>
      </c>
      <c r="X153" s="17">
        <f>_xlfn.XLOOKUP($C153,TB_NG!$E:$E,TB_NG!Z:Z)</f>
        <v>1000000</v>
      </c>
      <c r="Y153" s="17">
        <f>_xlfn.XLOOKUP($C153,TB_NG!$E:$E,TB_NG!AA:AA)</f>
        <v>1000000</v>
      </c>
      <c r="Z153" s="17">
        <f>_xlfn.XLOOKUP($C153,TB_NG!$E:$E,TB_NG!AB:AB)</f>
        <v>1000000</v>
      </c>
      <c r="AA153" s="17">
        <f>_xlfn.XLOOKUP($C153,TB_NG!$E:$E,TB_NG!AC:AC)</f>
        <v>1000000</v>
      </c>
      <c r="AB153" s="17">
        <f>_xlfn.XLOOKUP($C153,TB_NG!$E:$E,TB_NG!AD:AD)</f>
        <v>1000000</v>
      </c>
      <c r="AC153" s="17">
        <f>_xlfn.XLOOKUP($C153,TB_NG!$E:$E,TB_NG!AE:AE)</f>
        <v>1000000</v>
      </c>
      <c r="AD153" s="17">
        <f>_xlfn.XLOOKUP($C153,TB_NG!$E:$E,TB_NG!AF:AF)</f>
        <v>1000000</v>
      </c>
      <c r="AE153" s="17">
        <f>_xlfn.XLOOKUP($C153,TB_NG!$E:$E,TB_NG!AG:AG)</f>
        <v>1000000</v>
      </c>
      <c r="AF153" s="17">
        <f>_xlfn.XLOOKUP($C153,TB_NG!$E:$E,TB_NG!AH:AH)</f>
        <v>0</v>
      </c>
      <c r="AG153" s="17">
        <f>_xlfn.XLOOKUP($C153,TB_NG!$E:$E,TB_NG!AI:AI)</f>
        <v>0</v>
      </c>
      <c r="AH153" s="17">
        <f>_xlfn.XLOOKUP($C153,TB_NG!$E:$E,TB_NG!AJ:AJ)</f>
        <v>0</v>
      </c>
      <c r="AI153" s="17">
        <f>_xlfn.XLOOKUP($C153,TB_NG!$E:$E,TB_NG!AK:AK)</f>
        <v>0</v>
      </c>
      <c r="AJ153" s="17">
        <f>_xlfn.XLOOKUP($C153,TB_NG!$E:$E,TB_NG!AL:AL)</f>
        <v>0</v>
      </c>
      <c r="AK153" s="17">
        <f>_xlfn.XLOOKUP($C153,TB_NG!$E:$E,TB_NG!AM:AM)</f>
        <v>0</v>
      </c>
      <c r="AL153" s="17">
        <f>_xlfn.XLOOKUP($C153,TB_NG!$E:$E,TB_NG!AN:AN)</f>
        <v>0</v>
      </c>
      <c r="AM153" s="17">
        <f>_xlfn.XLOOKUP($C153,TB_NG!$E:$E,TB_NG!AO:AO)</f>
        <v>0</v>
      </c>
    </row>
    <row r="154" spans="2:39" hidden="1" outlineLevel="1" x14ac:dyDescent="0.2">
      <c r="B154" s="21">
        <f>_xlfn.XLOOKUP($C154,TB_NG!$E:$E,TB_NG!A:A)</f>
        <v>10112</v>
      </c>
      <c r="C154" s="16" t="s">
        <v>262</v>
      </c>
      <c r="D154" s="17"/>
      <c r="E154" s="17">
        <f>_xlfn.XLOOKUP($C154,TB_NG!$E:$E,TB_NG!G:G)</f>
        <v>0</v>
      </c>
      <c r="F154" s="17">
        <f>_xlfn.XLOOKUP($C154,TB_NG!$E:$E,TB_NG!H:H)</f>
        <v>0</v>
      </c>
      <c r="G154" s="17">
        <f>_xlfn.XLOOKUP($C154,TB_NG!$E:$E,TB_NG!I:I)</f>
        <v>0</v>
      </c>
      <c r="H154" s="17">
        <f>_xlfn.XLOOKUP($C154,TB_NG!$E:$E,TB_NG!J:J)</f>
        <v>0</v>
      </c>
      <c r="I154" s="17">
        <f>_xlfn.XLOOKUP($C154,TB_NG!$E:$E,TB_NG!K:K)</f>
        <v>0</v>
      </c>
      <c r="J154" s="17">
        <f>_xlfn.XLOOKUP($C154,TB_NG!$E:$E,TB_NG!L:L)</f>
        <v>0</v>
      </c>
      <c r="K154" s="17">
        <f>_xlfn.XLOOKUP($C154,TB_NG!$E:$E,TB_NG!M:M)</f>
        <v>0</v>
      </c>
      <c r="L154" s="17">
        <f>_xlfn.XLOOKUP($C154,TB_NG!$E:$E,TB_NG!N:N)</f>
        <v>0</v>
      </c>
      <c r="M154" s="17">
        <f>_xlfn.XLOOKUP($C154,TB_NG!$E:$E,TB_NG!O:O)</f>
        <v>0</v>
      </c>
      <c r="N154" s="17">
        <f>_xlfn.XLOOKUP($C154,TB_NG!$E:$E,TB_NG!P:P)</f>
        <v>0</v>
      </c>
      <c r="O154" s="17">
        <f>_xlfn.XLOOKUP($C154,TB_NG!$E:$E,TB_NG!Q:Q)</f>
        <v>0</v>
      </c>
      <c r="P154" s="17">
        <f>_xlfn.XLOOKUP($C154,TB_NG!$E:$E,TB_NG!R:R)</f>
        <v>0</v>
      </c>
      <c r="Q154" s="17">
        <f>_xlfn.XLOOKUP($C154,TB_NG!$E:$E,TB_NG!S:S)</f>
        <v>0</v>
      </c>
      <c r="R154" s="17">
        <f>_xlfn.XLOOKUP($C154,TB_NG!$E:$E,TB_NG!T:T)</f>
        <v>0</v>
      </c>
      <c r="S154" s="17">
        <f>_xlfn.XLOOKUP($C154,TB_NG!$E:$E,TB_NG!U:U)</f>
        <v>0</v>
      </c>
      <c r="T154" s="17">
        <f>_xlfn.XLOOKUP($C154,TB_NG!$E:$E,TB_NG!V:V)</f>
        <v>0</v>
      </c>
      <c r="U154" s="17">
        <f>_xlfn.XLOOKUP($C154,TB_NG!$E:$E,TB_NG!W:W)</f>
        <v>0</v>
      </c>
      <c r="V154" s="17">
        <f>_xlfn.XLOOKUP($C154,TB_NG!$E:$E,TB_NG!X:X)</f>
        <v>0</v>
      </c>
      <c r="W154" s="17">
        <f>_xlfn.XLOOKUP($C154,TB_NG!$E:$E,TB_NG!Y:Y)</f>
        <v>0</v>
      </c>
      <c r="X154" s="17">
        <f>_xlfn.XLOOKUP($C154,TB_NG!$E:$E,TB_NG!Z:Z)</f>
        <v>0</v>
      </c>
      <c r="Y154" s="17">
        <f>_xlfn.XLOOKUP($C154,TB_NG!$E:$E,TB_NG!AA:AA)</f>
        <v>0</v>
      </c>
      <c r="Z154" s="17">
        <f>_xlfn.XLOOKUP($C154,TB_NG!$E:$E,TB_NG!AB:AB)</f>
        <v>0</v>
      </c>
      <c r="AA154" s="17">
        <f>_xlfn.XLOOKUP($C154,TB_NG!$E:$E,TB_NG!AC:AC)</f>
        <v>0</v>
      </c>
      <c r="AB154" s="17">
        <f>_xlfn.XLOOKUP($C154,TB_NG!$E:$E,TB_NG!AD:AD)</f>
        <v>0</v>
      </c>
      <c r="AC154" s="17">
        <f>_xlfn.XLOOKUP($C154,TB_NG!$E:$E,TB_NG!AE:AE)</f>
        <v>0</v>
      </c>
      <c r="AD154" s="17">
        <f>_xlfn.XLOOKUP($C154,TB_NG!$E:$E,TB_NG!AF:AF)</f>
        <v>0</v>
      </c>
      <c r="AE154" s="17">
        <f>_xlfn.XLOOKUP($C154,TB_NG!$E:$E,TB_NG!AG:AG)</f>
        <v>0</v>
      </c>
      <c r="AF154" s="17">
        <f>_xlfn.XLOOKUP($C154,TB_NG!$E:$E,TB_NG!AH:AH)</f>
        <v>0</v>
      </c>
      <c r="AG154" s="17">
        <f>_xlfn.XLOOKUP($C154,TB_NG!$E:$E,TB_NG!AI:AI)</f>
        <v>0</v>
      </c>
      <c r="AH154" s="17">
        <f>_xlfn.XLOOKUP($C154,TB_NG!$E:$E,TB_NG!AJ:AJ)</f>
        <v>0</v>
      </c>
      <c r="AI154" s="17">
        <f>_xlfn.XLOOKUP($C154,TB_NG!$E:$E,TB_NG!AK:AK)</f>
        <v>0</v>
      </c>
      <c r="AJ154" s="17">
        <f>_xlfn.XLOOKUP($C154,TB_NG!$E:$E,TB_NG!AL:AL)</f>
        <v>0</v>
      </c>
      <c r="AK154" s="17">
        <f>_xlfn.XLOOKUP($C154,TB_NG!$E:$E,TB_NG!AM:AM)</f>
        <v>0</v>
      </c>
      <c r="AL154" s="17">
        <f>_xlfn.XLOOKUP($C154,TB_NG!$E:$E,TB_NG!AN:AN)</f>
        <v>0</v>
      </c>
      <c r="AM154" s="17">
        <f>_xlfn.XLOOKUP($C154,TB_NG!$E:$E,TB_NG!AO:AO)</f>
        <v>0</v>
      </c>
    </row>
    <row r="155" spans="2:39" hidden="1" outlineLevel="1" x14ac:dyDescent="0.2">
      <c r="B155" s="21">
        <f>_xlfn.XLOOKUP($C155,TB_NG!$E:$E,TB_NG!A:A)</f>
        <v>10160</v>
      </c>
      <c r="C155" s="16" t="s">
        <v>263</v>
      </c>
      <c r="D155" s="17"/>
      <c r="E155" s="17">
        <f>_xlfn.XLOOKUP($C155,TB_NG!$E:$E,TB_NG!G:G)</f>
        <v>20280000</v>
      </c>
      <c r="F155" s="17">
        <f>_xlfn.XLOOKUP($C155,TB_NG!$E:$E,TB_NG!H:H)</f>
        <v>20280000</v>
      </c>
      <c r="G155" s="17">
        <f>_xlfn.XLOOKUP($C155,TB_NG!$E:$E,TB_NG!I:I)</f>
        <v>20280000</v>
      </c>
      <c r="H155" s="17">
        <f>_xlfn.XLOOKUP($C155,TB_NG!$E:$E,TB_NG!J:J)</f>
        <v>20280000</v>
      </c>
      <c r="I155" s="17">
        <f>_xlfn.XLOOKUP($C155,TB_NG!$E:$E,TB_NG!K:K)</f>
        <v>20280000</v>
      </c>
      <c r="J155" s="17">
        <f>_xlfn.XLOOKUP($C155,TB_NG!$E:$E,TB_NG!L:L)</f>
        <v>20280000</v>
      </c>
      <c r="K155" s="17">
        <f>_xlfn.XLOOKUP($C155,TB_NG!$E:$E,TB_NG!M:M)</f>
        <v>20280000</v>
      </c>
      <c r="L155" s="17">
        <f>_xlfn.XLOOKUP($C155,TB_NG!$E:$E,TB_NG!N:N)</f>
        <v>20280000</v>
      </c>
      <c r="M155" s="17">
        <f>_xlfn.XLOOKUP($C155,TB_NG!$E:$E,TB_NG!O:O)</f>
        <v>20280000</v>
      </c>
      <c r="N155" s="17">
        <f>_xlfn.XLOOKUP($C155,TB_NG!$E:$E,TB_NG!P:P)</f>
        <v>20280000</v>
      </c>
      <c r="O155" s="17">
        <f>_xlfn.XLOOKUP($C155,TB_NG!$E:$E,TB_NG!Q:Q)</f>
        <v>20280000</v>
      </c>
      <c r="P155" s="17">
        <f>_xlfn.XLOOKUP($C155,TB_NG!$E:$E,TB_NG!R:R)</f>
        <v>20280000</v>
      </c>
      <c r="Q155" s="17">
        <f>_xlfn.XLOOKUP($C155,TB_NG!$E:$E,TB_NG!S:S)</f>
        <v>20280000</v>
      </c>
      <c r="R155" s="17">
        <f>_xlfn.XLOOKUP($C155,TB_NG!$E:$E,TB_NG!T:T)</f>
        <v>20280000</v>
      </c>
      <c r="S155" s="17">
        <f>_xlfn.XLOOKUP($C155,TB_NG!$E:$E,TB_NG!U:U)</f>
        <v>20280000</v>
      </c>
      <c r="T155" s="17">
        <f>_xlfn.XLOOKUP($C155,TB_NG!$E:$E,TB_NG!V:V)</f>
        <v>20280000</v>
      </c>
      <c r="U155" s="17">
        <f>_xlfn.XLOOKUP($C155,TB_NG!$E:$E,TB_NG!W:W)</f>
        <v>20280000</v>
      </c>
      <c r="V155" s="17">
        <f>_xlfn.XLOOKUP($C155,TB_NG!$E:$E,TB_NG!X:X)</f>
        <v>20280000</v>
      </c>
      <c r="W155" s="17">
        <f>_xlfn.XLOOKUP($C155,TB_NG!$E:$E,TB_NG!Y:Y)</f>
        <v>20280000</v>
      </c>
      <c r="X155" s="17">
        <f>_xlfn.XLOOKUP($C155,TB_NG!$E:$E,TB_NG!Z:Z)</f>
        <v>20280000</v>
      </c>
      <c r="Y155" s="17">
        <f>_xlfn.XLOOKUP($C155,TB_NG!$E:$E,TB_NG!AA:AA)</f>
        <v>20280000</v>
      </c>
      <c r="Z155" s="17">
        <f>_xlfn.XLOOKUP($C155,TB_NG!$E:$E,TB_NG!AB:AB)</f>
        <v>20280000</v>
      </c>
      <c r="AA155" s="17">
        <f>_xlfn.XLOOKUP($C155,TB_NG!$E:$E,TB_NG!AC:AC)</f>
        <v>20280000</v>
      </c>
      <c r="AB155" s="17">
        <f>_xlfn.XLOOKUP($C155,TB_NG!$E:$E,TB_NG!AD:AD)</f>
        <v>20280000</v>
      </c>
      <c r="AC155" s="17">
        <f>_xlfn.XLOOKUP($C155,TB_NG!$E:$E,TB_NG!AE:AE)</f>
        <v>20280000</v>
      </c>
      <c r="AD155" s="17">
        <f>_xlfn.XLOOKUP($C155,TB_NG!$E:$E,TB_NG!AF:AF)</f>
        <v>20280000</v>
      </c>
      <c r="AE155" s="17">
        <f>_xlfn.XLOOKUP($C155,TB_NG!$E:$E,TB_NG!AG:AG)</f>
        <v>20280000</v>
      </c>
      <c r="AF155" s="17">
        <f>_xlfn.XLOOKUP($C155,TB_NG!$E:$E,TB_NG!AH:AH)</f>
        <v>0</v>
      </c>
      <c r="AG155" s="17">
        <f>_xlfn.XLOOKUP($C155,TB_NG!$E:$E,TB_NG!AI:AI)</f>
        <v>0</v>
      </c>
      <c r="AH155" s="17">
        <f>_xlfn.XLOOKUP($C155,TB_NG!$E:$E,TB_NG!AJ:AJ)</f>
        <v>0</v>
      </c>
      <c r="AI155" s="17">
        <f>_xlfn.XLOOKUP($C155,TB_NG!$E:$E,TB_NG!AK:AK)</f>
        <v>0</v>
      </c>
      <c r="AJ155" s="17">
        <f>_xlfn.XLOOKUP($C155,TB_NG!$E:$E,TB_NG!AL:AL)</f>
        <v>0</v>
      </c>
      <c r="AK155" s="17">
        <f>_xlfn.XLOOKUP($C155,TB_NG!$E:$E,TB_NG!AM:AM)</f>
        <v>0</v>
      </c>
      <c r="AL155" s="17">
        <f>_xlfn.XLOOKUP($C155,TB_NG!$E:$E,TB_NG!AN:AN)</f>
        <v>0</v>
      </c>
      <c r="AM155" s="17">
        <f>_xlfn.XLOOKUP($C155,TB_NG!$E:$E,TB_NG!AO:AO)</f>
        <v>0</v>
      </c>
    </row>
    <row r="156" spans="2:39" hidden="1" outlineLevel="1" x14ac:dyDescent="0.2">
      <c r="B156" s="21"/>
      <c r="C156" s="16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</row>
    <row r="157" spans="2:39" s="20" customFormat="1" ht="13.5" customHeight="1" collapsed="1" x14ac:dyDescent="0.15">
      <c r="C157" s="22" t="s">
        <v>49</v>
      </c>
      <c r="D157" s="23">
        <f t="shared" ref="D157:AM157" si="11">SUM(D149:D156)</f>
        <v>520056540.63999999</v>
      </c>
      <c r="E157" s="23">
        <f t="shared" si="11"/>
        <v>796815607.03999996</v>
      </c>
      <c r="F157" s="23">
        <f t="shared" si="11"/>
        <v>811815607.03999996</v>
      </c>
      <c r="G157" s="23">
        <f t="shared" si="11"/>
        <v>1099042002.3399999</v>
      </c>
      <c r="H157" s="23">
        <f t="shared" si="11"/>
        <v>1226045602.3399999</v>
      </c>
      <c r="I157" s="23">
        <f t="shared" si="11"/>
        <v>1226045602.3399999</v>
      </c>
      <c r="J157" s="23">
        <f t="shared" si="11"/>
        <v>1226045602.3399999</v>
      </c>
      <c r="K157" s="23">
        <f t="shared" si="11"/>
        <v>1477891675.8400002</v>
      </c>
      <c r="L157" s="23">
        <f t="shared" si="11"/>
        <v>1477891675.8400002</v>
      </c>
      <c r="M157" s="23">
        <f t="shared" si="11"/>
        <v>1480035349.0400002</v>
      </c>
      <c r="N157" s="23">
        <f t="shared" si="11"/>
        <v>1481035349.0400002</v>
      </c>
      <c r="O157" s="23">
        <f t="shared" si="11"/>
        <v>1499547509.0400002</v>
      </c>
      <c r="P157" s="23">
        <f t="shared" si="11"/>
        <v>1710630857.8400002</v>
      </c>
      <c r="Q157" s="23">
        <f t="shared" si="11"/>
        <v>1710630857.8400002</v>
      </c>
      <c r="R157" s="23">
        <f t="shared" si="11"/>
        <v>1710630857.8400002</v>
      </c>
      <c r="S157" s="23">
        <f t="shared" si="11"/>
        <v>1892630207.8400002</v>
      </c>
      <c r="T157" s="23">
        <f t="shared" si="11"/>
        <v>1892630207.8400002</v>
      </c>
      <c r="U157" s="23">
        <f t="shared" si="11"/>
        <v>2051255043.9400001</v>
      </c>
      <c r="V157" s="23">
        <f t="shared" si="11"/>
        <v>2387707358.5499997</v>
      </c>
      <c r="W157" s="23">
        <f t="shared" si="11"/>
        <v>2387707358.5499997</v>
      </c>
      <c r="X157" s="23">
        <f t="shared" si="11"/>
        <v>2388924694.5899997</v>
      </c>
      <c r="Y157" s="23">
        <f t="shared" si="11"/>
        <v>2388924694.5899997</v>
      </c>
      <c r="Z157" s="23">
        <f t="shared" si="11"/>
        <v>2555385600.1900001</v>
      </c>
      <c r="AA157" s="23">
        <f t="shared" si="11"/>
        <v>2555385600.1900001</v>
      </c>
      <c r="AB157" s="23">
        <f t="shared" si="11"/>
        <v>2619237900.1900001</v>
      </c>
      <c r="AC157" s="23">
        <f t="shared" si="11"/>
        <v>2619237900.1900001</v>
      </c>
      <c r="AD157" s="23">
        <f t="shared" si="11"/>
        <v>2620349269.4300003</v>
      </c>
      <c r="AE157" s="23">
        <f t="shared" si="11"/>
        <v>2738957454.1300001</v>
      </c>
      <c r="AF157" s="23">
        <f t="shared" si="11"/>
        <v>0</v>
      </c>
      <c r="AG157" s="23">
        <f t="shared" si="11"/>
        <v>0</v>
      </c>
      <c r="AH157" s="23">
        <f t="shared" si="11"/>
        <v>0</v>
      </c>
      <c r="AI157" s="23">
        <f t="shared" si="11"/>
        <v>0</v>
      </c>
      <c r="AJ157" s="23">
        <f t="shared" si="11"/>
        <v>0</v>
      </c>
      <c r="AK157" s="23">
        <f t="shared" si="11"/>
        <v>0</v>
      </c>
      <c r="AL157" s="23">
        <f t="shared" si="11"/>
        <v>0</v>
      </c>
      <c r="AM157" s="23">
        <f t="shared" si="11"/>
        <v>0</v>
      </c>
    </row>
    <row r="158" spans="2:39" x14ac:dyDescent="0.2">
      <c r="B158" s="21"/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8"/>
    </row>
    <row r="159" spans="2:39" s="27" customFormat="1" x14ac:dyDescent="0.2">
      <c r="B159" s="24"/>
      <c r="C159" s="25" t="s">
        <v>264</v>
      </c>
      <c r="D159" s="26">
        <f>D131+D146+D157</f>
        <v>1163681403.54</v>
      </c>
      <c r="E159" s="26">
        <f t="shared" ref="E159:AM159" si="12">E131+E146+E157</f>
        <v>1456661335.71</v>
      </c>
      <c r="F159" s="26">
        <f t="shared" si="12"/>
        <v>1494144476.7299998</v>
      </c>
      <c r="G159" s="26">
        <f t="shared" si="12"/>
        <v>1803737746.9199998</v>
      </c>
      <c r="H159" s="26">
        <f t="shared" si="12"/>
        <v>1963585171.1199999</v>
      </c>
      <c r="I159" s="26">
        <f t="shared" si="12"/>
        <v>2030862388.78</v>
      </c>
      <c r="J159" s="26">
        <f t="shared" si="12"/>
        <v>2144983642.27</v>
      </c>
      <c r="K159" s="26">
        <f t="shared" si="12"/>
        <v>2478431238.0100002</v>
      </c>
      <c r="L159" s="26">
        <f t="shared" si="12"/>
        <v>2600751300.1900001</v>
      </c>
      <c r="M159" s="26">
        <f t="shared" si="12"/>
        <v>2772900634.9800005</v>
      </c>
      <c r="N159" s="26">
        <f t="shared" si="12"/>
        <v>2815965685.2600002</v>
      </c>
      <c r="O159" s="26">
        <f t="shared" si="12"/>
        <v>2884619556.1199999</v>
      </c>
      <c r="P159" s="26">
        <f t="shared" si="12"/>
        <v>3229668966.6300001</v>
      </c>
      <c r="Q159" s="26">
        <f t="shared" si="12"/>
        <v>3344669493.0900006</v>
      </c>
      <c r="R159" s="26">
        <f t="shared" si="12"/>
        <v>3405164470.4300003</v>
      </c>
      <c r="S159" s="26">
        <f t="shared" si="12"/>
        <v>3777786846.2800007</v>
      </c>
      <c r="T159" s="26">
        <f t="shared" si="12"/>
        <v>3779480135.6000004</v>
      </c>
      <c r="U159" s="26">
        <f t="shared" si="12"/>
        <v>4008638383.96</v>
      </c>
      <c r="V159" s="26">
        <f t="shared" si="12"/>
        <v>4449720397.54</v>
      </c>
      <c r="W159" s="26">
        <f t="shared" si="12"/>
        <v>4646305772.8899994</v>
      </c>
      <c r="X159" s="26">
        <f t="shared" si="12"/>
        <v>4772633482.6399994</v>
      </c>
      <c r="Y159" s="26">
        <f t="shared" si="12"/>
        <v>4852751809.9699993</v>
      </c>
      <c r="Z159" s="26">
        <f t="shared" si="12"/>
        <v>5054494014.6700001</v>
      </c>
      <c r="AA159" s="26">
        <f t="shared" si="12"/>
        <v>5230487823.2900009</v>
      </c>
      <c r="AB159" s="26">
        <f t="shared" si="12"/>
        <v>5289206734.4000006</v>
      </c>
      <c r="AC159" s="26">
        <f t="shared" si="12"/>
        <v>5288106193.6999998</v>
      </c>
      <c r="AD159" s="26">
        <f t="shared" si="12"/>
        <v>5377013918.79</v>
      </c>
      <c r="AE159" s="26">
        <f t="shared" si="12"/>
        <v>5498989709.2000008</v>
      </c>
      <c r="AF159" s="26">
        <f t="shared" si="12"/>
        <v>0</v>
      </c>
      <c r="AG159" s="26">
        <f t="shared" si="12"/>
        <v>0</v>
      </c>
      <c r="AH159" s="26">
        <f t="shared" si="12"/>
        <v>0</v>
      </c>
      <c r="AI159" s="26">
        <f t="shared" si="12"/>
        <v>0</v>
      </c>
      <c r="AJ159" s="26">
        <f t="shared" si="12"/>
        <v>0</v>
      </c>
      <c r="AK159" s="26">
        <f t="shared" si="12"/>
        <v>0</v>
      </c>
      <c r="AL159" s="26">
        <f t="shared" si="12"/>
        <v>0</v>
      </c>
      <c r="AM159" s="26">
        <f t="shared" si="12"/>
        <v>0</v>
      </c>
    </row>
    <row r="160" spans="2:39" x14ac:dyDescent="0.2">
      <c r="B160" s="21"/>
      <c r="C160" s="16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8"/>
    </row>
    <row r="161" spans="2:39" s="27" customFormat="1" x14ac:dyDescent="0.2">
      <c r="B161" s="24"/>
      <c r="C161" s="42" t="s">
        <v>52</v>
      </c>
      <c r="D161" s="43">
        <f>D112+D159</f>
        <v>1839389781.6599998</v>
      </c>
      <c r="E161" s="43">
        <f t="shared" ref="E161:AM161" si="13">E112+E159</f>
        <v>2586065879.7399998</v>
      </c>
      <c r="F161" s="43">
        <f t="shared" si="13"/>
        <v>9923044310.5799999</v>
      </c>
      <c r="G161" s="43">
        <f t="shared" si="13"/>
        <v>9161881730.3799992</v>
      </c>
      <c r="H161" s="43">
        <f t="shared" si="13"/>
        <v>9045516255.3799992</v>
      </c>
      <c r="I161" s="43">
        <f t="shared" si="13"/>
        <v>10637217365.110001</v>
      </c>
      <c r="J161" s="43">
        <f t="shared" si="13"/>
        <v>10539275495.519999</v>
      </c>
      <c r="K161" s="43">
        <f t="shared" si="13"/>
        <v>10645816029.639999</v>
      </c>
      <c r="L161" s="43">
        <f t="shared" si="13"/>
        <v>10712058461.119999</v>
      </c>
      <c r="M161" s="43">
        <f t="shared" si="13"/>
        <v>10325310226.799999</v>
      </c>
      <c r="N161" s="43">
        <f t="shared" si="13"/>
        <v>10399507321.950001</v>
      </c>
      <c r="O161" s="43">
        <f t="shared" si="13"/>
        <v>10362934863.48</v>
      </c>
      <c r="P161" s="43">
        <f t="shared" si="13"/>
        <v>10237385811.98</v>
      </c>
      <c r="Q161" s="43">
        <f t="shared" si="13"/>
        <v>9955104789.9200001</v>
      </c>
      <c r="R161" s="43">
        <f t="shared" si="13"/>
        <v>10081097724.6</v>
      </c>
      <c r="S161" s="43">
        <f t="shared" si="13"/>
        <v>9720487796.6700001</v>
      </c>
      <c r="T161" s="43">
        <f t="shared" si="13"/>
        <v>9016944860.710001</v>
      </c>
      <c r="U161" s="43">
        <f t="shared" si="13"/>
        <v>8941052237.1599998</v>
      </c>
      <c r="V161" s="43">
        <f t="shared" si="13"/>
        <v>8767117358.0299988</v>
      </c>
      <c r="W161" s="43">
        <f t="shared" si="13"/>
        <v>9064472644.3599987</v>
      </c>
      <c r="X161" s="43">
        <f t="shared" si="13"/>
        <v>8906751148.7999992</v>
      </c>
      <c r="Y161" s="43">
        <f t="shared" si="13"/>
        <v>9028374092.4699974</v>
      </c>
      <c r="Z161" s="43">
        <f t="shared" si="13"/>
        <v>8784011268.2000008</v>
      </c>
      <c r="AA161" s="43">
        <f t="shared" si="13"/>
        <v>7601256388.0100002</v>
      </c>
      <c r="AB161" s="43">
        <f t="shared" si="13"/>
        <v>7873276793.5100002</v>
      </c>
      <c r="AC161" s="43">
        <f t="shared" si="13"/>
        <v>8270271143.04</v>
      </c>
      <c r="AD161" s="43">
        <f t="shared" si="13"/>
        <v>8549644713.8599997</v>
      </c>
      <c r="AE161" s="43">
        <f t="shared" si="13"/>
        <v>8285754025.6200018</v>
      </c>
      <c r="AF161" s="43">
        <f t="shared" si="13"/>
        <v>0</v>
      </c>
      <c r="AG161" s="43">
        <f t="shared" si="13"/>
        <v>0</v>
      </c>
      <c r="AH161" s="43">
        <f t="shared" si="13"/>
        <v>0</v>
      </c>
      <c r="AI161" s="43">
        <f t="shared" si="13"/>
        <v>0</v>
      </c>
      <c r="AJ161" s="43">
        <f t="shared" si="13"/>
        <v>0</v>
      </c>
      <c r="AK161" s="43">
        <f t="shared" si="13"/>
        <v>0</v>
      </c>
      <c r="AL161" s="43">
        <f t="shared" si="13"/>
        <v>0</v>
      </c>
      <c r="AM161" s="43">
        <f t="shared" si="13"/>
        <v>0</v>
      </c>
    </row>
    <row r="162" spans="2:39" x14ac:dyDescent="0.2">
      <c r="B162" s="21"/>
      <c r="C162" s="16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8"/>
    </row>
    <row r="163" spans="2:39" hidden="1" outlineLevel="1" x14ac:dyDescent="0.2">
      <c r="B163" s="21"/>
      <c r="C163" s="20" t="s">
        <v>265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8"/>
    </row>
    <row r="164" spans="2:39" hidden="1" outlineLevel="1" x14ac:dyDescent="0.2">
      <c r="B164" s="21">
        <f>_xlfn.XLOOKUP($C164,TB_NG!$E:$E,TB_NG!A:A)</f>
        <v>23425</v>
      </c>
      <c r="C164" s="16" t="s">
        <v>266</v>
      </c>
      <c r="D164" s="17">
        <f>-_xlfn.XLOOKUP($C164,TB_NG!$E:$E,TB_NG!F:F)</f>
        <v>42242924.219999999</v>
      </c>
      <c r="E164" s="17">
        <f>-_xlfn.XLOOKUP($C164,TB_NG!$E:$E,TB_NG!G:G)</f>
        <v>42242924.219999999</v>
      </c>
      <c r="F164" s="17">
        <f>-_xlfn.XLOOKUP($C164,TB_NG!$E:$E,TB_NG!H:H)</f>
        <v>42242924.219999999</v>
      </c>
      <c r="G164" s="17">
        <f>-_xlfn.XLOOKUP($C164,TB_NG!$E:$E,TB_NG!I:I)</f>
        <v>42242924.219999999</v>
      </c>
      <c r="H164" s="17">
        <f>-_xlfn.XLOOKUP($C164,TB_NG!$E:$E,TB_NG!J:J)</f>
        <v>42242924.219999999</v>
      </c>
      <c r="I164" s="17">
        <f>-_xlfn.XLOOKUP($C164,TB_NG!$E:$E,TB_NG!K:K)</f>
        <v>42242924.219999999</v>
      </c>
      <c r="J164" s="17">
        <f>-_xlfn.XLOOKUP($C164,TB_NG!$E:$E,TB_NG!L:L)</f>
        <v>42242924.219999999</v>
      </c>
      <c r="K164" s="17">
        <f>-_xlfn.XLOOKUP($C164,TB_NG!$E:$E,TB_NG!M:M)</f>
        <v>42242924.219999999</v>
      </c>
      <c r="L164" s="17">
        <f>-_xlfn.XLOOKUP($C164,TB_NG!$E:$E,TB_NG!N:N)</f>
        <v>42242924.219999999</v>
      </c>
      <c r="M164" s="17">
        <f>-_xlfn.XLOOKUP($C164,TB_NG!$E:$E,TB_NG!O:O)</f>
        <v>42242924.219999999</v>
      </c>
      <c r="N164" s="17">
        <f>-_xlfn.XLOOKUP($C164,TB_NG!$E:$E,TB_NG!P:P)</f>
        <v>42242924.219999999</v>
      </c>
      <c r="O164" s="17">
        <f>-_xlfn.XLOOKUP($C164,TB_NG!$E:$E,TB_NG!Q:Q)</f>
        <v>32949171.219999999</v>
      </c>
      <c r="P164" s="17">
        <f>-_xlfn.XLOOKUP($C164,TB_NG!$E:$E,TB_NG!R:R)</f>
        <v>32949171.219999999</v>
      </c>
      <c r="Q164" s="17">
        <f>-_xlfn.XLOOKUP($C164,TB_NG!$E:$E,TB_NG!S:S)</f>
        <v>32949171.219999999</v>
      </c>
      <c r="R164" s="17">
        <f>-_xlfn.XLOOKUP($C164,TB_NG!$E:$E,TB_NG!T:T)</f>
        <v>32949171.219999999</v>
      </c>
      <c r="S164" s="17">
        <f>-_xlfn.XLOOKUP($C164,TB_NG!$E:$E,TB_NG!U:U)</f>
        <v>32949171.219999999</v>
      </c>
      <c r="T164" s="17">
        <f>-_xlfn.XLOOKUP($C164,TB_NG!$E:$E,TB_NG!V:V)</f>
        <v>32949171.219999999</v>
      </c>
      <c r="U164" s="17">
        <f>-_xlfn.XLOOKUP($C164,TB_NG!$E:$E,TB_NG!W:W)</f>
        <v>32949171.219999999</v>
      </c>
      <c r="V164" s="17">
        <f>-_xlfn.XLOOKUP($C164,TB_NG!$E:$E,TB_NG!X:X)</f>
        <v>32949171.219999999</v>
      </c>
      <c r="W164" s="17">
        <f>-_xlfn.XLOOKUP($C164,TB_NG!$E:$E,TB_NG!Y:Y)</f>
        <v>32949171.219999999</v>
      </c>
      <c r="X164" s="17">
        <f>-_xlfn.XLOOKUP($C164,TB_NG!$E:$E,TB_NG!Z:Z)</f>
        <v>32949171.219999999</v>
      </c>
      <c r="Y164" s="17">
        <f>-_xlfn.XLOOKUP($C164,TB_NG!$E:$E,TB_NG!AA:AA)</f>
        <v>32949171.219999999</v>
      </c>
      <c r="Z164" s="17">
        <f>-_xlfn.XLOOKUP($C164,TB_NG!$E:$E,TB_NG!AB:AB)</f>
        <v>32949171.219999999</v>
      </c>
      <c r="AA164" s="17">
        <f>-_xlfn.XLOOKUP($C164,TB_NG!$E:$E,TB_NG!AC:AC)</f>
        <v>32949171.219999999</v>
      </c>
      <c r="AB164" s="17">
        <f>-_xlfn.XLOOKUP($C164,TB_NG!$E:$E,TB_NG!AD:AD)</f>
        <v>21499460.77</v>
      </c>
      <c r="AC164" s="17">
        <f>-_xlfn.XLOOKUP($C164,TB_NG!$E:$E,TB_NG!AE:AE)</f>
        <v>21499460.77</v>
      </c>
      <c r="AD164" s="17">
        <f>-_xlfn.XLOOKUP($C164,TB_NG!$E:$E,TB_NG!AF:AF)</f>
        <v>21499460.77</v>
      </c>
      <c r="AE164" s="17">
        <f>-_xlfn.XLOOKUP($C164,TB_NG!$E:$E,TB_NG!AG:AG)</f>
        <v>21499460.77</v>
      </c>
      <c r="AF164" s="17">
        <f>-_xlfn.XLOOKUP($C164,TB_NG!$E:$E,TB_NG!AH:AH)</f>
        <v>0</v>
      </c>
      <c r="AG164" s="17">
        <f>-_xlfn.XLOOKUP($C164,TB_NG!$E:$E,TB_NG!AI:AI)</f>
        <v>0</v>
      </c>
      <c r="AH164" s="17">
        <f>-_xlfn.XLOOKUP($C164,TB_NG!$E:$E,TB_NG!AJ:AJ)</f>
        <v>0</v>
      </c>
      <c r="AI164" s="17">
        <f>-_xlfn.XLOOKUP($C164,TB_NG!$E:$E,TB_NG!AK:AK)</f>
        <v>0</v>
      </c>
      <c r="AJ164" s="17">
        <f>-_xlfn.XLOOKUP($C164,TB_NG!$E:$E,TB_NG!AL:AL)</f>
        <v>0</v>
      </c>
      <c r="AK164" s="17">
        <f>-_xlfn.XLOOKUP($C164,TB_NG!$E:$E,TB_NG!AM:AM)</f>
        <v>0</v>
      </c>
      <c r="AL164" s="17">
        <f>-_xlfn.XLOOKUP($C164,TB_NG!$E:$E,TB_NG!AN:AN)</f>
        <v>0</v>
      </c>
      <c r="AM164" s="17">
        <f>-_xlfn.XLOOKUP($C164,TB_NG!$E:$E,TB_NG!AO:AO)</f>
        <v>0</v>
      </c>
    </row>
    <row r="165" spans="2:39" hidden="1" outlineLevel="1" x14ac:dyDescent="0.2">
      <c r="B165" s="21"/>
      <c r="C165" s="16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</row>
    <row r="166" spans="2:39" s="20" customFormat="1" ht="13.5" customHeight="1" collapsed="1" x14ac:dyDescent="0.15">
      <c r="C166" s="22" t="s">
        <v>53</v>
      </c>
      <c r="D166" s="23">
        <f t="shared" ref="D166:AM166" si="14">SUM(D164:D165)</f>
        <v>42242924.219999999</v>
      </c>
      <c r="E166" s="23">
        <f t="shared" si="14"/>
        <v>42242924.219999999</v>
      </c>
      <c r="F166" s="23">
        <f t="shared" si="14"/>
        <v>42242924.219999999</v>
      </c>
      <c r="G166" s="23">
        <f t="shared" si="14"/>
        <v>42242924.219999999</v>
      </c>
      <c r="H166" s="23">
        <f t="shared" si="14"/>
        <v>42242924.219999999</v>
      </c>
      <c r="I166" s="23">
        <f t="shared" si="14"/>
        <v>42242924.219999999</v>
      </c>
      <c r="J166" s="23">
        <f t="shared" si="14"/>
        <v>42242924.219999999</v>
      </c>
      <c r="K166" s="23">
        <f t="shared" si="14"/>
        <v>42242924.219999999</v>
      </c>
      <c r="L166" s="23">
        <f t="shared" si="14"/>
        <v>42242924.219999999</v>
      </c>
      <c r="M166" s="23">
        <f t="shared" si="14"/>
        <v>42242924.219999999</v>
      </c>
      <c r="N166" s="23">
        <f t="shared" si="14"/>
        <v>42242924.219999999</v>
      </c>
      <c r="O166" s="23">
        <f t="shared" si="14"/>
        <v>32949171.219999999</v>
      </c>
      <c r="P166" s="23">
        <f t="shared" si="14"/>
        <v>32949171.219999999</v>
      </c>
      <c r="Q166" s="23">
        <f t="shared" si="14"/>
        <v>32949171.219999999</v>
      </c>
      <c r="R166" s="23">
        <f t="shared" si="14"/>
        <v>32949171.219999999</v>
      </c>
      <c r="S166" s="23">
        <f t="shared" si="14"/>
        <v>32949171.219999999</v>
      </c>
      <c r="T166" s="23">
        <f t="shared" si="14"/>
        <v>32949171.219999999</v>
      </c>
      <c r="U166" s="23">
        <f t="shared" si="14"/>
        <v>32949171.219999999</v>
      </c>
      <c r="V166" s="23">
        <f t="shared" si="14"/>
        <v>32949171.219999999</v>
      </c>
      <c r="W166" s="23">
        <f t="shared" si="14"/>
        <v>32949171.219999999</v>
      </c>
      <c r="X166" s="23">
        <f t="shared" si="14"/>
        <v>32949171.219999999</v>
      </c>
      <c r="Y166" s="23">
        <f t="shared" si="14"/>
        <v>32949171.219999999</v>
      </c>
      <c r="Z166" s="23">
        <f t="shared" si="14"/>
        <v>32949171.219999999</v>
      </c>
      <c r="AA166" s="23">
        <f t="shared" si="14"/>
        <v>32949171.219999999</v>
      </c>
      <c r="AB166" s="23">
        <f t="shared" si="14"/>
        <v>21499460.77</v>
      </c>
      <c r="AC166" s="23">
        <f t="shared" si="14"/>
        <v>21499460.77</v>
      </c>
      <c r="AD166" s="23">
        <f t="shared" si="14"/>
        <v>21499460.77</v>
      </c>
      <c r="AE166" s="23">
        <f t="shared" si="14"/>
        <v>21499460.77</v>
      </c>
      <c r="AF166" s="23">
        <f t="shared" si="14"/>
        <v>0</v>
      </c>
      <c r="AG166" s="23">
        <f t="shared" si="14"/>
        <v>0</v>
      </c>
      <c r="AH166" s="23">
        <f t="shared" si="14"/>
        <v>0</v>
      </c>
      <c r="AI166" s="23">
        <f t="shared" si="14"/>
        <v>0</v>
      </c>
      <c r="AJ166" s="23">
        <f t="shared" si="14"/>
        <v>0</v>
      </c>
      <c r="AK166" s="23">
        <f t="shared" si="14"/>
        <v>0</v>
      </c>
      <c r="AL166" s="23">
        <f t="shared" si="14"/>
        <v>0</v>
      </c>
      <c r="AM166" s="23">
        <f t="shared" si="14"/>
        <v>0</v>
      </c>
    </row>
    <row r="167" spans="2:39" x14ac:dyDescent="0.2">
      <c r="B167" s="21"/>
      <c r="C167" s="16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8"/>
    </row>
    <row r="168" spans="2:39" s="27" customFormat="1" x14ac:dyDescent="0.2">
      <c r="B168" s="24"/>
      <c r="C168" s="25" t="s">
        <v>267</v>
      </c>
      <c r="D168" s="26">
        <f>D166</f>
        <v>42242924.219999999</v>
      </c>
      <c r="E168" s="26">
        <f t="shared" ref="E168:AM168" si="15">E166</f>
        <v>42242924.219999999</v>
      </c>
      <c r="F168" s="26">
        <f t="shared" si="15"/>
        <v>42242924.219999999</v>
      </c>
      <c r="G168" s="26">
        <f t="shared" si="15"/>
        <v>42242924.219999999</v>
      </c>
      <c r="H168" s="26">
        <f t="shared" si="15"/>
        <v>42242924.219999999</v>
      </c>
      <c r="I168" s="26">
        <f t="shared" si="15"/>
        <v>42242924.219999999</v>
      </c>
      <c r="J168" s="26">
        <f t="shared" si="15"/>
        <v>42242924.219999999</v>
      </c>
      <c r="K168" s="26">
        <f t="shared" si="15"/>
        <v>42242924.219999999</v>
      </c>
      <c r="L168" s="26">
        <f t="shared" si="15"/>
        <v>42242924.219999999</v>
      </c>
      <c r="M168" s="26">
        <f t="shared" si="15"/>
        <v>42242924.219999999</v>
      </c>
      <c r="N168" s="26">
        <f t="shared" si="15"/>
        <v>42242924.219999999</v>
      </c>
      <c r="O168" s="26">
        <f t="shared" si="15"/>
        <v>32949171.219999999</v>
      </c>
      <c r="P168" s="26">
        <f t="shared" si="15"/>
        <v>32949171.219999999</v>
      </c>
      <c r="Q168" s="26">
        <f t="shared" si="15"/>
        <v>32949171.219999999</v>
      </c>
      <c r="R168" s="26">
        <f t="shared" si="15"/>
        <v>32949171.219999999</v>
      </c>
      <c r="S168" s="26">
        <f t="shared" si="15"/>
        <v>32949171.219999999</v>
      </c>
      <c r="T168" s="26">
        <f t="shared" si="15"/>
        <v>32949171.219999999</v>
      </c>
      <c r="U168" s="26">
        <f t="shared" si="15"/>
        <v>32949171.219999999</v>
      </c>
      <c r="V168" s="26">
        <f t="shared" si="15"/>
        <v>32949171.219999999</v>
      </c>
      <c r="W168" s="26">
        <f t="shared" si="15"/>
        <v>32949171.219999999</v>
      </c>
      <c r="X168" s="26">
        <f t="shared" si="15"/>
        <v>32949171.219999999</v>
      </c>
      <c r="Y168" s="26">
        <f t="shared" si="15"/>
        <v>32949171.219999999</v>
      </c>
      <c r="Z168" s="26">
        <f t="shared" si="15"/>
        <v>32949171.219999999</v>
      </c>
      <c r="AA168" s="26">
        <f t="shared" si="15"/>
        <v>32949171.219999999</v>
      </c>
      <c r="AB168" s="26">
        <f t="shared" si="15"/>
        <v>21499460.77</v>
      </c>
      <c r="AC168" s="26">
        <f t="shared" si="15"/>
        <v>21499460.77</v>
      </c>
      <c r="AD168" s="26">
        <f t="shared" si="15"/>
        <v>21499460.77</v>
      </c>
      <c r="AE168" s="26">
        <f t="shared" si="15"/>
        <v>21499460.77</v>
      </c>
      <c r="AF168" s="26">
        <f t="shared" si="15"/>
        <v>0</v>
      </c>
      <c r="AG168" s="26">
        <f t="shared" si="15"/>
        <v>0</v>
      </c>
      <c r="AH168" s="26">
        <f t="shared" si="15"/>
        <v>0</v>
      </c>
      <c r="AI168" s="26">
        <f t="shared" si="15"/>
        <v>0</v>
      </c>
      <c r="AJ168" s="26">
        <f t="shared" si="15"/>
        <v>0</v>
      </c>
      <c r="AK168" s="26">
        <f t="shared" si="15"/>
        <v>0</v>
      </c>
      <c r="AL168" s="26">
        <f t="shared" si="15"/>
        <v>0</v>
      </c>
      <c r="AM168" s="26">
        <f t="shared" si="15"/>
        <v>0</v>
      </c>
    </row>
    <row r="169" spans="2:39" x14ac:dyDescent="0.2">
      <c r="B169" s="21"/>
      <c r="C169" s="16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8"/>
    </row>
    <row r="170" spans="2:39" hidden="1" outlineLevel="1" x14ac:dyDescent="0.2">
      <c r="B170" s="21"/>
      <c r="C170" s="20" t="s">
        <v>268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8"/>
    </row>
    <row r="171" spans="2:39" hidden="1" outlineLevel="1" x14ac:dyDescent="0.2">
      <c r="B171" s="21">
        <f>_xlfn.XLOOKUP($C171,TB_NG!$E:$E,TB_NG!A:A)</f>
        <v>20000</v>
      </c>
      <c r="C171" s="16" t="s">
        <v>269</v>
      </c>
      <c r="D171" s="17">
        <f>-_xlfn.XLOOKUP($C171,TB_NG!$E:$E,TB_NG!F:F)</f>
        <v>213303760.16</v>
      </c>
      <c r="E171" s="17">
        <f>-_xlfn.XLOOKUP($C171,TB_NG!$E:$E,TB_NG!G:G)</f>
        <v>219885386.40000001</v>
      </c>
      <c r="F171" s="17">
        <f>-_xlfn.XLOOKUP($C171,TB_NG!$E:$E,TB_NG!H:H)</f>
        <v>224973727.99000001</v>
      </c>
      <c r="G171" s="17">
        <f>-_xlfn.XLOOKUP($C171,TB_NG!$E:$E,TB_NG!I:I)</f>
        <v>229703505.91</v>
      </c>
      <c r="H171" s="17">
        <f>-_xlfn.XLOOKUP($C171,TB_NG!$E:$E,TB_NG!J:J)</f>
        <v>314562051.89999998</v>
      </c>
      <c r="I171" s="17">
        <f>-_xlfn.XLOOKUP($C171,TB_NG!$E:$E,TB_NG!K:K)</f>
        <v>320884662.89999998</v>
      </c>
      <c r="J171" s="17">
        <f>-_xlfn.XLOOKUP($C171,TB_NG!$E:$E,TB_NG!L:L)</f>
        <v>327445108.08999997</v>
      </c>
      <c r="K171" s="17">
        <f>-_xlfn.XLOOKUP($C171,TB_NG!$E:$E,TB_NG!M:M)</f>
        <v>310606338.44</v>
      </c>
      <c r="L171" s="17">
        <f>-_xlfn.XLOOKUP($C171,TB_NG!$E:$E,TB_NG!N:N)</f>
        <v>232966649.52000001</v>
      </c>
      <c r="M171" s="17">
        <f>-_xlfn.XLOOKUP($C171,TB_NG!$E:$E,TB_NG!O:O)</f>
        <v>212871447.09</v>
      </c>
      <c r="N171" s="17">
        <f>-_xlfn.XLOOKUP($C171,TB_NG!$E:$E,TB_NG!P:P)</f>
        <v>323810595.66000003</v>
      </c>
      <c r="O171" s="17">
        <f>-_xlfn.XLOOKUP($C171,TB_NG!$E:$E,TB_NG!Q:Q)</f>
        <v>1001385513.49</v>
      </c>
      <c r="P171" s="17">
        <f>-_xlfn.XLOOKUP($C171,TB_NG!$E:$E,TB_NG!R:R)</f>
        <v>994702210.21000004</v>
      </c>
      <c r="Q171" s="17">
        <f>-_xlfn.XLOOKUP($C171,TB_NG!$E:$E,TB_NG!S:S)</f>
        <v>1003978508.96</v>
      </c>
      <c r="R171" s="17">
        <f>-_xlfn.XLOOKUP($C171,TB_NG!$E:$E,TB_NG!T:T)</f>
        <v>1002973102.46</v>
      </c>
      <c r="S171" s="17">
        <f>-_xlfn.XLOOKUP($C171,TB_NG!$E:$E,TB_NG!U:U)</f>
        <v>521161207.25</v>
      </c>
      <c r="T171" s="17">
        <f>-_xlfn.XLOOKUP($C171,TB_NG!$E:$E,TB_NG!V:V)</f>
        <v>507767066.56999999</v>
      </c>
      <c r="U171" s="17">
        <f>-_xlfn.XLOOKUP($C171,TB_NG!$E:$E,TB_NG!W:W)</f>
        <v>501220322.13</v>
      </c>
      <c r="V171" s="17">
        <f>-_xlfn.XLOOKUP($C171,TB_NG!$E:$E,TB_NG!X:X)</f>
        <v>307270565.01999998</v>
      </c>
      <c r="W171" s="17">
        <f>-_xlfn.XLOOKUP($C171,TB_NG!$E:$E,TB_NG!Y:Y)</f>
        <v>299402771.14999998</v>
      </c>
      <c r="X171" s="17">
        <f>-_xlfn.XLOOKUP($C171,TB_NG!$E:$E,TB_NG!Z:Z)</f>
        <v>286059984.99000001</v>
      </c>
      <c r="Y171" s="17">
        <f>-_xlfn.XLOOKUP($C171,TB_NG!$E:$E,TB_NG!AA:AA)</f>
        <v>287170482.99000001</v>
      </c>
      <c r="Z171" s="17">
        <f>-_xlfn.XLOOKUP($C171,TB_NG!$E:$E,TB_NG!AB:AB)</f>
        <v>269867827.79000002</v>
      </c>
      <c r="AA171" s="17">
        <f>-_xlfn.XLOOKUP($C171,TB_NG!$E:$E,TB_NG!AC:AC)</f>
        <v>248309641.41999999</v>
      </c>
      <c r="AB171" s="17">
        <f>-_xlfn.XLOOKUP($C171,TB_NG!$E:$E,TB_NG!AD:AD)</f>
        <v>328877586.88999999</v>
      </c>
      <c r="AC171" s="17">
        <f>-_xlfn.XLOOKUP($C171,TB_NG!$E:$E,TB_NG!AE:AE)</f>
        <v>327753736.88999999</v>
      </c>
      <c r="AD171" s="17">
        <f>-_xlfn.XLOOKUP($C171,TB_NG!$E:$E,TB_NG!AF:AF)</f>
        <v>395664675.01999998</v>
      </c>
      <c r="AE171" s="17">
        <f>-_xlfn.XLOOKUP($C171,TB_NG!$E:$E,TB_NG!AG:AG)</f>
        <v>246729530.19</v>
      </c>
      <c r="AF171" s="17">
        <f>-_xlfn.XLOOKUP($C171,TB_NG!$E:$E,TB_NG!AH:AH)</f>
        <v>0</v>
      </c>
      <c r="AG171" s="17">
        <f>-_xlfn.XLOOKUP($C171,TB_NG!$E:$E,TB_NG!AI:AI)</f>
        <v>0</v>
      </c>
      <c r="AH171" s="17">
        <f>-_xlfn.XLOOKUP($C171,TB_NG!$E:$E,TB_NG!AJ:AJ)</f>
        <v>0</v>
      </c>
      <c r="AI171" s="17">
        <f>-_xlfn.XLOOKUP($C171,TB_NG!$E:$E,TB_NG!AK:AK)</f>
        <v>0</v>
      </c>
      <c r="AJ171" s="17">
        <f>-_xlfn.XLOOKUP($C171,TB_NG!$E:$E,TB_NG!AL:AL)</f>
        <v>0</v>
      </c>
      <c r="AK171" s="17">
        <f>-_xlfn.XLOOKUP($C171,TB_NG!$E:$E,TB_NG!AM:AM)</f>
        <v>0</v>
      </c>
      <c r="AL171" s="17">
        <f>-_xlfn.XLOOKUP($C171,TB_NG!$E:$E,TB_NG!AN:AN)</f>
        <v>0</v>
      </c>
      <c r="AM171" s="17">
        <f>-_xlfn.XLOOKUP($C171,TB_NG!$E:$E,TB_NG!AO:AO)</f>
        <v>0</v>
      </c>
    </row>
    <row r="172" spans="2:39" hidden="1" outlineLevel="1" x14ac:dyDescent="0.2">
      <c r="B172" s="21">
        <f>_xlfn.XLOOKUP($C172,TB_NG!$E:$E,TB_NG!A:A)</f>
        <v>20005</v>
      </c>
      <c r="C172" s="16" t="s">
        <v>270</v>
      </c>
      <c r="D172" s="17">
        <f>-_xlfn.XLOOKUP($C172,TB_NG!$E:$E,TB_NG!F:F)</f>
        <v>100461606.02</v>
      </c>
      <c r="E172" s="17">
        <f>-_xlfn.XLOOKUP($C172,TB_NG!$E:$E,TB_NG!G:G)</f>
        <v>106463862.45</v>
      </c>
      <c r="F172" s="17">
        <f>-_xlfn.XLOOKUP($C172,TB_NG!$E:$E,TB_NG!H:H)</f>
        <v>113813512.45</v>
      </c>
      <c r="G172" s="17">
        <f>-_xlfn.XLOOKUP($C172,TB_NG!$E:$E,TB_NG!I:I)</f>
        <v>68116494.099999994</v>
      </c>
      <c r="H172" s="17">
        <f>-_xlfn.XLOOKUP($C172,TB_NG!$E:$E,TB_NG!J:J)</f>
        <v>82829237.75</v>
      </c>
      <c r="I172" s="17">
        <f>-_xlfn.XLOOKUP($C172,TB_NG!$E:$E,TB_NG!K:K)</f>
        <v>116572241.95999999</v>
      </c>
      <c r="J172" s="17">
        <f>-_xlfn.XLOOKUP($C172,TB_NG!$E:$E,TB_NG!L:L)</f>
        <v>182961464.19999999</v>
      </c>
      <c r="K172" s="17">
        <f>-_xlfn.XLOOKUP($C172,TB_NG!$E:$E,TB_NG!M:M)</f>
        <v>195445996.47999999</v>
      </c>
      <c r="L172" s="17">
        <f>-_xlfn.XLOOKUP($C172,TB_NG!$E:$E,TB_NG!N:N)</f>
        <v>101816876.84</v>
      </c>
      <c r="M172" s="17">
        <f>-_xlfn.XLOOKUP($C172,TB_NG!$E:$E,TB_NG!O:O)</f>
        <v>144789337.31999999</v>
      </c>
      <c r="N172" s="17">
        <f>-_xlfn.XLOOKUP($C172,TB_NG!$E:$E,TB_NG!P:P)</f>
        <v>134053192.75</v>
      </c>
      <c r="O172" s="17">
        <f>-_xlfn.XLOOKUP($C172,TB_NG!$E:$E,TB_NG!Q:Q)</f>
        <v>144614995.56</v>
      </c>
      <c r="P172" s="17">
        <f>-_xlfn.XLOOKUP($C172,TB_NG!$E:$E,TB_NG!R:R)</f>
        <v>158195839.31999999</v>
      </c>
      <c r="Q172" s="17">
        <f>-_xlfn.XLOOKUP($C172,TB_NG!$E:$E,TB_NG!S:S)</f>
        <v>172597444.47</v>
      </c>
      <c r="R172" s="17">
        <f>-_xlfn.XLOOKUP($C172,TB_NG!$E:$E,TB_NG!T:T)</f>
        <v>165742753.87</v>
      </c>
      <c r="S172" s="17">
        <f>-_xlfn.XLOOKUP($C172,TB_NG!$E:$E,TB_NG!U:U)</f>
        <v>317175916.07999998</v>
      </c>
      <c r="T172" s="17">
        <f>-_xlfn.XLOOKUP($C172,TB_NG!$E:$E,TB_NG!V:V)</f>
        <v>98661026.959999993</v>
      </c>
      <c r="U172" s="17">
        <f>-_xlfn.XLOOKUP($C172,TB_NG!$E:$E,TB_NG!W:W)</f>
        <v>82347565.890000001</v>
      </c>
      <c r="V172" s="17">
        <f>-_xlfn.XLOOKUP($C172,TB_NG!$E:$E,TB_NG!X:X)</f>
        <v>88115437.049999997</v>
      </c>
      <c r="W172" s="17">
        <f>-_xlfn.XLOOKUP($C172,TB_NG!$E:$E,TB_NG!Y:Y)</f>
        <v>96057910.640000001</v>
      </c>
      <c r="X172" s="17">
        <f>-_xlfn.XLOOKUP($C172,TB_NG!$E:$E,TB_NG!Z:Z)</f>
        <v>78974384.680000007</v>
      </c>
      <c r="Y172" s="17">
        <f>-_xlfn.XLOOKUP($C172,TB_NG!$E:$E,TB_NG!AA:AA)</f>
        <v>95827344</v>
      </c>
      <c r="Z172" s="17">
        <f>-_xlfn.XLOOKUP($C172,TB_NG!$E:$E,TB_NG!AB:AB)</f>
        <v>81524551.150000006</v>
      </c>
      <c r="AA172" s="17">
        <f>-_xlfn.XLOOKUP($C172,TB_NG!$E:$E,TB_NG!AC:AC)</f>
        <v>78288587.409999996</v>
      </c>
      <c r="AB172" s="17">
        <f>-_xlfn.XLOOKUP($C172,TB_NG!$E:$E,TB_NG!AD:AD)</f>
        <v>81225092.019999996</v>
      </c>
      <c r="AC172" s="17">
        <f>-_xlfn.XLOOKUP($C172,TB_NG!$E:$E,TB_NG!AE:AE)</f>
        <v>80168716.980000004</v>
      </c>
      <c r="AD172" s="17">
        <f>-_xlfn.XLOOKUP($C172,TB_NG!$E:$E,TB_NG!AF:AF)</f>
        <v>90008052.430000007</v>
      </c>
      <c r="AE172" s="17">
        <f>-_xlfn.XLOOKUP($C172,TB_NG!$E:$E,TB_NG!AG:AG)</f>
        <v>102000038.65000001</v>
      </c>
      <c r="AF172" s="17">
        <f>-_xlfn.XLOOKUP($C172,TB_NG!$E:$E,TB_NG!AH:AH)</f>
        <v>0</v>
      </c>
      <c r="AG172" s="17">
        <f>-_xlfn.XLOOKUP($C172,TB_NG!$E:$E,TB_NG!AI:AI)</f>
        <v>0</v>
      </c>
      <c r="AH172" s="17">
        <f>-_xlfn.XLOOKUP($C172,TB_NG!$E:$E,TB_NG!AJ:AJ)</f>
        <v>0</v>
      </c>
      <c r="AI172" s="17">
        <f>-_xlfn.XLOOKUP($C172,TB_NG!$E:$E,TB_NG!AK:AK)</f>
        <v>0</v>
      </c>
      <c r="AJ172" s="17">
        <f>-_xlfn.XLOOKUP($C172,TB_NG!$E:$E,TB_NG!AL:AL)</f>
        <v>0</v>
      </c>
      <c r="AK172" s="17">
        <f>-_xlfn.XLOOKUP($C172,TB_NG!$E:$E,TB_NG!AM:AM)</f>
        <v>0</v>
      </c>
      <c r="AL172" s="17">
        <f>-_xlfn.XLOOKUP($C172,TB_NG!$E:$E,TB_NG!AN:AN)</f>
        <v>0</v>
      </c>
      <c r="AM172" s="17">
        <f>-_xlfn.XLOOKUP($C172,TB_NG!$E:$E,TB_NG!AO:AO)</f>
        <v>0</v>
      </c>
    </row>
    <row r="173" spans="2:39" hidden="1" outlineLevel="1" x14ac:dyDescent="0.2">
      <c r="B173" s="21"/>
      <c r="C173" s="16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</row>
    <row r="174" spans="2:39" s="20" customFormat="1" ht="13.5" customHeight="1" collapsed="1" x14ac:dyDescent="0.15">
      <c r="C174" s="22" t="s">
        <v>54</v>
      </c>
      <c r="D174" s="23">
        <f t="shared" ref="D174:AM174" si="16">SUM(D171:D173)</f>
        <v>313765366.18000001</v>
      </c>
      <c r="E174" s="23">
        <f t="shared" si="16"/>
        <v>326349248.85000002</v>
      </c>
      <c r="F174" s="23">
        <f t="shared" si="16"/>
        <v>338787240.44</v>
      </c>
      <c r="G174" s="23">
        <f t="shared" si="16"/>
        <v>297820000.00999999</v>
      </c>
      <c r="H174" s="23">
        <f t="shared" si="16"/>
        <v>397391289.64999998</v>
      </c>
      <c r="I174" s="23">
        <f t="shared" si="16"/>
        <v>437456904.85999995</v>
      </c>
      <c r="J174" s="23">
        <f t="shared" si="16"/>
        <v>510406572.28999996</v>
      </c>
      <c r="K174" s="23">
        <f t="shared" si="16"/>
        <v>506052334.91999996</v>
      </c>
      <c r="L174" s="23">
        <f t="shared" si="16"/>
        <v>334783526.36000001</v>
      </c>
      <c r="M174" s="23">
        <f t="shared" si="16"/>
        <v>357660784.40999997</v>
      </c>
      <c r="N174" s="23">
        <f t="shared" si="16"/>
        <v>457863788.41000003</v>
      </c>
      <c r="O174" s="23">
        <f t="shared" si="16"/>
        <v>1146000509.05</v>
      </c>
      <c r="P174" s="23">
        <f t="shared" si="16"/>
        <v>1152898049.53</v>
      </c>
      <c r="Q174" s="23">
        <f t="shared" si="16"/>
        <v>1176575953.4300001</v>
      </c>
      <c r="R174" s="23">
        <f t="shared" si="16"/>
        <v>1168715856.3299999</v>
      </c>
      <c r="S174" s="23">
        <f t="shared" si="16"/>
        <v>838337123.32999992</v>
      </c>
      <c r="T174" s="23">
        <f t="shared" si="16"/>
        <v>606428093.52999997</v>
      </c>
      <c r="U174" s="23">
        <f t="shared" si="16"/>
        <v>583567888.01999998</v>
      </c>
      <c r="V174" s="23">
        <f t="shared" si="16"/>
        <v>395386002.06999999</v>
      </c>
      <c r="W174" s="23">
        <f t="shared" si="16"/>
        <v>395460681.78999996</v>
      </c>
      <c r="X174" s="23">
        <f t="shared" si="16"/>
        <v>365034369.67000002</v>
      </c>
      <c r="Y174" s="23">
        <f t="shared" si="16"/>
        <v>382997826.99000001</v>
      </c>
      <c r="Z174" s="23">
        <f t="shared" si="16"/>
        <v>351392378.94000006</v>
      </c>
      <c r="AA174" s="23">
        <f t="shared" si="16"/>
        <v>326598228.82999998</v>
      </c>
      <c r="AB174" s="23">
        <f t="shared" si="16"/>
        <v>410102678.90999997</v>
      </c>
      <c r="AC174" s="23">
        <f t="shared" si="16"/>
        <v>407922453.87</v>
      </c>
      <c r="AD174" s="23">
        <f t="shared" si="16"/>
        <v>485672727.44999999</v>
      </c>
      <c r="AE174" s="23">
        <f t="shared" si="16"/>
        <v>348729568.84000003</v>
      </c>
      <c r="AF174" s="23">
        <f t="shared" si="16"/>
        <v>0</v>
      </c>
      <c r="AG174" s="23">
        <f t="shared" si="16"/>
        <v>0</v>
      </c>
      <c r="AH174" s="23">
        <f t="shared" si="16"/>
        <v>0</v>
      </c>
      <c r="AI174" s="23">
        <f t="shared" si="16"/>
        <v>0</v>
      </c>
      <c r="AJ174" s="23">
        <f t="shared" si="16"/>
        <v>0</v>
      </c>
      <c r="AK174" s="23">
        <f t="shared" si="16"/>
        <v>0</v>
      </c>
      <c r="AL174" s="23">
        <f t="shared" si="16"/>
        <v>0</v>
      </c>
      <c r="AM174" s="23">
        <f t="shared" si="16"/>
        <v>0</v>
      </c>
    </row>
    <row r="175" spans="2:39" x14ac:dyDescent="0.2">
      <c r="B175" s="21"/>
      <c r="C175" s="16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8"/>
    </row>
    <row r="176" spans="2:39" hidden="1" outlineLevel="1" x14ac:dyDescent="0.2">
      <c r="B176" s="21"/>
      <c r="C176" s="20" t="s">
        <v>271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8"/>
    </row>
    <row r="177" spans="2:39" hidden="1" outlineLevel="1" x14ac:dyDescent="0.2">
      <c r="B177" s="21">
        <f>_xlfn.XLOOKUP($C177,TB_NG!$E:$E,TB_NG!A:A)</f>
        <v>23030</v>
      </c>
      <c r="C177" s="16" t="s">
        <v>272</v>
      </c>
      <c r="D177" s="17">
        <f>-_xlfn.XLOOKUP($C177,TB_NG!$E:$E,TB_NG!F:F)</f>
        <v>0</v>
      </c>
      <c r="E177" s="17">
        <f>-_xlfn.XLOOKUP($C177,TB_NG!$E:$E,TB_NG!G:G)</f>
        <v>0</v>
      </c>
      <c r="F177" s="17">
        <f>-_xlfn.XLOOKUP($C177,TB_NG!$E:$E,TB_NG!H:H)</f>
        <v>0</v>
      </c>
      <c r="G177" s="17">
        <f>-_xlfn.XLOOKUP($C177,TB_NG!$E:$E,TB_NG!I:I)</f>
        <v>0</v>
      </c>
      <c r="H177" s="17">
        <f>-_xlfn.XLOOKUP($C177,TB_NG!$E:$E,TB_NG!J:J)</f>
        <v>0</v>
      </c>
      <c r="I177" s="17">
        <f>-_xlfn.XLOOKUP($C177,TB_NG!$E:$E,TB_NG!K:K)</f>
        <v>0</v>
      </c>
      <c r="J177" s="17">
        <f>-_xlfn.XLOOKUP($C177,TB_NG!$E:$E,TB_NG!L:L)</f>
        <v>0</v>
      </c>
      <c r="K177" s="17">
        <f>-_xlfn.XLOOKUP($C177,TB_NG!$E:$E,TB_NG!M:M)</f>
        <v>0</v>
      </c>
      <c r="L177" s="17">
        <f>-_xlfn.XLOOKUP($C177,TB_NG!$E:$E,TB_NG!N:N)</f>
        <v>0</v>
      </c>
      <c r="M177" s="17">
        <f>-_xlfn.XLOOKUP($C177,TB_NG!$E:$E,TB_NG!O:O)</f>
        <v>0</v>
      </c>
      <c r="N177" s="17">
        <f>-_xlfn.XLOOKUP($C177,TB_NG!$E:$E,TB_NG!P:P)</f>
        <v>0</v>
      </c>
      <c r="O177" s="17">
        <f>-_xlfn.XLOOKUP($C177,TB_NG!$E:$E,TB_NG!Q:Q)</f>
        <v>2279773</v>
      </c>
      <c r="P177" s="17">
        <f>-_xlfn.XLOOKUP($C177,TB_NG!$E:$E,TB_NG!R:R)</f>
        <v>2279773</v>
      </c>
      <c r="Q177" s="17">
        <f>-_xlfn.XLOOKUP($C177,TB_NG!$E:$E,TB_NG!S:S)</f>
        <v>2279773</v>
      </c>
      <c r="R177" s="17">
        <f>-_xlfn.XLOOKUP($C177,TB_NG!$E:$E,TB_NG!T:T)</f>
        <v>2279773</v>
      </c>
      <c r="S177" s="17">
        <f>-_xlfn.XLOOKUP($C177,TB_NG!$E:$E,TB_NG!U:U)</f>
        <v>2279773</v>
      </c>
      <c r="T177" s="17">
        <f>-_xlfn.XLOOKUP($C177,TB_NG!$E:$E,TB_NG!V:V)</f>
        <v>2279773</v>
      </c>
      <c r="U177" s="17">
        <f>-_xlfn.XLOOKUP($C177,TB_NG!$E:$E,TB_NG!W:W)</f>
        <v>543255.56000000006</v>
      </c>
      <c r="V177" s="17">
        <f>-_xlfn.XLOOKUP($C177,TB_NG!$E:$E,TB_NG!X:X)</f>
        <v>543255.56000000006</v>
      </c>
      <c r="W177" s="17">
        <f>-_xlfn.XLOOKUP($C177,TB_NG!$E:$E,TB_NG!Y:Y)</f>
        <v>0</v>
      </c>
      <c r="X177" s="17">
        <f>-_xlfn.XLOOKUP($C177,TB_NG!$E:$E,TB_NG!Z:Z)</f>
        <v>0</v>
      </c>
      <c r="Y177" s="17">
        <f>-_xlfn.XLOOKUP($C177,TB_NG!$E:$E,TB_NG!AA:AA)</f>
        <v>0</v>
      </c>
      <c r="Z177" s="17">
        <f>-_xlfn.XLOOKUP($C177,TB_NG!$E:$E,TB_NG!AB:AB)</f>
        <v>0</v>
      </c>
      <c r="AA177" s="17">
        <f>-_xlfn.XLOOKUP($C177,TB_NG!$E:$E,TB_NG!AC:AC)</f>
        <v>0</v>
      </c>
      <c r="AB177" s="17">
        <f>-_xlfn.XLOOKUP($C177,TB_NG!$E:$E,TB_NG!AD:AD)</f>
        <v>0</v>
      </c>
      <c r="AC177" s="17">
        <f>-_xlfn.XLOOKUP($C177,TB_NG!$E:$E,TB_NG!AE:AE)</f>
        <v>0</v>
      </c>
      <c r="AD177" s="17">
        <f>-_xlfn.XLOOKUP($C177,TB_NG!$E:$E,TB_NG!AF:AF)</f>
        <v>0</v>
      </c>
      <c r="AE177" s="17">
        <f>-_xlfn.XLOOKUP($C177,TB_NG!$E:$E,TB_NG!AG:AG)</f>
        <v>0</v>
      </c>
      <c r="AF177" s="17">
        <f>-_xlfn.XLOOKUP($C177,TB_NG!$E:$E,TB_NG!AH:AH)</f>
        <v>0</v>
      </c>
      <c r="AG177" s="17">
        <f>-_xlfn.XLOOKUP($C177,TB_NG!$E:$E,TB_NG!AI:AI)</f>
        <v>0</v>
      </c>
      <c r="AH177" s="17">
        <f>-_xlfn.XLOOKUP($C177,TB_NG!$E:$E,TB_NG!AJ:AJ)</f>
        <v>0</v>
      </c>
      <c r="AI177" s="17">
        <f>-_xlfn.XLOOKUP($C177,TB_NG!$E:$E,TB_NG!AK:AK)</f>
        <v>0</v>
      </c>
      <c r="AJ177" s="17">
        <f>-_xlfn.XLOOKUP($C177,TB_NG!$E:$E,TB_NG!AL:AL)</f>
        <v>0</v>
      </c>
      <c r="AK177" s="17">
        <f>-_xlfn.XLOOKUP($C177,TB_NG!$E:$E,TB_NG!AM:AM)</f>
        <v>0</v>
      </c>
      <c r="AL177" s="17">
        <f>-_xlfn.XLOOKUP($C177,TB_NG!$E:$E,TB_NG!AN:AN)</f>
        <v>0</v>
      </c>
      <c r="AM177" s="17">
        <f>-_xlfn.XLOOKUP($C177,TB_NG!$E:$E,TB_NG!AO:AO)</f>
        <v>0</v>
      </c>
    </row>
    <row r="178" spans="2:39" hidden="1" outlineLevel="1" x14ac:dyDescent="0.2">
      <c r="B178" s="21">
        <f>_xlfn.XLOOKUP($C178,TB_NG!$E:$E,TB_NG!A:A)</f>
        <v>23400</v>
      </c>
      <c r="C178" s="16" t="s">
        <v>273</v>
      </c>
      <c r="D178" s="17">
        <f>-_xlfn.XLOOKUP($C178,TB_NG!$E:$E,TB_NG!F:F)</f>
        <v>1083677157.23</v>
      </c>
      <c r="E178" s="17">
        <f>-_xlfn.XLOOKUP($C178,TB_NG!$E:$E,TB_NG!G:G)</f>
        <v>1114267774.3499999</v>
      </c>
      <c r="F178" s="17">
        <f>-_xlfn.XLOOKUP($C178,TB_NG!$E:$E,TB_NG!H:H)</f>
        <v>1159833578.1300001</v>
      </c>
      <c r="G178" s="17">
        <f>-_xlfn.XLOOKUP($C178,TB_NG!$E:$E,TB_NG!I:I)</f>
        <v>1189869093.3599999</v>
      </c>
      <c r="H178" s="17">
        <f>-_xlfn.XLOOKUP($C178,TB_NG!$E:$E,TB_NG!J:J)</f>
        <v>1199779647.73</v>
      </c>
      <c r="I178" s="17">
        <f>-_xlfn.XLOOKUP($C178,TB_NG!$E:$E,TB_NG!K:K)</f>
        <v>1202388053.4000001</v>
      </c>
      <c r="J178" s="17">
        <f>-_xlfn.XLOOKUP($C178,TB_NG!$E:$E,TB_NG!L:L)</f>
        <v>1207790976.79</v>
      </c>
      <c r="K178" s="17">
        <f>-_xlfn.XLOOKUP($C178,TB_NG!$E:$E,TB_NG!M:M)</f>
        <v>1216571078.72</v>
      </c>
      <c r="L178" s="17">
        <f>-_xlfn.XLOOKUP($C178,TB_NG!$E:$E,TB_NG!N:N)</f>
        <v>1228931211.1400001</v>
      </c>
      <c r="M178" s="17">
        <f>-_xlfn.XLOOKUP($C178,TB_NG!$E:$E,TB_NG!O:O)</f>
        <v>1242372803.8699999</v>
      </c>
      <c r="N178" s="17">
        <f>-_xlfn.XLOOKUP($C178,TB_NG!$E:$E,TB_NG!P:P)</f>
        <v>1260083885.29</v>
      </c>
      <c r="O178" s="17">
        <f>-_xlfn.XLOOKUP($C178,TB_NG!$E:$E,TB_NG!Q:Q)</f>
        <v>1354903224.05</v>
      </c>
      <c r="P178" s="17">
        <f>-_xlfn.XLOOKUP($C178,TB_NG!$E:$E,TB_NG!R:R)</f>
        <v>1368569108.46</v>
      </c>
      <c r="Q178" s="17">
        <f>-_xlfn.XLOOKUP($C178,TB_NG!$E:$E,TB_NG!S:S)</f>
        <v>1370776678.4300001</v>
      </c>
      <c r="R178" s="17">
        <f>-_xlfn.XLOOKUP($C178,TB_NG!$E:$E,TB_NG!T:T)</f>
        <v>1360025902.1199999</v>
      </c>
      <c r="S178" s="17">
        <f>-_xlfn.XLOOKUP($C178,TB_NG!$E:$E,TB_NG!U:U)</f>
        <v>1362846941.22</v>
      </c>
      <c r="T178" s="17">
        <f>-_xlfn.XLOOKUP($C178,TB_NG!$E:$E,TB_NG!V:V)</f>
        <v>1359660219.1300001</v>
      </c>
      <c r="U178" s="17">
        <f>-_xlfn.XLOOKUP($C178,TB_NG!$E:$E,TB_NG!W:W)</f>
        <v>1355594394.27</v>
      </c>
      <c r="V178" s="17">
        <f>-_xlfn.XLOOKUP($C178,TB_NG!$E:$E,TB_NG!X:X)</f>
        <v>1355308197.6700001</v>
      </c>
      <c r="W178" s="17">
        <f>-_xlfn.XLOOKUP($C178,TB_NG!$E:$E,TB_NG!Y:Y)</f>
        <v>1355438992.5599999</v>
      </c>
      <c r="X178" s="17">
        <f>-_xlfn.XLOOKUP($C178,TB_NG!$E:$E,TB_NG!Z:Z)</f>
        <v>1372919292.0599999</v>
      </c>
      <c r="Y178" s="17">
        <f>-_xlfn.XLOOKUP($C178,TB_NG!$E:$E,TB_NG!AA:AA)</f>
        <v>1392325178.8800001</v>
      </c>
      <c r="Z178" s="17">
        <f>-_xlfn.XLOOKUP($C178,TB_NG!$E:$E,TB_NG!AB:AB)</f>
        <v>1370820450.97</v>
      </c>
      <c r="AA178" s="17">
        <f>-_xlfn.XLOOKUP($C178,TB_NG!$E:$E,TB_NG!AC:AC)</f>
        <v>21165517.609999999</v>
      </c>
      <c r="AB178" s="17">
        <f>-_xlfn.XLOOKUP($C178,TB_NG!$E:$E,TB_NG!AD:AD)</f>
        <v>49738940.270000003</v>
      </c>
      <c r="AC178" s="17">
        <f>-_xlfn.XLOOKUP($C178,TB_NG!$E:$E,TB_NG!AE:AE)</f>
        <v>78371661.859999999</v>
      </c>
      <c r="AD178" s="17">
        <f>-_xlfn.XLOOKUP($C178,TB_NG!$E:$E,TB_NG!AF:AF)</f>
        <v>68827400.769999996</v>
      </c>
      <c r="AE178" s="17">
        <f>-_xlfn.XLOOKUP($C178,TB_NG!$E:$E,TB_NG!AG:AG)</f>
        <v>39095932.030000001</v>
      </c>
      <c r="AF178" s="17">
        <f>-_xlfn.XLOOKUP($C178,TB_NG!$E:$E,TB_NG!AH:AH)</f>
        <v>0</v>
      </c>
      <c r="AG178" s="17">
        <f>-_xlfn.XLOOKUP($C178,TB_NG!$E:$E,TB_NG!AI:AI)</f>
        <v>0</v>
      </c>
      <c r="AH178" s="17">
        <f>-_xlfn.XLOOKUP($C178,TB_NG!$E:$E,TB_NG!AJ:AJ)</f>
        <v>0</v>
      </c>
      <c r="AI178" s="17">
        <f>-_xlfn.XLOOKUP($C178,TB_NG!$E:$E,TB_NG!AK:AK)</f>
        <v>0</v>
      </c>
      <c r="AJ178" s="17">
        <f>-_xlfn.XLOOKUP($C178,TB_NG!$E:$E,TB_NG!AL:AL)</f>
        <v>0</v>
      </c>
      <c r="AK178" s="17">
        <f>-_xlfn.XLOOKUP($C178,TB_NG!$E:$E,TB_NG!AM:AM)</f>
        <v>0</v>
      </c>
      <c r="AL178" s="17">
        <f>-_xlfn.XLOOKUP($C178,TB_NG!$E:$E,TB_NG!AN:AN)</f>
        <v>0</v>
      </c>
      <c r="AM178" s="17">
        <f>-_xlfn.XLOOKUP($C178,TB_NG!$E:$E,TB_NG!AO:AO)</f>
        <v>0</v>
      </c>
    </row>
    <row r="179" spans="2:39" hidden="1" outlineLevel="1" x14ac:dyDescent="0.2">
      <c r="B179" s="21">
        <f>_xlfn.XLOOKUP($C179,TB_NG!$E:$E,TB_NG!A:A)</f>
        <v>23405</v>
      </c>
      <c r="C179" s="16" t="s">
        <v>274</v>
      </c>
      <c r="D179" s="17">
        <f>-_xlfn.XLOOKUP($C179,TB_NG!$E:$E,TB_NG!F:F)</f>
        <v>-846695382.23000002</v>
      </c>
      <c r="E179" s="17">
        <f>-_xlfn.XLOOKUP($C179,TB_NG!$E:$E,TB_NG!G:G)</f>
        <v>-850244876.08000004</v>
      </c>
      <c r="F179" s="17">
        <f>-_xlfn.XLOOKUP($C179,TB_NG!$E:$E,TB_NG!H:H)</f>
        <v>-852339098.12</v>
      </c>
      <c r="G179" s="17">
        <f>-_xlfn.XLOOKUP($C179,TB_NG!$E:$E,TB_NG!I:I)</f>
        <v>-860110120.57000005</v>
      </c>
      <c r="H179" s="17">
        <f>-_xlfn.XLOOKUP($C179,TB_NG!$E:$E,TB_NG!J:J)</f>
        <v>-863093628.28999996</v>
      </c>
      <c r="I179" s="17">
        <f>-_xlfn.XLOOKUP($C179,TB_NG!$E:$E,TB_NG!K:K)</f>
        <v>-868584948.69000006</v>
      </c>
      <c r="J179" s="17">
        <f>-_xlfn.XLOOKUP($C179,TB_NG!$E:$E,TB_NG!L:L)</f>
        <v>-871193354.36000001</v>
      </c>
      <c r="K179" s="17">
        <f>-_xlfn.XLOOKUP($C179,TB_NG!$E:$E,TB_NG!M:M)</f>
        <v>-874003719.42999995</v>
      </c>
      <c r="L179" s="17">
        <f>-_xlfn.XLOOKUP($C179,TB_NG!$E:$E,TB_NG!N:N)</f>
        <v>-888478816.38999999</v>
      </c>
      <c r="M179" s="17">
        <f>-_xlfn.XLOOKUP($C179,TB_NG!$E:$E,TB_NG!O:O)</f>
        <v>-892291131.38</v>
      </c>
      <c r="N179" s="17">
        <f>-_xlfn.XLOOKUP($C179,TB_NG!$E:$E,TB_NG!P:P)</f>
        <v>-896953973.75999999</v>
      </c>
      <c r="O179" s="17">
        <f>-_xlfn.XLOOKUP($C179,TB_NG!$E:$E,TB_NG!Q:Q)</f>
        <v>-904471947.03999996</v>
      </c>
      <c r="P179" s="17">
        <f>-_xlfn.XLOOKUP($C179,TB_NG!$E:$E,TB_NG!R:R)</f>
        <v>-904471947.03999996</v>
      </c>
      <c r="Q179" s="17">
        <f>-_xlfn.XLOOKUP($C179,TB_NG!$E:$E,TB_NG!S:S)</f>
        <v>-904471947.03999996</v>
      </c>
      <c r="R179" s="17">
        <f>-_xlfn.XLOOKUP($C179,TB_NG!$E:$E,TB_NG!T:T)</f>
        <v>-904471947.03999996</v>
      </c>
      <c r="S179" s="17">
        <f>-_xlfn.XLOOKUP($C179,TB_NG!$E:$E,TB_NG!U:U)</f>
        <v>-904471947.03999996</v>
      </c>
      <c r="T179" s="17">
        <f>-_xlfn.XLOOKUP($C179,TB_NG!$E:$E,TB_NG!V:V)</f>
        <v>-904471947.03999996</v>
      </c>
      <c r="U179" s="17">
        <f>-_xlfn.XLOOKUP($C179,TB_NG!$E:$E,TB_NG!W:W)</f>
        <v>-904471947.03999996</v>
      </c>
      <c r="V179" s="17">
        <f>-_xlfn.XLOOKUP($C179,TB_NG!$E:$E,TB_NG!X:X)</f>
        <v>-904471947.03999996</v>
      </c>
      <c r="W179" s="17">
        <f>-_xlfn.XLOOKUP($C179,TB_NG!$E:$E,TB_NG!Y:Y)</f>
        <v>-904471947.03999996</v>
      </c>
      <c r="X179" s="17">
        <f>-_xlfn.XLOOKUP($C179,TB_NG!$E:$E,TB_NG!Z:Z)</f>
        <v>-904471947.03999996</v>
      </c>
      <c r="Y179" s="17">
        <f>-_xlfn.XLOOKUP($C179,TB_NG!$E:$E,TB_NG!AA:AA)</f>
        <v>-904471947.03999996</v>
      </c>
      <c r="Z179" s="17">
        <f>-_xlfn.XLOOKUP($C179,TB_NG!$E:$E,TB_NG!AB:AB)</f>
        <v>-904471947.03999996</v>
      </c>
      <c r="AA179" s="17">
        <f>-_xlfn.XLOOKUP($C179,TB_NG!$E:$E,TB_NG!AC:AC)</f>
        <v>0</v>
      </c>
      <c r="AB179" s="17">
        <f>-_xlfn.XLOOKUP($C179,TB_NG!$E:$E,TB_NG!AD:AD)</f>
        <v>0</v>
      </c>
      <c r="AC179" s="17">
        <f>-_xlfn.XLOOKUP($C179,TB_NG!$E:$E,TB_NG!AE:AE)</f>
        <v>0</v>
      </c>
      <c r="AD179" s="17">
        <f>-_xlfn.XLOOKUP($C179,TB_NG!$E:$E,TB_NG!AF:AF)</f>
        <v>0</v>
      </c>
      <c r="AE179" s="17">
        <f>-_xlfn.XLOOKUP($C179,TB_NG!$E:$E,TB_NG!AG:AG)</f>
        <v>0</v>
      </c>
      <c r="AF179" s="17">
        <f>-_xlfn.XLOOKUP($C179,TB_NG!$E:$E,TB_NG!AH:AH)</f>
        <v>0</v>
      </c>
      <c r="AG179" s="17">
        <f>-_xlfn.XLOOKUP($C179,TB_NG!$E:$E,TB_NG!AI:AI)</f>
        <v>0</v>
      </c>
      <c r="AH179" s="17">
        <f>-_xlfn.XLOOKUP($C179,TB_NG!$E:$E,TB_NG!AJ:AJ)</f>
        <v>0</v>
      </c>
      <c r="AI179" s="17">
        <f>-_xlfn.XLOOKUP($C179,TB_NG!$E:$E,TB_NG!AK:AK)</f>
        <v>0</v>
      </c>
      <c r="AJ179" s="17">
        <f>-_xlfn.XLOOKUP($C179,TB_NG!$E:$E,TB_NG!AL:AL)</f>
        <v>0</v>
      </c>
      <c r="AK179" s="17">
        <f>-_xlfn.XLOOKUP($C179,TB_NG!$E:$E,TB_NG!AM:AM)</f>
        <v>0</v>
      </c>
      <c r="AL179" s="17">
        <f>-_xlfn.XLOOKUP($C179,TB_NG!$E:$E,TB_NG!AN:AN)</f>
        <v>0</v>
      </c>
      <c r="AM179" s="17">
        <f>-_xlfn.XLOOKUP($C179,TB_NG!$E:$E,TB_NG!AO:AO)</f>
        <v>0</v>
      </c>
    </row>
    <row r="180" spans="2:39" hidden="1" outlineLevel="1" x14ac:dyDescent="0.2">
      <c r="B180" s="21">
        <f>_xlfn.XLOOKUP($C180,TB_NG!$E:$E,TB_NG!A:A)</f>
        <v>23410</v>
      </c>
      <c r="C180" s="16" t="s">
        <v>275</v>
      </c>
      <c r="D180" s="17">
        <f>-_xlfn.XLOOKUP($C180,TB_NG!$E:$E,TB_NG!F:F)</f>
        <v>-51599186.399999999</v>
      </c>
      <c r="E180" s="17">
        <f>-_xlfn.XLOOKUP($C180,TB_NG!$E:$E,TB_NG!G:G)</f>
        <v>-51599186.399999999</v>
      </c>
      <c r="F180" s="17">
        <f>-_xlfn.XLOOKUP($C180,TB_NG!$E:$E,TB_NG!H:H)</f>
        <v>-51599186.399999999</v>
      </c>
      <c r="G180" s="17">
        <f>-_xlfn.XLOOKUP($C180,TB_NG!$E:$E,TB_NG!I:I)</f>
        <v>-51599186.399999999</v>
      </c>
      <c r="H180" s="17">
        <f>-_xlfn.XLOOKUP($C180,TB_NG!$E:$E,TB_NG!J:J)</f>
        <v>-51599186.399999999</v>
      </c>
      <c r="I180" s="17">
        <f>-_xlfn.XLOOKUP($C180,TB_NG!$E:$E,TB_NG!K:K)</f>
        <v>-51599186.399999999</v>
      </c>
      <c r="J180" s="17">
        <f>-_xlfn.XLOOKUP($C180,TB_NG!$E:$E,TB_NG!L:L)</f>
        <v>-51599186.399999999</v>
      </c>
      <c r="K180" s="17">
        <f>-_xlfn.XLOOKUP($C180,TB_NG!$E:$E,TB_NG!M:M)</f>
        <v>-51599186.399999999</v>
      </c>
      <c r="L180" s="17">
        <f>-_xlfn.XLOOKUP($C180,TB_NG!$E:$E,TB_NG!N:N)</f>
        <v>-51599186.399999999</v>
      </c>
      <c r="M180" s="17">
        <f>-_xlfn.XLOOKUP($C180,TB_NG!$E:$E,TB_NG!O:O)</f>
        <v>-51599186.399999999</v>
      </c>
      <c r="N180" s="17">
        <f>-_xlfn.XLOOKUP($C180,TB_NG!$E:$E,TB_NG!P:P)</f>
        <v>-51599186.399999999</v>
      </c>
      <c r="O180" s="17">
        <f>-_xlfn.XLOOKUP($C180,TB_NG!$E:$E,TB_NG!Q:Q)</f>
        <v>-51599186.399999999</v>
      </c>
      <c r="P180" s="17">
        <f>-_xlfn.XLOOKUP($C180,TB_NG!$E:$E,TB_NG!R:R)</f>
        <v>-51599186.399999999</v>
      </c>
      <c r="Q180" s="17">
        <f>-_xlfn.XLOOKUP($C180,TB_NG!$E:$E,TB_NG!S:S)</f>
        <v>-51599186.399999999</v>
      </c>
      <c r="R180" s="17">
        <f>-_xlfn.XLOOKUP($C180,TB_NG!$E:$E,TB_NG!T:T)</f>
        <v>-51599186.399999999</v>
      </c>
      <c r="S180" s="17">
        <f>-_xlfn.XLOOKUP($C180,TB_NG!$E:$E,TB_NG!U:U)</f>
        <v>-51599186.399999999</v>
      </c>
      <c r="T180" s="17">
        <f>-_xlfn.XLOOKUP($C180,TB_NG!$E:$E,TB_NG!V:V)</f>
        <v>-51599186.399999999</v>
      </c>
      <c r="U180" s="17">
        <f>-_xlfn.XLOOKUP($C180,TB_NG!$E:$E,TB_NG!W:W)</f>
        <v>-51599186.399999999</v>
      </c>
      <c r="V180" s="17">
        <f>-_xlfn.XLOOKUP($C180,TB_NG!$E:$E,TB_NG!X:X)</f>
        <v>-51599186.399999999</v>
      </c>
      <c r="W180" s="17">
        <f>-_xlfn.XLOOKUP($C180,TB_NG!$E:$E,TB_NG!Y:Y)</f>
        <v>-51599186.399999999</v>
      </c>
      <c r="X180" s="17">
        <f>-_xlfn.XLOOKUP($C180,TB_NG!$E:$E,TB_NG!Z:Z)</f>
        <v>-51599186.399999999</v>
      </c>
      <c r="Y180" s="17">
        <f>-_xlfn.XLOOKUP($C180,TB_NG!$E:$E,TB_NG!AA:AA)</f>
        <v>-51599186.399999999</v>
      </c>
      <c r="Z180" s="17">
        <f>-_xlfn.XLOOKUP($C180,TB_NG!$E:$E,TB_NG!AB:AB)</f>
        <v>-51599186.399999999</v>
      </c>
      <c r="AA180" s="17">
        <f>-_xlfn.XLOOKUP($C180,TB_NG!$E:$E,TB_NG!AC:AC)</f>
        <v>0</v>
      </c>
      <c r="AB180" s="17">
        <f>-_xlfn.XLOOKUP($C180,TB_NG!$E:$E,TB_NG!AD:AD)</f>
        <v>0</v>
      </c>
      <c r="AC180" s="17">
        <f>-_xlfn.XLOOKUP($C180,TB_NG!$E:$E,TB_NG!AE:AE)</f>
        <v>0</v>
      </c>
      <c r="AD180" s="17">
        <f>-_xlfn.XLOOKUP($C180,TB_NG!$E:$E,TB_NG!AF:AF)</f>
        <v>0</v>
      </c>
      <c r="AE180" s="17">
        <f>-_xlfn.XLOOKUP($C180,TB_NG!$E:$E,TB_NG!AG:AG)</f>
        <v>0</v>
      </c>
      <c r="AF180" s="17">
        <f>-_xlfn.XLOOKUP($C180,TB_NG!$E:$E,TB_NG!AH:AH)</f>
        <v>0</v>
      </c>
      <c r="AG180" s="17">
        <f>-_xlfn.XLOOKUP($C180,TB_NG!$E:$E,TB_NG!AI:AI)</f>
        <v>0</v>
      </c>
      <c r="AH180" s="17">
        <f>-_xlfn.XLOOKUP($C180,TB_NG!$E:$E,TB_NG!AJ:AJ)</f>
        <v>0</v>
      </c>
      <c r="AI180" s="17">
        <f>-_xlfn.XLOOKUP($C180,TB_NG!$E:$E,TB_NG!AK:AK)</f>
        <v>0</v>
      </c>
      <c r="AJ180" s="17">
        <f>-_xlfn.XLOOKUP($C180,TB_NG!$E:$E,TB_NG!AL:AL)</f>
        <v>0</v>
      </c>
      <c r="AK180" s="17">
        <f>-_xlfn.XLOOKUP($C180,TB_NG!$E:$E,TB_NG!AM:AM)</f>
        <v>0</v>
      </c>
      <c r="AL180" s="17">
        <f>-_xlfn.XLOOKUP($C180,TB_NG!$E:$E,TB_NG!AN:AN)</f>
        <v>0</v>
      </c>
      <c r="AM180" s="17">
        <f>-_xlfn.XLOOKUP($C180,TB_NG!$E:$E,TB_NG!AO:AO)</f>
        <v>0</v>
      </c>
    </row>
    <row r="181" spans="2:39" hidden="1" outlineLevel="1" x14ac:dyDescent="0.2">
      <c r="B181" s="21">
        <f>_xlfn.XLOOKUP($C181,TB_NG!$E:$E,TB_NG!A:A)</f>
        <v>23420</v>
      </c>
      <c r="C181" s="16" t="s">
        <v>276</v>
      </c>
      <c r="D181" s="17">
        <f>-_xlfn.XLOOKUP($C181,TB_NG!$E:$E,TB_NG!F:F)</f>
        <v>24656424.949999999</v>
      </c>
      <c r="E181" s="17">
        <f>-_xlfn.XLOOKUP($C181,TB_NG!$E:$E,TB_NG!G:G)</f>
        <v>26503892.969999999</v>
      </c>
      <c r="F181" s="17">
        <f>-_xlfn.XLOOKUP($C181,TB_NG!$E:$E,TB_NG!H:H)</f>
        <v>29230063.510000002</v>
      </c>
      <c r="G181" s="17">
        <f>-_xlfn.XLOOKUP($C181,TB_NG!$E:$E,TB_NG!I:I)</f>
        <v>27580219.899999999</v>
      </c>
      <c r="H181" s="17">
        <f>-_xlfn.XLOOKUP($C181,TB_NG!$E:$E,TB_NG!J:J)</f>
        <v>27208044.449999999</v>
      </c>
      <c r="I181" s="17">
        <f>-_xlfn.XLOOKUP($C181,TB_NG!$E:$E,TB_NG!K:K)</f>
        <v>15966732.1</v>
      </c>
      <c r="J181" s="17">
        <f>-_xlfn.XLOOKUP($C181,TB_NG!$E:$E,TB_NG!L:L)</f>
        <v>14289067.630000001</v>
      </c>
      <c r="K181" s="17">
        <f>-_xlfn.XLOOKUP($C181,TB_NG!$E:$E,TB_NG!M:M)</f>
        <v>20859053.420000002</v>
      </c>
      <c r="L181" s="17">
        <f>-_xlfn.XLOOKUP($C181,TB_NG!$E:$E,TB_NG!N:N)</f>
        <v>19288075.890000001</v>
      </c>
      <c r="M181" s="17">
        <f>-_xlfn.XLOOKUP($C181,TB_NG!$E:$E,TB_NG!O:O)</f>
        <v>21159696.27</v>
      </c>
      <c r="N181" s="17">
        <f>-_xlfn.XLOOKUP($C181,TB_NG!$E:$E,TB_NG!P:P)</f>
        <v>17876959.370000001</v>
      </c>
      <c r="O181" s="17">
        <f>-_xlfn.XLOOKUP($C181,TB_NG!$E:$E,TB_NG!Q:Q)</f>
        <v>14586581.59</v>
      </c>
      <c r="P181" s="17">
        <f>-_xlfn.XLOOKUP($C181,TB_NG!$E:$E,TB_NG!R:R)</f>
        <v>16976483.43</v>
      </c>
      <c r="Q181" s="17">
        <f>-_xlfn.XLOOKUP($C181,TB_NG!$E:$E,TB_NG!S:S)</f>
        <v>13350037.970000001</v>
      </c>
      <c r="R181" s="17">
        <f>-_xlfn.XLOOKUP($C181,TB_NG!$E:$E,TB_NG!T:T)</f>
        <v>13681656.539999999</v>
      </c>
      <c r="S181" s="17">
        <f>-_xlfn.XLOOKUP($C181,TB_NG!$E:$E,TB_NG!U:U)</f>
        <v>18422747.75</v>
      </c>
      <c r="T181" s="17">
        <f>-_xlfn.XLOOKUP($C181,TB_NG!$E:$E,TB_NG!V:V)</f>
        <v>16550886.119999999</v>
      </c>
      <c r="U181" s="17">
        <f>-_xlfn.XLOOKUP($C181,TB_NG!$E:$E,TB_NG!W:W)</f>
        <v>13633099.58</v>
      </c>
      <c r="V181" s="17">
        <f>-_xlfn.XLOOKUP($C181,TB_NG!$E:$E,TB_NG!X:X)</f>
        <v>14895007.130000001</v>
      </c>
      <c r="W181" s="17">
        <f>-_xlfn.XLOOKUP($C181,TB_NG!$E:$E,TB_NG!Y:Y)</f>
        <v>16034130.26</v>
      </c>
      <c r="X181" s="17">
        <f>-_xlfn.XLOOKUP($C181,TB_NG!$E:$E,TB_NG!Z:Z)</f>
        <v>22639432.449999999</v>
      </c>
      <c r="Y181" s="17">
        <f>-_xlfn.XLOOKUP($C181,TB_NG!$E:$E,TB_NG!AA:AA)</f>
        <v>13394759.960000001</v>
      </c>
      <c r="Z181" s="17">
        <f>-_xlfn.XLOOKUP($C181,TB_NG!$E:$E,TB_NG!AB:AB)</f>
        <v>18356285</v>
      </c>
      <c r="AA181" s="17">
        <f>-_xlfn.XLOOKUP($C181,TB_NG!$E:$E,TB_NG!AC:AC)</f>
        <v>9322145.2899999991</v>
      </c>
      <c r="AB181" s="17">
        <f>-_xlfn.XLOOKUP($C181,TB_NG!$E:$E,TB_NG!AD:AD)</f>
        <v>10423262.890000001</v>
      </c>
      <c r="AC181" s="17">
        <f>-_xlfn.XLOOKUP($C181,TB_NG!$E:$E,TB_NG!AE:AE)</f>
        <v>11597206.380000001</v>
      </c>
      <c r="AD181" s="17">
        <f>-_xlfn.XLOOKUP($C181,TB_NG!$E:$E,TB_NG!AF:AF)</f>
        <v>14017248.880000001</v>
      </c>
      <c r="AE181" s="17">
        <f>-_xlfn.XLOOKUP($C181,TB_NG!$E:$E,TB_NG!AG:AG)</f>
        <v>22431779.449999999</v>
      </c>
      <c r="AF181" s="17">
        <f>-_xlfn.XLOOKUP($C181,TB_NG!$E:$E,TB_NG!AH:AH)</f>
        <v>0</v>
      </c>
      <c r="AG181" s="17">
        <f>-_xlfn.XLOOKUP($C181,TB_NG!$E:$E,TB_NG!AI:AI)</f>
        <v>0</v>
      </c>
      <c r="AH181" s="17">
        <f>-_xlfn.XLOOKUP($C181,TB_NG!$E:$E,TB_NG!AJ:AJ)</f>
        <v>0</v>
      </c>
      <c r="AI181" s="17">
        <f>-_xlfn.XLOOKUP($C181,TB_NG!$E:$E,TB_NG!AK:AK)</f>
        <v>0</v>
      </c>
      <c r="AJ181" s="17">
        <f>-_xlfn.XLOOKUP($C181,TB_NG!$E:$E,TB_NG!AL:AL)</f>
        <v>0</v>
      </c>
      <c r="AK181" s="17">
        <f>-_xlfn.XLOOKUP($C181,TB_NG!$E:$E,TB_NG!AM:AM)</f>
        <v>0</v>
      </c>
      <c r="AL181" s="17">
        <f>-_xlfn.XLOOKUP($C181,TB_NG!$E:$E,TB_NG!AN:AN)</f>
        <v>0</v>
      </c>
      <c r="AM181" s="17">
        <f>-_xlfn.XLOOKUP($C181,TB_NG!$E:$E,TB_NG!AO:AO)</f>
        <v>0</v>
      </c>
    </row>
    <row r="182" spans="2:39" hidden="1" outlineLevel="1" x14ac:dyDescent="0.2">
      <c r="B182" s="21">
        <f>_xlfn.XLOOKUP($C182,TB_NG!$E:$E,TB_NG!A:A)</f>
        <v>24100</v>
      </c>
      <c r="C182" s="16" t="s">
        <v>277</v>
      </c>
      <c r="D182" s="17">
        <f>-_xlfn.XLOOKUP($C182,TB_NG!$E:$E,TB_NG!F:F)</f>
        <v>13578387</v>
      </c>
      <c r="E182" s="17">
        <f>-_xlfn.XLOOKUP($C182,TB_NG!$E:$E,TB_NG!G:G)</f>
        <v>13578387</v>
      </c>
      <c r="F182" s="17">
        <f>-_xlfn.XLOOKUP($C182,TB_NG!$E:$E,TB_NG!H:H)</f>
        <v>-0.35</v>
      </c>
      <c r="G182" s="17">
        <f>-_xlfn.XLOOKUP($C182,TB_NG!$E:$E,TB_NG!I:I)</f>
        <v>-0.35</v>
      </c>
      <c r="H182" s="17">
        <f>-_xlfn.XLOOKUP($C182,TB_NG!$E:$E,TB_NG!J:J)</f>
        <v>-0.35</v>
      </c>
      <c r="I182" s="17">
        <f>-_xlfn.XLOOKUP($C182,TB_NG!$E:$E,TB_NG!K:K)</f>
        <v>-0.35</v>
      </c>
      <c r="J182" s="17">
        <f>-_xlfn.XLOOKUP($C182,TB_NG!$E:$E,TB_NG!L:L)</f>
        <v>-0.35</v>
      </c>
      <c r="K182" s="17">
        <f>-_xlfn.XLOOKUP($C182,TB_NG!$E:$E,TB_NG!M:M)</f>
        <v>-0.35</v>
      </c>
      <c r="L182" s="17">
        <f>-_xlfn.XLOOKUP($C182,TB_NG!$E:$E,TB_NG!N:N)</f>
        <v>-0.35</v>
      </c>
      <c r="M182" s="17">
        <f>-_xlfn.XLOOKUP($C182,TB_NG!$E:$E,TB_NG!O:O)</f>
        <v>-0.35</v>
      </c>
      <c r="N182" s="17">
        <f>-_xlfn.XLOOKUP($C182,TB_NG!$E:$E,TB_NG!P:P)</f>
        <v>-0.35</v>
      </c>
      <c r="O182" s="17">
        <f>-_xlfn.XLOOKUP($C182,TB_NG!$E:$E,TB_NG!Q:Q)</f>
        <v>24264109.649999999</v>
      </c>
      <c r="P182" s="17">
        <f>-_xlfn.XLOOKUP($C182,TB_NG!$E:$E,TB_NG!R:R)</f>
        <v>24264109.649999999</v>
      </c>
      <c r="Q182" s="17">
        <f>-_xlfn.XLOOKUP($C182,TB_NG!$E:$E,TB_NG!S:S)</f>
        <v>24264109.649999999</v>
      </c>
      <c r="R182" s="17">
        <f>-_xlfn.XLOOKUP($C182,TB_NG!$E:$E,TB_NG!T:T)</f>
        <v>24264109.649999999</v>
      </c>
      <c r="S182" s="17">
        <f>-_xlfn.XLOOKUP($C182,TB_NG!$E:$E,TB_NG!U:U)</f>
        <v>24264109.649999999</v>
      </c>
      <c r="T182" s="17">
        <f>-_xlfn.XLOOKUP($C182,TB_NG!$E:$E,TB_NG!V:V)</f>
        <v>24264109.649999999</v>
      </c>
      <c r="U182" s="17">
        <f>-_xlfn.XLOOKUP($C182,TB_NG!$E:$E,TB_NG!W:W)</f>
        <v>23952196.75</v>
      </c>
      <c r="V182" s="17">
        <f>-_xlfn.XLOOKUP($C182,TB_NG!$E:$E,TB_NG!X:X)</f>
        <v>23952196.75</v>
      </c>
      <c r="W182" s="17">
        <f>-_xlfn.XLOOKUP($C182,TB_NG!$E:$E,TB_NG!Y:Y)</f>
        <v>-0.35</v>
      </c>
      <c r="X182" s="17">
        <f>-_xlfn.XLOOKUP($C182,TB_NG!$E:$E,TB_NG!Z:Z)</f>
        <v>-0.35</v>
      </c>
      <c r="Y182" s="17">
        <f>-_xlfn.XLOOKUP($C182,TB_NG!$E:$E,TB_NG!AA:AA)</f>
        <v>-0.35</v>
      </c>
      <c r="Z182" s="17">
        <f>-_xlfn.XLOOKUP($C182,TB_NG!$E:$E,TB_NG!AB:AB)</f>
        <v>-0.35</v>
      </c>
      <c r="AA182" s="17">
        <f>-_xlfn.XLOOKUP($C182,TB_NG!$E:$E,TB_NG!AC:AC)</f>
        <v>-0.35</v>
      </c>
      <c r="AB182" s="17">
        <f>-_xlfn.XLOOKUP($C182,TB_NG!$E:$E,TB_NG!AD:AD)</f>
        <v>17752977.66</v>
      </c>
      <c r="AC182" s="17">
        <f>-_xlfn.XLOOKUP($C182,TB_NG!$E:$E,TB_NG!AE:AE)</f>
        <v>17752977.66</v>
      </c>
      <c r="AD182" s="17">
        <f>-_xlfn.XLOOKUP($C182,TB_NG!$E:$E,TB_NG!AF:AF)</f>
        <v>17752977.66</v>
      </c>
      <c r="AE182" s="17">
        <f>-_xlfn.XLOOKUP($C182,TB_NG!$E:$E,TB_NG!AG:AG)</f>
        <v>17752977.66</v>
      </c>
      <c r="AF182" s="17">
        <f>-_xlfn.XLOOKUP($C182,TB_NG!$E:$E,TB_NG!AH:AH)</f>
        <v>0</v>
      </c>
      <c r="AG182" s="17">
        <f>-_xlfn.XLOOKUP($C182,TB_NG!$E:$E,TB_NG!AI:AI)</f>
        <v>0</v>
      </c>
      <c r="AH182" s="17">
        <f>-_xlfn.XLOOKUP($C182,TB_NG!$E:$E,TB_NG!AJ:AJ)</f>
        <v>0</v>
      </c>
      <c r="AI182" s="17">
        <f>-_xlfn.XLOOKUP($C182,TB_NG!$E:$E,TB_NG!AK:AK)</f>
        <v>0</v>
      </c>
      <c r="AJ182" s="17">
        <f>-_xlfn.XLOOKUP($C182,TB_NG!$E:$E,TB_NG!AL:AL)</f>
        <v>0</v>
      </c>
      <c r="AK182" s="17">
        <f>-_xlfn.XLOOKUP($C182,TB_NG!$E:$E,TB_NG!AM:AM)</f>
        <v>0</v>
      </c>
      <c r="AL182" s="17">
        <f>-_xlfn.XLOOKUP($C182,TB_NG!$E:$E,TB_NG!AN:AN)</f>
        <v>0</v>
      </c>
      <c r="AM182" s="17">
        <f>-_xlfn.XLOOKUP($C182,TB_NG!$E:$E,TB_NG!AO:AO)</f>
        <v>0</v>
      </c>
    </row>
    <row r="183" spans="2:39" hidden="1" outlineLevel="1" x14ac:dyDescent="0.2">
      <c r="B183" s="21"/>
      <c r="C183" s="16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</row>
    <row r="184" spans="2:39" collapsed="1" x14ac:dyDescent="0.2">
      <c r="B184" s="21"/>
      <c r="C184" s="22" t="s">
        <v>55</v>
      </c>
      <c r="D184" s="23">
        <f>SUM(D177:D183)</f>
        <v>223617400.54999998</v>
      </c>
      <c r="E184" s="23">
        <f t="shared" ref="E184:AM184" si="17">SUM(E177:E183)</f>
        <v>252505991.83999985</v>
      </c>
      <c r="F184" s="23">
        <f t="shared" si="17"/>
        <v>285125356.7700001</v>
      </c>
      <c r="G184" s="23">
        <f t="shared" si="17"/>
        <v>305740005.93999982</v>
      </c>
      <c r="H184" s="23">
        <f t="shared" si="17"/>
        <v>312294877.14000005</v>
      </c>
      <c r="I184" s="23">
        <f t="shared" si="17"/>
        <v>298170650.06000006</v>
      </c>
      <c r="J184" s="23">
        <f t="shared" si="17"/>
        <v>299287503.30999994</v>
      </c>
      <c r="K184" s="23">
        <f t="shared" si="17"/>
        <v>311827225.9600001</v>
      </c>
      <c r="L184" s="23">
        <f t="shared" si="17"/>
        <v>308141283.8900001</v>
      </c>
      <c r="M184" s="23">
        <f t="shared" si="17"/>
        <v>319642182.00999987</v>
      </c>
      <c r="N184" s="23">
        <f t="shared" si="17"/>
        <v>329407684.14999998</v>
      </c>
      <c r="O184" s="23">
        <f t="shared" si="17"/>
        <v>439962554.84999996</v>
      </c>
      <c r="P184" s="23">
        <f t="shared" si="17"/>
        <v>456018341.10000008</v>
      </c>
      <c r="Q184" s="23">
        <f t="shared" si="17"/>
        <v>454599465.61000013</v>
      </c>
      <c r="R184" s="23">
        <f t="shared" si="17"/>
        <v>444180307.86999995</v>
      </c>
      <c r="S184" s="23">
        <f t="shared" si="17"/>
        <v>451742438.18000007</v>
      </c>
      <c r="T184" s="23">
        <f t="shared" si="17"/>
        <v>446683854.46000016</v>
      </c>
      <c r="U184" s="23">
        <f t="shared" si="17"/>
        <v>437651812.71999997</v>
      </c>
      <c r="V184" s="23">
        <f t="shared" si="17"/>
        <v>438627523.67000008</v>
      </c>
      <c r="W184" s="23">
        <f t="shared" si="17"/>
        <v>415401989.02999997</v>
      </c>
      <c r="X184" s="23">
        <f t="shared" si="17"/>
        <v>439487590.71999997</v>
      </c>
      <c r="Y184" s="23">
        <f t="shared" si="17"/>
        <v>449648805.05000013</v>
      </c>
      <c r="Z184" s="23">
        <f t="shared" si="17"/>
        <v>433105602.18000007</v>
      </c>
      <c r="AA184" s="23">
        <f t="shared" si="17"/>
        <v>30487662.549999997</v>
      </c>
      <c r="AB184" s="23">
        <f t="shared" si="17"/>
        <v>77915180.820000008</v>
      </c>
      <c r="AC184" s="23">
        <f t="shared" si="17"/>
        <v>107721845.89999999</v>
      </c>
      <c r="AD184" s="23">
        <f t="shared" si="17"/>
        <v>100597627.30999999</v>
      </c>
      <c r="AE184" s="23">
        <f t="shared" si="17"/>
        <v>79280689.140000001</v>
      </c>
      <c r="AF184" s="23">
        <f t="shared" si="17"/>
        <v>0</v>
      </c>
      <c r="AG184" s="23">
        <f t="shared" si="17"/>
        <v>0</v>
      </c>
      <c r="AH184" s="23">
        <f t="shared" si="17"/>
        <v>0</v>
      </c>
      <c r="AI184" s="23">
        <f t="shared" si="17"/>
        <v>0</v>
      </c>
      <c r="AJ184" s="23">
        <f t="shared" si="17"/>
        <v>0</v>
      </c>
      <c r="AK184" s="23">
        <f t="shared" si="17"/>
        <v>0</v>
      </c>
      <c r="AL184" s="23">
        <f t="shared" si="17"/>
        <v>0</v>
      </c>
      <c r="AM184" s="23">
        <f t="shared" si="17"/>
        <v>0</v>
      </c>
    </row>
    <row r="185" spans="2:39" x14ac:dyDescent="0.2">
      <c r="B185" s="21"/>
      <c r="C185" s="16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8"/>
    </row>
    <row r="186" spans="2:39" x14ac:dyDescent="0.2">
      <c r="B186" s="21"/>
      <c r="C186" s="16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8"/>
    </row>
    <row r="187" spans="2:39" hidden="1" outlineLevel="1" x14ac:dyDescent="0.2">
      <c r="B187" s="21"/>
      <c r="C187" s="20" t="s">
        <v>752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8"/>
    </row>
    <row r="188" spans="2:39" hidden="1" outlineLevel="1" x14ac:dyDescent="0.2">
      <c r="B188" s="21"/>
      <c r="C188" s="16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</row>
    <row r="189" spans="2:39" hidden="1" outlineLevel="1" x14ac:dyDescent="0.2">
      <c r="B189" s="21"/>
      <c r="C189" s="16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</row>
    <row r="190" spans="2:39" hidden="1" outlineLevel="1" x14ac:dyDescent="0.2">
      <c r="B190" s="21"/>
      <c r="C190" s="16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8"/>
    </row>
    <row r="191" spans="2:39" s="20" customFormat="1" ht="13.5" customHeight="1" collapsed="1" x14ac:dyDescent="0.15">
      <c r="C191" s="22" t="s">
        <v>753</v>
      </c>
      <c r="D191" s="23">
        <f>SUM(D188:D190)</f>
        <v>0</v>
      </c>
      <c r="E191" s="23">
        <f t="shared" ref="E191:AM191" si="18">SUM(E188:E190)</f>
        <v>0</v>
      </c>
      <c r="F191" s="23">
        <f t="shared" si="18"/>
        <v>0</v>
      </c>
      <c r="G191" s="23">
        <f t="shared" si="18"/>
        <v>0</v>
      </c>
      <c r="H191" s="23">
        <f t="shared" si="18"/>
        <v>0</v>
      </c>
      <c r="I191" s="23">
        <f t="shared" si="18"/>
        <v>0</v>
      </c>
      <c r="J191" s="23">
        <f t="shared" si="18"/>
        <v>0</v>
      </c>
      <c r="K191" s="23">
        <f t="shared" si="18"/>
        <v>0</v>
      </c>
      <c r="L191" s="23">
        <f t="shared" si="18"/>
        <v>0</v>
      </c>
      <c r="M191" s="23">
        <f t="shared" si="18"/>
        <v>0</v>
      </c>
      <c r="N191" s="23">
        <f t="shared" si="18"/>
        <v>0</v>
      </c>
      <c r="O191" s="23">
        <f t="shared" si="18"/>
        <v>0</v>
      </c>
      <c r="P191" s="23">
        <f t="shared" si="18"/>
        <v>0</v>
      </c>
      <c r="Q191" s="23">
        <f t="shared" si="18"/>
        <v>0</v>
      </c>
      <c r="R191" s="23">
        <f t="shared" si="18"/>
        <v>0</v>
      </c>
      <c r="S191" s="23">
        <f t="shared" si="18"/>
        <v>0</v>
      </c>
      <c r="T191" s="23">
        <f t="shared" si="18"/>
        <v>0</v>
      </c>
      <c r="U191" s="23">
        <f t="shared" si="18"/>
        <v>0</v>
      </c>
      <c r="V191" s="23">
        <f t="shared" si="18"/>
        <v>0</v>
      </c>
      <c r="W191" s="23">
        <f t="shared" si="18"/>
        <v>0</v>
      </c>
      <c r="X191" s="23">
        <f t="shared" si="18"/>
        <v>0</v>
      </c>
      <c r="Y191" s="23">
        <f t="shared" si="18"/>
        <v>0</v>
      </c>
      <c r="Z191" s="23">
        <f t="shared" si="18"/>
        <v>0</v>
      </c>
      <c r="AA191" s="23">
        <f t="shared" si="18"/>
        <v>0</v>
      </c>
      <c r="AB191" s="23">
        <f t="shared" si="18"/>
        <v>0</v>
      </c>
      <c r="AC191" s="23">
        <f t="shared" si="18"/>
        <v>0</v>
      </c>
      <c r="AD191" s="23">
        <f t="shared" si="18"/>
        <v>0</v>
      </c>
      <c r="AE191" s="23">
        <f t="shared" si="18"/>
        <v>0</v>
      </c>
      <c r="AF191" s="23">
        <f t="shared" si="18"/>
        <v>0</v>
      </c>
      <c r="AG191" s="23">
        <f t="shared" si="18"/>
        <v>0</v>
      </c>
      <c r="AH191" s="23">
        <f t="shared" si="18"/>
        <v>0</v>
      </c>
      <c r="AI191" s="23">
        <f t="shared" si="18"/>
        <v>0</v>
      </c>
      <c r="AJ191" s="23">
        <f t="shared" si="18"/>
        <v>0</v>
      </c>
      <c r="AK191" s="23">
        <f t="shared" si="18"/>
        <v>0</v>
      </c>
      <c r="AL191" s="23">
        <f t="shared" si="18"/>
        <v>0</v>
      </c>
      <c r="AM191" s="23">
        <f t="shared" si="18"/>
        <v>0</v>
      </c>
    </row>
    <row r="192" spans="2:39" x14ac:dyDescent="0.2">
      <c r="B192" s="21"/>
      <c r="C192" s="16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8"/>
    </row>
    <row r="193" spans="2:39" outlineLevel="1" x14ac:dyDescent="0.2">
      <c r="B193" s="21"/>
      <c r="C193" s="20" t="s">
        <v>278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8"/>
    </row>
    <row r="194" spans="2:39" outlineLevel="1" x14ac:dyDescent="0.2">
      <c r="B194" s="21">
        <f>_xlfn.XLOOKUP($C194,TB_NG!$E:$E,TB_NG!A:A)</f>
        <v>22100</v>
      </c>
      <c r="C194" s="16" t="s">
        <v>279</v>
      </c>
      <c r="D194" s="17">
        <f>-_xlfn.XLOOKUP($C194,TB_NG!$E:$E,TB_NG!F:F)</f>
        <v>9172426</v>
      </c>
      <c r="E194" s="17">
        <f>-_xlfn.XLOOKUP($C194,TB_NG!$E:$E,TB_NG!G:G)</f>
        <v>9236488</v>
      </c>
      <c r="F194" s="17">
        <f>-_xlfn.XLOOKUP($C194,TB_NG!$E:$E,TB_NG!H:H)</f>
        <v>23056820.52</v>
      </c>
      <c r="G194" s="17">
        <f>-_xlfn.XLOOKUP($C194,TB_NG!$E:$E,TB_NG!I:I)</f>
        <v>17991166.440000001</v>
      </c>
      <c r="H194" s="17">
        <f>-_xlfn.XLOOKUP($C194,TB_NG!$E:$E,TB_NG!J:J)</f>
        <v>23838672.649999999</v>
      </c>
      <c r="I194" s="17">
        <f>-_xlfn.XLOOKUP($C194,TB_NG!$E:$E,TB_NG!K:K)</f>
        <v>19873278.309999999</v>
      </c>
      <c r="J194" s="17">
        <f>-_xlfn.XLOOKUP($C194,TB_NG!$E:$E,TB_NG!L:L)</f>
        <v>20203615.719999999</v>
      </c>
      <c r="K194" s="17">
        <f>-_xlfn.XLOOKUP($C194,TB_NG!$E:$E,TB_NG!M:M)</f>
        <v>17131959.149999999</v>
      </c>
      <c r="L194" s="17">
        <f>-_xlfn.XLOOKUP($C194,TB_NG!$E:$E,TB_NG!N:N)</f>
        <v>17551121.600000001</v>
      </c>
      <c r="M194" s="17">
        <f>-_xlfn.XLOOKUP($C194,TB_NG!$E:$E,TB_NG!O:O)</f>
        <v>17946503.23</v>
      </c>
      <c r="N194" s="17">
        <f>-_xlfn.XLOOKUP($C194,TB_NG!$E:$E,TB_NG!P:P)</f>
        <v>17885310.16</v>
      </c>
      <c r="O194" s="17">
        <f>-_xlfn.XLOOKUP($C194,TB_NG!$E:$E,TB_NG!Q:Q)</f>
        <v>12431023.34</v>
      </c>
      <c r="P194" s="17">
        <f>-_xlfn.XLOOKUP($C194,TB_NG!$E:$E,TB_NG!R:R)</f>
        <v>9532546.3200000003</v>
      </c>
      <c r="Q194" s="17">
        <f>-_xlfn.XLOOKUP($C194,TB_NG!$E:$E,TB_NG!S:S)</f>
        <v>9532546.3200000003</v>
      </c>
      <c r="R194" s="17">
        <f>-_xlfn.XLOOKUP($C194,TB_NG!$E:$E,TB_NG!T:T)</f>
        <v>10901526.369999999</v>
      </c>
      <c r="S194" s="17">
        <f>-_xlfn.XLOOKUP($C194,TB_NG!$E:$E,TB_NG!U:U)</f>
        <v>10083768.369999999</v>
      </c>
      <c r="T194" s="17">
        <f>-_xlfn.XLOOKUP($C194,TB_NG!$E:$E,TB_NG!V:V)</f>
        <v>10003693.369999999</v>
      </c>
      <c r="U194" s="17">
        <f>-_xlfn.XLOOKUP($C194,TB_NG!$E:$E,TB_NG!W:W)</f>
        <v>9971942.3699999992</v>
      </c>
      <c r="V194" s="17">
        <f>-_xlfn.XLOOKUP($C194,TB_NG!$E:$E,TB_NG!X:X)</f>
        <v>9971942.3699999992</v>
      </c>
      <c r="W194" s="17">
        <f>-_xlfn.XLOOKUP($C194,TB_NG!$E:$E,TB_NG!Y:Y)</f>
        <v>9971942.3699999992</v>
      </c>
      <c r="X194" s="17">
        <f>-_xlfn.XLOOKUP($C194,TB_NG!$E:$E,TB_NG!Z:Z)</f>
        <v>8876353.4199999999</v>
      </c>
      <c r="Y194" s="17">
        <f>-_xlfn.XLOOKUP($C194,TB_NG!$E:$E,TB_NG!AA:AA)</f>
        <v>8876353.4199999999</v>
      </c>
      <c r="Z194" s="17">
        <f>-_xlfn.XLOOKUP($C194,TB_NG!$E:$E,TB_NG!AB:AB)</f>
        <v>8876353.4199999999</v>
      </c>
      <c r="AA194" s="17">
        <f>-_xlfn.XLOOKUP($C194,TB_NG!$E:$E,TB_NG!AC:AC)</f>
        <v>8876353.4199999999</v>
      </c>
      <c r="AB194" s="17">
        <f>-_xlfn.XLOOKUP($C194,TB_NG!$E:$E,TB_NG!AD:AD)</f>
        <v>8876353.4199999999</v>
      </c>
      <c r="AC194" s="17">
        <f>-_xlfn.XLOOKUP($C194,TB_NG!$E:$E,TB_NG!AE:AE)</f>
        <v>8876353.4199999999</v>
      </c>
      <c r="AD194" s="17">
        <f>-_xlfn.XLOOKUP($C194,TB_NG!$E:$E,TB_NG!AF:AF)</f>
        <v>8876353.4199999999</v>
      </c>
      <c r="AE194" s="17">
        <f>-_xlfn.XLOOKUP($C194,TB_NG!$E:$E,TB_NG!AG:AG)</f>
        <v>8876353.4199999999</v>
      </c>
      <c r="AF194" s="17">
        <f>-_xlfn.XLOOKUP($C194,TB_NG!$E:$E,TB_NG!AH:AH)</f>
        <v>0</v>
      </c>
      <c r="AG194" s="17">
        <f>-_xlfn.XLOOKUP($C194,TB_NG!$E:$E,TB_NG!AI:AI)</f>
        <v>0</v>
      </c>
      <c r="AH194" s="17">
        <f>-_xlfn.XLOOKUP($C194,TB_NG!$E:$E,TB_NG!AJ:AJ)</f>
        <v>0</v>
      </c>
      <c r="AI194" s="17">
        <f>-_xlfn.XLOOKUP($C194,TB_NG!$E:$E,TB_NG!AK:AK)</f>
        <v>0</v>
      </c>
      <c r="AJ194" s="17">
        <f>-_xlfn.XLOOKUP($C194,TB_NG!$E:$E,TB_NG!AL:AL)</f>
        <v>0</v>
      </c>
      <c r="AK194" s="17">
        <f>-_xlfn.XLOOKUP($C194,TB_NG!$E:$E,TB_NG!AM:AM)</f>
        <v>0</v>
      </c>
      <c r="AL194" s="17">
        <f>-_xlfn.XLOOKUP($C194,TB_NG!$E:$E,TB_NG!AN:AN)</f>
        <v>0</v>
      </c>
      <c r="AM194" s="17">
        <f>-_xlfn.XLOOKUP($C194,TB_NG!$E:$E,TB_NG!AO:AO)</f>
        <v>0</v>
      </c>
    </row>
    <row r="195" spans="2:39" outlineLevel="1" x14ac:dyDescent="0.2">
      <c r="B195" s="21">
        <f>_xlfn.XLOOKUP($C195,TB_NG!$E:$E,TB_NG!A:A)</f>
        <v>23000</v>
      </c>
      <c r="C195" s="16" t="s">
        <v>280</v>
      </c>
      <c r="D195" s="17">
        <f>-_xlfn.XLOOKUP($C195,TB_NG!$E:$E,TB_NG!F:F)</f>
        <v>57775129.310000002</v>
      </c>
      <c r="E195" s="17">
        <f>-_xlfn.XLOOKUP($C195,TB_NG!$E:$E,TB_NG!G:G)</f>
        <v>40427908.810000002</v>
      </c>
      <c r="F195" s="17">
        <f>-_xlfn.XLOOKUP($C195,TB_NG!$E:$E,TB_NG!H:H)</f>
        <v>350423908.81</v>
      </c>
      <c r="G195" s="17">
        <f>-_xlfn.XLOOKUP($C195,TB_NG!$E:$E,TB_NG!I:I)</f>
        <v>350294175.48000002</v>
      </c>
      <c r="H195" s="17">
        <f>-_xlfn.XLOOKUP($C195,TB_NG!$E:$E,TB_NG!J:J)</f>
        <v>324004242.14999998</v>
      </c>
      <c r="I195" s="17">
        <f>-_xlfn.XLOOKUP($C195,TB_NG!$E:$E,TB_NG!K:K)</f>
        <v>1282902598.3299999</v>
      </c>
      <c r="J195" s="17">
        <f>-_xlfn.XLOOKUP($C195,TB_NG!$E:$E,TB_NG!L:L)</f>
        <v>810365241.47000003</v>
      </c>
      <c r="K195" s="17">
        <f>-_xlfn.XLOOKUP($C195,TB_NG!$E:$E,TB_NG!M:M)</f>
        <v>1132028799.1600001</v>
      </c>
      <c r="L195" s="17">
        <f>-_xlfn.XLOOKUP($C195,TB_NG!$E:$E,TB_NG!N:N)</f>
        <v>1054298715.83</v>
      </c>
      <c r="M195" s="17">
        <f>-_xlfn.XLOOKUP($C195,TB_NG!$E:$E,TB_NG!O:O)</f>
        <v>1006902332.5</v>
      </c>
      <c r="N195" s="17">
        <f>-_xlfn.XLOOKUP($C195,TB_NG!$E:$E,TB_NG!P:P)</f>
        <v>1032628983.76</v>
      </c>
      <c r="O195" s="17">
        <f>-_xlfn.XLOOKUP($C195,TB_NG!$E:$E,TB_NG!Q:Q)</f>
        <v>899922289.13999999</v>
      </c>
      <c r="P195" s="17">
        <f>-_xlfn.XLOOKUP($C195,TB_NG!$E:$E,TB_NG!R:R)</f>
        <v>807420216.13</v>
      </c>
      <c r="Q195" s="17">
        <f>-_xlfn.XLOOKUP($C195,TB_NG!$E:$E,TB_NG!S:S)</f>
        <v>714918143.12</v>
      </c>
      <c r="R195" s="17">
        <f>-_xlfn.XLOOKUP($C195,TB_NG!$E:$E,TB_NG!T:T)</f>
        <v>851665674.53999996</v>
      </c>
      <c r="S195" s="17">
        <f>-_xlfn.XLOOKUP($C195,TB_NG!$E:$E,TB_NG!U:U)</f>
        <v>784884837.62</v>
      </c>
      <c r="T195" s="17">
        <f>-_xlfn.XLOOKUP($C195,TB_NG!$E:$E,TB_NG!V:V)</f>
        <v>743937000.70000005</v>
      </c>
      <c r="U195" s="17">
        <f>-_xlfn.XLOOKUP($C195,TB_NG!$E:$E,TB_NG!W:W)</f>
        <v>938717163.78999996</v>
      </c>
      <c r="V195" s="17">
        <f>-_xlfn.XLOOKUP($C195,TB_NG!$E:$E,TB_NG!X:X)</f>
        <v>1018360826.87</v>
      </c>
      <c r="W195" s="17">
        <f>-_xlfn.XLOOKUP($C195,TB_NG!$E:$E,TB_NG!Y:Y)</f>
        <v>1366636146.78</v>
      </c>
      <c r="X195" s="17">
        <f>-_xlfn.XLOOKUP($C195,TB_NG!$E:$E,TB_NG!Z:Z)</f>
        <v>1400902599.9400001</v>
      </c>
      <c r="Y195" s="17">
        <f>-_xlfn.XLOOKUP($C195,TB_NG!$E:$E,TB_NG!AA:AA)</f>
        <v>1271621439.04</v>
      </c>
      <c r="Z195" s="17">
        <f>-_xlfn.XLOOKUP($C195,TB_NG!$E:$E,TB_NG!AB:AB)</f>
        <v>1142340278.1400001</v>
      </c>
      <c r="AA195" s="17">
        <f>-_xlfn.XLOOKUP($C195,TB_NG!$E:$E,TB_NG!AC:AC)</f>
        <v>974479561.48000002</v>
      </c>
      <c r="AB195" s="17">
        <f>-_xlfn.XLOOKUP($C195,TB_NG!$E:$E,TB_NG!AD:AD)</f>
        <v>845198400.58000004</v>
      </c>
      <c r="AC195" s="17">
        <f>-_xlfn.XLOOKUP($C195,TB_NG!$E:$E,TB_NG!AE:AE)</f>
        <v>845259739.67999995</v>
      </c>
      <c r="AD195" s="17">
        <f>-_xlfn.XLOOKUP($C195,TB_NG!$E:$E,TB_NG!AF:AF)</f>
        <v>892462024.82000005</v>
      </c>
      <c r="AE195" s="17">
        <f>-_xlfn.XLOOKUP($C195,TB_NG!$E:$E,TB_NG!AG:AG)</f>
        <v>687058338.92999995</v>
      </c>
      <c r="AF195" s="17">
        <f>-_xlfn.XLOOKUP($C195,TB_NG!$E:$E,TB_NG!AH:AH)</f>
        <v>0</v>
      </c>
      <c r="AG195" s="17">
        <f>-_xlfn.XLOOKUP($C195,TB_NG!$E:$E,TB_NG!AI:AI)</f>
        <v>0</v>
      </c>
      <c r="AH195" s="17">
        <f>-_xlfn.XLOOKUP($C195,TB_NG!$E:$E,TB_NG!AJ:AJ)</f>
        <v>0</v>
      </c>
      <c r="AI195" s="17">
        <f>-_xlfn.XLOOKUP($C195,TB_NG!$E:$E,TB_NG!AK:AK)</f>
        <v>0</v>
      </c>
      <c r="AJ195" s="17">
        <f>-_xlfn.XLOOKUP($C195,TB_NG!$E:$E,TB_NG!AL:AL)</f>
        <v>0</v>
      </c>
      <c r="AK195" s="17">
        <f>-_xlfn.XLOOKUP($C195,TB_NG!$E:$E,TB_NG!AM:AM)</f>
        <v>0</v>
      </c>
      <c r="AL195" s="17">
        <f>-_xlfn.XLOOKUP($C195,TB_NG!$E:$E,TB_NG!AN:AN)</f>
        <v>0</v>
      </c>
      <c r="AM195" s="17">
        <f>-_xlfn.XLOOKUP($C195,TB_NG!$E:$E,TB_NG!AO:AO)</f>
        <v>0</v>
      </c>
    </row>
    <row r="196" spans="2:39" outlineLevel="1" x14ac:dyDescent="0.2">
      <c r="B196" s="21">
        <f>_xlfn.XLOOKUP($C196,TB_NG!$E:$E,TB_NG!A:A)</f>
        <v>23001</v>
      </c>
      <c r="C196" s="16" t="s">
        <v>281</v>
      </c>
      <c r="D196" s="17">
        <f>-_xlfn.XLOOKUP($C196,TB_NG!$E:$E,TB_NG!F:F)</f>
        <v>0</v>
      </c>
      <c r="E196" s="17">
        <f>-_xlfn.XLOOKUP($C196,TB_NG!$E:$E,TB_NG!G:G)</f>
        <v>0</v>
      </c>
      <c r="F196" s="17">
        <f>-_xlfn.XLOOKUP($C196,TB_NG!$E:$E,TB_NG!H:H)</f>
        <v>836265</v>
      </c>
      <c r="G196" s="17">
        <f>-_xlfn.XLOOKUP($C196,TB_NG!$E:$E,TB_NG!I:I)</f>
        <v>1144603</v>
      </c>
      <c r="H196" s="17">
        <f>-_xlfn.XLOOKUP($C196,TB_NG!$E:$E,TB_NG!J:J)</f>
        <v>1144603</v>
      </c>
      <c r="I196" s="17">
        <f>-_xlfn.XLOOKUP($C196,TB_NG!$E:$E,TB_NG!K:K)</f>
        <v>1144603</v>
      </c>
      <c r="J196" s="17">
        <f>-_xlfn.XLOOKUP($C196,TB_NG!$E:$E,TB_NG!L:L)</f>
        <v>1144603</v>
      </c>
      <c r="K196" s="17">
        <f>-_xlfn.XLOOKUP($C196,TB_NG!$E:$E,TB_NG!M:M)</f>
        <v>-59891429</v>
      </c>
      <c r="L196" s="17">
        <f>-_xlfn.XLOOKUP($C196,TB_NG!$E:$E,TB_NG!N:N)</f>
        <v>-59891429</v>
      </c>
      <c r="M196" s="17">
        <f>-_xlfn.XLOOKUP($C196,TB_NG!$E:$E,TB_NG!O:O)</f>
        <v>-59891429</v>
      </c>
      <c r="N196" s="17">
        <f>-_xlfn.XLOOKUP($C196,TB_NG!$E:$E,TB_NG!P:P)</f>
        <v>-59891429</v>
      </c>
      <c r="O196" s="17">
        <f>-_xlfn.XLOOKUP($C196,TB_NG!$E:$E,TB_NG!Q:Q)</f>
        <v>-59891429</v>
      </c>
      <c r="P196" s="17">
        <f>-_xlfn.XLOOKUP($C196,TB_NG!$E:$E,TB_NG!R:R)</f>
        <v>-59891429</v>
      </c>
      <c r="Q196" s="17">
        <f>-_xlfn.XLOOKUP($C196,TB_NG!$E:$E,TB_NG!S:S)</f>
        <v>-59891429</v>
      </c>
      <c r="R196" s="17">
        <f>-_xlfn.XLOOKUP($C196,TB_NG!$E:$E,TB_NG!T:T)</f>
        <v>-59891429</v>
      </c>
      <c r="S196" s="17">
        <f>-_xlfn.XLOOKUP($C196,TB_NG!$E:$E,TB_NG!U:U)</f>
        <v>-59891429</v>
      </c>
      <c r="T196" s="17">
        <f>-_xlfn.XLOOKUP($C196,TB_NG!$E:$E,TB_NG!V:V)</f>
        <v>-59891429</v>
      </c>
      <c r="U196" s="17">
        <f>-_xlfn.XLOOKUP($C196,TB_NG!$E:$E,TB_NG!W:W)</f>
        <v>-59891429</v>
      </c>
      <c r="V196" s="17">
        <f>-_xlfn.XLOOKUP($C196,TB_NG!$E:$E,TB_NG!X:X)</f>
        <v>56105693.5</v>
      </c>
      <c r="W196" s="17">
        <f>-_xlfn.XLOOKUP($C196,TB_NG!$E:$E,TB_NG!Y:Y)</f>
        <v>36877803.119999997</v>
      </c>
      <c r="X196" s="17">
        <f>-_xlfn.XLOOKUP($C196,TB_NG!$E:$E,TB_NG!Z:Z)</f>
        <v>18331038.280000001</v>
      </c>
      <c r="Y196" s="17">
        <f>-_xlfn.XLOOKUP($C196,TB_NG!$E:$E,TB_NG!AA:AA)</f>
        <v>212398.79</v>
      </c>
      <c r="Z196" s="17">
        <f>-_xlfn.XLOOKUP($C196,TB_NG!$E:$E,TB_NG!AB:AB)</f>
        <v>-17878240.68</v>
      </c>
      <c r="AA196" s="17">
        <f>-_xlfn.XLOOKUP($C196,TB_NG!$E:$E,TB_NG!AC:AC)</f>
        <v>-35999005.18</v>
      </c>
      <c r="AB196" s="17">
        <f>-_xlfn.XLOOKUP($C196,TB_NG!$E:$E,TB_NG!AD:AD)</f>
        <v>-1030820.56</v>
      </c>
      <c r="AC196" s="17">
        <f>-_xlfn.XLOOKUP($C196,TB_NG!$E:$E,TB_NG!AE:AE)</f>
        <v>-17873572.030000001</v>
      </c>
      <c r="AD196" s="17">
        <f>-_xlfn.XLOOKUP($C196,TB_NG!$E:$E,TB_NG!AF:AF)</f>
        <v>16976161.66</v>
      </c>
      <c r="AE196" s="17">
        <f>-_xlfn.XLOOKUP($C196,TB_NG!$E:$E,TB_NG!AG:AG)</f>
        <v>73569221.030000001</v>
      </c>
      <c r="AF196" s="17">
        <f>-_xlfn.XLOOKUP($C196,TB_NG!$E:$E,TB_NG!AH:AH)</f>
        <v>0</v>
      </c>
      <c r="AG196" s="17">
        <f>-_xlfn.XLOOKUP($C196,TB_NG!$E:$E,TB_NG!AI:AI)</f>
        <v>0</v>
      </c>
      <c r="AH196" s="17">
        <f>-_xlfn.XLOOKUP($C196,TB_NG!$E:$E,TB_NG!AJ:AJ)</f>
        <v>0</v>
      </c>
      <c r="AI196" s="17">
        <f>-_xlfn.XLOOKUP($C196,TB_NG!$E:$E,TB_NG!AK:AK)</f>
        <v>0</v>
      </c>
      <c r="AJ196" s="17">
        <f>-_xlfn.XLOOKUP($C196,TB_NG!$E:$E,TB_NG!AL:AL)</f>
        <v>0</v>
      </c>
      <c r="AK196" s="17">
        <f>-_xlfn.XLOOKUP($C196,TB_NG!$E:$E,TB_NG!AM:AM)</f>
        <v>0</v>
      </c>
      <c r="AL196" s="17">
        <f>-_xlfn.XLOOKUP($C196,TB_NG!$E:$E,TB_NG!AN:AN)</f>
        <v>0</v>
      </c>
      <c r="AM196" s="17">
        <f>-_xlfn.XLOOKUP($C196,TB_NG!$E:$E,TB_NG!AO:AO)</f>
        <v>0</v>
      </c>
    </row>
    <row r="197" spans="2:39" outlineLevel="1" x14ac:dyDescent="0.2">
      <c r="B197" s="21">
        <f>_xlfn.XLOOKUP($C197,TB_NG!$E:$E,TB_NG!A:A)</f>
        <v>20010</v>
      </c>
      <c r="C197" s="44" t="s">
        <v>431</v>
      </c>
      <c r="D197" s="17">
        <f>-_xlfn.XLOOKUP($C197,TB_NG!$E:$E,TB_NG!F:F)</f>
        <v>8062500</v>
      </c>
      <c r="E197" s="17">
        <f>-_xlfn.XLOOKUP($C197,TB_NG!$E:$E,TB_NG!G:G)</f>
        <v>8062500</v>
      </c>
      <c r="F197" s="17">
        <f>-_xlfn.XLOOKUP($C197,TB_NG!$E:$E,TB_NG!H:H)</f>
        <v>8062500</v>
      </c>
      <c r="G197" s="17">
        <f>-_xlfn.XLOOKUP($C197,TB_NG!$E:$E,TB_NG!I:I)</f>
        <v>0</v>
      </c>
      <c r="H197" s="17">
        <f>-_xlfn.XLOOKUP($C197,TB_NG!$E:$E,TB_NG!J:J)</f>
        <v>0</v>
      </c>
      <c r="I197" s="17">
        <f>-_xlfn.XLOOKUP($C197,TB_NG!$E:$E,TB_NG!K:K)</f>
        <v>0</v>
      </c>
      <c r="J197" s="17">
        <f>-_xlfn.XLOOKUP($C197,TB_NG!$E:$E,TB_NG!L:L)</f>
        <v>0</v>
      </c>
      <c r="K197" s="17">
        <f>-_xlfn.XLOOKUP($C197,TB_NG!$E:$E,TB_NG!M:M)</f>
        <v>0</v>
      </c>
      <c r="L197" s="17">
        <f>-_xlfn.XLOOKUP($C197,TB_NG!$E:$E,TB_NG!N:N)</f>
        <v>0</v>
      </c>
      <c r="M197" s="17">
        <f>-_xlfn.XLOOKUP($C197,TB_NG!$E:$E,TB_NG!O:O)</f>
        <v>0</v>
      </c>
      <c r="N197" s="17">
        <f>-_xlfn.XLOOKUP($C197,TB_NG!$E:$E,TB_NG!P:P)</f>
        <v>0</v>
      </c>
      <c r="O197" s="17">
        <f>-_xlfn.XLOOKUP($C197,TB_NG!$E:$E,TB_NG!Q:Q)</f>
        <v>9675000</v>
      </c>
      <c r="P197" s="17">
        <f>-_xlfn.XLOOKUP($C197,TB_NG!$E:$E,TB_NG!R:R)</f>
        <v>9675000</v>
      </c>
      <c r="Q197" s="17">
        <f>-_xlfn.XLOOKUP($C197,TB_NG!$E:$E,TB_NG!S:S)</f>
        <v>9675000</v>
      </c>
      <c r="R197" s="17">
        <f>-_xlfn.XLOOKUP($C197,TB_NG!$E:$E,TB_NG!T:T)</f>
        <v>9675000</v>
      </c>
      <c r="S197" s="17">
        <f>-_xlfn.XLOOKUP($C197,TB_NG!$E:$E,TB_NG!U:U)</f>
        <v>9675000</v>
      </c>
      <c r="T197" s="17">
        <f>-_xlfn.XLOOKUP($C197,TB_NG!$E:$E,TB_NG!V:V)</f>
        <v>0</v>
      </c>
      <c r="U197" s="17">
        <f>-_xlfn.XLOOKUP($C197,TB_NG!$E:$E,TB_NG!W:W)</f>
        <v>0</v>
      </c>
      <c r="V197" s="17">
        <f>-_xlfn.XLOOKUP($C197,TB_NG!$E:$E,TB_NG!X:X)</f>
        <v>0</v>
      </c>
      <c r="W197" s="17">
        <f>-_xlfn.XLOOKUP($C197,TB_NG!$E:$E,TB_NG!Y:Y)</f>
        <v>0</v>
      </c>
      <c r="X197" s="17">
        <f>-_xlfn.XLOOKUP($C197,TB_NG!$E:$E,TB_NG!Z:Z)</f>
        <v>0</v>
      </c>
      <c r="Y197" s="17">
        <f>-_xlfn.XLOOKUP($C197,TB_NG!$E:$E,TB_NG!AA:AA)</f>
        <v>0</v>
      </c>
      <c r="Z197" s="17">
        <f>-_xlfn.XLOOKUP($C197,TB_NG!$E:$E,TB_NG!AB:AB)</f>
        <v>0</v>
      </c>
      <c r="AA197" s="17">
        <f>-_xlfn.XLOOKUP($C197,TB_NG!$E:$E,TB_NG!AC:AC)</f>
        <v>0</v>
      </c>
      <c r="AB197" s="17">
        <f>-_xlfn.XLOOKUP($C197,TB_NG!$E:$E,TB_NG!AD:AD)</f>
        <v>9675000</v>
      </c>
      <c r="AC197" s="17">
        <f>-_xlfn.XLOOKUP($C197,TB_NG!$E:$E,TB_NG!AE:AE)</f>
        <v>9675000</v>
      </c>
      <c r="AD197" s="17">
        <f>-_xlfn.XLOOKUP($C197,TB_NG!$E:$E,TB_NG!AF:AF)</f>
        <v>9675000</v>
      </c>
      <c r="AE197" s="17">
        <f>-_xlfn.XLOOKUP($C197,TB_NG!$E:$E,TB_NG!AG:AG)</f>
        <v>9675000</v>
      </c>
      <c r="AF197" s="17">
        <f>-_xlfn.XLOOKUP($C197,TB_NG!$E:$E,TB_NG!AH:AH)</f>
        <v>0</v>
      </c>
      <c r="AG197" s="17">
        <f>-_xlfn.XLOOKUP($C197,TB_NG!$E:$E,TB_NG!AI:AI)</f>
        <v>0</v>
      </c>
      <c r="AH197" s="17">
        <f>-_xlfn.XLOOKUP($C197,TB_NG!$E:$E,TB_NG!AJ:AJ)</f>
        <v>0</v>
      </c>
      <c r="AI197" s="17">
        <f>-_xlfn.XLOOKUP($C197,TB_NG!$E:$E,TB_NG!AK:AK)</f>
        <v>0</v>
      </c>
      <c r="AJ197" s="17">
        <f>-_xlfn.XLOOKUP($C197,TB_NG!$E:$E,TB_NG!AL:AL)</f>
        <v>0</v>
      </c>
      <c r="AK197" s="17">
        <f>-_xlfn.XLOOKUP($C197,TB_NG!$E:$E,TB_NG!AM:AM)</f>
        <v>0</v>
      </c>
      <c r="AL197" s="17">
        <f>-_xlfn.XLOOKUP($C197,TB_NG!$E:$E,TB_NG!AN:AN)</f>
        <v>0</v>
      </c>
      <c r="AM197" s="17">
        <f>-_xlfn.XLOOKUP($C197,TB_NG!$E:$E,TB_NG!AO:AO)</f>
        <v>0</v>
      </c>
    </row>
    <row r="198" spans="2:39" outlineLevel="1" x14ac:dyDescent="0.2">
      <c r="B198" s="21">
        <f>_xlfn.XLOOKUP($C198,TB_NG!$E:$E,TB_NG!A:A)</f>
        <v>23010</v>
      </c>
      <c r="C198" s="16" t="s">
        <v>282</v>
      </c>
      <c r="D198" s="17">
        <f>-_xlfn.XLOOKUP($C198,TB_NG!$E:$E,TB_NG!F:F)</f>
        <v>434560973.00999999</v>
      </c>
      <c r="E198" s="17">
        <f>-_xlfn.XLOOKUP($C198,TB_NG!$E:$E,TB_NG!G:G)</f>
        <v>509779171.24000001</v>
      </c>
      <c r="F198" s="17">
        <f>-_xlfn.XLOOKUP($C198,TB_NG!$E:$E,TB_NG!H:H)</f>
        <v>557472502.13999999</v>
      </c>
      <c r="G198" s="17">
        <f>-_xlfn.XLOOKUP($C198,TB_NG!$E:$E,TB_NG!I:I)</f>
        <v>339844684.17000002</v>
      </c>
      <c r="H198" s="17">
        <f>-_xlfn.XLOOKUP($C198,TB_NG!$E:$E,TB_NG!J:J)</f>
        <v>202849536.34999999</v>
      </c>
      <c r="I198" s="17">
        <f>-_xlfn.XLOOKUP($C198,TB_NG!$E:$E,TB_NG!K:K)</f>
        <v>157816851.53</v>
      </c>
      <c r="J198" s="17">
        <f>-_xlfn.XLOOKUP($C198,TB_NG!$E:$E,TB_NG!L:L)</f>
        <v>83727601.939999998</v>
      </c>
      <c r="K198" s="17">
        <f>-_xlfn.XLOOKUP($C198,TB_NG!$E:$E,TB_NG!M:M)</f>
        <v>17837909.359999999</v>
      </c>
      <c r="L198" s="17">
        <f>-_xlfn.XLOOKUP($C198,TB_NG!$E:$E,TB_NG!N:N)</f>
        <v>17861670.030000001</v>
      </c>
      <c r="M198" s="17">
        <f>-_xlfn.XLOOKUP($C198,TB_NG!$E:$E,TB_NG!O:O)</f>
        <v>14287736.699999999</v>
      </c>
      <c r="N198" s="17">
        <f>-_xlfn.XLOOKUP($C198,TB_NG!$E:$E,TB_NG!P:P)</f>
        <v>17731807.949999999</v>
      </c>
      <c r="O198" s="17">
        <f>-_xlfn.XLOOKUP($C198,TB_NG!$E:$E,TB_NG!Q:Q)</f>
        <v>129874666.54000001</v>
      </c>
      <c r="P198" s="17">
        <f>-_xlfn.XLOOKUP($C198,TB_NG!$E:$E,TB_NG!R:R)</f>
        <v>133690656.90000001</v>
      </c>
      <c r="Q198" s="17">
        <f>-_xlfn.XLOOKUP($C198,TB_NG!$E:$E,TB_NG!S:S)</f>
        <v>144613719.93000001</v>
      </c>
      <c r="R198" s="17">
        <f>-_xlfn.XLOOKUP($C198,TB_NG!$E:$E,TB_NG!T:T)</f>
        <v>150966493.72</v>
      </c>
      <c r="S198" s="17">
        <f>-_xlfn.XLOOKUP($C198,TB_NG!$E:$E,TB_NG!U:U)</f>
        <v>64654437.07</v>
      </c>
      <c r="T198" s="17">
        <f>-_xlfn.XLOOKUP($C198,TB_NG!$E:$E,TB_NG!V:V)</f>
        <v>43823349.979999997</v>
      </c>
      <c r="U198" s="17">
        <f>-_xlfn.XLOOKUP($C198,TB_NG!$E:$E,TB_NG!W:W)</f>
        <v>48391445.700000003</v>
      </c>
      <c r="V198" s="17">
        <f>-_xlfn.XLOOKUP($C198,TB_NG!$E:$E,TB_NG!X:X)</f>
        <v>36265643.18</v>
      </c>
      <c r="W198" s="17">
        <f>-_xlfn.XLOOKUP($C198,TB_NG!$E:$E,TB_NG!Y:Y)</f>
        <v>53856868.990000002</v>
      </c>
      <c r="X198" s="17">
        <f>-_xlfn.XLOOKUP($C198,TB_NG!$E:$E,TB_NG!Z:Z)</f>
        <v>44746140.770000003</v>
      </c>
      <c r="Y198" s="17">
        <f>-_xlfn.XLOOKUP($C198,TB_NG!$E:$E,TB_NG!AA:AA)</f>
        <v>56676797.030000001</v>
      </c>
      <c r="Z198" s="17">
        <f>-_xlfn.XLOOKUP($C198,TB_NG!$E:$E,TB_NG!AB:AB)</f>
        <v>46250689.159999996</v>
      </c>
      <c r="AA198" s="17">
        <f>-_xlfn.XLOOKUP($C198,TB_NG!$E:$E,TB_NG!AC:AC)</f>
        <v>215496932.31999999</v>
      </c>
      <c r="AB198" s="17">
        <f>-_xlfn.XLOOKUP($C198,TB_NG!$E:$E,TB_NG!AD:AD)</f>
        <v>226229912.94</v>
      </c>
      <c r="AC198" s="17">
        <f>-_xlfn.XLOOKUP($C198,TB_NG!$E:$E,TB_NG!AE:AE)</f>
        <v>245825486.12</v>
      </c>
      <c r="AD198" s="17">
        <f>-_xlfn.XLOOKUP($C198,TB_NG!$E:$E,TB_NG!AF:AF)</f>
        <v>253046912.61000001</v>
      </c>
      <c r="AE198" s="17">
        <f>-_xlfn.XLOOKUP($C198,TB_NG!$E:$E,TB_NG!AG:AG)</f>
        <v>211959155.53</v>
      </c>
      <c r="AF198" s="17">
        <f>-_xlfn.XLOOKUP($C198,TB_NG!$E:$E,TB_NG!AH:AH)</f>
        <v>0</v>
      </c>
      <c r="AG198" s="17">
        <f>-_xlfn.XLOOKUP($C198,TB_NG!$E:$E,TB_NG!AI:AI)</f>
        <v>0</v>
      </c>
      <c r="AH198" s="17">
        <f>-_xlfn.XLOOKUP($C198,TB_NG!$E:$E,TB_NG!AJ:AJ)</f>
        <v>0</v>
      </c>
      <c r="AI198" s="17">
        <f>-_xlfn.XLOOKUP($C198,TB_NG!$E:$E,TB_NG!AK:AK)</f>
        <v>0</v>
      </c>
      <c r="AJ198" s="17">
        <f>-_xlfn.XLOOKUP($C198,TB_NG!$E:$E,TB_NG!AL:AL)</f>
        <v>0</v>
      </c>
      <c r="AK198" s="17">
        <f>-_xlfn.XLOOKUP($C198,TB_NG!$E:$E,TB_NG!AM:AM)</f>
        <v>0</v>
      </c>
      <c r="AL198" s="17">
        <f>-_xlfn.XLOOKUP($C198,TB_NG!$E:$E,TB_NG!AN:AN)</f>
        <v>0</v>
      </c>
      <c r="AM198" s="17">
        <f>-_xlfn.XLOOKUP($C198,TB_NG!$E:$E,TB_NG!AO:AO)</f>
        <v>0</v>
      </c>
    </row>
    <row r="199" spans="2:39" outlineLevel="1" x14ac:dyDescent="0.2">
      <c r="B199" s="21">
        <f>_xlfn.XLOOKUP($C199,TB_NG!$E:$E,TB_NG!A:A)</f>
        <v>23015</v>
      </c>
      <c r="C199" s="16" t="s">
        <v>283</v>
      </c>
      <c r="D199" s="17">
        <f>-_xlfn.XLOOKUP($C199,TB_NG!$E:$E,TB_NG!F:F)</f>
        <v>3244946.07</v>
      </c>
      <c r="E199" s="17">
        <f>-_xlfn.XLOOKUP($C199,TB_NG!$E:$E,TB_NG!G:G)</f>
        <v>4426546.07</v>
      </c>
      <c r="F199" s="17">
        <f>-_xlfn.XLOOKUP($C199,TB_NG!$E:$E,TB_NG!H:H)</f>
        <v>3244946.07</v>
      </c>
      <c r="G199" s="17">
        <f>-_xlfn.XLOOKUP($C199,TB_NG!$E:$E,TB_NG!I:I)</f>
        <v>2673399.54</v>
      </c>
      <c r="H199" s="17">
        <f>-_xlfn.XLOOKUP($C199,TB_NG!$E:$E,TB_NG!J:J)</f>
        <v>325160.32000000001</v>
      </c>
      <c r="I199" s="17">
        <f>-_xlfn.XLOOKUP($C199,TB_NG!$E:$E,TB_NG!K:K)</f>
        <v>2667206.1</v>
      </c>
      <c r="J199" s="17">
        <f>-_xlfn.XLOOKUP($C199,TB_NG!$E:$E,TB_NG!L:L)</f>
        <v>6293413.7199999997</v>
      </c>
      <c r="K199" s="17">
        <f>-_xlfn.XLOOKUP($C199,TB_NG!$E:$E,TB_NG!M:M)</f>
        <v>2119872.2400000002</v>
      </c>
      <c r="L199" s="17">
        <f>-_xlfn.XLOOKUP($C199,TB_NG!$E:$E,TB_NG!N:N)</f>
        <v>1155210.1000000001</v>
      </c>
      <c r="M199" s="17">
        <f>-_xlfn.XLOOKUP($C199,TB_NG!$E:$E,TB_NG!O:O)</f>
        <v>5142585.67</v>
      </c>
      <c r="N199" s="17">
        <f>-_xlfn.XLOOKUP($C199,TB_NG!$E:$E,TB_NG!P:P)</f>
        <v>303429.21999999997</v>
      </c>
      <c r="O199" s="17">
        <f>-_xlfn.XLOOKUP($C199,TB_NG!$E:$E,TB_NG!Q:Q)</f>
        <v>-0.25</v>
      </c>
      <c r="P199" s="17">
        <f>-_xlfn.XLOOKUP($C199,TB_NG!$E:$E,TB_NG!R:R)</f>
        <v>4197162.9000000004</v>
      </c>
      <c r="Q199" s="17">
        <f>-_xlfn.XLOOKUP($C199,TB_NG!$E:$E,TB_NG!S:S)</f>
        <v>1014999.75</v>
      </c>
      <c r="R199" s="17">
        <f>-_xlfn.XLOOKUP($C199,TB_NG!$E:$E,TB_NG!T:T)</f>
        <v>1964082.78</v>
      </c>
      <c r="S199" s="17">
        <f>-_xlfn.XLOOKUP($C199,TB_NG!$E:$E,TB_NG!U:U)</f>
        <v>5032987.4800000004</v>
      </c>
      <c r="T199" s="17">
        <f>-_xlfn.XLOOKUP($C199,TB_NG!$E:$E,TB_NG!V:V)</f>
        <v>728899.5</v>
      </c>
      <c r="U199" s="17">
        <f>-_xlfn.XLOOKUP($C199,TB_NG!$E:$E,TB_NG!W:W)</f>
        <v>3180259.95</v>
      </c>
      <c r="V199" s="17">
        <f>-_xlfn.XLOOKUP($C199,TB_NG!$E:$E,TB_NG!X:X)</f>
        <v>810417.46</v>
      </c>
      <c r="W199" s="17">
        <f>-_xlfn.XLOOKUP($C199,TB_NG!$E:$E,TB_NG!Y:Y)</f>
        <v>710482.61</v>
      </c>
      <c r="X199" s="17">
        <f>-_xlfn.XLOOKUP($C199,TB_NG!$E:$E,TB_NG!Z:Z)</f>
        <v>2071695.74</v>
      </c>
      <c r="Y199" s="17">
        <f>-_xlfn.XLOOKUP($C199,TB_NG!$E:$E,TB_NG!AA:AA)</f>
        <v>-0.25</v>
      </c>
      <c r="Z199" s="17">
        <f>-_xlfn.XLOOKUP($C199,TB_NG!$E:$E,TB_NG!AB:AB)</f>
        <v>141375.29999999999</v>
      </c>
      <c r="AA199" s="17">
        <f>-_xlfn.XLOOKUP($C199,TB_NG!$E:$E,TB_NG!AC:AC)</f>
        <v>4286209.79</v>
      </c>
      <c r="AB199" s="17">
        <f>-_xlfn.XLOOKUP($C199,TB_NG!$E:$E,TB_NG!AD:AD)</f>
        <v>1120945.1599999999</v>
      </c>
      <c r="AC199" s="17">
        <f>-_xlfn.XLOOKUP($C199,TB_NG!$E:$E,TB_NG!AE:AE)</f>
        <v>4895555.88</v>
      </c>
      <c r="AD199" s="17">
        <f>-_xlfn.XLOOKUP($C199,TB_NG!$E:$E,TB_NG!AF:AF)</f>
        <v>518042.67</v>
      </c>
      <c r="AE199" s="17">
        <f>-_xlfn.XLOOKUP($C199,TB_NG!$E:$E,TB_NG!AG:AG)</f>
        <v>-0.25</v>
      </c>
      <c r="AF199" s="17">
        <f>-_xlfn.XLOOKUP($C199,TB_NG!$E:$E,TB_NG!AH:AH)</f>
        <v>0</v>
      </c>
      <c r="AG199" s="17">
        <f>-_xlfn.XLOOKUP($C199,TB_NG!$E:$E,TB_NG!AI:AI)</f>
        <v>0</v>
      </c>
      <c r="AH199" s="17">
        <f>-_xlfn.XLOOKUP($C199,TB_NG!$E:$E,TB_NG!AJ:AJ)</f>
        <v>0</v>
      </c>
      <c r="AI199" s="17">
        <f>-_xlfn.XLOOKUP($C199,TB_NG!$E:$E,TB_NG!AK:AK)</f>
        <v>0</v>
      </c>
      <c r="AJ199" s="17">
        <f>-_xlfn.XLOOKUP($C199,TB_NG!$E:$E,TB_NG!AL:AL)</f>
        <v>0</v>
      </c>
      <c r="AK199" s="17">
        <f>-_xlfn.XLOOKUP($C199,TB_NG!$E:$E,TB_NG!AM:AM)</f>
        <v>0</v>
      </c>
      <c r="AL199" s="17">
        <f>-_xlfn.XLOOKUP($C199,TB_NG!$E:$E,TB_NG!AN:AN)</f>
        <v>0</v>
      </c>
      <c r="AM199" s="17">
        <f>-_xlfn.XLOOKUP($C199,TB_NG!$E:$E,TB_NG!AO:AO)</f>
        <v>0</v>
      </c>
    </row>
    <row r="200" spans="2:39" outlineLevel="1" x14ac:dyDescent="0.2">
      <c r="B200" s="21">
        <f>_xlfn.XLOOKUP($C200,TB_NG!$E:$E,TB_NG!A:A)</f>
        <v>23040</v>
      </c>
      <c r="C200" s="16" t="s">
        <v>284</v>
      </c>
      <c r="D200" s="17">
        <f>-_xlfn.XLOOKUP($C200,TB_NG!$E:$E,TB_NG!F:F)</f>
        <v>7399009.7199999997</v>
      </c>
      <c r="E200" s="17">
        <f>-_xlfn.XLOOKUP($C200,TB_NG!$E:$E,TB_NG!G:G)</f>
        <v>7090363.4699999997</v>
      </c>
      <c r="F200" s="17">
        <f>-_xlfn.XLOOKUP($C200,TB_NG!$E:$E,TB_NG!H:H)</f>
        <v>6489129.0300000003</v>
      </c>
      <c r="G200" s="17">
        <f>-_xlfn.XLOOKUP($C200,TB_NG!$E:$E,TB_NG!I:I)</f>
        <v>7552807.9500000002</v>
      </c>
      <c r="H200" s="17">
        <f>-_xlfn.XLOOKUP($C200,TB_NG!$E:$E,TB_NG!J:J)</f>
        <v>8070219.2699999996</v>
      </c>
      <c r="I200" s="17">
        <f>-_xlfn.XLOOKUP($C200,TB_NG!$E:$E,TB_NG!K:K)</f>
        <v>8217297.2199999997</v>
      </c>
      <c r="J200" s="17">
        <f>-_xlfn.XLOOKUP($C200,TB_NG!$E:$E,TB_NG!L:L)</f>
        <v>7961484.4400000004</v>
      </c>
      <c r="K200" s="17">
        <f>-_xlfn.XLOOKUP($C200,TB_NG!$E:$E,TB_NG!M:M)</f>
        <v>8395548.3300000001</v>
      </c>
      <c r="L200" s="17">
        <f>-_xlfn.XLOOKUP($C200,TB_NG!$E:$E,TB_NG!N:N)</f>
        <v>7687749.0599999996</v>
      </c>
      <c r="M200" s="17">
        <f>-_xlfn.XLOOKUP($C200,TB_NG!$E:$E,TB_NG!O:O)</f>
        <v>7715568.3300000001</v>
      </c>
      <c r="N200" s="17">
        <f>-_xlfn.XLOOKUP($C200,TB_NG!$E:$E,TB_NG!P:P)</f>
        <v>7908412.5499999998</v>
      </c>
      <c r="O200" s="17">
        <f>-_xlfn.XLOOKUP($C200,TB_NG!$E:$E,TB_NG!Q:Q)</f>
        <v>7219553.4400000004</v>
      </c>
      <c r="P200" s="17">
        <f>-_xlfn.XLOOKUP($C200,TB_NG!$E:$E,TB_NG!R:R)</f>
        <v>7297612.6100000003</v>
      </c>
      <c r="Q200" s="17">
        <f>-_xlfn.XLOOKUP($C200,TB_NG!$E:$E,TB_NG!S:S)</f>
        <v>7677361.6600000001</v>
      </c>
      <c r="R200" s="17">
        <f>-_xlfn.XLOOKUP($C200,TB_NG!$E:$E,TB_NG!T:T)</f>
        <v>7603160.5999999996</v>
      </c>
      <c r="S200" s="17">
        <f>-_xlfn.XLOOKUP($C200,TB_NG!$E:$E,TB_NG!U:U)</f>
        <v>7432710.1100000003</v>
      </c>
      <c r="T200" s="17">
        <f>-_xlfn.XLOOKUP($C200,TB_NG!$E:$E,TB_NG!V:V)</f>
        <v>14563198.42</v>
      </c>
      <c r="U200" s="17">
        <f>-_xlfn.XLOOKUP($C200,TB_NG!$E:$E,TB_NG!W:W)</f>
        <v>17197577.84</v>
      </c>
      <c r="V200" s="17">
        <f>-_xlfn.XLOOKUP($C200,TB_NG!$E:$E,TB_NG!X:X)</f>
        <v>24487233.399999999</v>
      </c>
      <c r="W200" s="17">
        <f>-_xlfn.XLOOKUP($C200,TB_NG!$E:$E,TB_NG!Y:Y)</f>
        <v>32201965.390000001</v>
      </c>
      <c r="X200" s="17">
        <f>-_xlfn.XLOOKUP($C200,TB_NG!$E:$E,TB_NG!Z:Z)</f>
        <v>8293821.5800000001</v>
      </c>
      <c r="Y200" s="17">
        <f>-_xlfn.XLOOKUP($C200,TB_NG!$E:$E,TB_NG!AA:AA)</f>
        <v>8777176.3599999994</v>
      </c>
      <c r="Z200" s="17">
        <f>-_xlfn.XLOOKUP($C200,TB_NG!$E:$E,TB_NG!AB:AB)</f>
        <v>8039479.04</v>
      </c>
      <c r="AA200" s="17">
        <f>-_xlfn.XLOOKUP($C200,TB_NG!$E:$E,TB_NG!AC:AC)</f>
        <v>8057496.0800000001</v>
      </c>
      <c r="AB200" s="17">
        <f>-_xlfn.XLOOKUP($C200,TB_NG!$E:$E,TB_NG!AD:AD)</f>
        <v>12298560.84</v>
      </c>
      <c r="AC200" s="17">
        <f>-_xlfn.XLOOKUP($C200,TB_NG!$E:$E,TB_NG!AE:AE)</f>
        <v>24134155.350000001</v>
      </c>
      <c r="AD200" s="17">
        <f>-_xlfn.XLOOKUP($C200,TB_NG!$E:$E,TB_NG!AF:AF)</f>
        <v>12572609.68</v>
      </c>
      <c r="AE200" s="17">
        <f>-_xlfn.XLOOKUP($C200,TB_NG!$E:$E,TB_NG!AG:AG)</f>
        <v>12184831.960000001</v>
      </c>
      <c r="AF200" s="17">
        <f>-_xlfn.XLOOKUP($C200,TB_NG!$E:$E,TB_NG!AH:AH)</f>
        <v>0</v>
      </c>
      <c r="AG200" s="17">
        <f>-_xlfn.XLOOKUP($C200,TB_NG!$E:$E,TB_NG!AI:AI)</f>
        <v>0</v>
      </c>
      <c r="AH200" s="17">
        <f>-_xlfn.XLOOKUP($C200,TB_NG!$E:$E,TB_NG!AJ:AJ)</f>
        <v>0</v>
      </c>
      <c r="AI200" s="17">
        <f>-_xlfn.XLOOKUP($C200,TB_NG!$E:$E,TB_NG!AK:AK)</f>
        <v>0</v>
      </c>
      <c r="AJ200" s="17">
        <f>-_xlfn.XLOOKUP($C200,TB_NG!$E:$E,TB_NG!AL:AL)</f>
        <v>0</v>
      </c>
      <c r="AK200" s="17">
        <f>-_xlfn.XLOOKUP($C200,TB_NG!$E:$E,TB_NG!AM:AM)</f>
        <v>0</v>
      </c>
      <c r="AL200" s="17">
        <f>-_xlfn.XLOOKUP($C200,TB_NG!$E:$E,TB_NG!AN:AN)</f>
        <v>0</v>
      </c>
      <c r="AM200" s="17">
        <f>-_xlfn.XLOOKUP($C200,TB_NG!$E:$E,TB_NG!AO:AO)</f>
        <v>0</v>
      </c>
    </row>
    <row r="201" spans="2:39" outlineLevel="1" x14ac:dyDescent="0.2">
      <c r="B201" s="406">
        <v>23416</v>
      </c>
      <c r="C201" s="16" t="s">
        <v>1712</v>
      </c>
      <c r="D201" s="17">
        <f>-_xlfn.XLOOKUP($C201,TB_NG!$E:$E,TB_NG!F:F)</f>
        <v>0</v>
      </c>
      <c r="E201" s="17">
        <f>-_xlfn.XLOOKUP($C201,TB_NG!$E:$E,TB_NG!G:G)</f>
        <v>0</v>
      </c>
      <c r="F201" s="17">
        <f>-_xlfn.XLOOKUP($C201,TB_NG!$E:$E,TB_NG!H:H)</f>
        <v>0</v>
      </c>
      <c r="G201" s="17">
        <f>-_xlfn.XLOOKUP($C201,TB_NG!$E:$E,TB_NG!I:I)</f>
        <v>0</v>
      </c>
      <c r="H201" s="17">
        <f>-_xlfn.XLOOKUP($C201,TB_NG!$E:$E,TB_NG!J:J)</f>
        <v>0</v>
      </c>
      <c r="I201" s="17">
        <f>-_xlfn.XLOOKUP($C201,TB_NG!$E:$E,TB_NG!K:K)</f>
        <v>0</v>
      </c>
      <c r="J201" s="17">
        <f>-_xlfn.XLOOKUP($C201,TB_NG!$E:$E,TB_NG!L:L)</f>
        <v>0</v>
      </c>
      <c r="K201" s="17">
        <f>-_xlfn.XLOOKUP($C201,TB_NG!$E:$E,TB_NG!M:M)</f>
        <v>0</v>
      </c>
      <c r="L201" s="17">
        <f>-_xlfn.XLOOKUP($C201,TB_NG!$E:$E,TB_NG!N:N)</f>
        <v>0</v>
      </c>
      <c r="M201" s="17">
        <f>-_xlfn.XLOOKUP($C201,TB_NG!$E:$E,TB_NG!O:O)</f>
        <v>0</v>
      </c>
      <c r="N201" s="17">
        <f>-_xlfn.XLOOKUP($C201,TB_NG!$E:$E,TB_NG!P:P)</f>
        <v>0</v>
      </c>
      <c r="O201" s="17">
        <f>-_xlfn.XLOOKUP($C201,TB_NG!$E:$E,TB_NG!Q:Q)</f>
        <v>0</v>
      </c>
      <c r="P201" s="17">
        <f>-_xlfn.XLOOKUP($C201,TB_NG!$E:$E,TB_NG!R:R)</f>
        <v>0</v>
      </c>
      <c r="Q201" s="17">
        <f>-_xlfn.XLOOKUP($C201,TB_NG!$E:$E,TB_NG!S:S)</f>
        <v>0</v>
      </c>
      <c r="R201" s="17">
        <f>-_xlfn.XLOOKUP($C201,TB_NG!$E:$E,TB_NG!T:T)</f>
        <v>0</v>
      </c>
      <c r="S201" s="17">
        <f>-_xlfn.XLOOKUP($C201,TB_NG!$E:$E,TB_NG!U:U)</f>
        <v>0</v>
      </c>
      <c r="T201" s="17">
        <f>-_xlfn.XLOOKUP($C201,TB_NG!$E:$E,TB_NG!V:V)</f>
        <v>0</v>
      </c>
      <c r="U201" s="17">
        <f>-_xlfn.XLOOKUP($C201,TB_NG!$E:$E,TB_NG!W:W)</f>
        <v>0</v>
      </c>
      <c r="V201" s="17">
        <f>-_xlfn.XLOOKUP($C201,TB_NG!$E:$E,TB_NG!X:X)</f>
        <v>0</v>
      </c>
      <c r="W201" s="17">
        <f>-_xlfn.XLOOKUP($C201,TB_NG!$E:$E,TB_NG!Y:Y)</f>
        <v>0</v>
      </c>
      <c r="X201" s="17">
        <f>-_xlfn.XLOOKUP($C201,TB_NG!$E:$E,TB_NG!Z:Z)</f>
        <v>0</v>
      </c>
      <c r="Y201" s="17">
        <f>-_xlfn.XLOOKUP($C201,TB_NG!$E:$E,TB_NG!AA:AA)</f>
        <v>0</v>
      </c>
      <c r="Z201" s="17">
        <f>-_xlfn.XLOOKUP($C201,TB_NG!$E:$E,TB_NG!AB:AB)</f>
        <v>0</v>
      </c>
      <c r="AA201" s="17">
        <f>-_xlfn.XLOOKUP($C201,TB_NG!$E:$E,TB_NG!AC:AC)</f>
        <v>0</v>
      </c>
      <c r="AB201" s="17">
        <f>-_xlfn.XLOOKUP($C201,TB_NG!$E:$E,TB_NG!AD:AD)</f>
        <v>0</v>
      </c>
      <c r="AC201" s="17">
        <f>-_xlfn.XLOOKUP($C201,TB_NG!$E:$E,TB_NG!AE:AE)</f>
        <v>0</v>
      </c>
      <c r="AD201" s="17">
        <f>-_xlfn.XLOOKUP($C201,TB_NG!$E:$E,TB_NG!AF:AF)</f>
        <v>63550</v>
      </c>
      <c r="AE201" s="17">
        <f>-_xlfn.XLOOKUP($C201,TB_NG!$E:$E,TB_NG!AG:AG)</f>
        <v>63550</v>
      </c>
      <c r="AF201" s="17">
        <f>-_xlfn.XLOOKUP($C201,TB_NG!$E:$E,TB_NG!AH:AH)</f>
        <v>0</v>
      </c>
      <c r="AG201" s="17">
        <f>-_xlfn.XLOOKUP($C201,TB_NG!$E:$E,TB_NG!AI:AI)</f>
        <v>0</v>
      </c>
      <c r="AH201" s="17">
        <f>-_xlfn.XLOOKUP($C201,TB_NG!$E:$E,TB_NG!AJ:AJ)</f>
        <v>0</v>
      </c>
      <c r="AI201" s="17">
        <f>-_xlfn.XLOOKUP($C201,TB_NG!$E:$E,TB_NG!AK:AK)</f>
        <v>0</v>
      </c>
      <c r="AJ201" s="17">
        <f>-_xlfn.XLOOKUP($C201,TB_NG!$E:$E,TB_NG!AL:AL)</f>
        <v>0</v>
      </c>
      <c r="AK201" s="17">
        <f>-_xlfn.XLOOKUP($C201,TB_NG!$E:$E,TB_NG!AM:AM)</f>
        <v>0</v>
      </c>
      <c r="AL201" s="17">
        <f>-_xlfn.XLOOKUP($C201,TB_NG!$E:$E,TB_NG!AN:AN)</f>
        <v>0</v>
      </c>
      <c r="AM201" s="17">
        <f>-_xlfn.XLOOKUP($C201,TB_NG!$E:$E,TB_NG!AO:AO)</f>
        <v>0</v>
      </c>
    </row>
    <row r="202" spans="2:39" outlineLevel="1" x14ac:dyDescent="0.2">
      <c r="B202" s="21">
        <f>_xlfn.XLOOKUP($C202,TB_NG!$E:$E,TB_NG!A:A)</f>
        <v>24010</v>
      </c>
      <c r="C202" s="16" t="s">
        <v>285</v>
      </c>
      <c r="D202" s="17">
        <f>-_xlfn.XLOOKUP($C202,TB_NG!$E:$E,TB_NG!F:F)</f>
        <v>6790298.5</v>
      </c>
      <c r="E202" s="17">
        <f>-_xlfn.XLOOKUP($C202,TB_NG!$E:$E,TB_NG!G:G)</f>
        <v>6584544.0999999996</v>
      </c>
      <c r="F202" s="17">
        <f>-_xlfn.XLOOKUP($C202,TB_NG!$E:$E,TB_NG!H:H)</f>
        <v>6703904.4000000004</v>
      </c>
      <c r="G202" s="17">
        <f>-_xlfn.XLOOKUP($C202,TB_NG!$E:$E,TB_NG!I:I)</f>
        <v>11317697.810000001</v>
      </c>
      <c r="H202" s="17">
        <f>-_xlfn.XLOOKUP($C202,TB_NG!$E:$E,TB_NG!J:J)</f>
        <v>13235148.48</v>
      </c>
      <c r="I202" s="17">
        <f>-_xlfn.XLOOKUP($C202,TB_NG!$E:$E,TB_NG!K:K)</f>
        <v>15062002.779999999</v>
      </c>
      <c r="J202" s="17">
        <f>-_xlfn.XLOOKUP($C202,TB_NG!$E:$E,TB_NG!L:L)</f>
        <v>15603399.59</v>
      </c>
      <c r="K202" s="17">
        <f>-_xlfn.XLOOKUP($C202,TB_NG!$E:$E,TB_NG!M:M)</f>
        <v>17092795.960000001</v>
      </c>
      <c r="L202" s="17">
        <f>-_xlfn.XLOOKUP($C202,TB_NG!$E:$E,TB_NG!N:N)</f>
        <v>17767763.57</v>
      </c>
      <c r="M202" s="17">
        <f>-_xlfn.XLOOKUP($C202,TB_NG!$E:$E,TB_NG!O:O)</f>
        <v>18552668.059999999</v>
      </c>
      <c r="N202" s="17">
        <f>-_xlfn.XLOOKUP($C202,TB_NG!$E:$E,TB_NG!P:P)</f>
        <v>19623310.859999999</v>
      </c>
      <c r="O202" s="17">
        <f>-_xlfn.XLOOKUP($C202,TB_NG!$E:$E,TB_NG!Q:Q)</f>
        <v>21842868.859999999</v>
      </c>
      <c r="P202" s="17">
        <f>-_xlfn.XLOOKUP($C202,TB_NG!$E:$E,TB_NG!R:R)</f>
        <v>18133337.170000002</v>
      </c>
      <c r="Q202" s="17">
        <f>-_xlfn.XLOOKUP($C202,TB_NG!$E:$E,TB_NG!S:S)</f>
        <v>19257076.100000001</v>
      </c>
      <c r="R202" s="17">
        <f>-_xlfn.XLOOKUP($C202,TB_NG!$E:$E,TB_NG!T:T)</f>
        <v>19486878.539999999</v>
      </c>
      <c r="S202" s="17">
        <f>-_xlfn.XLOOKUP($C202,TB_NG!$E:$E,TB_NG!U:U)</f>
        <v>19570107.699999999</v>
      </c>
      <c r="T202" s="17">
        <f>-_xlfn.XLOOKUP($C202,TB_NG!$E:$E,TB_NG!V:V)</f>
        <v>32342720.780000001</v>
      </c>
      <c r="U202" s="17">
        <f>-_xlfn.XLOOKUP($C202,TB_NG!$E:$E,TB_NG!W:W)</f>
        <v>32495106.550000001</v>
      </c>
      <c r="V202" s="17">
        <f>-_xlfn.XLOOKUP($C202,TB_NG!$E:$E,TB_NG!X:X)</f>
        <v>21527840.510000002</v>
      </c>
      <c r="W202" s="17">
        <f>-_xlfn.XLOOKUP($C202,TB_NG!$E:$E,TB_NG!Y:Y)</f>
        <v>22695115.68</v>
      </c>
      <c r="X202" s="17">
        <f>-_xlfn.XLOOKUP($C202,TB_NG!$E:$E,TB_NG!Z:Z)</f>
        <v>23695194.949999999</v>
      </c>
      <c r="Y202" s="17">
        <f>-_xlfn.XLOOKUP($C202,TB_NG!$E:$E,TB_NG!AA:AA)</f>
        <v>24918602.050000001</v>
      </c>
      <c r="Z202" s="17">
        <f>-_xlfn.XLOOKUP($C202,TB_NG!$E:$E,TB_NG!AB:AB)</f>
        <v>23450689.16</v>
      </c>
      <c r="AA202" s="17">
        <f>-_xlfn.XLOOKUP($C202,TB_NG!$E:$E,TB_NG!AC:AC)</f>
        <v>21976111.07</v>
      </c>
      <c r="AB202" s="17">
        <f>-_xlfn.XLOOKUP($C202,TB_NG!$E:$E,TB_NG!AD:AD)</f>
        <v>25388819.920000002</v>
      </c>
      <c r="AC202" s="17">
        <f>-_xlfn.XLOOKUP($C202,TB_NG!$E:$E,TB_NG!AE:AE)</f>
        <v>25141844.809999999</v>
      </c>
      <c r="AD202" s="17">
        <f>-_xlfn.XLOOKUP($C202,TB_NG!$E:$E,TB_NG!AF:AF)</f>
        <v>25607417.210000001</v>
      </c>
      <c r="AE202" s="17">
        <f>-_xlfn.XLOOKUP($C202,TB_NG!$E:$E,TB_NG!AG:AG)</f>
        <v>25683258.129999999</v>
      </c>
      <c r="AF202" s="17">
        <f>-_xlfn.XLOOKUP($C202,TB_NG!$E:$E,TB_NG!AH:AH)</f>
        <v>0</v>
      </c>
      <c r="AG202" s="17">
        <f>-_xlfn.XLOOKUP($C202,TB_NG!$E:$E,TB_NG!AI:AI)</f>
        <v>0</v>
      </c>
      <c r="AH202" s="17">
        <f>-_xlfn.XLOOKUP($C202,TB_NG!$E:$E,TB_NG!AJ:AJ)</f>
        <v>0</v>
      </c>
      <c r="AI202" s="17">
        <f>-_xlfn.XLOOKUP($C202,TB_NG!$E:$E,TB_NG!AK:AK)</f>
        <v>0</v>
      </c>
      <c r="AJ202" s="17">
        <f>-_xlfn.XLOOKUP($C202,TB_NG!$E:$E,TB_NG!AL:AL)</f>
        <v>0</v>
      </c>
      <c r="AK202" s="17">
        <f>-_xlfn.XLOOKUP($C202,TB_NG!$E:$E,TB_NG!AM:AM)</f>
        <v>0</v>
      </c>
      <c r="AL202" s="17">
        <f>-_xlfn.XLOOKUP($C202,TB_NG!$E:$E,TB_NG!AN:AN)</f>
        <v>0</v>
      </c>
      <c r="AM202" s="17">
        <f>-_xlfn.XLOOKUP($C202,TB_NG!$E:$E,TB_NG!AO:AO)</f>
        <v>0</v>
      </c>
    </row>
    <row r="203" spans="2:39" outlineLevel="1" x14ac:dyDescent="0.2">
      <c r="B203" s="21"/>
      <c r="C203" s="16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</row>
    <row r="204" spans="2:39" x14ac:dyDescent="0.2">
      <c r="B204" s="21"/>
      <c r="C204" s="22" t="s">
        <v>57</v>
      </c>
      <c r="D204" s="23">
        <f t="shared" ref="D204:AM204" si="19">SUM(D194:D203)</f>
        <v>527005282.61000001</v>
      </c>
      <c r="E204" s="23">
        <f t="shared" si="19"/>
        <v>585607521.69000006</v>
      </c>
      <c r="F204" s="23">
        <f t="shared" si="19"/>
        <v>956289975.97000003</v>
      </c>
      <c r="G204" s="23">
        <f t="shared" si="19"/>
        <v>730818534.38999999</v>
      </c>
      <c r="H204" s="23">
        <f t="shared" si="19"/>
        <v>573467582.22000003</v>
      </c>
      <c r="I204" s="23">
        <f t="shared" si="19"/>
        <v>1487683837.2699997</v>
      </c>
      <c r="J204" s="23">
        <f t="shared" si="19"/>
        <v>945299359.88000023</v>
      </c>
      <c r="K204" s="23">
        <f t="shared" si="19"/>
        <v>1134715455.2</v>
      </c>
      <c r="L204" s="23">
        <f t="shared" si="19"/>
        <v>1056430801.1900001</v>
      </c>
      <c r="M204" s="23">
        <f t="shared" si="19"/>
        <v>1010655965.49</v>
      </c>
      <c r="N204" s="23">
        <f t="shared" si="19"/>
        <v>1036189825.5</v>
      </c>
      <c r="O204" s="23">
        <f t="shared" si="19"/>
        <v>1021073972.0700001</v>
      </c>
      <c r="P204" s="23">
        <f t="shared" si="19"/>
        <v>930055103.02999997</v>
      </c>
      <c r="Q204" s="23">
        <f t="shared" si="19"/>
        <v>846797417.88000011</v>
      </c>
      <c r="R204" s="23">
        <f t="shared" si="19"/>
        <v>992371387.54999995</v>
      </c>
      <c r="S204" s="23">
        <f t="shared" si="19"/>
        <v>841442419.35000014</v>
      </c>
      <c r="T204" s="23">
        <f t="shared" si="19"/>
        <v>785507433.75</v>
      </c>
      <c r="U204" s="23">
        <f t="shared" si="19"/>
        <v>990062067.20000005</v>
      </c>
      <c r="V204" s="23">
        <f t="shared" si="19"/>
        <v>1167529597.2900002</v>
      </c>
      <c r="W204" s="23">
        <f t="shared" si="19"/>
        <v>1522950324.9399998</v>
      </c>
      <c r="X204" s="23">
        <f t="shared" si="19"/>
        <v>1506916844.6800001</v>
      </c>
      <c r="Y204" s="23">
        <f t="shared" si="19"/>
        <v>1371082766.4399998</v>
      </c>
      <c r="Z204" s="23">
        <f t="shared" si="19"/>
        <v>1211220623.5400002</v>
      </c>
      <c r="AA204" s="23">
        <f t="shared" si="19"/>
        <v>1197173658.9799998</v>
      </c>
      <c r="AB204" s="23">
        <f t="shared" si="19"/>
        <v>1127757172.3000002</v>
      </c>
      <c r="AC204" s="23">
        <f t="shared" si="19"/>
        <v>1145934563.23</v>
      </c>
      <c r="AD204" s="23">
        <f t="shared" si="19"/>
        <v>1219798072.0700002</v>
      </c>
      <c r="AE204" s="23">
        <f t="shared" si="19"/>
        <v>1029069708.7499999</v>
      </c>
      <c r="AF204" s="23">
        <f t="shared" si="19"/>
        <v>0</v>
      </c>
      <c r="AG204" s="23">
        <f t="shared" si="19"/>
        <v>0</v>
      </c>
      <c r="AH204" s="23">
        <f t="shared" si="19"/>
        <v>0</v>
      </c>
      <c r="AI204" s="23">
        <f t="shared" si="19"/>
        <v>0</v>
      </c>
      <c r="AJ204" s="23">
        <f t="shared" si="19"/>
        <v>0</v>
      </c>
      <c r="AK204" s="23">
        <f t="shared" si="19"/>
        <v>0</v>
      </c>
      <c r="AL204" s="23">
        <f t="shared" si="19"/>
        <v>0</v>
      </c>
      <c r="AM204" s="23">
        <f t="shared" si="19"/>
        <v>0</v>
      </c>
    </row>
    <row r="205" spans="2:39" x14ac:dyDescent="0.2">
      <c r="B205" s="21"/>
      <c r="C205" s="16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8"/>
    </row>
    <row r="206" spans="2:39" s="27" customFormat="1" x14ac:dyDescent="0.2">
      <c r="B206" s="24"/>
      <c r="C206" s="25" t="s">
        <v>286</v>
      </c>
      <c r="D206" s="26">
        <f t="shared" ref="D206:AM206" si="20">D204+D184+D174</f>
        <v>1064388049.3399999</v>
      </c>
      <c r="E206" s="26">
        <f t="shared" si="20"/>
        <v>1164462762.3800001</v>
      </c>
      <c r="F206" s="26">
        <f t="shared" si="20"/>
        <v>1580202573.1800003</v>
      </c>
      <c r="G206" s="26">
        <f t="shared" si="20"/>
        <v>1334378540.3399997</v>
      </c>
      <c r="H206" s="26">
        <f t="shared" si="20"/>
        <v>1283153749.0100002</v>
      </c>
      <c r="I206" s="26">
        <f t="shared" si="20"/>
        <v>2223311392.1900001</v>
      </c>
      <c r="J206" s="26">
        <f t="shared" si="20"/>
        <v>1754993435.48</v>
      </c>
      <c r="K206" s="26">
        <f t="shared" si="20"/>
        <v>1952595016.0799999</v>
      </c>
      <c r="L206" s="26">
        <f t="shared" si="20"/>
        <v>1699355611.4400001</v>
      </c>
      <c r="M206" s="26">
        <f t="shared" si="20"/>
        <v>1687958931.9099998</v>
      </c>
      <c r="N206" s="26">
        <f t="shared" si="20"/>
        <v>1823461298.0600002</v>
      </c>
      <c r="O206" s="26">
        <f t="shared" si="20"/>
        <v>2607037035.9700003</v>
      </c>
      <c r="P206" s="26">
        <f t="shared" si="20"/>
        <v>2538971493.6599998</v>
      </c>
      <c r="Q206" s="26">
        <f t="shared" si="20"/>
        <v>2477972836.9200001</v>
      </c>
      <c r="R206" s="26">
        <f t="shared" si="20"/>
        <v>2605267551.75</v>
      </c>
      <c r="S206" s="26">
        <f t="shared" si="20"/>
        <v>2131521980.8600001</v>
      </c>
      <c r="T206" s="26">
        <f t="shared" si="20"/>
        <v>1838619381.74</v>
      </c>
      <c r="U206" s="26">
        <f t="shared" si="20"/>
        <v>2011281767.9400001</v>
      </c>
      <c r="V206" s="26">
        <f t="shared" si="20"/>
        <v>2001543123.0300002</v>
      </c>
      <c r="W206" s="26">
        <f t="shared" si="20"/>
        <v>2333812995.7599998</v>
      </c>
      <c r="X206" s="26">
        <f t="shared" si="20"/>
        <v>2311438805.0700002</v>
      </c>
      <c r="Y206" s="26">
        <f t="shared" si="20"/>
        <v>2203729398.48</v>
      </c>
      <c r="Z206" s="26">
        <f t="shared" si="20"/>
        <v>1995718604.6600003</v>
      </c>
      <c r="AA206" s="26">
        <f t="shared" si="20"/>
        <v>1554259550.3599997</v>
      </c>
      <c r="AB206" s="26">
        <f t="shared" si="20"/>
        <v>1615775032.0300002</v>
      </c>
      <c r="AC206" s="26">
        <f t="shared" si="20"/>
        <v>1661578863</v>
      </c>
      <c r="AD206" s="26">
        <f t="shared" si="20"/>
        <v>1806068426.8300002</v>
      </c>
      <c r="AE206" s="26">
        <f t="shared" si="20"/>
        <v>1457079966.73</v>
      </c>
      <c r="AF206" s="26">
        <f t="shared" si="20"/>
        <v>0</v>
      </c>
      <c r="AG206" s="26">
        <f t="shared" si="20"/>
        <v>0</v>
      </c>
      <c r="AH206" s="26">
        <f t="shared" si="20"/>
        <v>0</v>
      </c>
      <c r="AI206" s="26">
        <f t="shared" si="20"/>
        <v>0</v>
      </c>
      <c r="AJ206" s="26">
        <f t="shared" si="20"/>
        <v>0</v>
      </c>
      <c r="AK206" s="26">
        <f t="shared" si="20"/>
        <v>0</v>
      </c>
      <c r="AL206" s="26">
        <f t="shared" si="20"/>
        <v>0</v>
      </c>
      <c r="AM206" s="26">
        <f t="shared" si="20"/>
        <v>0</v>
      </c>
    </row>
    <row r="207" spans="2:39" x14ac:dyDescent="0.2">
      <c r="B207" s="21"/>
      <c r="C207" s="16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8"/>
    </row>
    <row r="208" spans="2:39" outlineLevel="1" x14ac:dyDescent="0.2">
      <c r="B208" s="21"/>
      <c r="C208" s="20" t="s">
        <v>287</v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8"/>
    </row>
    <row r="209" spans="2:39" outlineLevel="1" x14ac:dyDescent="0.2">
      <c r="B209" s="21">
        <f>_xlfn.XLOOKUP($C209,TB_NG!$E:$E,TB_NG!A:A)</f>
        <v>30005</v>
      </c>
      <c r="C209" s="44" t="s">
        <v>288</v>
      </c>
      <c r="D209" s="17">
        <f>-_xlfn.XLOOKUP($C209,TB_NG!$E:$E,TB_NG!F:F)</f>
        <v>-96238158.140000001</v>
      </c>
      <c r="E209" s="17">
        <f>-_xlfn.XLOOKUP($C209,TB_NG!$E:$E,TB_NG!G:G)</f>
        <v>-96238158.140000001</v>
      </c>
      <c r="F209" s="17">
        <f>-_xlfn.XLOOKUP($C209,TB_NG!$E:$E,TB_NG!H:H)</f>
        <v>-96238158.140000001</v>
      </c>
      <c r="G209" s="17">
        <f>-_xlfn.XLOOKUP($C209,TB_NG!$E:$E,TB_NG!I:I)</f>
        <v>-96238158.140000001</v>
      </c>
      <c r="H209" s="17">
        <f>-_xlfn.XLOOKUP($C209,TB_NG!$E:$E,TB_NG!J:J)</f>
        <v>-96238158.140000001</v>
      </c>
      <c r="I209" s="17">
        <f>-_xlfn.XLOOKUP($C209,TB_NG!$E:$E,TB_NG!K:K)</f>
        <v>-96238158.140000001</v>
      </c>
      <c r="J209" s="17">
        <f>-_xlfn.XLOOKUP($C209,TB_NG!$E:$E,TB_NG!L:L)</f>
        <v>-96238158.140000001</v>
      </c>
      <c r="K209" s="17">
        <f>-_xlfn.XLOOKUP($C209,TB_NG!$E:$E,TB_NG!M:M)</f>
        <v>-96238158.140000001</v>
      </c>
      <c r="L209" s="17">
        <f>-_xlfn.XLOOKUP($C209,TB_NG!$E:$E,TB_NG!N:N)</f>
        <v>-96238158.140000001</v>
      </c>
      <c r="M209" s="17">
        <f>-_xlfn.XLOOKUP($C209,TB_NG!$E:$E,TB_NG!O:O)</f>
        <v>-96238158.140000001</v>
      </c>
      <c r="N209" s="17">
        <f>-_xlfn.XLOOKUP($C209,TB_NG!$E:$E,TB_NG!P:P)</f>
        <v>-96238158.140000001</v>
      </c>
      <c r="O209" s="17">
        <f>-_xlfn.XLOOKUP($C209,TB_NG!$E:$E,TB_NG!Q:Q)</f>
        <v>-96238158.140000001</v>
      </c>
      <c r="P209" s="17">
        <f>-_xlfn.XLOOKUP($C209,TB_NG!$E:$E,TB_NG!R:R)</f>
        <v>-96238158.140000001</v>
      </c>
      <c r="Q209" s="17">
        <f>-_xlfn.XLOOKUP($C209,TB_NG!$E:$E,TB_NG!S:S)</f>
        <v>-96238158.140000001</v>
      </c>
      <c r="R209" s="17">
        <f>-_xlfn.XLOOKUP($C209,TB_NG!$E:$E,TB_NG!T:T)</f>
        <v>-96238158.140000001</v>
      </c>
      <c r="S209" s="17">
        <f>-_xlfn.XLOOKUP($C209,TB_NG!$E:$E,TB_NG!U:U)</f>
        <v>-96238158.140000001</v>
      </c>
      <c r="T209" s="17">
        <f>-_xlfn.XLOOKUP($C209,TB_NG!$E:$E,TB_NG!V:V)</f>
        <v>-96238158.140000001</v>
      </c>
      <c r="U209" s="17">
        <f>-_xlfn.XLOOKUP($C209,TB_NG!$E:$E,TB_NG!W:W)</f>
        <v>-96238158.140000001</v>
      </c>
      <c r="V209" s="17">
        <f>-_xlfn.XLOOKUP($C209,TB_NG!$E:$E,TB_NG!X:X)</f>
        <v>-96238158.140000001</v>
      </c>
      <c r="W209" s="17">
        <f>-_xlfn.XLOOKUP($C209,TB_NG!$E:$E,TB_NG!Y:Y)</f>
        <v>-96238158.140000001</v>
      </c>
      <c r="X209" s="17">
        <f>-_xlfn.XLOOKUP($C209,TB_NG!$E:$E,TB_NG!Z:Z)</f>
        <v>-96238158.140000001</v>
      </c>
      <c r="Y209" s="17">
        <f>-_xlfn.XLOOKUP($C209,TB_NG!$E:$E,TB_NG!AA:AA)</f>
        <v>-96238158.140000001</v>
      </c>
      <c r="Z209" s="17">
        <f>-_xlfn.XLOOKUP($C209,TB_NG!$E:$E,TB_NG!AB:AB)</f>
        <v>-96238158.140000001</v>
      </c>
      <c r="AA209" s="17">
        <f>-_xlfn.XLOOKUP($C209,TB_NG!$E:$E,TB_NG!AC:AC)</f>
        <v>-96238158.140000001</v>
      </c>
      <c r="AB209" s="17">
        <f>-_xlfn.XLOOKUP($C209,TB_NG!$E:$E,TB_NG!AD:AD)</f>
        <v>-96238158.140000001</v>
      </c>
      <c r="AC209" s="17">
        <f>-_xlfn.XLOOKUP($C209,TB_NG!$E:$E,TB_NG!AE:AE)</f>
        <v>-96238158.140000001</v>
      </c>
      <c r="AD209" s="17">
        <f>-_xlfn.XLOOKUP($C209,TB_NG!$E:$E,TB_NG!AF:AF)</f>
        <v>-96238158.140000001</v>
      </c>
      <c r="AE209" s="17">
        <f>-_xlfn.XLOOKUP($C209,TB_NG!$E:$E,TB_NG!AG:AG)</f>
        <v>-96238158.140000001</v>
      </c>
      <c r="AF209" s="17">
        <f>-_xlfn.XLOOKUP($C209,TB_NG!$E:$E,TB_NG!AH:AH)</f>
        <v>0</v>
      </c>
      <c r="AG209" s="17">
        <f>-_xlfn.XLOOKUP($C209,TB_NG!$E:$E,TB_NG!AI:AI)</f>
        <v>0</v>
      </c>
      <c r="AH209" s="17">
        <f>-_xlfn.XLOOKUP($C209,TB_NG!$E:$E,TB_NG!AJ:AJ)</f>
        <v>0</v>
      </c>
      <c r="AI209" s="17">
        <f>-_xlfn.XLOOKUP($C209,TB_NG!$E:$E,TB_NG!AK:AK)</f>
        <v>0</v>
      </c>
      <c r="AJ209" s="17">
        <f>-_xlfn.XLOOKUP($C209,TB_NG!$E:$E,TB_NG!AL:AL)</f>
        <v>0</v>
      </c>
      <c r="AK209" s="17">
        <f>-_xlfn.XLOOKUP($C209,TB_NG!$E:$E,TB_NG!AM:AM)</f>
        <v>0</v>
      </c>
      <c r="AL209" s="17">
        <f>-_xlfn.XLOOKUP($C209,TB_NG!$E:$E,TB_NG!AN:AN)</f>
        <v>0</v>
      </c>
      <c r="AM209" s="17">
        <f>-_xlfn.XLOOKUP($C209,TB_NG!$E:$E,TB_NG!AO:AO)</f>
        <v>0</v>
      </c>
    </row>
    <row r="210" spans="2:39" outlineLevel="1" x14ac:dyDescent="0.2">
      <c r="B210" s="21">
        <f>_xlfn.XLOOKUP($C210,TB_NG!$E:$E,TB_NG!A:A)</f>
        <v>30040</v>
      </c>
      <c r="C210" s="44" t="s">
        <v>289</v>
      </c>
      <c r="D210" s="17">
        <f>-_xlfn.XLOOKUP($C210,TB_NG!$E:$E,TB_NG!F:F)</f>
        <v>100000000</v>
      </c>
      <c r="E210" s="17">
        <f>-_xlfn.XLOOKUP($C210,TB_NG!$E:$E,TB_NG!G:G)</f>
        <v>100000000</v>
      </c>
      <c r="F210" s="17">
        <f>-_xlfn.XLOOKUP($C210,TB_NG!$E:$E,TB_NG!H:H)</f>
        <v>107359858</v>
      </c>
      <c r="G210" s="17">
        <f>-_xlfn.XLOOKUP($C210,TB_NG!$E:$E,TB_NG!I:I)</f>
        <v>107359858</v>
      </c>
      <c r="H210" s="17">
        <f>-_xlfn.XLOOKUP($C210,TB_NG!$E:$E,TB_NG!J:J)</f>
        <v>107359858</v>
      </c>
      <c r="I210" s="17">
        <f>-_xlfn.XLOOKUP($C210,TB_NG!$E:$E,TB_NG!K:K)</f>
        <v>107359858</v>
      </c>
      <c r="J210" s="17">
        <f>-_xlfn.XLOOKUP($C210,TB_NG!$E:$E,TB_NG!L:L)</f>
        <v>107359858</v>
      </c>
      <c r="K210" s="17">
        <f>-_xlfn.XLOOKUP($C210,TB_NG!$E:$E,TB_NG!M:M)</f>
        <v>107359858</v>
      </c>
      <c r="L210" s="17">
        <f>-_xlfn.XLOOKUP($C210,TB_NG!$E:$E,TB_NG!N:N)</f>
        <v>107359858</v>
      </c>
      <c r="M210" s="17">
        <f>-_xlfn.XLOOKUP($C210,TB_NG!$E:$E,TB_NG!O:O)</f>
        <v>107359858</v>
      </c>
      <c r="N210" s="17">
        <f>-_xlfn.XLOOKUP($C210,TB_NG!$E:$E,TB_NG!P:P)</f>
        <v>107359858</v>
      </c>
      <c r="O210" s="17">
        <f>-_xlfn.XLOOKUP($C210,TB_NG!$E:$E,TB_NG!Q:Q)</f>
        <v>107359858</v>
      </c>
      <c r="P210" s="17">
        <f>-_xlfn.XLOOKUP($C210,TB_NG!$E:$E,TB_NG!R:R)</f>
        <v>107359858</v>
      </c>
      <c r="Q210" s="17">
        <f>-_xlfn.XLOOKUP($C210,TB_NG!$E:$E,TB_NG!S:S)</f>
        <v>107359858</v>
      </c>
      <c r="R210" s="17">
        <f>-_xlfn.XLOOKUP($C210,TB_NG!$E:$E,TB_NG!T:T)</f>
        <v>107359858</v>
      </c>
      <c r="S210" s="17">
        <f>-_xlfn.XLOOKUP($C210,TB_NG!$E:$E,TB_NG!U:U)</f>
        <v>107359858</v>
      </c>
      <c r="T210" s="17">
        <f>-_xlfn.XLOOKUP($C210,TB_NG!$E:$E,TB_NG!V:V)</f>
        <v>107359858</v>
      </c>
      <c r="U210" s="17">
        <f>-_xlfn.XLOOKUP($C210,TB_NG!$E:$E,TB_NG!W:W)</f>
        <v>107359858</v>
      </c>
      <c r="V210" s="17">
        <f>-_xlfn.XLOOKUP($C210,TB_NG!$E:$E,TB_NG!X:X)</f>
        <v>107359858</v>
      </c>
      <c r="W210" s="17">
        <f>-_xlfn.XLOOKUP($C210,TB_NG!$E:$E,TB_NG!Y:Y)</f>
        <v>107359858</v>
      </c>
      <c r="X210" s="17">
        <f>-_xlfn.XLOOKUP($C210,TB_NG!$E:$E,TB_NG!Z:Z)</f>
        <v>107359858</v>
      </c>
      <c r="Y210" s="17">
        <f>-_xlfn.XLOOKUP($C210,TB_NG!$E:$E,TB_NG!AA:AA)</f>
        <v>107359858</v>
      </c>
      <c r="Z210" s="17">
        <f>-_xlfn.XLOOKUP($C210,TB_NG!$E:$E,TB_NG!AB:AB)</f>
        <v>107359858</v>
      </c>
      <c r="AA210" s="17">
        <f>-_xlfn.XLOOKUP($C210,TB_NG!$E:$E,TB_NG!AC:AC)</f>
        <v>107359858</v>
      </c>
      <c r="AB210" s="17">
        <f>-_xlfn.XLOOKUP($C210,TB_NG!$E:$E,TB_NG!AD:AD)</f>
        <v>107359858</v>
      </c>
      <c r="AC210" s="17">
        <f>-_xlfn.XLOOKUP($C210,TB_NG!$E:$E,TB_NG!AE:AE)</f>
        <v>107359858</v>
      </c>
      <c r="AD210" s="17">
        <f>-_xlfn.XLOOKUP($C210,TB_NG!$E:$E,TB_NG!AF:AF)</f>
        <v>107359858</v>
      </c>
      <c r="AE210" s="17">
        <f>-_xlfn.XLOOKUP($C210,TB_NG!$E:$E,TB_NG!AG:AG)</f>
        <v>107359858</v>
      </c>
      <c r="AF210" s="17">
        <f>-_xlfn.XLOOKUP($C210,TB_NG!$E:$E,TB_NG!AH:AH)</f>
        <v>0</v>
      </c>
      <c r="AG210" s="17">
        <f>-_xlfn.XLOOKUP($C210,TB_NG!$E:$E,TB_NG!AI:AI)</f>
        <v>0</v>
      </c>
      <c r="AH210" s="17">
        <f>-_xlfn.XLOOKUP($C210,TB_NG!$E:$E,TB_NG!AJ:AJ)</f>
        <v>0</v>
      </c>
      <c r="AI210" s="17">
        <f>-_xlfn.XLOOKUP($C210,TB_NG!$E:$E,TB_NG!AK:AK)</f>
        <v>0</v>
      </c>
      <c r="AJ210" s="17">
        <f>-_xlfn.XLOOKUP($C210,TB_NG!$E:$E,TB_NG!AL:AL)</f>
        <v>0</v>
      </c>
      <c r="AK210" s="17">
        <f>-_xlfn.XLOOKUP($C210,TB_NG!$E:$E,TB_NG!AM:AM)</f>
        <v>0</v>
      </c>
      <c r="AL210" s="17">
        <f>-_xlfn.XLOOKUP($C210,TB_NG!$E:$E,TB_NG!AN:AN)</f>
        <v>0</v>
      </c>
      <c r="AM210" s="17">
        <f>-_xlfn.XLOOKUP($C210,TB_NG!$E:$E,TB_NG!AO:AO)</f>
        <v>0</v>
      </c>
    </row>
    <row r="211" spans="2:39" outlineLevel="1" x14ac:dyDescent="0.2">
      <c r="B211" s="21">
        <f>_xlfn.XLOOKUP($C211,TB_NG!$E:$E,TB_NG!A:A)</f>
        <v>30042</v>
      </c>
      <c r="C211" s="44" t="s">
        <v>290</v>
      </c>
      <c r="D211" s="17">
        <f>-_xlfn.XLOOKUP($C211,TB_NG!$E:$E,TB_NG!F:F)</f>
        <v>0</v>
      </c>
      <c r="E211" s="17">
        <f>-_xlfn.XLOOKUP($C211,TB_NG!$E:$E,TB_NG!G:G)</f>
        <v>0</v>
      </c>
      <c r="F211" s="17">
        <f>-_xlfn.XLOOKUP($C211,TB_NG!$E:$E,TB_NG!H:H)</f>
        <v>7359858</v>
      </c>
      <c r="G211" s="17">
        <f>-_xlfn.XLOOKUP($C211,TB_NG!$E:$E,TB_NG!I:I)</f>
        <v>7359858</v>
      </c>
      <c r="H211" s="17">
        <f>-_xlfn.XLOOKUP($C211,TB_NG!$E:$E,TB_NG!J:J)</f>
        <v>7359858</v>
      </c>
      <c r="I211" s="17">
        <f>-_xlfn.XLOOKUP($C211,TB_NG!$E:$E,TB_NG!K:K)</f>
        <v>7359858</v>
      </c>
      <c r="J211" s="17">
        <f>-_xlfn.XLOOKUP($C211,TB_NG!$E:$E,TB_NG!L:L)</f>
        <v>7359858</v>
      </c>
      <c r="K211" s="17">
        <f>-_xlfn.XLOOKUP($C211,TB_NG!$E:$E,TB_NG!M:M)</f>
        <v>7359858</v>
      </c>
      <c r="L211" s="17">
        <f>-_xlfn.XLOOKUP($C211,TB_NG!$E:$E,TB_NG!N:N)</f>
        <v>7359858</v>
      </c>
      <c r="M211" s="17">
        <f>-_xlfn.XLOOKUP($C211,TB_NG!$E:$E,TB_NG!O:O)</f>
        <v>7359858</v>
      </c>
      <c r="N211" s="17">
        <f>-_xlfn.XLOOKUP($C211,TB_NG!$E:$E,TB_NG!P:P)</f>
        <v>7359858</v>
      </c>
      <c r="O211" s="17">
        <f>-_xlfn.XLOOKUP($C211,TB_NG!$E:$E,TB_NG!Q:Q)</f>
        <v>7359858</v>
      </c>
      <c r="P211" s="17">
        <f>-_xlfn.XLOOKUP($C211,TB_NG!$E:$E,TB_NG!R:R)</f>
        <v>7359858</v>
      </c>
      <c r="Q211" s="17">
        <f>-_xlfn.XLOOKUP($C211,TB_NG!$E:$E,TB_NG!S:S)</f>
        <v>7359858</v>
      </c>
      <c r="R211" s="17">
        <f>-_xlfn.XLOOKUP($C211,TB_NG!$E:$E,TB_NG!T:T)</f>
        <v>7359858</v>
      </c>
      <c r="S211" s="17">
        <f>-_xlfn.XLOOKUP($C211,TB_NG!$E:$E,TB_NG!U:U)</f>
        <v>7359858</v>
      </c>
      <c r="T211" s="17">
        <f>-_xlfn.XLOOKUP($C211,TB_NG!$E:$E,TB_NG!V:V)</f>
        <v>7359858</v>
      </c>
      <c r="U211" s="17">
        <f>-_xlfn.XLOOKUP($C211,TB_NG!$E:$E,TB_NG!W:W)</f>
        <v>7359858</v>
      </c>
      <c r="V211" s="17">
        <f>-_xlfn.XLOOKUP($C211,TB_NG!$E:$E,TB_NG!X:X)</f>
        <v>7359858</v>
      </c>
      <c r="W211" s="17">
        <f>-_xlfn.XLOOKUP($C211,TB_NG!$E:$E,TB_NG!Y:Y)</f>
        <v>7359858</v>
      </c>
      <c r="X211" s="17">
        <f>-_xlfn.XLOOKUP($C211,TB_NG!$E:$E,TB_NG!Z:Z)</f>
        <v>7359858</v>
      </c>
      <c r="Y211" s="17">
        <f>-_xlfn.XLOOKUP($C211,TB_NG!$E:$E,TB_NG!AA:AA)</f>
        <v>7359858</v>
      </c>
      <c r="Z211" s="17">
        <f>-_xlfn.XLOOKUP($C211,TB_NG!$E:$E,TB_NG!AB:AB)</f>
        <v>7359858</v>
      </c>
      <c r="AA211" s="17">
        <f>-_xlfn.XLOOKUP($C211,TB_NG!$E:$E,TB_NG!AC:AC)</f>
        <v>7359858</v>
      </c>
      <c r="AB211" s="17">
        <f>-_xlfn.XLOOKUP($C211,TB_NG!$E:$E,TB_NG!AD:AD)</f>
        <v>7359858</v>
      </c>
      <c r="AC211" s="17">
        <f>-_xlfn.XLOOKUP($C211,TB_NG!$E:$E,TB_NG!AE:AE)</f>
        <v>7359858</v>
      </c>
      <c r="AD211" s="17">
        <f>-_xlfn.XLOOKUP($C211,TB_NG!$E:$E,TB_NG!AF:AF)</f>
        <v>7359858</v>
      </c>
      <c r="AE211" s="17">
        <f>-_xlfn.XLOOKUP($C211,TB_NG!$E:$E,TB_NG!AG:AG)</f>
        <v>7359858</v>
      </c>
      <c r="AF211" s="17">
        <f>-_xlfn.XLOOKUP($C211,TB_NG!$E:$E,TB_NG!AH:AH)</f>
        <v>0</v>
      </c>
      <c r="AG211" s="17">
        <f>-_xlfn.XLOOKUP($C211,TB_NG!$E:$E,TB_NG!AI:AI)</f>
        <v>0</v>
      </c>
      <c r="AH211" s="17">
        <f>-_xlfn.XLOOKUP($C211,TB_NG!$E:$E,TB_NG!AJ:AJ)</f>
        <v>0</v>
      </c>
      <c r="AI211" s="17">
        <f>-_xlfn.XLOOKUP($C211,TB_NG!$E:$E,TB_NG!AK:AK)</f>
        <v>0</v>
      </c>
      <c r="AJ211" s="17">
        <f>-_xlfn.XLOOKUP($C211,TB_NG!$E:$E,TB_NG!AL:AL)</f>
        <v>0</v>
      </c>
      <c r="AK211" s="17">
        <f>-_xlfn.XLOOKUP($C211,TB_NG!$E:$E,TB_NG!AM:AM)</f>
        <v>0</v>
      </c>
      <c r="AL211" s="17">
        <f>-_xlfn.XLOOKUP($C211,TB_NG!$E:$E,TB_NG!AN:AN)</f>
        <v>0</v>
      </c>
      <c r="AM211" s="17">
        <f>-_xlfn.XLOOKUP($C211,TB_NG!$E:$E,TB_NG!AO:AO)</f>
        <v>0</v>
      </c>
    </row>
    <row r="212" spans="2:39" outlineLevel="1" x14ac:dyDescent="0.2">
      <c r="B212" s="21">
        <f>_xlfn.XLOOKUP($C212,TB_NG!$E:$E,TB_NG!A:A)</f>
        <v>30043</v>
      </c>
      <c r="C212" s="44" t="s">
        <v>291</v>
      </c>
      <c r="D212" s="17">
        <f>-_xlfn.XLOOKUP($C212,TB_NG!$E:$E,TB_NG!F:F)</f>
        <v>0</v>
      </c>
      <c r="E212" s="17">
        <f>-_xlfn.XLOOKUP($C212,TB_NG!$E:$E,TB_NG!G:G)</f>
        <v>0</v>
      </c>
      <c r="F212" s="17">
        <f>-_xlfn.XLOOKUP($C212,TB_NG!$E:$E,TB_NG!H:H)</f>
        <v>114247251.5</v>
      </c>
      <c r="G212" s="17">
        <f>-_xlfn.XLOOKUP($C212,TB_NG!$E:$E,TB_NG!I:I)</f>
        <v>114297251.5</v>
      </c>
      <c r="H212" s="17">
        <f>-_xlfn.XLOOKUP($C212,TB_NG!$E:$E,TB_NG!J:J)</f>
        <v>114297251.5</v>
      </c>
      <c r="I212" s="17">
        <f>-_xlfn.XLOOKUP($C212,TB_NG!$E:$E,TB_NG!K:K)</f>
        <v>114297251.5</v>
      </c>
      <c r="J212" s="17">
        <f>-_xlfn.XLOOKUP($C212,TB_NG!$E:$E,TB_NG!L:L)</f>
        <v>114297251.5</v>
      </c>
      <c r="K212" s="17">
        <f>-_xlfn.XLOOKUP($C212,TB_NG!$E:$E,TB_NG!M:M)</f>
        <v>114297251.5</v>
      </c>
      <c r="L212" s="17">
        <f>-_xlfn.XLOOKUP($C212,TB_NG!$E:$E,TB_NG!N:N)</f>
        <v>114297251.5</v>
      </c>
      <c r="M212" s="17">
        <f>-_xlfn.XLOOKUP($C212,TB_NG!$E:$E,TB_NG!O:O)</f>
        <v>114297251.5</v>
      </c>
      <c r="N212" s="17">
        <f>-_xlfn.XLOOKUP($C212,TB_NG!$E:$E,TB_NG!P:P)</f>
        <v>114297251.5</v>
      </c>
      <c r="O212" s="17">
        <f>-_xlfn.XLOOKUP($C212,TB_NG!$E:$E,TB_NG!Q:Q)</f>
        <v>114297251.5</v>
      </c>
      <c r="P212" s="17">
        <f>-_xlfn.XLOOKUP($C212,TB_NG!$E:$E,TB_NG!R:R)</f>
        <v>114297251.5</v>
      </c>
      <c r="Q212" s="17">
        <f>-_xlfn.XLOOKUP($C212,TB_NG!$E:$E,TB_NG!S:S)</f>
        <v>114297251.5</v>
      </c>
      <c r="R212" s="17">
        <f>-_xlfn.XLOOKUP($C212,TB_NG!$E:$E,TB_NG!T:T)</f>
        <v>114297251.5</v>
      </c>
      <c r="S212" s="17">
        <f>-_xlfn.XLOOKUP($C212,TB_NG!$E:$E,TB_NG!U:U)</f>
        <v>114297251.5</v>
      </c>
      <c r="T212" s="17">
        <f>-_xlfn.XLOOKUP($C212,TB_NG!$E:$E,TB_NG!V:V)</f>
        <v>114297251.5</v>
      </c>
      <c r="U212" s="17">
        <f>-_xlfn.XLOOKUP($C212,TB_NG!$E:$E,TB_NG!W:W)</f>
        <v>114297251.5</v>
      </c>
      <c r="V212" s="17">
        <f>-_xlfn.XLOOKUP($C212,TB_NG!$E:$E,TB_NG!X:X)</f>
        <v>114297251.5</v>
      </c>
      <c r="W212" s="17">
        <f>-_xlfn.XLOOKUP($C212,TB_NG!$E:$E,TB_NG!Y:Y)</f>
        <v>114297251.5</v>
      </c>
      <c r="X212" s="17">
        <f>-_xlfn.XLOOKUP($C212,TB_NG!$E:$E,TB_NG!Z:Z)</f>
        <v>114297251.5</v>
      </c>
      <c r="Y212" s="17">
        <f>-_xlfn.XLOOKUP($C212,TB_NG!$E:$E,TB_NG!AA:AA)</f>
        <v>114297251.5</v>
      </c>
      <c r="Z212" s="17">
        <f>-_xlfn.XLOOKUP($C212,TB_NG!$E:$E,TB_NG!AB:AB)</f>
        <v>114297251.5</v>
      </c>
      <c r="AA212" s="17">
        <f>-_xlfn.XLOOKUP($C212,TB_NG!$E:$E,TB_NG!AC:AC)</f>
        <v>114297251.5</v>
      </c>
      <c r="AB212" s="17">
        <f>-_xlfn.XLOOKUP($C212,TB_NG!$E:$E,TB_NG!AD:AD)</f>
        <v>114297251.5</v>
      </c>
      <c r="AC212" s="17">
        <f>-_xlfn.XLOOKUP($C212,TB_NG!$E:$E,TB_NG!AE:AE)</f>
        <v>114297251.5</v>
      </c>
      <c r="AD212" s="17">
        <f>-_xlfn.XLOOKUP($C212,TB_NG!$E:$E,TB_NG!AF:AF)</f>
        <v>114297251.5</v>
      </c>
      <c r="AE212" s="17">
        <f>-_xlfn.XLOOKUP($C212,TB_NG!$E:$E,TB_NG!AG:AG)</f>
        <v>114297251.5</v>
      </c>
      <c r="AF212" s="17">
        <f>-_xlfn.XLOOKUP($C212,TB_NG!$E:$E,TB_NG!AH:AH)</f>
        <v>0</v>
      </c>
      <c r="AG212" s="17">
        <f>-_xlfn.XLOOKUP($C212,TB_NG!$E:$E,TB_NG!AI:AI)</f>
        <v>0</v>
      </c>
      <c r="AH212" s="17">
        <f>-_xlfn.XLOOKUP($C212,TB_NG!$E:$E,TB_NG!AJ:AJ)</f>
        <v>0</v>
      </c>
      <c r="AI212" s="17">
        <f>-_xlfn.XLOOKUP($C212,TB_NG!$E:$E,TB_NG!AK:AK)</f>
        <v>0</v>
      </c>
      <c r="AJ212" s="17">
        <f>-_xlfn.XLOOKUP($C212,TB_NG!$E:$E,TB_NG!AL:AL)</f>
        <v>0</v>
      </c>
      <c r="AK212" s="17">
        <f>-_xlfn.XLOOKUP($C212,TB_NG!$E:$E,TB_NG!AM:AM)</f>
        <v>0</v>
      </c>
      <c r="AL212" s="17">
        <f>-_xlfn.XLOOKUP($C212,TB_NG!$E:$E,TB_NG!AN:AN)</f>
        <v>0</v>
      </c>
      <c r="AM212" s="17">
        <f>-_xlfn.XLOOKUP($C212,TB_NG!$E:$E,TB_NG!AO:AO)</f>
        <v>0</v>
      </c>
    </row>
    <row r="213" spans="2:39" outlineLevel="1" x14ac:dyDescent="0.2">
      <c r="B213" s="21">
        <f>_xlfn.XLOOKUP($C213,TB_NG!$E:$E,TB_NG!A:A)</f>
        <v>30044</v>
      </c>
      <c r="C213" s="44" t="s">
        <v>292</v>
      </c>
      <c r="D213" s="17">
        <f>-_xlfn.XLOOKUP($C213,TB_NG!$E:$E,TB_NG!F:F)</f>
        <v>0</v>
      </c>
      <c r="E213" s="17">
        <f>-_xlfn.XLOOKUP($C213,TB_NG!$E:$E,TB_NG!G:G)</f>
        <v>0</v>
      </c>
      <c r="F213" s="17">
        <f>-_xlfn.XLOOKUP($C213,TB_NG!$E:$E,TB_NG!H:H)</f>
        <v>6600000000</v>
      </c>
      <c r="G213" s="17">
        <f>-_xlfn.XLOOKUP($C213,TB_NG!$E:$E,TB_NG!I:I)</f>
        <v>5855534400</v>
      </c>
      <c r="H213" s="17">
        <f>-_xlfn.XLOOKUP($C213,TB_NG!$E:$E,TB_NG!J:J)</f>
        <v>5997402600</v>
      </c>
      <c r="I213" s="17">
        <f>-_xlfn.XLOOKUP($C213,TB_NG!$E:$E,TB_NG!K:K)</f>
        <v>6722949600</v>
      </c>
      <c r="J213" s="17">
        <f>-_xlfn.XLOOKUP($C213,TB_NG!$E:$E,TB_NG!L:L)</f>
        <v>7132742400</v>
      </c>
      <c r="K213" s="17">
        <f>-_xlfn.XLOOKUP($C213,TB_NG!$E:$E,TB_NG!M:M)</f>
        <v>6964857000</v>
      </c>
      <c r="L213" s="17">
        <f>-_xlfn.XLOOKUP($C213,TB_NG!$E:$E,TB_NG!N:N)</f>
        <v>7305752400</v>
      </c>
      <c r="M213" s="17">
        <f>-_xlfn.XLOOKUP($C213,TB_NG!$E:$E,TB_NG!O:O)</f>
        <v>7197829200</v>
      </c>
      <c r="N213" s="17">
        <f>-_xlfn.XLOOKUP($C213,TB_NG!$E:$E,TB_NG!P:P)</f>
        <v>7371014400</v>
      </c>
      <c r="O213" s="17">
        <f>-_xlfn.XLOOKUP($C213,TB_NG!$E:$E,TB_NG!Q:Q)</f>
        <v>6573262400</v>
      </c>
      <c r="P213" s="17">
        <f>-_xlfn.XLOOKUP($C213,TB_NG!$E:$E,TB_NG!R:R)</f>
        <v>6533054000</v>
      </c>
      <c r="Q213" s="17">
        <f>-_xlfn.XLOOKUP($C213,TB_NG!$E:$E,TB_NG!S:S)</f>
        <v>6360000200</v>
      </c>
      <c r="R213" s="17">
        <f>-_xlfn.XLOOKUP($C213,TB_NG!$E:$E,TB_NG!T:T)</f>
        <v>6360000200</v>
      </c>
      <c r="S213" s="17">
        <f>-_xlfn.XLOOKUP($C213,TB_NG!$E:$E,TB_NG!U:U)</f>
        <v>6360000200</v>
      </c>
      <c r="T213" s="17">
        <f>-_xlfn.XLOOKUP($C213,TB_NG!$E:$E,TB_NG!V:V)</f>
        <v>6360000200</v>
      </c>
      <c r="U213" s="17">
        <f>-_xlfn.XLOOKUP($C213,TB_NG!$E:$E,TB_NG!W:W)</f>
        <v>6360000200</v>
      </c>
      <c r="V213" s="17">
        <f>-_xlfn.XLOOKUP($C213,TB_NG!$E:$E,TB_NG!X:X)</f>
        <v>6360000200</v>
      </c>
      <c r="W213" s="17">
        <f>-_xlfn.XLOOKUP($C213,TB_NG!$E:$E,TB_NG!Y:Y)</f>
        <v>6360000200</v>
      </c>
      <c r="X213" s="17">
        <f>-_xlfn.XLOOKUP($C213,TB_NG!$E:$E,TB_NG!Z:Z)</f>
        <v>6360000200</v>
      </c>
      <c r="Y213" s="17">
        <f>-_xlfn.XLOOKUP($C213,TB_NG!$E:$E,TB_NG!AA:AA)</f>
        <v>6360000200</v>
      </c>
      <c r="Z213" s="17">
        <f>-_xlfn.XLOOKUP($C213,TB_NG!$E:$E,TB_NG!AB:AB)</f>
        <v>6360000200</v>
      </c>
      <c r="AA213" s="17">
        <f>-_xlfn.XLOOKUP($C213,TB_NG!$E:$E,TB_NG!AC:AC)</f>
        <v>6573262400</v>
      </c>
      <c r="AB213" s="17">
        <f>-_xlfn.XLOOKUP($C213,TB_NG!$E:$E,TB_NG!AD:AD)</f>
        <v>6573262400</v>
      </c>
      <c r="AC213" s="17">
        <f>-_xlfn.XLOOKUP($C213,TB_NG!$E:$E,TB_NG!AE:AE)</f>
        <v>6573262400</v>
      </c>
      <c r="AD213" s="17">
        <f>-_xlfn.XLOOKUP($C213,TB_NG!$E:$E,TB_NG!AF:AF)</f>
        <v>6573262400</v>
      </c>
      <c r="AE213" s="17">
        <f>-_xlfn.XLOOKUP($C213,TB_NG!$E:$E,TB_NG!AG:AG)</f>
        <v>6573262400</v>
      </c>
      <c r="AF213" s="17">
        <f>-_xlfn.XLOOKUP($C213,TB_NG!$E:$E,TB_NG!AH:AH)</f>
        <v>0</v>
      </c>
      <c r="AG213" s="17">
        <f>-_xlfn.XLOOKUP($C213,TB_NG!$E:$E,TB_NG!AI:AI)</f>
        <v>0</v>
      </c>
      <c r="AH213" s="17">
        <f>-_xlfn.XLOOKUP($C213,TB_NG!$E:$E,TB_NG!AJ:AJ)</f>
        <v>0</v>
      </c>
      <c r="AI213" s="17">
        <f>-_xlfn.XLOOKUP($C213,TB_NG!$E:$E,TB_NG!AK:AK)</f>
        <v>0</v>
      </c>
      <c r="AJ213" s="17">
        <f>-_xlfn.XLOOKUP($C213,TB_NG!$E:$E,TB_NG!AL:AL)</f>
        <v>0</v>
      </c>
      <c r="AK213" s="17">
        <f>-_xlfn.XLOOKUP($C213,TB_NG!$E:$E,TB_NG!AM:AM)</f>
        <v>0</v>
      </c>
      <c r="AL213" s="17">
        <f>-_xlfn.XLOOKUP($C213,TB_NG!$E:$E,TB_NG!AN:AN)</f>
        <v>0</v>
      </c>
      <c r="AM213" s="17">
        <f>-_xlfn.XLOOKUP($C213,TB_NG!$E:$E,TB_NG!AO:AO)</f>
        <v>0</v>
      </c>
    </row>
    <row r="214" spans="2:39" outlineLevel="1" x14ac:dyDescent="0.2">
      <c r="B214" s="21"/>
      <c r="C214" s="44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32"/>
    </row>
    <row r="215" spans="2:39" x14ac:dyDescent="0.2">
      <c r="B215" s="21"/>
      <c r="C215" s="22" t="s">
        <v>61</v>
      </c>
      <c r="D215" s="23">
        <f>SUM(D209:D214)</f>
        <v>3761841.8599999994</v>
      </c>
      <c r="E215" s="23">
        <f t="shared" ref="E215:AM215" si="21">SUM(E209:E213)</f>
        <v>3761841.8599999994</v>
      </c>
      <c r="F215" s="23">
        <f t="shared" si="21"/>
        <v>6732728809.3599997</v>
      </c>
      <c r="G215" s="23">
        <f t="shared" si="21"/>
        <v>5988313209.3599997</v>
      </c>
      <c r="H215" s="23">
        <f t="shared" si="21"/>
        <v>6130181409.3599997</v>
      </c>
      <c r="I215" s="23">
        <f t="shared" si="21"/>
        <v>6855728409.3599997</v>
      </c>
      <c r="J215" s="23">
        <f t="shared" si="21"/>
        <v>7265521209.3599997</v>
      </c>
      <c r="K215" s="23">
        <f t="shared" si="21"/>
        <v>7097635809.3599997</v>
      </c>
      <c r="L215" s="23">
        <f t="shared" si="21"/>
        <v>7438531209.3599997</v>
      </c>
      <c r="M215" s="23">
        <f t="shared" si="21"/>
        <v>7330608009.3599997</v>
      </c>
      <c r="N215" s="23">
        <f t="shared" si="21"/>
        <v>7503793209.3599997</v>
      </c>
      <c r="O215" s="23">
        <f t="shared" si="21"/>
        <v>6706041209.3599997</v>
      </c>
      <c r="P215" s="23">
        <f t="shared" si="21"/>
        <v>6665832809.3599997</v>
      </c>
      <c r="Q215" s="23">
        <f t="shared" si="21"/>
        <v>6492779009.3599997</v>
      </c>
      <c r="R215" s="23">
        <f t="shared" si="21"/>
        <v>6492779009.3599997</v>
      </c>
      <c r="S215" s="23">
        <f t="shared" si="21"/>
        <v>6492779009.3599997</v>
      </c>
      <c r="T215" s="23">
        <f t="shared" si="21"/>
        <v>6492779009.3599997</v>
      </c>
      <c r="U215" s="23">
        <f t="shared" si="21"/>
        <v>6492779009.3599997</v>
      </c>
      <c r="V215" s="23">
        <f>SUM(V209:V213)</f>
        <v>6492779009.3599997</v>
      </c>
      <c r="W215" s="23">
        <f t="shared" si="21"/>
        <v>6492779009.3599997</v>
      </c>
      <c r="X215" s="23">
        <f t="shared" si="21"/>
        <v>6492779009.3599997</v>
      </c>
      <c r="Y215" s="23">
        <f t="shared" si="21"/>
        <v>6492779009.3599997</v>
      </c>
      <c r="Z215" s="23">
        <f t="shared" si="21"/>
        <v>6492779009.3599997</v>
      </c>
      <c r="AA215" s="23">
        <f t="shared" si="21"/>
        <v>6706041209.3599997</v>
      </c>
      <c r="AB215" s="23">
        <f t="shared" si="21"/>
        <v>6706041209.3599997</v>
      </c>
      <c r="AC215" s="23">
        <f t="shared" si="21"/>
        <v>6706041209.3599997</v>
      </c>
      <c r="AD215" s="23">
        <f t="shared" si="21"/>
        <v>6706041209.3599997</v>
      </c>
      <c r="AE215" s="23">
        <f t="shared" si="21"/>
        <v>6706041209.3599997</v>
      </c>
      <c r="AF215" s="23">
        <f t="shared" si="21"/>
        <v>0</v>
      </c>
      <c r="AG215" s="23">
        <f t="shared" si="21"/>
        <v>0</v>
      </c>
      <c r="AH215" s="23">
        <f t="shared" si="21"/>
        <v>0</v>
      </c>
      <c r="AI215" s="23">
        <f t="shared" si="21"/>
        <v>0</v>
      </c>
      <c r="AJ215" s="23">
        <f t="shared" si="21"/>
        <v>0</v>
      </c>
      <c r="AK215" s="23">
        <f t="shared" si="21"/>
        <v>0</v>
      </c>
      <c r="AL215" s="23">
        <f t="shared" si="21"/>
        <v>0</v>
      </c>
      <c r="AM215" s="23">
        <f t="shared" si="21"/>
        <v>0</v>
      </c>
    </row>
    <row r="216" spans="2:39" x14ac:dyDescent="0.2">
      <c r="B216" s="21"/>
      <c r="C216" s="16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8"/>
    </row>
    <row r="217" spans="2:39" outlineLevel="1" x14ac:dyDescent="0.2">
      <c r="B217" s="21"/>
      <c r="C217" s="20" t="s">
        <v>293</v>
      </c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8"/>
    </row>
    <row r="218" spans="2:39" outlineLevel="1" x14ac:dyDescent="0.2">
      <c r="B218" s="21">
        <f>_xlfn.XLOOKUP($C218,TB_NG!$E:$E,TB_NG!A:A)</f>
        <v>30035</v>
      </c>
      <c r="C218" s="16" t="s">
        <v>294</v>
      </c>
      <c r="D218" s="17">
        <f>-_xlfn.XLOOKUP($C218,TB_NG!$E:$E,TB_NG!F:F)</f>
        <v>-101787277.34999999</v>
      </c>
      <c r="E218" s="17">
        <f>-_xlfn.XLOOKUP($C218,TB_NG!$E:$E,TB_NG!G:G)</f>
        <v>-101787277.34999999</v>
      </c>
      <c r="F218" s="17">
        <f>-_xlfn.XLOOKUP($C218,TB_NG!$E:$E,TB_NG!H:H)</f>
        <v>-101787277.34999999</v>
      </c>
      <c r="G218" s="17">
        <f>-_xlfn.XLOOKUP($C218,TB_NG!$E:$E,TB_NG!I:I)</f>
        <v>-101787277.34999999</v>
      </c>
      <c r="H218" s="17">
        <f>-_xlfn.XLOOKUP($C218,TB_NG!$E:$E,TB_NG!J:J)</f>
        <v>-101787277.34999999</v>
      </c>
      <c r="I218" s="17">
        <f>-_xlfn.XLOOKUP($C218,TB_NG!$E:$E,TB_NG!K:K)</f>
        <v>-101787277.34999999</v>
      </c>
      <c r="J218" s="17">
        <f>-_xlfn.XLOOKUP($C218,TB_NG!$E:$E,TB_NG!L:L)</f>
        <v>-101787277.34999999</v>
      </c>
      <c r="K218" s="17">
        <f>-_xlfn.XLOOKUP($C218,TB_NG!$E:$E,TB_NG!M:M)</f>
        <v>-101787277.34999999</v>
      </c>
      <c r="L218" s="17">
        <f>-_xlfn.XLOOKUP($C218,TB_NG!$E:$E,TB_NG!N:N)</f>
        <v>-101787277.34999999</v>
      </c>
      <c r="M218" s="17">
        <f>-_xlfn.XLOOKUP($C218,TB_NG!$E:$E,TB_NG!O:O)</f>
        <v>-101787277.34999999</v>
      </c>
      <c r="N218" s="17">
        <f>-_xlfn.XLOOKUP($C218,TB_NG!$E:$E,TB_NG!P:P)</f>
        <v>-101787277.34999999</v>
      </c>
      <c r="O218" s="17">
        <f>-_xlfn.XLOOKUP($C218,TB_NG!$E:$E,TB_NG!Q:Q)</f>
        <v>-101787277.34999999</v>
      </c>
      <c r="P218" s="17">
        <f>-_xlfn.XLOOKUP($C218,TB_NG!$E:$E,TB_NG!R:R)</f>
        <v>-101787277.34999999</v>
      </c>
      <c r="Q218" s="17">
        <f>-_xlfn.XLOOKUP($C218,TB_NG!$E:$E,TB_NG!S:S)</f>
        <v>-101787277.34999999</v>
      </c>
      <c r="R218" s="17">
        <f>-_xlfn.XLOOKUP($C218,TB_NG!$E:$E,TB_NG!T:T)</f>
        <v>-101787277.34999999</v>
      </c>
      <c r="S218" s="17">
        <f>-_xlfn.XLOOKUP($C218,TB_NG!$E:$E,TB_NG!U:U)</f>
        <v>-101787277.34999999</v>
      </c>
      <c r="T218" s="17">
        <f>-_xlfn.XLOOKUP($C218,TB_NG!$E:$E,TB_NG!V:V)</f>
        <v>-101787277.34999999</v>
      </c>
      <c r="U218" s="17">
        <f>-_xlfn.XLOOKUP($C218,TB_NG!$E:$E,TB_NG!W:W)</f>
        <v>-101787277.34999999</v>
      </c>
      <c r="V218" s="17">
        <f>-_xlfn.XLOOKUP($C218,TB_NG!$E:$E,TB_NG!X:X)</f>
        <v>-101787277.34999999</v>
      </c>
      <c r="W218" s="17">
        <f>-_xlfn.XLOOKUP($C218,TB_NG!$E:$E,TB_NG!Y:Y)</f>
        <v>-101787277.34999999</v>
      </c>
      <c r="X218" s="17">
        <f>-_xlfn.XLOOKUP($C218,TB_NG!$E:$E,TB_NG!Z:Z)</f>
        <v>-101787277.34999999</v>
      </c>
      <c r="Y218" s="17">
        <f>-_xlfn.XLOOKUP($C218,TB_NG!$E:$E,TB_NG!AA:AA)</f>
        <v>-101787277.34999999</v>
      </c>
      <c r="Z218" s="17">
        <f>-_xlfn.XLOOKUP($C218,TB_NG!$E:$E,TB_NG!AB:AB)</f>
        <v>-101787277.34999999</v>
      </c>
      <c r="AA218" s="17">
        <f>-_xlfn.XLOOKUP($C218,TB_NG!$E:$E,TB_NG!AC:AC)</f>
        <v>-101787277.34999999</v>
      </c>
      <c r="AB218" s="17">
        <f>-_xlfn.XLOOKUP($C218,TB_NG!$E:$E,TB_NG!AD:AD)</f>
        <v>-98964248.609999999</v>
      </c>
      <c r="AC218" s="17">
        <f>-_xlfn.XLOOKUP($C218,TB_NG!$E:$E,TB_NG!AE:AE)</f>
        <v>-98964248.609999999</v>
      </c>
      <c r="AD218" s="17">
        <f>-_xlfn.XLOOKUP($C218,TB_NG!$E:$E,TB_NG!AF:AF)</f>
        <v>-98964248.609999999</v>
      </c>
      <c r="AE218" s="17">
        <f>-_xlfn.XLOOKUP($C218,TB_NG!$E:$E,TB_NG!AG:AG)</f>
        <v>-98964248.609999999</v>
      </c>
      <c r="AF218" s="17">
        <f>-_xlfn.XLOOKUP($C218,TB_NG!$E:$E,TB_NG!AH:AH)</f>
        <v>0</v>
      </c>
      <c r="AG218" s="17">
        <f>-_xlfn.XLOOKUP($C218,TB_NG!$E:$E,TB_NG!AI:AI)</f>
        <v>0</v>
      </c>
      <c r="AH218" s="17">
        <f>-_xlfn.XLOOKUP($C218,TB_NG!$E:$E,TB_NG!AJ:AJ)</f>
        <v>0</v>
      </c>
      <c r="AI218" s="17">
        <f>-_xlfn.XLOOKUP($C218,TB_NG!$E:$E,TB_NG!AK:AK)</f>
        <v>0</v>
      </c>
      <c r="AJ218" s="17">
        <f>-_xlfn.XLOOKUP($C218,TB_NG!$E:$E,TB_NG!AL:AL)</f>
        <v>0</v>
      </c>
      <c r="AK218" s="17">
        <f>-_xlfn.XLOOKUP($C218,TB_NG!$E:$E,TB_NG!AM:AM)</f>
        <v>0</v>
      </c>
      <c r="AL218" s="17">
        <f>-_xlfn.XLOOKUP($C218,TB_NG!$E:$E,TB_NG!AN:AN)</f>
        <v>0</v>
      </c>
      <c r="AM218" s="17">
        <f>-_xlfn.XLOOKUP($C218,TB_NG!$E:$E,TB_NG!AO:AO)</f>
        <v>0</v>
      </c>
    </row>
    <row r="219" spans="2:39" outlineLevel="1" x14ac:dyDescent="0.2">
      <c r="B219" s="21">
        <f>_xlfn.XLOOKUP($C219,TB_NG!$E:$E,TB_NG!A:A)</f>
        <v>32000</v>
      </c>
      <c r="C219" s="16" t="s">
        <v>63</v>
      </c>
      <c r="D219" s="17">
        <f>-_xlfn.XLOOKUP($C219,TB_NG!$E:$E,TB_NG!F:F)</f>
        <v>1111090970.6300001</v>
      </c>
      <c r="E219" s="17">
        <f>-_xlfn.XLOOKUP($C219,TB_NG!$E:$E,TB_NG!G:G)</f>
        <v>1111090970.6300001</v>
      </c>
      <c r="F219" s="17">
        <f>-_xlfn.XLOOKUP($C219,TB_NG!$E:$E,TB_NG!H:H)</f>
        <v>1111090970.6300001</v>
      </c>
      <c r="G219" s="17">
        <f>-_xlfn.XLOOKUP($C219,TB_NG!$E:$E,TB_NG!I:I)</f>
        <v>1111090970.6300001</v>
      </c>
      <c r="H219" s="17">
        <f>-_xlfn.XLOOKUP($C219,TB_NG!$E:$E,TB_NG!J:J)</f>
        <v>1111090970.6300001</v>
      </c>
      <c r="I219" s="17">
        <f>-_xlfn.XLOOKUP($C219,TB_NG!$E:$E,TB_NG!K:K)</f>
        <v>1111090970.6300001</v>
      </c>
      <c r="J219" s="17">
        <f>-_xlfn.XLOOKUP($C219,TB_NG!$E:$E,TB_NG!L:L)</f>
        <v>1111090970.6300001</v>
      </c>
      <c r="K219" s="17">
        <f>-_xlfn.XLOOKUP($C219,TB_NG!$E:$E,TB_NG!M:M)</f>
        <v>1111090970.6300001</v>
      </c>
      <c r="L219" s="17">
        <f>-_xlfn.XLOOKUP($C219,TB_NG!$E:$E,TB_NG!N:N)</f>
        <v>1111090970.6300001</v>
      </c>
      <c r="M219" s="17">
        <f>-_xlfn.XLOOKUP($C219,TB_NG!$E:$E,TB_NG!O:O)</f>
        <v>1111090970.6300001</v>
      </c>
      <c r="N219" s="17">
        <f>-_xlfn.XLOOKUP($C219,TB_NG!$E:$E,TB_NG!P:P)</f>
        <v>1111090970.6300001</v>
      </c>
      <c r="O219" s="17">
        <f>-_xlfn.XLOOKUP($C219,TB_NG!$E:$E,TB_NG!Q:Q)</f>
        <v>1111090970.6300001</v>
      </c>
      <c r="P219" s="17">
        <f>-_xlfn.XLOOKUP($C219,TB_NG!$E:$E,TB_NG!R:R)</f>
        <v>1118694724.28</v>
      </c>
      <c r="Q219" s="17">
        <f>-_xlfn.XLOOKUP($C219,TB_NG!$E:$E,TB_NG!S:S)</f>
        <v>1118694724.28</v>
      </c>
      <c r="R219" s="17">
        <f>-_xlfn.XLOOKUP($C219,TB_NG!$E:$E,TB_NG!T:T)</f>
        <v>1118694724.28</v>
      </c>
      <c r="S219" s="17">
        <f>-_xlfn.XLOOKUP($C219,TB_NG!$E:$E,TB_NG!U:U)</f>
        <v>1118694724.28</v>
      </c>
      <c r="T219" s="17">
        <f>-_xlfn.XLOOKUP($C219,TB_NG!$E:$E,TB_NG!V:V)</f>
        <v>1118694724.28</v>
      </c>
      <c r="U219" s="17">
        <f>-_xlfn.XLOOKUP($C219,TB_NG!$E:$E,TB_NG!W:W)</f>
        <v>1118694724.28</v>
      </c>
      <c r="V219" s="17">
        <f>-_xlfn.XLOOKUP($C219,TB_NG!$E:$E,TB_NG!X:X)</f>
        <v>1118694724.28</v>
      </c>
      <c r="W219" s="17">
        <f>-_xlfn.XLOOKUP($C219,TB_NG!$E:$E,TB_NG!Y:Y)</f>
        <v>1121517753.3699999</v>
      </c>
      <c r="X219" s="17">
        <f>-_xlfn.XLOOKUP($C219,TB_NG!$E:$E,TB_NG!Z:Z)</f>
        <v>1121517753.3699999</v>
      </c>
      <c r="Y219" s="17">
        <f>-_xlfn.XLOOKUP($C219,TB_NG!$E:$E,TB_NG!AA:AA)</f>
        <v>1121517753.3699999</v>
      </c>
      <c r="Z219" s="17">
        <f>-_xlfn.XLOOKUP($C219,TB_NG!$E:$E,TB_NG!AB:AB)</f>
        <v>1121517753.3699999</v>
      </c>
      <c r="AA219" s="17">
        <f>-_xlfn.XLOOKUP($C219,TB_NG!$E:$E,TB_NG!AC:AC)</f>
        <v>1121517753.3699999</v>
      </c>
      <c r="AB219" s="17">
        <f>-_xlfn.XLOOKUP($C219,TB_NG!$E:$E,TB_NG!AD:AD)</f>
        <v>-628329247.54999995</v>
      </c>
      <c r="AC219" s="17">
        <f>-_xlfn.XLOOKUP($C219,TB_NG!$E:$E,TB_NG!AE:AE)</f>
        <v>-628329247.54999995</v>
      </c>
      <c r="AD219" s="17">
        <f>-_xlfn.XLOOKUP($C219,TB_NG!$E:$E,TB_NG!AF:AF)</f>
        <v>-628329247.54999995</v>
      </c>
      <c r="AE219" s="17">
        <f>-_xlfn.XLOOKUP($C219,TB_NG!$E:$E,TB_NG!AG:AG)</f>
        <v>-628329247.54999995</v>
      </c>
      <c r="AF219" s="17">
        <f>-_xlfn.XLOOKUP($C219,TB_NG!$E:$E,TB_NG!AH:AH)</f>
        <v>0</v>
      </c>
      <c r="AG219" s="17">
        <f>-_xlfn.XLOOKUP($C219,TB_NG!$E:$E,TB_NG!AI:AI)</f>
        <v>0</v>
      </c>
      <c r="AH219" s="17">
        <f>-_xlfn.XLOOKUP($C219,TB_NG!$E:$E,TB_NG!AJ:AJ)</f>
        <v>0</v>
      </c>
      <c r="AI219" s="17">
        <f>-_xlfn.XLOOKUP($C219,TB_NG!$E:$E,TB_NG!AK:AK)</f>
        <v>0</v>
      </c>
      <c r="AJ219" s="17">
        <f>-_xlfn.XLOOKUP($C219,TB_NG!$E:$E,TB_NG!AL:AL)</f>
        <v>0</v>
      </c>
      <c r="AK219" s="17">
        <f>-_xlfn.XLOOKUP($C219,TB_NG!$E:$E,TB_NG!AM:AM)</f>
        <v>0</v>
      </c>
      <c r="AL219" s="17">
        <f>-_xlfn.XLOOKUP($C219,TB_NG!$E:$E,TB_NG!AN:AN)</f>
        <v>0</v>
      </c>
      <c r="AM219" s="17">
        <f>-_xlfn.XLOOKUP($C219,TB_NG!$E:$E,TB_NG!AO:AO)</f>
        <v>0</v>
      </c>
    </row>
    <row r="220" spans="2:39" outlineLevel="1" x14ac:dyDescent="0.2">
      <c r="B220" s="21">
        <f>_xlfn.XLOOKUP($C220,TB_NG!$E:$E,TB_NG!A:A)</f>
        <v>33000</v>
      </c>
      <c r="C220" s="16" t="s">
        <v>295</v>
      </c>
      <c r="D220" s="17">
        <f>-_xlfn.XLOOKUP($C220,TB_NG!$E:$E,TB_NG!F:F)</f>
        <v>0</v>
      </c>
      <c r="E220" s="17">
        <f>-_xlfn.XLOOKUP($C220,TB_NG!$E:$E,TB_NG!G:G)</f>
        <v>0</v>
      </c>
      <c r="F220" s="17">
        <f>-_xlfn.XLOOKUP($C220,TB_NG!$E:$E,TB_NG!H:H)</f>
        <v>0</v>
      </c>
      <c r="G220" s="17">
        <f>-_xlfn.XLOOKUP($C220,TB_NG!$E:$E,TB_NG!I:I)</f>
        <v>0</v>
      </c>
      <c r="H220" s="17">
        <f>-_xlfn.XLOOKUP($C220,TB_NG!$E:$E,TB_NG!J:J)</f>
        <v>0</v>
      </c>
      <c r="I220" s="17">
        <f>-_xlfn.XLOOKUP($C220,TB_NG!$E:$E,TB_NG!K:K)</f>
        <v>0</v>
      </c>
      <c r="J220" s="17">
        <f>-_xlfn.XLOOKUP($C220,TB_NG!$E:$E,TB_NG!L:L)</f>
        <v>0</v>
      </c>
      <c r="K220" s="17">
        <f>-_xlfn.XLOOKUP($C220,TB_NG!$E:$E,TB_NG!M:M)</f>
        <v>0</v>
      </c>
      <c r="L220" s="17">
        <f>-_xlfn.XLOOKUP($C220,TB_NG!$E:$E,TB_NG!N:N)</f>
        <v>0</v>
      </c>
      <c r="M220" s="17">
        <f>-_xlfn.XLOOKUP($C220,TB_NG!$E:$E,TB_NG!O:O)</f>
        <v>0</v>
      </c>
      <c r="N220" s="17">
        <f>-_xlfn.XLOOKUP($C220,TB_NG!$E:$E,TB_NG!P:P)</f>
        <v>0</v>
      </c>
      <c r="O220" s="17">
        <f>-_xlfn.XLOOKUP($C220,TB_NG!$E:$E,TB_NG!Q:Q)</f>
        <v>0</v>
      </c>
      <c r="P220" s="17">
        <f>-_xlfn.XLOOKUP($C220,TB_NG!$E:$E,TB_NG!R:R)</f>
        <v>0</v>
      </c>
      <c r="Q220" s="17">
        <f>-_xlfn.XLOOKUP($C220,TB_NG!$E:$E,TB_NG!S:S)</f>
        <v>0</v>
      </c>
      <c r="R220" s="17">
        <f>-_xlfn.XLOOKUP($C220,TB_NG!$E:$E,TB_NG!T:T)</f>
        <v>0</v>
      </c>
      <c r="S220" s="17">
        <f>-_xlfn.XLOOKUP($C220,TB_NG!$E:$E,TB_NG!U:U)</f>
        <v>0</v>
      </c>
      <c r="T220" s="17">
        <f>-_xlfn.XLOOKUP($C220,TB_NG!$E:$E,TB_NG!V:V)</f>
        <v>0</v>
      </c>
      <c r="U220" s="17">
        <f>-_xlfn.XLOOKUP($C220,TB_NG!$E:$E,TB_NG!W:W)</f>
        <v>0</v>
      </c>
      <c r="V220" s="17">
        <f>-_xlfn.XLOOKUP($C220,TB_NG!$E:$E,TB_NG!X:X)</f>
        <v>0</v>
      </c>
      <c r="W220" s="17">
        <f>-_xlfn.XLOOKUP($C220,TB_NG!$E:$E,TB_NG!Y:Y)</f>
        <v>0</v>
      </c>
      <c r="X220" s="17">
        <f>-_xlfn.XLOOKUP($C220,TB_NG!$E:$E,TB_NG!Z:Z)</f>
        <v>0</v>
      </c>
      <c r="Y220" s="17">
        <f>-_xlfn.XLOOKUP($C220,TB_NG!$E:$E,TB_NG!AA:AA)</f>
        <v>0</v>
      </c>
      <c r="Z220" s="17">
        <f>-_xlfn.XLOOKUP($C220,TB_NG!$E:$E,TB_NG!AB:AB)</f>
        <v>0</v>
      </c>
      <c r="AA220" s="17">
        <f>-_xlfn.XLOOKUP($C220,TB_NG!$E:$E,TB_NG!AC:AC)</f>
        <v>0</v>
      </c>
      <c r="AB220" s="17">
        <f>-_xlfn.XLOOKUP($C220,TB_NG!$E:$E,TB_NG!AD:AD)</f>
        <v>0</v>
      </c>
      <c r="AC220" s="17">
        <f>-_xlfn.XLOOKUP($C220,TB_NG!$E:$E,TB_NG!AE:AE)</f>
        <v>0</v>
      </c>
      <c r="AD220" s="17">
        <f>-_xlfn.XLOOKUP($C220,TB_NG!$E:$E,TB_NG!AF:AF)</f>
        <v>0</v>
      </c>
      <c r="AE220" s="17">
        <f>-_xlfn.XLOOKUP($C220,TB_NG!$E:$E,TB_NG!AG:AG)</f>
        <v>0</v>
      </c>
      <c r="AF220" s="17">
        <f>-_xlfn.XLOOKUP($C220,TB_NG!$E:$E,TB_NG!AH:AH)</f>
        <v>0</v>
      </c>
      <c r="AG220" s="17">
        <f>-_xlfn.XLOOKUP($C220,TB_NG!$E:$E,TB_NG!AI:AI)</f>
        <v>0</v>
      </c>
      <c r="AH220" s="17">
        <f>-_xlfn.XLOOKUP($C220,TB_NG!$E:$E,TB_NG!AJ:AJ)</f>
        <v>0</v>
      </c>
      <c r="AI220" s="17">
        <f>-_xlfn.XLOOKUP($C220,TB_NG!$E:$E,TB_NG!AK:AK)</f>
        <v>0</v>
      </c>
      <c r="AJ220" s="17">
        <f>-_xlfn.XLOOKUP($C220,TB_NG!$E:$E,TB_NG!AL:AL)</f>
        <v>0</v>
      </c>
      <c r="AK220" s="17">
        <f>-_xlfn.XLOOKUP($C220,TB_NG!$E:$E,TB_NG!AM:AM)</f>
        <v>0</v>
      </c>
      <c r="AL220" s="17">
        <f>-_xlfn.XLOOKUP($C220,TB_NG!$E:$E,TB_NG!AN:AN)</f>
        <v>0</v>
      </c>
      <c r="AM220" s="17">
        <f>-_xlfn.XLOOKUP($C220,TB_NG!$E:$E,TB_NG!AO:AO)</f>
        <v>0</v>
      </c>
    </row>
    <row r="221" spans="2:39" outlineLevel="1" x14ac:dyDescent="0.2">
      <c r="B221" s="21"/>
      <c r="C221" s="16" t="s">
        <v>296</v>
      </c>
      <c r="D221" s="17">
        <f>TB_NG!F569</f>
        <v>-18463052.15999943</v>
      </c>
      <c r="E221" s="17">
        <f>TB_NG!G569</f>
        <v>296379266.48000073</v>
      </c>
      <c r="F221" s="17">
        <f>TB_NG!H569</f>
        <v>558627855.53000307</v>
      </c>
      <c r="G221" s="17">
        <f>TB_NG!I569</f>
        <v>802727971.65999818</v>
      </c>
      <c r="H221" s="17">
        <f>TB_NG!J569</f>
        <v>595719087.99000382</v>
      </c>
      <c r="I221" s="17">
        <f>TB_NG!K569</f>
        <v>506633539.14000052</v>
      </c>
      <c r="J221" s="17">
        <f>TB_NG!L569</f>
        <v>467214233.18000239</v>
      </c>
      <c r="K221" s="17">
        <f>TB_NG!M569</f>
        <v>544038586.70000076</v>
      </c>
      <c r="L221" s="17">
        <f>TB_NG!N569</f>
        <v>522625022.81999767</v>
      </c>
      <c r="M221" s="17">
        <f>TB_NG!O569</f>
        <v>255196668.03000233</v>
      </c>
      <c r="N221" s="17">
        <f>TB_NG!P569</f>
        <v>20706197.030000266</v>
      </c>
      <c r="O221" s="17">
        <f>TB_NG!Q569</f>
        <v>7603753.6500028595</v>
      </c>
      <c r="P221" s="17">
        <f>TB_NG!R569</f>
        <v>-17275109.189999592</v>
      </c>
      <c r="Q221" s="17">
        <f>TB_NG!S569</f>
        <v>-65503674.509998485</v>
      </c>
      <c r="R221" s="17">
        <f>TB_NG!T569</f>
        <v>-66805454.66000016</v>
      </c>
      <c r="S221" s="17">
        <f>TB_NG!U569</f>
        <v>46330188.300000682</v>
      </c>
      <c r="T221" s="17">
        <f>TB_NG!V569</f>
        <v>-364310148.5399996</v>
      </c>
      <c r="U221" s="17">
        <f>TB_NG!W569</f>
        <v>-612865158.29000056</v>
      </c>
      <c r="V221" s="17">
        <f>TB_NG!X569</f>
        <v>-777061392.51000166</v>
      </c>
      <c r="W221" s="17">
        <f>TB_NG!Y569</f>
        <v>-814799007.99999964</v>
      </c>
      <c r="X221" s="17">
        <f>TB_NG!Z569</f>
        <v>-950146312.87000084</v>
      </c>
      <c r="Y221" s="17">
        <f>TB_NG!AA569</f>
        <v>-720813962.60999811</v>
      </c>
      <c r="Z221" s="17">
        <f>TB_NG!AB569</f>
        <v>-757165993.05999923</v>
      </c>
      <c r="AA221" s="17">
        <f>TB_NG!AC569</f>
        <v>-1711724018.9499965</v>
      </c>
      <c r="AB221" s="17">
        <f>TB_NG!AD569</f>
        <v>257254587.50999847</v>
      </c>
      <c r="AC221" s="17">
        <f>TB_NG!AE569</f>
        <v>608445106.06999874</v>
      </c>
      <c r="AD221" s="17">
        <f>TB_NG!AF569</f>
        <v>743329113.05999935</v>
      </c>
      <c r="AE221" s="17">
        <f>TB_NG!AG569</f>
        <v>828426884.92000163</v>
      </c>
      <c r="AF221" s="17">
        <f>TB_NG!AH569</f>
        <v>0</v>
      </c>
      <c r="AG221" s="17">
        <f>TB_NG!AI569</f>
        <v>0</v>
      </c>
      <c r="AH221" s="17">
        <f>TB_NG!AJ569</f>
        <v>0</v>
      </c>
      <c r="AI221" s="17">
        <f>TB_NG!AK569</f>
        <v>0</v>
      </c>
      <c r="AJ221" s="17">
        <f>TB_NG!AL569</f>
        <v>0</v>
      </c>
      <c r="AK221" s="17">
        <f>TB_NG!AM569</f>
        <v>0</v>
      </c>
      <c r="AL221" s="17">
        <f>TB_NG!AN569</f>
        <v>0</v>
      </c>
      <c r="AM221" s="17">
        <f>TB_NG!AO569</f>
        <v>0</v>
      </c>
    </row>
    <row r="222" spans="2:39" outlineLevel="1" x14ac:dyDescent="0.2">
      <c r="B222" s="21"/>
      <c r="C222" s="16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</row>
    <row r="223" spans="2:39" x14ac:dyDescent="0.2">
      <c r="B223" s="21"/>
      <c r="C223" s="22" t="s">
        <v>62</v>
      </c>
      <c r="D223" s="23">
        <f t="shared" ref="D223:U223" si="22">SUM(D218:D222)</f>
        <v>990840641.1200006</v>
      </c>
      <c r="E223" s="23">
        <f t="shared" si="22"/>
        <v>1305682959.7600007</v>
      </c>
      <c r="F223" s="23">
        <f t="shared" si="22"/>
        <v>1567931548.8100033</v>
      </c>
      <c r="G223" s="23">
        <f t="shared" si="22"/>
        <v>1812031664.9399981</v>
      </c>
      <c r="H223" s="23">
        <f t="shared" si="22"/>
        <v>1605022781.2700038</v>
      </c>
      <c r="I223" s="23">
        <f t="shared" si="22"/>
        <v>1515937232.4200006</v>
      </c>
      <c r="J223" s="23">
        <f t="shared" si="22"/>
        <v>1476517926.4600024</v>
      </c>
      <c r="K223" s="23">
        <f t="shared" si="22"/>
        <v>1553342279.980001</v>
      </c>
      <c r="L223" s="23">
        <f t="shared" si="22"/>
        <v>1531928716.0999978</v>
      </c>
      <c r="M223" s="23">
        <f t="shared" si="22"/>
        <v>1264500361.3100023</v>
      </c>
      <c r="N223" s="23">
        <f t="shared" si="22"/>
        <v>1030009890.3100003</v>
      </c>
      <c r="O223" s="23">
        <f t="shared" si="22"/>
        <v>1016907446.9300029</v>
      </c>
      <c r="P223" s="23">
        <f>SUM(P218:P222)</f>
        <v>999632337.74000037</v>
      </c>
      <c r="Q223" s="23">
        <f t="shared" si="22"/>
        <v>951403772.42000151</v>
      </c>
      <c r="R223" s="23">
        <f t="shared" si="22"/>
        <v>950101992.26999974</v>
      </c>
      <c r="S223" s="23">
        <f t="shared" si="22"/>
        <v>1063237635.2300006</v>
      </c>
      <c r="T223" s="23">
        <f t="shared" si="22"/>
        <v>652597298.39000034</v>
      </c>
      <c r="U223" s="23">
        <f t="shared" si="22"/>
        <v>404042288.63999939</v>
      </c>
      <c r="V223" s="23">
        <f>SUM(V218:V222)</f>
        <v>239846054.41999829</v>
      </c>
      <c r="W223" s="23">
        <f t="shared" ref="W223:AM223" si="23">SUM(W218:W222)</f>
        <v>204931468.02000022</v>
      </c>
      <c r="X223" s="23">
        <f t="shared" si="23"/>
        <v>69584163.149999022</v>
      </c>
      <c r="Y223" s="23">
        <f t="shared" si="23"/>
        <v>298916513.41000175</v>
      </c>
      <c r="Z223" s="23">
        <f t="shared" si="23"/>
        <v>262564482.96000063</v>
      </c>
      <c r="AA223" s="23">
        <f t="shared" si="23"/>
        <v>-691993542.92999661</v>
      </c>
      <c r="AB223" s="23">
        <f t="shared" si="23"/>
        <v>-470038908.65000153</v>
      </c>
      <c r="AC223" s="23">
        <f t="shared" si="23"/>
        <v>-118848390.09000123</v>
      </c>
      <c r="AD223" s="23">
        <f t="shared" si="23"/>
        <v>16035616.89999938</v>
      </c>
      <c r="AE223" s="23">
        <f t="shared" si="23"/>
        <v>101133388.76000166</v>
      </c>
      <c r="AF223" s="23">
        <f t="shared" si="23"/>
        <v>0</v>
      </c>
      <c r="AG223" s="23">
        <f t="shared" si="23"/>
        <v>0</v>
      </c>
      <c r="AH223" s="23">
        <f t="shared" si="23"/>
        <v>0</v>
      </c>
      <c r="AI223" s="23">
        <f t="shared" si="23"/>
        <v>0</v>
      </c>
      <c r="AJ223" s="23">
        <f t="shared" si="23"/>
        <v>0</v>
      </c>
      <c r="AK223" s="23">
        <f t="shared" si="23"/>
        <v>0</v>
      </c>
      <c r="AL223" s="23">
        <f t="shared" si="23"/>
        <v>0</v>
      </c>
      <c r="AM223" s="23">
        <f t="shared" si="23"/>
        <v>0</v>
      </c>
    </row>
    <row r="224" spans="2:39" x14ac:dyDescent="0.2">
      <c r="B224" s="21"/>
      <c r="C224" s="16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8"/>
    </row>
    <row r="225" spans="2:39" s="27" customFormat="1" x14ac:dyDescent="0.2">
      <c r="B225" s="24"/>
      <c r="C225" s="25" t="s">
        <v>297</v>
      </c>
      <c r="D225" s="26">
        <f>D215+D223</f>
        <v>994602482.98000062</v>
      </c>
      <c r="E225" s="26">
        <f t="shared" ref="E225:AM225" si="24">E215+E223</f>
        <v>1309444801.6200006</v>
      </c>
      <c r="F225" s="26">
        <f t="shared" si="24"/>
        <v>8300660358.1700029</v>
      </c>
      <c r="G225" s="26">
        <f t="shared" si="24"/>
        <v>7800344874.2999973</v>
      </c>
      <c r="H225" s="26">
        <f t="shared" si="24"/>
        <v>7735204190.630003</v>
      </c>
      <c r="I225" s="26">
        <f t="shared" si="24"/>
        <v>8371665641.7800007</v>
      </c>
      <c r="J225" s="26">
        <f t="shared" si="24"/>
        <v>8742039135.8200016</v>
      </c>
      <c r="K225" s="26">
        <f t="shared" si="24"/>
        <v>8650978089.3400002</v>
      </c>
      <c r="L225" s="26">
        <f t="shared" si="24"/>
        <v>8970459925.4599972</v>
      </c>
      <c r="M225" s="26">
        <f t="shared" si="24"/>
        <v>8595108370.670002</v>
      </c>
      <c r="N225" s="26">
        <f t="shared" si="24"/>
        <v>8533803099.6700001</v>
      </c>
      <c r="O225" s="26">
        <f t="shared" si="24"/>
        <v>7722948656.2900028</v>
      </c>
      <c r="P225" s="26">
        <f t="shared" si="24"/>
        <v>7665465147.1000004</v>
      </c>
      <c r="Q225" s="26">
        <f t="shared" si="24"/>
        <v>7444182781.7800007</v>
      </c>
      <c r="R225" s="26">
        <f t="shared" si="24"/>
        <v>7442881001.6299992</v>
      </c>
      <c r="S225" s="26">
        <f t="shared" si="24"/>
        <v>7556016644.5900002</v>
      </c>
      <c r="T225" s="26">
        <f t="shared" si="24"/>
        <v>7145376307.75</v>
      </c>
      <c r="U225" s="26">
        <f t="shared" si="24"/>
        <v>6896821297.999999</v>
      </c>
      <c r="V225" s="26">
        <f t="shared" si="24"/>
        <v>6732625063.7799978</v>
      </c>
      <c r="W225" s="26">
        <f t="shared" si="24"/>
        <v>6697710477.3800001</v>
      </c>
      <c r="X225" s="26">
        <f t="shared" si="24"/>
        <v>6562363172.5099983</v>
      </c>
      <c r="Y225" s="26">
        <f t="shared" si="24"/>
        <v>6791695522.7700014</v>
      </c>
      <c r="Z225" s="26">
        <f t="shared" si="24"/>
        <v>6755343492.3200006</v>
      </c>
      <c r="AA225" s="26">
        <f t="shared" si="24"/>
        <v>6014047666.4300032</v>
      </c>
      <c r="AB225" s="26">
        <f t="shared" si="24"/>
        <v>6236002300.7099981</v>
      </c>
      <c r="AC225" s="26">
        <f t="shared" si="24"/>
        <v>6587192819.2699986</v>
      </c>
      <c r="AD225" s="26">
        <f t="shared" si="24"/>
        <v>6722076826.2599993</v>
      </c>
      <c r="AE225" s="26">
        <f t="shared" si="24"/>
        <v>6807174598.1200008</v>
      </c>
      <c r="AF225" s="26">
        <f t="shared" si="24"/>
        <v>0</v>
      </c>
      <c r="AG225" s="26">
        <f t="shared" si="24"/>
        <v>0</v>
      </c>
      <c r="AH225" s="26">
        <f t="shared" si="24"/>
        <v>0</v>
      </c>
      <c r="AI225" s="26">
        <f t="shared" si="24"/>
        <v>0</v>
      </c>
      <c r="AJ225" s="26">
        <f t="shared" si="24"/>
        <v>0</v>
      </c>
      <c r="AK225" s="26">
        <f t="shared" si="24"/>
        <v>0</v>
      </c>
      <c r="AL225" s="26">
        <f t="shared" si="24"/>
        <v>0</v>
      </c>
      <c r="AM225" s="26">
        <f t="shared" si="24"/>
        <v>0</v>
      </c>
    </row>
    <row r="226" spans="2:39" x14ac:dyDescent="0.2">
      <c r="B226" s="21"/>
      <c r="C226" s="16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</row>
    <row r="227" spans="2:39" s="27" customFormat="1" x14ac:dyDescent="0.2">
      <c r="B227" s="24"/>
      <c r="C227" s="42" t="s">
        <v>298</v>
      </c>
      <c r="D227" s="43">
        <f t="shared" ref="D227:AM227" si="25">D168+D206+D225</f>
        <v>2101233456.5400004</v>
      </c>
      <c r="E227" s="43">
        <f t="shared" si="25"/>
        <v>2516150488.2200007</v>
      </c>
      <c r="F227" s="43">
        <f t="shared" si="25"/>
        <v>9923105855.5700035</v>
      </c>
      <c r="G227" s="43">
        <f t="shared" si="25"/>
        <v>9176966338.8599968</v>
      </c>
      <c r="H227" s="43">
        <f t="shared" si="25"/>
        <v>9060600863.8600025</v>
      </c>
      <c r="I227" s="43">
        <f t="shared" si="25"/>
        <v>10637219958.190001</v>
      </c>
      <c r="J227" s="43">
        <f t="shared" si="25"/>
        <v>10539275495.520002</v>
      </c>
      <c r="K227" s="43">
        <f t="shared" si="25"/>
        <v>10645816029.639999</v>
      </c>
      <c r="L227" s="43">
        <f t="shared" si="25"/>
        <v>10712058461.119997</v>
      </c>
      <c r="M227" s="43">
        <f t="shared" si="25"/>
        <v>10325310226.800001</v>
      </c>
      <c r="N227" s="43">
        <f t="shared" si="25"/>
        <v>10399507321.950001</v>
      </c>
      <c r="O227" s="43">
        <f t="shared" si="25"/>
        <v>10362934863.480003</v>
      </c>
      <c r="P227" s="43">
        <f t="shared" si="25"/>
        <v>10237385811.98</v>
      </c>
      <c r="Q227" s="43">
        <f t="shared" si="25"/>
        <v>9955104789.9200001</v>
      </c>
      <c r="R227" s="43">
        <f t="shared" si="25"/>
        <v>10081097724.599998</v>
      </c>
      <c r="S227" s="43">
        <f t="shared" si="25"/>
        <v>9720487796.6700001</v>
      </c>
      <c r="T227" s="43">
        <f t="shared" si="25"/>
        <v>9016944860.7099991</v>
      </c>
      <c r="U227" s="43">
        <f t="shared" si="25"/>
        <v>8941052237.1599998</v>
      </c>
      <c r="V227" s="43">
        <f t="shared" si="25"/>
        <v>8767117358.0299988</v>
      </c>
      <c r="W227" s="43">
        <f t="shared" si="25"/>
        <v>9064472644.3600006</v>
      </c>
      <c r="X227" s="43">
        <f t="shared" si="25"/>
        <v>8906751148.7999992</v>
      </c>
      <c r="Y227" s="43">
        <f t="shared" si="25"/>
        <v>9028374092.4700012</v>
      </c>
      <c r="Z227" s="43">
        <f t="shared" si="25"/>
        <v>8784011268.2000008</v>
      </c>
      <c r="AA227" s="43">
        <f t="shared" si="25"/>
        <v>7601256388.0100031</v>
      </c>
      <c r="AB227" s="43">
        <f t="shared" si="25"/>
        <v>7873276793.5099983</v>
      </c>
      <c r="AC227" s="43">
        <f t="shared" si="25"/>
        <v>8270271143.039999</v>
      </c>
      <c r="AD227" s="43">
        <f t="shared" si="25"/>
        <v>8549644713.8599997</v>
      </c>
      <c r="AE227" s="43">
        <f t="shared" si="25"/>
        <v>8285754025.6200008</v>
      </c>
      <c r="AF227" s="43">
        <f t="shared" si="25"/>
        <v>0</v>
      </c>
      <c r="AG227" s="43">
        <f t="shared" si="25"/>
        <v>0</v>
      </c>
      <c r="AH227" s="43">
        <f t="shared" si="25"/>
        <v>0</v>
      </c>
      <c r="AI227" s="43">
        <f t="shared" si="25"/>
        <v>0</v>
      </c>
      <c r="AJ227" s="43">
        <f t="shared" si="25"/>
        <v>0</v>
      </c>
      <c r="AK227" s="43">
        <f t="shared" si="25"/>
        <v>0</v>
      </c>
      <c r="AL227" s="43">
        <f t="shared" si="25"/>
        <v>0</v>
      </c>
      <c r="AM227" s="43">
        <f t="shared" si="25"/>
        <v>0</v>
      </c>
    </row>
    <row r="228" spans="2:39" x14ac:dyDescent="0.2">
      <c r="B228" s="21"/>
      <c r="C228" s="16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8"/>
    </row>
    <row r="229" spans="2:39" x14ac:dyDescent="0.2">
      <c r="B229" s="21"/>
      <c r="C229" s="20"/>
      <c r="D229" s="17">
        <f t="shared" ref="D229:AM229" si="26">D161-D227</f>
        <v>-261843674.88000059</v>
      </c>
      <c r="E229" s="17">
        <f t="shared" si="26"/>
        <v>69915391.519999027</v>
      </c>
      <c r="F229" s="17">
        <f t="shared" si="26"/>
        <v>-61544.990003585815</v>
      </c>
      <c r="G229" s="17">
        <f t="shared" si="26"/>
        <v>-15084608.479997635</v>
      </c>
      <c r="H229" s="17">
        <f t="shared" si="26"/>
        <v>-15084608.480003357</v>
      </c>
      <c r="I229" s="17">
        <f t="shared" si="26"/>
        <v>-2593.0799999237061</v>
      </c>
      <c r="J229" s="17">
        <f t="shared" si="26"/>
        <v>0</v>
      </c>
      <c r="K229" s="17">
        <f t="shared" si="26"/>
        <v>0</v>
      </c>
      <c r="L229" s="17">
        <f t="shared" si="26"/>
        <v>0</v>
      </c>
      <c r="M229" s="17">
        <f t="shared" si="26"/>
        <v>0</v>
      </c>
      <c r="N229" s="17">
        <f t="shared" si="26"/>
        <v>0</v>
      </c>
      <c r="O229" s="17">
        <f t="shared" si="26"/>
        <v>0</v>
      </c>
      <c r="P229" s="17">
        <f t="shared" si="26"/>
        <v>0</v>
      </c>
      <c r="Q229" s="17">
        <f t="shared" si="26"/>
        <v>0</v>
      </c>
      <c r="R229" s="17">
        <f t="shared" si="26"/>
        <v>0</v>
      </c>
      <c r="S229" s="17">
        <f t="shared" si="26"/>
        <v>0</v>
      </c>
      <c r="T229" s="17">
        <f t="shared" si="26"/>
        <v>0</v>
      </c>
      <c r="U229" s="17">
        <f t="shared" si="26"/>
        <v>0</v>
      </c>
      <c r="V229" s="17">
        <f t="shared" si="26"/>
        <v>0</v>
      </c>
      <c r="W229" s="17">
        <f t="shared" si="26"/>
        <v>0</v>
      </c>
      <c r="X229" s="17">
        <f t="shared" si="26"/>
        <v>0</v>
      </c>
      <c r="Y229" s="17">
        <f t="shared" si="26"/>
        <v>0</v>
      </c>
      <c r="Z229" s="17">
        <f t="shared" si="26"/>
        <v>0</v>
      </c>
      <c r="AA229" s="17">
        <f t="shared" si="26"/>
        <v>0</v>
      </c>
      <c r="AB229" s="17">
        <f t="shared" si="26"/>
        <v>0</v>
      </c>
      <c r="AC229" s="17">
        <f t="shared" si="26"/>
        <v>0</v>
      </c>
      <c r="AD229" s="17">
        <f t="shared" si="26"/>
        <v>0</v>
      </c>
      <c r="AE229" s="17">
        <f t="shared" si="26"/>
        <v>0</v>
      </c>
      <c r="AF229" s="17">
        <f t="shared" si="26"/>
        <v>0</v>
      </c>
      <c r="AG229" s="17">
        <f t="shared" si="26"/>
        <v>0</v>
      </c>
      <c r="AH229" s="17">
        <f t="shared" si="26"/>
        <v>0</v>
      </c>
      <c r="AI229" s="17">
        <f t="shared" si="26"/>
        <v>0</v>
      </c>
      <c r="AJ229" s="17">
        <f t="shared" si="26"/>
        <v>0</v>
      </c>
      <c r="AK229" s="17">
        <f t="shared" si="26"/>
        <v>0</v>
      </c>
      <c r="AL229" s="17">
        <f t="shared" si="26"/>
        <v>0</v>
      </c>
      <c r="AM229" s="17">
        <f t="shared" si="26"/>
        <v>0</v>
      </c>
    </row>
    <row r="230" spans="2:39" x14ac:dyDescent="0.2">
      <c r="B230" s="21"/>
      <c r="C230" s="16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</row>
    <row r="231" spans="2:39" x14ac:dyDescent="0.2">
      <c r="B231" s="33"/>
      <c r="AM231" s="34"/>
    </row>
    <row r="232" spans="2:39" x14ac:dyDescent="0.2">
      <c r="B232" s="35"/>
      <c r="C232" s="3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249">
        <f>V209+V223</f>
        <v>143607896.2799983</v>
      </c>
      <c r="W232" s="249">
        <f>W209+W223</f>
        <v>108693309.88000022</v>
      </c>
      <c r="X232" s="249">
        <f>X209+X223</f>
        <v>-26653994.990000978</v>
      </c>
      <c r="Y232" s="249">
        <f>Y209+Y223</f>
        <v>202678355.27000177</v>
      </c>
      <c r="Z232" s="249">
        <f>Z209+Z223</f>
        <v>166326324.82000065</v>
      </c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8"/>
    </row>
    <row r="234" spans="2:39" x14ac:dyDescent="0.2">
      <c r="D234" s="45">
        <f>D221-SUM(PL_NG!$D201:D201)</f>
        <v>5.4389238357543945E-7</v>
      </c>
      <c r="E234" s="45">
        <f>E221-SUM(PL_NG!$D201:E201)</f>
        <v>7.152557373046875E-7</v>
      </c>
      <c r="F234" s="45">
        <f>F221-SUM(PL_NG!$D201:F201)</f>
        <v>3.0994415283203125E-6</v>
      </c>
      <c r="G234" s="45">
        <f>G221-SUM(PL_NG!$D201:G201)</f>
        <v>-1.7881393432617188E-6</v>
      </c>
      <c r="H234" s="45">
        <f>H221-SUM(PL_NG!$D201:H201)</f>
        <v>3.814697265625E-6</v>
      </c>
      <c r="I234" s="45">
        <f>I221-SUM(PL_NG!$D201:I201)</f>
        <v>4.76837158203125E-7</v>
      </c>
      <c r="J234" s="45">
        <f>J221-SUM(PL_NG!$D201:J201)</f>
        <v>2.3245811462402344E-6</v>
      </c>
      <c r="P234" s="45">
        <f>P221-SUM(PL_NG!$P201:P201)</f>
        <v>3.7625432014465332E-7</v>
      </c>
      <c r="Q234" s="45">
        <f>Q221-SUM(PL_NG!$P201:Q201)</f>
        <v>1.475214958190918E-6</v>
      </c>
      <c r="R234" s="45">
        <f>R221-SUM(PL_NG!$P201:R201)</f>
        <v>-2.6077032089233398E-7</v>
      </c>
      <c r="S234" s="45">
        <f>S221-SUM(PL_NG!$P201:S201)</f>
        <v>6.0349702835083008E-7</v>
      </c>
      <c r="T234" s="45">
        <f>T221-SUM(PL_NG!$P201:T201)</f>
        <v>0</v>
      </c>
      <c r="U234" s="45">
        <f>U221-SUM(PL_NG!$P201:U201)</f>
        <v>0</v>
      </c>
      <c r="V234" s="45">
        <f>V221-SUM(PL_NG!$P201:V201)</f>
        <v>-1.9073486328125E-6</v>
      </c>
    </row>
  </sheetData>
  <conditionalFormatting sqref="B8:B9">
    <cfRule type="duplicateValues" dxfId="12" priority="13"/>
  </conditionalFormatting>
  <conditionalFormatting sqref="B92:B93">
    <cfRule type="duplicateValues" dxfId="11" priority="1"/>
  </conditionalFormatting>
  <conditionalFormatting sqref="B136:B138">
    <cfRule type="duplicateValues" dxfId="10" priority="3"/>
  </conditionalFormatting>
  <conditionalFormatting sqref="B185:B191">
    <cfRule type="duplicateValues" dxfId="9" priority="5"/>
  </conditionalFormatting>
  <conditionalFormatting sqref="B192:B200 B1:B7 B10:B91 B139:B184 B202:B1048576 B94:B135">
    <cfRule type="duplicateValues" dxfId="8" priority="6"/>
  </conditionalFormatting>
  <conditionalFormatting sqref="B201">
    <cfRule type="duplicateValues" dxfId="7" priority="2"/>
  </conditionalFormatting>
  <pageMargins left="0.7" right="0.7" top="0.75" bottom="0.75" header="0.3" footer="0.3"/>
  <pageSetup orientation="portrait" r:id="rId1"/>
  <ignoredErrors>
    <ignoredError sqref="AA35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1095-EA3B-4EDF-AC82-1AAE6BDB6350}">
  <sheetPr codeName="Sheet12">
    <tabColor rgb="FF00B050"/>
  </sheetPr>
  <dimension ref="A1:AG1009"/>
  <sheetViews>
    <sheetView showGridLines="0" zoomScale="150" zoomScaleNormal="140" workbookViewId="0">
      <pane xSplit="5" ySplit="3" topLeftCell="AB366" activePane="bottomRight" state="frozen"/>
      <selection activeCell="L13" sqref="L13"/>
      <selection pane="topRight" activeCell="L13" sqref="L13"/>
      <selection pane="bottomLeft" activeCell="L13" sqref="L13"/>
      <selection pane="bottomRight" activeCell="AG363" sqref="AG363"/>
    </sheetView>
  </sheetViews>
  <sheetFormatPr baseColWidth="10" defaultColWidth="8.83203125" defaultRowHeight="15" x14ac:dyDescent="0.2"/>
  <cols>
    <col min="3" max="3" width="10.5" customWidth="1"/>
    <col min="5" max="5" width="32.83203125" customWidth="1"/>
    <col min="6" max="33" width="13.83203125" customWidth="1"/>
  </cols>
  <sheetData>
    <row r="1" spans="1:33" x14ac:dyDescent="0.2">
      <c r="A1" s="46"/>
      <c r="B1" s="46"/>
      <c r="C1" s="46"/>
      <c r="D1" s="46"/>
      <c r="E1" s="47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</row>
    <row r="2" spans="1:33" x14ac:dyDescent="0.2">
      <c r="A2" s="48"/>
      <c r="B2" s="48"/>
      <c r="C2" s="48"/>
      <c r="D2" s="48"/>
      <c r="E2" s="49"/>
      <c r="F2" s="50">
        <f>SUBTOTAL(9,F333:F560)</f>
        <v>193688907.07999995</v>
      </c>
      <c r="G2" s="50">
        <f t="shared" ref="G2:Q2" si="0">SUBTOTAL(9,G333:G560)</f>
        <v>203397064.90999994</v>
      </c>
      <c r="H2" s="50">
        <f t="shared" si="0"/>
        <v>264801928.89999995</v>
      </c>
      <c r="I2" s="50">
        <f t="shared" si="0"/>
        <v>298327456.85000002</v>
      </c>
      <c r="J2" s="50">
        <f t="shared" si="0"/>
        <v>423307066.25</v>
      </c>
      <c r="K2" s="50">
        <f t="shared" si="0"/>
        <v>341699184.44</v>
      </c>
      <c r="L2" s="50">
        <f t="shared" si="0"/>
        <v>284886655.36000001</v>
      </c>
      <c r="M2" s="50">
        <f t="shared" si="0"/>
        <v>268330897.65999994</v>
      </c>
      <c r="N2" s="50">
        <f t="shared" si="0"/>
        <v>144874003.87000012</v>
      </c>
      <c r="O2" s="50">
        <f t="shared" si="0"/>
        <v>517092951.93000007</v>
      </c>
      <c r="P2" s="50">
        <f t="shared" si="0"/>
        <v>501388821.28999996</v>
      </c>
      <c r="Q2" s="50">
        <f t="shared" si="0"/>
        <v>647591782.62</v>
      </c>
      <c r="R2" s="50">
        <f t="shared" ref="R2:X2" si="1">SUBTOTAL(9,R333:R560)</f>
        <v>266502687.59999996</v>
      </c>
      <c r="S2" s="50">
        <f t="shared" si="1"/>
        <v>273003102.05000001</v>
      </c>
      <c r="T2" s="50">
        <f t="shared" si="1"/>
        <v>248219819.91999996</v>
      </c>
      <c r="U2" s="50">
        <f t="shared" si="1"/>
        <v>155503557.4499999</v>
      </c>
      <c r="V2" s="50">
        <f t="shared" si="1"/>
        <v>604361687.62</v>
      </c>
      <c r="W2" s="50">
        <f t="shared" si="1"/>
        <v>386296056.50999999</v>
      </c>
      <c r="X2" s="50">
        <f t="shared" si="1"/>
        <v>388514833.62000006</v>
      </c>
      <c r="Y2" s="50">
        <f t="shared" ref="Y2:AE2" si="2">SUBTOTAL(9,Y333:Y560)</f>
        <v>248541575.80000004</v>
      </c>
      <c r="Z2" s="50">
        <f t="shared" si="2"/>
        <v>547065240.27999985</v>
      </c>
      <c r="AA2" s="50">
        <f t="shared" si="2"/>
        <v>536758623.39000005</v>
      </c>
      <c r="AB2" s="50">
        <f t="shared" si="2"/>
        <v>370303651.56000006</v>
      </c>
      <c r="AC2" s="50">
        <f t="shared" si="2"/>
        <v>1184190437.3000004</v>
      </c>
      <c r="AD2" s="50">
        <f t="shared" si="2"/>
        <v>451126434.17000002</v>
      </c>
      <c r="AE2" s="50">
        <f t="shared" si="2"/>
        <v>419573085.36000007</v>
      </c>
      <c r="AF2" s="50">
        <f t="shared" ref="AF2:AG2" si="3">SUBTOTAL(9,AF333:AF560)</f>
        <v>387021996.86999989</v>
      </c>
      <c r="AG2" s="50">
        <f t="shared" si="3"/>
        <v>313682450.38000005</v>
      </c>
    </row>
    <row r="3" spans="1:33" x14ac:dyDescent="0.2">
      <c r="A3" s="51" t="s">
        <v>299</v>
      </c>
      <c r="B3" s="51" t="s">
        <v>299</v>
      </c>
      <c r="C3" s="52" t="s">
        <v>300</v>
      </c>
      <c r="D3" s="52" t="s">
        <v>301</v>
      </c>
      <c r="E3" s="53" t="s">
        <v>91</v>
      </c>
      <c r="F3" s="54">
        <v>45292</v>
      </c>
      <c r="G3" s="54">
        <f t="shared" ref="G3:W3" si="4">EOMONTH(F3,1)</f>
        <v>45351</v>
      </c>
      <c r="H3" s="54">
        <f t="shared" si="4"/>
        <v>45382</v>
      </c>
      <c r="I3" s="54">
        <f t="shared" si="4"/>
        <v>45412</v>
      </c>
      <c r="J3" s="54">
        <f t="shared" si="4"/>
        <v>45443</v>
      </c>
      <c r="K3" s="54">
        <f t="shared" si="4"/>
        <v>45473</v>
      </c>
      <c r="L3" s="54">
        <f t="shared" si="4"/>
        <v>45504</v>
      </c>
      <c r="M3" s="54">
        <f t="shared" si="4"/>
        <v>45535</v>
      </c>
      <c r="N3" s="54">
        <f t="shared" si="4"/>
        <v>45565</v>
      </c>
      <c r="O3" s="54">
        <f t="shared" si="4"/>
        <v>45596</v>
      </c>
      <c r="P3" s="54">
        <f t="shared" si="4"/>
        <v>45626</v>
      </c>
      <c r="Q3" s="54">
        <f t="shared" si="4"/>
        <v>45657</v>
      </c>
      <c r="R3" s="54">
        <f t="shared" si="4"/>
        <v>45688</v>
      </c>
      <c r="S3" s="54">
        <f t="shared" si="4"/>
        <v>45716</v>
      </c>
      <c r="T3" s="54">
        <f t="shared" si="4"/>
        <v>45747</v>
      </c>
      <c r="U3" s="54">
        <f t="shared" si="4"/>
        <v>45777</v>
      </c>
      <c r="V3" s="54">
        <f t="shared" si="4"/>
        <v>45808</v>
      </c>
      <c r="W3" s="54">
        <f t="shared" si="4"/>
        <v>45838</v>
      </c>
      <c r="X3" s="54">
        <f t="shared" ref="X3:AG3" si="5">EOMONTH(W3,1)</f>
        <v>45869</v>
      </c>
      <c r="Y3" s="54">
        <f t="shared" si="5"/>
        <v>45900</v>
      </c>
      <c r="Z3" s="54">
        <f t="shared" si="5"/>
        <v>45930</v>
      </c>
      <c r="AA3" s="54">
        <f t="shared" si="5"/>
        <v>45961</v>
      </c>
      <c r="AB3" s="54">
        <f t="shared" si="5"/>
        <v>45991</v>
      </c>
      <c r="AC3" s="54">
        <f t="shared" si="5"/>
        <v>46022</v>
      </c>
      <c r="AD3" s="54">
        <f t="shared" si="5"/>
        <v>46053</v>
      </c>
      <c r="AE3" s="54">
        <f t="shared" si="5"/>
        <v>46081</v>
      </c>
      <c r="AF3" s="54">
        <f t="shared" si="5"/>
        <v>46112</v>
      </c>
      <c r="AG3" s="54">
        <f t="shared" si="5"/>
        <v>46142</v>
      </c>
    </row>
    <row r="4" spans="1:33" x14ac:dyDescent="0.2">
      <c r="A4" s="55">
        <v>10100</v>
      </c>
      <c r="B4" s="56" t="str">
        <f t="shared" ref="B4:B74" si="6">TEXT(A4,"00000")</f>
        <v>10100</v>
      </c>
      <c r="C4" s="57" t="s">
        <v>302</v>
      </c>
      <c r="D4" s="57" t="s">
        <v>303</v>
      </c>
      <c r="E4" s="44" t="s">
        <v>155</v>
      </c>
      <c r="F4" s="17">
        <f>_xlfn.XLOOKUP($B4,'[1]Jan-24'!$A:$A,'[1]Jan-24'!$H:$H,0)</f>
        <v>174816.78</v>
      </c>
      <c r="G4" s="17">
        <f>_xlfn.XLOOKUP($B4,'[1]Feb-24'!$A:$A,'[1]Feb-24'!$H:$H,0)</f>
        <v>143812.97</v>
      </c>
      <c r="H4" s="17">
        <f>_xlfn.XLOOKUP($B4,'[1]Mar-24'!$A:$A,'[1]Mar-24'!$H:$H,0)</f>
        <v>119497.01</v>
      </c>
      <c r="I4" s="17">
        <f>_xlfn.XLOOKUP($B4,'[1]Apr-24'!$A:$A,'[1]Apr-24'!$H:$H,0)</f>
        <v>203615.34</v>
      </c>
      <c r="J4" s="17">
        <f>_xlfn.XLOOKUP($B4,'[1]May-24'!$A:$A,'[1]May-24'!$H:$H,0)</f>
        <v>2542.5</v>
      </c>
      <c r="K4" s="17">
        <f>_xlfn.XLOOKUP($B4,'[1]Jun-24'!$A:$A,'[1]Jun-24'!$H:$H,0)</f>
        <v>188487.46</v>
      </c>
      <c r="L4" s="17">
        <f>_xlfn.XLOOKUP($B4,'[1]Jul-24'!$A:$A,'[1]Jul-24'!$H:$H,0)</f>
        <v>9471.8700000000008</v>
      </c>
      <c r="M4" s="17">
        <f>_xlfn.XLOOKUP($B4,'[1]Aug-24'!$A:$A,'[1]Aug-24'!$H:$H,0)</f>
        <v>147121.87</v>
      </c>
      <c r="N4" s="17">
        <f>_xlfn.XLOOKUP($B4,'[1]Sep-24'!$A:$A,'[1]Sep-24'!$H:$H,0)</f>
        <v>109721.87</v>
      </c>
      <c r="O4" s="17">
        <f>_xlfn.XLOOKUP($B4,'[1]Oct-24'!$A:$A,'[1]Oct-24'!$H:$H,0)</f>
        <v>91251.87</v>
      </c>
      <c r="P4" s="17">
        <f>_xlfn.XLOOKUP($B4,'[1]Nov-24'!$A:$A,'[1]Nov-24'!$H:$H,0)</f>
        <v>29876.85</v>
      </c>
      <c r="Q4" s="17">
        <f>_xlfn.XLOOKUP($B4,'[1]Dec-24'!$A:$A,'[1]Dec-24'!$H:$H,0)</f>
        <v>225546.42</v>
      </c>
      <c r="R4" s="17">
        <f>_xlfn.XLOOKUP($B4,'[1]Jan-25'!$A:$A,'[1]Jan-25'!$H:$H,0)</f>
        <v>-140.30000000000001</v>
      </c>
      <c r="S4" s="17">
        <f>_xlfn.XLOOKUP($B4,'[1]Feb-25'!$A:$A,'[1]Feb-25'!$H:$H,0)</f>
        <v>202990.7</v>
      </c>
      <c r="T4" s="17">
        <f>_xlfn.XLOOKUP($B4,'[1]Mar-25'!$A:$A,'[1]Mar-25'!$H:$H,0)</f>
        <v>220240.7</v>
      </c>
      <c r="U4" s="17">
        <f>_xlfn.XLOOKUP($B4,'[1]Apr-25'!$A:$A,'[1]Apr-25'!$H:$H,0)</f>
        <v>169093.91</v>
      </c>
      <c r="V4" s="17">
        <f>_xlfn.XLOOKUP($B4,'[1]May-25'!$A:$A,'[1]May-25'!$H:$H,0)</f>
        <v>152793.91</v>
      </c>
      <c r="W4" s="17">
        <f>_xlfn.XLOOKUP($B4,'[1]Jun-25'!$A:$A,'[1]Jun-25'!$H:$H,0)</f>
        <v>57975.03</v>
      </c>
      <c r="X4" s="17">
        <f>_xlfn.XLOOKUP($B4,'[1]Jul-25'!$A:$A,'[1]Jul-25'!$H:$H,0)</f>
        <v>11856.85</v>
      </c>
      <c r="Y4" s="17">
        <f>_xlfn.XLOOKUP($B4,'[1]Aug-25'!$A:$A,'[1]Aug-25'!$H:$H,0)</f>
        <v>110352.41</v>
      </c>
      <c r="Z4" s="17">
        <f>_xlfn.XLOOKUP($B4,'[1]Sep-25'!$A:$A,'[1]Sep-25'!$H:$H,0)</f>
        <v>147752.41</v>
      </c>
      <c r="AA4" s="17">
        <f>_xlfn.XLOOKUP($B4,'[1]Oct-25'!$A:$A,'[1]Oct-25'!$H:$H,0)</f>
        <v>138752.41</v>
      </c>
      <c r="AB4" s="17">
        <f>_xlfn.XLOOKUP($B4,'[1]Nov-25'!$A:$A,'[1]Nov-25'!$H:$H,0)</f>
        <v>40452.410000000003</v>
      </c>
      <c r="AC4" s="17">
        <f>_xlfn.XLOOKUP($B4,'[1]Dec-25'!$A:$A,'[1]Dec-25'!$H:$H,0)</f>
        <v>206252.41</v>
      </c>
      <c r="AD4" s="17">
        <f>_xlfn.XLOOKUP($B4,'[1]Jan-26'!$A:$A,'[1]Jan-26'!$H:$H,0)</f>
        <v>36574.46</v>
      </c>
      <c r="AE4" s="17">
        <f>_xlfn.XLOOKUP($B4,'[1]Feb-26'!$A:$A,'[1]Feb-26'!$H:$H,0)</f>
        <v>95613.21</v>
      </c>
      <c r="AF4" s="17">
        <f>_xlfn.XLOOKUP($B4,'[1]Mar-26'!$A:$A,'[1]Mar-26'!$H:$H,0)</f>
        <v>159113.21</v>
      </c>
      <c r="AG4" s="17">
        <f>_xlfn.XLOOKUP($B4,'[1]Apr-26'!$A:$A,'[1]Apr-26'!$H:$H,0)</f>
        <v>178118.21</v>
      </c>
    </row>
    <row r="5" spans="1:33" x14ac:dyDescent="0.2">
      <c r="A5" s="58">
        <v>10101</v>
      </c>
      <c r="B5" s="56" t="str">
        <f t="shared" si="6"/>
        <v>10101</v>
      </c>
      <c r="C5" s="57" t="s">
        <v>302</v>
      </c>
      <c r="D5" s="57" t="s">
        <v>303</v>
      </c>
      <c r="E5" s="44" t="s">
        <v>304</v>
      </c>
      <c r="F5" s="17">
        <f>_xlfn.XLOOKUP($B5,'[1]Jan-24'!$A:$A,'[1]Jan-24'!$H:$H,0)</f>
        <v>0</v>
      </c>
      <c r="G5" s="17">
        <f>_xlfn.XLOOKUP($B5,'[1]Feb-24'!$A:$A,'[1]Feb-24'!$H:$H,0)</f>
        <v>0</v>
      </c>
      <c r="H5" s="17">
        <f>_xlfn.XLOOKUP($B5,'[1]Mar-24'!$A:$A,'[1]Mar-24'!$H:$H,0)</f>
        <v>0</v>
      </c>
      <c r="I5" s="17">
        <f>_xlfn.XLOOKUP($B5,'[1]Apr-24'!$A:$A,'[1]Apr-24'!$H:$H,0)</f>
        <v>0</v>
      </c>
      <c r="J5" s="17">
        <f>_xlfn.XLOOKUP($B5,'[1]May-24'!$A:$A,'[1]May-24'!$H:$H,0)</f>
        <v>0</v>
      </c>
      <c r="K5" s="17">
        <f>_xlfn.XLOOKUP($B5,'[1]Jun-24'!$A:$A,'[1]Jun-24'!$H:$H,0)</f>
        <v>0</v>
      </c>
      <c r="L5" s="17">
        <f>_xlfn.XLOOKUP($B5,'[1]Jul-24'!$A:$A,'[1]Jul-24'!$H:$H,0)</f>
        <v>0</v>
      </c>
      <c r="M5" s="17">
        <f>_xlfn.XLOOKUP($B5,'[1]Aug-24'!$A:$A,'[1]Aug-24'!$H:$H,0)</f>
        <v>0</v>
      </c>
      <c r="N5" s="17">
        <f>_xlfn.XLOOKUP($B5,'[1]Sep-24'!$A:$A,'[1]Sep-24'!$H:$H,0)</f>
        <v>0</v>
      </c>
      <c r="O5" s="17">
        <f>_xlfn.XLOOKUP($B5,'[1]Oct-24'!$A:$A,'[1]Oct-24'!$H:$H,0)</f>
        <v>0</v>
      </c>
      <c r="P5" s="17">
        <f>_xlfn.XLOOKUP($B5,'[1]Nov-24'!$A:$A,'[1]Nov-24'!$H:$H,0)</f>
        <v>0</v>
      </c>
      <c r="Q5" s="17">
        <f>_xlfn.XLOOKUP($B5,'[1]Dec-24'!$A:$A,'[1]Dec-24'!$H:$H,0)</f>
        <v>0</v>
      </c>
      <c r="R5" s="17">
        <f>_xlfn.XLOOKUP($B5,'[1]Jan-25'!$A:$A,'[1]Jan-25'!$H:$H,0)</f>
        <v>0</v>
      </c>
      <c r="S5" s="17">
        <f>_xlfn.XLOOKUP($B5,'[1]Feb-25'!$A:$A,'[1]Feb-25'!$H:$H,0)</f>
        <v>0</v>
      </c>
      <c r="T5" s="17">
        <f>_xlfn.XLOOKUP($B5,'[1]Mar-25'!$A:$A,'[1]Mar-25'!$H:$H,0)</f>
        <v>0</v>
      </c>
      <c r="U5" s="17">
        <f>_xlfn.XLOOKUP($B5,'[1]Apr-25'!$A:$A,'[1]Apr-25'!$H:$H,0)</f>
        <v>0</v>
      </c>
      <c r="V5" s="17">
        <f>_xlfn.XLOOKUP($B5,'[1]May-25'!$A:$A,'[1]May-25'!$H:$H,0)</f>
        <v>0</v>
      </c>
      <c r="W5" s="17">
        <f>_xlfn.XLOOKUP($B5,'[1]Jun-25'!$A:$A,'[1]Jun-25'!$H:$H,0)</f>
        <v>0</v>
      </c>
      <c r="X5" s="17">
        <f>_xlfn.XLOOKUP($B5,'[1]Jul-25'!$A:$A,'[1]Jul-25'!$H:$H,0)</f>
        <v>0</v>
      </c>
      <c r="Y5" s="17">
        <f>_xlfn.XLOOKUP($B5,'[1]Aug-25'!$A:$A,'[1]Aug-25'!$H:$H,0)</f>
        <v>0</v>
      </c>
      <c r="Z5" s="17">
        <f>_xlfn.XLOOKUP($B5,'[1]Sep-25'!$A:$A,'[1]Sep-25'!$H:$H,0)</f>
        <v>0</v>
      </c>
      <c r="AA5" s="17">
        <f>_xlfn.XLOOKUP($B5,'[1]Oct-25'!$A:$A,'[1]Oct-25'!$H:$H,0)</f>
        <v>0</v>
      </c>
      <c r="AB5" s="17">
        <f>_xlfn.XLOOKUP($B5,'[1]Nov-25'!$A:$A,'[1]Nov-25'!$H:$H,0)</f>
        <v>0</v>
      </c>
      <c r="AC5" s="17">
        <f>_xlfn.XLOOKUP($B5,'[1]Dec-25'!$A:$A,'[1]Dec-25'!$H:$H,0)</f>
        <v>0</v>
      </c>
      <c r="AD5" s="17">
        <f>_xlfn.XLOOKUP($B5,'[1]Jan-26'!$A:$A,'[1]Jan-26'!$H:$H,0)</f>
        <v>0</v>
      </c>
      <c r="AE5" s="17">
        <f>_xlfn.XLOOKUP($B5,'[1]Feb-26'!$A:$A,'[1]Feb-26'!$H:$H,0)</f>
        <v>0</v>
      </c>
      <c r="AF5" s="17">
        <f>_xlfn.XLOOKUP($B5,'[1]Mar-26'!$A:$A,'[1]Mar-26'!$H:$H,0)</f>
        <v>0</v>
      </c>
      <c r="AG5" s="17">
        <f>_xlfn.XLOOKUP($B5,'[1]Apr-26'!$A:$A,'[1]Apr-26'!$H:$H,0)</f>
        <v>0</v>
      </c>
    </row>
    <row r="6" spans="1:33" x14ac:dyDescent="0.2">
      <c r="A6" s="58">
        <v>10102</v>
      </c>
      <c r="B6" s="56" t="str">
        <f t="shared" si="6"/>
        <v>10102</v>
      </c>
      <c r="C6" s="57" t="s">
        <v>302</v>
      </c>
      <c r="D6" s="57" t="s">
        <v>303</v>
      </c>
      <c r="E6" s="44" t="s">
        <v>305</v>
      </c>
      <c r="F6" s="17">
        <f>_xlfn.XLOOKUP($B6,'[1]Jan-24'!$A:$A,'[1]Jan-24'!$H:$H,0)</f>
        <v>0</v>
      </c>
      <c r="G6" s="17">
        <f>_xlfn.XLOOKUP($B6,'[1]Feb-24'!$A:$A,'[1]Feb-24'!$H:$H,0)</f>
        <v>0</v>
      </c>
      <c r="H6" s="17">
        <f>_xlfn.XLOOKUP($B6,'[1]Mar-24'!$A:$A,'[1]Mar-24'!$H:$H,0)</f>
        <v>0</v>
      </c>
      <c r="I6" s="17">
        <f>_xlfn.XLOOKUP($B6,'[1]Apr-24'!$A:$A,'[1]Apr-24'!$H:$H,0)</f>
        <v>0</v>
      </c>
      <c r="J6" s="17">
        <f>_xlfn.XLOOKUP($B6,'[1]May-24'!$A:$A,'[1]May-24'!$H:$H,0)</f>
        <v>0</v>
      </c>
      <c r="K6" s="17">
        <f>_xlfn.XLOOKUP($B6,'[1]Jun-24'!$A:$A,'[1]Jun-24'!$H:$H,0)</f>
        <v>0</v>
      </c>
      <c r="L6" s="17">
        <f>_xlfn.XLOOKUP($B6,'[1]Jul-24'!$A:$A,'[1]Jul-24'!$H:$H,0)</f>
        <v>0</v>
      </c>
      <c r="M6" s="17">
        <f>_xlfn.XLOOKUP($B6,'[1]Aug-24'!$A:$A,'[1]Aug-24'!$H:$H,0)</f>
        <v>0</v>
      </c>
      <c r="N6" s="17">
        <f>_xlfn.XLOOKUP($B6,'[1]Sep-24'!$A:$A,'[1]Sep-24'!$H:$H,0)</f>
        <v>0</v>
      </c>
      <c r="O6" s="17">
        <f>_xlfn.XLOOKUP($B6,'[1]Oct-24'!$A:$A,'[1]Oct-24'!$H:$H,0)</f>
        <v>0</v>
      </c>
      <c r="P6" s="17">
        <f>_xlfn.XLOOKUP($B6,'[1]Nov-24'!$A:$A,'[1]Nov-24'!$H:$H,0)</f>
        <v>0</v>
      </c>
      <c r="Q6" s="17">
        <f>_xlfn.XLOOKUP($B6,'[1]Dec-24'!$A:$A,'[1]Dec-24'!$H:$H,0)</f>
        <v>0</v>
      </c>
      <c r="R6" s="17">
        <f>_xlfn.XLOOKUP($B6,'[1]Jan-25'!$A:$A,'[1]Jan-25'!$H:$H,0)</f>
        <v>0</v>
      </c>
      <c r="S6" s="17">
        <f>_xlfn.XLOOKUP($B6,'[1]Feb-25'!$A:$A,'[1]Feb-25'!$H:$H,0)</f>
        <v>0</v>
      </c>
      <c r="T6" s="17">
        <f>_xlfn.XLOOKUP($B6,'[1]Mar-25'!$A:$A,'[1]Mar-25'!$H:$H,0)</f>
        <v>0</v>
      </c>
      <c r="U6" s="17">
        <f>_xlfn.XLOOKUP($B6,'[1]Apr-25'!$A:$A,'[1]Apr-25'!$H:$H,0)</f>
        <v>0</v>
      </c>
      <c r="V6" s="17">
        <f>_xlfn.XLOOKUP($B6,'[1]May-25'!$A:$A,'[1]May-25'!$H:$H,0)</f>
        <v>0</v>
      </c>
      <c r="W6" s="17">
        <f>_xlfn.XLOOKUP($B6,'[1]Jun-25'!$A:$A,'[1]Jun-25'!$H:$H,0)</f>
        <v>0</v>
      </c>
      <c r="X6" s="17">
        <f>_xlfn.XLOOKUP($B6,'[1]Jul-25'!$A:$A,'[1]Jul-25'!$H:$H,0)</f>
        <v>0</v>
      </c>
      <c r="Y6" s="17">
        <f>_xlfn.XLOOKUP($B6,'[1]Aug-25'!$A:$A,'[1]Aug-25'!$H:$H,0)</f>
        <v>0</v>
      </c>
      <c r="Z6" s="17">
        <f>_xlfn.XLOOKUP($B6,'[1]Sep-25'!$A:$A,'[1]Sep-25'!$H:$H,0)</f>
        <v>0</v>
      </c>
      <c r="AA6" s="17">
        <f>_xlfn.XLOOKUP($B6,'[1]Oct-25'!$A:$A,'[1]Oct-25'!$H:$H,0)</f>
        <v>0</v>
      </c>
      <c r="AB6" s="17">
        <f>_xlfn.XLOOKUP($B6,'[1]Nov-25'!$A:$A,'[1]Nov-25'!$H:$H,0)</f>
        <v>0</v>
      </c>
      <c r="AC6" s="17">
        <f>_xlfn.XLOOKUP($B6,'[1]Dec-25'!$A:$A,'[1]Dec-25'!$H:$H,0)</f>
        <v>0</v>
      </c>
      <c r="AD6" s="17">
        <f>_xlfn.XLOOKUP($B6,'[1]Jan-26'!$A:$A,'[1]Jan-26'!$H:$H,0)</f>
        <v>0</v>
      </c>
      <c r="AE6" s="17">
        <f>_xlfn.XLOOKUP($B6,'[1]Feb-26'!$A:$A,'[1]Feb-26'!$H:$H,0)</f>
        <v>0</v>
      </c>
      <c r="AF6" s="17">
        <f>_xlfn.XLOOKUP($B6,'[1]Mar-26'!$A:$A,'[1]Mar-26'!$H:$H,0)</f>
        <v>0</v>
      </c>
      <c r="AG6" s="17">
        <f>_xlfn.XLOOKUP($B6,'[1]Apr-26'!$A:$A,'[1]Apr-26'!$H:$H,0)</f>
        <v>0</v>
      </c>
    </row>
    <row r="7" spans="1:33" x14ac:dyDescent="0.2">
      <c r="A7" s="58">
        <v>10752</v>
      </c>
      <c r="B7" s="56" t="str">
        <f t="shared" si="6"/>
        <v>10752</v>
      </c>
      <c r="C7" s="57"/>
      <c r="D7" s="57" t="s">
        <v>303</v>
      </c>
      <c r="E7" s="44" t="s">
        <v>305</v>
      </c>
      <c r="F7" s="17">
        <f>_xlfn.XLOOKUP($B7,'[1]Jan-24'!$A:$A,'[1]Jan-24'!$H:$H,0)</f>
        <v>0</v>
      </c>
      <c r="G7" s="17">
        <f>_xlfn.XLOOKUP($B7,'[1]Feb-24'!$A:$A,'[1]Feb-24'!$H:$H,0)</f>
        <v>0</v>
      </c>
      <c r="H7" s="17">
        <f>_xlfn.XLOOKUP($B7,'[1]Mar-24'!$A:$A,'[1]Mar-24'!$H:$H,0)</f>
        <v>0</v>
      </c>
      <c r="I7" s="17">
        <f>_xlfn.XLOOKUP($B7,'[1]Apr-24'!$A:$A,'[1]Apr-24'!$H:$H,0)</f>
        <v>0</v>
      </c>
      <c r="J7" s="17">
        <f>_xlfn.XLOOKUP($B7,'[1]May-24'!$A:$A,'[1]May-24'!$H:$H,0)</f>
        <v>0</v>
      </c>
      <c r="K7" s="17">
        <f>_xlfn.XLOOKUP($B7,'[1]Jun-24'!$A:$A,'[1]Jun-24'!$H:$H,0)</f>
        <v>0</v>
      </c>
      <c r="L7" s="17">
        <f>_xlfn.XLOOKUP($B7,'[1]Jul-24'!$A:$A,'[1]Jul-24'!$H:$H,0)</f>
        <v>0</v>
      </c>
      <c r="M7" s="17">
        <f>_xlfn.XLOOKUP($B7,'[1]Aug-24'!$A:$A,'[1]Aug-24'!$H:$H,0)</f>
        <v>0</v>
      </c>
      <c r="N7" s="17">
        <f>_xlfn.XLOOKUP($B7,'[1]Sep-24'!$A:$A,'[1]Sep-24'!$H:$H,0)</f>
        <v>0</v>
      </c>
      <c r="O7" s="17">
        <f>_xlfn.XLOOKUP($B7,'[1]Oct-24'!$A:$A,'[1]Oct-24'!$H:$H,0)</f>
        <v>0</v>
      </c>
      <c r="P7" s="17">
        <f>_xlfn.XLOOKUP($B7,'[1]Nov-24'!$A:$A,'[1]Nov-24'!$H:$H,0)</f>
        <v>0</v>
      </c>
      <c r="Q7" s="17">
        <f>_xlfn.XLOOKUP($B7,'[1]Dec-24'!$A:$A,'[1]Dec-24'!$H:$H,0)</f>
        <v>0</v>
      </c>
      <c r="R7" s="17">
        <f>_xlfn.XLOOKUP($B7,'[1]Jan-25'!$A:$A,'[1]Jan-25'!$H:$H,0)</f>
        <v>0</v>
      </c>
      <c r="S7" s="17">
        <f>_xlfn.XLOOKUP($B7,'[1]Feb-25'!$A:$A,'[1]Feb-25'!$H:$H,0)</f>
        <v>0</v>
      </c>
      <c r="T7" s="17">
        <f>_xlfn.XLOOKUP($B7,'[1]Mar-25'!$A:$A,'[1]Mar-25'!$H:$H,0)</f>
        <v>0</v>
      </c>
      <c r="U7" s="17">
        <f>_xlfn.XLOOKUP($B7,'[1]Apr-25'!$A:$A,'[1]Apr-25'!$H:$H,0)</f>
        <v>0</v>
      </c>
      <c r="V7" s="17">
        <f>_xlfn.XLOOKUP($B7,'[1]May-25'!$A:$A,'[1]May-25'!$H:$H,0)</f>
        <v>0</v>
      </c>
      <c r="W7" s="17">
        <f>_xlfn.XLOOKUP($B7,'[1]Jun-25'!$A:$A,'[1]Jun-25'!$H:$H,0)</f>
        <v>0</v>
      </c>
      <c r="X7" s="17">
        <f>_xlfn.XLOOKUP($B7,'[1]Jul-25'!$A:$A,'[1]Jul-25'!$H:$H,0)</f>
        <v>0</v>
      </c>
      <c r="Y7" s="17">
        <f>_xlfn.XLOOKUP($B7,'[1]Aug-25'!$A:$A,'[1]Aug-25'!$H:$H,0)</f>
        <v>0</v>
      </c>
      <c r="Z7" s="17">
        <f>_xlfn.XLOOKUP($B7,'[1]Sep-25'!$A:$A,'[1]Sep-25'!$H:$H,0)</f>
        <v>0</v>
      </c>
      <c r="AA7" s="17">
        <f>_xlfn.XLOOKUP($B7,'[1]Oct-25'!$A:$A,'[1]Oct-25'!$H:$H,0)</f>
        <v>0</v>
      </c>
      <c r="AB7" s="17">
        <f>_xlfn.XLOOKUP($B7,'[1]Nov-25'!$A:$A,'[1]Nov-25'!$H:$H,0)</f>
        <v>4727752.9000000004</v>
      </c>
      <c r="AC7" s="17">
        <f>_xlfn.XLOOKUP($B7,'[1]Dec-25'!$A:$A,'[1]Dec-25'!$H:$H,0)</f>
        <v>4938268.75</v>
      </c>
      <c r="AD7" s="17">
        <f>_xlfn.XLOOKUP($B7,'[1]Jan-26'!$A:$A,'[1]Jan-26'!$H:$H,0)</f>
        <v>4813306.5</v>
      </c>
      <c r="AE7" s="17">
        <f>_xlfn.XLOOKUP($B7,'[1]Feb-26'!$A:$A,'[1]Feb-26'!$H:$H,0)</f>
        <v>4618023</v>
      </c>
      <c r="AF7" s="17">
        <f>_xlfn.XLOOKUP($B7,'[1]Mar-26'!$A:$A,'[1]Mar-26'!$H:$H,0)</f>
        <v>4615952.5</v>
      </c>
      <c r="AG7" s="17">
        <f>_xlfn.XLOOKUP($B7,'[1]Apr-26'!$A:$A,'[1]Apr-26'!$H:$H,0)</f>
        <v>4684127.5</v>
      </c>
    </row>
    <row r="8" spans="1:33" x14ac:dyDescent="0.2">
      <c r="A8" s="58">
        <v>10803</v>
      </c>
      <c r="B8" s="56" t="str">
        <f t="shared" si="6"/>
        <v>10803</v>
      </c>
      <c r="C8" s="57"/>
      <c r="D8" s="57" t="s">
        <v>303</v>
      </c>
      <c r="E8" s="44" t="s">
        <v>1705</v>
      </c>
      <c r="F8" s="17">
        <f>_xlfn.XLOOKUP($B8,'[1]Jan-24'!$A:$A,'[1]Jan-24'!$H:$H,0)</f>
        <v>0</v>
      </c>
      <c r="G8" s="17">
        <f>_xlfn.XLOOKUP($B8,'[1]Feb-24'!$A:$A,'[1]Feb-24'!$H:$H,0)</f>
        <v>0</v>
      </c>
      <c r="H8" s="17">
        <f>_xlfn.XLOOKUP($B8,'[1]Mar-24'!$A:$A,'[1]Mar-24'!$H:$H,0)</f>
        <v>0</v>
      </c>
      <c r="I8" s="17">
        <f>_xlfn.XLOOKUP($B8,'[1]Apr-24'!$A:$A,'[1]Apr-24'!$H:$H,0)</f>
        <v>0</v>
      </c>
      <c r="J8" s="17">
        <f>_xlfn.XLOOKUP($B8,'[1]May-24'!$A:$A,'[1]May-24'!$H:$H,0)</f>
        <v>0</v>
      </c>
      <c r="K8" s="17">
        <f>_xlfn.XLOOKUP($B8,'[1]Jun-24'!$A:$A,'[1]Jun-24'!$H:$H,0)</f>
        <v>0</v>
      </c>
      <c r="L8" s="17">
        <f>_xlfn.XLOOKUP($B8,'[1]Jul-24'!$A:$A,'[1]Jul-24'!$H:$H,0)</f>
        <v>0</v>
      </c>
      <c r="M8" s="17">
        <f>_xlfn.XLOOKUP($B8,'[1]Aug-24'!$A:$A,'[1]Aug-24'!$H:$H,0)</f>
        <v>0</v>
      </c>
      <c r="N8" s="17">
        <f>_xlfn.XLOOKUP($B8,'[1]Sep-24'!$A:$A,'[1]Sep-24'!$H:$H,0)</f>
        <v>0</v>
      </c>
      <c r="O8" s="17">
        <f>_xlfn.XLOOKUP($B8,'[1]Oct-24'!$A:$A,'[1]Oct-24'!$H:$H,0)</f>
        <v>0</v>
      </c>
      <c r="P8" s="17">
        <f>_xlfn.XLOOKUP($B8,'[1]Nov-24'!$A:$A,'[1]Nov-24'!$H:$H,0)</f>
        <v>0</v>
      </c>
      <c r="Q8" s="17">
        <f>_xlfn.XLOOKUP($B8,'[1]Dec-24'!$A:$A,'[1]Dec-24'!$H:$H,0)</f>
        <v>0</v>
      </c>
      <c r="R8" s="17">
        <f>_xlfn.XLOOKUP($B8,'[1]Jan-25'!$A:$A,'[1]Jan-25'!$H:$H,0)</f>
        <v>0</v>
      </c>
      <c r="S8" s="17">
        <f>_xlfn.XLOOKUP($B8,'[1]Feb-25'!$A:$A,'[1]Feb-25'!$H:$H,0)</f>
        <v>0</v>
      </c>
      <c r="T8" s="17">
        <f>_xlfn.XLOOKUP($B8,'[1]Mar-25'!$A:$A,'[1]Mar-25'!$H:$H,0)</f>
        <v>0</v>
      </c>
      <c r="U8" s="17">
        <f>_xlfn.XLOOKUP($B8,'[1]Apr-25'!$A:$A,'[1]Apr-25'!$H:$H,0)</f>
        <v>0</v>
      </c>
      <c r="V8" s="17">
        <f>_xlfn.XLOOKUP($B8,'[1]May-25'!$A:$A,'[1]May-25'!$H:$H,0)</f>
        <v>0</v>
      </c>
      <c r="W8" s="17">
        <f>_xlfn.XLOOKUP($B8,'[1]Jun-25'!$A:$A,'[1]Jun-25'!$H:$H,0)</f>
        <v>0</v>
      </c>
      <c r="X8" s="17">
        <f>_xlfn.XLOOKUP($B8,'[1]Jul-25'!$A:$A,'[1]Jul-25'!$H:$H,0)</f>
        <v>0</v>
      </c>
      <c r="Y8" s="17">
        <f>_xlfn.XLOOKUP($B8,'[1]Aug-25'!$A:$A,'[1]Aug-25'!$H:$H,0)</f>
        <v>0</v>
      </c>
      <c r="Z8" s="17">
        <f>_xlfn.XLOOKUP($B8,'[1]Sep-25'!$A:$A,'[1]Sep-25'!$H:$H,0)</f>
        <v>2044.37</v>
      </c>
      <c r="AA8" s="17">
        <f>_xlfn.XLOOKUP($B8,'[1]Oct-25'!$A:$A,'[1]Oct-25'!$H:$H,0)</f>
        <v>2044.37</v>
      </c>
      <c r="AB8" s="17">
        <f>_xlfn.XLOOKUP($B8,'[1]Nov-25'!$A:$A,'[1]Nov-25'!$H:$H,0)</f>
        <v>2044.37</v>
      </c>
      <c r="AC8" s="17">
        <f>_xlfn.XLOOKUP($B8,'[1]Dec-25'!$A:$A,'[1]Dec-25'!$H:$H,0)</f>
        <v>2044.37</v>
      </c>
      <c r="AD8" s="17">
        <f>_xlfn.XLOOKUP($B8,'[1]Jan-26'!$A:$A,'[1]Jan-26'!$H:$H,0)</f>
        <v>2044.37</v>
      </c>
      <c r="AE8" s="17">
        <f>_xlfn.XLOOKUP($B8,'[1]Feb-26'!$A:$A,'[1]Feb-26'!$H:$H,0)</f>
        <v>2044.37</v>
      </c>
      <c r="AF8" s="17">
        <f>_xlfn.XLOOKUP($B8,'[1]Mar-26'!$A:$A,'[1]Mar-26'!$H:$H,0)</f>
        <v>2044.37</v>
      </c>
      <c r="AG8" s="17">
        <f>_xlfn.XLOOKUP($B8,'[1]Apr-26'!$A:$A,'[1]Apr-26'!$H:$H,0)</f>
        <v>2044.37</v>
      </c>
    </row>
    <row r="9" spans="1:33" x14ac:dyDescent="0.2">
      <c r="A9" s="58">
        <v>13023</v>
      </c>
      <c r="B9" s="56" t="str">
        <f t="shared" si="6"/>
        <v>13023</v>
      </c>
      <c r="C9" s="57"/>
      <c r="D9" s="57" t="s">
        <v>303</v>
      </c>
      <c r="E9" s="44" t="s">
        <v>1706</v>
      </c>
      <c r="F9" s="17">
        <f>_xlfn.XLOOKUP($B9,'[1]Jan-24'!$A:$A,'[1]Jan-24'!$H:$H,0)</f>
        <v>0</v>
      </c>
      <c r="G9" s="17">
        <f>_xlfn.XLOOKUP($B9,'[1]Feb-24'!$A:$A,'[1]Feb-24'!$H:$H,0)</f>
        <v>0</v>
      </c>
      <c r="H9" s="17">
        <f>_xlfn.XLOOKUP($B9,'[1]Mar-24'!$A:$A,'[1]Mar-24'!$H:$H,0)</f>
        <v>0</v>
      </c>
      <c r="I9" s="17">
        <f>_xlfn.XLOOKUP($B9,'[1]Apr-24'!$A:$A,'[1]Apr-24'!$H:$H,0)</f>
        <v>0</v>
      </c>
      <c r="J9" s="17">
        <f>_xlfn.XLOOKUP($B9,'[1]May-24'!$A:$A,'[1]May-24'!$H:$H,0)</f>
        <v>0</v>
      </c>
      <c r="K9" s="17">
        <f>_xlfn.XLOOKUP($B9,'[1]Jun-24'!$A:$A,'[1]Jun-24'!$H:$H,0)</f>
        <v>0</v>
      </c>
      <c r="L9" s="17">
        <f>_xlfn.XLOOKUP($B9,'[1]Jul-24'!$A:$A,'[1]Jul-24'!$H:$H,0)</f>
        <v>0</v>
      </c>
      <c r="M9" s="17">
        <f>_xlfn.XLOOKUP($B9,'[1]Aug-24'!$A:$A,'[1]Aug-24'!$H:$H,0)</f>
        <v>0</v>
      </c>
      <c r="N9" s="17">
        <f>_xlfn.XLOOKUP($B9,'[1]Sep-24'!$A:$A,'[1]Sep-24'!$H:$H,0)</f>
        <v>0</v>
      </c>
      <c r="O9" s="17">
        <f>_xlfn.XLOOKUP($B9,'[1]Oct-24'!$A:$A,'[1]Oct-24'!$H:$H,0)</f>
        <v>0</v>
      </c>
      <c r="P9" s="17">
        <f>_xlfn.XLOOKUP($B9,'[1]Nov-24'!$A:$A,'[1]Nov-24'!$H:$H,0)</f>
        <v>0</v>
      </c>
      <c r="Q9" s="17">
        <f>_xlfn.XLOOKUP($B9,'[1]Dec-24'!$A:$A,'[1]Dec-24'!$H:$H,0)</f>
        <v>0</v>
      </c>
      <c r="R9" s="17">
        <f>_xlfn.XLOOKUP($B9,'[1]Jan-25'!$A:$A,'[1]Jan-25'!$H:$H,0)</f>
        <v>0</v>
      </c>
      <c r="S9" s="17">
        <f>_xlfn.XLOOKUP($B9,'[1]Feb-25'!$A:$A,'[1]Feb-25'!$H:$H,0)</f>
        <v>0</v>
      </c>
      <c r="T9" s="17">
        <f>_xlfn.XLOOKUP($B9,'[1]Mar-25'!$A:$A,'[1]Mar-25'!$H:$H,0)</f>
        <v>0</v>
      </c>
      <c r="U9" s="17">
        <f>_xlfn.XLOOKUP($B9,'[1]Apr-25'!$A:$A,'[1]Apr-25'!$H:$H,0)</f>
        <v>0</v>
      </c>
      <c r="V9" s="17">
        <f>_xlfn.XLOOKUP($B9,'[1]May-25'!$A:$A,'[1]May-25'!$H:$H,0)</f>
        <v>0</v>
      </c>
      <c r="W9" s="17">
        <f>_xlfn.XLOOKUP($B9,'[1]Jun-25'!$A:$A,'[1]Jun-25'!$H:$H,0)</f>
        <v>0</v>
      </c>
      <c r="X9" s="17">
        <f>_xlfn.XLOOKUP($B9,'[1]Jul-25'!$A:$A,'[1]Jul-25'!$H:$H,0)</f>
        <v>0</v>
      </c>
      <c r="Y9" s="17">
        <f>_xlfn.XLOOKUP($B9,'[1]Aug-25'!$A:$A,'[1]Aug-25'!$H:$H,0)</f>
        <v>0</v>
      </c>
      <c r="Z9" s="17">
        <f>_xlfn.XLOOKUP($B9,'[1]Sep-25'!$A:$A,'[1]Sep-25'!$H:$H,0)</f>
        <v>0</v>
      </c>
      <c r="AA9" s="17">
        <f>_xlfn.XLOOKUP($B9,'[1]Oct-25'!$A:$A,'[1]Oct-25'!$H:$H,0)</f>
        <v>0</v>
      </c>
      <c r="AB9" s="17">
        <f>_xlfn.XLOOKUP($B9,'[1]Nov-25'!$A:$A,'[1]Nov-25'!$H:$H,0)</f>
        <v>420002</v>
      </c>
      <c r="AC9" s="17">
        <f>_xlfn.XLOOKUP($B9,'[1]Dec-25'!$A:$A,'[1]Dec-25'!$H:$H,0)</f>
        <v>420002</v>
      </c>
      <c r="AD9" s="17">
        <f>_xlfn.XLOOKUP($B9,'[1]Jan-26'!$A:$A,'[1]Jan-26'!$H:$H,0)</f>
        <v>1000002</v>
      </c>
      <c r="AE9" s="17">
        <f>_xlfn.XLOOKUP($B9,'[1]Feb-26'!$A:$A,'[1]Feb-26'!$H:$H,0)</f>
        <v>367380</v>
      </c>
      <c r="AF9" s="17">
        <f>_xlfn.XLOOKUP($B9,'[1]Mar-26'!$A:$A,'[1]Mar-26'!$H:$H,0)</f>
        <v>367380</v>
      </c>
      <c r="AG9" s="17">
        <f>_xlfn.XLOOKUP($B9,'[1]Apr-26'!$A:$A,'[1]Apr-26'!$H:$H,0)</f>
        <v>367380</v>
      </c>
    </row>
    <row r="10" spans="1:33" x14ac:dyDescent="0.2">
      <c r="A10" s="58">
        <v>13024</v>
      </c>
      <c r="B10" s="56" t="str">
        <f t="shared" si="6"/>
        <v>13024</v>
      </c>
      <c r="C10" s="57"/>
      <c r="D10" s="57" t="s">
        <v>303</v>
      </c>
      <c r="E10" s="44" t="s">
        <v>1707</v>
      </c>
      <c r="F10" s="17">
        <f>_xlfn.XLOOKUP($B10,'[1]Jan-24'!$A:$A,'[1]Jan-24'!$H:$H,0)</f>
        <v>0</v>
      </c>
      <c r="G10" s="17">
        <f>_xlfn.XLOOKUP($B10,'[1]Feb-24'!$A:$A,'[1]Feb-24'!$H:$H,0)</f>
        <v>0</v>
      </c>
      <c r="H10" s="17">
        <f>_xlfn.XLOOKUP($B10,'[1]Mar-24'!$A:$A,'[1]Mar-24'!$H:$H,0)</f>
        <v>0</v>
      </c>
      <c r="I10" s="17">
        <f>_xlfn.XLOOKUP($B10,'[1]Apr-24'!$A:$A,'[1]Apr-24'!$H:$H,0)</f>
        <v>0</v>
      </c>
      <c r="J10" s="17">
        <f>_xlfn.XLOOKUP($B10,'[1]May-24'!$A:$A,'[1]May-24'!$H:$H,0)</f>
        <v>0</v>
      </c>
      <c r="K10" s="17">
        <f>_xlfn.XLOOKUP($B10,'[1]Jun-24'!$A:$A,'[1]Jun-24'!$H:$H,0)</f>
        <v>0</v>
      </c>
      <c r="L10" s="17">
        <f>_xlfn.XLOOKUP($B10,'[1]Jul-24'!$A:$A,'[1]Jul-24'!$H:$H,0)</f>
        <v>0</v>
      </c>
      <c r="M10" s="17">
        <f>_xlfn.XLOOKUP($B10,'[1]Aug-24'!$A:$A,'[1]Aug-24'!$H:$H,0)</f>
        <v>0</v>
      </c>
      <c r="N10" s="17">
        <f>_xlfn.XLOOKUP($B10,'[1]Sep-24'!$A:$A,'[1]Sep-24'!$H:$H,0)</f>
        <v>0</v>
      </c>
      <c r="O10" s="17">
        <f>_xlfn.XLOOKUP($B10,'[1]Oct-24'!$A:$A,'[1]Oct-24'!$H:$H,0)</f>
        <v>0</v>
      </c>
      <c r="P10" s="17">
        <f>_xlfn.XLOOKUP($B10,'[1]Nov-24'!$A:$A,'[1]Nov-24'!$H:$H,0)</f>
        <v>0</v>
      </c>
      <c r="Q10" s="17">
        <f>_xlfn.XLOOKUP($B10,'[1]Dec-24'!$A:$A,'[1]Dec-24'!$H:$H,0)</f>
        <v>0</v>
      </c>
      <c r="R10" s="17">
        <f>_xlfn.XLOOKUP($B10,'[1]Jan-25'!$A:$A,'[1]Jan-25'!$H:$H,0)</f>
        <v>0</v>
      </c>
      <c r="S10" s="17">
        <f>_xlfn.XLOOKUP($B10,'[1]Feb-25'!$A:$A,'[1]Feb-25'!$H:$H,0)</f>
        <v>0</v>
      </c>
      <c r="T10" s="17">
        <f>_xlfn.XLOOKUP($B10,'[1]Mar-25'!$A:$A,'[1]Mar-25'!$H:$H,0)</f>
        <v>0</v>
      </c>
      <c r="U10" s="17">
        <f>_xlfn.XLOOKUP($B10,'[1]Apr-25'!$A:$A,'[1]Apr-25'!$H:$H,0)</f>
        <v>0</v>
      </c>
      <c r="V10" s="17">
        <f>_xlfn.XLOOKUP($B10,'[1]May-25'!$A:$A,'[1]May-25'!$H:$H,0)</f>
        <v>0</v>
      </c>
      <c r="W10" s="17">
        <f>_xlfn.XLOOKUP($B10,'[1]Jun-25'!$A:$A,'[1]Jun-25'!$H:$H,0)</f>
        <v>0</v>
      </c>
      <c r="X10" s="17">
        <f>_xlfn.XLOOKUP($B10,'[1]Jul-25'!$A:$A,'[1]Jul-25'!$H:$H,0)</f>
        <v>0</v>
      </c>
      <c r="Y10" s="17">
        <f>_xlfn.XLOOKUP($B10,'[1]Aug-25'!$A:$A,'[1]Aug-25'!$H:$H,0)</f>
        <v>0</v>
      </c>
      <c r="Z10" s="17">
        <f>_xlfn.XLOOKUP($B10,'[1]Sep-25'!$A:$A,'[1]Sep-25'!$H:$H,0)</f>
        <v>0</v>
      </c>
      <c r="AA10" s="17">
        <f>_xlfn.XLOOKUP($B10,'[1]Oct-25'!$A:$A,'[1]Oct-25'!$H:$H,0)</f>
        <v>0</v>
      </c>
      <c r="AB10" s="17">
        <f>_xlfn.XLOOKUP($B10,'[1]Nov-25'!$A:$A,'[1]Nov-25'!$H:$H,0)</f>
        <v>0</v>
      </c>
      <c r="AC10" s="17">
        <f>_xlfn.XLOOKUP($B10,'[1]Dec-25'!$A:$A,'[1]Dec-25'!$H:$H,0)</f>
        <v>0</v>
      </c>
      <c r="AD10" s="17">
        <f>_xlfn.XLOOKUP($B10,'[1]Jan-26'!$A:$A,'[1]Jan-26'!$H:$H,0)</f>
        <v>0</v>
      </c>
      <c r="AE10" s="17">
        <f>_xlfn.XLOOKUP($B10,'[1]Feb-26'!$A:$A,'[1]Feb-26'!$H:$H,0)</f>
        <v>5297817.95</v>
      </c>
      <c r="AF10" s="17">
        <f>_xlfn.XLOOKUP($B10,'[1]Mar-26'!$A:$A,'[1]Mar-26'!$H:$H,0)</f>
        <v>5874028.5099999998</v>
      </c>
      <c r="AG10" s="17">
        <f>_xlfn.XLOOKUP($B10,'[1]Apr-26'!$A:$A,'[1]Apr-26'!$H:$H,0)</f>
        <v>2979938.74</v>
      </c>
    </row>
    <row r="11" spans="1:33" x14ac:dyDescent="0.2">
      <c r="A11" s="58">
        <v>15511</v>
      </c>
      <c r="B11" s="56" t="str">
        <f t="shared" si="6"/>
        <v>15511</v>
      </c>
      <c r="C11" s="57"/>
      <c r="D11" s="57" t="s">
        <v>303</v>
      </c>
      <c r="E11" s="44" t="s">
        <v>1708</v>
      </c>
      <c r="F11" s="17">
        <f>_xlfn.XLOOKUP($B11,'[1]Jan-24'!$A:$A,'[1]Jan-24'!$H:$H,0)</f>
        <v>0</v>
      </c>
      <c r="G11" s="17">
        <f>_xlfn.XLOOKUP($B11,'[1]Feb-24'!$A:$A,'[1]Feb-24'!$H:$H,0)</f>
        <v>0</v>
      </c>
      <c r="H11" s="17">
        <f>_xlfn.XLOOKUP($B11,'[1]Mar-24'!$A:$A,'[1]Mar-24'!$H:$H,0)</f>
        <v>0</v>
      </c>
      <c r="I11" s="17">
        <f>_xlfn.XLOOKUP($B11,'[1]Apr-24'!$A:$A,'[1]Apr-24'!$H:$H,0)</f>
        <v>0</v>
      </c>
      <c r="J11" s="17">
        <f>_xlfn.XLOOKUP($B11,'[1]May-24'!$A:$A,'[1]May-24'!$H:$H,0)</f>
        <v>0</v>
      </c>
      <c r="K11" s="17">
        <f>_xlfn.XLOOKUP($B11,'[1]Jun-24'!$A:$A,'[1]Jun-24'!$H:$H,0)</f>
        <v>0</v>
      </c>
      <c r="L11" s="17">
        <f>_xlfn.XLOOKUP($B11,'[1]Jul-24'!$A:$A,'[1]Jul-24'!$H:$H,0)</f>
        <v>0</v>
      </c>
      <c r="M11" s="17">
        <f>_xlfn.XLOOKUP($B11,'[1]Aug-24'!$A:$A,'[1]Aug-24'!$H:$H,0)</f>
        <v>0</v>
      </c>
      <c r="N11" s="17">
        <f>_xlfn.XLOOKUP($B11,'[1]Sep-24'!$A:$A,'[1]Sep-24'!$H:$H,0)</f>
        <v>0</v>
      </c>
      <c r="O11" s="17">
        <f>_xlfn.XLOOKUP($B11,'[1]Oct-24'!$A:$A,'[1]Oct-24'!$H:$H,0)</f>
        <v>0</v>
      </c>
      <c r="P11" s="17">
        <f>_xlfn.XLOOKUP($B11,'[1]Nov-24'!$A:$A,'[1]Nov-24'!$H:$H,0)</f>
        <v>0</v>
      </c>
      <c r="Q11" s="17">
        <f>_xlfn.XLOOKUP($B11,'[1]Dec-24'!$A:$A,'[1]Dec-24'!$H:$H,0)</f>
        <v>0</v>
      </c>
      <c r="R11" s="17">
        <f>_xlfn.XLOOKUP($B11,'[1]Jan-25'!$A:$A,'[1]Jan-25'!$H:$H,0)</f>
        <v>0</v>
      </c>
      <c r="S11" s="17">
        <f>_xlfn.XLOOKUP($B11,'[1]Feb-25'!$A:$A,'[1]Feb-25'!$H:$H,0)</f>
        <v>0</v>
      </c>
      <c r="T11" s="17">
        <f>_xlfn.XLOOKUP($B11,'[1]Mar-25'!$A:$A,'[1]Mar-25'!$H:$H,0)</f>
        <v>0</v>
      </c>
      <c r="U11" s="17">
        <f>_xlfn.XLOOKUP($B11,'[1]Apr-25'!$A:$A,'[1]Apr-25'!$H:$H,0)</f>
        <v>0</v>
      </c>
      <c r="V11" s="17">
        <f>_xlfn.XLOOKUP($B11,'[1]May-25'!$A:$A,'[1]May-25'!$H:$H,0)</f>
        <v>0</v>
      </c>
      <c r="W11" s="17">
        <f>_xlfn.XLOOKUP($B11,'[1]Jun-25'!$A:$A,'[1]Jun-25'!$H:$H,0)</f>
        <v>0</v>
      </c>
      <c r="X11" s="17">
        <f>_xlfn.XLOOKUP($B11,'[1]Jul-25'!$A:$A,'[1]Jul-25'!$H:$H,0)</f>
        <v>0</v>
      </c>
      <c r="Y11" s="17">
        <f>_xlfn.XLOOKUP($B11,'[1]Aug-25'!$A:$A,'[1]Aug-25'!$H:$H,0)</f>
        <v>74539381.689999998</v>
      </c>
      <c r="Z11" s="17">
        <f>_xlfn.XLOOKUP($B11,'[1]Sep-25'!$A:$A,'[1]Sep-25'!$H:$H,0)</f>
        <v>88357376.590000004</v>
      </c>
      <c r="AA11" s="17">
        <f>_xlfn.XLOOKUP($B11,'[1]Oct-25'!$A:$A,'[1]Oct-25'!$H:$H,0)</f>
        <v>98267389.469999999</v>
      </c>
      <c r="AB11" s="17">
        <f>_xlfn.XLOOKUP($B11,'[1]Nov-25'!$A:$A,'[1]Nov-25'!$H:$H,0)</f>
        <v>107697884.17</v>
      </c>
      <c r="AC11" s="17">
        <f>_xlfn.XLOOKUP($B11,'[1]Dec-25'!$A:$A,'[1]Dec-25'!$H:$H,0)</f>
        <v>107697884.17</v>
      </c>
      <c r="AD11" s="17">
        <f>_xlfn.XLOOKUP($B11,'[1]Jan-26'!$A:$A,'[1]Jan-26'!$H:$H,0)</f>
        <v>107697884.17</v>
      </c>
      <c r="AE11" s="17">
        <f>_xlfn.XLOOKUP($B11,'[1]Feb-26'!$A:$A,'[1]Feb-26'!$H:$H,0)</f>
        <v>107697884.17</v>
      </c>
      <c r="AF11" s="17">
        <f>_xlfn.XLOOKUP($B11,'[1]Mar-26'!$A:$A,'[1]Mar-26'!$H:$H,0)</f>
        <v>107697884.17</v>
      </c>
      <c r="AG11" s="17">
        <f>_xlfn.XLOOKUP($B11,'[1]Apr-26'!$A:$A,'[1]Apr-26'!$H:$H,0)</f>
        <v>107697884.17</v>
      </c>
    </row>
    <row r="12" spans="1:33" x14ac:dyDescent="0.2">
      <c r="A12" s="58">
        <v>69905</v>
      </c>
      <c r="B12" s="56" t="str">
        <f t="shared" si="6"/>
        <v>69905</v>
      </c>
      <c r="C12" s="57"/>
      <c r="D12" s="57" t="s">
        <v>303</v>
      </c>
      <c r="E12" s="44" t="s">
        <v>1709</v>
      </c>
      <c r="F12" s="17">
        <f>_xlfn.XLOOKUP($B12,'[1]Jan-24'!$A:$A,'[1]Jan-24'!$H:$H,0)</f>
        <v>0</v>
      </c>
      <c r="G12" s="17">
        <f>_xlfn.XLOOKUP($B12,'[1]Feb-24'!$A:$A,'[1]Feb-24'!$H:$H,0)</f>
        <v>0</v>
      </c>
      <c r="H12" s="17">
        <f>_xlfn.XLOOKUP($B12,'[1]Mar-24'!$A:$A,'[1]Mar-24'!$H:$H,0)</f>
        <v>0</v>
      </c>
      <c r="I12" s="17">
        <f>_xlfn.XLOOKUP($B12,'[1]Apr-24'!$A:$A,'[1]Apr-24'!$H:$H,0)</f>
        <v>0</v>
      </c>
      <c r="J12" s="17">
        <f>_xlfn.XLOOKUP($B12,'[1]May-24'!$A:$A,'[1]May-24'!$H:$H,0)</f>
        <v>0</v>
      </c>
      <c r="K12" s="17">
        <f>_xlfn.XLOOKUP($B12,'[1]Jun-24'!$A:$A,'[1]Jun-24'!$H:$H,0)</f>
        <v>0</v>
      </c>
      <c r="L12" s="17">
        <f>_xlfn.XLOOKUP($B12,'[1]Jul-24'!$A:$A,'[1]Jul-24'!$H:$H,0)</f>
        <v>0</v>
      </c>
      <c r="M12" s="17">
        <f>_xlfn.XLOOKUP($B12,'[1]Aug-24'!$A:$A,'[1]Aug-24'!$H:$H,0)</f>
        <v>0</v>
      </c>
      <c r="N12" s="17">
        <f>_xlfn.XLOOKUP($B12,'[1]Sep-24'!$A:$A,'[1]Sep-24'!$H:$H,0)</f>
        <v>0</v>
      </c>
      <c r="O12" s="17">
        <f>_xlfn.XLOOKUP($B12,'[1]Oct-24'!$A:$A,'[1]Oct-24'!$H:$H,0)</f>
        <v>0</v>
      </c>
      <c r="P12" s="17">
        <f>_xlfn.XLOOKUP($B12,'[1]Nov-24'!$A:$A,'[1]Nov-24'!$H:$H,0)</f>
        <v>0</v>
      </c>
      <c r="Q12" s="17">
        <f>_xlfn.XLOOKUP($B12,'[1]Dec-24'!$A:$A,'[1]Dec-24'!$H:$H,0)</f>
        <v>0</v>
      </c>
      <c r="R12" s="17">
        <f>_xlfn.XLOOKUP($B12,'[1]Jan-25'!$A:$A,'[1]Jan-25'!$H:$H,0)</f>
        <v>0</v>
      </c>
      <c r="S12" s="17">
        <f>_xlfn.XLOOKUP($B12,'[1]Feb-25'!$A:$A,'[1]Feb-25'!$H:$H,0)</f>
        <v>0</v>
      </c>
      <c r="T12" s="17">
        <f>_xlfn.XLOOKUP($B12,'[1]Mar-25'!$A:$A,'[1]Mar-25'!$H:$H,0)</f>
        <v>0</v>
      </c>
      <c r="U12" s="17">
        <f>_xlfn.XLOOKUP($B12,'[1]Apr-25'!$A:$A,'[1]Apr-25'!$H:$H,0)</f>
        <v>0</v>
      </c>
      <c r="V12" s="17">
        <f>_xlfn.XLOOKUP($B12,'[1]May-25'!$A:$A,'[1]May-25'!$H:$H,0)</f>
        <v>0</v>
      </c>
      <c r="W12" s="17">
        <f>_xlfn.XLOOKUP($B12,'[1]Jun-25'!$A:$A,'[1]Jun-25'!$H:$H,0)</f>
        <v>0</v>
      </c>
      <c r="X12" s="17">
        <f>_xlfn.XLOOKUP($B12,'[1]Jul-25'!$A:$A,'[1]Jul-25'!$H:$H,0)</f>
        <v>0</v>
      </c>
      <c r="Y12" s="17">
        <f>_xlfn.XLOOKUP($B12,'[1]Aug-25'!$A:$A,'[1]Aug-25'!$H:$H,0)</f>
        <v>0</v>
      </c>
      <c r="Z12" s="17">
        <f>_xlfn.XLOOKUP($B12,'[1]Sep-25'!$A:$A,'[1]Sep-25'!$H:$H,0)</f>
        <v>0</v>
      </c>
      <c r="AA12" s="17">
        <f>_xlfn.XLOOKUP($B12,'[1]Oct-25'!$A:$A,'[1]Oct-25'!$H:$H,0)</f>
        <v>0</v>
      </c>
      <c r="AB12" s="17">
        <f>_xlfn.XLOOKUP($B12,'[1]Nov-25'!$A:$A,'[1]Nov-25'!$H:$H,0)</f>
        <v>0</v>
      </c>
      <c r="AC12" s="17">
        <f>_xlfn.XLOOKUP($B12,'[1]Dec-25'!$A:$A,'[1]Dec-25'!$H:$H,0)</f>
        <v>0</v>
      </c>
      <c r="AD12" s="17">
        <f>_xlfn.XLOOKUP($B12,'[1]Jan-26'!$A:$A,'[1]Jan-26'!$H:$H,0)</f>
        <v>-1794964.74</v>
      </c>
      <c r="AE12" s="17">
        <f>_xlfn.XLOOKUP($B12,'[1]Feb-26'!$A:$A,'[1]Feb-26'!$H:$H,0)</f>
        <v>-3589929.48</v>
      </c>
      <c r="AF12" s="17">
        <f>_xlfn.XLOOKUP($B12,'[1]Mar-26'!$A:$A,'[1]Mar-26'!$H:$H,0)</f>
        <v>-5384894.2199999997</v>
      </c>
      <c r="AG12" s="17">
        <f>_xlfn.XLOOKUP($B12,'[1]Apr-26'!$A:$A,'[1]Apr-26'!$H:$H,0)</f>
        <v>-7179858.96</v>
      </c>
    </row>
    <row r="13" spans="1:33" x14ac:dyDescent="0.2">
      <c r="A13" s="58">
        <v>89906</v>
      </c>
      <c r="B13" s="56" t="str">
        <f t="shared" si="6"/>
        <v>89906</v>
      </c>
      <c r="C13" s="57"/>
      <c r="D13" s="57" t="s">
        <v>303</v>
      </c>
      <c r="E13" s="44" t="s">
        <v>1710</v>
      </c>
      <c r="F13" s="17">
        <f>_xlfn.XLOOKUP($B13,'[1]Jan-24'!$A:$A,'[1]Jan-24'!$H:$H,0)</f>
        <v>0</v>
      </c>
      <c r="G13" s="17">
        <f>_xlfn.XLOOKUP($B13,'[1]Feb-24'!$A:$A,'[1]Feb-24'!$H:$H,0)</f>
        <v>0</v>
      </c>
      <c r="H13" s="17">
        <f>_xlfn.XLOOKUP($B13,'[1]Mar-24'!$A:$A,'[1]Mar-24'!$H:$H,0)</f>
        <v>0</v>
      </c>
      <c r="I13" s="17">
        <f>_xlfn.XLOOKUP($B13,'[1]Apr-24'!$A:$A,'[1]Apr-24'!$H:$H,0)</f>
        <v>0</v>
      </c>
      <c r="J13" s="17">
        <f>_xlfn.XLOOKUP($B13,'[1]May-24'!$A:$A,'[1]May-24'!$H:$H,0)</f>
        <v>0</v>
      </c>
      <c r="K13" s="17">
        <f>_xlfn.XLOOKUP($B13,'[1]Jun-24'!$A:$A,'[1]Jun-24'!$H:$H,0)</f>
        <v>0</v>
      </c>
      <c r="L13" s="17">
        <f>_xlfn.XLOOKUP($B13,'[1]Jul-24'!$A:$A,'[1]Jul-24'!$H:$H,0)</f>
        <v>0</v>
      </c>
      <c r="M13" s="17">
        <f>_xlfn.XLOOKUP($B13,'[1]Aug-24'!$A:$A,'[1]Aug-24'!$H:$H,0)</f>
        <v>0</v>
      </c>
      <c r="N13" s="17">
        <f>_xlfn.XLOOKUP($B13,'[1]Sep-24'!$A:$A,'[1]Sep-24'!$H:$H,0)</f>
        <v>0</v>
      </c>
      <c r="O13" s="17">
        <f>_xlfn.XLOOKUP($B13,'[1]Oct-24'!$A:$A,'[1]Oct-24'!$H:$H,0)</f>
        <v>0</v>
      </c>
      <c r="P13" s="17">
        <f>_xlfn.XLOOKUP($B13,'[1]Nov-24'!$A:$A,'[1]Nov-24'!$H:$H,0)</f>
        <v>0</v>
      </c>
      <c r="Q13" s="17">
        <f>_xlfn.XLOOKUP($B13,'[1]Dec-24'!$A:$A,'[1]Dec-24'!$H:$H,0)</f>
        <v>0</v>
      </c>
      <c r="R13" s="17">
        <f>_xlfn.XLOOKUP($B13,'[1]Jan-25'!$A:$A,'[1]Jan-25'!$H:$H,0)</f>
        <v>0</v>
      </c>
      <c r="S13" s="17">
        <f>_xlfn.XLOOKUP($B13,'[1]Feb-25'!$A:$A,'[1]Feb-25'!$H:$H,0)</f>
        <v>0</v>
      </c>
      <c r="T13" s="17">
        <f>_xlfn.XLOOKUP($B13,'[1]Mar-25'!$A:$A,'[1]Mar-25'!$H:$H,0)</f>
        <v>0</v>
      </c>
      <c r="U13" s="17">
        <f>_xlfn.XLOOKUP($B13,'[1]Apr-25'!$A:$A,'[1]Apr-25'!$H:$H,0)</f>
        <v>0</v>
      </c>
      <c r="V13" s="17">
        <f>_xlfn.XLOOKUP($B13,'[1]May-25'!$A:$A,'[1]May-25'!$H:$H,0)</f>
        <v>0</v>
      </c>
      <c r="W13" s="17">
        <f>_xlfn.XLOOKUP($B13,'[1]Jun-25'!$A:$A,'[1]Jun-25'!$H:$H,0)</f>
        <v>0</v>
      </c>
      <c r="X13" s="17">
        <f>_xlfn.XLOOKUP($B13,'[1]Jul-25'!$A:$A,'[1]Jul-25'!$H:$H,0)</f>
        <v>0</v>
      </c>
      <c r="Y13" s="17">
        <f>_xlfn.XLOOKUP($B13,'[1]Aug-25'!$A:$A,'[1]Aug-25'!$H:$H,0)</f>
        <v>0</v>
      </c>
      <c r="Z13" s="17">
        <f>_xlfn.XLOOKUP($B13,'[1]Sep-25'!$A:$A,'[1]Sep-25'!$H:$H,0)</f>
        <v>0</v>
      </c>
      <c r="AA13" s="17">
        <f>_xlfn.XLOOKUP($B13,'[1]Oct-25'!$A:$A,'[1]Oct-25'!$H:$H,0)</f>
        <v>0</v>
      </c>
      <c r="AB13" s="17">
        <f>_xlfn.XLOOKUP($B13,'[1]Nov-25'!$A:$A,'[1]Nov-25'!$H:$H,0)</f>
        <v>0</v>
      </c>
      <c r="AC13" s="17">
        <f>_xlfn.XLOOKUP($B13,'[1]Dec-25'!$A:$A,'[1]Dec-25'!$H:$H,0)</f>
        <v>0</v>
      </c>
      <c r="AD13" s="17">
        <f>_xlfn.XLOOKUP($B13,'[1]Jan-26'!$A:$A,'[1]Jan-26'!$H:$H,0)</f>
        <v>-5361549.59</v>
      </c>
      <c r="AE13" s="17">
        <f>_xlfn.XLOOKUP($B13,'[1]Feb-26'!$A:$A,'[1]Feb-26'!$H:$H,0)</f>
        <v>-10723099.18</v>
      </c>
      <c r="AF13" s="17">
        <f>_xlfn.XLOOKUP($B13,'[1]Mar-26'!$A:$A,'[1]Mar-26'!$H:$H,0)</f>
        <v>-16084648.77</v>
      </c>
      <c r="AG13" s="17">
        <f>_xlfn.XLOOKUP($B13,'[1]Apr-26'!$A:$A,'[1]Apr-26'!$H:$H,0)</f>
        <v>-21446198.359999999</v>
      </c>
    </row>
    <row r="14" spans="1:33" x14ac:dyDescent="0.2">
      <c r="A14" s="58">
        <v>10103</v>
      </c>
      <c r="B14" s="56" t="str">
        <f t="shared" si="6"/>
        <v>10103</v>
      </c>
      <c r="C14" s="57" t="s">
        <v>302</v>
      </c>
      <c r="D14" s="57" t="s">
        <v>303</v>
      </c>
      <c r="E14" s="44" t="s">
        <v>306</v>
      </c>
      <c r="F14" s="17">
        <f>_xlfn.XLOOKUP($B14,'[1]Jan-24'!$A:$A,'[1]Jan-24'!$H:$H,0)</f>
        <v>0</v>
      </c>
      <c r="G14" s="17">
        <f>_xlfn.XLOOKUP($B14,'[1]Feb-24'!$A:$A,'[1]Feb-24'!$H:$H,0)</f>
        <v>0</v>
      </c>
      <c r="H14" s="17">
        <f>_xlfn.XLOOKUP($B14,'[1]Mar-24'!$A:$A,'[1]Mar-24'!$H:$H,0)</f>
        <v>0</v>
      </c>
      <c r="I14" s="17">
        <f>_xlfn.XLOOKUP($B14,'[1]Apr-24'!$A:$A,'[1]Apr-24'!$H:$H,0)</f>
        <v>0</v>
      </c>
      <c r="J14" s="17">
        <f>_xlfn.XLOOKUP($B14,'[1]May-24'!$A:$A,'[1]May-24'!$H:$H,0)</f>
        <v>0</v>
      </c>
      <c r="K14" s="17">
        <f>_xlfn.XLOOKUP($B14,'[1]Jun-24'!$A:$A,'[1]Jun-24'!$H:$H,0)</f>
        <v>0</v>
      </c>
      <c r="L14" s="17">
        <f>_xlfn.XLOOKUP($B14,'[1]Jul-24'!$A:$A,'[1]Jul-24'!$H:$H,0)</f>
        <v>0</v>
      </c>
      <c r="M14" s="17">
        <f>_xlfn.XLOOKUP($B14,'[1]Aug-24'!$A:$A,'[1]Aug-24'!$H:$H,0)</f>
        <v>0</v>
      </c>
      <c r="N14" s="17">
        <f>_xlfn.XLOOKUP($B14,'[1]Sep-24'!$A:$A,'[1]Sep-24'!$H:$H,0)</f>
        <v>0</v>
      </c>
      <c r="O14" s="17">
        <f>_xlfn.XLOOKUP($B14,'[1]Oct-24'!$A:$A,'[1]Oct-24'!$H:$H,0)</f>
        <v>0</v>
      </c>
      <c r="P14" s="17">
        <f>_xlfn.XLOOKUP($B14,'[1]Nov-24'!$A:$A,'[1]Nov-24'!$H:$H,0)</f>
        <v>0</v>
      </c>
      <c r="Q14" s="17">
        <f>_xlfn.XLOOKUP($B14,'[1]Dec-24'!$A:$A,'[1]Dec-24'!$H:$H,0)</f>
        <v>0</v>
      </c>
      <c r="R14" s="17">
        <f>_xlfn.XLOOKUP($B14,'[1]Jan-25'!$A:$A,'[1]Jan-25'!$H:$H,0)</f>
        <v>0</v>
      </c>
      <c r="S14" s="17">
        <f>_xlfn.XLOOKUP($B14,'[1]Feb-25'!$A:$A,'[1]Feb-25'!$H:$H,0)</f>
        <v>0</v>
      </c>
      <c r="T14" s="17">
        <f>_xlfn.XLOOKUP($B14,'[1]Mar-25'!$A:$A,'[1]Mar-25'!$H:$H,0)</f>
        <v>0</v>
      </c>
      <c r="U14" s="17">
        <f>_xlfn.XLOOKUP($B14,'[1]Apr-25'!$A:$A,'[1]Apr-25'!$H:$H,0)</f>
        <v>0</v>
      </c>
      <c r="V14" s="17">
        <f>_xlfn.XLOOKUP($B14,'[1]May-25'!$A:$A,'[1]May-25'!$H:$H,0)</f>
        <v>0</v>
      </c>
      <c r="W14" s="17">
        <f>_xlfn.XLOOKUP($B14,'[1]Jun-25'!$A:$A,'[1]Jun-25'!$H:$H,0)</f>
        <v>0</v>
      </c>
      <c r="X14" s="17">
        <f>_xlfn.XLOOKUP($B14,'[1]Jul-25'!$A:$A,'[1]Jul-25'!$H:$H,0)</f>
        <v>0</v>
      </c>
      <c r="Y14" s="17">
        <f>_xlfn.XLOOKUP($B14,'[1]Aug-25'!$A:$A,'[1]Aug-25'!$H:$H,0)</f>
        <v>0</v>
      </c>
      <c r="Z14" s="17">
        <f>_xlfn.XLOOKUP($B14,'[1]Sep-25'!$A:$A,'[1]Sep-25'!$H:$H,0)</f>
        <v>0</v>
      </c>
      <c r="AA14" s="17">
        <f>_xlfn.XLOOKUP($B14,'[1]Oct-25'!$A:$A,'[1]Oct-25'!$H:$H,0)</f>
        <v>0</v>
      </c>
      <c r="AB14" s="17">
        <f>_xlfn.XLOOKUP($B14,'[1]Nov-25'!$A:$A,'[1]Nov-25'!$H:$H,0)</f>
        <v>0</v>
      </c>
      <c r="AC14" s="17">
        <f>_xlfn.XLOOKUP($B14,'[1]Dec-25'!$A:$A,'[1]Dec-25'!$H:$H,0)</f>
        <v>0</v>
      </c>
      <c r="AD14" s="17">
        <f>_xlfn.XLOOKUP($B14,'[1]Jan-26'!$A:$A,'[1]Jan-26'!$H:$H,0)</f>
        <v>0</v>
      </c>
      <c r="AE14" s="17">
        <f>_xlfn.XLOOKUP($B14,'[1]Feb-26'!$A:$A,'[1]Feb-26'!$H:$H,0)</f>
        <v>0</v>
      </c>
      <c r="AF14" s="17">
        <f>_xlfn.XLOOKUP($B14,'[1]Mar-26'!$A:$A,'[1]Mar-26'!$H:$H,0)</f>
        <v>0</v>
      </c>
      <c r="AG14" s="17">
        <f>_xlfn.XLOOKUP($B14,'[1]Apr-26'!$A:$A,'[1]Apr-26'!$H:$H,0)</f>
        <v>0</v>
      </c>
    </row>
    <row r="15" spans="1:33" x14ac:dyDescent="0.2">
      <c r="A15" s="58">
        <v>10104</v>
      </c>
      <c r="B15" s="56" t="str">
        <f t="shared" si="6"/>
        <v>10104</v>
      </c>
      <c r="C15" s="57" t="s">
        <v>302</v>
      </c>
      <c r="D15" s="57" t="s">
        <v>303</v>
      </c>
      <c r="E15" s="44" t="s">
        <v>156</v>
      </c>
      <c r="F15" s="17">
        <f>_xlfn.XLOOKUP($B15,'[1]Jan-24'!$A:$A,'[1]Jan-24'!$H:$H,0)</f>
        <v>-7545350</v>
      </c>
      <c r="G15" s="17">
        <f>_xlfn.XLOOKUP($B15,'[1]Feb-24'!$A:$A,'[1]Feb-24'!$H:$H,0)</f>
        <v>4486515</v>
      </c>
      <c r="H15" s="17">
        <f>_xlfn.XLOOKUP($B15,'[1]Mar-24'!$A:$A,'[1]Mar-24'!$H:$H,0)</f>
        <v>19285530</v>
      </c>
      <c r="I15" s="17">
        <f>_xlfn.XLOOKUP($B15,'[1]Apr-24'!$A:$A,'[1]Apr-24'!$H:$H,0)</f>
        <v>17214006.940000001</v>
      </c>
      <c r="J15" s="17">
        <f>_xlfn.XLOOKUP($B15,'[1]May-24'!$A:$A,'[1]May-24'!$H:$H,0)</f>
        <v>5753672.54</v>
      </c>
      <c r="K15" s="17">
        <f>_xlfn.XLOOKUP($B15,'[1]Jun-24'!$A:$A,'[1]Jun-24'!$H:$H,0)</f>
        <v>3379893.84</v>
      </c>
      <c r="L15" s="17">
        <f>_xlfn.XLOOKUP($B15,'[1]Jul-24'!$A:$A,'[1]Jul-24'!$H:$H,0)</f>
        <v>3830184.96</v>
      </c>
      <c r="M15" s="17">
        <f>_xlfn.XLOOKUP($B15,'[1]Aug-24'!$A:$A,'[1]Aug-24'!$H:$H,0)</f>
        <v>830058.3</v>
      </c>
      <c r="N15" s="17">
        <f>_xlfn.XLOOKUP($B15,'[1]Sep-24'!$A:$A,'[1]Sep-24'!$H:$H,0)</f>
        <v>1437798.76</v>
      </c>
      <c r="O15" s="17">
        <f>_xlfn.XLOOKUP($B15,'[1]Oct-24'!$A:$A,'[1]Oct-24'!$H:$H,0)</f>
        <v>5695816.4400000004</v>
      </c>
      <c r="P15" s="17">
        <f>_xlfn.XLOOKUP($B15,'[1]Nov-24'!$A:$A,'[1]Nov-24'!$H:$H,0)</f>
        <v>6152609.2800000003</v>
      </c>
      <c r="Q15" s="17">
        <f>_xlfn.XLOOKUP($B15,'[1]Dec-24'!$A:$A,'[1]Dec-24'!$H:$H,0)</f>
        <v>5307070.8</v>
      </c>
      <c r="R15" s="17">
        <f>_xlfn.XLOOKUP($B15,'[1]Jan-25'!$A:$A,'[1]Jan-25'!$H:$H,0)</f>
        <v>10564987.02</v>
      </c>
      <c r="S15" s="17">
        <f>_xlfn.XLOOKUP($B15,'[1]Feb-25'!$A:$A,'[1]Feb-25'!$H:$H,0)</f>
        <v>23401976.309999999</v>
      </c>
      <c r="T15" s="17">
        <f>_xlfn.XLOOKUP($B15,'[1]Mar-25'!$A:$A,'[1]Mar-25'!$H:$H,0)</f>
        <v>78315.09</v>
      </c>
      <c r="U15" s="17">
        <f>_xlfn.XLOOKUP($B15,'[1]Apr-25'!$A:$A,'[1]Apr-25'!$H:$H,0)</f>
        <v>49658.9</v>
      </c>
      <c r="V15" s="17">
        <f>_xlfn.XLOOKUP($B15,'[1]May-25'!$A:$A,'[1]May-25'!$H:$H,0)</f>
        <v>5749387.5899999999</v>
      </c>
      <c r="W15" s="17">
        <f>_xlfn.XLOOKUP($B15,'[1]Jun-25'!$A:$A,'[1]Jun-25'!$H:$H,0)</f>
        <v>5350511.79</v>
      </c>
      <c r="X15" s="17">
        <f>_xlfn.XLOOKUP($B15,'[1]Jul-25'!$A:$A,'[1]Jul-25'!$H:$H,0)</f>
        <v>13408798.109999999</v>
      </c>
      <c r="Y15" s="17">
        <f>_xlfn.XLOOKUP($B15,'[1]Aug-25'!$A:$A,'[1]Aug-25'!$H:$H,0)</f>
        <v>5016168.03</v>
      </c>
      <c r="Z15" s="17">
        <f>_xlfn.XLOOKUP($B15,'[1]Sep-25'!$A:$A,'[1]Sep-25'!$H:$H,0)</f>
        <v>5951281.1399999997</v>
      </c>
      <c r="AA15" s="17">
        <f>_xlfn.XLOOKUP($B15,'[1]Oct-25'!$A:$A,'[1]Oct-25'!$H:$H,0)</f>
        <v>6140039.6399999997</v>
      </c>
      <c r="AB15" s="17">
        <f>_xlfn.XLOOKUP($B15,'[1]Nov-25'!$A:$A,'[1]Nov-25'!$H:$H,0)</f>
        <v>9271083.5</v>
      </c>
      <c r="AC15" s="17">
        <f>_xlfn.XLOOKUP($B15,'[1]Dec-25'!$A:$A,'[1]Dec-25'!$H:$H,0)</f>
        <v>2871776.46</v>
      </c>
      <c r="AD15" s="17">
        <f>_xlfn.XLOOKUP($B15,'[1]Jan-26'!$A:$A,'[1]Jan-26'!$H:$H,0)</f>
        <v>12074464.710000001</v>
      </c>
      <c r="AE15" s="17">
        <f>_xlfn.XLOOKUP($B15,'[1]Feb-26'!$A:$A,'[1]Feb-26'!$H:$H,0)</f>
        <v>27406432.550000001</v>
      </c>
      <c r="AF15" s="17">
        <f>_xlfn.XLOOKUP($B15,'[1]Mar-26'!$A:$A,'[1]Mar-26'!$H:$H,0)</f>
        <v>56657208.240000002</v>
      </c>
      <c r="AG15" s="17">
        <f>_xlfn.XLOOKUP($B15,'[1]Apr-26'!$A:$A,'[1]Apr-26'!$H:$H,0)</f>
        <v>12115283.699999999</v>
      </c>
    </row>
    <row r="16" spans="1:33" x14ac:dyDescent="0.2">
      <c r="A16" s="58">
        <v>10105</v>
      </c>
      <c r="B16" s="56" t="str">
        <f t="shared" si="6"/>
        <v>10105</v>
      </c>
      <c r="C16" s="57" t="s">
        <v>307</v>
      </c>
      <c r="D16" s="57" t="s">
        <v>303</v>
      </c>
      <c r="E16" s="44" t="s">
        <v>257</v>
      </c>
      <c r="F16" s="17">
        <f>_xlfn.XLOOKUP($B16,'[1]Jan-24'!$A:$A,'[1]Jan-24'!$H:$H,0)</f>
        <v>520056540.63999999</v>
      </c>
      <c r="G16" s="17">
        <f>_xlfn.XLOOKUP($B16,'[1]Feb-24'!$A:$A,'[1]Feb-24'!$H:$H,0)</f>
        <v>520056540.63999999</v>
      </c>
      <c r="H16" s="17">
        <f>_xlfn.XLOOKUP($B16,'[1]Mar-24'!$A:$A,'[1]Mar-24'!$H:$H,0)</f>
        <v>520056540.63999999</v>
      </c>
      <c r="I16" s="17">
        <f>_xlfn.XLOOKUP($B16,'[1]Apr-24'!$A:$A,'[1]Apr-24'!$H:$H,0)</f>
        <v>755041235.00999999</v>
      </c>
      <c r="J16" s="17">
        <f>_xlfn.XLOOKUP($B16,'[1]May-24'!$A:$A,'[1]May-24'!$H:$H,0)</f>
        <v>755041235.00999999</v>
      </c>
      <c r="K16" s="17">
        <f>_xlfn.XLOOKUP($B16,'[1]Jun-24'!$A:$A,'[1]Jun-24'!$H:$H,0)</f>
        <v>755041235.00999999</v>
      </c>
      <c r="L16" s="17">
        <f>_xlfn.XLOOKUP($B16,'[1]Jul-24'!$A:$A,'[1]Jul-24'!$H:$H,0)</f>
        <v>755041235.00999999</v>
      </c>
      <c r="M16" s="17">
        <f>_xlfn.XLOOKUP($B16,'[1]Aug-24'!$A:$A,'[1]Aug-24'!$H:$H,0)</f>
        <v>881160918.50999999</v>
      </c>
      <c r="N16" s="17">
        <f>_xlfn.XLOOKUP($B16,'[1]Sep-24'!$A:$A,'[1]Sep-24'!$H:$H,0)</f>
        <v>881160918.50999999</v>
      </c>
      <c r="O16" s="17">
        <f>_xlfn.XLOOKUP($B16,'[1]Oct-24'!$A:$A,'[1]Oct-24'!$H:$H,0)</f>
        <v>881160918.50999999</v>
      </c>
      <c r="P16" s="17">
        <f>_xlfn.XLOOKUP($B16,'[1]Nov-24'!$A:$A,'[1]Nov-24'!$H:$H,0)</f>
        <v>881160918.50999999</v>
      </c>
      <c r="Q16" s="17">
        <f>_xlfn.XLOOKUP($B16,'[1]Dec-24'!$A:$A,'[1]Dec-24'!$H:$H,0)</f>
        <v>881160918.50999999</v>
      </c>
      <c r="R16" s="17">
        <f>_xlfn.XLOOKUP($B16,'[1]Jan-25'!$A:$A,'[1]Jan-25'!$H:$H,0)</f>
        <v>1005318518.51</v>
      </c>
      <c r="S16" s="17">
        <f>_xlfn.XLOOKUP($B16,'[1]Feb-25'!$A:$A,'[1]Feb-25'!$H:$H,0)</f>
        <v>1005318518.51</v>
      </c>
      <c r="T16" s="17">
        <f>_xlfn.XLOOKUP($B16,'[1]Mar-25'!$A:$A,'[1]Mar-25'!$H:$H,0)</f>
        <v>1005318518.51</v>
      </c>
      <c r="U16" s="17">
        <f>_xlfn.XLOOKUP($B16,'[1]Apr-25'!$A:$A,'[1]Apr-25'!$H:$H,0)</f>
        <v>1114207018.51</v>
      </c>
      <c r="V16" s="17">
        <f>_xlfn.XLOOKUP($B16,'[1]May-25'!$A:$A,'[1]May-25'!$H:$H,0)</f>
        <v>1114207018.51</v>
      </c>
      <c r="W16" s="17">
        <f>_xlfn.XLOOKUP($B16,'[1]Jun-25'!$A:$A,'[1]Jun-25'!$H:$H,0)</f>
        <v>1272514018.51</v>
      </c>
      <c r="X16" s="17">
        <f>_xlfn.XLOOKUP($B16,'[1]Jul-25'!$A:$A,'[1]Jul-25'!$H:$H,0)</f>
        <v>1500499973.51</v>
      </c>
      <c r="Y16" s="17">
        <f>_xlfn.XLOOKUP($B16,'[1]Aug-25'!$A:$A,'[1]Aug-25'!$H:$H,0)</f>
        <v>1500499973.51</v>
      </c>
      <c r="Z16" s="17">
        <f>_xlfn.XLOOKUP($B16,'[1]Sep-25'!$A:$A,'[1]Sep-25'!$H:$H,0)</f>
        <v>1500499973.51</v>
      </c>
      <c r="AA16" s="17">
        <f>_xlfn.XLOOKUP($B16,'[1]Oct-25'!$A:$A,'[1]Oct-25'!$H:$H,0)</f>
        <v>1500499973.51</v>
      </c>
      <c r="AB16" s="17">
        <f>_xlfn.XLOOKUP($B16,'[1]Nov-25'!$A:$A,'[1]Nov-25'!$H:$H,0)</f>
        <v>1627186907.1099999</v>
      </c>
      <c r="AC16" s="17">
        <f>_xlfn.XLOOKUP($B16,'[1]Dec-25'!$A:$A,'[1]Dec-25'!$H:$H,0)</f>
        <v>1627186907.1099999</v>
      </c>
      <c r="AD16" s="17">
        <f>_xlfn.XLOOKUP($B16,'[1]Jan-26'!$A:$A,'[1]Jan-26'!$H:$H,0)</f>
        <v>1627186907.1099999</v>
      </c>
      <c r="AE16" s="17">
        <f>_xlfn.XLOOKUP($B16,'[1]Feb-26'!$A:$A,'[1]Feb-26'!$H:$H,0)</f>
        <v>1627186907.1099999</v>
      </c>
      <c r="AF16" s="17">
        <f>_xlfn.XLOOKUP($B16,'[1]Mar-26'!$A:$A,'[1]Mar-26'!$H:$H,0)</f>
        <v>1627186907.1099999</v>
      </c>
      <c r="AG16" s="17">
        <f>_xlfn.XLOOKUP($B16,'[1]Apr-26'!$A:$A,'[1]Apr-26'!$H:$H,0)</f>
        <v>1672476283.5899999</v>
      </c>
    </row>
    <row r="17" spans="1:33" x14ac:dyDescent="0.2">
      <c r="A17" s="58">
        <v>10106</v>
      </c>
      <c r="B17" s="56" t="str">
        <f t="shared" si="6"/>
        <v>10106</v>
      </c>
      <c r="C17" s="57" t="s">
        <v>302</v>
      </c>
      <c r="D17" s="57" t="s">
        <v>303</v>
      </c>
      <c r="E17" s="44" t="s">
        <v>308</v>
      </c>
      <c r="F17" s="17">
        <f>_xlfn.XLOOKUP($B17,'[1]Jan-24'!$A:$A,'[1]Jan-24'!$H:$H,0)</f>
        <v>0</v>
      </c>
      <c r="G17" s="17">
        <f>_xlfn.XLOOKUP($B17,'[1]Feb-24'!$A:$A,'[1]Feb-24'!$H:$H,0)</f>
        <v>0</v>
      </c>
      <c r="H17" s="17">
        <f>_xlfn.XLOOKUP($B17,'[1]Mar-24'!$A:$A,'[1]Mar-24'!$H:$H,0)</f>
        <v>0</v>
      </c>
      <c r="I17" s="17">
        <f>_xlfn.XLOOKUP($B17,'[1]Apr-24'!$A:$A,'[1]Apr-24'!$H:$H,0)</f>
        <v>0</v>
      </c>
      <c r="J17" s="17">
        <f>_xlfn.XLOOKUP($B17,'[1]May-24'!$A:$A,'[1]May-24'!$H:$H,0)</f>
        <v>0</v>
      </c>
      <c r="K17" s="17">
        <f>_xlfn.XLOOKUP($B17,'[1]Jun-24'!$A:$A,'[1]Jun-24'!$H:$H,0)</f>
        <v>0</v>
      </c>
      <c r="L17" s="17">
        <f>_xlfn.XLOOKUP($B17,'[1]Jul-24'!$A:$A,'[1]Jul-24'!$H:$H,0)</f>
        <v>0</v>
      </c>
      <c r="M17" s="17">
        <f>_xlfn.XLOOKUP($B17,'[1]Aug-24'!$A:$A,'[1]Aug-24'!$H:$H,0)</f>
        <v>0</v>
      </c>
      <c r="N17" s="17">
        <f>_xlfn.XLOOKUP($B17,'[1]Sep-24'!$A:$A,'[1]Sep-24'!$H:$H,0)</f>
        <v>0</v>
      </c>
      <c r="O17" s="17">
        <f>_xlfn.XLOOKUP($B17,'[1]Oct-24'!$A:$A,'[1]Oct-24'!$H:$H,0)</f>
        <v>0</v>
      </c>
      <c r="P17" s="17">
        <f>_xlfn.XLOOKUP($B17,'[1]Nov-24'!$A:$A,'[1]Nov-24'!$H:$H,0)</f>
        <v>0</v>
      </c>
      <c r="Q17" s="17">
        <f>_xlfn.XLOOKUP($B17,'[1]Dec-24'!$A:$A,'[1]Dec-24'!$H:$H,0)</f>
        <v>0</v>
      </c>
      <c r="R17" s="17">
        <f>_xlfn.XLOOKUP($B17,'[1]Jan-25'!$A:$A,'[1]Jan-25'!$H:$H,0)</f>
        <v>0</v>
      </c>
      <c r="S17" s="17">
        <f>_xlfn.XLOOKUP($B17,'[1]Feb-25'!$A:$A,'[1]Feb-25'!$H:$H,0)</f>
        <v>0</v>
      </c>
      <c r="T17" s="17">
        <f>_xlfn.XLOOKUP($B17,'[1]Mar-25'!$A:$A,'[1]Mar-25'!$H:$H,0)</f>
        <v>0</v>
      </c>
      <c r="U17" s="17">
        <f>_xlfn.XLOOKUP($B17,'[1]Apr-25'!$A:$A,'[1]Apr-25'!$H:$H,0)</f>
        <v>0</v>
      </c>
      <c r="V17" s="17">
        <f>_xlfn.XLOOKUP($B17,'[1]May-25'!$A:$A,'[1]May-25'!$H:$H,0)</f>
        <v>0</v>
      </c>
      <c r="W17" s="17">
        <f>_xlfn.XLOOKUP($B17,'[1]Jun-25'!$A:$A,'[1]Jun-25'!$H:$H,0)</f>
        <v>0</v>
      </c>
      <c r="X17" s="17">
        <f>_xlfn.XLOOKUP($B17,'[1]Jul-25'!$A:$A,'[1]Jul-25'!$H:$H,0)</f>
        <v>0</v>
      </c>
      <c r="Y17" s="17">
        <f>_xlfn.XLOOKUP($B17,'[1]Aug-25'!$A:$A,'[1]Aug-25'!$H:$H,0)</f>
        <v>0</v>
      </c>
      <c r="Z17" s="17">
        <f>_xlfn.XLOOKUP($B17,'[1]Sep-25'!$A:$A,'[1]Sep-25'!$H:$H,0)</f>
        <v>0</v>
      </c>
      <c r="AA17" s="17">
        <f>_xlfn.XLOOKUP($B17,'[1]Oct-25'!$A:$A,'[1]Oct-25'!$H:$H,0)</f>
        <v>0</v>
      </c>
      <c r="AB17" s="17">
        <f>_xlfn.XLOOKUP($B17,'[1]Nov-25'!$A:$A,'[1]Nov-25'!$H:$H,0)</f>
        <v>0</v>
      </c>
      <c r="AC17" s="17">
        <f>_xlfn.XLOOKUP($B17,'[1]Dec-25'!$A:$A,'[1]Dec-25'!$H:$H,0)</f>
        <v>0</v>
      </c>
      <c r="AD17" s="17">
        <f>_xlfn.XLOOKUP($B17,'[1]Jan-26'!$A:$A,'[1]Jan-26'!$H:$H,0)</f>
        <v>0</v>
      </c>
      <c r="AE17" s="17">
        <f>_xlfn.XLOOKUP($B17,'[1]Feb-26'!$A:$A,'[1]Feb-26'!$H:$H,0)</f>
        <v>0</v>
      </c>
      <c r="AF17" s="17">
        <f>_xlfn.XLOOKUP($B17,'[1]Mar-26'!$A:$A,'[1]Mar-26'!$H:$H,0)</f>
        <v>0</v>
      </c>
      <c r="AG17" s="17">
        <f>_xlfn.XLOOKUP($B17,'[1]Apr-26'!$A:$A,'[1]Apr-26'!$H:$H,0)</f>
        <v>0</v>
      </c>
    </row>
    <row r="18" spans="1:33" x14ac:dyDescent="0.2">
      <c r="A18" s="58">
        <v>10107</v>
      </c>
      <c r="B18" s="56" t="str">
        <f t="shared" si="6"/>
        <v>10107</v>
      </c>
      <c r="C18" s="57" t="s">
        <v>307</v>
      </c>
      <c r="D18" s="57" t="s">
        <v>303</v>
      </c>
      <c r="E18" s="44" t="s">
        <v>258</v>
      </c>
      <c r="F18" s="17">
        <f>_xlfn.XLOOKUP($B18,'[1]Jan-24'!$A:$A,'[1]Jan-24'!$H:$H,0)</f>
        <v>241479066.40000001</v>
      </c>
      <c r="G18" s="17">
        <f>_xlfn.XLOOKUP($B18,'[1]Feb-24'!$A:$A,'[1]Feb-24'!$H:$H,0)</f>
        <v>256479066.40000001</v>
      </c>
      <c r="H18" s="17">
        <f>_xlfn.XLOOKUP($B18,'[1]Mar-24'!$A:$A,'[1]Mar-24'!$H:$H,0)</f>
        <v>271479066.39999998</v>
      </c>
      <c r="I18" s="17">
        <f>_xlfn.XLOOKUP($B18,'[1]Apr-24'!$A:$A,'[1]Apr-24'!$H:$H,0)</f>
        <v>323720767.32999998</v>
      </c>
      <c r="J18" s="17">
        <f>_xlfn.XLOOKUP($B18,'[1]May-24'!$A:$A,'[1]May-24'!$H:$H,0)</f>
        <v>450724367.32999998</v>
      </c>
      <c r="K18" s="17">
        <f>_xlfn.XLOOKUP($B18,'[1]Jun-24'!$A:$A,'[1]Jun-24'!$H:$H,0)</f>
        <v>450724367.32999998</v>
      </c>
      <c r="L18" s="17">
        <f>_xlfn.XLOOKUP($B18,'[1]Jul-24'!$A:$A,'[1]Jul-24'!$H:$H,0)</f>
        <v>450724367.32999998</v>
      </c>
      <c r="M18" s="17">
        <f>_xlfn.XLOOKUP($B18,'[1]Aug-24'!$A:$A,'[1]Aug-24'!$H:$H,0)</f>
        <v>576450757.33000004</v>
      </c>
      <c r="N18" s="17">
        <f>_xlfn.XLOOKUP($B18,'[1]Sep-24'!$A:$A,'[1]Sep-24'!$H:$H,0)</f>
        <v>576450757.33000004</v>
      </c>
      <c r="O18" s="17">
        <f>_xlfn.XLOOKUP($B18,'[1]Oct-24'!$A:$A,'[1]Oct-24'!$H:$H,0)</f>
        <v>576450757.33000004</v>
      </c>
      <c r="P18" s="17">
        <f>_xlfn.XLOOKUP($B18,'[1]Nov-24'!$A:$A,'[1]Nov-24'!$H:$H,0)</f>
        <v>576450757.33000004</v>
      </c>
      <c r="Q18" s="17">
        <f>_xlfn.XLOOKUP($B18,'[1]Dec-24'!$A:$A,'[1]Dec-24'!$H:$H,0)</f>
        <v>594962917.33000004</v>
      </c>
      <c r="R18" s="17">
        <f>_xlfn.XLOOKUP($B18,'[1]Jan-25'!$A:$A,'[1]Jan-25'!$H:$H,0)</f>
        <v>681873237.33000004</v>
      </c>
      <c r="S18" s="17">
        <f>_xlfn.XLOOKUP($B18,'[1]Feb-25'!$A:$A,'[1]Feb-25'!$H:$H,0)</f>
        <v>681873237.33000004</v>
      </c>
      <c r="T18" s="17">
        <f>_xlfn.XLOOKUP($B18,'[1]Mar-25'!$A:$A,'[1]Mar-25'!$H:$H,0)</f>
        <v>681873237.33000004</v>
      </c>
      <c r="U18" s="17">
        <f>_xlfn.XLOOKUP($B18,'[1]Apr-25'!$A:$A,'[1]Apr-25'!$H:$H,0)</f>
        <v>754984087.33000004</v>
      </c>
      <c r="V18" s="17">
        <f>_xlfn.XLOOKUP($B18,'[1]May-25'!$A:$A,'[1]May-25'!$H:$H,0)</f>
        <v>754984087.33000004</v>
      </c>
      <c r="W18" s="17">
        <f>_xlfn.XLOOKUP($B18,'[1]Jun-25'!$A:$A,'[1]Jun-25'!$H:$H,0)</f>
        <v>754984087.33000004</v>
      </c>
      <c r="X18" s="17">
        <f>_xlfn.XLOOKUP($B18,'[1]Jul-25'!$A:$A,'[1]Jul-25'!$H:$H,0)</f>
        <v>863450446.94000006</v>
      </c>
      <c r="Y18" s="17">
        <f>_xlfn.XLOOKUP($B18,'[1]Aug-25'!$A:$A,'[1]Aug-25'!$H:$H,0)</f>
        <v>863450446.94000006</v>
      </c>
      <c r="Z18" s="17">
        <f>_xlfn.XLOOKUP($B18,'[1]Sep-25'!$A:$A,'[1]Sep-25'!$H:$H,0)</f>
        <v>863450446.94000006</v>
      </c>
      <c r="AA18" s="17">
        <f>_xlfn.XLOOKUP($B18,'[1]Oct-25'!$A:$A,'[1]Oct-25'!$H:$H,0)</f>
        <v>863450446.94000006</v>
      </c>
      <c r="AB18" s="17">
        <f>_xlfn.XLOOKUP($B18,'[1]Nov-25'!$A:$A,'[1]Nov-25'!$H:$H,0)</f>
        <v>903224418.94000006</v>
      </c>
      <c r="AC18" s="17">
        <f>_xlfn.XLOOKUP($B18,'[1]Dec-25'!$A:$A,'[1]Dec-25'!$H:$H,0)</f>
        <v>903224418.94000006</v>
      </c>
      <c r="AD18" s="17">
        <f>_xlfn.XLOOKUP($B18,'[1]Jan-26'!$A:$A,'[1]Jan-26'!$H:$H,0)</f>
        <v>967076718.94000006</v>
      </c>
      <c r="AE18" s="17">
        <f>_xlfn.XLOOKUP($B18,'[1]Feb-26'!$A:$A,'[1]Feb-26'!$H:$H,0)</f>
        <v>967076718.94000006</v>
      </c>
      <c r="AF18" s="17">
        <f>_xlfn.XLOOKUP($B18,'[1]Mar-26'!$A:$A,'[1]Mar-26'!$H:$H,0)</f>
        <v>967076718.94000006</v>
      </c>
      <c r="AG18" s="17">
        <f>_xlfn.XLOOKUP($B18,'[1]Apr-26'!$A:$A,'[1]Apr-26'!$H:$H,0)</f>
        <v>1040395527.16</v>
      </c>
    </row>
    <row r="19" spans="1:33" x14ac:dyDescent="0.2">
      <c r="A19" s="58">
        <v>10108</v>
      </c>
      <c r="B19" s="56" t="str">
        <f t="shared" si="6"/>
        <v>10108</v>
      </c>
      <c r="C19" s="57" t="s">
        <v>307</v>
      </c>
      <c r="D19" s="57" t="s">
        <v>303</v>
      </c>
      <c r="E19" s="44" t="s">
        <v>259</v>
      </c>
      <c r="F19" s="17">
        <f>_xlfn.XLOOKUP($B19,'[1]Jan-24'!$A:$A,'[1]Jan-24'!$H:$H,0)</f>
        <v>0</v>
      </c>
      <c r="G19" s="17">
        <f>_xlfn.XLOOKUP($B19,'[1]Feb-24'!$A:$A,'[1]Feb-24'!$H:$H,0)</f>
        <v>0</v>
      </c>
      <c r="H19" s="17">
        <f>_xlfn.XLOOKUP($B19,'[1]Mar-24'!$A:$A,'[1]Mar-24'!$H:$H,0)</f>
        <v>0</v>
      </c>
      <c r="I19" s="17">
        <f>_xlfn.XLOOKUP($B19,'[1]Apr-24'!$A:$A,'[1]Apr-24'!$H:$H,0)</f>
        <v>0</v>
      </c>
      <c r="J19" s="17">
        <f>_xlfn.XLOOKUP($B19,'[1]May-24'!$A:$A,'[1]May-24'!$H:$H,0)</f>
        <v>0</v>
      </c>
      <c r="K19" s="17">
        <f>_xlfn.XLOOKUP($B19,'[1]Jun-24'!$A:$A,'[1]Jun-24'!$H:$H,0)</f>
        <v>0</v>
      </c>
      <c r="L19" s="17">
        <f>_xlfn.XLOOKUP($B19,'[1]Jul-24'!$A:$A,'[1]Jul-24'!$H:$H,0)</f>
        <v>0</v>
      </c>
      <c r="M19" s="17">
        <f>_xlfn.XLOOKUP($B19,'[1]Aug-24'!$A:$A,'[1]Aug-24'!$H:$H,0)</f>
        <v>0</v>
      </c>
      <c r="N19" s="17">
        <f>_xlfn.XLOOKUP($B19,'[1]Sep-24'!$A:$A,'[1]Sep-24'!$H:$H,0)</f>
        <v>0</v>
      </c>
      <c r="O19" s="17">
        <f>_xlfn.XLOOKUP($B19,'[1]Oct-24'!$A:$A,'[1]Oct-24'!$H:$H,0)</f>
        <v>417482.5</v>
      </c>
      <c r="P19" s="17">
        <f>_xlfn.XLOOKUP($B19,'[1]Nov-24'!$A:$A,'[1]Nov-24'!$H:$H,0)</f>
        <v>417482.5</v>
      </c>
      <c r="Q19" s="17">
        <f>_xlfn.XLOOKUP($B19,'[1]Dec-24'!$A:$A,'[1]Dec-24'!$H:$H,0)</f>
        <v>417482.5</v>
      </c>
      <c r="R19" s="17">
        <f>_xlfn.XLOOKUP($B19,'[1]Jan-25'!$A:$A,'[1]Jan-25'!$H:$H,0)</f>
        <v>417482.5</v>
      </c>
      <c r="S19" s="17">
        <f>_xlfn.XLOOKUP($B19,'[1]Feb-25'!$A:$A,'[1]Feb-25'!$H:$H,0)</f>
        <v>417482.5</v>
      </c>
      <c r="T19" s="17">
        <f>_xlfn.XLOOKUP($B19,'[1]Mar-25'!$A:$A,'[1]Mar-25'!$H:$H,0)</f>
        <v>417482.5</v>
      </c>
      <c r="U19" s="17">
        <f>_xlfn.XLOOKUP($B19,'[1]Apr-25'!$A:$A,'[1]Apr-25'!$H:$H,0)</f>
        <v>417482.5</v>
      </c>
      <c r="V19" s="17">
        <f>_xlfn.XLOOKUP($B19,'[1]May-25'!$A:$A,'[1]May-25'!$H:$H,0)</f>
        <v>417482.5</v>
      </c>
      <c r="W19" s="17">
        <f>_xlfn.XLOOKUP($B19,'[1]Jun-25'!$A:$A,'[1]Jun-25'!$H:$H,0)</f>
        <v>735318.6</v>
      </c>
      <c r="X19" s="17">
        <f>_xlfn.XLOOKUP($B19,'[1]Jul-25'!$A:$A,'[1]Jul-25'!$H:$H,0)</f>
        <v>735318.6</v>
      </c>
      <c r="Y19" s="17">
        <f>_xlfn.XLOOKUP($B19,'[1]Aug-25'!$A:$A,'[1]Aug-25'!$H:$H,0)</f>
        <v>735318.6</v>
      </c>
      <c r="Z19" s="17">
        <f>_xlfn.XLOOKUP($B19,'[1]Sep-25'!$A:$A,'[1]Sep-25'!$H:$H,0)</f>
        <v>1332914.6000000001</v>
      </c>
      <c r="AA19" s="17">
        <f>_xlfn.XLOOKUP($B19,'[1]Oct-25'!$A:$A,'[1]Oct-25'!$H:$H,0)</f>
        <v>1332914.6000000001</v>
      </c>
      <c r="AB19" s="17">
        <f>_xlfn.XLOOKUP($B19,'[1]Nov-25'!$A:$A,'[1]Nov-25'!$H:$H,0)</f>
        <v>1332914.6000000001</v>
      </c>
      <c r="AC19" s="17">
        <f>_xlfn.XLOOKUP($B19,'[1]Dec-25'!$A:$A,'[1]Dec-25'!$H:$H,0)</f>
        <v>1332914.6000000001</v>
      </c>
      <c r="AD19" s="17">
        <f>_xlfn.XLOOKUP($B19,'[1]Jan-26'!$A:$A,'[1]Jan-26'!$H:$H,0)</f>
        <v>1332914.6000000001</v>
      </c>
      <c r="AE19" s="17">
        <f>_xlfn.XLOOKUP($B19,'[1]Feb-26'!$A:$A,'[1]Feb-26'!$H:$H,0)</f>
        <v>1332914.6000000001</v>
      </c>
      <c r="AF19" s="17">
        <f>_xlfn.XLOOKUP($B19,'[1]Mar-26'!$A:$A,'[1]Mar-26'!$H:$H,0)</f>
        <v>2444283.84</v>
      </c>
      <c r="AG19" s="17">
        <f>_xlfn.XLOOKUP($B19,'[1]Apr-26'!$A:$A,'[1]Apr-26'!$H:$H,0)</f>
        <v>2444283.84</v>
      </c>
    </row>
    <row r="20" spans="1:33" x14ac:dyDescent="0.2">
      <c r="A20" s="58">
        <v>10109</v>
      </c>
      <c r="B20" s="56" t="str">
        <f t="shared" si="6"/>
        <v>10109</v>
      </c>
      <c r="C20" s="57" t="s">
        <v>307</v>
      </c>
      <c r="D20" s="57" t="s">
        <v>303</v>
      </c>
      <c r="E20" s="44" t="s">
        <v>260</v>
      </c>
      <c r="F20" s="17">
        <f>_xlfn.XLOOKUP($B20,'[1]Jan-24'!$A:$A,'[1]Jan-24'!$H:$H,0)</f>
        <v>0</v>
      </c>
      <c r="G20" s="17">
        <f>_xlfn.XLOOKUP($B20,'[1]Feb-24'!$A:$A,'[1]Feb-24'!$H:$H,0)</f>
        <v>0</v>
      </c>
      <c r="H20" s="17">
        <f>_xlfn.XLOOKUP($B20,'[1]Mar-24'!$A:$A,'[1]Mar-24'!$H:$H,0)</f>
        <v>0</v>
      </c>
      <c r="I20" s="17">
        <f>_xlfn.XLOOKUP($B20,'[1]Apr-24'!$A:$A,'[1]Apr-24'!$H:$H,0)</f>
        <v>0</v>
      </c>
      <c r="J20" s="17">
        <f>_xlfn.XLOOKUP($B20,'[1]May-24'!$A:$A,'[1]May-24'!$H:$H,0)</f>
        <v>0</v>
      </c>
      <c r="K20" s="17">
        <f>_xlfn.XLOOKUP($B20,'[1]Jun-24'!$A:$A,'[1]Jun-24'!$H:$H,0)</f>
        <v>0</v>
      </c>
      <c r="L20" s="17">
        <f>_xlfn.XLOOKUP($B20,'[1]Jul-24'!$A:$A,'[1]Jul-24'!$H:$H,0)</f>
        <v>0</v>
      </c>
      <c r="M20" s="17">
        <f>_xlfn.XLOOKUP($B20,'[1]Aug-24'!$A:$A,'[1]Aug-24'!$H:$H,0)</f>
        <v>0</v>
      </c>
      <c r="N20" s="17">
        <f>_xlfn.XLOOKUP($B20,'[1]Sep-24'!$A:$A,'[1]Sep-24'!$H:$H,0)</f>
        <v>0</v>
      </c>
      <c r="O20" s="17">
        <f>_xlfn.XLOOKUP($B20,'[1]Oct-24'!$A:$A,'[1]Oct-24'!$H:$H,0)</f>
        <v>1726190.7</v>
      </c>
      <c r="P20" s="17">
        <f>_xlfn.XLOOKUP($B20,'[1]Nov-24'!$A:$A,'[1]Nov-24'!$H:$H,0)</f>
        <v>1726190.7</v>
      </c>
      <c r="Q20" s="17">
        <f>_xlfn.XLOOKUP($B20,'[1]Dec-24'!$A:$A,'[1]Dec-24'!$H:$H,0)</f>
        <v>1726190.7</v>
      </c>
      <c r="R20" s="17">
        <f>_xlfn.XLOOKUP($B20,'[1]Jan-25'!$A:$A,'[1]Jan-25'!$H:$H,0)</f>
        <v>1741619.5</v>
      </c>
      <c r="S20" s="17">
        <f>_xlfn.XLOOKUP($B20,'[1]Feb-25'!$A:$A,'[1]Feb-25'!$H:$H,0)</f>
        <v>1741619.5</v>
      </c>
      <c r="T20" s="17">
        <f>_xlfn.XLOOKUP($B20,'[1]Mar-25'!$A:$A,'[1]Mar-25'!$H:$H,0)</f>
        <v>1741619.5</v>
      </c>
      <c r="U20" s="17">
        <f>_xlfn.XLOOKUP($B20,'[1]Apr-25'!$A:$A,'[1]Apr-25'!$H:$H,0)</f>
        <v>1741619.5</v>
      </c>
      <c r="V20" s="17">
        <f>_xlfn.XLOOKUP($B20,'[1]May-25'!$A:$A,'[1]May-25'!$H:$H,0)</f>
        <v>1741619.5</v>
      </c>
      <c r="W20" s="17">
        <f>_xlfn.XLOOKUP($B20,'[1]Jun-25'!$A:$A,'[1]Jun-25'!$H:$H,0)</f>
        <v>1741619.5</v>
      </c>
      <c r="X20" s="17">
        <f>_xlfn.XLOOKUP($B20,'[1]Jul-25'!$A:$A,'[1]Jul-25'!$H:$H,0)</f>
        <v>1741619.5</v>
      </c>
      <c r="Y20" s="17">
        <f>_xlfn.XLOOKUP($B20,'[1]Aug-25'!$A:$A,'[1]Aug-25'!$H:$H,0)</f>
        <v>1741619.5</v>
      </c>
      <c r="Z20" s="17">
        <f>_xlfn.XLOOKUP($B20,'[1]Sep-25'!$A:$A,'[1]Sep-25'!$H:$H,0)</f>
        <v>2361359.54</v>
      </c>
      <c r="AA20" s="17">
        <f>_xlfn.XLOOKUP($B20,'[1]Oct-25'!$A:$A,'[1]Oct-25'!$H:$H,0)</f>
        <v>2361359.54</v>
      </c>
      <c r="AB20" s="17">
        <f>_xlfn.XLOOKUP($B20,'[1]Nov-25'!$A:$A,'[1]Nov-25'!$H:$H,0)</f>
        <v>2361359.54</v>
      </c>
      <c r="AC20" s="17">
        <f>_xlfn.XLOOKUP($B20,'[1]Dec-25'!$A:$A,'[1]Dec-25'!$H:$H,0)</f>
        <v>2361359.54</v>
      </c>
      <c r="AD20" s="17">
        <f>_xlfn.XLOOKUP($B20,'[1]Jan-26'!$A:$A,'[1]Jan-26'!$H:$H,0)</f>
        <v>2361359.54</v>
      </c>
      <c r="AE20" s="17">
        <f>_xlfn.XLOOKUP($B20,'[1]Feb-26'!$A:$A,'[1]Feb-26'!$H:$H,0)</f>
        <v>2361359.54</v>
      </c>
      <c r="AF20" s="17">
        <f>_xlfn.XLOOKUP($B20,'[1]Mar-26'!$A:$A,'[1]Mar-26'!$H:$H,0)</f>
        <v>2361359.54</v>
      </c>
      <c r="AG20" s="17">
        <f>_xlfn.XLOOKUP($B20,'[1]Apr-26'!$A:$A,'[1]Apr-26'!$H:$H,0)</f>
        <v>2361359.54</v>
      </c>
    </row>
    <row r="21" spans="1:33" x14ac:dyDescent="0.2">
      <c r="A21" s="58">
        <v>10110</v>
      </c>
      <c r="B21" s="56" t="str">
        <f t="shared" si="6"/>
        <v>10110</v>
      </c>
      <c r="C21" s="57" t="s">
        <v>307</v>
      </c>
      <c r="D21" s="57" t="s">
        <v>303</v>
      </c>
      <c r="E21" s="44" t="s">
        <v>261</v>
      </c>
      <c r="F21" s="17">
        <f>_xlfn.XLOOKUP($B21,'[1]Jan-24'!$A:$A,'[1]Jan-24'!$H:$H,0)</f>
        <v>0</v>
      </c>
      <c r="G21" s="17">
        <f>_xlfn.XLOOKUP($B21,'[1]Feb-24'!$A:$A,'[1]Feb-24'!$H:$H,0)</f>
        <v>0</v>
      </c>
      <c r="H21" s="17">
        <f>_xlfn.XLOOKUP($B21,'[1]Mar-24'!$A:$A,'[1]Mar-24'!$H:$H,0)</f>
        <v>0</v>
      </c>
      <c r="I21" s="17">
        <f>_xlfn.XLOOKUP($B21,'[1]Apr-24'!$A:$A,'[1]Apr-24'!$H:$H,0)</f>
        <v>0</v>
      </c>
      <c r="J21" s="17">
        <f>_xlfn.XLOOKUP($B21,'[1]May-24'!$A:$A,'[1]May-24'!$H:$H,0)</f>
        <v>0</v>
      </c>
      <c r="K21" s="17">
        <f>_xlfn.XLOOKUP($B21,'[1]Jun-24'!$A:$A,'[1]Jun-24'!$H:$H,0)</f>
        <v>0</v>
      </c>
      <c r="L21" s="17">
        <f>_xlfn.XLOOKUP($B21,'[1]Jul-24'!$A:$A,'[1]Jul-24'!$H:$H,0)</f>
        <v>0</v>
      </c>
      <c r="M21" s="17">
        <f>_xlfn.XLOOKUP($B21,'[1]Aug-24'!$A:$A,'[1]Aug-24'!$H:$H,0)</f>
        <v>0</v>
      </c>
      <c r="N21" s="17">
        <f>_xlfn.XLOOKUP($B21,'[1]Sep-24'!$A:$A,'[1]Sep-24'!$H:$H,0)</f>
        <v>0</v>
      </c>
      <c r="O21" s="17">
        <f>_xlfn.XLOOKUP($B21,'[1]Oct-24'!$A:$A,'[1]Oct-24'!$H:$H,0)</f>
        <v>0</v>
      </c>
      <c r="P21" s="17">
        <f>_xlfn.XLOOKUP($B21,'[1]Nov-24'!$A:$A,'[1]Nov-24'!$H:$H,0)</f>
        <v>1000000</v>
      </c>
      <c r="Q21" s="17">
        <f>_xlfn.XLOOKUP($B21,'[1]Dec-24'!$A:$A,'[1]Dec-24'!$H:$H,0)</f>
        <v>1000000</v>
      </c>
      <c r="R21" s="17">
        <f>_xlfn.XLOOKUP($B21,'[1]Jan-25'!$A:$A,'[1]Jan-25'!$H:$H,0)</f>
        <v>1000000</v>
      </c>
      <c r="S21" s="17">
        <f>_xlfn.XLOOKUP($B21,'[1]Feb-25'!$A:$A,'[1]Feb-25'!$H:$H,0)</f>
        <v>1000000</v>
      </c>
      <c r="T21" s="17">
        <f>_xlfn.XLOOKUP($B21,'[1]Mar-25'!$A:$A,'[1]Mar-25'!$H:$H,0)</f>
        <v>1000000</v>
      </c>
      <c r="U21" s="17">
        <f>_xlfn.XLOOKUP($B21,'[1]Apr-25'!$A:$A,'[1]Apr-25'!$H:$H,0)</f>
        <v>1000000</v>
      </c>
      <c r="V21" s="17">
        <f>_xlfn.XLOOKUP($B21,'[1]May-25'!$A:$A,'[1]May-25'!$H:$H,0)</f>
        <v>1000000</v>
      </c>
      <c r="W21" s="17">
        <f>_xlfn.XLOOKUP($B21,'[1]Jun-25'!$A:$A,'[1]Jun-25'!$H:$H,0)</f>
        <v>1000000</v>
      </c>
      <c r="X21" s="17">
        <f>_xlfn.XLOOKUP($B21,'[1]Jul-25'!$A:$A,'[1]Jul-25'!$H:$H,0)</f>
        <v>1000000</v>
      </c>
      <c r="Y21" s="17">
        <f>_xlfn.XLOOKUP($B21,'[1]Aug-25'!$A:$A,'[1]Aug-25'!$H:$H,0)</f>
        <v>1000000</v>
      </c>
      <c r="Z21" s="17">
        <f>_xlfn.XLOOKUP($B21,'[1]Sep-25'!$A:$A,'[1]Sep-25'!$H:$H,0)</f>
        <v>1000000</v>
      </c>
      <c r="AA21" s="17">
        <f>_xlfn.XLOOKUP($B21,'[1]Oct-25'!$A:$A,'[1]Oct-25'!$H:$H,0)</f>
        <v>1000000</v>
      </c>
      <c r="AB21" s="17">
        <f>_xlfn.XLOOKUP($B21,'[1]Nov-25'!$A:$A,'[1]Nov-25'!$H:$H,0)</f>
        <v>1000000</v>
      </c>
      <c r="AC21" s="17">
        <f>_xlfn.XLOOKUP($B21,'[1]Dec-25'!$A:$A,'[1]Dec-25'!$H:$H,0)</f>
        <v>1000000</v>
      </c>
      <c r="AD21" s="17">
        <f>_xlfn.XLOOKUP($B21,'[1]Jan-26'!$A:$A,'[1]Jan-26'!$H:$H,0)</f>
        <v>1000000</v>
      </c>
      <c r="AE21" s="17">
        <f>_xlfn.XLOOKUP($B21,'[1]Feb-26'!$A:$A,'[1]Feb-26'!$H:$H,0)</f>
        <v>1000000</v>
      </c>
      <c r="AF21" s="17">
        <f>_xlfn.XLOOKUP($B21,'[1]Mar-26'!$A:$A,'[1]Mar-26'!$H:$H,0)</f>
        <v>1000000</v>
      </c>
      <c r="AG21" s="17">
        <f>_xlfn.XLOOKUP($B21,'[1]Apr-26'!$A:$A,'[1]Apr-26'!$H:$H,0)</f>
        <v>1000000</v>
      </c>
    </row>
    <row r="22" spans="1:33" x14ac:dyDescent="0.2">
      <c r="A22" s="58">
        <v>10112</v>
      </c>
      <c r="B22" s="56" t="str">
        <f t="shared" si="6"/>
        <v>10112</v>
      </c>
      <c r="C22" s="57" t="s">
        <v>307</v>
      </c>
      <c r="D22" s="57" t="s">
        <v>303</v>
      </c>
      <c r="E22" s="44" t="s">
        <v>262</v>
      </c>
      <c r="F22" s="17">
        <f>_xlfn.XLOOKUP($B22,'[1]Jan-24'!$A:$A,'[1]Jan-24'!$H:$H,0)</f>
        <v>0</v>
      </c>
      <c r="G22" s="17">
        <f>_xlfn.XLOOKUP($B22,'[1]Feb-24'!$A:$A,'[1]Feb-24'!$H:$H,0)</f>
        <v>0</v>
      </c>
      <c r="H22" s="17">
        <f>_xlfn.XLOOKUP($B22,'[1]Mar-24'!$A:$A,'[1]Mar-24'!$H:$H,0)</f>
        <v>0</v>
      </c>
      <c r="I22" s="17">
        <f>_xlfn.XLOOKUP($B22,'[1]Apr-24'!$A:$A,'[1]Apr-24'!$H:$H,0)</f>
        <v>0</v>
      </c>
      <c r="J22" s="17">
        <f>_xlfn.XLOOKUP($B22,'[1]May-24'!$A:$A,'[1]May-24'!$H:$H,0)</f>
        <v>0</v>
      </c>
      <c r="K22" s="17">
        <f>_xlfn.XLOOKUP($B22,'[1]Jun-24'!$A:$A,'[1]Jun-24'!$H:$H,0)</f>
        <v>0</v>
      </c>
      <c r="L22" s="17">
        <f>_xlfn.XLOOKUP($B22,'[1]Jul-24'!$A:$A,'[1]Jul-24'!$H:$H,0)</f>
        <v>0</v>
      </c>
      <c r="M22" s="17">
        <f>_xlfn.XLOOKUP($B22,'[1]Aug-24'!$A:$A,'[1]Aug-24'!$H:$H,0)</f>
        <v>0</v>
      </c>
      <c r="N22" s="17">
        <f>_xlfn.XLOOKUP($B22,'[1]Sep-24'!$A:$A,'[1]Sep-24'!$H:$H,0)</f>
        <v>0</v>
      </c>
      <c r="O22" s="17">
        <f>_xlfn.XLOOKUP($B22,'[1]Oct-24'!$A:$A,'[1]Oct-24'!$H:$H,0)</f>
        <v>0</v>
      </c>
      <c r="P22" s="17">
        <f>_xlfn.XLOOKUP($B22,'[1]Nov-24'!$A:$A,'[1]Nov-24'!$H:$H,0)</f>
        <v>0</v>
      </c>
      <c r="Q22" s="17">
        <f>_xlfn.XLOOKUP($B22,'[1]Dec-24'!$A:$A,'[1]Dec-24'!$H:$H,0)</f>
        <v>0</v>
      </c>
      <c r="R22" s="17">
        <f>_xlfn.XLOOKUP($B22,'[1]Jan-25'!$A:$A,'[1]Jan-25'!$H:$H,0)</f>
        <v>0</v>
      </c>
      <c r="S22" s="17">
        <f>_xlfn.XLOOKUP($B22,'[1]Feb-25'!$A:$A,'[1]Feb-25'!$H:$H,0)</f>
        <v>0</v>
      </c>
      <c r="T22" s="17">
        <f>_xlfn.XLOOKUP($B22,'[1]Mar-25'!$A:$A,'[1]Mar-25'!$H:$H,0)</f>
        <v>0</v>
      </c>
      <c r="U22" s="17">
        <f>_xlfn.XLOOKUP($B22,'[1]Apr-25'!$A:$A,'[1]Apr-25'!$H:$H,0)</f>
        <v>0</v>
      </c>
      <c r="V22" s="17">
        <f>_xlfn.XLOOKUP($B22,'[1]May-25'!$A:$A,'[1]May-25'!$H:$H,0)</f>
        <v>0</v>
      </c>
      <c r="W22" s="17">
        <f>_xlfn.XLOOKUP($B22,'[1]Jun-25'!$A:$A,'[1]Jun-25'!$H:$H,0)</f>
        <v>0</v>
      </c>
      <c r="X22" s="17">
        <f>_xlfn.XLOOKUP($B22,'[1]Jul-25'!$A:$A,'[1]Jul-25'!$H:$H,0)</f>
        <v>0</v>
      </c>
      <c r="Y22" s="17">
        <f>_xlfn.XLOOKUP($B22,'[1]Aug-25'!$A:$A,'[1]Aug-25'!$H:$H,0)</f>
        <v>0</v>
      </c>
      <c r="Z22" s="17">
        <f>_xlfn.XLOOKUP($B22,'[1]Sep-25'!$A:$A,'[1]Sep-25'!$H:$H,0)</f>
        <v>0</v>
      </c>
      <c r="AA22" s="17">
        <f>_xlfn.XLOOKUP($B22,'[1]Oct-25'!$A:$A,'[1]Oct-25'!$H:$H,0)</f>
        <v>0</v>
      </c>
      <c r="AB22" s="17">
        <f>_xlfn.XLOOKUP($B22,'[1]Nov-25'!$A:$A,'[1]Nov-25'!$H:$H,0)</f>
        <v>0</v>
      </c>
      <c r="AC22" s="17">
        <f>_xlfn.XLOOKUP($B22,'[1]Dec-25'!$A:$A,'[1]Dec-25'!$H:$H,0)</f>
        <v>0</v>
      </c>
      <c r="AD22" s="17">
        <f>_xlfn.XLOOKUP($B22,'[1]Jan-26'!$A:$A,'[1]Jan-26'!$H:$H,0)</f>
        <v>0</v>
      </c>
      <c r="AE22" s="17">
        <f>_xlfn.XLOOKUP($B22,'[1]Feb-26'!$A:$A,'[1]Feb-26'!$H:$H,0)</f>
        <v>0</v>
      </c>
      <c r="AF22" s="17">
        <f>_xlfn.XLOOKUP($B22,'[1]Mar-26'!$A:$A,'[1]Mar-26'!$H:$H,0)</f>
        <v>0</v>
      </c>
      <c r="AG22" s="17">
        <f>_xlfn.XLOOKUP($B22,'[1]Apr-26'!$A:$A,'[1]Apr-26'!$H:$H,0)</f>
        <v>0</v>
      </c>
    </row>
    <row r="23" spans="1:33" x14ac:dyDescent="0.2">
      <c r="A23" s="58">
        <v>10160</v>
      </c>
      <c r="B23" s="56" t="str">
        <f t="shared" si="6"/>
        <v>10160</v>
      </c>
      <c r="C23" s="57" t="s">
        <v>307</v>
      </c>
      <c r="D23" s="57" t="s">
        <v>303</v>
      </c>
      <c r="E23" s="44" t="s">
        <v>263</v>
      </c>
      <c r="F23" s="17">
        <f>_xlfn.XLOOKUP($B23,'[1]Jan-24'!$A:$A,'[1]Jan-24'!$H:$H,0)</f>
        <v>20280000</v>
      </c>
      <c r="G23" s="17">
        <f>_xlfn.XLOOKUP($B23,'[1]Feb-24'!$A:$A,'[1]Feb-24'!$H:$H,0)</f>
        <v>20280000</v>
      </c>
      <c r="H23" s="17">
        <f>_xlfn.XLOOKUP($B23,'[1]Mar-24'!$A:$A,'[1]Mar-24'!$H:$H,0)</f>
        <v>20280000</v>
      </c>
      <c r="I23" s="17">
        <f>_xlfn.XLOOKUP($B23,'[1]Apr-24'!$A:$A,'[1]Apr-24'!$H:$H,0)</f>
        <v>20280000</v>
      </c>
      <c r="J23" s="17">
        <f>_xlfn.XLOOKUP($B23,'[1]May-24'!$A:$A,'[1]May-24'!$H:$H,0)</f>
        <v>20280000</v>
      </c>
      <c r="K23" s="17">
        <f>_xlfn.XLOOKUP($B23,'[1]Jun-24'!$A:$A,'[1]Jun-24'!$H:$H,0)</f>
        <v>20280000</v>
      </c>
      <c r="L23" s="17">
        <f>_xlfn.XLOOKUP($B23,'[1]Jul-24'!$A:$A,'[1]Jul-24'!$H:$H,0)</f>
        <v>20280000</v>
      </c>
      <c r="M23" s="17">
        <f>_xlfn.XLOOKUP($B23,'[1]Aug-24'!$A:$A,'[1]Aug-24'!$H:$H,0)</f>
        <v>20280000</v>
      </c>
      <c r="N23" s="17">
        <f>_xlfn.XLOOKUP($B23,'[1]Sep-24'!$A:$A,'[1]Sep-24'!$H:$H,0)</f>
        <v>20280000</v>
      </c>
      <c r="O23" s="17">
        <f>_xlfn.XLOOKUP($B23,'[1]Oct-24'!$A:$A,'[1]Oct-24'!$H:$H,0)</f>
        <v>20280000</v>
      </c>
      <c r="P23" s="17">
        <f>_xlfn.XLOOKUP($B23,'[1]Nov-24'!$A:$A,'[1]Nov-24'!$H:$H,0)</f>
        <v>20280000</v>
      </c>
      <c r="Q23" s="17">
        <f>_xlfn.XLOOKUP($B23,'[1]Dec-24'!$A:$A,'[1]Dec-24'!$H:$H,0)</f>
        <v>20280000</v>
      </c>
      <c r="R23" s="17">
        <f>_xlfn.XLOOKUP($B23,'[1]Jan-25'!$A:$A,'[1]Jan-25'!$H:$H,0)</f>
        <v>20280000</v>
      </c>
      <c r="S23" s="17">
        <f>_xlfn.XLOOKUP($B23,'[1]Feb-25'!$A:$A,'[1]Feb-25'!$H:$H,0)</f>
        <v>20280000</v>
      </c>
      <c r="T23" s="17">
        <f>_xlfn.XLOOKUP($B23,'[1]Mar-25'!$A:$A,'[1]Mar-25'!$H:$H,0)</f>
        <v>20280000</v>
      </c>
      <c r="U23" s="17">
        <f>_xlfn.XLOOKUP($B23,'[1]Apr-25'!$A:$A,'[1]Apr-25'!$H:$H,0)</f>
        <v>20280000</v>
      </c>
      <c r="V23" s="17">
        <f>_xlfn.XLOOKUP($B23,'[1]May-25'!$A:$A,'[1]May-25'!$H:$H,0)</f>
        <v>20280000</v>
      </c>
      <c r="W23" s="17">
        <f>_xlfn.XLOOKUP($B23,'[1]Jun-25'!$A:$A,'[1]Jun-25'!$H:$H,0)</f>
        <v>20280000</v>
      </c>
      <c r="X23" s="17">
        <f>_xlfn.XLOOKUP($B23,'[1]Jul-25'!$A:$A,'[1]Jul-25'!$H:$H,0)</f>
        <v>20280000</v>
      </c>
      <c r="Y23" s="17">
        <f>_xlfn.XLOOKUP($B23,'[1]Aug-25'!$A:$A,'[1]Aug-25'!$H:$H,0)</f>
        <v>20280000</v>
      </c>
      <c r="Z23" s="17">
        <f>_xlfn.XLOOKUP($B23,'[1]Sep-25'!$A:$A,'[1]Sep-25'!$H:$H,0)</f>
        <v>20280000</v>
      </c>
      <c r="AA23" s="17">
        <f>_xlfn.XLOOKUP($B23,'[1]Oct-25'!$A:$A,'[1]Oct-25'!$H:$H,0)</f>
        <v>20280000</v>
      </c>
      <c r="AB23" s="17">
        <f>_xlfn.XLOOKUP($B23,'[1]Nov-25'!$A:$A,'[1]Nov-25'!$H:$H,0)</f>
        <v>20280000</v>
      </c>
      <c r="AC23" s="17">
        <f>_xlfn.XLOOKUP($B23,'[1]Dec-25'!$A:$A,'[1]Dec-25'!$H:$H,0)</f>
        <v>20280000</v>
      </c>
      <c r="AD23" s="17">
        <f>_xlfn.XLOOKUP($B23,'[1]Jan-26'!$A:$A,'[1]Jan-26'!$H:$H,0)</f>
        <v>20280000</v>
      </c>
      <c r="AE23" s="17">
        <f>_xlfn.XLOOKUP($B23,'[1]Feb-26'!$A:$A,'[1]Feb-26'!$H:$H,0)</f>
        <v>20280000</v>
      </c>
      <c r="AF23" s="17">
        <f>_xlfn.XLOOKUP($B23,'[1]Mar-26'!$A:$A,'[1]Mar-26'!$H:$H,0)</f>
        <v>20280000</v>
      </c>
      <c r="AG23" s="17">
        <f>_xlfn.XLOOKUP($B23,'[1]Apr-26'!$A:$A,'[1]Apr-26'!$H:$H,0)</f>
        <v>20280000</v>
      </c>
    </row>
    <row r="24" spans="1:33" x14ac:dyDescent="0.2">
      <c r="A24" s="58">
        <v>10200</v>
      </c>
      <c r="B24" s="56" t="str">
        <f t="shared" si="6"/>
        <v>10200</v>
      </c>
      <c r="C24" s="57" t="s">
        <v>302</v>
      </c>
      <c r="D24" s="57" t="s">
        <v>303</v>
      </c>
      <c r="E24" s="44" t="s">
        <v>157</v>
      </c>
      <c r="F24" s="17">
        <f>_xlfn.XLOOKUP($B24,'[1]Jan-24'!$A:$A,'[1]Jan-24'!$H:$H,0)</f>
        <v>11745.64</v>
      </c>
      <c r="G24" s="17">
        <f>_xlfn.XLOOKUP($B24,'[1]Feb-24'!$A:$A,'[1]Feb-24'!$H:$H,0)</f>
        <v>11745.64</v>
      </c>
      <c r="H24" s="17">
        <f>_xlfn.XLOOKUP($B24,'[1]Mar-24'!$A:$A,'[1]Mar-24'!$H:$H,0)</f>
        <v>11745.64</v>
      </c>
      <c r="I24" s="17">
        <f>_xlfn.XLOOKUP($B24,'[1]Apr-24'!$A:$A,'[1]Apr-24'!$H:$H,0)</f>
        <v>11745.64</v>
      </c>
      <c r="J24" s="17">
        <f>_xlfn.XLOOKUP($B24,'[1]May-24'!$A:$A,'[1]May-24'!$H:$H,0)</f>
        <v>11745.64</v>
      </c>
      <c r="K24" s="17">
        <f>_xlfn.XLOOKUP($B24,'[1]Jun-24'!$A:$A,'[1]Jun-24'!$H:$H,0)</f>
        <v>985036435.14999998</v>
      </c>
      <c r="L24" s="17">
        <f>_xlfn.XLOOKUP($B24,'[1]Jul-24'!$A:$A,'[1]Jul-24'!$H:$H,0)</f>
        <v>11745.64</v>
      </c>
      <c r="M24" s="17">
        <f>_xlfn.XLOOKUP($B24,'[1]Aug-24'!$A:$A,'[1]Aug-24'!$H:$H,0)</f>
        <v>11745.64</v>
      </c>
      <c r="N24" s="17">
        <f>_xlfn.XLOOKUP($B24,'[1]Sep-24'!$A:$A,'[1]Sep-24'!$H:$H,0)</f>
        <v>11745.64</v>
      </c>
      <c r="O24" s="17">
        <f>_xlfn.XLOOKUP($B24,'[1]Oct-24'!$A:$A,'[1]Oct-24'!$H:$H,0)</f>
        <v>11745.64</v>
      </c>
      <c r="P24" s="17">
        <f>_xlfn.XLOOKUP($B24,'[1]Nov-24'!$A:$A,'[1]Nov-24'!$H:$H,0)</f>
        <v>11745.64</v>
      </c>
      <c r="Q24" s="17">
        <f>_xlfn.XLOOKUP($B24,'[1]Dec-24'!$A:$A,'[1]Dec-24'!$H:$H,0)</f>
        <v>11745.64</v>
      </c>
      <c r="R24" s="17">
        <f>_xlfn.XLOOKUP($B24,'[1]Jan-25'!$A:$A,'[1]Jan-25'!$H:$H,0)</f>
        <v>11745.64</v>
      </c>
      <c r="S24" s="17">
        <f>_xlfn.XLOOKUP($B24,'[1]Feb-25'!$A:$A,'[1]Feb-25'!$H:$H,0)</f>
        <v>11745.64</v>
      </c>
      <c r="T24" s="17">
        <f>_xlfn.XLOOKUP($B24,'[1]Mar-25'!$A:$A,'[1]Mar-25'!$H:$H,0)</f>
        <v>11745.64</v>
      </c>
      <c r="U24" s="17">
        <f>_xlfn.XLOOKUP($B24,'[1]Apr-25'!$A:$A,'[1]Apr-25'!$H:$H,0)</f>
        <v>11745.64</v>
      </c>
      <c r="V24" s="17">
        <f>_xlfn.XLOOKUP($B24,'[1]May-25'!$A:$A,'[1]May-25'!$H:$H,0)</f>
        <v>11745.64</v>
      </c>
      <c r="W24" s="17">
        <f>_xlfn.XLOOKUP($B24,'[1]Jun-25'!$A:$A,'[1]Jun-25'!$H:$H,0)</f>
        <v>11745.64</v>
      </c>
      <c r="X24" s="17">
        <f>_xlfn.XLOOKUP($B24,'[1]Jul-25'!$A:$A,'[1]Jul-25'!$H:$H,0)</f>
        <v>11745.64</v>
      </c>
      <c r="Y24" s="17">
        <f>_xlfn.XLOOKUP($B24,'[1]Aug-25'!$A:$A,'[1]Aug-25'!$H:$H,0)</f>
        <v>11745.64</v>
      </c>
      <c r="Z24" s="17">
        <f>_xlfn.XLOOKUP($B24,'[1]Sep-25'!$A:$A,'[1]Sep-25'!$H:$H,0)</f>
        <v>11745.64</v>
      </c>
      <c r="AA24" s="17">
        <f>_xlfn.XLOOKUP($B24,'[1]Oct-25'!$A:$A,'[1]Oct-25'!$H:$H,0)</f>
        <v>11745.64</v>
      </c>
      <c r="AB24" s="17">
        <f>_xlfn.XLOOKUP($B24,'[1]Nov-25'!$A:$A,'[1]Nov-25'!$H:$H,0)</f>
        <v>11745.64</v>
      </c>
      <c r="AC24" s="17">
        <f>_xlfn.XLOOKUP($B24,'[1]Dec-25'!$A:$A,'[1]Dec-25'!$H:$H,0)</f>
        <v>11745.64</v>
      </c>
      <c r="AD24" s="17">
        <f>_xlfn.XLOOKUP($B24,'[1]Jan-26'!$A:$A,'[1]Jan-26'!$H:$H,0)</f>
        <v>11745.64</v>
      </c>
      <c r="AE24" s="17">
        <f>_xlfn.XLOOKUP($B24,'[1]Feb-26'!$A:$A,'[1]Feb-26'!$H:$H,0)</f>
        <v>11745.64</v>
      </c>
      <c r="AF24" s="17">
        <f>_xlfn.XLOOKUP($B24,'[1]Mar-26'!$A:$A,'[1]Mar-26'!$H:$H,0)</f>
        <v>11745.64</v>
      </c>
      <c r="AG24" s="17">
        <f>_xlfn.XLOOKUP($B24,'[1]Apr-26'!$A:$A,'[1]Apr-26'!$H:$H,0)</f>
        <v>11745.64</v>
      </c>
    </row>
    <row r="25" spans="1:33" x14ac:dyDescent="0.2">
      <c r="A25" s="58">
        <v>10205</v>
      </c>
      <c r="B25" s="56" t="str">
        <f t="shared" si="6"/>
        <v>10205</v>
      </c>
      <c r="C25" s="57" t="s">
        <v>302</v>
      </c>
      <c r="D25" s="57" t="s">
        <v>303</v>
      </c>
      <c r="E25" s="44" t="s">
        <v>309</v>
      </c>
      <c r="F25" s="17">
        <f>_xlfn.XLOOKUP($B25,'[1]Jan-24'!$A:$A,'[1]Jan-24'!$H:$H,0)</f>
        <v>0</v>
      </c>
      <c r="G25" s="17">
        <f>_xlfn.XLOOKUP($B25,'[1]Feb-24'!$A:$A,'[1]Feb-24'!$H:$H,0)</f>
        <v>0</v>
      </c>
      <c r="H25" s="17">
        <f>_xlfn.XLOOKUP($B25,'[1]Mar-24'!$A:$A,'[1]Mar-24'!$H:$H,0)</f>
        <v>0</v>
      </c>
      <c r="I25" s="17">
        <f>_xlfn.XLOOKUP($B25,'[1]Apr-24'!$A:$A,'[1]Apr-24'!$H:$H,0)</f>
        <v>0</v>
      </c>
      <c r="J25" s="17">
        <f>_xlfn.XLOOKUP($B25,'[1]May-24'!$A:$A,'[1]May-24'!$H:$H,0)</f>
        <v>0</v>
      </c>
      <c r="K25" s="17">
        <f>_xlfn.XLOOKUP($B25,'[1]Jun-24'!$A:$A,'[1]Jun-24'!$H:$H,0)</f>
        <v>0</v>
      </c>
      <c r="L25" s="17">
        <f>_xlfn.XLOOKUP($B25,'[1]Jul-24'!$A:$A,'[1]Jul-24'!$H:$H,0)</f>
        <v>0</v>
      </c>
      <c r="M25" s="17">
        <f>_xlfn.XLOOKUP($B25,'[1]Aug-24'!$A:$A,'[1]Aug-24'!$H:$H,0)</f>
        <v>0</v>
      </c>
      <c r="N25" s="17">
        <f>_xlfn.XLOOKUP($B25,'[1]Sep-24'!$A:$A,'[1]Sep-24'!$H:$H,0)</f>
        <v>0</v>
      </c>
      <c r="O25" s="17">
        <f>_xlfn.XLOOKUP($B25,'[1]Oct-24'!$A:$A,'[1]Oct-24'!$H:$H,0)</f>
        <v>0</v>
      </c>
      <c r="P25" s="17">
        <f>_xlfn.XLOOKUP($B25,'[1]Nov-24'!$A:$A,'[1]Nov-24'!$H:$H,0)</f>
        <v>0</v>
      </c>
      <c r="Q25" s="17">
        <f>_xlfn.XLOOKUP($B25,'[1]Dec-24'!$A:$A,'[1]Dec-24'!$H:$H,0)</f>
        <v>0</v>
      </c>
      <c r="R25" s="17">
        <f>_xlfn.XLOOKUP($B25,'[1]Jan-25'!$A:$A,'[1]Jan-25'!$H:$H,0)</f>
        <v>0</v>
      </c>
      <c r="S25" s="17">
        <f>_xlfn.XLOOKUP($B25,'[1]Feb-25'!$A:$A,'[1]Feb-25'!$H:$H,0)</f>
        <v>0</v>
      </c>
      <c r="T25" s="17">
        <f>_xlfn.XLOOKUP($B25,'[1]Mar-25'!$A:$A,'[1]Mar-25'!$H:$H,0)</f>
        <v>0</v>
      </c>
      <c r="U25" s="17">
        <f>_xlfn.XLOOKUP($B25,'[1]Apr-25'!$A:$A,'[1]Apr-25'!$H:$H,0)</f>
        <v>0</v>
      </c>
      <c r="V25" s="17">
        <f>_xlfn.XLOOKUP($B25,'[1]May-25'!$A:$A,'[1]May-25'!$H:$H,0)</f>
        <v>0</v>
      </c>
      <c r="W25" s="17">
        <f>_xlfn.XLOOKUP($B25,'[1]Jun-25'!$A:$A,'[1]Jun-25'!$H:$H,0)</f>
        <v>0</v>
      </c>
      <c r="X25" s="17">
        <f>_xlfn.XLOOKUP($B25,'[1]Jul-25'!$A:$A,'[1]Jul-25'!$H:$H,0)</f>
        <v>0</v>
      </c>
      <c r="Y25" s="17">
        <f>_xlfn.XLOOKUP($B25,'[1]Aug-25'!$A:$A,'[1]Aug-25'!$H:$H,0)</f>
        <v>0</v>
      </c>
      <c r="Z25" s="17">
        <f>_xlfn.XLOOKUP($B25,'[1]Sep-25'!$A:$A,'[1]Sep-25'!$H:$H,0)</f>
        <v>0</v>
      </c>
      <c r="AA25" s="17">
        <f>_xlfn.XLOOKUP($B25,'[1]Oct-25'!$A:$A,'[1]Oct-25'!$H:$H,0)</f>
        <v>0</v>
      </c>
      <c r="AB25" s="17">
        <f>_xlfn.XLOOKUP($B25,'[1]Nov-25'!$A:$A,'[1]Nov-25'!$H:$H,0)</f>
        <v>0</v>
      </c>
      <c r="AC25" s="17">
        <f>_xlfn.XLOOKUP($B25,'[1]Dec-25'!$A:$A,'[1]Dec-25'!$H:$H,0)</f>
        <v>0</v>
      </c>
      <c r="AD25" s="17">
        <f>_xlfn.XLOOKUP($B25,'[1]Jan-26'!$A:$A,'[1]Jan-26'!$H:$H,0)</f>
        <v>0</v>
      </c>
      <c r="AE25" s="17">
        <f>_xlfn.XLOOKUP($B25,'[1]Feb-26'!$A:$A,'[1]Feb-26'!$H:$H,0)</f>
        <v>0</v>
      </c>
      <c r="AF25" s="17">
        <f>_xlfn.XLOOKUP($B25,'[1]Mar-26'!$A:$A,'[1]Mar-26'!$H:$H,0)</f>
        <v>0</v>
      </c>
      <c r="AG25" s="17">
        <f>_xlfn.XLOOKUP($B25,'[1]Apr-26'!$A:$A,'[1]Apr-26'!$H:$H,0)</f>
        <v>0</v>
      </c>
    </row>
    <row r="26" spans="1:33" x14ac:dyDescent="0.2">
      <c r="A26" s="58">
        <v>10210</v>
      </c>
      <c r="B26" s="56" t="str">
        <f t="shared" si="6"/>
        <v>10210</v>
      </c>
      <c r="C26" s="57" t="s">
        <v>302</v>
      </c>
      <c r="D26" s="57" t="s">
        <v>303</v>
      </c>
      <c r="E26" s="44" t="s">
        <v>158</v>
      </c>
      <c r="F26" s="17">
        <f>_xlfn.XLOOKUP($B26,'[1]Jan-24'!$A:$A,'[1]Jan-24'!$H:$H,0)</f>
        <v>73124.13</v>
      </c>
      <c r="G26" s="17">
        <f>_xlfn.XLOOKUP($B26,'[1]Feb-24'!$A:$A,'[1]Feb-24'!$H:$H,0)</f>
        <v>73124.13</v>
      </c>
      <c r="H26" s="17">
        <f>_xlfn.XLOOKUP($B26,'[1]Mar-24'!$A:$A,'[1]Mar-24'!$H:$H,0)</f>
        <v>73124.13</v>
      </c>
      <c r="I26" s="17">
        <f>_xlfn.XLOOKUP($B26,'[1]Apr-24'!$A:$A,'[1]Apr-24'!$H:$H,0)</f>
        <v>73124.13</v>
      </c>
      <c r="J26" s="17">
        <f>_xlfn.XLOOKUP($B26,'[1]May-24'!$A:$A,'[1]May-24'!$H:$H,0)</f>
        <v>73124.13</v>
      </c>
      <c r="K26" s="17">
        <f>_xlfn.XLOOKUP($B26,'[1]Jun-24'!$A:$A,'[1]Jun-24'!$H:$H,0)</f>
        <v>73124.13</v>
      </c>
      <c r="L26" s="17">
        <f>_xlfn.XLOOKUP($B26,'[1]Jul-24'!$A:$A,'[1]Jul-24'!$H:$H,0)</f>
        <v>73124.13</v>
      </c>
      <c r="M26" s="17">
        <f>_xlfn.XLOOKUP($B26,'[1]Aug-24'!$A:$A,'[1]Aug-24'!$H:$H,0)</f>
        <v>73124.13</v>
      </c>
      <c r="N26" s="17">
        <f>_xlfn.XLOOKUP($B26,'[1]Sep-24'!$A:$A,'[1]Sep-24'!$H:$H,0)</f>
        <v>73124.13</v>
      </c>
      <c r="O26" s="17">
        <f>_xlfn.XLOOKUP($B26,'[1]Oct-24'!$A:$A,'[1]Oct-24'!$H:$H,0)</f>
        <v>73124.13</v>
      </c>
      <c r="P26" s="17">
        <f>_xlfn.XLOOKUP($B26,'[1]Nov-24'!$A:$A,'[1]Nov-24'!$H:$H,0)</f>
        <v>73124.13</v>
      </c>
      <c r="Q26" s="17">
        <f>_xlfn.XLOOKUP($B26,'[1]Dec-24'!$A:$A,'[1]Dec-24'!$H:$H,0)</f>
        <v>73124.13</v>
      </c>
      <c r="R26" s="17">
        <f>_xlfn.XLOOKUP($B26,'[1]Jan-25'!$A:$A,'[1]Jan-25'!$H:$H,0)</f>
        <v>73124.13</v>
      </c>
      <c r="S26" s="17">
        <f>_xlfn.XLOOKUP($B26,'[1]Feb-25'!$A:$A,'[1]Feb-25'!$H:$H,0)</f>
        <v>73124.13</v>
      </c>
      <c r="T26" s="17">
        <f>_xlfn.XLOOKUP($B26,'[1]Mar-25'!$A:$A,'[1]Mar-25'!$H:$H,0)</f>
        <v>73124.13</v>
      </c>
      <c r="U26" s="17">
        <f>_xlfn.XLOOKUP($B26,'[1]Apr-25'!$A:$A,'[1]Apr-25'!$H:$H,0)</f>
        <v>73124.13</v>
      </c>
      <c r="V26" s="17">
        <f>_xlfn.XLOOKUP($B26,'[1]May-25'!$A:$A,'[1]May-25'!$H:$H,0)</f>
        <v>73124.13</v>
      </c>
      <c r="W26" s="17">
        <f>_xlfn.XLOOKUP($B26,'[1]Jun-25'!$A:$A,'[1]Jun-25'!$H:$H,0)</f>
        <v>73124.13</v>
      </c>
      <c r="X26" s="17">
        <f>_xlfn.XLOOKUP($B26,'[1]Jul-25'!$A:$A,'[1]Jul-25'!$H:$H,0)</f>
        <v>73124.13</v>
      </c>
      <c r="Y26" s="17">
        <f>_xlfn.XLOOKUP($B26,'[1]Aug-25'!$A:$A,'[1]Aug-25'!$H:$H,0)</f>
        <v>73124.13</v>
      </c>
      <c r="Z26" s="17">
        <f>_xlfn.XLOOKUP($B26,'[1]Sep-25'!$A:$A,'[1]Sep-25'!$H:$H,0)</f>
        <v>73124.13</v>
      </c>
      <c r="AA26" s="17">
        <f>_xlfn.XLOOKUP($B26,'[1]Oct-25'!$A:$A,'[1]Oct-25'!$H:$H,0)</f>
        <v>73124.13</v>
      </c>
      <c r="AB26" s="17">
        <f>_xlfn.XLOOKUP($B26,'[1]Nov-25'!$A:$A,'[1]Nov-25'!$H:$H,0)</f>
        <v>73124.13</v>
      </c>
      <c r="AC26" s="17">
        <f>_xlfn.XLOOKUP($B26,'[1]Dec-25'!$A:$A,'[1]Dec-25'!$H:$H,0)</f>
        <v>73124.13</v>
      </c>
      <c r="AD26" s="17">
        <f>_xlfn.XLOOKUP($B26,'[1]Jan-26'!$A:$A,'[1]Jan-26'!$H:$H,0)</f>
        <v>73124.13</v>
      </c>
      <c r="AE26" s="17">
        <f>_xlfn.XLOOKUP($B26,'[1]Feb-26'!$A:$A,'[1]Feb-26'!$H:$H,0)</f>
        <v>73124.13</v>
      </c>
      <c r="AF26" s="17">
        <f>_xlfn.XLOOKUP($B26,'[1]Mar-26'!$A:$A,'[1]Mar-26'!$H:$H,0)</f>
        <v>73124.13</v>
      </c>
      <c r="AG26" s="17">
        <f>_xlfn.XLOOKUP($B26,'[1]Apr-26'!$A:$A,'[1]Apr-26'!$H:$H,0)</f>
        <v>73124.13</v>
      </c>
    </row>
    <row r="27" spans="1:33" x14ac:dyDescent="0.2">
      <c r="A27" s="58">
        <v>10213</v>
      </c>
      <c r="B27" s="56" t="str">
        <f t="shared" si="6"/>
        <v>10213</v>
      </c>
      <c r="C27" s="57" t="s">
        <v>302</v>
      </c>
      <c r="D27" s="57" t="s">
        <v>303</v>
      </c>
      <c r="E27" s="44" t="s">
        <v>159</v>
      </c>
      <c r="F27" s="17">
        <f>_xlfn.XLOOKUP($B27,'[1]Jan-24'!$A:$A,'[1]Jan-24'!$H:$H,0)</f>
        <v>0</v>
      </c>
      <c r="G27" s="17">
        <f>_xlfn.XLOOKUP($B27,'[1]Feb-24'!$A:$A,'[1]Feb-24'!$H:$H,0)</f>
        <v>0</v>
      </c>
      <c r="H27" s="17">
        <f>_xlfn.XLOOKUP($B27,'[1]Mar-24'!$A:$A,'[1]Mar-24'!$H:$H,0)</f>
        <v>0</v>
      </c>
      <c r="I27" s="17">
        <f>_xlfn.XLOOKUP($B27,'[1]Apr-24'!$A:$A,'[1]Apr-24'!$H:$H,0)</f>
        <v>0</v>
      </c>
      <c r="J27" s="17">
        <f>_xlfn.XLOOKUP($B27,'[1]May-24'!$A:$A,'[1]May-24'!$H:$H,0)</f>
        <v>0</v>
      </c>
      <c r="K27" s="17">
        <f>_xlfn.XLOOKUP($B27,'[1]Jun-24'!$A:$A,'[1]Jun-24'!$H:$H,0)</f>
        <v>20000</v>
      </c>
      <c r="L27" s="17">
        <f>_xlfn.XLOOKUP($B27,'[1]Jul-24'!$A:$A,'[1]Jul-24'!$H:$H,0)</f>
        <v>20000</v>
      </c>
      <c r="M27" s="17">
        <f>_xlfn.XLOOKUP($B27,'[1]Aug-24'!$A:$A,'[1]Aug-24'!$H:$H,0)</f>
        <v>20000</v>
      </c>
      <c r="N27" s="17">
        <f>_xlfn.XLOOKUP($B27,'[1]Sep-24'!$A:$A,'[1]Sep-24'!$H:$H,0)</f>
        <v>20000</v>
      </c>
      <c r="O27" s="17">
        <f>_xlfn.XLOOKUP($B27,'[1]Oct-24'!$A:$A,'[1]Oct-24'!$H:$H,0)</f>
        <v>20000</v>
      </c>
      <c r="P27" s="17">
        <f>_xlfn.XLOOKUP($B27,'[1]Nov-24'!$A:$A,'[1]Nov-24'!$H:$H,0)</f>
        <v>20000</v>
      </c>
      <c r="Q27" s="17">
        <f>_xlfn.XLOOKUP($B27,'[1]Dec-24'!$A:$A,'[1]Dec-24'!$H:$H,0)</f>
        <v>20000</v>
      </c>
      <c r="R27" s="17">
        <f>_xlfn.XLOOKUP($B27,'[1]Jan-25'!$A:$A,'[1]Jan-25'!$H:$H,0)</f>
        <v>20000</v>
      </c>
      <c r="S27" s="17">
        <f>_xlfn.XLOOKUP($B27,'[1]Feb-25'!$A:$A,'[1]Feb-25'!$H:$H,0)</f>
        <v>20000</v>
      </c>
      <c r="T27" s="17">
        <f>_xlfn.XLOOKUP($B27,'[1]Mar-25'!$A:$A,'[1]Mar-25'!$H:$H,0)</f>
        <v>20000</v>
      </c>
      <c r="U27" s="17">
        <f>_xlfn.XLOOKUP($B27,'[1]Apr-25'!$A:$A,'[1]Apr-25'!$H:$H,0)</f>
        <v>20000</v>
      </c>
      <c r="V27" s="17">
        <f>_xlfn.XLOOKUP($B27,'[1]May-25'!$A:$A,'[1]May-25'!$H:$H,0)</f>
        <v>20000</v>
      </c>
      <c r="W27" s="17">
        <f>_xlfn.XLOOKUP($B27,'[1]Jun-25'!$A:$A,'[1]Jun-25'!$H:$H,0)</f>
        <v>20000</v>
      </c>
      <c r="X27" s="17">
        <f>_xlfn.XLOOKUP($B27,'[1]Jul-25'!$A:$A,'[1]Jul-25'!$H:$H,0)</f>
        <v>20000</v>
      </c>
      <c r="Y27" s="17">
        <f>_xlfn.XLOOKUP($B27,'[1]Aug-25'!$A:$A,'[1]Aug-25'!$H:$H,0)</f>
        <v>20000</v>
      </c>
      <c r="Z27" s="17">
        <f>_xlfn.XLOOKUP($B27,'[1]Sep-25'!$A:$A,'[1]Sep-25'!$H:$H,0)</f>
        <v>20000</v>
      </c>
      <c r="AA27" s="17">
        <f>_xlfn.XLOOKUP($B27,'[1]Oct-25'!$A:$A,'[1]Oct-25'!$H:$H,0)</f>
        <v>20000</v>
      </c>
      <c r="AB27" s="17">
        <f>_xlfn.XLOOKUP($B27,'[1]Nov-25'!$A:$A,'[1]Nov-25'!$H:$H,0)</f>
        <v>20000</v>
      </c>
      <c r="AC27" s="17">
        <f>_xlfn.XLOOKUP($B27,'[1]Dec-25'!$A:$A,'[1]Dec-25'!$H:$H,0)</f>
        <v>20000</v>
      </c>
      <c r="AD27" s="17">
        <f>_xlfn.XLOOKUP($B27,'[1]Jan-26'!$A:$A,'[1]Jan-26'!$H:$H,0)</f>
        <v>20000</v>
      </c>
      <c r="AE27" s="17">
        <f>_xlfn.XLOOKUP($B27,'[1]Feb-26'!$A:$A,'[1]Feb-26'!$H:$H,0)</f>
        <v>20000</v>
      </c>
      <c r="AF27" s="17">
        <f>_xlfn.XLOOKUP($B27,'[1]Mar-26'!$A:$A,'[1]Mar-26'!$H:$H,0)</f>
        <v>20000</v>
      </c>
      <c r="AG27" s="17">
        <f>_xlfn.XLOOKUP($B27,'[1]Apr-26'!$A:$A,'[1]Apr-26'!$H:$H,0)</f>
        <v>20000</v>
      </c>
    </row>
    <row r="28" spans="1:33" x14ac:dyDescent="0.2">
      <c r="A28" s="58">
        <v>10215</v>
      </c>
      <c r="B28" s="56" t="str">
        <f t="shared" si="6"/>
        <v>10215</v>
      </c>
      <c r="C28" s="57" t="s">
        <v>302</v>
      </c>
      <c r="D28" s="57" t="s">
        <v>303</v>
      </c>
      <c r="E28" s="44" t="s">
        <v>160</v>
      </c>
      <c r="F28" s="17">
        <f>_xlfn.XLOOKUP($B28,'[1]Jan-24'!$A:$A,'[1]Jan-24'!$H:$H,0)</f>
        <v>1947614.14</v>
      </c>
      <c r="G28" s="17">
        <f>_xlfn.XLOOKUP($B28,'[1]Feb-24'!$A:$A,'[1]Feb-24'!$H:$H,0)</f>
        <v>2108158.64</v>
      </c>
      <c r="H28" s="17">
        <f>_xlfn.XLOOKUP($B28,'[1]Mar-24'!$A:$A,'[1]Mar-24'!$H:$H,0)</f>
        <v>2614772.54</v>
      </c>
      <c r="I28" s="17">
        <f>_xlfn.XLOOKUP($B28,'[1]Apr-24'!$A:$A,'[1]Apr-24'!$H:$H,0)</f>
        <v>19712072.539999999</v>
      </c>
      <c r="J28" s="17">
        <f>_xlfn.XLOOKUP($B28,'[1]May-24'!$A:$A,'[1]May-24'!$H:$H,0)</f>
        <v>8686306.2899999991</v>
      </c>
      <c r="K28" s="17">
        <f>_xlfn.XLOOKUP($B28,'[1]Jun-24'!$A:$A,'[1]Jun-24'!$H:$H,0)</f>
        <v>5805788.79</v>
      </c>
      <c r="L28" s="17">
        <f>_xlfn.XLOOKUP($B28,'[1]Jul-24'!$A:$A,'[1]Jul-24'!$H:$H,0)</f>
        <v>10327193.550000001</v>
      </c>
      <c r="M28" s="17">
        <f>_xlfn.XLOOKUP($B28,'[1]Aug-24'!$A:$A,'[1]Aug-24'!$H:$H,0)</f>
        <v>1304369.8</v>
      </c>
      <c r="N28" s="17">
        <f>_xlfn.XLOOKUP($B28,'[1]Sep-24'!$A:$A,'[1]Sep-24'!$H:$H,0)</f>
        <v>3651019.8</v>
      </c>
      <c r="O28" s="17">
        <f>_xlfn.XLOOKUP($B28,'[1]Oct-24'!$A:$A,'[1]Oct-24'!$H:$H,0)</f>
        <v>7256768.9400000004</v>
      </c>
      <c r="P28" s="17">
        <f>_xlfn.XLOOKUP($B28,'[1]Nov-24'!$A:$A,'[1]Nov-24'!$H:$H,0)</f>
        <v>13281518.939999999</v>
      </c>
      <c r="Q28" s="17">
        <f>_xlfn.XLOOKUP($B28,'[1]Dec-24'!$A:$A,'[1]Dec-24'!$H:$H,0)</f>
        <v>16485718.939999999</v>
      </c>
      <c r="R28" s="17">
        <f>_xlfn.XLOOKUP($B28,'[1]Jan-25'!$A:$A,'[1]Jan-25'!$H:$H,0)</f>
        <v>16692417.48</v>
      </c>
      <c r="S28" s="17">
        <f>_xlfn.XLOOKUP($B28,'[1]Feb-25'!$A:$A,'[1]Feb-25'!$H:$H,0)</f>
        <v>17984367.829999998</v>
      </c>
      <c r="T28" s="17">
        <f>_xlfn.XLOOKUP($B28,'[1]Mar-25'!$A:$A,'[1]Mar-25'!$H:$H,0)</f>
        <v>4810082.08</v>
      </c>
      <c r="U28" s="17">
        <f>_xlfn.XLOOKUP($B28,'[1]Apr-25'!$A:$A,'[1]Apr-25'!$H:$H,0)</f>
        <v>11527028.33</v>
      </c>
      <c r="V28" s="17">
        <f>_xlfn.XLOOKUP($B28,'[1]May-25'!$A:$A,'[1]May-25'!$H:$H,0)</f>
        <v>1157362.08</v>
      </c>
      <c r="W28" s="17">
        <f>_xlfn.XLOOKUP($B28,'[1]Jun-25'!$A:$A,'[1]Jun-25'!$H:$H,0)</f>
        <v>4245212.08</v>
      </c>
      <c r="X28" s="17">
        <f>_xlfn.XLOOKUP($B28,'[1]Jul-25'!$A:$A,'[1]Jul-25'!$H:$H,0)</f>
        <v>7304762.0800000001</v>
      </c>
      <c r="Y28" s="17">
        <f>_xlfn.XLOOKUP($B28,'[1]Aug-25'!$A:$A,'[1]Aug-25'!$H:$H,0)</f>
        <v>321793586.81999999</v>
      </c>
      <c r="Z28" s="17">
        <f>_xlfn.XLOOKUP($B28,'[1]Sep-25'!$A:$A,'[1]Sep-25'!$H:$H,0)</f>
        <v>316629210.56999999</v>
      </c>
      <c r="AA28" s="17">
        <f>_xlfn.XLOOKUP($B28,'[1]Oct-25'!$A:$A,'[1]Oct-25'!$H:$H,0)</f>
        <v>68719139.319999993</v>
      </c>
      <c r="AB28" s="17">
        <f>_xlfn.XLOOKUP($B28,'[1]Nov-25'!$A:$A,'[1]Nov-25'!$H:$H,0)</f>
        <v>70289839.319999993</v>
      </c>
      <c r="AC28" s="17">
        <f>_xlfn.XLOOKUP($B28,'[1]Dec-25'!$A:$A,'[1]Dec-25'!$H:$H,0)</f>
        <v>1053208.3899999999</v>
      </c>
      <c r="AD28" s="17">
        <f>_xlfn.XLOOKUP($B28,'[1]Jan-26'!$A:$A,'[1]Jan-26'!$H:$H,0)</f>
        <v>1057208.3899999999</v>
      </c>
      <c r="AE28" s="17">
        <f>_xlfn.XLOOKUP($B28,'[1]Feb-26'!$A:$A,'[1]Feb-26'!$H:$H,0)</f>
        <v>1057208.3899999999</v>
      </c>
      <c r="AF28" s="17">
        <f>_xlfn.XLOOKUP($B28,'[1]Mar-26'!$A:$A,'[1]Mar-26'!$H:$H,0)</f>
        <v>65564820.740000002</v>
      </c>
      <c r="AG28" s="17">
        <f>_xlfn.XLOOKUP($B28,'[1]Apr-26'!$A:$A,'[1]Apr-26'!$H:$H,0)</f>
        <v>635090.81000000006</v>
      </c>
    </row>
    <row r="29" spans="1:33" x14ac:dyDescent="0.2">
      <c r="A29" s="58">
        <v>10220</v>
      </c>
      <c r="B29" s="56" t="str">
        <f t="shared" si="6"/>
        <v>10220</v>
      </c>
      <c r="C29" s="57" t="s">
        <v>302</v>
      </c>
      <c r="D29" s="57" t="s">
        <v>303</v>
      </c>
      <c r="E29" s="44" t="s">
        <v>310</v>
      </c>
      <c r="F29" s="17">
        <f>_xlfn.XLOOKUP($B29,'[1]Jan-24'!$A:$A,'[1]Jan-24'!$H:$H,0)</f>
        <v>0</v>
      </c>
      <c r="G29" s="17">
        <f>_xlfn.XLOOKUP($B29,'[1]Feb-24'!$A:$A,'[1]Feb-24'!$H:$H,0)</f>
        <v>0</v>
      </c>
      <c r="H29" s="17">
        <f>_xlfn.XLOOKUP($B29,'[1]Mar-24'!$A:$A,'[1]Mar-24'!$H:$H,0)</f>
        <v>0</v>
      </c>
      <c r="I29" s="17">
        <f>_xlfn.XLOOKUP($B29,'[1]Apr-24'!$A:$A,'[1]Apr-24'!$H:$H,0)</f>
        <v>0</v>
      </c>
      <c r="J29" s="17">
        <f>_xlfn.XLOOKUP($B29,'[1]May-24'!$A:$A,'[1]May-24'!$H:$H,0)</f>
        <v>0</v>
      </c>
      <c r="K29" s="17">
        <f>_xlfn.XLOOKUP($B29,'[1]Jun-24'!$A:$A,'[1]Jun-24'!$H:$H,0)</f>
        <v>0</v>
      </c>
      <c r="L29" s="17">
        <f>_xlfn.XLOOKUP($B29,'[1]Jul-24'!$A:$A,'[1]Jul-24'!$H:$H,0)</f>
        <v>0</v>
      </c>
      <c r="M29" s="17">
        <f>_xlfn.XLOOKUP($B29,'[1]Aug-24'!$A:$A,'[1]Aug-24'!$H:$H,0)</f>
        <v>0</v>
      </c>
      <c r="N29" s="17">
        <f>_xlfn.XLOOKUP($B29,'[1]Sep-24'!$A:$A,'[1]Sep-24'!$H:$H,0)</f>
        <v>0</v>
      </c>
      <c r="O29" s="17">
        <f>_xlfn.XLOOKUP($B29,'[1]Oct-24'!$A:$A,'[1]Oct-24'!$H:$H,0)</f>
        <v>0</v>
      </c>
      <c r="P29" s="17">
        <f>_xlfn.XLOOKUP($B29,'[1]Nov-24'!$A:$A,'[1]Nov-24'!$H:$H,0)</f>
        <v>0</v>
      </c>
      <c r="Q29" s="17">
        <f>_xlfn.XLOOKUP($B29,'[1]Dec-24'!$A:$A,'[1]Dec-24'!$H:$H,0)</f>
        <v>0</v>
      </c>
      <c r="R29" s="17">
        <f>_xlfn.XLOOKUP($B29,'[1]Jan-25'!$A:$A,'[1]Jan-25'!$H:$H,0)</f>
        <v>0</v>
      </c>
      <c r="S29" s="17">
        <f>_xlfn.XLOOKUP($B29,'[1]Feb-25'!$A:$A,'[1]Feb-25'!$H:$H,0)</f>
        <v>0</v>
      </c>
      <c r="T29" s="17">
        <f>_xlfn.XLOOKUP($B29,'[1]Mar-25'!$A:$A,'[1]Mar-25'!$H:$H,0)</f>
        <v>0</v>
      </c>
      <c r="U29" s="17">
        <f>_xlfn.XLOOKUP($B29,'[1]Apr-25'!$A:$A,'[1]Apr-25'!$H:$H,0)</f>
        <v>0</v>
      </c>
      <c r="V29" s="17">
        <f>_xlfn.XLOOKUP($B29,'[1]May-25'!$A:$A,'[1]May-25'!$H:$H,0)</f>
        <v>0</v>
      </c>
      <c r="W29" s="17">
        <f>_xlfn.XLOOKUP($B29,'[1]Jun-25'!$A:$A,'[1]Jun-25'!$H:$H,0)</f>
        <v>0</v>
      </c>
      <c r="X29" s="17">
        <f>_xlfn.XLOOKUP($B29,'[1]Jul-25'!$A:$A,'[1]Jul-25'!$H:$H,0)</f>
        <v>0</v>
      </c>
      <c r="Y29" s="17">
        <f>_xlfn.XLOOKUP($B29,'[1]Aug-25'!$A:$A,'[1]Aug-25'!$H:$H,0)</f>
        <v>0</v>
      </c>
      <c r="Z29" s="17">
        <f>_xlfn.XLOOKUP($B29,'[1]Sep-25'!$A:$A,'[1]Sep-25'!$H:$H,0)</f>
        <v>0</v>
      </c>
      <c r="AA29" s="17">
        <f>_xlfn.XLOOKUP($B29,'[1]Oct-25'!$A:$A,'[1]Oct-25'!$H:$H,0)</f>
        <v>0</v>
      </c>
      <c r="AB29" s="17">
        <f>_xlfn.XLOOKUP($B29,'[1]Nov-25'!$A:$A,'[1]Nov-25'!$H:$H,0)</f>
        <v>0</v>
      </c>
      <c r="AC29" s="17">
        <f>_xlfn.XLOOKUP($B29,'[1]Dec-25'!$A:$A,'[1]Dec-25'!$H:$H,0)</f>
        <v>0</v>
      </c>
      <c r="AD29" s="17">
        <f>_xlfn.XLOOKUP($B29,'[1]Jan-26'!$A:$A,'[1]Jan-26'!$H:$H,0)</f>
        <v>0</v>
      </c>
      <c r="AE29" s="17">
        <f>_xlfn.XLOOKUP($B29,'[1]Feb-26'!$A:$A,'[1]Feb-26'!$H:$H,0)</f>
        <v>0</v>
      </c>
      <c r="AF29" s="17">
        <f>_xlfn.XLOOKUP($B29,'[1]Mar-26'!$A:$A,'[1]Mar-26'!$H:$H,0)</f>
        <v>0</v>
      </c>
      <c r="AG29" s="17">
        <f>_xlfn.XLOOKUP($B29,'[1]Apr-26'!$A:$A,'[1]Apr-26'!$H:$H,0)</f>
        <v>0</v>
      </c>
    </row>
    <row r="30" spans="1:33" x14ac:dyDescent="0.2">
      <c r="A30" s="58">
        <v>10221</v>
      </c>
      <c r="B30" s="56" t="str">
        <f t="shared" si="6"/>
        <v>10221</v>
      </c>
      <c r="C30" s="57" t="s">
        <v>302</v>
      </c>
      <c r="D30" s="57" t="s">
        <v>303</v>
      </c>
      <c r="E30" s="44" t="s">
        <v>161</v>
      </c>
      <c r="F30" s="17">
        <f>_xlfn.XLOOKUP($B30,'[1]Jan-24'!$A:$A,'[1]Jan-24'!$H:$H,0)</f>
        <v>989850.45</v>
      </c>
      <c r="G30" s="17">
        <f>_xlfn.XLOOKUP($B30,'[1]Feb-24'!$A:$A,'[1]Feb-24'!$H:$H,0)</f>
        <v>989850.45</v>
      </c>
      <c r="H30" s="17">
        <f>_xlfn.XLOOKUP($B30,'[1]Mar-24'!$A:$A,'[1]Mar-24'!$H:$H,0)</f>
        <v>989850.45</v>
      </c>
      <c r="I30" s="17">
        <f>_xlfn.XLOOKUP($B30,'[1]Apr-24'!$A:$A,'[1]Apr-24'!$H:$H,0)</f>
        <v>989850.45</v>
      </c>
      <c r="J30" s="17">
        <f>_xlfn.XLOOKUP($B30,'[1]May-24'!$A:$A,'[1]May-24'!$H:$H,0)</f>
        <v>989850.45</v>
      </c>
      <c r="K30" s="17">
        <f>_xlfn.XLOOKUP($B30,'[1]Jun-24'!$A:$A,'[1]Jun-24'!$H:$H,0)</f>
        <v>989850.45</v>
      </c>
      <c r="L30" s="17">
        <f>_xlfn.XLOOKUP($B30,'[1]Jul-24'!$A:$A,'[1]Jul-24'!$H:$H,0)</f>
        <v>989850.45</v>
      </c>
      <c r="M30" s="17">
        <f>_xlfn.XLOOKUP($B30,'[1]Aug-24'!$A:$A,'[1]Aug-24'!$H:$H,0)</f>
        <v>989850.45</v>
      </c>
      <c r="N30" s="17">
        <f>_xlfn.XLOOKUP($B30,'[1]Sep-24'!$A:$A,'[1]Sep-24'!$H:$H,0)</f>
        <v>989850.45</v>
      </c>
      <c r="O30" s="17">
        <f>_xlfn.XLOOKUP($B30,'[1]Oct-24'!$A:$A,'[1]Oct-24'!$H:$H,0)</f>
        <v>989850.45</v>
      </c>
      <c r="P30" s="17">
        <f>_xlfn.XLOOKUP($B30,'[1]Nov-24'!$A:$A,'[1]Nov-24'!$H:$H,0)</f>
        <v>989850.45</v>
      </c>
      <c r="Q30" s="17">
        <f>_xlfn.XLOOKUP($B30,'[1]Dec-24'!$A:$A,'[1]Dec-24'!$H:$H,0)</f>
        <v>989850.45</v>
      </c>
      <c r="R30" s="17">
        <f>_xlfn.XLOOKUP($B30,'[1]Jan-25'!$A:$A,'[1]Jan-25'!$H:$H,0)</f>
        <v>989850.45</v>
      </c>
      <c r="S30" s="17">
        <f>_xlfn.XLOOKUP($B30,'[1]Feb-25'!$A:$A,'[1]Feb-25'!$H:$H,0)</f>
        <v>989850.45</v>
      </c>
      <c r="T30" s="17">
        <f>_xlfn.XLOOKUP($B30,'[1]Mar-25'!$A:$A,'[1]Mar-25'!$H:$H,0)</f>
        <v>989850.45</v>
      </c>
      <c r="U30" s="17">
        <f>_xlfn.XLOOKUP($B30,'[1]Apr-25'!$A:$A,'[1]Apr-25'!$H:$H,0)</f>
        <v>989850.45</v>
      </c>
      <c r="V30" s="17">
        <f>_xlfn.XLOOKUP($B30,'[1]May-25'!$A:$A,'[1]May-25'!$H:$H,0)</f>
        <v>989850.45</v>
      </c>
      <c r="W30" s="17">
        <f>_xlfn.XLOOKUP($B30,'[1]Jun-25'!$A:$A,'[1]Jun-25'!$H:$H,0)</f>
        <v>989850.45</v>
      </c>
      <c r="X30" s="17">
        <f>_xlfn.XLOOKUP($B30,'[1]Jul-25'!$A:$A,'[1]Jul-25'!$H:$H,0)</f>
        <v>989850.45</v>
      </c>
      <c r="Y30" s="17">
        <f>_xlfn.XLOOKUP($B30,'[1]Aug-25'!$A:$A,'[1]Aug-25'!$H:$H,0)</f>
        <v>989850.45</v>
      </c>
      <c r="Z30" s="17">
        <f>_xlfn.XLOOKUP($B30,'[1]Sep-25'!$A:$A,'[1]Sep-25'!$H:$H,0)</f>
        <v>989850.45</v>
      </c>
      <c r="AA30" s="17">
        <f>_xlfn.XLOOKUP($B30,'[1]Oct-25'!$A:$A,'[1]Oct-25'!$H:$H,0)</f>
        <v>989850.45</v>
      </c>
      <c r="AB30" s="17">
        <f>_xlfn.XLOOKUP($B30,'[1]Nov-25'!$A:$A,'[1]Nov-25'!$H:$H,0)</f>
        <v>989850.45</v>
      </c>
      <c r="AC30" s="17">
        <f>_xlfn.XLOOKUP($B30,'[1]Dec-25'!$A:$A,'[1]Dec-25'!$H:$H,0)</f>
        <v>989850.45</v>
      </c>
      <c r="AD30" s="17">
        <f>_xlfn.XLOOKUP($B30,'[1]Jan-26'!$A:$A,'[1]Jan-26'!$H:$H,0)</f>
        <v>989850.45</v>
      </c>
      <c r="AE30" s="17">
        <f>_xlfn.XLOOKUP($B30,'[1]Feb-26'!$A:$A,'[1]Feb-26'!$H:$H,0)</f>
        <v>989850.45</v>
      </c>
      <c r="AF30" s="17">
        <f>_xlfn.XLOOKUP($B30,'[1]Mar-26'!$A:$A,'[1]Mar-26'!$H:$H,0)</f>
        <v>989850.45</v>
      </c>
      <c r="AG30" s="17">
        <f>_xlfn.XLOOKUP($B30,'[1]Apr-26'!$A:$A,'[1]Apr-26'!$H:$H,0)</f>
        <v>989850.45</v>
      </c>
    </row>
    <row r="31" spans="1:33" x14ac:dyDescent="0.2">
      <c r="A31" s="58">
        <v>10223</v>
      </c>
      <c r="B31" s="56" t="str">
        <f t="shared" si="6"/>
        <v>10223</v>
      </c>
      <c r="C31" s="57" t="s">
        <v>302</v>
      </c>
      <c r="D31" s="57" t="s">
        <v>303</v>
      </c>
      <c r="E31" s="44" t="s">
        <v>162</v>
      </c>
      <c r="F31" s="17">
        <f>_xlfn.XLOOKUP($B31,'[1]Jan-24'!$A:$A,'[1]Jan-24'!$H:$H,0)</f>
        <v>-960669.5</v>
      </c>
      <c r="G31" s="17">
        <f>_xlfn.XLOOKUP($B31,'[1]Feb-24'!$A:$A,'[1]Feb-24'!$H:$H,0)</f>
        <v>8123865</v>
      </c>
      <c r="H31" s="17">
        <f>_xlfn.XLOOKUP($B31,'[1]Mar-24'!$A:$A,'[1]Mar-24'!$H:$H,0)</f>
        <v>9292215</v>
      </c>
      <c r="I31" s="17">
        <f>_xlfn.XLOOKUP($B31,'[1]Apr-24'!$A:$A,'[1]Apr-24'!$H:$H,0)</f>
        <v>18012635.469999999</v>
      </c>
      <c r="J31" s="17">
        <f>_xlfn.XLOOKUP($B31,'[1]May-24'!$A:$A,'[1]May-24'!$H:$H,0)</f>
        <v>18946096.050000001</v>
      </c>
      <c r="K31" s="17">
        <f>_xlfn.XLOOKUP($B31,'[1]Jun-24'!$A:$A,'[1]Jun-24'!$H:$H,0)</f>
        <v>5888935.4699999997</v>
      </c>
      <c r="L31" s="17">
        <f>_xlfn.XLOOKUP($B31,'[1]Jul-24'!$A:$A,'[1]Jul-24'!$H:$H,0)</f>
        <v>11585902.380000001</v>
      </c>
      <c r="M31" s="17">
        <f>_xlfn.XLOOKUP($B31,'[1]Aug-24'!$A:$A,'[1]Aug-24'!$H:$H,0)</f>
        <v>6542703.9800000004</v>
      </c>
      <c r="N31" s="17">
        <f>_xlfn.XLOOKUP($B31,'[1]Sep-24'!$A:$A,'[1]Sep-24'!$H:$H,0)</f>
        <v>3526876.99</v>
      </c>
      <c r="O31" s="17">
        <f>_xlfn.XLOOKUP($B31,'[1]Oct-24'!$A:$A,'[1]Oct-24'!$H:$H,0)</f>
        <v>9340383.0299999993</v>
      </c>
      <c r="P31" s="17">
        <f>_xlfn.XLOOKUP($B31,'[1]Nov-24'!$A:$A,'[1]Nov-24'!$H:$H,0)</f>
        <v>11786521.289999999</v>
      </c>
      <c r="Q31" s="17">
        <f>_xlfn.XLOOKUP($B31,'[1]Dec-24'!$A:$A,'[1]Dec-24'!$H:$H,0)</f>
        <v>5846.9</v>
      </c>
      <c r="R31" s="17">
        <f>_xlfn.XLOOKUP($B31,'[1]Jan-25'!$A:$A,'[1]Jan-25'!$H:$H,0)</f>
        <v>12306772.199999999</v>
      </c>
      <c r="S31" s="17">
        <f>_xlfn.XLOOKUP($B31,'[1]Feb-25'!$A:$A,'[1]Feb-25'!$H:$H,0)</f>
        <v>16784449.91</v>
      </c>
      <c r="T31" s="17">
        <f>_xlfn.XLOOKUP($B31,'[1]Mar-25'!$A:$A,'[1]Mar-25'!$H:$H,0)</f>
        <v>5758.46</v>
      </c>
      <c r="U31" s="17">
        <f>_xlfn.XLOOKUP($B31,'[1]Apr-25'!$A:$A,'[1]Apr-25'!$H:$H,0)</f>
        <v>1134689.8500000001</v>
      </c>
      <c r="V31" s="17">
        <f>_xlfn.XLOOKUP($B31,'[1]May-25'!$A:$A,'[1]May-25'!$H:$H,0)</f>
        <v>8099697.8600000003</v>
      </c>
      <c r="W31" s="17">
        <f>_xlfn.XLOOKUP($B31,'[1]Jun-25'!$A:$A,'[1]Jun-25'!$H:$H,0)</f>
        <v>1911.45</v>
      </c>
      <c r="X31" s="17">
        <f>_xlfn.XLOOKUP($B31,'[1]Jul-25'!$A:$A,'[1]Jul-25'!$H:$H,0)</f>
        <v>7639142.7300000004</v>
      </c>
      <c r="Y31" s="17">
        <f>_xlfn.XLOOKUP($B31,'[1]Aug-25'!$A:$A,'[1]Aug-25'!$H:$H,0)</f>
        <v>16003068.1</v>
      </c>
      <c r="Z31" s="17">
        <f>_xlfn.XLOOKUP($B31,'[1]Sep-25'!$A:$A,'[1]Sep-25'!$H:$H,0)</f>
        <v>21074034.02</v>
      </c>
      <c r="AA31" s="17">
        <f>_xlfn.XLOOKUP($B31,'[1]Oct-25'!$A:$A,'[1]Oct-25'!$H:$H,0)</f>
        <v>74508380.879999995</v>
      </c>
      <c r="AB31" s="17">
        <f>_xlfn.XLOOKUP($B31,'[1]Nov-25'!$A:$A,'[1]Nov-25'!$H:$H,0)</f>
        <v>21827366.609999999</v>
      </c>
      <c r="AC31" s="17">
        <f>_xlfn.XLOOKUP($B31,'[1]Dec-25'!$A:$A,'[1]Dec-25'!$H:$H,0)</f>
        <v>12242944.07</v>
      </c>
      <c r="AD31" s="17">
        <f>_xlfn.XLOOKUP($B31,'[1]Jan-26'!$A:$A,'[1]Jan-26'!$H:$H,0)</f>
        <v>100100462.55</v>
      </c>
      <c r="AE31" s="17">
        <f>_xlfn.XLOOKUP($B31,'[1]Feb-26'!$A:$A,'[1]Feb-26'!$H:$H,0)</f>
        <v>189004855.61000001</v>
      </c>
      <c r="AF31" s="17">
        <f>_xlfn.XLOOKUP($B31,'[1]Mar-26'!$A:$A,'[1]Mar-26'!$H:$H,0)</f>
        <v>185972992.58000001</v>
      </c>
      <c r="AG31" s="17">
        <f>_xlfn.XLOOKUP($B31,'[1]Apr-26'!$A:$A,'[1]Apr-26'!$H:$H,0)</f>
        <v>204355915.49000001</v>
      </c>
    </row>
    <row r="32" spans="1:33" x14ac:dyDescent="0.2">
      <c r="A32" s="58">
        <v>10224</v>
      </c>
      <c r="B32" s="56" t="str">
        <f t="shared" si="6"/>
        <v>10224</v>
      </c>
      <c r="C32" s="57" t="s">
        <v>302</v>
      </c>
      <c r="D32" s="57" t="s">
        <v>303</v>
      </c>
      <c r="E32" s="44" t="s">
        <v>163</v>
      </c>
      <c r="F32" s="17">
        <f>_xlfn.XLOOKUP($B32,'[1]Jan-24'!$A:$A,'[1]Jan-24'!$H:$H,0)</f>
        <v>0</v>
      </c>
      <c r="G32" s="17">
        <f>_xlfn.XLOOKUP($B32,'[1]Feb-24'!$A:$A,'[1]Feb-24'!$H:$H,0)</f>
        <v>0</v>
      </c>
      <c r="H32" s="17">
        <f>_xlfn.XLOOKUP($B32,'[1]Mar-24'!$A:$A,'[1]Mar-24'!$H:$H,0)</f>
        <v>0</v>
      </c>
      <c r="I32" s="17">
        <f>_xlfn.XLOOKUP($B32,'[1]Apr-24'!$A:$A,'[1]Apr-24'!$H:$H,0)</f>
        <v>0</v>
      </c>
      <c r="J32" s="17">
        <f>_xlfn.XLOOKUP($B32,'[1]May-24'!$A:$A,'[1]May-24'!$H:$H,0)</f>
        <v>104064.52</v>
      </c>
      <c r="K32" s="17">
        <f>_xlfn.XLOOKUP($B32,'[1]Jun-24'!$A:$A,'[1]Jun-24'!$H:$H,0)</f>
        <v>9048783.1799999997</v>
      </c>
      <c r="L32" s="17">
        <f>_xlfn.XLOOKUP($B32,'[1]Jul-24'!$A:$A,'[1]Jul-24'!$H:$H,0)</f>
        <v>888286.99</v>
      </c>
      <c r="M32" s="17">
        <f>_xlfn.XLOOKUP($B32,'[1]Aug-24'!$A:$A,'[1]Aug-24'!$H:$H,0)</f>
        <v>11401.38</v>
      </c>
      <c r="N32" s="17">
        <f>_xlfn.XLOOKUP($B32,'[1]Sep-24'!$A:$A,'[1]Sep-24'!$H:$H,0)</f>
        <v>33.36</v>
      </c>
      <c r="O32" s="17">
        <f>_xlfn.XLOOKUP($B32,'[1]Oct-24'!$A:$A,'[1]Oct-24'!$H:$H,0)</f>
        <v>32.869999999999997</v>
      </c>
      <c r="P32" s="17">
        <f>_xlfn.XLOOKUP($B32,'[1]Nov-24'!$A:$A,'[1]Nov-24'!$H:$H,0)</f>
        <v>33.659999999999997</v>
      </c>
      <c r="Q32" s="17">
        <f>_xlfn.XLOOKUP($B32,'[1]Dec-24'!$A:$A,'[1]Dec-24'!$H:$H,0)</f>
        <v>30.94</v>
      </c>
      <c r="R32" s="17">
        <f>_xlfn.XLOOKUP($B32,'[1]Jan-25'!$A:$A,'[1]Jan-25'!$H:$H,0)</f>
        <v>30.75</v>
      </c>
      <c r="S32" s="17">
        <f>_xlfn.XLOOKUP($B32,'[1]Feb-25'!$A:$A,'[1]Feb-25'!$H:$H,0)</f>
        <v>29.96</v>
      </c>
      <c r="T32" s="17">
        <f>_xlfn.XLOOKUP($B32,'[1]Mar-25'!$A:$A,'[1]Mar-25'!$H:$H,0)</f>
        <v>30.71</v>
      </c>
      <c r="U32" s="17">
        <f>_xlfn.XLOOKUP($B32,'[1]Apr-25'!$A:$A,'[1]Apr-25'!$H:$H,0)</f>
        <v>32.04</v>
      </c>
      <c r="V32" s="17">
        <f>_xlfn.XLOOKUP($B32,'[1]May-25'!$A:$A,'[1]May-25'!$H:$H,0)</f>
        <v>1587821.76</v>
      </c>
      <c r="W32" s="17">
        <f>_xlfn.XLOOKUP($B32,'[1]Jun-25'!$A:$A,'[1]Jun-25'!$H:$H,0)</f>
        <v>1433986.49</v>
      </c>
      <c r="X32" s="17">
        <f>_xlfn.XLOOKUP($B32,'[1]Jul-25'!$A:$A,'[1]Jul-25'!$H:$H,0)</f>
        <v>615754.78</v>
      </c>
      <c r="Y32" s="17">
        <f>_xlfn.XLOOKUP($B32,'[1]Aug-25'!$A:$A,'[1]Aug-25'!$H:$H,0)</f>
        <v>0</v>
      </c>
      <c r="Z32" s="17">
        <f>_xlfn.XLOOKUP($B32,'[1]Sep-25'!$A:$A,'[1]Sep-25'!$H:$H,0)</f>
        <v>0</v>
      </c>
      <c r="AA32" s="17">
        <f>_xlfn.XLOOKUP($B32,'[1]Oct-25'!$A:$A,'[1]Oct-25'!$H:$H,0)</f>
        <v>0</v>
      </c>
      <c r="AB32" s="17">
        <f>_xlfn.XLOOKUP($B32,'[1]Nov-25'!$A:$A,'[1]Nov-25'!$H:$H,0)</f>
        <v>0</v>
      </c>
      <c r="AC32" s="17">
        <f>_xlfn.XLOOKUP($B32,'[1]Dec-25'!$A:$A,'[1]Dec-25'!$H:$H,0)</f>
        <v>0</v>
      </c>
      <c r="AD32" s="17">
        <f>_xlfn.XLOOKUP($B32,'[1]Jan-26'!$A:$A,'[1]Jan-26'!$H:$H,0)</f>
        <v>0</v>
      </c>
      <c r="AE32" s="17">
        <f>_xlfn.XLOOKUP($B32,'[1]Feb-26'!$A:$A,'[1]Feb-26'!$H:$H,0)</f>
        <v>0</v>
      </c>
      <c r="AF32" s="17">
        <f>_xlfn.XLOOKUP($B32,'[1]Mar-26'!$A:$A,'[1]Mar-26'!$H:$H,0)</f>
        <v>0</v>
      </c>
      <c r="AG32" s="17">
        <f>_xlfn.XLOOKUP($B32,'[1]Apr-26'!$A:$A,'[1]Apr-26'!$H:$H,0)</f>
        <v>0</v>
      </c>
    </row>
    <row r="33" spans="1:33" x14ac:dyDescent="0.2">
      <c r="A33" s="58">
        <v>10225</v>
      </c>
      <c r="B33" s="56" t="str">
        <f t="shared" si="6"/>
        <v>10225</v>
      </c>
      <c r="C33" s="57" t="s">
        <v>302</v>
      </c>
      <c r="D33" s="57" t="s">
        <v>303</v>
      </c>
      <c r="E33" s="44" t="s">
        <v>164</v>
      </c>
      <c r="F33" s="17">
        <f>_xlfn.XLOOKUP($B33,'[1]Jan-24'!$A:$A,'[1]Jan-24'!$H:$H,0)</f>
        <v>1016657.25</v>
      </c>
      <c r="G33" s="17">
        <f>_xlfn.XLOOKUP($B33,'[1]Feb-24'!$A:$A,'[1]Feb-24'!$H:$H,0)</f>
        <v>5285526.72</v>
      </c>
      <c r="H33" s="17">
        <f>_xlfn.XLOOKUP($B33,'[1]Mar-24'!$A:$A,'[1]Mar-24'!$H:$H,0)</f>
        <v>2850703.9</v>
      </c>
      <c r="I33" s="17">
        <f>_xlfn.XLOOKUP($B33,'[1]Apr-24'!$A:$A,'[1]Apr-24'!$H:$H,0)</f>
        <v>20065269.359999999</v>
      </c>
      <c r="J33" s="17">
        <f>_xlfn.XLOOKUP($B33,'[1]May-24'!$A:$A,'[1]May-24'!$H:$H,0)</f>
        <v>5031395.5599999996</v>
      </c>
      <c r="K33" s="17">
        <f>_xlfn.XLOOKUP($B33,'[1]Jun-24'!$A:$A,'[1]Jun-24'!$H:$H,0)</f>
        <v>3065010.2</v>
      </c>
      <c r="L33" s="17">
        <f>_xlfn.XLOOKUP($B33,'[1]Jul-24'!$A:$A,'[1]Jul-24'!$H:$H,0)</f>
        <v>5265474.55</v>
      </c>
      <c r="M33" s="17">
        <f>_xlfn.XLOOKUP($B33,'[1]Aug-24'!$A:$A,'[1]Aug-24'!$H:$H,0)</f>
        <v>4275686.3499999996</v>
      </c>
      <c r="N33" s="17">
        <f>_xlfn.XLOOKUP($B33,'[1]Sep-24'!$A:$A,'[1]Sep-24'!$H:$H,0)</f>
        <v>376579.69</v>
      </c>
      <c r="O33" s="17">
        <f>_xlfn.XLOOKUP($B33,'[1]Oct-24'!$A:$A,'[1]Oct-24'!$H:$H,0)</f>
        <v>1195332.18</v>
      </c>
      <c r="P33" s="17">
        <f>_xlfn.XLOOKUP($B33,'[1]Nov-24'!$A:$A,'[1]Nov-24'!$H:$H,0)</f>
        <v>14075132.18</v>
      </c>
      <c r="Q33" s="17">
        <f>_xlfn.XLOOKUP($B33,'[1]Dec-24'!$A:$A,'[1]Dec-24'!$H:$H,0)</f>
        <v>18974773.579999998</v>
      </c>
      <c r="R33" s="17">
        <f>_xlfn.XLOOKUP($B33,'[1]Jan-25'!$A:$A,'[1]Jan-25'!$H:$H,0)</f>
        <v>15395308</v>
      </c>
      <c r="S33" s="17">
        <f>_xlfn.XLOOKUP($B33,'[1]Feb-25'!$A:$A,'[1]Feb-25'!$H:$H,0)</f>
        <v>26930627.280000001</v>
      </c>
      <c r="T33" s="17">
        <f>_xlfn.XLOOKUP($B33,'[1]Mar-25'!$A:$A,'[1]Mar-25'!$H:$H,0)</f>
        <v>6887408.2300000004</v>
      </c>
      <c r="U33" s="17">
        <f>_xlfn.XLOOKUP($B33,'[1]Apr-25'!$A:$A,'[1]Apr-25'!$H:$H,0)</f>
        <v>25192426.539999999</v>
      </c>
      <c r="V33" s="17">
        <f>_xlfn.XLOOKUP($B33,'[1]May-25'!$A:$A,'[1]May-25'!$H:$H,0)</f>
        <v>6453812.8200000003</v>
      </c>
      <c r="W33" s="17">
        <f>_xlfn.XLOOKUP($B33,'[1]Jun-25'!$A:$A,'[1]Jun-25'!$H:$H,0)</f>
        <v>648058.18000000005</v>
      </c>
      <c r="X33" s="17">
        <f>_xlfn.XLOOKUP($B33,'[1]Jul-25'!$A:$A,'[1]Jul-25'!$H:$H,0)</f>
        <v>7487158.1799999997</v>
      </c>
      <c r="Y33" s="17">
        <f>_xlfn.XLOOKUP($B33,'[1]Aug-25'!$A:$A,'[1]Aug-25'!$H:$H,0)</f>
        <v>17702982.41</v>
      </c>
      <c r="Z33" s="17">
        <f>_xlfn.XLOOKUP($B33,'[1]Sep-25'!$A:$A,'[1]Sep-25'!$H:$H,0)</f>
        <v>160999982.41</v>
      </c>
      <c r="AA33" s="17">
        <f>_xlfn.XLOOKUP($B33,'[1]Oct-25'!$A:$A,'[1]Oct-25'!$H:$H,0)</f>
        <v>217664278.13</v>
      </c>
      <c r="AB33" s="17">
        <f>_xlfn.XLOOKUP($B33,'[1]Nov-25'!$A:$A,'[1]Nov-25'!$H:$H,0)</f>
        <v>3752380.37</v>
      </c>
      <c r="AC33" s="17">
        <f>_xlfn.XLOOKUP($B33,'[1]Dec-25'!$A:$A,'[1]Dec-25'!$H:$H,0)</f>
        <v>28002801.620000001</v>
      </c>
      <c r="AD33" s="17">
        <f>_xlfn.XLOOKUP($B33,'[1]Jan-26'!$A:$A,'[1]Jan-26'!$H:$H,0)</f>
        <v>37535911.219999999</v>
      </c>
      <c r="AE33" s="17">
        <f>_xlfn.XLOOKUP($B33,'[1]Feb-26'!$A:$A,'[1]Feb-26'!$H:$H,0)</f>
        <v>17733270.440000001</v>
      </c>
      <c r="AF33" s="17">
        <f>_xlfn.XLOOKUP($B33,'[1]Mar-26'!$A:$A,'[1]Mar-26'!$H:$H,0)</f>
        <v>96947360.290000007</v>
      </c>
      <c r="AG33" s="17">
        <f>_xlfn.XLOOKUP($B33,'[1]Apr-26'!$A:$A,'[1]Apr-26'!$H:$H,0)</f>
        <v>21759716.670000002</v>
      </c>
    </row>
    <row r="34" spans="1:33" x14ac:dyDescent="0.2">
      <c r="A34" s="58">
        <v>10226</v>
      </c>
      <c r="B34" s="56" t="str">
        <f t="shared" si="6"/>
        <v>10226</v>
      </c>
      <c r="C34" s="57" t="s">
        <v>302</v>
      </c>
      <c r="D34" s="57" t="s">
        <v>303</v>
      </c>
      <c r="E34" s="44" t="s">
        <v>165</v>
      </c>
      <c r="F34" s="17">
        <f>_xlfn.XLOOKUP($B34,'[1]Jan-24'!$A:$A,'[1]Jan-24'!$H:$H,0)</f>
        <v>0</v>
      </c>
      <c r="G34" s="17">
        <f>_xlfn.XLOOKUP($B34,'[1]Feb-24'!$A:$A,'[1]Feb-24'!$H:$H,0)</f>
        <v>0</v>
      </c>
      <c r="H34" s="17">
        <f>_xlfn.XLOOKUP($B34,'[1]Mar-24'!$A:$A,'[1]Mar-24'!$H:$H,0)</f>
        <v>0</v>
      </c>
      <c r="I34" s="17">
        <f>_xlfn.XLOOKUP($B34,'[1]Apr-24'!$A:$A,'[1]Apr-24'!$H:$H,0)</f>
        <v>0</v>
      </c>
      <c r="J34" s="17">
        <f>_xlfn.XLOOKUP($B34,'[1]May-24'!$A:$A,'[1]May-24'!$H:$H,0)</f>
        <v>1838692.64</v>
      </c>
      <c r="K34" s="17">
        <f>_xlfn.XLOOKUP($B34,'[1]Jun-24'!$A:$A,'[1]Jun-24'!$H:$H,0)</f>
        <v>900728.83</v>
      </c>
      <c r="L34" s="17">
        <f>_xlfn.XLOOKUP($B34,'[1]Jul-24'!$A:$A,'[1]Jul-24'!$H:$H,0)</f>
        <v>3530585.92</v>
      </c>
      <c r="M34" s="17">
        <f>_xlfn.XLOOKUP($B34,'[1]Aug-24'!$A:$A,'[1]Aug-24'!$H:$H,0)</f>
        <v>4814246.6399999997</v>
      </c>
      <c r="N34" s="17">
        <f>_xlfn.XLOOKUP($B34,'[1]Sep-24'!$A:$A,'[1]Sep-24'!$H:$H,0)</f>
        <v>10072308.789999999</v>
      </c>
      <c r="O34" s="17">
        <f>_xlfn.XLOOKUP($B34,'[1]Oct-24'!$A:$A,'[1]Oct-24'!$H:$H,0)</f>
        <v>6294157.6200000001</v>
      </c>
      <c r="P34" s="17">
        <f>_xlfn.XLOOKUP($B34,'[1]Nov-24'!$A:$A,'[1]Nov-24'!$H:$H,0)</f>
        <v>11959129.539999999</v>
      </c>
      <c r="Q34" s="17">
        <f>_xlfn.XLOOKUP($B34,'[1]Dec-24'!$A:$A,'[1]Dec-24'!$H:$H,0)</f>
        <v>6300640.9400000004</v>
      </c>
      <c r="R34" s="17">
        <f>_xlfn.XLOOKUP($B34,'[1]Jan-25'!$A:$A,'[1]Jan-25'!$H:$H,0)</f>
        <v>3676328.04</v>
      </c>
      <c r="S34" s="17">
        <f>_xlfn.XLOOKUP($B34,'[1]Feb-25'!$A:$A,'[1]Feb-25'!$H:$H,0)</f>
        <v>2340276.69</v>
      </c>
      <c r="T34" s="17">
        <f>_xlfn.XLOOKUP($B34,'[1]Mar-25'!$A:$A,'[1]Mar-25'!$H:$H,0)</f>
        <v>5754896.9900000002</v>
      </c>
      <c r="U34" s="17">
        <f>_xlfn.XLOOKUP($B34,'[1]Apr-25'!$A:$A,'[1]Apr-25'!$H:$H,0)</f>
        <v>3828267.52</v>
      </c>
      <c r="V34" s="17">
        <f>_xlfn.XLOOKUP($B34,'[1]May-25'!$A:$A,'[1]May-25'!$H:$H,0)</f>
        <v>1485808.1</v>
      </c>
      <c r="W34" s="17">
        <f>_xlfn.XLOOKUP($B34,'[1]Jun-25'!$A:$A,'[1]Jun-25'!$H:$H,0)</f>
        <v>6913702.6399999997</v>
      </c>
      <c r="X34" s="17">
        <f>_xlfn.XLOOKUP($B34,'[1]Jul-25'!$A:$A,'[1]Jul-25'!$H:$H,0)</f>
        <v>2990767.68</v>
      </c>
      <c r="Y34" s="17">
        <f>_xlfn.XLOOKUP($B34,'[1]Aug-25'!$A:$A,'[1]Aug-25'!$H:$H,0)</f>
        <v>7516604.8899999997</v>
      </c>
      <c r="Z34" s="17">
        <f>_xlfn.XLOOKUP($B34,'[1]Sep-25'!$A:$A,'[1]Sep-25'!$H:$H,0)</f>
        <v>3070173.05</v>
      </c>
      <c r="AA34" s="17">
        <f>_xlfn.XLOOKUP($B34,'[1]Oct-25'!$A:$A,'[1]Oct-25'!$H:$H,0)</f>
        <v>6192075.3399999999</v>
      </c>
      <c r="AB34" s="17">
        <f>_xlfn.XLOOKUP($B34,'[1]Nov-25'!$A:$A,'[1]Nov-25'!$H:$H,0)</f>
        <v>8895460</v>
      </c>
      <c r="AC34" s="17">
        <f>_xlfn.XLOOKUP($B34,'[1]Dec-25'!$A:$A,'[1]Dec-25'!$H:$H,0)</f>
        <v>3306488.21</v>
      </c>
      <c r="AD34" s="17">
        <f>_xlfn.XLOOKUP($B34,'[1]Jan-26'!$A:$A,'[1]Jan-26'!$H:$H,0)</f>
        <v>4180635.76</v>
      </c>
      <c r="AE34" s="17">
        <f>_xlfn.XLOOKUP($B34,'[1]Feb-26'!$A:$A,'[1]Feb-26'!$H:$H,0)</f>
        <v>1644368.78</v>
      </c>
      <c r="AF34" s="17">
        <f>_xlfn.XLOOKUP($B34,'[1]Mar-26'!$A:$A,'[1]Mar-26'!$H:$H,0)</f>
        <v>2923415.1</v>
      </c>
      <c r="AG34" s="17">
        <f>_xlfn.XLOOKUP($B34,'[1]Apr-26'!$A:$A,'[1]Apr-26'!$H:$H,0)</f>
        <v>7083089.7000000002</v>
      </c>
    </row>
    <row r="35" spans="1:33" x14ac:dyDescent="0.2">
      <c r="A35" s="58">
        <v>10227</v>
      </c>
      <c r="B35" s="56" t="str">
        <f t="shared" si="6"/>
        <v>10227</v>
      </c>
      <c r="C35" s="57" t="s">
        <v>302</v>
      </c>
      <c r="D35" s="57" t="s">
        <v>303</v>
      </c>
      <c r="E35" s="44" t="s">
        <v>166</v>
      </c>
      <c r="F35" s="17">
        <f>_xlfn.XLOOKUP($B35,'[1]Jan-24'!$A:$A,'[1]Jan-24'!$H:$H,0)</f>
        <v>0</v>
      </c>
      <c r="G35" s="17">
        <f>_xlfn.XLOOKUP($B35,'[1]Feb-24'!$A:$A,'[1]Feb-24'!$H:$H,0)</f>
        <v>0</v>
      </c>
      <c r="H35" s="17">
        <f>_xlfn.XLOOKUP($B35,'[1]Mar-24'!$A:$A,'[1]Mar-24'!$H:$H,0)</f>
        <v>0</v>
      </c>
      <c r="I35" s="17">
        <f>_xlfn.XLOOKUP($B35,'[1]Apr-24'!$A:$A,'[1]Apr-24'!$H:$H,0)</f>
        <v>0</v>
      </c>
      <c r="J35" s="17">
        <f>_xlfn.XLOOKUP($B35,'[1]May-24'!$A:$A,'[1]May-24'!$H:$H,0)</f>
        <v>0</v>
      </c>
      <c r="K35" s="17">
        <f>_xlfn.XLOOKUP($B35,'[1]Jun-24'!$A:$A,'[1]Jun-24'!$H:$H,0)</f>
        <v>0</v>
      </c>
      <c r="L35" s="17">
        <f>_xlfn.XLOOKUP($B35,'[1]Jul-24'!$A:$A,'[1]Jul-24'!$H:$H,0)</f>
        <v>7307364.3099999996</v>
      </c>
      <c r="M35" s="17">
        <f>_xlfn.XLOOKUP($B35,'[1]Aug-24'!$A:$A,'[1]Aug-24'!$H:$H,0)</f>
        <v>7877587.2000000002</v>
      </c>
      <c r="N35" s="17">
        <f>_xlfn.XLOOKUP($B35,'[1]Sep-24'!$A:$A,'[1]Sep-24'!$H:$H,0)</f>
        <v>15604052.98</v>
      </c>
      <c r="O35" s="17">
        <f>_xlfn.XLOOKUP($B35,'[1]Oct-24'!$A:$A,'[1]Oct-24'!$H:$H,0)</f>
        <v>8535343.6300000008</v>
      </c>
      <c r="P35" s="17">
        <f>_xlfn.XLOOKUP($B35,'[1]Nov-24'!$A:$A,'[1]Nov-24'!$H:$H,0)</f>
        <v>13877634.32</v>
      </c>
      <c r="Q35" s="17">
        <f>_xlfn.XLOOKUP($B35,'[1]Dec-24'!$A:$A,'[1]Dec-24'!$H:$H,0)</f>
        <v>14829712.98</v>
      </c>
      <c r="R35" s="17">
        <f>_xlfn.XLOOKUP($B35,'[1]Jan-25'!$A:$A,'[1]Jan-25'!$H:$H,0)</f>
        <v>8867777.4399999995</v>
      </c>
      <c r="S35" s="17">
        <f>_xlfn.XLOOKUP($B35,'[1]Feb-25'!$A:$A,'[1]Feb-25'!$H:$H,0)</f>
        <v>12596168.800000001</v>
      </c>
      <c r="T35" s="17">
        <f>_xlfn.XLOOKUP($B35,'[1]Mar-25'!$A:$A,'[1]Mar-25'!$H:$H,0)</f>
        <v>3607976.2</v>
      </c>
      <c r="U35" s="17">
        <f>_xlfn.XLOOKUP($B35,'[1]Apr-25'!$A:$A,'[1]Apr-25'!$H:$H,0)</f>
        <v>1477719.81</v>
      </c>
      <c r="V35" s="17">
        <f>_xlfn.XLOOKUP($B35,'[1]May-25'!$A:$A,'[1]May-25'!$H:$H,0)</f>
        <v>7984424.3099999996</v>
      </c>
      <c r="W35" s="17">
        <f>_xlfn.XLOOKUP($B35,'[1]Jun-25'!$A:$A,'[1]Jun-25'!$H:$H,0)</f>
        <v>9544782.7599999998</v>
      </c>
      <c r="X35" s="17">
        <f>_xlfn.XLOOKUP($B35,'[1]Jul-25'!$A:$A,'[1]Jul-25'!$H:$H,0)</f>
        <v>6358396.6600000001</v>
      </c>
      <c r="Y35" s="17">
        <f>_xlfn.XLOOKUP($B35,'[1]Aug-25'!$A:$A,'[1]Aug-25'!$H:$H,0)</f>
        <v>9625581.9000000004</v>
      </c>
      <c r="Z35" s="17">
        <f>_xlfn.XLOOKUP($B35,'[1]Sep-25'!$A:$A,'[1]Sep-25'!$H:$H,0)</f>
        <v>17124466.510000002</v>
      </c>
      <c r="AA35" s="17">
        <f>_xlfn.XLOOKUP($B35,'[1]Oct-25'!$A:$A,'[1]Oct-25'!$H:$H,0)</f>
        <v>10838955.550000001</v>
      </c>
      <c r="AB35" s="17">
        <f>_xlfn.XLOOKUP($B35,'[1]Nov-25'!$A:$A,'[1]Nov-25'!$H:$H,0)</f>
        <v>15049585.32</v>
      </c>
      <c r="AC35" s="17">
        <f>_xlfn.XLOOKUP($B35,'[1]Dec-25'!$A:$A,'[1]Dec-25'!$H:$H,0)</f>
        <v>14928308.75</v>
      </c>
      <c r="AD35" s="17">
        <f>_xlfn.XLOOKUP($B35,'[1]Jan-26'!$A:$A,'[1]Jan-26'!$H:$H,0)</f>
        <v>12556610.67</v>
      </c>
      <c r="AE35" s="17">
        <f>_xlfn.XLOOKUP($B35,'[1]Feb-26'!$A:$A,'[1]Feb-26'!$H:$H,0)</f>
        <v>13179854.52</v>
      </c>
      <c r="AF35" s="17">
        <f>_xlfn.XLOOKUP($B35,'[1]Mar-26'!$A:$A,'[1]Mar-26'!$H:$H,0)</f>
        <v>16621134.720000001</v>
      </c>
      <c r="AG35" s="17">
        <f>_xlfn.XLOOKUP($B35,'[1]Apr-26'!$A:$A,'[1]Apr-26'!$H:$H,0)</f>
        <v>9707401.9900000002</v>
      </c>
    </row>
    <row r="36" spans="1:33" x14ac:dyDescent="0.2">
      <c r="A36" s="58">
        <v>10230</v>
      </c>
      <c r="B36" s="56" t="str">
        <f t="shared" si="6"/>
        <v>10230</v>
      </c>
      <c r="C36" s="57" t="s">
        <v>302</v>
      </c>
      <c r="D36" s="57" t="s">
        <v>303</v>
      </c>
      <c r="E36" s="44" t="s">
        <v>311</v>
      </c>
      <c r="F36" s="17">
        <f>_xlfn.XLOOKUP($B36,'[1]Jan-24'!$A:$A,'[1]Jan-24'!$H:$H,0)</f>
        <v>2593.08</v>
      </c>
      <c r="G36" s="17">
        <f>_xlfn.XLOOKUP($B36,'[1]Feb-24'!$A:$A,'[1]Feb-24'!$H:$H,0)</f>
        <v>2593.08</v>
      </c>
      <c r="H36" s="17">
        <f>_xlfn.XLOOKUP($B36,'[1]Mar-24'!$A:$A,'[1]Mar-24'!$H:$H,0)</f>
        <v>2593.08</v>
      </c>
      <c r="I36" s="17">
        <f>_xlfn.XLOOKUP($B36,'[1]Apr-24'!$A:$A,'[1]Apr-24'!$H:$H,0)</f>
        <v>2593.08</v>
      </c>
      <c r="J36" s="17">
        <f>_xlfn.XLOOKUP($B36,'[1]May-24'!$A:$A,'[1]May-24'!$H:$H,0)</f>
        <v>2593.08</v>
      </c>
      <c r="K36" s="17">
        <f>_xlfn.XLOOKUP($B36,'[1]Jun-24'!$A:$A,'[1]Jun-24'!$H:$H,0)</f>
        <v>2593.08</v>
      </c>
      <c r="L36" s="17">
        <f>_xlfn.XLOOKUP($B36,'[1]Jul-24'!$A:$A,'[1]Jul-24'!$H:$H,0)</f>
        <v>0</v>
      </c>
      <c r="M36" s="17">
        <f>_xlfn.XLOOKUP($B36,'[1]Aug-24'!$A:$A,'[1]Aug-24'!$H:$H,0)</f>
        <v>0</v>
      </c>
      <c r="N36" s="17">
        <f>_xlfn.XLOOKUP($B36,'[1]Sep-24'!$A:$A,'[1]Sep-24'!$H:$H,0)</f>
        <v>0</v>
      </c>
      <c r="O36" s="17">
        <f>_xlfn.XLOOKUP($B36,'[1]Oct-24'!$A:$A,'[1]Oct-24'!$H:$H,0)</f>
        <v>0</v>
      </c>
      <c r="P36" s="17">
        <f>_xlfn.XLOOKUP($B36,'[1]Nov-24'!$A:$A,'[1]Nov-24'!$H:$H,0)</f>
        <v>0</v>
      </c>
      <c r="Q36" s="17">
        <f>_xlfn.XLOOKUP($B36,'[1]Dec-24'!$A:$A,'[1]Dec-24'!$H:$H,0)</f>
        <v>0</v>
      </c>
      <c r="R36" s="17">
        <f>_xlfn.XLOOKUP($B36,'[1]Jan-25'!$A:$A,'[1]Jan-25'!$H:$H,0)</f>
        <v>0</v>
      </c>
      <c r="S36" s="17">
        <f>_xlfn.XLOOKUP($B36,'[1]Feb-25'!$A:$A,'[1]Feb-25'!$H:$H,0)</f>
        <v>0</v>
      </c>
      <c r="T36" s="17">
        <f>_xlfn.XLOOKUP($B36,'[1]Mar-25'!$A:$A,'[1]Mar-25'!$H:$H,0)</f>
        <v>0</v>
      </c>
      <c r="U36" s="17">
        <f>_xlfn.XLOOKUP($B36,'[1]Apr-25'!$A:$A,'[1]Apr-25'!$H:$H,0)</f>
        <v>0</v>
      </c>
      <c r="V36" s="17">
        <f>_xlfn.XLOOKUP($B36,'[1]May-25'!$A:$A,'[1]May-25'!$H:$H,0)</f>
        <v>0</v>
      </c>
      <c r="W36" s="17">
        <f>_xlfn.XLOOKUP($B36,'[1]Jun-25'!$A:$A,'[1]Jun-25'!$H:$H,0)</f>
        <v>0</v>
      </c>
      <c r="X36" s="17">
        <f>_xlfn.XLOOKUP($B36,'[1]Jul-25'!$A:$A,'[1]Jul-25'!$H:$H,0)</f>
        <v>0</v>
      </c>
      <c r="Y36" s="17">
        <f>_xlfn.XLOOKUP($B36,'[1]Aug-25'!$A:$A,'[1]Aug-25'!$H:$H,0)</f>
        <v>0</v>
      </c>
      <c r="Z36" s="17">
        <f>_xlfn.XLOOKUP($B36,'[1]Sep-25'!$A:$A,'[1]Sep-25'!$H:$H,0)</f>
        <v>0</v>
      </c>
      <c r="AA36" s="17">
        <f>_xlfn.XLOOKUP($B36,'[1]Oct-25'!$A:$A,'[1]Oct-25'!$H:$H,0)</f>
        <v>0</v>
      </c>
      <c r="AB36" s="17">
        <f>_xlfn.XLOOKUP($B36,'[1]Nov-25'!$A:$A,'[1]Nov-25'!$H:$H,0)</f>
        <v>0</v>
      </c>
      <c r="AC36" s="17">
        <f>_xlfn.XLOOKUP($B36,'[1]Dec-25'!$A:$A,'[1]Dec-25'!$H:$H,0)</f>
        <v>0</v>
      </c>
      <c r="AD36" s="17">
        <f>_xlfn.XLOOKUP($B36,'[1]Jan-26'!$A:$A,'[1]Jan-26'!$H:$H,0)</f>
        <v>0</v>
      </c>
      <c r="AE36" s="17">
        <f>_xlfn.XLOOKUP($B36,'[1]Feb-26'!$A:$A,'[1]Feb-26'!$H:$H,0)</f>
        <v>0</v>
      </c>
      <c r="AF36" s="17">
        <f>_xlfn.XLOOKUP($B36,'[1]Mar-26'!$A:$A,'[1]Mar-26'!$H:$H,0)</f>
        <v>0</v>
      </c>
      <c r="AG36" s="17">
        <f>_xlfn.XLOOKUP($B36,'[1]Apr-26'!$A:$A,'[1]Apr-26'!$H:$H,0)</f>
        <v>0</v>
      </c>
    </row>
    <row r="37" spans="1:33" x14ac:dyDescent="0.2">
      <c r="A37" s="58">
        <v>10235</v>
      </c>
      <c r="B37" s="56" t="str">
        <f t="shared" si="6"/>
        <v>10235</v>
      </c>
      <c r="C37" s="57" t="s">
        <v>302</v>
      </c>
      <c r="D37" s="57" t="s">
        <v>303</v>
      </c>
      <c r="E37" s="44" t="s">
        <v>167</v>
      </c>
      <c r="F37" s="17">
        <f>_xlfn.XLOOKUP($B37,'[1]Jan-24'!$A:$A,'[1]Jan-24'!$H:$H,0)</f>
        <v>4838975.16</v>
      </c>
      <c r="G37" s="17">
        <f>_xlfn.XLOOKUP($B37,'[1]Feb-24'!$A:$A,'[1]Feb-24'!$H:$H,0)</f>
        <v>279761.8</v>
      </c>
      <c r="H37" s="17">
        <f>_xlfn.XLOOKUP($B37,'[1]Mar-24'!$A:$A,'[1]Mar-24'!$H:$H,0)</f>
        <v>2614055.11</v>
      </c>
      <c r="I37" s="17">
        <f>_xlfn.XLOOKUP($B37,'[1]Apr-24'!$A:$A,'[1]Apr-24'!$H:$H,0)</f>
        <v>5479725.1399999997</v>
      </c>
      <c r="J37" s="17">
        <f>_xlfn.XLOOKUP($B37,'[1]May-24'!$A:$A,'[1]May-24'!$H:$H,0)</f>
        <v>4870820.16</v>
      </c>
      <c r="K37" s="17">
        <f>_xlfn.XLOOKUP($B37,'[1]Jun-24'!$A:$A,'[1]Jun-24'!$H:$H,0)</f>
        <v>10468814.58</v>
      </c>
      <c r="L37" s="17">
        <f>_xlfn.XLOOKUP($B37,'[1]Jul-24'!$A:$A,'[1]Jul-24'!$H:$H,0)</f>
        <v>5308883.17</v>
      </c>
      <c r="M37" s="17">
        <f>_xlfn.XLOOKUP($B37,'[1]Aug-24'!$A:$A,'[1]Aug-24'!$H:$H,0)</f>
        <v>28135098.25</v>
      </c>
      <c r="N37" s="17">
        <f>_xlfn.XLOOKUP($B37,'[1]Sep-24'!$A:$A,'[1]Sep-24'!$H:$H,0)</f>
        <v>1766586.76</v>
      </c>
      <c r="O37" s="17">
        <f>_xlfn.XLOOKUP($B37,'[1]Oct-24'!$A:$A,'[1]Oct-24'!$H:$H,0)</f>
        <v>5388894.4100000001</v>
      </c>
      <c r="P37" s="17">
        <f>_xlfn.XLOOKUP($B37,'[1]Nov-24'!$A:$A,'[1]Nov-24'!$H:$H,0)</f>
        <v>1166458.71</v>
      </c>
      <c r="Q37" s="17">
        <f>_xlfn.XLOOKUP($B37,'[1]Dec-24'!$A:$A,'[1]Dec-24'!$H:$H,0)</f>
        <v>7139972.3799999999</v>
      </c>
      <c r="R37" s="17">
        <f>_xlfn.XLOOKUP($B37,'[1]Jan-25'!$A:$A,'[1]Jan-25'!$H:$H,0)</f>
        <v>252911.28</v>
      </c>
      <c r="S37" s="17">
        <f>_xlfn.XLOOKUP($B37,'[1]Feb-25'!$A:$A,'[1]Feb-25'!$H:$H,0)</f>
        <v>41599349.560000002</v>
      </c>
      <c r="T37" s="17">
        <f>_xlfn.XLOOKUP($B37,'[1]Mar-25'!$A:$A,'[1]Mar-25'!$H:$H,0)</f>
        <v>17468961.579999998</v>
      </c>
      <c r="U37" s="17">
        <f>_xlfn.XLOOKUP($B37,'[1]Apr-25'!$A:$A,'[1]Apr-25'!$H:$H,0)</f>
        <v>13794481.93</v>
      </c>
      <c r="V37" s="17">
        <f>_xlfn.XLOOKUP($B37,'[1]May-25'!$A:$A,'[1]May-25'!$H:$H,0)</f>
        <v>5747187.9900000002</v>
      </c>
      <c r="W37" s="17">
        <f>_xlfn.XLOOKUP($B37,'[1]Jun-25'!$A:$A,'[1]Jun-25'!$H:$H,0)</f>
        <v>1842973.41</v>
      </c>
      <c r="X37" s="17">
        <f>_xlfn.XLOOKUP($B37,'[1]Jul-25'!$A:$A,'[1]Jul-25'!$H:$H,0)</f>
        <v>2090554.61</v>
      </c>
      <c r="Y37" s="17">
        <f>_xlfn.XLOOKUP($B37,'[1]Aug-25'!$A:$A,'[1]Aug-25'!$H:$H,0)</f>
        <v>27790512.02</v>
      </c>
      <c r="Z37" s="17">
        <f>_xlfn.XLOOKUP($B37,'[1]Sep-25'!$A:$A,'[1]Sep-25'!$H:$H,0)</f>
        <v>28941730.219999999</v>
      </c>
      <c r="AA37" s="17">
        <f>_xlfn.XLOOKUP($B37,'[1]Oct-25'!$A:$A,'[1]Oct-25'!$H:$H,0)</f>
        <v>30621230.219999999</v>
      </c>
      <c r="AB37" s="17">
        <f>_xlfn.XLOOKUP($B37,'[1]Nov-25'!$A:$A,'[1]Nov-25'!$H:$H,0)</f>
        <v>30621230.219999999</v>
      </c>
      <c r="AC37" s="17">
        <f>_xlfn.XLOOKUP($B37,'[1]Dec-25'!$A:$A,'[1]Dec-25'!$H:$H,0)</f>
        <v>15605051.470000001</v>
      </c>
      <c r="AD37" s="17">
        <f>_xlfn.XLOOKUP($B37,'[1]Jan-26'!$A:$A,'[1]Jan-26'!$H:$H,0)</f>
        <v>1239105.92</v>
      </c>
      <c r="AE37" s="17">
        <f>_xlfn.XLOOKUP($B37,'[1]Feb-26'!$A:$A,'[1]Feb-26'!$H:$H,0)</f>
        <v>1239105.92</v>
      </c>
      <c r="AF37" s="17">
        <f>_xlfn.XLOOKUP($B37,'[1]Mar-26'!$A:$A,'[1]Mar-26'!$H:$H,0)</f>
        <v>2213905.92</v>
      </c>
      <c r="AG37" s="17">
        <f>_xlfn.XLOOKUP($B37,'[1]Apr-26'!$A:$A,'[1]Apr-26'!$H:$H,0)</f>
        <v>1112576.67</v>
      </c>
    </row>
    <row r="38" spans="1:33" x14ac:dyDescent="0.2">
      <c r="A38" s="58">
        <v>10240</v>
      </c>
      <c r="B38" s="56" t="str">
        <f t="shared" si="6"/>
        <v>10240</v>
      </c>
      <c r="C38" s="57" t="s">
        <v>302</v>
      </c>
      <c r="D38" s="57" t="s">
        <v>303</v>
      </c>
      <c r="E38" s="44" t="s">
        <v>168</v>
      </c>
      <c r="F38" s="17">
        <f>_xlfn.XLOOKUP($B38,'[1]Jan-24'!$A:$A,'[1]Jan-24'!$H:$H,0)</f>
        <v>31493.46</v>
      </c>
      <c r="G38" s="17">
        <f>_xlfn.XLOOKUP($B38,'[1]Feb-24'!$A:$A,'[1]Feb-24'!$H:$H,0)</f>
        <v>31493.46</v>
      </c>
      <c r="H38" s="17">
        <f>_xlfn.XLOOKUP($B38,'[1]Mar-24'!$A:$A,'[1]Mar-24'!$H:$H,0)</f>
        <v>31493.46</v>
      </c>
      <c r="I38" s="17">
        <f>_xlfn.XLOOKUP($B38,'[1]Apr-24'!$A:$A,'[1]Apr-24'!$H:$H,0)</f>
        <v>31493.46</v>
      </c>
      <c r="J38" s="17">
        <f>_xlfn.XLOOKUP($B38,'[1]May-24'!$A:$A,'[1]May-24'!$H:$H,0)</f>
        <v>31493.46</v>
      </c>
      <c r="K38" s="17">
        <f>_xlfn.XLOOKUP($B38,'[1]Jun-24'!$A:$A,'[1]Jun-24'!$H:$H,0)</f>
        <v>31493.46</v>
      </c>
      <c r="L38" s="17">
        <f>_xlfn.XLOOKUP($B38,'[1]Jul-24'!$A:$A,'[1]Jul-24'!$H:$H,0)</f>
        <v>31493.46</v>
      </c>
      <c r="M38" s="17">
        <f>_xlfn.XLOOKUP($B38,'[1]Aug-24'!$A:$A,'[1]Aug-24'!$H:$H,0)</f>
        <v>31493.46</v>
      </c>
      <c r="N38" s="17">
        <f>_xlfn.XLOOKUP($B38,'[1]Sep-24'!$A:$A,'[1]Sep-24'!$H:$H,0)</f>
        <v>31493.46</v>
      </c>
      <c r="O38" s="17">
        <f>_xlfn.XLOOKUP($B38,'[1]Oct-24'!$A:$A,'[1]Oct-24'!$H:$H,0)</f>
        <v>31493.46</v>
      </c>
      <c r="P38" s="17">
        <f>_xlfn.XLOOKUP($B38,'[1]Nov-24'!$A:$A,'[1]Nov-24'!$H:$H,0)</f>
        <v>31493.46</v>
      </c>
      <c r="Q38" s="17">
        <f>_xlfn.XLOOKUP($B38,'[1]Dec-24'!$A:$A,'[1]Dec-24'!$H:$H,0)</f>
        <v>31493.46</v>
      </c>
      <c r="R38" s="17">
        <f>_xlfn.XLOOKUP($B38,'[1]Jan-25'!$A:$A,'[1]Jan-25'!$H:$H,0)</f>
        <v>31493.46</v>
      </c>
      <c r="S38" s="17">
        <f>_xlfn.XLOOKUP($B38,'[1]Feb-25'!$A:$A,'[1]Feb-25'!$H:$H,0)</f>
        <v>31493.46</v>
      </c>
      <c r="T38" s="17">
        <f>_xlfn.XLOOKUP($B38,'[1]Mar-25'!$A:$A,'[1]Mar-25'!$H:$H,0)</f>
        <v>31493.46</v>
      </c>
      <c r="U38" s="17">
        <f>_xlfn.XLOOKUP($B38,'[1]Apr-25'!$A:$A,'[1]Apr-25'!$H:$H,0)</f>
        <v>31493.46</v>
      </c>
      <c r="V38" s="17">
        <f>_xlfn.XLOOKUP($B38,'[1]May-25'!$A:$A,'[1]May-25'!$H:$H,0)</f>
        <v>31493.46</v>
      </c>
      <c r="W38" s="17">
        <f>_xlfn.XLOOKUP($B38,'[1]Jun-25'!$A:$A,'[1]Jun-25'!$H:$H,0)</f>
        <v>31493.46</v>
      </c>
      <c r="X38" s="17">
        <f>_xlfn.XLOOKUP($B38,'[1]Jul-25'!$A:$A,'[1]Jul-25'!$H:$H,0)</f>
        <v>31493.46</v>
      </c>
      <c r="Y38" s="17">
        <f>_xlfn.XLOOKUP($B38,'[1]Aug-25'!$A:$A,'[1]Aug-25'!$H:$H,0)</f>
        <v>31493.46</v>
      </c>
      <c r="Z38" s="17">
        <f>_xlfn.XLOOKUP($B38,'[1]Sep-25'!$A:$A,'[1]Sep-25'!$H:$H,0)</f>
        <v>31493.46</v>
      </c>
      <c r="AA38" s="17">
        <f>_xlfn.XLOOKUP($B38,'[1]Oct-25'!$A:$A,'[1]Oct-25'!$H:$H,0)</f>
        <v>31493.46</v>
      </c>
      <c r="AB38" s="17">
        <f>_xlfn.XLOOKUP($B38,'[1]Nov-25'!$A:$A,'[1]Nov-25'!$H:$H,0)</f>
        <v>31493.46</v>
      </c>
      <c r="AC38" s="17">
        <f>_xlfn.XLOOKUP($B38,'[1]Dec-25'!$A:$A,'[1]Dec-25'!$H:$H,0)</f>
        <v>31493.46</v>
      </c>
      <c r="AD38" s="17">
        <f>_xlfn.XLOOKUP($B38,'[1]Jan-26'!$A:$A,'[1]Jan-26'!$H:$H,0)</f>
        <v>31493.46</v>
      </c>
      <c r="AE38" s="17">
        <f>_xlfn.XLOOKUP($B38,'[1]Feb-26'!$A:$A,'[1]Feb-26'!$H:$H,0)</f>
        <v>31493.46</v>
      </c>
      <c r="AF38" s="17">
        <f>_xlfn.XLOOKUP($B38,'[1]Mar-26'!$A:$A,'[1]Mar-26'!$H:$H,0)</f>
        <v>31493.46</v>
      </c>
      <c r="AG38" s="17">
        <f>_xlfn.XLOOKUP($B38,'[1]Apr-26'!$A:$A,'[1]Apr-26'!$H:$H,0)</f>
        <v>31493.46</v>
      </c>
    </row>
    <row r="39" spans="1:33" x14ac:dyDescent="0.2">
      <c r="A39" s="58">
        <v>10245</v>
      </c>
      <c r="B39" s="56" t="str">
        <f t="shared" si="6"/>
        <v>10245</v>
      </c>
      <c r="C39" s="57" t="s">
        <v>302</v>
      </c>
      <c r="D39" s="57" t="s">
        <v>303</v>
      </c>
      <c r="E39" s="44" t="s">
        <v>169</v>
      </c>
      <c r="F39" s="17">
        <f>_xlfn.XLOOKUP($B39,'[1]Jan-24'!$A:$A,'[1]Jan-24'!$H:$H,0)</f>
        <v>247848.59</v>
      </c>
      <c r="G39" s="17">
        <f>_xlfn.XLOOKUP($B39,'[1]Feb-24'!$A:$A,'[1]Feb-24'!$H:$H,0)</f>
        <v>44840.59</v>
      </c>
      <c r="H39" s="17">
        <f>_xlfn.XLOOKUP($B39,'[1]Mar-24'!$A:$A,'[1]Mar-24'!$H:$H,0)</f>
        <v>178073.03</v>
      </c>
      <c r="I39" s="17">
        <f>_xlfn.XLOOKUP($B39,'[1]Apr-24'!$A:$A,'[1]Apr-24'!$H:$H,0)</f>
        <v>178073.03</v>
      </c>
      <c r="J39" s="17">
        <f>_xlfn.XLOOKUP($B39,'[1]May-24'!$A:$A,'[1]May-24'!$H:$H,0)</f>
        <v>178073.03</v>
      </c>
      <c r="K39" s="17">
        <f>_xlfn.XLOOKUP($B39,'[1]Jun-24'!$A:$A,'[1]Jun-24'!$H:$H,0)</f>
        <v>208999.86</v>
      </c>
      <c r="L39" s="17">
        <f>_xlfn.XLOOKUP($B39,'[1]Jul-24'!$A:$A,'[1]Jul-24'!$H:$H,0)</f>
        <v>208999.86</v>
      </c>
      <c r="M39" s="17">
        <f>_xlfn.XLOOKUP($B39,'[1]Aug-24'!$A:$A,'[1]Aug-24'!$H:$H,0)</f>
        <v>208999.86</v>
      </c>
      <c r="N39" s="17">
        <f>_xlfn.XLOOKUP($B39,'[1]Sep-24'!$A:$A,'[1]Sep-24'!$H:$H,0)</f>
        <v>208999.86</v>
      </c>
      <c r="O39" s="17">
        <f>_xlfn.XLOOKUP($B39,'[1]Oct-24'!$A:$A,'[1]Oct-24'!$H:$H,0)</f>
        <v>208999.86</v>
      </c>
      <c r="P39" s="17">
        <f>_xlfn.XLOOKUP($B39,'[1]Nov-24'!$A:$A,'[1]Nov-24'!$H:$H,0)</f>
        <v>208999.86</v>
      </c>
      <c r="Q39" s="17">
        <f>_xlfn.XLOOKUP($B39,'[1]Dec-24'!$A:$A,'[1]Dec-24'!$H:$H,0)</f>
        <v>208999.86</v>
      </c>
      <c r="R39" s="17">
        <f>_xlfn.XLOOKUP($B39,'[1]Jan-25'!$A:$A,'[1]Jan-25'!$H:$H,0)</f>
        <v>208999.86</v>
      </c>
      <c r="S39" s="17">
        <f>_xlfn.XLOOKUP($B39,'[1]Feb-25'!$A:$A,'[1]Feb-25'!$H:$H,0)</f>
        <v>208999.86</v>
      </c>
      <c r="T39" s="17">
        <f>_xlfn.XLOOKUP($B39,'[1]Mar-25'!$A:$A,'[1]Mar-25'!$H:$H,0)</f>
        <v>208999.86</v>
      </c>
      <c r="U39" s="17">
        <f>_xlfn.XLOOKUP($B39,'[1]Apr-25'!$A:$A,'[1]Apr-25'!$H:$H,0)</f>
        <v>208999.86</v>
      </c>
      <c r="V39" s="17">
        <f>_xlfn.XLOOKUP($B39,'[1]May-25'!$A:$A,'[1]May-25'!$H:$H,0)</f>
        <v>208999.86</v>
      </c>
      <c r="W39" s="17">
        <f>_xlfn.XLOOKUP($B39,'[1]Jun-25'!$A:$A,'[1]Jun-25'!$H:$H,0)</f>
        <v>208999.86</v>
      </c>
      <c r="X39" s="17">
        <f>_xlfn.XLOOKUP($B39,'[1]Jul-25'!$A:$A,'[1]Jul-25'!$H:$H,0)</f>
        <v>208999.86</v>
      </c>
      <c r="Y39" s="17">
        <f>_xlfn.XLOOKUP($B39,'[1]Aug-25'!$A:$A,'[1]Aug-25'!$H:$H,0)</f>
        <v>208999.86</v>
      </c>
      <c r="Z39" s="17">
        <f>_xlfn.XLOOKUP($B39,'[1]Sep-25'!$A:$A,'[1]Sep-25'!$H:$H,0)</f>
        <v>208999.86</v>
      </c>
      <c r="AA39" s="17">
        <f>_xlfn.XLOOKUP($B39,'[1]Oct-25'!$A:$A,'[1]Oct-25'!$H:$H,0)</f>
        <v>208999.86</v>
      </c>
      <c r="AB39" s="17">
        <f>_xlfn.XLOOKUP($B39,'[1]Nov-25'!$A:$A,'[1]Nov-25'!$H:$H,0)</f>
        <v>208999.86</v>
      </c>
      <c r="AC39" s="17">
        <f>_xlfn.XLOOKUP($B39,'[1]Dec-25'!$A:$A,'[1]Dec-25'!$H:$H,0)</f>
        <v>208999.86</v>
      </c>
      <c r="AD39" s="17">
        <f>_xlfn.XLOOKUP($B39,'[1]Jan-26'!$A:$A,'[1]Jan-26'!$H:$H,0)</f>
        <v>208999.86</v>
      </c>
      <c r="AE39" s="17">
        <f>_xlfn.XLOOKUP($B39,'[1]Feb-26'!$A:$A,'[1]Feb-26'!$H:$H,0)</f>
        <v>208999.86</v>
      </c>
      <c r="AF39" s="17">
        <f>_xlfn.XLOOKUP($B39,'[1]Mar-26'!$A:$A,'[1]Mar-26'!$H:$H,0)</f>
        <v>208999.86</v>
      </c>
      <c r="AG39" s="17">
        <f>_xlfn.XLOOKUP($B39,'[1]Apr-26'!$A:$A,'[1]Apr-26'!$H:$H,0)</f>
        <v>208999.86</v>
      </c>
    </row>
    <row r="40" spans="1:33" x14ac:dyDescent="0.2">
      <c r="A40" s="58">
        <v>10248</v>
      </c>
      <c r="B40" s="56" t="str">
        <f t="shared" si="6"/>
        <v>10248</v>
      </c>
      <c r="C40" s="57" t="s">
        <v>302</v>
      </c>
      <c r="D40" s="57" t="s">
        <v>303</v>
      </c>
      <c r="E40" s="44" t="s">
        <v>312</v>
      </c>
      <c r="F40" s="17">
        <f>_xlfn.XLOOKUP($B40,'[1]Jan-24'!$A:$A,'[1]Jan-24'!$H:$H,0)</f>
        <v>0</v>
      </c>
      <c r="G40" s="17">
        <f>_xlfn.XLOOKUP($B40,'[1]Feb-24'!$A:$A,'[1]Feb-24'!$H:$H,0)</f>
        <v>0</v>
      </c>
      <c r="H40" s="17">
        <f>_xlfn.XLOOKUP($B40,'[1]Mar-24'!$A:$A,'[1]Mar-24'!$H:$H,0)</f>
        <v>0</v>
      </c>
      <c r="I40" s="17">
        <f>_xlfn.XLOOKUP($B40,'[1]Apr-24'!$A:$A,'[1]Apr-24'!$H:$H,0)</f>
        <v>0</v>
      </c>
      <c r="J40" s="17">
        <f>_xlfn.XLOOKUP($B40,'[1]May-24'!$A:$A,'[1]May-24'!$H:$H,0)</f>
        <v>0</v>
      </c>
      <c r="K40" s="17">
        <f>_xlfn.XLOOKUP($B40,'[1]Jun-24'!$A:$A,'[1]Jun-24'!$H:$H,0)</f>
        <v>0</v>
      </c>
      <c r="L40" s="17">
        <f>_xlfn.XLOOKUP($B40,'[1]Jul-24'!$A:$A,'[1]Jul-24'!$H:$H,0)</f>
        <v>0</v>
      </c>
      <c r="M40" s="17">
        <f>_xlfn.XLOOKUP($B40,'[1]Aug-24'!$A:$A,'[1]Aug-24'!$H:$H,0)</f>
        <v>0</v>
      </c>
      <c r="N40" s="17">
        <f>_xlfn.XLOOKUP($B40,'[1]Sep-24'!$A:$A,'[1]Sep-24'!$H:$H,0)</f>
        <v>0</v>
      </c>
      <c r="O40" s="17">
        <f>_xlfn.XLOOKUP($B40,'[1]Oct-24'!$A:$A,'[1]Oct-24'!$H:$H,0)</f>
        <v>0</v>
      </c>
      <c r="P40" s="17">
        <f>_xlfn.XLOOKUP($B40,'[1]Nov-24'!$A:$A,'[1]Nov-24'!$H:$H,0)</f>
        <v>0</v>
      </c>
      <c r="Q40" s="17">
        <f>_xlfn.XLOOKUP($B40,'[1]Dec-24'!$A:$A,'[1]Dec-24'!$H:$H,0)</f>
        <v>0</v>
      </c>
      <c r="R40" s="17">
        <f>_xlfn.XLOOKUP($B40,'[1]Jan-25'!$A:$A,'[1]Jan-25'!$H:$H,0)</f>
        <v>0</v>
      </c>
      <c r="S40" s="17">
        <f>_xlfn.XLOOKUP($B40,'[1]Feb-25'!$A:$A,'[1]Feb-25'!$H:$H,0)</f>
        <v>0</v>
      </c>
      <c r="T40" s="17">
        <f>_xlfn.XLOOKUP($B40,'[1]Mar-25'!$A:$A,'[1]Mar-25'!$H:$H,0)</f>
        <v>0</v>
      </c>
      <c r="U40" s="17">
        <f>_xlfn.XLOOKUP($B40,'[1]Apr-25'!$A:$A,'[1]Apr-25'!$H:$H,0)</f>
        <v>0</v>
      </c>
      <c r="V40" s="17">
        <f>_xlfn.XLOOKUP($B40,'[1]May-25'!$A:$A,'[1]May-25'!$H:$H,0)</f>
        <v>0</v>
      </c>
      <c r="W40" s="17">
        <f>_xlfn.XLOOKUP($B40,'[1]Jun-25'!$A:$A,'[1]Jun-25'!$H:$H,0)</f>
        <v>0</v>
      </c>
      <c r="X40" s="17">
        <f>_xlfn.XLOOKUP($B40,'[1]Jul-25'!$A:$A,'[1]Jul-25'!$H:$H,0)</f>
        <v>0</v>
      </c>
      <c r="Y40" s="17">
        <f>_xlfn.XLOOKUP($B40,'[1]Aug-25'!$A:$A,'[1]Aug-25'!$H:$H,0)</f>
        <v>0</v>
      </c>
      <c r="Z40" s="17">
        <f>_xlfn.XLOOKUP($B40,'[1]Sep-25'!$A:$A,'[1]Sep-25'!$H:$H,0)</f>
        <v>0</v>
      </c>
      <c r="AA40" s="17">
        <f>_xlfn.XLOOKUP($B40,'[1]Oct-25'!$A:$A,'[1]Oct-25'!$H:$H,0)</f>
        <v>0</v>
      </c>
      <c r="AB40" s="17">
        <f>_xlfn.XLOOKUP($B40,'[1]Nov-25'!$A:$A,'[1]Nov-25'!$H:$H,0)</f>
        <v>0</v>
      </c>
      <c r="AC40" s="17">
        <f>_xlfn.XLOOKUP($B40,'[1]Dec-25'!$A:$A,'[1]Dec-25'!$H:$H,0)</f>
        <v>0</v>
      </c>
      <c r="AD40" s="17">
        <f>_xlfn.XLOOKUP($B40,'[1]Jan-26'!$A:$A,'[1]Jan-26'!$H:$H,0)</f>
        <v>0</v>
      </c>
      <c r="AE40" s="17">
        <f>_xlfn.XLOOKUP($B40,'[1]Feb-26'!$A:$A,'[1]Feb-26'!$H:$H,0)</f>
        <v>0</v>
      </c>
      <c r="AF40" s="17">
        <f>_xlfn.XLOOKUP($B40,'[1]Mar-26'!$A:$A,'[1]Mar-26'!$H:$H,0)</f>
        <v>0</v>
      </c>
      <c r="AG40" s="17">
        <f>_xlfn.XLOOKUP($B40,'[1]Apr-26'!$A:$A,'[1]Apr-26'!$H:$H,0)</f>
        <v>0</v>
      </c>
    </row>
    <row r="41" spans="1:33" x14ac:dyDescent="0.2">
      <c r="A41" s="58">
        <v>10250</v>
      </c>
      <c r="B41" s="56" t="str">
        <f t="shared" si="6"/>
        <v>10250</v>
      </c>
      <c r="C41" s="57" t="s">
        <v>302</v>
      </c>
      <c r="D41" s="57" t="s">
        <v>303</v>
      </c>
      <c r="E41" s="44" t="s">
        <v>313</v>
      </c>
      <c r="F41" s="17">
        <f>_xlfn.XLOOKUP($B41,'[1]Jan-24'!$A:$A,'[1]Jan-24'!$H:$H,0)</f>
        <v>0</v>
      </c>
      <c r="G41" s="17">
        <f>_xlfn.XLOOKUP($B41,'[1]Feb-24'!$A:$A,'[1]Feb-24'!$H:$H,0)</f>
        <v>0</v>
      </c>
      <c r="H41" s="17">
        <f>_xlfn.XLOOKUP($B41,'[1]Mar-24'!$A:$A,'[1]Mar-24'!$H:$H,0)</f>
        <v>0</v>
      </c>
      <c r="I41" s="17">
        <f>_xlfn.XLOOKUP($B41,'[1]Apr-24'!$A:$A,'[1]Apr-24'!$H:$H,0)</f>
        <v>0</v>
      </c>
      <c r="J41" s="17">
        <f>_xlfn.XLOOKUP($B41,'[1]May-24'!$A:$A,'[1]May-24'!$H:$H,0)</f>
        <v>0</v>
      </c>
      <c r="K41" s="17">
        <f>_xlfn.XLOOKUP($B41,'[1]Jun-24'!$A:$A,'[1]Jun-24'!$H:$H,0)</f>
        <v>0</v>
      </c>
      <c r="L41" s="17">
        <f>_xlfn.XLOOKUP($B41,'[1]Jul-24'!$A:$A,'[1]Jul-24'!$H:$H,0)</f>
        <v>0</v>
      </c>
      <c r="M41" s="17">
        <f>_xlfn.XLOOKUP($B41,'[1]Aug-24'!$A:$A,'[1]Aug-24'!$H:$H,0)</f>
        <v>0</v>
      </c>
      <c r="N41" s="17">
        <f>_xlfn.XLOOKUP($B41,'[1]Sep-24'!$A:$A,'[1]Sep-24'!$H:$H,0)</f>
        <v>0</v>
      </c>
      <c r="O41" s="17">
        <f>_xlfn.XLOOKUP($B41,'[1]Oct-24'!$A:$A,'[1]Oct-24'!$H:$H,0)</f>
        <v>0</v>
      </c>
      <c r="P41" s="17">
        <f>_xlfn.XLOOKUP($B41,'[1]Nov-24'!$A:$A,'[1]Nov-24'!$H:$H,0)</f>
        <v>0</v>
      </c>
      <c r="Q41" s="17">
        <f>_xlfn.XLOOKUP($B41,'[1]Dec-24'!$A:$A,'[1]Dec-24'!$H:$H,0)</f>
        <v>0</v>
      </c>
      <c r="R41" s="17">
        <f>_xlfn.XLOOKUP($B41,'[1]Jan-25'!$A:$A,'[1]Jan-25'!$H:$H,0)</f>
        <v>0</v>
      </c>
      <c r="S41" s="17">
        <f>_xlfn.XLOOKUP($B41,'[1]Feb-25'!$A:$A,'[1]Feb-25'!$H:$H,0)</f>
        <v>0</v>
      </c>
      <c r="T41" s="17">
        <f>_xlfn.XLOOKUP($B41,'[1]Mar-25'!$A:$A,'[1]Mar-25'!$H:$H,0)</f>
        <v>0</v>
      </c>
      <c r="U41" s="17">
        <f>_xlfn.XLOOKUP($B41,'[1]Apr-25'!$A:$A,'[1]Apr-25'!$H:$H,0)</f>
        <v>0</v>
      </c>
      <c r="V41" s="17">
        <f>_xlfn.XLOOKUP($B41,'[1]May-25'!$A:$A,'[1]May-25'!$H:$H,0)</f>
        <v>0</v>
      </c>
      <c r="W41" s="17">
        <f>_xlfn.XLOOKUP($B41,'[1]Jun-25'!$A:$A,'[1]Jun-25'!$H:$H,0)</f>
        <v>0</v>
      </c>
      <c r="X41" s="17">
        <f>_xlfn.XLOOKUP($B41,'[1]Jul-25'!$A:$A,'[1]Jul-25'!$H:$H,0)</f>
        <v>0</v>
      </c>
      <c r="Y41" s="17">
        <f>_xlfn.XLOOKUP($B41,'[1]Aug-25'!$A:$A,'[1]Aug-25'!$H:$H,0)</f>
        <v>0</v>
      </c>
      <c r="Z41" s="17">
        <f>_xlfn.XLOOKUP($B41,'[1]Sep-25'!$A:$A,'[1]Sep-25'!$H:$H,0)</f>
        <v>0</v>
      </c>
      <c r="AA41" s="17">
        <f>_xlfn.XLOOKUP($B41,'[1]Oct-25'!$A:$A,'[1]Oct-25'!$H:$H,0)</f>
        <v>0</v>
      </c>
      <c r="AB41" s="17">
        <f>_xlfn.XLOOKUP($B41,'[1]Nov-25'!$A:$A,'[1]Nov-25'!$H:$H,0)</f>
        <v>0</v>
      </c>
      <c r="AC41" s="17">
        <f>_xlfn.XLOOKUP($B41,'[1]Dec-25'!$A:$A,'[1]Dec-25'!$H:$H,0)</f>
        <v>0</v>
      </c>
      <c r="AD41" s="17">
        <f>_xlfn.XLOOKUP($B41,'[1]Jan-26'!$A:$A,'[1]Jan-26'!$H:$H,0)</f>
        <v>0</v>
      </c>
      <c r="AE41" s="17">
        <f>_xlfn.XLOOKUP($B41,'[1]Feb-26'!$A:$A,'[1]Feb-26'!$H:$H,0)</f>
        <v>0</v>
      </c>
      <c r="AF41" s="17">
        <f>_xlfn.XLOOKUP($B41,'[1]Mar-26'!$A:$A,'[1]Mar-26'!$H:$H,0)</f>
        <v>0</v>
      </c>
      <c r="AG41" s="17">
        <f>_xlfn.XLOOKUP($B41,'[1]Apr-26'!$A:$A,'[1]Apr-26'!$H:$H,0)</f>
        <v>0</v>
      </c>
    </row>
    <row r="42" spans="1:33" x14ac:dyDescent="0.2">
      <c r="A42" s="58">
        <v>10253</v>
      </c>
      <c r="B42" s="56" t="str">
        <f t="shared" si="6"/>
        <v>10253</v>
      </c>
      <c r="C42" s="57" t="s">
        <v>302</v>
      </c>
      <c r="D42" s="57" t="s">
        <v>303</v>
      </c>
      <c r="E42" s="44" t="s">
        <v>170</v>
      </c>
      <c r="F42" s="17">
        <f>_xlfn.XLOOKUP($B42,'[1]Jan-24'!$A:$A,'[1]Jan-24'!$H:$H,0)</f>
        <v>37858624</v>
      </c>
      <c r="G42" s="17">
        <f>_xlfn.XLOOKUP($B42,'[1]Feb-24'!$A:$A,'[1]Feb-24'!$H:$H,0)</f>
        <v>17136480</v>
      </c>
      <c r="H42" s="17">
        <f>_xlfn.XLOOKUP($B42,'[1]Mar-24'!$A:$A,'[1]Mar-24'!$H:$H,0)</f>
        <v>12626700</v>
      </c>
      <c r="I42" s="17">
        <f>_xlfn.XLOOKUP($B42,'[1]Apr-24'!$A:$A,'[1]Apr-24'!$H:$H,0)</f>
        <v>10123793.84</v>
      </c>
      <c r="J42" s="17">
        <f>_xlfn.XLOOKUP($B42,'[1]May-24'!$A:$A,'[1]May-24'!$H:$H,0)</f>
        <v>67011430.240000002</v>
      </c>
      <c r="K42" s="17">
        <f>_xlfn.XLOOKUP($B42,'[1]Jun-24'!$A:$A,'[1]Jun-24'!$H:$H,0)</f>
        <v>184987253.72</v>
      </c>
      <c r="L42" s="17">
        <f>_xlfn.XLOOKUP($B42,'[1]Jul-24'!$A:$A,'[1]Jul-24'!$H:$H,0)</f>
        <v>126624286.3</v>
      </c>
      <c r="M42" s="17">
        <f>_xlfn.XLOOKUP($B42,'[1]Aug-24'!$A:$A,'[1]Aug-24'!$H:$H,0)</f>
        <v>42317373.93</v>
      </c>
      <c r="N42" s="17">
        <f>_xlfn.XLOOKUP($B42,'[1]Sep-24'!$A:$A,'[1]Sep-24'!$H:$H,0)</f>
        <v>33514121.670000002</v>
      </c>
      <c r="O42" s="17">
        <f>_xlfn.XLOOKUP($B42,'[1]Oct-24'!$A:$A,'[1]Oct-24'!$H:$H,0)</f>
        <v>2902335.64</v>
      </c>
      <c r="P42" s="17">
        <f>_xlfn.XLOOKUP($B42,'[1]Nov-24'!$A:$A,'[1]Nov-24'!$H:$H,0)</f>
        <v>52928141.079999998</v>
      </c>
      <c r="Q42" s="17">
        <f>_xlfn.XLOOKUP($B42,'[1]Dec-24'!$A:$A,'[1]Dec-24'!$H:$H,0)</f>
        <v>736446.95</v>
      </c>
      <c r="R42" s="17">
        <f>_xlfn.XLOOKUP($B42,'[1]Jan-25'!$A:$A,'[1]Jan-25'!$H:$H,0)</f>
        <v>20759084.719999999</v>
      </c>
      <c r="S42" s="17">
        <f>_xlfn.XLOOKUP($B42,'[1]Feb-25'!$A:$A,'[1]Feb-25'!$H:$H,0)</f>
        <v>15470427.67</v>
      </c>
      <c r="T42" s="17">
        <f>_xlfn.XLOOKUP($B42,'[1]Mar-25'!$A:$A,'[1]Mar-25'!$H:$H,0)</f>
        <v>251667.85</v>
      </c>
      <c r="U42" s="17">
        <f>_xlfn.XLOOKUP($B42,'[1]Apr-25'!$A:$A,'[1]Apr-25'!$H:$H,0)</f>
        <v>153173.68</v>
      </c>
      <c r="V42" s="17">
        <f>_xlfn.XLOOKUP($B42,'[1]May-25'!$A:$A,'[1]May-25'!$H:$H,0)</f>
        <v>47042422.880000003</v>
      </c>
      <c r="W42" s="17">
        <f>_xlfn.XLOOKUP($B42,'[1]Jun-25'!$A:$A,'[1]Jun-25'!$H:$H,0)</f>
        <v>66958240.649999999</v>
      </c>
      <c r="X42" s="17">
        <f>_xlfn.XLOOKUP($B42,'[1]Jul-25'!$A:$A,'[1]Jul-25'!$H:$H,0)</f>
        <v>232422314.99000001</v>
      </c>
      <c r="Y42" s="17">
        <f>_xlfn.XLOOKUP($B42,'[1]Aug-25'!$A:$A,'[1]Aug-25'!$H:$H,0)</f>
        <v>12268491.779999999</v>
      </c>
      <c r="Z42" s="17">
        <f>_xlfn.XLOOKUP($B42,'[1]Sep-25'!$A:$A,'[1]Sep-25'!$H:$H,0)</f>
        <v>36979400.390000001</v>
      </c>
      <c r="AA42" s="17">
        <f>_xlfn.XLOOKUP($B42,'[1]Oct-25'!$A:$A,'[1]Oct-25'!$H:$H,0)</f>
        <v>716236.49</v>
      </c>
      <c r="AB42" s="17">
        <f>_xlfn.XLOOKUP($B42,'[1]Nov-25'!$A:$A,'[1]Nov-25'!$H:$H,0)</f>
        <v>38685658.240000002</v>
      </c>
      <c r="AC42" s="17">
        <f>_xlfn.XLOOKUP($B42,'[1]Dec-25'!$A:$A,'[1]Dec-25'!$H:$H,0)</f>
        <v>8369829.46</v>
      </c>
      <c r="AD42" s="17">
        <f>_xlfn.XLOOKUP($B42,'[1]Jan-26'!$A:$A,'[1]Jan-26'!$H:$H,0)</f>
        <v>70837683.010000005</v>
      </c>
      <c r="AE42" s="17">
        <f>_xlfn.XLOOKUP($B42,'[1]Feb-26'!$A:$A,'[1]Feb-26'!$H:$H,0)</f>
        <v>178902338.38</v>
      </c>
      <c r="AF42" s="17">
        <f>_xlfn.XLOOKUP($B42,'[1]Mar-26'!$A:$A,'[1]Mar-26'!$H:$H,0)</f>
        <v>92431200.609999999</v>
      </c>
      <c r="AG42" s="17">
        <f>_xlfn.XLOOKUP($B42,'[1]Apr-26'!$A:$A,'[1]Apr-26'!$H:$H,0)</f>
        <v>9522318.8300000001</v>
      </c>
    </row>
    <row r="43" spans="1:33" x14ac:dyDescent="0.2">
      <c r="A43" s="58">
        <v>10255</v>
      </c>
      <c r="B43" s="56" t="str">
        <f t="shared" si="6"/>
        <v>10255</v>
      </c>
      <c r="C43" s="57" t="s">
        <v>302</v>
      </c>
      <c r="D43" s="57" t="s">
        <v>303</v>
      </c>
      <c r="E43" s="44" t="s">
        <v>171</v>
      </c>
      <c r="F43" s="17">
        <f>_xlfn.XLOOKUP($B43,'[1]Jan-24'!$A:$A,'[1]Jan-24'!$H:$H,0)</f>
        <v>268169.90999999997</v>
      </c>
      <c r="G43" s="17">
        <f>_xlfn.XLOOKUP($B43,'[1]Feb-24'!$A:$A,'[1]Feb-24'!$H:$H,0)</f>
        <v>487862.28</v>
      </c>
      <c r="H43" s="17">
        <f>_xlfn.XLOOKUP($B43,'[1]Mar-24'!$A:$A,'[1]Mar-24'!$H:$H,0)</f>
        <v>27575.69</v>
      </c>
      <c r="I43" s="17">
        <f>_xlfn.XLOOKUP($B43,'[1]Apr-24'!$A:$A,'[1]Apr-24'!$H:$H,0)</f>
        <v>28839.38</v>
      </c>
      <c r="J43" s="17">
        <f>_xlfn.XLOOKUP($B43,'[1]May-24'!$A:$A,'[1]May-24'!$H:$H,0)</f>
        <v>-418254.39</v>
      </c>
      <c r="K43" s="17">
        <f>_xlfn.XLOOKUP($B43,'[1]Jun-24'!$A:$A,'[1]Jun-24'!$H:$H,0)</f>
        <v>1633190.64</v>
      </c>
      <c r="L43" s="17">
        <f>_xlfn.XLOOKUP($B43,'[1]Jul-24'!$A:$A,'[1]Jul-24'!$H:$H,0)</f>
        <v>403051.61</v>
      </c>
      <c r="M43" s="17">
        <f>_xlfn.XLOOKUP($B43,'[1]Aug-24'!$A:$A,'[1]Aug-24'!$H:$H,0)</f>
        <v>5646619.3799999999</v>
      </c>
      <c r="N43" s="17">
        <f>_xlfn.XLOOKUP($B43,'[1]Sep-24'!$A:$A,'[1]Sep-24'!$H:$H,0)</f>
        <v>4305608.58</v>
      </c>
      <c r="O43" s="17">
        <f>_xlfn.XLOOKUP($B43,'[1]Oct-24'!$A:$A,'[1]Oct-24'!$H:$H,0)</f>
        <v>2206724.2999999998</v>
      </c>
      <c r="P43" s="17">
        <f>_xlfn.XLOOKUP($B43,'[1]Nov-24'!$A:$A,'[1]Nov-24'!$H:$H,0)</f>
        <v>1075101.1399999999</v>
      </c>
      <c r="Q43" s="17">
        <f>_xlfn.XLOOKUP($B43,'[1]Dec-24'!$A:$A,'[1]Dec-24'!$H:$H,0)</f>
        <v>1692570.56</v>
      </c>
      <c r="R43" s="17">
        <f>_xlfn.XLOOKUP($B43,'[1]Jan-25'!$A:$A,'[1]Jan-25'!$H:$H,0)</f>
        <v>824005.49</v>
      </c>
      <c r="S43" s="17">
        <f>_xlfn.XLOOKUP($B43,'[1]Feb-25'!$A:$A,'[1]Feb-25'!$H:$H,0)</f>
        <v>4823286.13</v>
      </c>
      <c r="T43" s="17">
        <f>_xlfn.XLOOKUP($B43,'[1]Mar-25'!$A:$A,'[1]Mar-25'!$H:$H,0)</f>
        <v>4433711.3</v>
      </c>
      <c r="U43" s="17">
        <f>_xlfn.XLOOKUP($B43,'[1]Apr-25'!$A:$A,'[1]Apr-25'!$H:$H,0)</f>
        <v>2601950.5499999998</v>
      </c>
      <c r="V43" s="17">
        <f>_xlfn.XLOOKUP($B43,'[1]May-25'!$A:$A,'[1]May-25'!$H:$H,0)</f>
        <v>2648339.9900000002</v>
      </c>
      <c r="W43" s="17">
        <f>_xlfn.XLOOKUP($B43,'[1]Jun-25'!$A:$A,'[1]Jun-25'!$H:$H,0)</f>
        <v>942619.3</v>
      </c>
      <c r="X43" s="17">
        <f>_xlfn.XLOOKUP($B43,'[1]Jul-25'!$A:$A,'[1]Jul-25'!$H:$H,0)</f>
        <v>267336.96000000002</v>
      </c>
      <c r="Y43" s="17">
        <f>_xlfn.XLOOKUP($B43,'[1]Aug-25'!$A:$A,'[1]Aug-25'!$H:$H,0)</f>
        <v>954642.62</v>
      </c>
      <c r="Z43" s="17">
        <f>_xlfn.XLOOKUP($B43,'[1]Sep-25'!$A:$A,'[1]Sep-25'!$H:$H,0)</f>
        <v>1761043.98</v>
      </c>
      <c r="AA43" s="17">
        <f>_xlfn.XLOOKUP($B43,'[1]Oct-25'!$A:$A,'[1]Oct-25'!$H:$H,0)</f>
        <v>2633768.06</v>
      </c>
      <c r="AB43" s="17">
        <f>_xlfn.XLOOKUP($B43,'[1]Nov-25'!$A:$A,'[1]Nov-25'!$H:$H,0)</f>
        <v>1289718.29</v>
      </c>
      <c r="AC43" s="17">
        <f>_xlfn.XLOOKUP($B43,'[1]Dec-25'!$A:$A,'[1]Dec-25'!$H:$H,0)</f>
        <v>1043630.58</v>
      </c>
      <c r="AD43" s="17">
        <f>_xlfn.XLOOKUP($B43,'[1]Jan-26'!$A:$A,'[1]Jan-26'!$H:$H,0)</f>
        <v>2505446.29</v>
      </c>
      <c r="AE43" s="17">
        <f>_xlfn.XLOOKUP($B43,'[1]Feb-26'!$A:$A,'[1]Feb-26'!$H:$H,0)</f>
        <v>2415181.73</v>
      </c>
      <c r="AF43" s="17">
        <f>_xlfn.XLOOKUP($B43,'[1]Mar-26'!$A:$A,'[1]Mar-26'!$H:$H,0)</f>
        <v>1753797.44</v>
      </c>
      <c r="AG43" s="17">
        <f>_xlfn.XLOOKUP($B43,'[1]Apr-26'!$A:$A,'[1]Apr-26'!$H:$H,0)</f>
        <v>1147049.46</v>
      </c>
    </row>
    <row r="44" spans="1:33" x14ac:dyDescent="0.2">
      <c r="A44" s="58">
        <v>10256</v>
      </c>
      <c r="B44" s="56" t="str">
        <f t="shared" si="6"/>
        <v>10256</v>
      </c>
      <c r="C44" s="57" t="s">
        <v>302</v>
      </c>
      <c r="D44" s="57" t="s">
        <v>303</v>
      </c>
      <c r="E44" s="44" t="s">
        <v>172</v>
      </c>
      <c r="F44" s="17">
        <f>_xlfn.XLOOKUP($B44,'[1]Jan-24'!$A:$A,'[1]Jan-24'!$H:$H,0)</f>
        <v>0</v>
      </c>
      <c r="G44" s="17">
        <f>_xlfn.XLOOKUP($B44,'[1]Feb-24'!$A:$A,'[1]Feb-24'!$H:$H,0)</f>
        <v>0</v>
      </c>
      <c r="H44" s="17">
        <f>_xlfn.XLOOKUP($B44,'[1]Mar-24'!$A:$A,'[1]Mar-24'!$H:$H,0)</f>
        <v>6599985000</v>
      </c>
      <c r="I44" s="17">
        <f>_xlfn.XLOOKUP($B44,'[1]Apr-24'!$A:$A,'[1]Apr-24'!$H:$H,0)</f>
        <v>5355506611.1999998</v>
      </c>
      <c r="J44" s="17">
        <f>_xlfn.XLOOKUP($B44,'[1]May-24'!$A:$A,'[1]May-24'!$H:$H,0)</f>
        <v>1289090669.8699999</v>
      </c>
      <c r="K44" s="17">
        <f>_xlfn.XLOOKUP($B44,'[1]Jun-24'!$A:$A,'[1]Jun-24'!$H:$H,0)</f>
        <v>1445040840.75</v>
      </c>
      <c r="L44" s="17">
        <f>_xlfn.XLOOKUP($B44,'[1]Jul-24'!$A:$A,'[1]Jul-24'!$H:$H,0)</f>
        <v>1533122334.28</v>
      </c>
      <c r="M44" s="17">
        <f>_xlfn.XLOOKUP($B44,'[1]Aug-24'!$A:$A,'[1]Aug-24'!$H:$H,0)</f>
        <v>387668663.37</v>
      </c>
      <c r="N44" s="17">
        <f>_xlfn.XLOOKUP($B44,'[1]Sep-24'!$A:$A,'[1]Sep-24'!$H:$H,0)</f>
        <v>387668663.37</v>
      </c>
      <c r="O44" s="17">
        <f>_xlfn.XLOOKUP($B44,'[1]Oct-24'!$A:$A,'[1]Oct-24'!$H:$H,0)</f>
        <v>17697029.859999999</v>
      </c>
      <c r="P44" s="17">
        <f>_xlfn.XLOOKUP($B44,'[1]Nov-24'!$A:$A,'[1]Nov-24'!$H:$H,0)</f>
        <v>1294033.75</v>
      </c>
      <c r="Q44" s="17">
        <f>_xlfn.XLOOKUP($B44,'[1]Dec-24'!$A:$A,'[1]Dec-24'!$H:$H,0)</f>
        <v>1189396.3899999999</v>
      </c>
      <c r="R44" s="17">
        <f>_xlfn.XLOOKUP($B44,'[1]Jan-25'!$A:$A,'[1]Jan-25'!$H:$H,0)</f>
        <v>1182337.52</v>
      </c>
      <c r="S44" s="17">
        <f>_xlfn.XLOOKUP($B44,'[1]Feb-25'!$A:$A,'[1]Feb-25'!$H:$H,0)</f>
        <v>1151956.7</v>
      </c>
      <c r="T44" s="17">
        <f>_xlfn.XLOOKUP($B44,'[1]Mar-25'!$A:$A,'[1]Mar-25'!$H:$H,0)</f>
        <v>294478328.37</v>
      </c>
      <c r="U44" s="17">
        <f>_xlfn.XLOOKUP($B44,'[1]Apr-25'!$A:$A,'[1]Apr-25'!$H:$H,0)</f>
        <v>1180638.3700000001</v>
      </c>
      <c r="V44" s="17">
        <f>_xlfn.XLOOKUP($B44,'[1]May-25'!$A:$A,'[1]May-25'!$H:$H,0)</f>
        <v>1220772.3400000001</v>
      </c>
      <c r="W44" s="17">
        <f>_xlfn.XLOOKUP($B44,'[1]Jun-25'!$A:$A,'[1]Jun-25'!$H:$H,0)</f>
        <v>1185174.5900000001</v>
      </c>
      <c r="X44" s="17">
        <f>_xlfn.XLOOKUP($B44,'[1]Jul-25'!$A:$A,'[1]Jul-25'!$H:$H,0)</f>
        <v>1176732.6100000001</v>
      </c>
      <c r="Y44" s="17">
        <f>_xlfn.XLOOKUP($B44,'[1]Aug-25'!$A:$A,'[1]Aug-25'!$H:$H,0)</f>
        <v>1182668.1399999999</v>
      </c>
      <c r="Z44" s="17">
        <f>_xlfn.XLOOKUP($B44,'[1]Sep-25'!$A:$A,'[1]Sep-25'!$H:$H,0)</f>
        <v>1140773.5</v>
      </c>
      <c r="AA44" s="17">
        <f>_xlfn.XLOOKUP($B44,'[1]Oct-25'!$A:$A,'[1]Oct-25'!$H:$H,0)</f>
        <v>1114440.3899999999</v>
      </c>
      <c r="AB44" s="17">
        <f>_xlfn.XLOOKUP($B44,'[1]Nov-25'!$A:$A,'[1]Nov-25'!$H:$H,0)</f>
        <v>1112718.1599999999</v>
      </c>
      <c r="AC44" s="17">
        <f>_xlfn.XLOOKUP($B44,'[1]Dec-25'!$A:$A,'[1]Dec-25'!$H:$H,0)</f>
        <v>1114571.0900000001</v>
      </c>
      <c r="AD44" s="17">
        <f>_xlfn.XLOOKUP($B44,'[1]Jan-26'!$A:$A,'[1]Jan-26'!$H:$H,0)</f>
        <v>1066940.83</v>
      </c>
      <c r="AE44" s="17">
        <f>_xlfn.XLOOKUP($B44,'[1]Feb-26'!$A:$A,'[1]Feb-26'!$H:$H,0)</f>
        <v>1043398.65</v>
      </c>
      <c r="AF44" s="17">
        <f>_xlfn.XLOOKUP($B44,'[1]Mar-26'!$A:$A,'[1]Mar-26'!$H:$H,0)</f>
        <v>1063135.03</v>
      </c>
      <c r="AG44" s="17">
        <f>_xlfn.XLOOKUP($B44,'[1]Apr-26'!$A:$A,'[1]Apr-26'!$H:$H,0)</f>
        <v>1056822.77</v>
      </c>
    </row>
    <row r="45" spans="1:33" x14ac:dyDescent="0.2">
      <c r="A45" s="58">
        <v>10260</v>
      </c>
      <c r="B45" s="56" t="str">
        <f t="shared" si="6"/>
        <v>10260</v>
      </c>
      <c r="C45" s="57" t="s">
        <v>302</v>
      </c>
      <c r="D45" s="57" t="s">
        <v>303</v>
      </c>
      <c r="E45" s="44" t="s">
        <v>173</v>
      </c>
      <c r="F45" s="17">
        <f>_xlfn.XLOOKUP($B45,'[1]Jan-24'!$A:$A,'[1]Jan-24'!$H:$H,0)</f>
        <v>2034171.87</v>
      </c>
      <c r="G45" s="17">
        <f>_xlfn.XLOOKUP($B45,'[1]Feb-24'!$A:$A,'[1]Feb-24'!$H:$H,0)</f>
        <v>2034171.87</v>
      </c>
      <c r="H45" s="17">
        <f>_xlfn.XLOOKUP($B45,'[1]Mar-24'!$A:$A,'[1]Mar-24'!$H:$H,0)</f>
        <v>2034171.87</v>
      </c>
      <c r="I45" s="17">
        <f>_xlfn.XLOOKUP($B45,'[1]Apr-24'!$A:$A,'[1]Apr-24'!$H:$H,0)</f>
        <v>2034171.87</v>
      </c>
      <c r="J45" s="17">
        <f>_xlfn.XLOOKUP($B45,'[1]May-24'!$A:$A,'[1]May-24'!$H:$H,0)</f>
        <v>35493.360000000001</v>
      </c>
      <c r="K45" s="17">
        <f>_xlfn.XLOOKUP($B45,'[1]Jun-24'!$A:$A,'[1]Jun-24'!$H:$H,0)</f>
        <v>28443.360000000001</v>
      </c>
      <c r="L45" s="17">
        <f>_xlfn.XLOOKUP($B45,'[1]Jul-24'!$A:$A,'[1]Jul-24'!$H:$H,0)</f>
        <v>28443.360000000001</v>
      </c>
      <c r="M45" s="17">
        <f>_xlfn.XLOOKUP($B45,'[1]Aug-24'!$A:$A,'[1]Aug-24'!$H:$H,0)</f>
        <v>28443.360000000001</v>
      </c>
      <c r="N45" s="17">
        <f>_xlfn.XLOOKUP($B45,'[1]Sep-24'!$A:$A,'[1]Sep-24'!$H:$H,0)</f>
        <v>28443.360000000001</v>
      </c>
      <c r="O45" s="17">
        <f>_xlfn.XLOOKUP($B45,'[1]Oct-24'!$A:$A,'[1]Oct-24'!$H:$H,0)</f>
        <v>0</v>
      </c>
      <c r="P45" s="17">
        <f>_xlfn.XLOOKUP($B45,'[1]Nov-24'!$A:$A,'[1]Nov-24'!$H:$H,0)</f>
        <v>654050</v>
      </c>
      <c r="Q45" s="17">
        <f>_xlfn.XLOOKUP($B45,'[1]Dec-24'!$A:$A,'[1]Dec-24'!$H:$H,0)</f>
        <v>0</v>
      </c>
      <c r="R45" s="17">
        <f>_xlfn.XLOOKUP($B45,'[1]Jan-25'!$A:$A,'[1]Jan-25'!$H:$H,0)</f>
        <v>200000</v>
      </c>
      <c r="S45" s="17">
        <f>_xlfn.XLOOKUP($B45,'[1]Feb-25'!$A:$A,'[1]Feb-25'!$H:$H,0)</f>
        <v>202600</v>
      </c>
      <c r="T45" s="17">
        <f>_xlfn.XLOOKUP($B45,'[1]Mar-25'!$A:$A,'[1]Mar-25'!$H:$H,0)</f>
        <v>202600</v>
      </c>
      <c r="U45" s="17">
        <f>_xlfn.XLOOKUP($B45,'[1]Apr-25'!$A:$A,'[1]Apr-25'!$H:$H,0)</f>
        <v>202600</v>
      </c>
      <c r="V45" s="17">
        <f>_xlfn.XLOOKUP($B45,'[1]May-25'!$A:$A,'[1]May-25'!$H:$H,0)</f>
        <v>200000</v>
      </c>
      <c r="W45" s="17">
        <f>_xlfn.XLOOKUP($B45,'[1]Jun-25'!$A:$A,'[1]Jun-25'!$H:$H,0)</f>
        <v>207200</v>
      </c>
      <c r="X45" s="17">
        <f>_xlfn.XLOOKUP($B45,'[1]Jul-25'!$A:$A,'[1]Jul-25'!$H:$H,0)</f>
        <v>207200</v>
      </c>
      <c r="Y45" s="17">
        <f>_xlfn.XLOOKUP($B45,'[1]Aug-25'!$A:$A,'[1]Aug-25'!$H:$H,0)</f>
        <v>207200</v>
      </c>
      <c r="Z45" s="17">
        <f>_xlfn.XLOOKUP($B45,'[1]Sep-25'!$A:$A,'[1]Sep-25'!$H:$H,0)</f>
        <v>200000</v>
      </c>
      <c r="AA45" s="17">
        <f>_xlfn.XLOOKUP($B45,'[1]Oct-25'!$A:$A,'[1]Oct-25'!$H:$H,0)</f>
        <v>0</v>
      </c>
      <c r="AB45" s="17">
        <f>_xlfn.XLOOKUP($B45,'[1]Nov-25'!$A:$A,'[1]Nov-25'!$H:$H,0)</f>
        <v>0</v>
      </c>
      <c r="AC45" s="17">
        <f>_xlfn.XLOOKUP($B45,'[1]Dec-25'!$A:$A,'[1]Dec-25'!$H:$H,0)</f>
        <v>0</v>
      </c>
      <c r="AD45" s="17">
        <f>_xlfn.XLOOKUP($B45,'[1]Jan-26'!$A:$A,'[1]Jan-26'!$H:$H,0)</f>
        <v>0</v>
      </c>
      <c r="AE45" s="17">
        <f>_xlfn.XLOOKUP($B45,'[1]Feb-26'!$A:$A,'[1]Feb-26'!$H:$H,0)</f>
        <v>0</v>
      </c>
      <c r="AF45" s="17">
        <f>_xlfn.XLOOKUP($B45,'[1]Mar-26'!$A:$A,'[1]Mar-26'!$H:$H,0)</f>
        <v>0</v>
      </c>
      <c r="AG45" s="17">
        <f>_xlfn.XLOOKUP($B45,'[1]Apr-26'!$A:$A,'[1]Apr-26'!$H:$H,0)</f>
        <v>0</v>
      </c>
    </row>
    <row r="46" spans="1:33" x14ac:dyDescent="0.2">
      <c r="A46" s="58">
        <v>10261</v>
      </c>
      <c r="B46" s="56" t="str">
        <f t="shared" si="6"/>
        <v>10261</v>
      </c>
      <c r="C46" s="57" t="s">
        <v>302</v>
      </c>
      <c r="D46" s="57" t="s">
        <v>303</v>
      </c>
      <c r="E46" s="44" t="s">
        <v>314</v>
      </c>
      <c r="F46" s="17">
        <f>_xlfn.XLOOKUP($B46,'[1]Jan-24'!$A:$A,'[1]Jan-24'!$H:$H,0)</f>
        <v>0</v>
      </c>
      <c r="G46" s="17">
        <f>_xlfn.XLOOKUP($B46,'[1]Feb-24'!$A:$A,'[1]Feb-24'!$H:$H,0)</f>
        <v>0</v>
      </c>
      <c r="H46" s="17">
        <f>_xlfn.XLOOKUP($B46,'[1]Mar-24'!$A:$A,'[1]Mar-24'!$H:$H,0)</f>
        <v>0</v>
      </c>
      <c r="I46" s="17">
        <f>_xlfn.XLOOKUP($B46,'[1]Apr-24'!$A:$A,'[1]Apr-24'!$H:$H,0)</f>
        <v>0</v>
      </c>
      <c r="J46" s="17">
        <f>_xlfn.XLOOKUP($B46,'[1]May-24'!$A:$A,'[1]May-24'!$H:$H,0)</f>
        <v>0</v>
      </c>
      <c r="K46" s="17">
        <f>_xlfn.XLOOKUP($B46,'[1]Jun-24'!$A:$A,'[1]Jun-24'!$H:$H,0)</f>
        <v>0</v>
      </c>
      <c r="L46" s="17">
        <f>_xlfn.XLOOKUP($B46,'[1]Jul-24'!$A:$A,'[1]Jul-24'!$H:$H,0)</f>
        <v>0</v>
      </c>
      <c r="M46" s="17">
        <f>_xlfn.XLOOKUP($B46,'[1]Aug-24'!$A:$A,'[1]Aug-24'!$H:$H,0)</f>
        <v>0</v>
      </c>
      <c r="N46" s="17">
        <f>_xlfn.XLOOKUP($B46,'[1]Sep-24'!$A:$A,'[1]Sep-24'!$H:$H,0)</f>
        <v>0</v>
      </c>
      <c r="O46" s="17">
        <f>_xlfn.XLOOKUP($B46,'[1]Oct-24'!$A:$A,'[1]Oct-24'!$H:$H,0)</f>
        <v>0</v>
      </c>
      <c r="P46" s="17">
        <f>_xlfn.XLOOKUP($B46,'[1]Nov-24'!$A:$A,'[1]Nov-24'!$H:$H,0)</f>
        <v>0</v>
      </c>
      <c r="Q46" s="17">
        <f>_xlfn.XLOOKUP($B46,'[1]Dec-24'!$A:$A,'[1]Dec-24'!$H:$H,0)</f>
        <v>0</v>
      </c>
      <c r="R46" s="17">
        <f>_xlfn.XLOOKUP($B46,'[1]Jan-25'!$A:$A,'[1]Jan-25'!$H:$H,0)</f>
        <v>0</v>
      </c>
      <c r="S46" s="17">
        <f>_xlfn.XLOOKUP($B46,'[1]Feb-25'!$A:$A,'[1]Feb-25'!$H:$H,0)</f>
        <v>0</v>
      </c>
      <c r="T46" s="17">
        <f>_xlfn.XLOOKUP($B46,'[1]Mar-25'!$A:$A,'[1]Mar-25'!$H:$H,0)</f>
        <v>0</v>
      </c>
      <c r="U46" s="17">
        <f>_xlfn.XLOOKUP($B46,'[1]Apr-25'!$A:$A,'[1]Apr-25'!$H:$H,0)</f>
        <v>0</v>
      </c>
      <c r="V46" s="17">
        <f>_xlfn.XLOOKUP($B46,'[1]May-25'!$A:$A,'[1]May-25'!$H:$H,0)</f>
        <v>0</v>
      </c>
      <c r="W46" s="17">
        <f>_xlfn.XLOOKUP($B46,'[1]Jun-25'!$A:$A,'[1]Jun-25'!$H:$H,0)</f>
        <v>0</v>
      </c>
      <c r="X46" s="17">
        <f>_xlfn.XLOOKUP($B46,'[1]Jul-25'!$A:$A,'[1]Jul-25'!$H:$H,0)</f>
        <v>0</v>
      </c>
      <c r="Y46" s="17">
        <f>_xlfn.XLOOKUP($B46,'[1]Aug-25'!$A:$A,'[1]Aug-25'!$H:$H,0)</f>
        <v>0</v>
      </c>
      <c r="Z46" s="17">
        <f>_xlfn.XLOOKUP($B46,'[1]Sep-25'!$A:$A,'[1]Sep-25'!$H:$H,0)</f>
        <v>0</v>
      </c>
      <c r="AA46" s="17">
        <f>_xlfn.XLOOKUP($B46,'[1]Oct-25'!$A:$A,'[1]Oct-25'!$H:$H,0)</f>
        <v>0</v>
      </c>
      <c r="AB46" s="17">
        <f>_xlfn.XLOOKUP($B46,'[1]Nov-25'!$A:$A,'[1]Nov-25'!$H:$H,0)</f>
        <v>0</v>
      </c>
      <c r="AC46" s="17">
        <f>_xlfn.XLOOKUP($B46,'[1]Dec-25'!$A:$A,'[1]Dec-25'!$H:$H,0)</f>
        <v>0</v>
      </c>
      <c r="AD46" s="17">
        <f>_xlfn.XLOOKUP($B46,'[1]Jan-26'!$A:$A,'[1]Jan-26'!$H:$H,0)</f>
        <v>0</v>
      </c>
      <c r="AE46" s="17">
        <f>_xlfn.XLOOKUP($B46,'[1]Feb-26'!$A:$A,'[1]Feb-26'!$H:$H,0)</f>
        <v>0</v>
      </c>
      <c r="AF46" s="17">
        <f>_xlfn.XLOOKUP($B46,'[1]Mar-26'!$A:$A,'[1]Mar-26'!$H:$H,0)</f>
        <v>0</v>
      </c>
      <c r="AG46" s="17">
        <f>_xlfn.XLOOKUP($B46,'[1]Apr-26'!$A:$A,'[1]Apr-26'!$H:$H,0)</f>
        <v>0</v>
      </c>
    </row>
    <row r="47" spans="1:33" x14ac:dyDescent="0.2">
      <c r="A47" s="58">
        <v>10265</v>
      </c>
      <c r="B47" s="56" t="str">
        <f t="shared" si="6"/>
        <v>10265</v>
      </c>
      <c r="C47" s="57" t="s">
        <v>302</v>
      </c>
      <c r="D47" s="57" t="s">
        <v>303</v>
      </c>
      <c r="E47" s="44" t="s">
        <v>174</v>
      </c>
      <c r="F47" s="17">
        <f>_xlfn.XLOOKUP($B47,'[1]Jan-24'!$A:$A,'[1]Jan-24'!$H:$H,0)</f>
        <v>223132.71</v>
      </c>
      <c r="G47" s="17">
        <f>_xlfn.XLOOKUP($B47,'[1]Feb-24'!$A:$A,'[1]Feb-24'!$H:$H,0)</f>
        <v>228133.55</v>
      </c>
      <c r="H47" s="17">
        <f>_xlfn.XLOOKUP($B47,'[1]Mar-24'!$A:$A,'[1]Mar-24'!$H:$H,0)</f>
        <v>233134.39</v>
      </c>
      <c r="I47" s="17">
        <f>_xlfn.XLOOKUP($B47,'[1]Apr-24'!$A:$A,'[1]Apr-24'!$H:$H,0)</f>
        <v>238135.23</v>
      </c>
      <c r="J47" s="17">
        <f>_xlfn.XLOOKUP($B47,'[1]May-24'!$A:$A,'[1]May-24'!$H:$H,0)</f>
        <v>253136.77</v>
      </c>
      <c r="K47" s="17">
        <f>_xlfn.XLOOKUP($B47,'[1]Jun-24'!$A:$A,'[1]Jun-24'!$H:$H,0)</f>
        <v>278138.03000000003</v>
      </c>
      <c r="L47" s="17">
        <f>_xlfn.XLOOKUP($B47,'[1]Jul-24'!$A:$A,'[1]Jul-24'!$H:$H,0)</f>
        <v>316140.96999999997</v>
      </c>
      <c r="M47" s="17">
        <f>_xlfn.XLOOKUP($B47,'[1]Aug-24'!$A:$A,'[1]Aug-24'!$H:$H,0)</f>
        <v>687892.51</v>
      </c>
      <c r="N47" s="17">
        <f>_xlfn.XLOOKUP($B47,'[1]Sep-24'!$A:$A,'[1]Sep-24'!$H:$H,0)</f>
        <v>1231165.51</v>
      </c>
      <c r="O47" s="17">
        <f>_xlfn.XLOOKUP($B47,'[1]Oct-24'!$A:$A,'[1]Oct-24'!$H:$H,0)</f>
        <v>1317911.4099999999</v>
      </c>
      <c r="P47" s="17">
        <f>_xlfn.XLOOKUP($B47,'[1]Nov-24'!$A:$A,'[1]Nov-24'!$H:$H,0)</f>
        <v>1344889.13</v>
      </c>
      <c r="Q47" s="17">
        <f>_xlfn.XLOOKUP($B47,'[1]Dec-24'!$A:$A,'[1]Dec-24'!$H:$H,0)</f>
        <v>1397820.26</v>
      </c>
      <c r="R47" s="17">
        <f>_xlfn.XLOOKUP($B47,'[1]Jan-25'!$A:$A,'[1]Jan-25'!$H:$H,0)</f>
        <v>225675.26</v>
      </c>
      <c r="S47" s="17">
        <f>_xlfn.XLOOKUP($B47,'[1]Feb-25'!$A:$A,'[1]Feb-25'!$H:$H,0)</f>
        <v>5300537.0599999996</v>
      </c>
      <c r="T47" s="17">
        <f>_xlfn.XLOOKUP($B47,'[1]Mar-25'!$A:$A,'[1]Mar-25'!$H:$H,0)</f>
        <v>5348305.92</v>
      </c>
      <c r="U47" s="17">
        <f>_xlfn.XLOOKUP($B47,'[1]Apr-25'!$A:$A,'[1]Apr-25'!$H:$H,0)</f>
        <v>3052588.87</v>
      </c>
      <c r="V47" s="17">
        <f>_xlfn.XLOOKUP($B47,'[1]May-25'!$A:$A,'[1]May-25'!$H:$H,0)</f>
        <v>49292.12</v>
      </c>
      <c r="W47" s="17">
        <f>_xlfn.XLOOKUP($B47,'[1]Jun-25'!$A:$A,'[1]Jun-25'!$H:$H,0)</f>
        <v>2113011.52</v>
      </c>
      <c r="X47" s="17">
        <f>_xlfn.XLOOKUP($B47,'[1]Jul-25'!$A:$A,'[1]Jul-25'!$H:$H,0)</f>
        <v>2159906.7599999998</v>
      </c>
      <c r="Y47" s="17">
        <f>_xlfn.XLOOKUP($B47,'[1]Aug-25'!$A:$A,'[1]Aug-25'!$H:$H,0)</f>
        <v>2981792.46</v>
      </c>
      <c r="Z47" s="17">
        <f>_xlfn.XLOOKUP($B47,'[1]Sep-25'!$A:$A,'[1]Sep-25'!$H:$H,0)</f>
        <v>3046053.75</v>
      </c>
      <c r="AA47" s="17">
        <f>_xlfn.XLOOKUP($B47,'[1]Oct-25'!$A:$A,'[1]Oct-25'!$H:$H,0)</f>
        <v>3061043.29</v>
      </c>
      <c r="AB47" s="17">
        <f>_xlfn.XLOOKUP($B47,'[1]Nov-25'!$A:$A,'[1]Nov-25'!$H:$H,0)</f>
        <v>3076507.99</v>
      </c>
      <c r="AC47" s="17">
        <f>_xlfn.XLOOKUP($B47,'[1]Dec-25'!$A:$A,'[1]Dec-25'!$H:$H,0)</f>
        <v>3102987.21</v>
      </c>
      <c r="AD47" s="17">
        <f>_xlfn.XLOOKUP($B47,'[1]Jan-26'!$A:$A,'[1]Jan-26'!$H:$H,0)</f>
        <v>3377453.16</v>
      </c>
      <c r="AE47" s="17">
        <f>_xlfn.XLOOKUP($B47,'[1]Feb-26'!$A:$A,'[1]Feb-26'!$H:$H,0)</f>
        <v>3404394.98</v>
      </c>
      <c r="AF47" s="17">
        <f>_xlfn.XLOOKUP($B47,'[1]Mar-26'!$A:$A,'[1]Mar-26'!$H:$H,0)</f>
        <v>3452331.14</v>
      </c>
      <c r="AG47" s="17">
        <f>_xlfn.XLOOKUP($B47,'[1]Apr-26'!$A:$A,'[1]Apr-26'!$H:$H,0)</f>
        <v>3490743.39</v>
      </c>
    </row>
    <row r="48" spans="1:33" x14ac:dyDescent="0.2">
      <c r="A48" s="58">
        <v>10270</v>
      </c>
      <c r="B48" s="56" t="str">
        <f t="shared" si="6"/>
        <v>10270</v>
      </c>
      <c r="C48" s="57" t="s">
        <v>302</v>
      </c>
      <c r="D48" s="57" t="s">
        <v>303</v>
      </c>
      <c r="E48" s="44" t="s">
        <v>175</v>
      </c>
      <c r="F48" s="17">
        <f>_xlfn.XLOOKUP($B48,'[1]Jan-24'!$A:$A,'[1]Jan-24'!$H:$H,0)</f>
        <v>114720.73</v>
      </c>
      <c r="G48" s="17">
        <f>_xlfn.XLOOKUP($B48,'[1]Feb-24'!$A:$A,'[1]Feb-24'!$H:$H,0)</f>
        <v>982562.37</v>
      </c>
      <c r="H48" s="17">
        <f>_xlfn.XLOOKUP($B48,'[1]Mar-24'!$A:$A,'[1]Mar-24'!$H:$H,0)</f>
        <v>8040054.1699999999</v>
      </c>
      <c r="I48" s="17">
        <f>_xlfn.XLOOKUP($B48,'[1]Apr-24'!$A:$A,'[1]Apr-24'!$H:$H,0)</f>
        <v>83152570.280000001</v>
      </c>
      <c r="J48" s="17">
        <f>_xlfn.XLOOKUP($B48,'[1]May-24'!$A:$A,'[1]May-24'!$H:$H,0)</f>
        <v>9615481.9000000004</v>
      </c>
      <c r="K48" s="17">
        <f>_xlfn.XLOOKUP($B48,'[1]Jun-24'!$A:$A,'[1]Jun-24'!$H:$H,0)</f>
        <v>11919686.869999999</v>
      </c>
      <c r="L48" s="17">
        <f>_xlfn.XLOOKUP($B48,'[1]Jul-24'!$A:$A,'[1]Jul-24'!$H:$H,0)</f>
        <v>386790302.29000002</v>
      </c>
      <c r="M48" s="17">
        <f>_xlfn.XLOOKUP($B48,'[1]Aug-24'!$A:$A,'[1]Aug-24'!$H:$H,0)</f>
        <v>224506400.15000001</v>
      </c>
      <c r="N48" s="17">
        <f>_xlfn.XLOOKUP($B48,'[1]Sep-24'!$A:$A,'[1]Sep-24'!$H:$H,0)</f>
        <v>120015089.09</v>
      </c>
      <c r="O48" s="17">
        <f>_xlfn.XLOOKUP($B48,'[1]Oct-24'!$A:$A,'[1]Oct-24'!$H:$H,0)</f>
        <v>106671760.56999999</v>
      </c>
      <c r="P48" s="17">
        <f>_xlfn.XLOOKUP($B48,'[1]Nov-24'!$A:$A,'[1]Nov-24'!$H:$H,0)</f>
        <v>21716083.25</v>
      </c>
      <c r="Q48" s="17">
        <f>_xlfn.XLOOKUP($B48,'[1]Dec-24'!$A:$A,'[1]Dec-24'!$H:$H,0)</f>
        <v>18373650.23</v>
      </c>
      <c r="R48" s="17">
        <f>_xlfn.XLOOKUP($B48,'[1]Jan-25'!$A:$A,'[1]Jan-25'!$H:$H,0)</f>
        <v>24263967.030000001</v>
      </c>
      <c r="S48" s="17">
        <f>_xlfn.XLOOKUP($B48,'[1]Feb-25'!$A:$A,'[1]Feb-25'!$H:$H,0)</f>
        <v>1555764.24</v>
      </c>
      <c r="T48" s="17">
        <f>_xlfn.XLOOKUP($B48,'[1]Mar-25'!$A:$A,'[1]Mar-25'!$H:$H,0)</f>
        <v>1555638.24</v>
      </c>
      <c r="U48" s="17">
        <f>_xlfn.XLOOKUP($B48,'[1]Apr-25'!$A:$A,'[1]Apr-25'!$H:$H,0)</f>
        <v>1555638.24</v>
      </c>
      <c r="V48" s="17">
        <f>_xlfn.XLOOKUP($B48,'[1]May-25'!$A:$A,'[1]May-25'!$H:$H,0)</f>
        <v>3000975.53</v>
      </c>
      <c r="W48" s="17">
        <f>_xlfn.XLOOKUP($B48,'[1]Jun-25'!$A:$A,'[1]Jun-25'!$H:$H,0)</f>
        <v>6999363.4900000002</v>
      </c>
      <c r="X48" s="17">
        <f>_xlfn.XLOOKUP($B48,'[1]Jul-25'!$A:$A,'[1]Jul-25'!$H:$H,0)</f>
        <v>697241.96</v>
      </c>
      <c r="Y48" s="17">
        <f>_xlfn.XLOOKUP($B48,'[1]Aug-25'!$A:$A,'[1]Aug-25'!$H:$H,0)</f>
        <v>697187.96</v>
      </c>
      <c r="Z48" s="17">
        <f>_xlfn.XLOOKUP($B48,'[1]Sep-25'!$A:$A,'[1]Sep-25'!$H:$H,0)</f>
        <v>697187.96</v>
      </c>
      <c r="AA48" s="17">
        <f>_xlfn.XLOOKUP($B48,'[1]Oct-25'!$A:$A,'[1]Oct-25'!$H:$H,0)</f>
        <v>697187.96</v>
      </c>
      <c r="AB48" s="17">
        <f>_xlfn.XLOOKUP($B48,'[1]Nov-25'!$A:$A,'[1]Nov-25'!$H:$H,0)</f>
        <v>1238262.96</v>
      </c>
      <c r="AC48" s="17">
        <f>_xlfn.XLOOKUP($B48,'[1]Dec-25'!$A:$A,'[1]Dec-25'!$H:$H,0)</f>
        <v>1170696.21</v>
      </c>
      <c r="AD48" s="17">
        <f>_xlfn.XLOOKUP($B48,'[1]Jan-26'!$A:$A,'[1]Jan-26'!$H:$H,0)</f>
        <v>1170660.21</v>
      </c>
      <c r="AE48" s="17">
        <f>_xlfn.XLOOKUP($B48,'[1]Feb-26'!$A:$A,'[1]Feb-26'!$H:$H,0)</f>
        <v>370445.21</v>
      </c>
      <c r="AF48" s="17">
        <f>_xlfn.XLOOKUP($B48,'[1]Mar-26'!$A:$A,'[1]Mar-26'!$H:$H,0)</f>
        <v>345228.71</v>
      </c>
      <c r="AG48" s="17">
        <f>_xlfn.XLOOKUP($B48,'[1]Apr-26'!$A:$A,'[1]Apr-26'!$H:$H,0)</f>
        <v>318245.96000000002</v>
      </c>
    </row>
    <row r="49" spans="1:33" x14ac:dyDescent="0.2">
      <c r="A49" s="58">
        <v>10275</v>
      </c>
      <c r="B49" s="56" t="str">
        <f t="shared" si="6"/>
        <v>10275</v>
      </c>
      <c r="C49" s="57" t="s">
        <v>302</v>
      </c>
      <c r="D49" s="57" t="s">
        <v>303</v>
      </c>
      <c r="E49" s="44" t="s">
        <v>315</v>
      </c>
      <c r="F49" s="17">
        <f>_xlfn.XLOOKUP($B49,'[1]Jan-24'!$A:$A,'[1]Jan-24'!$H:$H,0)</f>
        <v>0</v>
      </c>
      <c r="G49" s="17">
        <f>_xlfn.XLOOKUP($B49,'[1]Feb-24'!$A:$A,'[1]Feb-24'!$H:$H,0)</f>
        <v>0</v>
      </c>
      <c r="H49" s="17">
        <f>_xlfn.XLOOKUP($B49,'[1]Mar-24'!$A:$A,'[1]Mar-24'!$H:$H,0)</f>
        <v>0</v>
      </c>
      <c r="I49" s="17">
        <f>_xlfn.XLOOKUP($B49,'[1]Apr-24'!$A:$A,'[1]Apr-24'!$H:$H,0)</f>
        <v>0</v>
      </c>
      <c r="J49" s="17">
        <f>_xlfn.XLOOKUP($B49,'[1]May-24'!$A:$A,'[1]May-24'!$H:$H,0)</f>
        <v>0</v>
      </c>
      <c r="K49" s="17">
        <f>_xlfn.XLOOKUP($B49,'[1]Jun-24'!$A:$A,'[1]Jun-24'!$H:$H,0)</f>
        <v>0</v>
      </c>
      <c r="L49" s="17">
        <f>_xlfn.XLOOKUP($B49,'[1]Jul-24'!$A:$A,'[1]Jul-24'!$H:$H,0)</f>
        <v>0</v>
      </c>
      <c r="M49" s="17">
        <f>_xlfn.XLOOKUP($B49,'[1]Aug-24'!$A:$A,'[1]Aug-24'!$H:$H,0)</f>
        <v>0</v>
      </c>
      <c r="N49" s="17">
        <f>_xlfn.XLOOKUP($B49,'[1]Sep-24'!$A:$A,'[1]Sep-24'!$H:$H,0)</f>
        <v>0</v>
      </c>
      <c r="O49" s="17">
        <f>_xlfn.XLOOKUP($B49,'[1]Oct-24'!$A:$A,'[1]Oct-24'!$H:$H,0)</f>
        <v>0</v>
      </c>
      <c r="P49" s="17">
        <f>_xlfn.XLOOKUP($B49,'[1]Nov-24'!$A:$A,'[1]Nov-24'!$H:$H,0)</f>
        <v>0</v>
      </c>
      <c r="Q49" s="17">
        <f>_xlfn.XLOOKUP($B49,'[1]Dec-24'!$A:$A,'[1]Dec-24'!$H:$H,0)</f>
        <v>0</v>
      </c>
      <c r="R49" s="17">
        <f>_xlfn.XLOOKUP($B49,'[1]Jan-25'!$A:$A,'[1]Jan-25'!$H:$H,0)</f>
        <v>0</v>
      </c>
      <c r="S49" s="17">
        <f>_xlfn.XLOOKUP($B49,'[1]Feb-25'!$A:$A,'[1]Feb-25'!$H:$H,0)</f>
        <v>0</v>
      </c>
      <c r="T49" s="17">
        <f>_xlfn.XLOOKUP($B49,'[1]Mar-25'!$A:$A,'[1]Mar-25'!$H:$H,0)</f>
        <v>0</v>
      </c>
      <c r="U49" s="17">
        <f>_xlfn.XLOOKUP($B49,'[1]Apr-25'!$A:$A,'[1]Apr-25'!$H:$H,0)</f>
        <v>0</v>
      </c>
      <c r="V49" s="17">
        <f>_xlfn.XLOOKUP($B49,'[1]May-25'!$A:$A,'[1]May-25'!$H:$H,0)</f>
        <v>0</v>
      </c>
      <c r="W49" s="17">
        <f>_xlfn.XLOOKUP($B49,'[1]Jun-25'!$A:$A,'[1]Jun-25'!$H:$H,0)</f>
        <v>0</v>
      </c>
      <c r="X49" s="17">
        <f>_xlfn.XLOOKUP($B49,'[1]Jul-25'!$A:$A,'[1]Jul-25'!$H:$H,0)</f>
        <v>0</v>
      </c>
      <c r="Y49" s="17">
        <f>_xlfn.XLOOKUP($B49,'[1]Aug-25'!$A:$A,'[1]Aug-25'!$H:$H,0)</f>
        <v>0</v>
      </c>
      <c r="Z49" s="17">
        <f>_xlfn.XLOOKUP($B49,'[1]Sep-25'!$A:$A,'[1]Sep-25'!$H:$H,0)</f>
        <v>0</v>
      </c>
      <c r="AA49" s="17">
        <f>_xlfn.XLOOKUP($B49,'[1]Oct-25'!$A:$A,'[1]Oct-25'!$H:$H,0)</f>
        <v>0</v>
      </c>
      <c r="AB49" s="17">
        <f>_xlfn.XLOOKUP($B49,'[1]Nov-25'!$A:$A,'[1]Nov-25'!$H:$H,0)</f>
        <v>0</v>
      </c>
      <c r="AC49" s="17">
        <f>_xlfn.XLOOKUP($B49,'[1]Dec-25'!$A:$A,'[1]Dec-25'!$H:$H,0)</f>
        <v>0</v>
      </c>
      <c r="AD49" s="17">
        <f>_xlfn.XLOOKUP($B49,'[1]Jan-26'!$A:$A,'[1]Jan-26'!$H:$H,0)</f>
        <v>0</v>
      </c>
      <c r="AE49" s="17">
        <f>_xlfn.XLOOKUP($B49,'[1]Feb-26'!$A:$A,'[1]Feb-26'!$H:$H,0)</f>
        <v>0</v>
      </c>
      <c r="AF49" s="17">
        <f>_xlfn.XLOOKUP($B49,'[1]Mar-26'!$A:$A,'[1]Mar-26'!$H:$H,0)</f>
        <v>0</v>
      </c>
      <c r="AG49" s="17">
        <f>_xlfn.XLOOKUP($B49,'[1]Apr-26'!$A:$A,'[1]Apr-26'!$H:$H,0)</f>
        <v>0</v>
      </c>
    </row>
    <row r="50" spans="1:33" x14ac:dyDescent="0.2">
      <c r="A50" s="58">
        <v>10280</v>
      </c>
      <c r="B50" s="56" t="str">
        <f t="shared" si="6"/>
        <v>10280</v>
      </c>
      <c r="C50" s="57" t="s">
        <v>302</v>
      </c>
      <c r="D50" s="57" t="s">
        <v>303</v>
      </c>
      <c r="E50" s="44" t="s">
        <v>176</v>
      </c>
      <c r="F50" s="17">
        <f>_xlfn.XLOOKUP($B50,'[1]Jan-24'!$A:$A,'[1]Jan-24'!$H:$H,0)</f>
        <v>563903.84</v>
      </c>
      <c r="G50" s="17">
        <f>_xlfn.XLOOKUP($B50,'[1]Feb-24'!$A:$A,'[1]Feb-24'!$H:$H,0)</f>
        <v>563903.84</v>
      </c>
      <c r="H50" s="17">
        <f>_xlfn.XLOOKUP($B50,'[1]Mar-24'!$A:$A,'[1]Mar-24'!$H:$H,0)</f>
        <v>563903.84</v>
      </c>
      <c r="I50" s="17">
        <f>_xlfn.XLOOKUP($B50,'[1]Apr-24'!$A:$A,'[1]Apr-24'!$H:$H,0)</f>
        <v>563903.84</v>
      </c>
      <c r="J50" s="17">
        <f>_xlfn.XLOOKUP($B50,'[1]May-24'!$A:$A,'[1]May-24'!$H:$H,0)</f>
        <v>563903.84</v>
      </c>
      <c r="K50" s="17">
        <f>_xlfn.XLOOKUP($B50,'[1]Jun-24'!$A:$A,'[1]Jun-24'!$H:$H,0)</f>
        <v>563903.84</v>
      </c>
      <c r="L50" s="17">
        <f>_xlfn.XLOOKUP($B50,'[1]Jul-24'!$A:$A,'[1]Jul-24'!$H:$H,0)</f>
        <v>563903.84</v>
      </c>
      <c r="M50" s="17">
        <f>_xlfn.XLOOKUP($B50,'[1]Aug-24'!$A:$A,'[1]Aug-24'!$H:$H,0)</f>
        <v>563903.84</v>
      </c>
      <c r="N50" s="17">
        <f>_xlfn.XLOOKUP($B50,'[1]Sep-24'!$A:$A,'[1]Sep-24'!$H:$H,0)</f>
        <v>563903.84</v>
      </c>
      <c r="O50" s="17">
        <f>_xlfn.XLOOKUP($B50,'[1]Oct-24'!$A:$A,'[1]Oct-24'!$H:$H,0)</f>
        <v>563903.84</v>
      </c>
      <c r="P50" s="17">
        <f>_xlfn.XLOOKUP($B50,'[1]Nov-24'!$A:$A,'[1]Nov-24'!$H:$H,0)</f>
        <v>563903.84</v>
      </c>
      <c r="Q50" s="17">
        <f>_xlfn.XLOOKUP($B50,'[1]Dec-24'!$A:$A,'[1]Dec-24'!$H:$H,0)</f>
        <v>563903.84</v>
      </c>
      <c r="R50" s="17">
        <f>_xlfn.XLOOKUP($B50,'[1]Jan-25'!$A:$A,'[1]Jan-25'!$H:$H,0)</f>
        <v>563903.84</v>
      </c>
      <c r="S50" s="17">
        <f>_xlfn.XLOOKUP($B50,'[1]Feb-25'!$A:$A,'[1]Feb-25'!$H:$H,0)</f>
        <v>563903.84</v>
      </c>
      <c r="T50" s="17">
        <f>_xlfn.XLOOKUP($B50,'[1]Mar-25'!$A:$A,'[1]Mar-25'!$H:$H,0)</f>
        <v>563903.84</v>
      </c>
      <c r="U50" s="17">
        <f>_xlfn.XLOOKUP($B50,'[1]Apr-25'!$A:$A,'[1]Apr-25'!$H:$H,0)</f>
        <v>563903.84</v>
      </c>
      <c r="V50" s="17">
        <f>_xlfn.XLOOKUP($B50,'[1]May-25'!$A:$A,'[1]May-25'!$H:$H,0)</f>
        <v>563903.84</v>
      </c>
      <c r="W50" s="17">
        <f>_xlfn.XLOOKUP($B50,'[1]Jun-25'!$A:$A,'[1]Jun-25'!$H:$H,0)</f>
        <v>563903.84</v>
      </c>
      <c r="X50" s="17">
        <f>_xlfn.XLOOKUP($B50,'[1]Jul-25'!$A:$A,'[1]Jul-25'!$H:$H,0)</f>
        <v>563903.84</v>
      </c>
      <c r="Y50" s="17">
        <f>_xlfn.XLOOKUP($B50,'[1]Aug-25'!$A:$A,'[1]Aug-25'!$H:$H,0)</f>
        <v>563903.84</v>
      </c>
      <c r="Z50" s="17">
        <f>_xlfn.XLOOKUP($B50,'[1]Sep-25'!$A:$A,'[1]Sep-25'!$H:$H,0)</f>
        <v>563903.84</v>
      </c>
      <c r="AA50" s="17">
        <f>_xlfn.XLOOKUP($B50,'[1]Oct-25'!$A:$A,'[1]Oct-25'!$H:$H,0)</f>
        <v>563903.84</v>
      </c>
      <c r="AB50" s="17">
        <f>_xlfn.XLOOKUP($B50,'[1]Nov-25'!$A:$A,'[1]Nov-25'!$H:$H,0)</f>
        <v>563903.84</v>
      </c>
      <c r="AC50" s="17">
        <f>_xlfn.XLOOKUP($B50,'[1]Dec-25'!$A:$A,'[1]Dec-25'!$H:$H,0)</f>
        <v>564653.84</v>
      </c>
      <c r="AD50" s="17">
        <f>_xlfn.XLOOKUP($B50,'[1]Jan-26'!$A:$A,'[1]Jan-26'!$H:$H,0)</f>
        <v>564653.84</v>
      </c>
      <c r="AE50" s="17">
        <f>_xlfn.XLOOKUP($B50,'[1]Feb-26'!$A:$A,'[1]Feb-26'!$H:$H,0)</f>
        <v>564653.84</v>
      </c>
      <c r="AF50" s="17">
        <f>_xlfn.XLOOKUP($B50,'[1]Mar-26'!$A:$A,'[1]Mar-26'!$H:$H,0)</f>
        <v>564653.84</v>
      </c>
      <c r="AG50" s="17">
        <f>_xlfn.XLOOKUP($B50,'[1]Apr-26'!$A:$A,'[1]Apr-26'!$H:$H,0)</f>
        <v>564653.84</v>
      </c>
    </row>
    <row r="51" spans="1:33" x14ac:dyDescent="0.2">
      <c r="A51" s="58">
        <v>10285</v>
      </c>
      <c r="B51" s="56" t="str">
        <f t="shared" si="6"/>
        <v>10285</v>
      </c>
      <c r="C51" s="57" t="s">
        <v>302</v>
      </c>
      <c r="D51" s="57" t="s">
        <v>303</v>
      </c>
      <c r="E51" s="44" t="s">
        <v>177</v>
      </c>
      <c r="F51" s="17">
        <f>_xlfn.XLOOKUP($B51,'[1]Jan-24'!$A:$A,'[1]Jan-24'!$H:$H,0)</f>
        <v>5940610.0099999998</v>
      </c>
      <c r="G51" s="17">
        <f>_xlfn.XLOOKUP($B51,'[1]Feb-24'!$A:$A,'[1]Feb-24'!$H:$H,0)</f>
        <v>1657539.09</v>
      </c>
      <c r="H51" s="17">
        <f>_xlfn.XLOOKUP($B51,'[1]Mar-24'!$A:$A,'[1]Mar-24'!$H:$H,0)</f>
        <v>1258401.5900000001</v>
      </c>
      <c r="I51" s="17">
        <f>_xlfn.XLOOKUP($B51,'[1]Apr-24'!$A:$A,'[1]Apr-24'!$H:$H,0)</f>
        <v>3933213.51</v>
      </c>
      <c r="J51" s="17">
        <f>_xlfn.XLOOKUP($B51,'[1]May-24'!$A:$A,'[1]May-24'!$H:$H,0)</f>
        <v>9789877.9299999997</v>
      </c>
      <c r="K51" s="17">
        <f>_xlfn.XLOOKUP($B51,'[1]Jun-24'!$A:$A,'[1]Jun-24'!$H:$H,0)</f>
        <v>4040743.08</v>
      </c>
      <c r="L51" s="17">
        <f>_xlfn.XLOOKUP($B51,'[1]Jul-24'!$A:$A,'[1]Jul-24'!$H:$H,0)</f>
        <v>6649299.6100000003</v>
      </c>
      <c r="M51" s="17">
        <f>_xlfn.XLOOKUP($B51,'[1]Aug-24'!$A:$A,'[1]Aug-24'!$H:$H,0)</f>
        <v>30044985.359999999</v>
      </c>
      <c r="N51" s="17">
        <f>_xlfn.XLOOKUP($B51,'[1]Sep-24'!$A:$A,'[1]Sep-24'!$H:$H,0)</f>
        <v>54253579.359999999</v>
      </c>
      <c r="O51" s="17">
        <f>_xlfn.XLOOKUP($B51,'[1]Oct-24'!$A:$A,'[1]Oct-24'!$H:$H,0)</f>
        <v>9233411.8900000006</v>
      </c>
      <c r="P51" s="17">
        <f>_xlfn.XLOOKUP($B51,'[1]Nov-24'!$A:$A,'[1]Nov-24'!$H:$H,0)</f>
        <v>3364100.09</v>
      </c>
      <c r="Q51" s="17">
        <f>_xlfn.XLOOKUP($B51,'[1]Dec-24'!$A:$A,'[1]Dec-24'!$H:$H,0)</f>
        <v>9020498.2300000004</v>
      </c>
      <c r="R51" s="17">
        <f>_xlfn.XLOOKUP($B51,'[1]Jan-25'!$A:$A,'[1]Jan-25'!$H:$H,0)</f>
        <v>7878081.1100000003</v>
      </c>
      <c r="S51" s="17">
        <f>_xlfn.XLOOKUP($B51,'[1]Feb-25'!$A:$A,'[1]Feb-25'!$H:$H,0)</f>
        <v>13900776.109999999</v>
      </c>
      <c r="T51" s="17">
        <f>_xlfn.XLOOKUP($B51,'[1]Mar-25'!$A:$A,'[1]Mar-25'!$H:$H,0)</f>
        <v>4842569.8899999997</v>
      </c>
      <c r="U51" s="17">
        <f>_xlfn.XLOOKUP($B51,'[1]Apr-25'!$A:$A,'[1]Apr-25'!$H:$H,0)</f>
        <v>4767326.5199999996</v>
      </c>
      <c r="V51" s="17">
        <f>_xlfn.XLOOKUP($B51,'[1]May-25'!$A:$A,'[1]May-25'!$H:$H,0)</f>
        <v>4168153.27</v>
      </c>
      <c r="W51" s="17">
        <f>_xlfn.XLOOKUP($B51,'[1]Jun-25'!$A:$A,'[1]Jun-25'!$H:$H,0)</f>
        <v>6374381.0099999998</v>
      </c>
      <c r="X51" s="17">
        <f>_xlfn.XLOOKUP($B51,'[1]Jul-25'!$A:$A,'[1]Jul-25'!$H:$H,0)</f>
        <v>19748381.010000002</v>
      </c>
      <c r="Y51" s="17">
        <f>_xlfn.XLOOKUP($B51,'[1]Aug-25'!$A:$A,'[1]Aug-25'!$H:$H,0)</f>
        <v>33691130.609999999</v>
      </c>
      <c r="Z51" s="17">
        <f>_xlfn.XLOOKUP($B51,'[1]Sep-25'!$A:$A,'[1]Sep-25'!$H:$H,0)</f>
        <v>19391172.23</v>
      </c>
      <c r="AA51" s="17">
        <f>_xlfn.XLOOKUP($B51,'[1]Oct-25'!$A:$A,'[1]Oct-25'!$H:$H,0)</f>
        <v>19433033.890000001</v>
      </c>
      <c r="AB51" s="17">
        <f>_xlfn.XLOOKUP($B51,'[1]Nov-25'!$A:$A,'[1]Nov-25'!$H:$H,0)</f>
        <v>32631583.890000001</v>
      </c>
      <c r="AC51" s="17">
        <f>_xlfn.XLOOKUP($B51,'[1]Dec-25'!$A:$A,'[1]Dec-25'!$H:$H,0)</f>
        <v>745578.1</v>
      </c>
      <c r="AD51" s="17">
        <f>_xlfn.XLOOKUP($B51,'[1]Jan-26'!$A:$A,'[1]Jan-26'!$H:$H,0)</f>
        <v>745578.1</v>
      </c>
      <c r="AE51" s="17">
        <f>_xlfn.XLOOKUP($B51,'[1]Feb-26'!$A:$A,'[1]Feb-26'!$H:$H,0)</f>
        <v>745578.1</v>
      </c>
      <c r="AF51" s="17">
        <f>_xlfn.XLOOKUP($B51,'[1]Mar-26'!$A:$A,'[1]Mar-26'!$H:$H,0)</f>
        <v>752778.1</v>
      </c>
      <c r="AG51" s="17">
        <f>_xlfn.XLOOKUP($B51,'[1]Apr-26'!$A:$A,'[1]Apr-26'!$H:$H,0)</f>
        <v>752778.1</v>
      </c>
    </row>
    <row r="52" spans="1:33" x14ac:dyDescent="0.2">
      <c r="A52" s="58">
        <v>10290</v>
      </c>
      <c r="B52" s="56" t="str">
        <f t="shared" si="6"/>
        <v>10290</v>
      </c>
      <c r="C52" s="57" t="s">
        <v>302</v>
      </c>
      <c r="D52" s="57" t="s">
        <v>303</v>
      </c>
      <c r="E52" s="44" t="s">
        <v>316</v>
      </c>
      <c r="F52" s="17">
        <f>_xlfn.XLOOKUP($B52,'[1]Jan-24'!$A:$A,'[1]Jan-24'!$H:$H,0)</f>
        <v>0</v>
      </c>
      <c r="G52" s="17">
        <f>_xlfn.XLOOKUP($B52,'[1]Feb-24'!$A:$A,'[1]Feb-24'!$H:$H,0)</f>
        <v>0</v>
      </c>
      <c r="H52" s="17">
        <f>_xlfn.XLOOKUP($B52,'[1]Mar-24'!$A:$A,'[1]Mar-24'!$H:$H,0)</f>
        <v>0</v>
      </c>
      <c r="I52" s="17">
        <f>_xlfn.XLOOKUP($B52,'[1]Apr-24'!$A:$A,'[1]Apr-24'!$H:$H,0)</f>
        <v>0</v>
      </c>
      <c r="J52" s="17">
        <f>_xlfn.XLOOKUP($B52,'[1]May-24'!$A:$A,'[1]May-24'!$H:$H,0)</f>
        <v>0</v>
      </c>
      <c r="K52" s="17">
        <f>_xlfn.XLOOKUP($B52,'[1]Jun-24'!$A:$A,'[1]Jun-24'!$H:$H,0)</f>
        <v>0</v>
      </c>
      <c r="L52" s="17">
        <f>_xlfn.XLOOKUP($B52,'[1]Jul-24'!$A:$A,'[1]Jul-24'!$H:$H,0)</f>
        <v>0</v>
      </c>
      <c r="M52" s="17">
        <f>_xlfn.XLOOKUP($B52,'[1]Aug-24'!$A:$A,'[1]Aug-24'!$H:$H,0)</f>
        <v>0</v>
      </c>
      <c r="N52" s="17">
        <f>_xlfn.XLOOKUP($B52,'[1]Sep-24'!$A:$A,'[1]Sep-24'!$H:$H,0)</f>
        <v>0</v>
      </c>
      <c r="O52" s="17">
        <f>_xlfn.XLOOKUP($B52,'[1]Oct-24'!$A:$A,'[1]Oct-24'!$H:$H,0)</f>
        <v>0</v>
      </c>
      <c r="P52" s="17">
        <f>_xlfn.XLOOKUP($B52,'[1]Nov-24'!$A:$A,'[1]Nov-24'!$H:$H,0)</f>
        <v>0</v>
      </c>
      <c r="Q52" s="17">
        <f>_xlfn.XLOOKUP($B52,'[1]Dec-24'!$A:$A,'[1]Dec-24'!$H:$H,0)</f>
        <v>0</v>
      </c>
      <c r="R52" s="17">
        <f>_xlfn.XLOOKUP($B52,'[1]Jan-25'!$A:$A,'[1]Jan-25'!$H:$H,0)</f>
        <v>0</v>
      </c>
      <c r="S52" s="17">
        <f>_xlfn.XLOOKUP($B52,'[1]Feb-25'!$A:$A,'[1]Feb-25'!$H:$H,0)</f>
        <v>0</v>
      </c>
      <c r="T52" s="17">
        <f>_xlfn.XLOOKUP($B52,'[1]Mar-25'!$A:$A,'[1]Mar-25'!$H:$H,0)</f>
        <v>0</v>
      </c>
      <c r="U52" s="17">
        <f>_xlfn.XLOOKUP($B52,'[1]Apr-25'!$A:$A,'[1]Apr-25'!$H:$H,0)</f>
        <v>0</v>
      </c>
      <c r="V52" s="17">
        <f>_xlfn.XLOOKUP($B52,'[1]May-25'!$A:$A,'[1]May-25'!$H:$H,0)</f>
        <v>0</v>
      </c>
      <c r="W52" s="17">
        <f>_xlfn.XLOOKUP($B52,'[1]Jun-25'!$A:$A,'[1]Jun-25'!$H:$H,0)</f>
        <v>0</v>
      </c>
      <c r="X52" s="17">
        <f>_xlfn.XLOOKUP($B52,'[1]Jul-25'!$A:$A,'[1]Jul-25'!$H:$H,0)</f>
        <v>0</v>
      </c>
      <c r="Y52" s="17">
        <f>_xlfn.XLOOKUP($B52,'[1]Aug-25'!$A:$A,'[1]Aug-25'!$H:$H,0)</f>
        <v>0</v>
      </c>
      <c r="Z52" s="17">
        <f>_xlfn.XLOOKUP($B52,'[1]Sep-25'!$A:$A,'[1]Sep-25'!$H:$H,0)</f>
        <v>0</v>
      </c>
      <c r="AA52" s="17">
        <f>_xlfn.XLOOKUP($B52,'[1]Oct-25'!$A:$A,'[1]Oct-25'!$H:$H,0)</f>
        <v>0</v>
      </c>
      <c r="AB52" s="17">
        <f>_xlfn.XLOOKUP($B52,'[1]Nov-25'!$A:$A,'[1]Nov-25'!$H:$H,0)</f>
        <v>0</v>
      </c>
      <c r="AC52" s="17">
        <f>_xlfn.XLOOKUP($B52,'[1]Dec-25'!$A:$A,'[1]Dec-25'!$H:$H,0)</f>
        <v>0</v>
      </c>
      <c r="AD52" s="17">
        <f>_xlfn.XLOOKUP($B52,'[1]Jan-26'!$A:$A,'[1]Jan-26'!$H:$H,0)</f>
        <v>0</v>
      </c>
      <c r="AE52" s="17">
        <f>_xlfn.XLOOKUP($B52,'[1]Feb-26'!$A:$A,'[1]Feb-26'!$H:$H,0)</f>
        <v>0</v>
      </c>
      <c r="AF52" s="17">
        <f>_xlfn.XLOOKUP($B52,'[1]Mar-26'!$A:$A,'[1]Mar-26'!$H:$H,0)</f>
        <v>0</v>
      </c>
      <c r="AG52" s="17">
        <f>_xlfn.XLOOKUP($B52,'[1]Apr-26'!$A:$A,'[1]Apr-26'!$H:$H,0)</f>
        <v>0</v>
      </c>
    </row>
    <row r="53" spans="1:33" x14ac:dyDescent="0.2">
      <c r="A53" s="58">
        <v>10293</v>
      </c>
      <c r="B53" s="56" t="str">
        <f t="shared" si="6"/>
        <v>10293</v>
      </c>
      <c r="C53" s="57" t="s">
        <v>302</v>
      </c>
      <c r="D53" s="57" t="s">
        <v>303</v>
      </c>
      <c r="E53" s="44" t="s">
        <v>178</v>
      </c>
      <c r="F53" s="17">
        <f>_xlfn.XLOOKUP($B53,'[1]Jan-24'!$A:$A,'[1]Jan-24'!$H:$H,0)</f>
        <v>-2069159.5</v>
      </c>
      <c r="G53" s="17">
        <f>_xlfn.XLOOKUP($B53,'[1]Feb-24'!$A:$A,'[1]Feb-24'!$H:$H,0)</f>
        <v>676545</v>
      </c>
      <c r="H53" s="17">
        <f>_xlfn.XLOOKUP($B53,'[1]Mar-24'!$A:$A,'[1]Mar-24'!$H:$H,0)</f>
        <v>1480050</v>
      </c>
      <c r="I53" s="17">
        <f>_xlfn.XLOOKUP($B53,'[1]Apr-24'!$A:$A,'[1]Apr-24'!$H:$H,0)</f>
        <v>9892689.7699999996</v>
      </c>
      <c r="J53" s="17">
        <f>_xlfn.XLOOKUP($B53,'[1]May-24'!$A:$A,'[1]May-24'!$H:$H,0)</f>
        <v>10255503.68</v>
      </c>
      <c r="K53" s="17">
        <f>_xlfn.XLOOKUP($B53,'[1]Jun-24'!$A:$A,'[1]Jun-24'!$H:$H,0)</f>
        <v>437053.12</v>
      </c>
      <c r="L53" s="17">
        <f>_xlfn.XLOOKUP($B53,'[1]Jul-24'!$A:$A,'[1]Jul-24'!$H:$H,0)</f>
        <v>1974434.29</v>
      </c>
      <c r="M53" s="17">
        <f>_xlfn.XLOOKUP($B53,'[1]Aug-24'!$A:$A,'[1]Aug-24'!$H:$H,0)</f>
        <v>5263.4</v>
      </c>
      <c r="N53" s="17">
        <f>_xlfn.XLOOKUP($B53,'[1]Sep-24'!$A:$A,'[1]Sep-24'!$H:$H,0)</f>
        <v>5521.01</v>
      </c>
      <c r="O53" s="17">
        <f>_xlfn.XLOOKUP($B53,'[1]Oct-24'!$A:$A,'[1]Oct-24'!$H:$H,0)</f>
        <v>410539.2</v>
      </c>
      <c r="P53" s="17">
        <f>_xlfn.XLOOKUP($B53,'[1]Nov-24'!$A:$A,'[1]Nov-24'!$H:$H,0)</f>
        <v>420417.08</v>
      </c>
      <c r="Q53" s="17">
        <f>_xlfn.XLOOKUP($B53,'[1]Dec-24'!$A:$A,'[1]Dec-24'!$H:$H,0)</f>
        <v>386421.58</v>
      </c>
      <c r="R53" s="17">
        <f>_xlfn.XLOOKUP($B53,'[1]Jan-25'!$A:$A,'[1]Jan-25'!$H:$H,0)</f>
        <v>196354.07</v>
      </c>
      <c r="S53" s="17">
        <f>_xlfn.XLOOKUP($B53,'[1]Feb-25'!$A:$A,'[1]Feb-25'!$H:$H,0)</f>
        <v>223637.86</v>
      </c>
      <c r="T53" s="17">
        <f>_xlfn.XLOOKUP($B53,'[1]Mar-25'!$A:$A,'[1]Mar-25'!$H:$H,0)</f>
        <v>138832.69</v>
      </c>
      <c r="U53" s="17">
        <f>_xlfn.XLOOKUP($B53,'[1]Apr-25'!$A:$A,'[1]Apr-25'!$H:$H,0)</f>
        <v>179669.1</v>
      </c>
      <c r="V53" s="17">
        <f>_xlfn.XLOOKUP($B53,'[1]May-25'!$A:$A,'[1]May-25'!$H:$H,0)</f>
        <v>15979328.029999999</v>
      </c>
      <c r="W53" s="17">
        <f>_xlfn.XLOOKUP($B53,'[1]Jun-25'!$A:$A,'[1]Jun-25'!$H:$H,0)</f>
        <v>15514649.82</v>
      </c>
      <c r="X53" s="17">
        <f>_xlfn.XLOOKUP($B53,'[1]Jul-25'!$A:$A,'[1]Jul-25'!$H:$H,0)</f>
        <v>15405470.85</v>
      </c>
      <c r="Y53" s="17">
        <f>_xlfn.XLOOKUP($B53,'[1]Aug-25'!$A:$A,'[1]Aug-25'!$H:$H,0)</f>
        <v>15484515.380000001</v>
      </c>
      <c r="Z53" s="17">
        <f>_xlfn.XLOOKUP($B53,'[1]Sep-25'!$A:$A,'[1]Sep-25'!$H:$H,0)</f>
        <v>19884267.420000002</v>
      </c>
      <c r="AA53" s="17">
        <f>_xlfn.XLOOKUP($B53,'[1]Oct-25'!$A:$A,'[1]Oct-25'!$H:$H,0)</f>
        <v>19426934.670000002</v>
      </c>
      <c r="AB53" s="17">
        <f>_xlfn.XLOOKUP($B53,'[1]Nov-25'!$A:$A,'[1]Nov-25'!$H:$H,0)</f>
        <v>19398533.77</v>
      </c>
      <c r="AC53" s="17">
        <f>_xlfn.XLOOKUP($B53,'[1]Dec-25'!$A:$A,'[1]Dec-25'!$H:$H,0)</f>
        <v>19432503.84</v>
      </c>
      <c r="AD53" s="17">
        <f>_xlfn.XLOOKUP($B53,'[1]Jan-26'!$A:$A,'[1]Jan-26'!$H:$H,0)</f>
        <v>18603515.370000001</v>
      </c>
      <c r="AE53" s="17">
        <f>_xlfn.XLOOKUP($B53,'[1]Feb-26'!$A:$A,'[1]Feb-26'!$H:$H,0)</f>
        <v>18194302.07</v>
      </c>
      <c r="AF53" s="17">
        <f>_xlfn.XLOOKUP($B53,'[1]Mar-26'!$A:$A,'[1]Mar-26'!$H:$H,0)</f>
        <v>18539880.149999999</v>
      </c>
      <c r="AG53" s="17">
        <f>_xlfn.XLOOKUP($B53,'[1]Apr-26'!$A:$A,'[1]Apr-26'!$H:$H,0)</f>
        <v>18431189.75</v>
      </c>
    </row>
    <row r="54" spans="1:33" x14ac:dyDescent="0.2">
      <c r="A54" s="58">
        <v>10295</v>
      </c>
      <c r="B54" s="56" t="str">
        <f t="shared" si="6"/>
        <v>10295</v>
      </c>
      <c r="C54" s="57" t="s">
        <v>302</v>
      </c>
      <c r="D54" s="57" t="s">
        <v>303</v>
      </c>
      <c r="E54" s="44" t="s">
        <v>317</v>
      </c>
      <c r="F54" s="17">
        <f>_xlfn.XLOOKUP($B54,'[1]Jan-24'!$A:$A,'[1]Jan-24'!$H:$H,0)</f>
        <v>0</v>
      </c>
      <c r="G54" s="17">
        <f>_xlfn.XLOOKUP($B54,'[1]Feb-24'!$A:$A,'[1]Feb-24'!$H:$H,0)</f>
        <v>0</v>
      </c>
      <c r="H54" s="17">
        <f>_xlfn.XLOOKUP($B54,'[1]Mar-24'!$A:$A,'[1]Mar-24'!$H:$H,0)</f>
        <v>0</v>
      </c>
      <c r="I54" s="17">
        <f>_xlfn.XLOOKUP($B54,'[1]Apr-24'!$A:$A,'[1]Apr-24'!$H:$H,0)</f>
        <v>0</v>
      </c>
      <c r="J54" s="17">
        <f>_xlfn.XLOOKUP($B54,'[1]May-24'!$A:$A,'[1]May-24'!$H:$H,0)</f>
        <v>0</v>
      </c>
      <c r="K54" s="17">
        <f>_xlfn.XLOOKUP($B54,'[1]Jun-24'!$A:$A,'[1]Jun-24'!$H:$H,0)</f>
        <v>0</v>
      </c>
      <c r="L54" s="17">
        <f>_xlfn.XLOOKUP($B54,'[1]Jul-24'!$A:$A,'[1]Jul-24'!$H:$H,0)</f>
        <v>0</v>
      </c>
      <c r="M54" s="17">
        <f>_xlfn.XLOOKUP($B54,'[1]Aug-24'!$A:$A,'[1]Aug-24'!$H:$H,0)</f>
        <v>0</v>
      </c>
      <c r="N54" s="17">
        <f>_xlfn.XLOOKUP($B54,'[1]Sep-24'!$A:$A,'[1]Sep-24'!$H:$H,0)</f>
        <v>0</v>
      </c>
      <c r="O54" s="17">
        <f>_xlfn.XLOOKUP($B54,'[1]Oct-24'!$A:$A,'[1]Oct-24'!$H:$H,0)</f>
        <v>0</v>
      </c>
      <c r="P54" s="17">
        <f>_xlfn.XLOOKUP($B54,'[1]Nov-24'!$A:$A,'[1]Nov-24'!$H:$H,0)</f>
        <v>0</v>
      </c>
      <c r="Q54" s="17">
        <f>_xlfn.XLOOKUP($B54,'[1]Dec-24'!$A:$A,'[1]Dec-24'!$H:$H,0)</f>
        <v>0</v>
      </c>
      <c r="R54" s="17">
        <f>_xlfn.XLOOKUP($B54,'[1]Jan-25'!$A:$A,'[1]Jan-25'!$H:$H,0)</f>
        <v>0</v>
      </c>
      <c r="S54" s="17">
        <f>_xlfn.XLOOKUP($B54,'[1]Feb-25'!$A:$A,'[1]Feb-25'!$H:$H,0)</f>
        <v>0</v>
      </c>
      <c r="T54" s="17">
        <f>_xlfn.XLOOKUP($B54,'[1]Mar-25'!$A:$A,'[1]Mar-25'!$H:$H,0)</f>
        <v>0</v>
      </c>
      <c r="U54" s="17">
        <f>_xlfn.XLOOKUP($B54,'[1]Apr-25'!$A:$A,'[1]Apr-25'!$H:$H,0)</f>
        <v>0</v>
      </c>
      <c r="V54" s="17">
        <f>_xlfn.XLOOKUP($B54,'[1]May-25'!$A:$A,'[1]May-25'!$H:$H,0)</f>
        <v>0</v>
      </c>
      <c r="W54" s="17">
        <f>_xlfn.XLOOKUP($B54,'[1]Jun-25'!$A:$A,'[1]Jun-25'!$H:$H,0)</f>
        <v>0</v>
      </c>
      <c r="X54" s="17">
        <f>_xlfn.XLOOKUP($B54,'[1]Jul-25'!$A:$A,'[1]Jul-25'!$H:$H,0)</f>
        <v>0</v>
      </c>
      <c r="Y54" s="17">
        <f>_xlfn.XLOOKUP($B54,'[1]Aug-25'!$A:$A,'[1]Aug-25'!$H:$H,0)</f>
        <v>0</v>
      </c>
      <c r="Z54" s="17">
        <f>_xlfn.XLOOKUP($B54,'[1]Sep-25'!$A:$A,'[1]Sep-25'!$H:$H,0)</f>
        <v>0</v>
      </c>
      <c r="AA54" s="17">
        <f>_xlfn.XLOOKUP($B54,'[1]Oct-25'!$A:$A,'[1]Oct-25'!$H:$H,0)</f>
        <v>0</v>
      </c>
      <c r="AB54" s="17">
        <f>_xlfn.XLOOKUP($B54,'[1]Nov-25'!$A:$A,'[1]Nov-25'!$H:$H,0)</f>
        <v>0</v>
      </c>
      <c r="AC54" s="17">
        <f>_xlfn.XLOOKUP($B54,'[1]Dec-25'!$A:$A,'[1]Dec-25'!$H:$H,0)</f>
        <v>0</v>
      </c>
      <c r="AD54" s="17">
        <f>_xlfn.XLOOKUP($B54,'[1]Jan-26'!$A:$A,'[1]Jan-26'!$H:$H,0)</f>
        <v>0</v>
      </c>
      <c r="AE54" s="17">
        <f>_xlfn.XLOOKUP($B54,'[1]Feb-26'!$A:$A,'[1]Feb-26'!$H:$H,0)</f>
        <v>0</v>
      </c>
      <c r="AF54" s="17">
        <f>_xlfn.XLOOKUP($B54,'[1]Mar-26'!$A:$A,'[1]Mar-26'!$H:$H,0)</f>
        <v>0</v>
      </c>
      <c r="AG54" s="17">
        <f>_xlfn.XLOOKUP($B54,'[1]Apr-26'!$A:$A,'[1]Apr-26'!$H:$H,0)</f>
        <v>0</v>
      </c>
    </row>
    <row r="55" spans="1:33" x14ac:dyDescent="0.2">
      <c r="A55" s="58">
        <v>10300</v>
      </c>
      <c r="B55" s="56" t="str">
        <f t="shared" si="6"/>
        <v>10300</v>
      </c>
      <c r="C55" s="57" t="s">
        <v>302</v>
      </c>
      <c r="D55" s="57" t="s">
        <v>303</v>
      </c>
      <c r="E55" s="44" t="s">
        <v>318</v>
      </c>
      <c r="F55" s="17">
        <f>_xlfn.XLOOKUP($B55,'[1]Jan-24'!$A:$A,'[1]Jan-24'!$H:$H,0)</f>
        <v>0</v>
      </c>
      <c r="G55" s="17">
        <f>_xlfn.XLOOKUP($B55,'[1]Feb-24'!$A:$A,'[1]Feb-24'!$H:$H,0)</f>
        <v>0</v>
      </c>
      <c r="H55" s="17">
        <f>_xlfn.XLOOKUP($B55,'[1]Mar-24'!$A:$A,'[1]Mar-24'!$H:$H,0)</f>
        <v>0</v>
      </c>
      <c r="I55" s="17">
        <f>_xlfn.XLOOKUP($B55,'[1]Apr-24'!$A:$A,'[1]Apr-24'!$H:$H,0)</f>
        <v>0</v>
      </c>
      <c r="J55" s="17">
        <f>_xlfn.XLOOKUP($B55,'[1]May-24'!$A:$A,'[1]May-24'!$H:$H,0)</f>
        <v>0</v>
      </c>
      <c r="K55" s="17">
        <f>_xlfn.XLOOKUP($B55,'[1]Jun-24'!$A:$A,'[1]Jun-24'!$H:$H,0)</f>
        <v>0</v>
      </c>
      <c r="L55" s="17">
        <f>_xlfn.XLOOKUP($B55,'[1]Jul-24'!$A:$A,'[1]Jul-24'!$H:$H,0)</f>
        <v>0</v>
      </c>
      <c r="M55" s="17">
        <f>_xlfn.XLOOKUP($B55,'[1]Aug-24'!$A:$A,'[1]Aug-24'!$H:$H,0)</f>
        <v>0</v>
      </c>
      <c r="N55" s="17">
        <f>_xlfn.XLOOKUP($B55,'[1]Sep-24'!$A:$A,'[1]Sep-24'!$H:$H,0)</f>
        <v>0</v>
      </c>
      <c r="O55" s="17">
        <f>_xlfn.XLOOKUP($B55,'[1]Oct-24'!$A:$A,'[1]Oct-24'!$H:$H,0)</f>
        <v>0</v>
      </c>
      <c r="P55" s="17">
        <f>_xlfn.XLOOKUP($B55,'[1]Nov-24'!$A:$A,'[1]Nov-24'!$H:$H,0)</f>
        <v>0</v>
      </c>
      <c r="Q55" s="17">
        <f>_xlfn.XLOOKUP($B55,'[1]Dec-24'!$A:$A,'[1]Dec-24'!$H:$H,0)</f>
        <v>0</v>
      </c>
      <c r="R55" s="17">
        <f>_xlfn.XLOOKUP($B55,'[1]Jan-25'!$A:$A,'[1]Jan-25'!$H:$H,0)</f>
        <v>0</v>
      </c>
      <c r="S55" s="17">
        <f>_xlfn.XLOOKUP($B55,'[1]Feb-25'!$A:$A,'[1]Feb-25'!$H:$H,0)</f>
        <v>0</v>
      </c>
      <c r="T55" s="17">
        <f>_xlfn.XLOOKUP($B55,'[1]Mar-25'!$A:$A,'[1]Mar-25'!$H:$H,0)</f>
        <v>0</v>
      </c>
      <c r="U55" s="17">
        <f>_xlfn.XLOOKUP($B55,'[1]Apr-25'!$A:$A,'[1]Apr-25'!$H:$H,0)</f>
        <v>0</v>
      </c>
      <c r="V55" s="17">
        <f>_xlfn.XLOOKUP($B55,'[1]May-25'!$A:$A,'[1]May-25'!$H:$H,0)</f>
        <v>0</v>
      </c>
      <c r="W55" s="17">
        <f>_xlfn.XLOOKUP($B55,'[1]Jun-25'!$A:$A,'[1]Jun-25'!$H:$H,0)</f>
        <v>0</v>
      </c>
      <c r="X55" s="17">
        <f>_xlfn.XLOOKUP($B55,'[1]Jul-25'!$A:$A,'[1]Jul-25'!$H:$H,0)</f>
        <v>0</v>
      </c>
      <c r="Y55" s="17">
        <f>_xlfn.XLOOKUP($B55,'[1]Aug-25'!$A:$A,'[1]Aug-25'!$H:$H,0)</f>
        <v>0</v>
      </c>
      <c r="Z55" s="17">
        <f>_xlfn.XLOOKUP($B55,'[1]Sep-25'!$A:$A,'[1]Sep-25'!$H:$H,0)</f>
        <v>0</v>
      </c>
      <c r="AA55" s="17">
        <f>_xlfn.XLOOKUP($B55,'[1]Oct-25'!$A:$A,'[1]Oct-25'!$H:$H,0)</f>
        <v>0</v>
      </c>
      <c r="AB55" s="17">
        <f>_xlfn.XLOOKUP($B55,'[1]Nov-25'!$A:$A,'[1]Nov-25'!$H:$H,0)</f>
        <v>0</v>
      </c>
      <c r="AC55" s="17">
        <f>_xlfn.XLOOKUP($B55,'[1]Dec-25'!$A:$A,'[1]Dec-25'!$H:$H,0)</f>
        <v>0</v>
      </c>
      <c r="AD55" s="17">
        <f>_xlfn.XLOOKUP($B55,'[1]Jan-26'!$A:$A,'[1]Jan-26'!$H:$H,0)</f>
        <v>0</v>
      </c>
      <c r="AE55" s="17">
        <f>_xlfn.XLOOKUP($B55,'[1]Feb-26'!$A:$A,'[1]Feb-26'!$H:$H,0)</f>
        <v>0</v>
      </c>
      <c r="AF55" s="17">
        <f>_xlfn.XLOOKUP($B55,'[1]Mar-26'!$A:$A,'[1]Mar-26'!$H:$H,0)</f>
        <v>0</v>
      </c>
      <c r="AG55" s="17">
        <f>_xlfn.XLOOKUP($B55,'[1]Apr-26'!$A:$A,'[1]Apr-26'!$H:$H,0)</f>
        <v>0</v>
      </c>
    </row>
    <row r="56" spans="1:33" x14ac:dyDescent="0.2">
      <c r="A56" s="58">
        <v>10305</v>
      </c>
      <c r="B56" s="56" t="str">
        <f t="shared" si="6"/>
        <v>10305</v>
      </c>
      <c r="C56" s="57" t="s">
        <v>302</v>
      </c>
      <c r="D56" s="57" t="s">
        <v>303</v>
      </c>
      <c r="E56" s="44" t="s">
        <v>179</v>
      </c>
      <c r="F56" s="17">
        <f>_xlfn.XLOOKUP($B56,'[1]Jan-24'!$A:$A,'[1]Jan-24'!$H:$H,0)</f>
        <v>4980.08</v>
      </c>
      <c r="G56" s="17">
        <f>_xlfn.XLOOKUP($B56,'[1]Feb-24'!$A:$A,'[1]Feb-24'!$H:$H,0)</f>
        <v>4922.33</v>
      </c>
      <c r="H56" s="17">
        <f>_xlfn.XLOOKUP($B56,'[1]Mar-24'!$A:$A,'[1]Mar-24'!$H:$H,0)</f>
        <v>4864.58</v>
      </c>
      <c r="I56" s="17">
        <f>_xlfn.XLOOKUP($B56,'[1]Apr-24'!$A:$A,'[1]Apr-24'!$H:$H,0)</f>
        <v>4864.58</v>
      </c>
      <c r="J56" s="17">
        <f>_xlfn.XLOOKUP($B56,'[1]May-24'!$A:$A,'[1]May-24'!$H:$H,0)</f>
        <v>4864.58</v>
      </c>
      <c r="K56" s="17">
        <f>_xlfn.XLOOKUP($B56,'[1]Jun-24'!$A:$A,'[1]Jun-24'!$H:$H,0)</f>
        <v>4806.83</v>
      </c>
      <c r="L56" s="17">
        <f>_xlfn.XLOOKUP($B56,'[1]Jul-24'!$A:$A,'[1]Jul-24'!$H:$H,0)</f>
        <v>4806.83</v>
      </c>
      <c r="M56" s="17">
        <f>_xlfn.XLOOKUP($B56,'[1]Aug-24'!$A:$A,'[1]Aug-24'!$H:$H,0)</f>
        <v>4806.83</v>
      </c>
      <c r="N56" s="17">
        <f>_xlfn.XLOOKUP($B56,'[1]Sep-24'!$A:$A,'[1]Sep-24'!$H:$H,0)</f>
        <v>4753.08</v>
      </c>
      <c r="O56" s="17">
        <f>_xlfn.XLOOKUP($B56,'[1]Oct-24'!$A:$A,'[1]Oct-24'!$H:$H,0)</f>
        <v>4753.08</v>
      </c>
      <c r="P56" s="17">
        <f>_xlfn.XLOOKUP($B56,'[1]Nov-24'!$A:$A,'[1]Nov-24'!$H:$H,0)</f>
        <v>4753.08</v>
      </c>
      <c r="Q56" s="17">
        <f>_xlfn.XLOOKUP($B56,'[1]Dec-24'!$A:$A,'[1]Dec-24'!$H:$H,0)</f>
        <v>4695.28</v>
      </c>
      <c r="R56" s="17">
        <f>_xlfn.XLOOKUP($B56,'[1]Jan-25'!$A:$A,'[1]Jan-25'!$H:$H,0)</f>
        <v>4695.28</v>
      </c>
      <c r="S56" s="17">
        <f>_xlfn.XLOOKUP($B56,'[1]Feb-25'!$A:$A,'[1]Feb-25'!$H:$H,0)</f>
        <v>4695.28</v>
      </c>
      <c r="T56" s="17">
        <f>_xlfn.XLOOKUP($B56,'[1]Mar-25'!$A:$A,'[1]Mar-25'!$H:$H,0)</f>
        <v>4695.28</v>
      </c>
      <c r="U56" s="17">
        <f>_xlfn.XLOOKUP($B56,'[1]Apr-25'!$A:$A,'[1]Apr-25'!$H:$H,0)</f>
        <v>4695.28</v>
      </c>
      <c r="V56" s="17">
        <f>_xlfn.XLOOKUP($B56,'[1]May-25'!$A:$A,'[1]May-25'!$H:$H,0)</f>
        <v>4695.28</v>
      </c>
      <c r="W56" s="17">
        <f>_xlfn.XLOOKUP($B56,'[1]Jun-25'!$A:$A,'[1]Jun-25'!$H:$H,0)</f>
        <v>4695.28</v>
      </c>
      <c r="X56" s="17">
        <f>_xlfn.XLOOKUP($B56,'[1]Jul-25'!$A:$A,'[1]Jul-25'!$H:$H,0)</f>
        <v>4695.28</v>
      </c>
      <c r="Y56" s="17">
        <f>_xlfn.XLOOKUP($B56,'[1]Aug-25'!$A:$A,'[1]Aug-25'!$H:$H,0)</f>
        <v>4695.28</v>
      </c>
      <c r="Z56" s="17">
        <f>_xlfn.XLOOKUP($B56,'[1]Sep-25'!$A:$A,'[1]Sep-25'!$H:$H,0)</f>
        <v>4695.28</v>
      </c>
      <c r="AA56" s="17">
        <f>_xlfn.XLOOKUP($B56,'[1]Oct-25'!$A:$A,'[1]Oct-25'!$H:$H,0)</f>
        <v>4695.28</v>
      </c>
      <c r="AB56" s="17">
        <f>_xlfn.XLOOKUP($B56,'[1]Nov-25'!$A:$A,'[1]Nov-25'!$H:$H,0)</f>
        <v>5695.28</v>
      </c>
      <c r="AC56" s="17">
        <f>_xlfn.XLOOKUP($B56,'[1]Dec-25'!$A:$A,'[1]Dec-25'!$H:$H,0)</f>
        <v>5687.28</v>
      </c>
      <c r="AD56" s="17">
        <f>_xlfn.XLOOKUP($B56,'[1]Jan-26'!$A:$A,'[1]Jan-26'!$H:$H,0)</f>
        <v>5687.28</v>
      </c>
      <c r="AE56" s="17">
        <f>_xlfn.XLOOKUP($B56,'[1]Feb-26'!$A:$A,'[1]Feb-26'!$H:$H,0)</f>
        <v>5687.28</v>
      </c>
      <c r="AF56" s="17">
        <f>_xlfn.XLOOKUP($B56,'[1]Mar-26'!$A:$A,'[1]Mar-26'!$H:$H,0)</f>
        <v>5687.28</v>
      </c>
      <c r="AG56" s="17">
        <f>_xlfn.XLOOKUP($B56,'[1]Apr-26'!$A:$A,'[1]Apr-26'!$H:$H,0)</f>
        <v>5687.28</v>
      </c>
    </row>
    <row r="57" spans="1:33" x14ac:dyDescent="0.2">
      <c r="A57" s="58">
        <v>10310</v>
      </c>
      <c r="B57" s="56" t="str">
        <f t="shared" si="6"/>
        <v>10310</v>
      </c>
      <c r="C57" s="57" t="s">
        <v>302</v>
      </c>
      <c r="D57" s="57" t="s">
        <v>303</v>
      </c>
      <c r="E57" s="44" t="s">
        <v>180</v>
      </c>
      <c r="F57" s="17">
        <f>_xlfn.XLOOKUP($B57,'[1]Jan-24'!$A:$A,'[1]Jan-24'!$H:$H,0)</f>
        <v>408667.71</v>
      </c>
      <c r="G57" s="17">
        <f>_xlfn.XLOOKUP($B57,'[1]Feb-24'!$A:$A,'[1]Feb-24'!$H:$H,0)</f>
        <v>718617.68</v>
      </c>
      <c r="H57" s="17">
        <f>_xlfn.XLOOKUP($B57,'[1]Mar-24'!$A:$A,'[1]Mar-24'!$H:$H,0)</f>
        <v>4705326.13</v>
      </c>
      <c r="I57" s="17">
        <f>_xlfn.XLOOKUP($B57,'[1]Apr-24'!$A:$A,'[1]Apr-24'!$H:$H,0)</f>
        <v>12144826.130000001</v>
      </c>
      <c r="J57" s="17">
        <f>_xlfn.XLOOKUP($B57,'[1]May-24'!$A:$A,'[1]May-24'!$H:$H,0)</f>
        <v>4097384.66</v>
      </c>
      <c r="K57" s="17">
        <f>_xlfn.XLOOKUP($B57,'[1]Jun-24'!$A:$A,'[1]Jun-24'!$H:$H,0)</f>
        <v>5337184.55</v>
      </c>
      <c r="L57" s="17">
        <f>_xlfn.XLOOKUP($B57,'[1]Jul-24'!$A:$A,'[1]Jul-24'!$H:$H,0)</f>
        <v>4674193.16</v>
      </c>
      <c r="M57" s="17">
        <f>_xlfn.XLOOKUP($B57,'[1]Aug-24'!$A:$A,'[1]Aug-24'!$H:$H,0)</f>
        <v>5604043.1600000001</v>
      </c>
      <c r="N57" s="17">
        <f>_xlfn.XLOOKUP($B57,'[1]Sep-24'!$A:$A,'[1]Sep-24'!$H:$H,0)</f>
        <v>12113743.16</v>
      </c>
      <c r="O57" s="17">
        <f>_xlfn.XLOOKUP($B57,'[1]Oct-24'!$A:$A,'[1]Oct-24'!$H:$H,0)</f>
        <v>33813543.159999996</v>
      </c>
      <c r="P57" s="17">
        <f>_xlfn.XLOOKUP($B57,'[1]Nov-24'!$A:$A,'[1]Nov-24'!$H:$H,0)</f>
        <v>8913489.4100000001</v>
      </c>
      <c r="Q57" s="17">
        <f>_xlfn.XLOOKUP($B57,'[1]Dec-24'!$A:$A,'[1]Dec-24'!$H:$H,0)</f>
        <v>6105534.4100000001</v>
      </c>
      <c r="R57" s="17">
        <f>_xlfn.XLOOKUP($B57,'[1]Jan-25'!$A:$A,'[1]Jan-25'!$H:$H,0)</f>
        <v>36205534.409999996</v>
      </c>
      <c r="S57" s="17">
        <f>_xlfn.XLOOKUP($B57,'[1]Feb-25'!$A:$A,'[1]Feb-25'!$H:$H,0)</f>
        <v>30264244.41</v>
      </c>
      <c r="T57" s="17">
        <f>_xlfn.XLOOKUP($B57,'[1]Mar-25'!$A:$A,'[1]Mar-25'!$H:$H,0)</f>
        <v>20464723.16</v>
      </c>
      <c r="U57" s="17">
        <f>_xlfn.XLOOKUP($B57,'[1]Apr-25'!$A:$A,'[1]Apr-25'!$H:$H,0)</f>
        <v>38845879.850000001</v>
      </c>
      <c r="V57" s="17">
        <f>_xlfn.XLOOKUP($B57,'[1]May-25'!$A:$A,'[1]May-25'!$H:$H,0)</f>
        <v>23601424.550000001</v>
      </c>
      <c r="W57" s="17">
        <f>_xlfn.XLOOKUP($B57,'[1]Jun-25'!$A:$A,'[1]Jun-25'!$H:$H,0)</f>
        <v>1662600.19</v>
      </c>
      <c r="X57" s="17">
        <f>_xlfn.XLOOKUP($B57,'[1]Jul-25'!$A:$A,'[1]Jul-25'!$H:$H,0)</f>
        <v>13542278.689999999</v>
      </c>
      <c r="Y57" s="17">
        <f>_xlfn.XLOOKUP($B57,'[1]Aug-25'!$A:$A,'[1]Aug-25'!$H:$H,0)</f>
        <v>3997444.26</v>
      </c>
      <c r="Z57" s="17">
        <f>_xlfn.XLOOKUP($B57,'[1]Sep-25'!$A:$A,'[1]Sep-25'!$H:$H,0)</f>
        <v>2171389.7400000002</v>
      </c>
      <c r="AA57" s="17">
        <f>_xlfn.XLOOKUP($B57,'[1]Oct-25'!$A:$A,'[1]Oct-25'!$H:$H,0)</f>
        <v>1718680.12</v>
      </c>
      <c r="AB57" s="17">
        <f>_xlfn.XLOOKUP($B57,'[1]Nov-25'!$A:$A,'[1]Nov-25'!$H:$H,0)</f>
        <v>9197764.1199999992</v>
      </c>
      <c r="AC57" s="17">
        <f>_xlfn.XLOOKUP($B57,'[1]Dec-25'!$A:$A,'[1]Dec-25'!$H:$H,0)</f>
        <v>9184379.3699999992</v>
      </c>
      <c r="AD57" s="17">
        <f>_xlfn.XLOOKUP($B57,'[1]Jan-26'!$A:$A,'[1]Jan-26'!$H:$H,0)</f>
        <v>155209.62</v>
      </c>
      <c r="AE57" s="17">
        <f>_xlfn.XLOOKUP($B57,'[1]Feb-26'!$A:$A,'[1]Feb-26'!$H:$H,0)</f>
        <v>5123343.75</v>
      </c>
      <c r="AF57" s="17">
        <f>_xlfn.XLOOKUP($B57,'[1]Mar-26'!$A:$A,'[1]Mar-26'!$H:$H,0)</f>
        <v>5093339</v>
      </c>
      <c r="AG57" s="17">
        <f>_xlfn.XLOOKUP($B57,'[1]Apr-26'!$A:$A,'[1]Apr-26'!$H:$H,0)</f>
        <v>4706833</v>
      </c>
    </row>
    <row r="58" spans="1:33" x14ac:dyDescent="0.2">
      <c r="A58" s="58">
        <v>10315</v>
      </c>
      <c r="B58" s="56" t="str">
        <f t="shared" si="6"/>
        <v>10315</v>
      </c>
      <c r="C58" s="57" t="s">
        <v>302</v>
      </c>
      <c r="D58" s="57" t="s">
        <v>303</v>
      </c>
      <c r="E58" s="44" t="s">
        <v>319</v>
      </c>
      <c r="F58" s="17">
        <f>_xlfn.XLOOKUP($B58,'[1]Jan-24'!$A:$A,'[1]Jan-24'!$H:$H,0)</f>
        <v>0</v>
      </c>
      <c r="G58" s="17">
        <f>_xlfn.XLOOKUP($B58,'[1]Feb-24'!$A:$A,'[1]Feb-24'!$H:$H,0)</f>
        <v>0</v>
      </c>
      <c r="H58" s="17">
        <f>_xlfn.XLOOKUP($B58,'[1]Mar-24'!$A:$A,'[1]Mar-24'!$H:$H,0)</f>
        <v>0</v>
      </c>
      <c r="I58" s="17">
        <f>_xlfn.XLOOKUP($B58,'[1]Apr-24'!$A:$A,'[1]Apr-24'!$H:$H,0)</f>
        <v>0</v>
      </c>
      <c r="J58" s="17">
        <f>_xlfn.XLOOKUP($B58,'[1]May-24'!$A:$A,'[1]May-24'!$H:$H,0)</f>
        <v>0</v>
      </c>
      <c r="K58" s="17">
        <f>_xlfn.XLOOKUP($B58,'[1]Jun-24'!$A:$A,'[1]Jun-24'!$H:$H,0)</f>
        <v>0</v>
      </c>
      <c r="L58" s="17">
        <f>_xlfn.XLOOKUP($B58,'[1]Jul-24'!$A:$A,'[1]Jul-24'!$H:$H,0)</f>
        <v>0</v>
      </c>
      <c r="M58" s="17">
        <f>_xlfn.XLOOKUP($B58,'[1]Aug-24'!$A:$A,'[1]Aug-24'!$H:$H,0)</f>
        <v>0</v>
      </c>
      <c r="N58" s="17">
        <f>_xlfn.XLOOKUP($B58,'[1]Sep-24'!$A:$A,'[1]Sep-24'!$H:$H,0)</f>
        <v>0</v>
      </c>
      <c r="O58" s="17">
        <f>_xlfn.XLOOKUP($B58,'[1]Oct-24'!$A:$A,'[1]Oct-24'!$H:$H,0)</f>
        <v>0</v>
      </c>
      <c r="P58" s="17">
        <f>_xlfn.XLOOKUP($B58,'[1]Nov-24'!$A:$A,'[1]Nov-24'!$H:$H,0)</f>
        <v>0</v>
      </c>
      <c r="Q58" s="17">
        <f>_xlfn.XLOOKUP($B58,'[1]Dec-24'!$A:$A,'[1]Dec-24'!$H:$H,0)</f>
        <v>0</v>
      </c>
      <c r="R58" s="17">
        <f>_xlfn.XLOOKUP($B58,'[1]Jan-25'!$A:$A,'[1]Jan-25'!$H:$H,0)</f>
        <v>0</v>
      </c>
      <c r="S58" s="17">
        <f>_xlfn.XLOOKUP($B58,'[1]Feb-25'!$A:$A,'[1]Feb-25'!$H:$H,0)</f>
        <v>0</v>
      </c>
      <c r="T58" s="17">
        <f>_xlfn.XLOOKUP($B58,'[1]Mar-25'!$A:$A,'[1]Mar-25'!$H:$H,0)</f>
        <v>0</v>
      </c>
      <c r="U58" s="17">
        <f>_xlfn.XLOOKUP($B58,'[1]Apr-25'!$A:$A,'[1]Apr-25'!$H:$H,0)</f>
        <v>0</v>
      </c>
      <c r="V58" s="17">
        <f>_xlfn.XLOOKUP($B58,'[1]May-25'!$A:$A,'[1]May-25'!$H:$H,0)</f>
        <v>0</v>
      </c>
      <c r="W58" s="17">
        <f>_xlfn.XLOOKUP($B58,'[1]Jun-25'!$A:$A,'[1]Jun-25'!$H:$H,0)</f>
        <v>0</v>
      </c>
      <c r="X58" s="17">
        <f>_xlfn.XLOOKUP($B58,'[1]Jul-25'!$A:$A,'[1]Jul-25'!$H:$H,0)</f>
        <v>0</v>
      </c>
      <c r="Y58" s="17">
        <f>_xlfn.XLOOKUP($B58,'[1]Aug-25'!$A:$A,'[1]Aug-25'!$H:$H,0)</f>
        <v>0</v>
      </c>
      <c r="Z58" s="17">
        <f>_xlfn.XLOOKUP($B58,'[1]Sep-25'!$A:$A,'[1]Sep-25'!$H:$H,0)</f>
        <v>0</v>
      </c>
      <c r="AA58" s="17">
        <f>_xlfn.XLOOKUP($B58,'[1]Oct-25'!$A:$A,'[1]Oct-25'!$H:$H,0)</f>
        <v>0</v>
      </c>
      <c r="AB58" s="17">
        <f>_xlfn.XLOOKUP($B58,'[1]Nov-25'!$A:$A,'[1]Nov-25'!$H:$H,0)</f>
        <v>0</v>
      </c>
      <c r="AC58" s="17">
        <f>_xlfn.XLOOKUP($B58,'[1]Dec-25'!$A:$A,'[1]Dec-25'!$H:$H,0)</f>
        <v>0</v>
      </c>
      <c r="AD58" s="17">
        <f>_xlfn.XLOOKUP($B58,'[1]Jan-26'!$A:$A,'[1]Jan-26'!$H:$H,0)</f>
        <v>0</v>
      </c>
      <c r="AE58" s="17">
        <f>_xlfn.XLOOKUP($B58,'[1]Feb-26'!$A:$A,'[1]Feb-26'!$H:$H,0)</f>
        <v>0</v>
      </c>
      <c r="AF58" s="17">
        <f>_xlfn.XLOOKUP($B58,'[1]Mar-26'!$A:$A,'[1]Mar-26'!$H:$H,0)</f>
        <v>0</v>
      </c>
      <c r="AG58" s="17">
        <f>_xlfn.XLOOKUP($B58,'[1]Apr-26'!$A:$A,'[1]Apr-26'!$H:$H,0)</f>
        <v>0</v>
      </c>
    </row>
    <row r="59" spans="1:33" x14ac:dyDescent="0.2">
      <c r="A59" s="58">
        <v>10316</v>
      </c>
      <c r="B59" s="56" t="str">
        <f t="shared" si="6"/>
        <v>10316</v>
      </c>
      <c r="C59" s="57" t="s">
        <v>302</v>
      </c>
      <c r="D59" s="57" t="s">
        <v>303</v>
      </c>
      <c r="E59" s="44" t="s">
        <v>181</v>
      </c>
      <c r="F59" s="17">
        <f>_xlfn.XLOOKUP($B59,'[1]Jan-24'!$A:$A,'[1]Jan-24'!$H:$H,0)</f>
        <v>766135.5</v>
      </c>
      <c r="G59" s="17">
        <f>_xlfn.XLOOKUP($B59,'[1]Feb-24'!$A:$A,'[1]Feb-24'!$H:$H,0)</f>
        <v>5779140</v>
      </c>
      <c r="H59" s="17">
        <f>_xlfn.XLOOKUP($B59,'[1]Mar-24'!$A:$A,'[1]Mar-24'!$H:$H,0)</f>
        <v>1725015</v>
      </c>
      <c r="I59" s="17">
        <f>_xlfn.XLOOKUP($B59,'[1]Apr-24'!$A:$A,'[1]Apr-24'!$H:$H,0)</f>
        <v>3118278.3</v>
      </c>
      <c r="J59" s="17">
        <f>_xlfn.XLOOKUP($B59,'[1]May-24'!$A:$A,'[1]May-24'!$H:$H,0)</f>
        <v>4672839.2699999996</v>
      </c>
      <c r="K59" s="17">
        <f>_xlfn.XLOOKUP($B59,'[1]Jun-24'!$A:$A,'[1]Jun-24'!$H:$H,0)</f>
        <v>6757162.9699999997</v>
      </c>
      <c r="L59" s="17">
        <f>_xlfn.XLOOKUP($B59,'[1]Jul-24'!$A:$A,'[1]Jul-24'!$H:$H,0)</f>
        <v>8283980.0499999998</v>
      </c>
      <c r="M59" s="17">
        <f>_xlfn.XLOOKUP($B59,'[1]Aug-24'!$A:$A,'[1]Aug-24'!$H:$H,0)</f>
        <v>11098547.33</v>
      </c>
      <c r="N59" s="17">
        <f>_xlfn.XLOOKUP($B59,'[1]Sep-24'!$A:$A,'[1]Sep-24'!$H:$H,0)</f>
        <v>13490505.48</v>
      </c>
      <c r="O59" s="17">
        <f>_xlfn.XLOOKUP($B59,'[1]Oct-24'!$A:$A,'[1]Oct-24'!$H:$H,0)</f>
        <v>6286942.2699999996</v>
      </c>
      <c r="P59" s="17">
        <f>_xlfn.XLOOKUP($B59,'[1]Nov-24'!$A:$A,'[1]Nov-24'!$H:$H,0)</f>
        <v>8268797.2199999997</v>
      </c>
      <c r="Q59" s="17">
        <f>_xlfn.XLOOKUP($B59,'[1]Dec-24'!$A:$A,'[1]Dec-24'!$H:$H,0)</f>
        <v>6886059.71</v>
      </c>
      <c r="R59" s="17">
        <f>_xlfn.XLOOKUP($B59,'[1]Jan-25'!$A:$A,'[1]Jan-25'!$H:$H,0)</f>
        <v>4308872.53</v>
      </c>
      <c r="S59" s="17">
        <f>_xlfn.XLOOKUP($B59,'[1]Feb-25'!$A:$A,'[1]Feb-25'!$H:$H,0)</f>
        <v>6960968.1100000003</v>
      </c>
      <c r="T59" s="17">
        <f>_xlfn.XLOOKUP($B59,'[1]Mar-25'!$A:$A,'[1]Mar-25'!$H:$H,0)</f>
        <v>13755124.199999999</v>
      </c>
      <c r="U59" s="17">
        <f>_xlfn.XLOOKUP($B59,'[1]Apr-25'!$A:$A,'[1]Apr-25'!$H:$H,0)</f>
        <v>1803130.68</v>
      </c>
      <c r="V59" s="17">
        <f>_xlfn.XLOOKUP($B59,'[1]May-25'!$A:$A,'[1]May-25'!$H:$H,0)</f>
        <v>4411309.33</v>
      </c>
      <c r="W59" s="17">
        <f>_xlfn.XLOOKUP($B59,'[1]Jun-25'!$A:$A,'[1]Jun-25'!$H:$H,0)</f>
        <v>4411309.33</v>
      </c>
      <c r="X59" s="17">
        <f>_xlfn.XLOOKUP($B59,'[1]Jul-25'!$A:$A,'[1]Jul-25'!$H:$H,0)</f>
        <v>9033422.0399999991</v>
      </c>
      <c r="Y59" s="17">
        <f>_xlfn.XLOOKUP($B59,'[1]Aug-25'!$A:$A,'[1]Aug-25'!$H:$H,0)</f>
        <v>12136757.76</v>
      </c>
      <c r="Z59" s="17">
        <f>_xlfn.XLOOKUP($B59,'[1]Sep-25'!$A:$A,'[1]Sep-25'!$H:$H,0)</f>
        <v>8722551.3599999994</v>
      </c>
      <c r="AA59" s="17">
        <f>_xlfn.XLOOKUP($B59,'[1]Oct-25'!$A:$A,'[1]Oct-25'!$H:$H,0)</f>
        <v>11204354.77</v>
      </c>
      <c r="AB59" s="17">
        <f>_xlfn.XLOOKUP($B59,'[1]Nov-25'!$A:$A,'[1]Nov-25'!$H:$H,0)</f>
        <v>12133425.6</v>
      </c>
      <c r="AC59" s="17">
        <f>_xlfn.XLOOKUP($B59,'[1]Dec-25'!$A:$A,'[1]Dec-25'!$H:$H,0)</f>
        <v>1487916.53</v>
      </c>
      <c r="AD59" s="17">
        <f>_xlfn.XLOOKUP($B59,'[1]Jan-26'!$A:$A,'[1]Jan-26'!$H:$H,0)</f>
        <v>7054104.6100000003</v>
      </c>
      <c r="AE59" s="17">
        <f>_xlfn.XLOOKUP($B59,'[1]Feb-26'!$A:$A,'[1]Feb-26'!$H:$H,0)</f>
        <v>8709749.3399999999</v>
      </c>
      <c r="AF59" s="17">
        <f>_xlfn.XLOOKUP($B59,'[1]Mar-26'!$A:$A,'[1]Mar-26'!$H:$H,0)</f>
        <v>15600007.939999999</v>
      </c>
      <c r="AG59" s="17">
        <f>_xlfn.XLOOKUP($B59,'[1]Apr-26'!$A:$A,'[1]Apr-26'!$H:$H,0)</f>
        <v>21016292.190000001</v>
      </c>
    </row>
    <row r="60" spans="1:33" x14ac:dyDescent="0.2">
      <c r="A60" s="58">
        <v>10317</v>
      </c>
      <c r="B60" s="56" t="str">
        <f t="shared" si="6"/>
        <v>10317</v>
      </c>
      <c r="C60" s="57" t="s">
        <v>302</v>
      </c>
      <c r="D60" s="57" t="s">
        <v>303</v>
      </c>
      <c r="E60" s="44" t="s">
        <v>182</v>
      </c>
      <c r="F60" s="17">
        <f>_xlfn.XLOOKUP($B60,'[1]Jan-24'!$A:$A,'[1]Jan-24'!$H:$H,0)</f>
        <v>0</v>
      </c>
      <c r="G60" s="17">
        <f>_xlfn.XLOOKUP($B60,'[1]Feb-24'!$A:$A,'[1]Feb-24'!$H:$H,0)</f>
        <v>0</v>
      </c>
      <c r="H60" s="17">
        <f>_xlfn.XLOOKUP($B60,'[1]Mar-24'!$A:$A,'[1]Mar-24'!$H:$H,0)</f>
        <v>0</v>
      </c>
      <c r="I60" s="17">
        <f>_xlfn.XLOOKUP($B60,'[1]Apr-24'!$A:$A,'[1]Apr-24'!$H:$H,0)</f>
        <v>0</v>
      </c>
      <c r="J60" s="17">
        <f>_xlfn.XLOOKUP($B60,'[1]May-24'!$A:$A,'[1]May-24'!$H:$H,0)</f>
        <v>101879.4</v>
      </c>
      <c r="K60" s="17">
        <f>_xlfn.XLOOKUP($B60,'[1]Jun-24'!$A:$A,'[1]Jun-24'!$H:$H,0)</f>
        <v>1101879.3999999999</v>
      </c>
      <c r="L60" s="17">
        <f>_xlfn.XLOOKUP($B60,'[1]Jul-24'!$A:$A,'[1]Jul-24'!$H:$H,0)</f>
        <v>101879.4</v>
      </c>
      <c r="M60" s="17">
        <f>_xlfn.XLOOKUP($B60,'[1]Aug-24'!$A:$A,'[1]Aug-24'!$H:$H,0)</f>
        <v>101797.4</v>
      </c>
      <c r="N60" s="17">
        <f>_xlfn.XLOOKUP($B60,'[1]Sep-24'!$A:$A,'[1]Sep-24'!$H:$H,0)</f>
        <v>101797.4</v>
      </c>
      <c r="O60" s="17">
        <f>_xlfn.XLOOKUP($B60,'[1]Oct-24'!$A:$A,'[1]Oct-24'!$H:$H,0)</f>
        <v>101797.4</v>
      </c>
      <c r="P60" s="17">
        <f>_xlfn.XLOOKUP($B60,'[1]Nov-24'!$A:$A,'[1]Nov-24'!$H:$H,0)</f>
        <v>101797.4</v>
      </c>
      <c r="Q60" s="17">
        <f>_xlfn.XLOOKUP($B60,'[1]Dec-24'!$A:$A,'[1]Dec-24'!$H:$H,0)</f>
        <v>101797.4</v>
      </c>
      <c r="R60" s="17">
        <f>_xlfn.XLOOKUP($B60,'[1]Jan-25'!$A:$A,'[1]Jan-25'!$H:$H,0)</f>
        <v>101797.4</v>
      </c>
      <c r="S60" s="17">
        <f>_xlfn.XLOOKUP($B60,'[1]Feb-25'!$A:$A,'[1]Feb-25'!$H:$H,0)</f>
        <v>101797.4</v>
      </c>
      <c r="T60" s="17">
        <f>_xlfn.XLOOKUP($B60,'[1]Mar-25'!$A:$A,'[1]Mar-25'!$H:$H,0)</f>
        <v>101797.4</v>
      </c>
      <c r="U60" s="17">
        <f>_xlfn.XLOOKUP($B60,'[1]Apr-25'!$A:$A,'[1]Apr-25'!$H:$H,0)</f>
        <v>101797.4</v>
      </c>
      <c r="V60" s="17">
        <f>_xlfn.XLOOKUP($B60,'[1]May-25'!$A:$A,'[1]May-25'!$H:$H,0)</f>
        <v>101797.4</v>
      </c>
      <c r="W60" s="17">
        <f>_xlfn.XLOOKUP($B60,'[1]Jun-25'!$A:$A,'[1]Jun-25'!$H:$H,0)</f>
        <v>101797.4</v>
      </c>
      <c r="X60" s="17">
        <f>_xlfn.XLOOKUP($B60,'[1]Jul-25'!$A:$A,'[1]Jul-25'!$H:$H,0)</f>
        <v>101797.4</v>
      </c>
      <c r="Y60" s="17">
        <f>_xlfn.XLOOKUP($B60,'[1]Aug-25'!$A:$A,'[1]Aug-25'!$H:$H,0)</f>
        <v>101797.4</v>
      </c>
      <c r="Z60" s="17">
        <f>_xlfn.XLOOKUP($B60,'[1]Sep-25'!$A:$A,'[1]Sep-25'!$H:$H,0)</f>
        <v>101797.4</v>
      </c>
      <c r="AA60" s="17">
        <f>_xlfn.XLOOKUP($B60,'[1]Oct-25'!$A:$A,'[1]Oct-25'!$H:$H,0)</f>
        <v>101797.4</v>
      </c>
      <c r="AB60" s="17">
        <f>_xlfn.XLOOKUP($B60,'[1]Nov-25'!$A:$A,'[1]Nov-25'!$H:$H,0)</f>
        <v>101797.4</v>
      </c>
      <c r="AC60" s="17">
        <f>_xlfn.XLOOKUP($B60,'[1]Dec-25'!$A:$A,'[1]Dec-25'!$H:$H,0)</f>
        <v>101797.4</v>
      </c>
      <c r="AD60" s="17">
        <f>_xlfn.XLOOKUP($B60,'[1]Jan-26'!$A:$A,'[1]Jan-26'!$H:$H,0)</f>
        <v>101797.4</v>
      </c>
      <c r="AE60" s="17">
        <f>_xlfn.XLOOKUP($B60,'[1]Feb-26'!$A:$A,'[1]Feb-26'!$H:$H,0)</f>
        <v>101797.4</v>
      </c>
      <c r="AF60" s="17">
        <f>_xlfn.XLOOKUP($B60,'[1]Mar-26'!$A:$A,'[1]Mar-26'!$H:$H,0)</f>
        <v>101797.4</v>
      </c>
      <c r="AG60" s="17">
        <f>_xlfn.XLOOKUP($B60,'[1]Apr-26'!$A:$A,'[1]Apr-26'!$H:$H,0)</f>
        <v>101797.4</v>
      </c>
    </row>
    <row r="61" spans="1:33" x14ac:dyDescent="0.2">
      <c r="A61" s="58">
        <v>10320</v>
      </c>
      <c r="B61" s="56" t="str">
        <f t="shared" si="6"/>
        <v>10320</v>
      </c>
      <c r="C61" s="57" t="s">
        <v>302</v>
      </c>
      <c r="D61" s="57" t="s">
        <v>303</v>
      </c>
      <c r="E61" s="44" t="s">
        <v>183</v>
      </c>
      <c r="F61" s="17">
        <f>_xlfn.XLOOKUP($B61,'[1]Jan-24'!$A:$A,'[1]Jan-24'!$H:$H,0)</f>
        <v>53.75</v>
      </c>
      <c r="G61" s="17">
        <f>_xlfn.XLOOKUP($B61,'[1]Feb-24'!$A:$A,'[1]Feb-24'!$H:$H,0)</f>
        <v>53.75</v>
      </c>
      <c r="H61" s="17">
        <f>_xlfn.XLOOKUP($B61,'[1]Mar-24'!$A:$A,'[1]Mar-24'!$H:$H,0)</f>
        <v>53.75</v>
      </c>
      <c r="I61" s="17">
        <f>_xlfn.XLOOKUP($B61,'[1]Apr-24'!$A:$A,'[1]Apr-24'!$H:$H,0)</f>
        <v>53.75</v>
      </c>
      <c r="J61" s="17">
        <f>_xlfn.XLOOKUP($B61,'[1]May-24'!$A:$A,'[1]May-24'!$H:$H,0)</f>
        <v>53.75</v>
      </c>
      <c r="K61" s="17">
        <f>_xlfn.XLOOKUP($B61,'[1]Jun-24'!$A:$A,'[1]Jun-24'!$H:$H,0)</f>
        <v>53.75</v>
      </c>
      <c r="L61" s="17">
        <f>_xlfn.XLOOKUP($B61,'[1]Jul-24'!$A:$A,'[1]Jul-24'!$H:$H,0)</f>
        <v>53.75</v>
      </c>
      <c r="M61" s="17">
        <f>_xlfn.XLOOKUP($B61,'[1]Aug-24'!$A:$A,'[1]Aug-24'!$H:$H,0)</f>
        <v>53.75</v>
      </c>
      <c r="N61" s="17">
        <f>_xlfn.XLOOKUP($B61,'[1]Sep-24'!$A:$A,'[1]Sep-24'!$H:$H,0)</f>
        <v>53.75</v>
      </c>
      <c r="O61" s="17">
        <f>_xlfn.XLOOKUP($B61,'[1]Oct-24'!$A:$A,'[1]Oct-24'!$H:$H,0)</f>
        <v>53.75</v>
      </c>
      <c r="P61" s="17">
        <f>_xlfn.XLOOKUP($B61,'[1]Nov-24'!$A:$A,'[1]Nov-24'!$H:$H,0)</f>
        <v>53.75</v>
      </c>
      <c r="Q61" s="17">
        <f>_xlfn.XLOOKUP($B61,'[1]Dec-24'!$A:$A,'[1]Dec-24'!$H:$H,0)</f>
        <v>53.75</v>
      </c>
      <c r="R61" s="17">
        <f>_xlfn.XLOOKUP($B61,'[1]Jan-25'!$A:$A,'[1]Jan-25'!$H:$H,0)</f>
        <v>53.75</v>
      </c>
      <c r="S61" s="17">
        <f>_xlfn.XLOOKUP($B61,'[1]Feb-25'!$A:$A,'[1]Feb-25'!$H:$H,0)</f>
        <v>53.75</v>
      </c>
      <c r="T61" s="17">
        <f>_xlfn.XLOOKUP($B61,'[1]Mar-25'!$A:$A,'[1]Mar-25'!$H:$H,0)</f>
        <v>53.75</v>
      </c>
      <c r="U61" s="17">
        <f>_xlfn.XLOOKUP($B61,'[1]Apr-25'!$A:$A,'[1]Apr-25'!$H:$H,0)</f>
        <v>53.75</v>
      </c>
      <c r="V61" s="17">
        <f>_xlfn.XLOOKUP($B61,'[1]May-25'!$A:$A,'[1]May-25'!$H:$H,0)</f>
        <v>53.75</v>
      </c>
      <c r="W61" s="17">
        <f>_xlfn.XLOOKUP($B61,'[1]Jun-25'!$A:$A,'[1]Jun-25'!$H:$H,0)</f>
        <v>53.75</v>
      </c>
      <c r="X61" s="17">
        <f>_xlfn.XLOOKUP($B61,'[1]Jul-25'!$A:$A,'[1]Jul-25'!$H:$H,0)</f>
        <v>53.75</v>
      </c>
      <c r="Y61" s="17">
        <f>_xlfn.XLOOKUP($B61,'[1]Aug-25'!$A:$A,'[1]Aug-25'!$H:$H,0)</f>
        <v>53.75</v>
      </c>
      <c r="Z61" s="17">
        <f>_xlfn.XLOOKUP($B61,'[1]Sep-25'!$A:$A,'[1]Sep-25'!$H:$H,0)</f>
        <v>53.75</v>
      </c>
      <c r="AA61" s="17">
        <f>_xlfn.XLOOKUP($B61,'[1]Oct-25'!$A:$A,'[1]Oct-25'!$H:$H,0)</f>
        <v>53.75</v>
      </c>
      <c r="AB61" s="17">
        <f>_xlfn.XLOOKUP($B61,'[1]Nov-25'!$A:$A,'[1]Nov-25'!$H:$H,0)</f>
        <v>53.75</v>
      </c>
      <c r="AC61" s="17">
        <f>_xlfn.XLOOKUP($B61,'[1]Dec-25'!$A:$A,'[1]Dec-25'!$H:$H,0)</f>
        <v>53.75</v>
      </c>
      <c r="AD61" s="17">
        <f>_xlfn.XLOOKUP($B61,'[1]Jan-26'!$A:$A,'[1]Jan-26'!$H:$H,0)</f>
        <v>53.75</v>
      </c>
      <c r="AE61" s="17">
        <f>_xlfn.XLOOKUP($B61,'[1]Feb-26'!$A:$A,'[1]Feb-26'!$H:$H,0)</f>
        <v>53.75</v>
      </c>
      <c r="AF61" s="17">
        <f>_xlfn.XLOOKUP($B61,'[1]Mar-26'!$A:$A,'[1]Mar-26'!$H:$H,0)</f>
        <v>53.75</v>
      </c>
      <c r="AG61" s="17">
        <f>_xlfn.XLOOKUP($B61,'[1]Apr-26'!$A:$A,'[1]Apr-26'!$H:$H,0)</f>
        <v>53.75</v>
      </c>
    </row>
    <row r="62" spans="1:33" x14ac:dyDescent="0.2">
      <c r="A62" s="58">
        <v>10325</v>
      </c>
      <c r="B62" s="56" t="str">
        <f t="shared" si="6"/>
        <v>10325</v>
      </c>
      <c r="C62" s="57" t="s">
        <v>302</v>
      </c>
      <c r="D62" s="57" t="s">
        <v>303</v>
      </c>
      <c r="E62" s="44" t="s">
        <v>320</v>
      </c>
      <c r="F62" s="17">
        <f>_xlfn.XLOOKUP($B62,'[1]Jan-24'!$A:$A,'[1]Jan-24'!$H:$H,0)</f>
        <v>0</v>
      </c>
      <c r="G62" s="17">
        <f>_xlfn.XLOOKUP($B62,'[1]Feb-24'!$A:$A,'[1]Feb-24'!$H:$H,0)</f>
        <v>0</v>
      </c>
      <c r="H62" s="17">
        <f>_xlfn.XLOOKUP($B62,'[1]Mar-24'!$A:$A,'[1]Mar-24'!$H:$H,0)</f>
        <v>0</v>
      </c>
      <c r="I62" s="17">
        <f>_xlfn.XLOOKUP($B62,'[1]Apr-24'!$A:$A,'[1]Apr-24'!$H:$H,0)</f>
        <v>0</v>
      </c>
      <c r="J62" s="17">
        <f>_xlfn.XLOOKUP($B62,'[1]May-24'!$A:$A,'[1]May-24'!$H:$H,0)</f>
        <v>0</v>
      </c>
      <c r="K62" s="17">
        <f>_xlfn.XLOOKUP($B62,'[1]Jun-24'!$A:$A,'[1]Jun-24'!$H:$H,0)</f>
        <v>0</v>
      </c>
      <c r="L62" s="17">
        <f>_xlfn.XLOOKUP($B62,'[1]Jul-24'!$A:$A,'[1]Jul-24'!$H:$H,0)</f>
        <v>0</v>
      </c>
      <c r="M62" s="17">
        <f>_xlfn.XLOOKUP($B62,'[1]Aug-24'!$A:$A,'[1]Aug-24'!$H:$H,0)</f>
        <v>0</v>
      </c>
      <c r="N62" s="17">
        <f>_xlfn.XLOOKUP($B62,'[1]Sep-24'!$A:$A,'[1]Sep-24'!$H:$H,0)</f>
        <v>0</v>
      </c>
      <c r="O62" s="17">
        <f>_xlfn.XLOOKUP($B62,'[1]Oct-24'!$A:$A,'[1]Oct-24'!$H:$H,0)</f>
        <v>0</v>
      </c>
      <c r="P62" s="17">
        <f>_xlfn.XLOOKUP($B62,'[1]Nov-24'!$A:$A,'[1]Nov-24'!$H:$H,0)</f>
        <v>0</v>
      </c>
      <c r="Q62" s="17">
        <f>_xlfn.XLOOKUP($B62,'[1]Dec-24'!$A:$A,'[1]Dec-24'!$H:$H,0)</f>
        <v>0</v>
      </c>
      <c r="R62" s="17">
        <f>_xlfn.XLOOKUP($B62,'[1]Jan-25'!$A:$A,'[1]Jan-25'!$H:$H,0)</f>
        <v>0</v>
      </c>
      <c r="S62" s="17">
        <f>_xlfn.XLOOKUP($B62,'[1]Feb-25'!$A:$A,'[1]Feb-25'!$H:$H,0)</f>
        <v>0</v>
      </c>
      <c r="T62" s="17">
        <f>_xlfn.XLOOKUP($B62,'[1]Mar-25'!$A:$A,'[1]Mar-25'!$H:$H,0)</f>
        <v>0</v>
      </c>
      <c r="U62" s="17">
        <f>_xlfn.XLOOKUP($B62,'[1]Apr-25'!$A:$A,'[1]Apr-25'!$H:$H,0)</f>
        <v>0</v>
      </c>
      <c r="V62" s="17">
        <f>_xlfn.XLOOKUP($B62,'[1]May-25'!$A:$A,'[1]May-25'!$H:$H,0)</f>
        <v>0</v>
      </c>
      <c r="W62" s="17">
        <f>_xlfn.XLOOKUP($B62,'[1]Jun-25'!$A:$A,'[1]Jun-25'!$H:$H,0)</f>
        <v>0</v>
      </c>
      <c r="X62" s="17">
        <f>_xlfn.XLOOKUP($B62,'[1]Jul-25'!$A:$A,'[1]Jul-25'!$H:$H,0)</f>
        <v>0</v>
      </c>
      <c r="Y62" s="17">
        <f>_xlfn.XLOOKUP($B62,'[1]Aug-25'!$A:$A,'[1]Aug-25'!$H:$H,0)</f>
        <v>0</v>
      </c>
      <c r="Z62" s="17">
        <f>_xlfn.XLOOKUP($B62,'[1]Sep-25'!$A:$A,'[1]Sep-25'!$H:$H,0)</f>
        <v>0</v>
      </c>
      <c r="AA62" s="17">
        <f>_xlfn.XLOOKUP($B62,'[1]Oct-25'!$A:$A,'[1]Oct-25'!$H:$H,0)</f>
        <v>0</v>
      </c>
      <c r="AB62" s="17">
        <f>_xlfn.XLOOKUP($B62,'[1]Nov-25'!$A:$A,'[1]Nov-25'!$H:$H,0)</f>
        <v>0</v>
      </c>
      <c r="AC62" s="17">
        <f>_xlfn.XLOOKUP($B62,'[1]Dec-25'!$A:$A,'[1]Dec-25'!$H:$H,0)</f>
        <v>0</v>
      </c>
      <c r="AD62" s="17">
        <f>_xlfn.XLOOKUP($B62,'[1]Jan-26'!$A:$A,'[1]Jan-26'!$H:$H,0)</f>
        <v>0</v>
      </c>
      <c r="AE62" s="17">
        <f>_xlfn.XLOOKUP($B62,'[1]Feb-26'!$A:$A,'[1]Feb-26'!$H:$H,0)</f>
        <v>0</v>
      </c>
      <c r="AF62" s="17">
        <f>_xlfn.XLOOKUP($B62,'[1]Mar-26'!$A:$A,'[1]Mar-26'!$H:$H,0)</f>
        <v>0</v>
      </c>
      <c r="AG62" s="17">
        <f>_xlfn.XLOOKUP($B62,'[1]Apr-26'!$A:$A,'[1]Apr-26'!$H:$H,0)</f>
        <v>0</v>
      </c>
    </row>
    <row r="63" spans="1:33" x14ac:dyDescent="0.2">
      <c r="A63" s="58">
        <v>10330</v>
      </c>
      <c r="B63" s="56" t="str">
        <f t="shared" si="6"/>
        <v>10330</v>
      </c>
      <c r="C63" s="57" t="s">
        <v>302</v>
      </c>
      <c r="D63" s="57" t="s">
        <v>303</v>
      </c>
      <c r="E63" s="44" t="s">
        <v>321</v>
      </c>
      <c r="F63" s="17">
        <f>_xlfn.XLOOKUP($B63,'[1]Jan-24'!$A:$A,'[1]Jan-24'!$H:$H,0)</f>
        <v>0</v>
      </c>
      <c r="G63" s="17">
        <f>_xlfn.XLOOKUP($B63,'[1]Feb-24'!$A:$A,'[1]Feb-24'!$H:$H,0)</f>
        <v>0</v>
      </c>
      <c r="H63" s="17">
        <f>_xlfn.XLOOKUP($B63,'[1]Mar-24'!$A:$A,'[1]Mar-24'!$H:$H,0)</f>
        <v>0</v>
      </c>
      <c r="I63" s="17">
        <f>_xlfn.XLOOKUP($B63,'[1]Apr-24'!$A:$A,'[1]Apr-24'!$H:$H,0)</f>
        <v>0</v>
      </c>
      <c r="J63" s="17">
        <f>_xlfn.XLOOKUP($B63,'[1]May-24'!$A:$A,'[1]May-24'!$H:$H,0)</f>
        <v>0</v>
      </c>
      <c r="K63" s="17">
        <f>_xlfn.XLOOKUP($B63,'[1]Jun-24'!$A:$A,'[1]Jun-24'!$H:$H,0)</f>
        <v>0</v>
      </c>
      <c r="L63" s="17">
        <f>_xlfn.XLOOKUP($B63,'[1]Jul-24'!$A:$A,'[1]Jul-24'!$H:$H,0)</f>
        <v>0</v>
      </c>
      <c r="M63" s="17">
        <f>_xlfn.XLOOKUP($B63,'[1]Aug-24'!$A:$A,'[1]Aug-24'!$H:$H,0)</f>
        <v>0</v>
      </c>
      <c r="N63" s="17">
        <f>_xlfn.XLOOKUP($B63,'[1]Sep-24'!$A:$A,'[1]Sep-24'!$H:$H,0)</f>
        <v>0</v>
      </c>
      <c r="O63" s="17">
        <f>_xlfn.XLOOKUP($B63,'[1]Oct-24'!$A:$A,'[1]Oct-24'!$H:$H,0)</f>
        <v>0</v>
      </c>
      <c r="P63" s="17">
        <f>_xlfn.XLOOKUP($B63,'[1]Nov-24'!$A:$A,'[1]Nov-24'!$H:$H,0)</f>
        <v>0</v>
      </c>
      <c r="Q63" s="17">
        <f>_xlfn.XLOOKUP($B63,'[1]Dec-24'!$A:$A,'[1]Dec-24'!$H:$H,0)</f>
        <v>0</v>
      </c>
      <c r="R63" s="17">
        <f>_xlfn.XLOOKUP($B63,'[1]Jan-25'!$A:$A,'[1]Jan-25'!$H:$H,0)</f>
        <v>0</v>
      </c>
      <c r="S63" s="17">
        <f>_xlfn.XLOOKUP($B63,'[1]Feb-25'!$A:$A,'[1]Feb-25'!$H:$H,0)</f>
        <v>0</v>
      </c>
      <c r="T63" s="17">
        <f>_xlfn.XLOOKUP($B63,'[1]Mar-25'!$A:$A,'[1]Mar-25'!$H:$H,0)</f>
        <v>0</v>
      </c>
      <c r="U63" s="17">
        <f>_xlfn.XLOOKUP($B63,'[1]Apr-25'!$A:$A,'[1]Apr-25'!$H:$H,0)</f>
        <v>0</v>
      </c>
      <c r="V63" s="17">
        <f>_xlfn.XLOOKUP($B63,'[1]May-25'!$A:$A,'[1]May-25'!$H:$H,0)</f>
        <v>0</v>
      </c>
      <c r="W63" s="17">
        <f>_xlfn.XLOOKUP($B63,'[1]Jun-25'!$A:$A,'[1]Jun-25'!$H:$H,0)</f>
        <v>0</v>
      </c>
      <c r="X63" s="17">
        <f>_xlfn.XLOOKUP($B63,'[1]Jul-25'!$A:$A,'[1]Jul-25'!$H:$H,0)</f>
        <v>0</v>
      </c>
      <c r="Y63" s="17">
        <f>_xlfn.XLOOKUP($B63,'[1]Aug-25'!$A:$A,'[1]Aug-25'!$H:$H,0)</f>
        <v>0</v>
      </c>
      <c r="Z63" s="17">
        <f>_xlfn.XLOOKUP($B63,'[1]Sep-25'!$A:$A,'[1]Sep-25'!$H:$H,0)</f>
        <v>0</v>
      </c>
      <c r="AA63" s="17">
        <f>_xlfn.XLOOKUP($B63,'[1]Oct-25'!$A:$A,'[1]Oct-25'!$H:$H,0)</f>
        <v>0</v>
      </c>
      <c r="AB63" s="17">
        <f>_xlfn.XLOOKUP($B63,'[1]Nov-25'!$A:$A,'[1]Nov-25'!$H:$H,0)</f>
        <v>0</v>
      </c>
      <c r="AC63" s="17">
        <f>_xlfn.XLOOKUP($B63,'[1]Dec-25'!$A:$A,'[1]Dec-25'!$H:$H,0)</f>
        <v>0</v>
      </c>
      <c r="AD63" s="17">
        <f>_xlfn.XLOOKUP($B63,'[1]Jan-26'!$A:$A,'[1]Jan-26'!$H:$H,0)</f>
        <v>0</v>
      </c>
      <c r="AE63" s="17">
        <f>_xlfn.XLOOKUP($B63,'[1]Feb-26'!$A:$A,'[1]Feb-26'!$H:$H,0)</f>
        <v>0</v>
      </c>
      <c r="AF63" s="17">
        <f>_xlfn.XLOOKUP($B63,'[1]Mar-26'!$A:$A,'[1]Mar-26'!$H:$H,0)</f>
        <v>0</v>
      </c>
      <c r="AG63" s="17">
        <f>_xlfn.XLOOKUP($B63,'[1]Apr-26'!$A:$A,'[1]Apr-26'!$H:$H,0)</f>
        <v>0</v>
      </c>
    </row>
    <row r="64" spans="1:33" x14ac:dyDescent="0.2">
      <c r="A64" s="58">
        <v>10335</v>
      </c>
      <c r="B64" s="56" t="str">
        <f t="shared" si="6"/>
        <v>10335</v>
      </c>
      <c r="C64" s="57" t="s">
        <v>302</v>
      </c>
      <c r="D64" s="57" t="s">
        <v>303</v>
      </c>
      <c r="E64" s="44" t="s">
        <v>322</v>
      </c>
      <c r="F64" s="17">
        <f>_xlfn.XLOOKUP($B64,'[1]Jan-24'!$A:$A,'[1]Jan-24'!$H:$H,0)</f>
        <v>0</v>
      </c>
      <c r="G64" s="17">
        <f>_xlfn.XLOOKUP($B64,'[1]Feb-24'!$A:$A,'[1]Feb-24'!$H:$H,0)</f>
        <v>0</v>
      </c>
      <c r="H64" s="17">
        <f>_xlfn.XLOOKUP($B64,'[1]Mar-24'!$A:$A,'[1]Mar-24'!$H:$H,0)</f>
        <v>0</v>
      </c>
      <c r="I64" s="17">
        <f>_xlfn.XLOOKUP($B64,'[1]Apr-24'!$A:$A,'[1]Apr-24'!$H:$H,0)</f>
        <v>0</v>
      </c>
      <c r="J64" s="17">
        <f>_xlfn.XLOOKUP($B64,'[1]May-24'!$A:$A,'[1]May-24'!$H:$H,0)</f>
        <v>0</v>
      </c>
      <c r="K64" s="17">
        <f>_xlfn.XLOOKUP($B64,'[1]Jun-24'!$A:$A,'[1]Jun-24'!$H:$H,0)</f>
        <v>0</v>
      </c>
      <c r="L64" s="17">
        <f>_xlfn.XLOOKUP($B64,'[1]Jul-24'!$A:$A,'[1]Jul-24'!$H:$H,0)</f>
        <v>0</v>
      </c>
      <c r="M64" s="17">
        <f>_xlfn.XLOOKUP($B64,'[1]Aug-24'!$A:$A,'[1]Aug-24'!$H:$H,0)</f>
        <v>0</v>
      </c>
      <c r="N64" s="17">
        <f>_xlfn.XLOOKUP($B64,'[1]Sep-24'!$A:$A,'[1]Sep-24'!$H:$H,0)</f>
        <v>0</v>
      </c>
      <c r="O64" s="17">
        <f>_xlfn.XLOOKUP($B64,'[1]Oct-24'!$A:$A,'[1]Oct-24'!$H:$H,0)</f>
        <v>0</v>
      </c>
      <c r="P64" s="17">
        <f>_xlfn.XLOOKUP($B64,'[1]Nov-24'!$A:$A,'[1]Nov-24'!$H:$H,0)</f>
        <v>0</v>
      </c>
      <c r="Q64" s="17">
        <f>_xlfn.XLOOKUP($B64,'[1]Dec-24'!$A:$A,'[1]Dec-24'!$H:$H,0)</f>
        <v>0</v>
      </c>
      <c r="R64" s="17">
        <f>_xlfn.XLOOKUP($B64,'[1]Jan-25'!$A:$A,'[1]Jan-25'!$H:$H,0)</f>
        <v>0</v>
      </c>
      <c r="S64" s="17">
        <f>_xlfn.XLOOKUP($B64,'[1]Feb-25'!$A:$A,'[1]Feb-25'!$H:$H,0)</f>
        <v>0</v>
      </c>
      <c r="T64" s="17">
        <f>_xlfn.XLOOKUP($B64,'[1]Mar-25'!$A:$A,'[1]Mar-25'!$H:$H,0)</f>
        <v>0</v>
      </c>
      <c r="U64" s="17">
        <f>_xlfn.XLOOKUP($B64,'[1]Apr-25'!$A:$A,'[1]Apr-25'!$H:$H,0)</f>
        <v>0</v>
      </c>
      <c r="V64" s="17">
        <f>_xlfn.XLOOKUP($B64,'[1]May-25'!$A:$A,'[1]May-25'!$H:$H,0)</f>
        <v>0</v>
      </c>
      <c r="W64" s="17">
        <f>_xlfn.XLOOKUP($B64,'[1]Jun-25'!$A:$A,'[1]Jun-25'!$H:$H,0)</f>
        <v>0</v>
      </c>
      <c r="X64" s="17">
        <f>_xlfn.XLOOKUP($B64,'[1]Jul-25'!$A:$A,'[1]Jul-25'!$H:$H,0)</f>
        <v>0</v>
      </c>
      <c r="Y64" s="17">
        <f>_xlfn.XLOOKUP($B64,'[1]Aug-25'!$A:$A,'[1]Aug-25'!$H:$H,0)</f>
        <v>0</v>
      </c>
      <c r="Z64" s="17">
        <f>_xlfn.XLOOKUP($B64,'[1]Sep-25'!$A:$A,'[1]Sep-25'!$H:$H,0)</f>
        <v>0</v>
      </c>
      <c r="AA64" s="17">
        <f>_xlfn.XLOOKUP($B64,'[1]Oct-25'!$A:$A,'[1]Oct-25'!$H:$H,0)</f>
        <v>0</v>
      </c>
      <c r="AB64" s="17">
        <f>_xlfn.XLOOKUP($B64,'[1]Nov-25'!$A:$A,'[1]Nov-25'!$H:$H,0)</f>
        <v>0</v>
      </c>
      <c r="AC64" s="17">
        <f>_xlfn.XLOOKUP($B64,'[1]Dec-25'!$A:$A,'[1]Dec-25'!$H:$H,0)</f>
        <v>0</v>
      </c>
      <c r="AD64" s="17">
        <f>_xlfn.XLOOKUP($B64,'[1]Jan-26'!$A:$A,'[1]Jan-26'!$H:$H,0)</f>
        <v>0</v>
      </c>
      <c r="AE64" s="17">
        <f>_xlfn.XLOOKUP($B64,'[1]Feb-26'!$A:$A,'[1]Feb-26'!$H:$H,0)</f>
        <v>0</v>
      </c>
      <c r="AF64" s="17">
        <f>_xlfn.XLOOKUP($B64,'[1]Mar-26'!$A:$A,'[1]Mar-26'!$H:$H,0)</f>
        <v>0</v>
      </c>
      <c r="AG64" s="17">
        <f>_xlfn.XLOOKUP($B64,'[1]Apr-26'!$A:$A,'[1]Apr-26'!$H:$H,0)</f>
        <v>0</v>
      </c>
    </row>
    <row r="65" spans="1:33" x14ac:dyDescent="0.2">
      <c r="A65" s="58">
        <v>10340</v>
      </c>
      <c r="B65" s="56" t="str">
        <f t="shared" si="6"/>
        <v>10340</v>
      </c>
      <c r="C65" s="57" t="s">
        <v>302</v>
      </c>
      <c r="D65" s="57" t="s">
        <v>303</v>
      </c>
      <c r="E65" s="44" t="s">
        <v>323</v>
      </c>
      <c r="F65" s="17">
        <f>_xlfn.XLOOKUP($B65,'[1]Jan-24'!$A:$A,'[1]Jan-24'!$H:$H,0)</f>
        <v>0</v>
      </c>
      <c r="G65" s="17">
        <f>_xlfn.XLOOKUP($B65,'[1]Feb-24'!$A:$A,'[1]Feb-24'!$H:$H,0)</f>
        <v>0</v>
      </c>
      <c r="H65" s="17">
        <f>_xlfn.XLOOKUP($B65,'[1]Mar-24'!$A:$A,'[1]Mar-24'!$H:$H,0)</f>
        <v>0</v>
      </c>
      <c r="I65" s="17">
        <f>_xlfn.XLOOKUP($B65,'[1]Apr-24'!$A:$A,'[1]Apr-24'!$H:$H,0)</f>
        <v>0</v>
      </c>
      <c r="J65" s="17">
        <f>_xlfn.XLOOKUP($B65,'[1]May-24'!$A:$A,'[1]May-24'!$H:$H,0)</f>
        <v>0</v>
      </c>
      <c r="K65" s="17">
        <f>_xlfn.XLOOKUP($B65,'[1]Jun-24'!$A:$A,'[1]Jun-24'!$H:$H,0)</f>
        <v>0</v>
      </c>
      <c r="L65" s="17">
        <f>_xlfn.XLOOKUP($B65,'[1]Jul-24'!$A:$A,'[1]Jul-24'!$H:$H,0)</f>
        <v>0</v>
      </c>
      <c r="M65" s="17">
        <f>_xlfn.XLOOKUP($B65,'[1]Aug-24'!$A:$A,'[1]Aug-24'!$H:$H,0)</f>
        <v>0</v>
      </c>
      <c r="N65" s="17">
        <f>_xlfn.XLOOKUP($B65,'[1]Sep-24'!$A:$A,'[1]Sep-24'!$H:$H,0)</f>
        <v>0</v>
      </c>
      <c r="O65" s="17">
        <f>_xlfn.XLOOKUP($B65,'[1]Oct-24'!$A:$A,'[1]Oct-24'!$H:$H,0)</f>
        <v>0</v>
      </c>
      <c r="P65" s="17">
        <f>_xlfn.XLOOKUP($B65,'[1]Nov-24'!$A:$A,'[1]Nov-24'!$H:$H,0)</f>
        <v>0</v>
      </c>
      <c r="Q65" s="17">
        <f>_xlfn.XLOOKUP($B65,'[1]Dec-24'!$A:$A,'[1]Dec-24'!$H:$H,0)</f>
        <v>0</v>
      </c>
      <c r="R65" s="17">
        <f>_xlfn.XLOOKUP($B65,'[1]Jan-25'!$A:$A,'[1]Jan-25'!$H:$H,0)</f>
        <v>0</v>
      </c>
      <c r="S65" s="17">
        <f>_xlfn.XLOOKUP($B65,'[1]Feb-25'!$A:$A,'[1]Feb-25'!$H:$H,0)</f>
        <v>0</v>
      </c>
      <c r="T65" s="17">
        <f>_xlfn.XLOOKUP($B65,'[1]Mar-25'!$A:$A,'[1]Mar-25'!$H:$H,0)</f>
        <v>0</v>
      </c>
      <c r="U65" s="17">
        <f>_xlfn.XLOOKUP($B65,'[1]Apr-25'!$A:$A,'[1]Apr-25'!$H:$H,0)</f>
        <v>0</v>
      </c>
      <c r="V65" s="17">
        <f>_xlfn.XLOOKUP($B65,'[1]May-25'!$A:$A,'[1]May-25'!$H:$H,0)</f>
        <v>0</v>
      </c>
      <c r="W65" s="17">
        <f>_xlfn.XLOOKUP($B65,'[1]Jun-25'!$A:$A,'[1]Jun-25'!$H:$H,0)</f>
        <v>0</v>
      </c>
      <c r="X65" s="17">
        <f>_xlfn.XLOOKUP($B65,'[1]Jul-25'!$A:$A,'[1]Jul-25'!$H:$H,0)</f>
        <v>0</v>
      </c>
      <c r="Y65" s="17">
        <f>_xlfn.XLOOKUP($B65,'[1]Aug-25'!$A:$A,'[1]Aug-25'!$H:$H,0)</f>
        <v>0</v>
      </c>
      <c r="Z65" s="17">
        <f>_xlfn.XLOOKUP($B65,'[1]Sep-25'!$A:$A,'[1]Sep-25'!$H:$H,0)</f>
        <v>0</v>
      </c>
      <c r="AA65" s="17">
        <f>_xlfn.XLOOKUP($B65,'[1]Oct-25'!$A:$A,'[1]Oct-25'!$H:$H,0)</f>
        <v>0</v>
      </c>
      <c r="AB65" s="17">
        <f>_xlfn.XLOOKUP($B65,'[1]Nov-25'!$A:$A,'[1]Nov-25'!$H:$H,0)</f>
        <v>0</v>
      </c>
      <c r="AC65" s="17">
        <f>_xlfn.XLOOKUP($B65,'[1]Dec-25'!$A:$A,'[1]Dec-25'!$H:$H,0)</f>
        <v>0</v>
      </c>
      <c r="AD65" s="17">
        <f>_xlfn.XLOOKUP($B65,'[1]Jan-26'!$A:$A,'[1]Jan-26'!$H:$H,0)</f>
        <v>0</v>
      </c>
      <c r="AE65" s="17">
        <f>_xlfn.XLOOKUP($B65,'[1]Feb-26'!$A:$A,'[1]Feb-26'!$H:$H,0)</f>
        <v>0</v>
      </c>
      <c r="AF65" s="17">
        <f>_xlfn.XLOOKUP($B65,'[1]Mar-26'!$A:$A,'[1]Mar-26'!$H:$H,0)</f>
        <v>0</v>
      </c>
      <c r="AG65" s="17">
        <f>_xlfn.XLOOKUP($B65,'[1]Apr-26'!$A:$A,'[1]Apr-26'!$H:$H,0)</f>
        <v>0</v>
      </c>
    </row>
    <row r="66" spans="1:33" x14ac:dyDescent="0.2">
      <c r="A66" s="58">
        <v>10341</v>
      </c>
      <c r="B66" s="56" t="str">
        <f t="shared" si="6"/>
        <v>10341</v>
      </c>
      <c r="C66" s="57" t="s">
        <v>302</v>
      </c>
      <c r="D66" s="57" t="s">
        <v>303</v>
      </c>
      <c r="E66" s="44" t="s">
        <v>184</v>
      </c>
      <c r="F66" s="17">
        <f>_xlfn.XLOOKUP($B66,'[1]Jan-24'!$A:$A,'[1]Jan-24'!$H:$H,0)</f>
        <v>2495130.4900000002</v>
      </c>
      <c r="G66" s="17">
        <f>_xlfn.XLOOKUP($B66,'[1]Feb-24'!$A:$A,'[1]Feb-24'!$H:$H,0)</f>
        <v>1401649.31</v>
      </c>
      <c r="H66" s="17">
        <f>_xlfn.XLOOKUP($B66,'[1]Mar-24'!$A:$A,'[1]Mar-24'!$H:$H,0)</f>
        <v>731965.97</v>
      </c>
      <c r="I66" s="17">
        <f>_xlfn.XLOOKUP($B66,'[1]Apr-24'!$A:$A,'[1]Apr-24'!$H:$H,0)</f>
        <v>404308.47</v>
      </c>
      <c r="J66" s="17">
        <f>_xlfn.XLOOKUP($B66,'[1]May-24'!$A:$A,'[1]May-24'!$H:$H,0)</f>
        <v>709449.32</v>
      </c>
      <c r="K66" s="17">
        <f>_xlfn.XLOOKUP($B66,'[1]Jun-24'!$A:$A,'[1]Jun-24'!$H:$H,0)</f>
        <v>244321.74</v>
      </c>
      <c r="L66" s="17">
        <f>_xlfn.XLOOKUP($B66,'[1]Jul-24'!$A:$A,'[1]Jul-24'!$H:$H,0)</f>
        <v>9161.61</v>
      </c>
      <c r="M66" s="17">
        <f>_xlfn.XLOOKUP($B66,'[1]Aug-24'!$A:$A,'[1]Aug-24'!$H:$H,0)</f>
        <v>968802.77</v>
      </c>
      <c r="N66" s="17">
        <f>_xlfn.XLOOKUP($B66,'[1]Sep-24'!$A:$A,'[1]Sep-24'!$H:$H,0)</f>
        <v>315827.77</v>
      </c>
      <c r="O66" s="17">
        <f>_xlfn.XLOOKUP($B66,'[1]Oct-24'!$A:$A,'[1]Oct-24'!$H:$H,0)</f>
        <v>339222.02</v>
      </c>
      <c r="P66" s="17">
        <f>_xlfn.XLOOKUP($B66,'[1]Nov-24'!$A:$A,'[1]Nov-24'!$H:$H,0)</f>
        <v>137206.01999999999</v>
      </c>
      <c r="Q66" s="17">
        <f>_xlfn.XLOOKUP($B66,'[1]Dec-24'!$A:$A,'[1]Dec-24'!$H:$H,0)</f>
        <v>1477354.01</v>
      </c>
      <c r="R66" s="17">
        <f>_xlfn.XLOOKUP($B66,'[1]Jan-25'!$A:$A,'[1]Jan-25'!$H:$H,0)</f>
        <v>309064.26</v>
      </c>
      <c r="S66" s="17">
        <f>_xlfn.XLOOKUP($B66,'[1]Feb-25'!$A:$A,'[1]Feb-25'!$H:$H,0)</f>
        <v>58756.26</v>
      </c>
      <c r="T66" s="17">
        <f>_xlfn.XLOOKUP($B66,'[1]Mar-25'!$A:$A,'[1]Mar-25'!$H:$H,0)</f>
        <v>887210.26</v>
      </c>
      <c r="U66" s="17">
        <f>_xlfn.XLOOKUP($B66,'[1]Apr-25'!$A:$A,'[1]Apr-25'!$H:$H,0)</f>
        <v>784610.18</v>
      </c>
      <c r="V66" s="17">
        <f>_xlfn.XLOOKUP($B66,'[1]May-25'!$A:$A,'[1]May-25'!$H:$H,0)</f>
        <v>444645.18</v>
      </c>
      <c r="W66" s="17">
        <f>_xlfn.XLOOKUP($B66,'[1]Jun-25'!$A:$A,'[1]Jun-25'!$H:$H,0)</f>
        <v>673437.1</v>
      </c>
      <c r="X66" s="17">
        <f>_xlfn.XLOOKUP($B66,'[1]Jul-25'!$A:$A,'[1]Jul-25'!$H:$H,0)</f>
        <v>943063.6</v>
      </c>
      <c r="Y66" s="17">
        <f>_xlfn.XLOOKUP($B66,'[1]Aug-25'!$A:$A,'[1]Aug-25'!$H:$H,0)</f>
        <v>1030501.6</v>
      </c>
      <c r="Z66" s="17">
        <f>_xlfn.XLOOKUP($B66,'[1]Sep-25'!$A:$A,'[1]Sep-25'!$H:$H,0)</f>
        <v>796679.6</v>
      </c>
      <c r="AA66" s="17">
        <f>_xlfn.XLOOKUP($B66,'[1]Oct-25'!$A:$A,'[1]Oct-25'!$H:$H,0)</f>
        <v>1011823.85</v>
      </c>
      <c r="AB66" s="17">
        <f>_xlfn.XLOOKUP($B66,'[1]Nov-25'!$A:$A,'[1]Nov-25'!$H:$H,0)</f>
        <v>701981.85</v>
      </c>
      <c r="AC66" s="17">
        <f>_xlfn.XLOOKUP($B66,'[1]Dec-25'!$A:$A,'[1]Dec-25'!$H:$H,0)</f>
        <v>1373385.85</v>
      </c>
      <c r="AD66" s="17">
        <f>_xlfn.XLOOKUP($B66,'[1]Jan-26'!$A:$A,'[1]Jan-26'!$H:$H,0)</f>
        <v>93161.85</v>
      </c>
      <c r="AE66" s="17">
        <f>_xlfn.XLOOKUP($B66,'[1]Feb-26'!$A:$A,'[1]Feb-26'!$H:$H,0)</f>
        <v>16537.849999999999</v>
      </c>
      <c r="AF66" s="17">
        <f>_xlfn.XLOOKUP($B66,'[1]Mar-26'!$A:$A,'[1]Mar-26'!$H:$H,0)</f>
        <v>628531.85</v>
      </c>
      <c r="AG66" s="17">
        <f>_xlfn.XLOOKUP($B66,'[1]Apr-26'!$A:$A,'[1]Apr-26'!$H:$H,0)</f>
        <v>867762.1</v>
      </c>
    </row>
    <row r="67" spans="1:33" x14ac:dyDescent="0.2">
      <c r="A67" s="58">
        <v>10342</v>
      </c>
      <c r="B67" s="56" t="str">
        <f t="shared" si="6"/>
        <v>10342</v>
      </c>
      <c r="C67" s="57" t="s">
        <v>302</v>
      </c>
      <c r="D67" s="57" t="s">
        <v>303</v>
      </c>
      <c r="E67" s="44" t="s">
        <v>185</v>
      </c>
      <c r="F67" s="17">
        <f>_xlfn.XLOOKUP($B67,'[1]Jan-24'!$A:$A,'[1]Jan-24'!$H:$H,0)</f>
        <v>39614157.359999999</v>
      </c>
      <c r="G67" s="17">
        <f>_xlfn.XLOOKUP($B67,'[1]Feb-24'!$A:$A,'[1]Feb-24'!$H:$H,0)</f>
        <v>719959.43</v>
      </c>
      <c r="H67" s="17">
        <f>_xlfn.XLOOKUP($B67,'[1]Mar-24'!$A:$A,'[1]Mar-24'!$H:$H,0)</f>
        <v>406406770.63</v>
      </c>
      <c r="I67" s="17">
        <f>_xlfn.XLOOKUP($B67,'[1]Apr-24'!$A:$A,'[1]Apr-24'!$H:$H,0)</f>
        <v>300691378.87</v>
      </c>
      <c r="J67" s="17">
        <f>_xlfn.XLOOKUP($B67,'[1]May-24'!$A:$A,'[1]May-24'!$H:$H,0)</f>
        <v>192529511.86000001</v>
      </c>
      <c r="K67" s="17">
        <f>_xlfn.XLOOKUP($B67,'[1]Jun-24'!$A:$A,'[1]Jun-24'!$H:$H,0)</f>
        <v>1672091.85</v>
      </c>
      <c r="L67" s="17">
        <f>_xlfn.XLOOKUP($B67,'[1]Jul-24'!$A:$A,'[1]Jul-24'!$H:$H,0)</f>
        <v>346793</v>
      </c>
      <c r="M67" s="17">
        <f>_xlfn.XLOOKUP($B67,'[1]Aug-24'!$A:$A,'[1]Aug-24'!$H:$H,0)</f>
        <v>374833522.77999997</v>
      </c>
      <c r="N67" s="17">
        <f>_xlfn.XLOOKUP($B67,'[1]Sep-24'!$A:$A,'[1]Sep-24'!$H:$H,0)</f>
        <v>191267318.11000001</v>
      </c>
      <c r="O67" s="17">
        <f>_xlfn.XLOOKUP($B67,'[1]Oct-24'!$A:$A,'[1]Oct-24'!$H:$H,0)</f>
        <v>97618935.579999998</v>
      </c>
      <c r="P67" s="17">
        <f>_xlfn.XLOOKUP($B67,'[1]Nov-24'!$A:$A,'[1]Nov-24'!$H:$H,0)</f>
        <v>185860896.83000001</v>
      </c>
      <c r="Q67" s="17">
        <f>_xlfn.XLOOKUP($B67,'[1]Dec-24'!$A:$A,'[1]Dec-24'!$H:$H,0)</f>
        <v>19912975.34</v>
      </c>
      <c r="R67" s="17">
        <f>_xlfn.XLOOKUP($B67,'[1]Jan-25'!$A:$A,'[1]Jan-25'!$H:$H,0)</f>
        <v>3797977.09</v>
      </c>
      <c r="S67" s="17">
        <f>_xlfn.XLOOKUP($B67,'[1]Feb-25'!$A:$A,'[1]Feb-25'!$H:$H,0)</f>
        <v>4353702.09</v>
      </c>
      <c r="T67" s="17">
        <f>_xlfn.XLOOKUP($B67,'[1]Mar-25'!$A:$A,'[1]Mar-25'!$H:$H,0)</f>
        <v>785209922.22000003</v>
      </c>
      <c r="U67" s="17">
        <f>_xlfn.XLOOKUP($B67,'[1]Apr-25'!$A:$A,'[1]Apr-25'!$H:$H,0)</f>
        <v>61501528.840000004</v>
      </c>
      <c r="V67" s="17">
        <f>_xlfn.XLOOKUP($B67,'[1]May-25'!$A:$A,'[1]May-25'!$H:$H,0)</f>
        <v>100506.8</v>
      </c>
      <c r="W67" s="17">
        <f>_xlfn.XLOOKUP($B67,'[1]Jun-25'!$A:$A,'[1]Jun-25'!$H:$H,0)</f>
        <v>503283552.75999999</v>
      </c>
      <c r="X67" s="17">
        <f>_xlfn.XLOOKUP($B67,'[1]Jul-25'!$A:$A,'[1]Jul-25'!$H:$H,0)</f>
        <v>272672784.22000003</v>
      </c>
      <c r="Y67" s="17">
        <f>_xlfn.XLOOKUP($B67,'[1]Aug-25'!$A:$A,'[1]Aug-25'!$H:$H,0)</f>
        <v>136765219.41</v>
      </c>
      <c r="Z67" s="17">
        <f>_xlfn.XLOOKUP($B67,'[1]Sep-25'!$A:$A,'[1]Sep-25'!$H:$H,0)</f>
        <v>28347207.940000001</v>
      </c>
      <c r="AA67" s="17">
        <f>_xlfn.XLOOKUP($B67,'[1]Oct-25'!$A:$A,'[1]Oct-25'!$H:$H,0)</f>
        <v>17263899.359999999</v>
      </c>
      <c r="AB67" s="17">
        <f>_xlfn.XLOOKUP($B67,'[1]Nov-25'!$A:$A,'[1]Nov-25'!$H:$H,0)</f>
        <v>39332181.689999998</v>
      </c>
      <c r="AC67" s="17">
        <f>_xlfn.XLOOKUP($B67,'[1]Dec-25'!$A:$A,'[1]Dec-25'!$H:$H,0)</f>
        <v>14797375.01</v>
      </c>
      <c r="AD67" s="17">
        <f>_xlfn.XLOOKUP($B67,'[1]Jan-26'!$A:$A,'[1]Jan-26'!$H:$H,0)</f>
        <v>3578388.69</v>
      </c>
      <c r="AE67" s="17">
        <f>_xlfn.XLOOKUP($B67,'[1]Feb-26'!$A:$A,'[1]Feb-26'!$H:$H,0)</f>
        <v>168342812.86000001</v>
      </c>
      <c r="AF67" s="17">
        <f>_xlfn.XLOOKUP($B67,'[1]Mar-26'!$A:$A,'[1]Mar-26'!$H:$H,0)</f>
        <v>58014712.079999998</v>
      </c>
      <c r="AG67" s="17">
        <f>_xlfn.XLOOKUP($B67,'[1]Apr-26'!$A:$A,'[1]Apr-26'!$H:$H,0)</f>
        <v>14264527.42</v>
      </c>
    </row>
    <row r="68" spans="1:33" x14ac:dyDescent="0.2">
      <c r="A68" s="58">
        <v>10343</v>
      </c>
      <c r="B68" s="56" t="str">
        <f t="shared" si="6"/>
        <v>10343</v>
      </c>
      <c r="C68" s="57" t="s">
        <v>302</v>
      </c>
      <c r="D68" s="57" t="s">
        <v>303</v>
      </c>
      <c r="E68" s="44" t="s">
        <v>186</v>
      </c>
      <c r="F68" s="17">
        <f>_xlfn.XLOOKUP($B68,'[1]Jan-24'!$A:$A,'[1]Jan-24'!$H:$H,0)</f>
        <v>0</v>
      </c>
      <c r="G68" s="17">
        <f>_xlfn.XLOOKUP($B68,'[1]Feb-24'!$A:$A,'[1]Feb-24'!$H:$H,0)</f>
        <v>0</v>
      </c>
      <c r="H68" s="17">
        <f>_xlfn.XLOOKUP($B68,'[1]Mar-24'!$A:$A,'[1]Mar-24'!$H:$H,0)</f>
        <v>0</v>
      </c>
      <c r="I68" s="17">
        <f>_xlfn.XLOOKUP($B68,'[1]Apr-24'!$A:$A,'[1]Apr-24'!$H:$H,0)</f>
        <v>1339161.1599999999</v>
      </c>
      <c r="J68" s="17">
        <f>_xlfn.XLOOKUP($B68,'[1]May-24'!$A:$A,'[1]May-24'!$H:$H,0)</f>
        <v>1369557.55</v>
      </c>
      <c r="K68" s="17">
        <f>_xlfn.XLOOKUP($B68,'[1]Jun-24'!$A:$A,'[1]Jun-24'!$H:$H,0)</f>
        <v>19401.39</v>
      </c>
      <c r="L68" s="17">
        <f>_xlfn.XLOOKUP($B68,'[1]Jul-24'!$A:$A,'[1]Jul-24'!$H:$H,0)</f>
        <v>20583.990000000002</v>
      </c>
      <c r="M68" s="17">
        <f>_xlfn.XLOOKUP($B68,'[1]Aug-24'!$A:$A,'[1]Aug-24'!$H:$H,0)</f>
        <v>20099.5</v>
      </c>
      <c r="N68" s="17">
        <f>_xlfn.XLOOKUP($B68,'[1]Sep-24'!$A:$A,'[1]Sep-24'!$H:$H,0)</f>
        <v>21083.27</v>
      </c>
      <c r="O68" s="17">
        <f>_xlfn.XLOOKUP($B68,'[1]Oct-24'!$A:$A,'[1]Oct-24'!$H:$H,0)</f>
        <v>20771.82</v>
      </c>
      <c r="P68" s="17">
        <f>_xlfn.XLOOKUP($B68,'[1]Nov-24'!$A:$A,'[1]Nov-24'!$H:$H,0)</f>
        <v>21288.43</v>
      </c>
      <c r="Q68" s="17">
        <f>_xlfn.XLOOKUP($B68,'[1]Dec-24'!$A:$A,'[1]Dec-24'!$H:$H,0)</f>
        <v>19567.02</v>
      </c>
      <c r="R68" s="17">
        <f>_xlfn.XLOOKUP($B68,'[1]Jan-25'!$A:$A,'[1]Jan-25'!$H:$H,0)</f>
        <v>19450.89</v>
      </c>
      <c r="S68" s="17">
        <f>_xlfn.XLOOKUP($B68,'[1]Feb-25'!$A:$A,'[1]Feb-25'!$H:$H,0)</f>
        <v>18951.09</v>
      </c>
      <c r="T68" s="17">
        <f>_xlfn.XLOOKUP($B68,'[1]Mar-25'!$A:$A,'[1]Mar-25'!$H:$H,0)</f>
        <v>19409.86</v>
      </c>
      <c r="U68" s="17">
        <f>_xlfn.XLOOKUP($B68,'[1]Apr-25'!$A:$A,'[1]Apr-25'!$H:$H,0)</f>
        <v>20248.02</v>
      </c>
      <c r="V68" s="17">
        <f>_xlfn.XLOOKUP($B68,'[1]May-25'!$A:$A,'[1]May-25'!$H:$H,0)</f>
        <v>20069.669999999998</v>
      </c>
      <c r="W68" s="17">
        <f>_xlfn.XLOOKUP($B68,'[1]Jun-25'!$A:$A,'[1]Jun-25'!$H:$H,0)</f>
        <v>19484.43</v>
      </c>
      <c r="X68" s="17">
        <f>_xlfn.XLOOKUP($B68,'[1]Jul-25'!$A:$A,'[1]Jul-25'!$H:$H,0)</f>
        <v>19345.650000000001</v>
      </c>
      <c r="Y68" s="17">
        <f>_xlfn.XLOOKUP($B68,'[1]Aug-25'!$A:$A,'[1]Aug-25'!$H:$H,0)</f>
        <v>7710547.0800000001</v>
      </c>
      <c r="Z68" s="17">
        <f>_xlfn.XLOOKUP($B68,'[1]Sep-25'!$A:$A,'[1]Sep-25'!$H:$H,0)</f>
        <v>7437409.96</v>
      </c>
      <c r="AA68" s="17">
        <f>_xlfn.XLOOKUP($B68,'[1]Oct-25'!$A:$A,'[1]Oct-25'!$H:$H,0)</f>
        <v>22485242.609999999</v>
      </c>
      <c r="AB68" s="17">
        <f>_xlfn.XLOOKUP($B68,'[1]Nov-25'!$A:$A,'[1]Nov-25'!$H:$H,0)</f>
        <v>22595219.57</v>
      </c>
      <c r="AC68" s="17">
        <f>_xlfn.XLOOKUP($B68,'[1]Dec-25'!$A:$A,'[1]Dec-25'!$H:$H,0)</f>
        <v>783193.31</v>
      </c>
      <c r="AD68" s="17">
        <f>_xlfn.XLOOKUP($B68,'[1]Jan-26'!$A:$A,'[1]Jan-26'!$H:$H,0)</f>
        <v>15598221.199999999</v>
      </c>
      <c r="AE68" s="17">
        <f>_xlfn.XLOOKUP($B68,'[1]Feb-26'!$A:$A,'[1]Feb-26'!$H:$H,0)</f>
        <v>76070594.280000001</v>
      </c>
      <c r="AF68" s="17">
        <f>_xlfn.XLOOKUP($B68,'[1]Mar-26'!$A:$A,'[1]Mar-26'!$H:$H,0)</f>
        <v>65781972.340000004</v>
      </c>
      <c r="AG68" s="17">
        <f>_xlfn.XLOOKUP($B68,'[1]Apr-26'!$A:$A,'[1]Apr-26'!$H:$H,0)</f>
        <v>159677404.83000001</v>
      </c>
    </row>
    <row r="69" spans="1:33" x14ac:dyDescent="0.2">
      <c r="A69" s="58">
        <v>10344</v>
      </c>
      <c r="B69" s="56" t="str">
        <f t="shared" si="6"/>
        <v>10344</v>
      </c>
      <c r="C69" s="57" t="s">
        <v>302</v>
      </c>
      <c r="D69" s="57" t="s">
        <v>303</v>
      </c>
      <c r="E69" s="44" t="s">
        <v>187</v>
      </c>
      <c r="F69" s="17">
        <f>_xlfn.XLOOKUP($B69,'[1]Jan-24'!$A:$A,'[1]Jan-24'!$H:$H,0)</f>
        <v>0</v>
      </c>
      <c r="G69" s="17">
        <f>_xlfn.XLOOKUP($B69,'[1]Feb-24'!$A:$A,'[1]Feb-24'!$H:$H,0)</f>
        <v>0</v>
      </c>
      <c r="H69" s="17">
        <f>_xlfn.XLOOKUP($B69,'[1]Mar-24'!$A:$A,'[1]Mar-24'!$H:$H,0)</f>
        <v>0</v>
      </c>
      <c r="I69" s="17">
        <f>_xlfn.XLOOKUP($B69,'[1]Apr-24'!$A:$A,'[1]Apr-24'!$H:$H,0)</f>
        <v>0</v>
      </c>
      <c r="J69" s="17">
        <f>_xlfn.XLOOKUP($B69,'[1]May-24'!$A:$A,'[1]May-24'!$H:$H,0)</f>
        <v>0</v>
      </c>
      <c r="K69" s="17">
        <f>_xlfn.XLOOKUP($B69,'[1]Jun-24'!$A:$A,'[1]Jun-24'!$H:$H,0)</f>
        <v>0</v>
      </c>
      <c r="L69" s="17">
        <f>_xlfn.XLOOKUP($B69,'[1]Jul-24'!$A:$A,'[1]Jul-24'!$H:$H,0)</f>
        <v>0</v>
      </c>
      <c r="M69" s="17">
        <f>_xlfn.XLOOKUP($B69,'[1]Aug-24'!$A:$A,'[1]Aug-24'!$H:$H,0)</f>
        <v>0</v>
      </c>
      <c r="N69" s="17">
        <f>_xlfn.XLOOKUP($B69,'[1]Sep-24'!$A:$A,'[1]Sep-24'!$H:$H,0)</f>
        <v>0</v>
      </c>
      <c r="O69" s="17">
        <f>_xlfn.XLOOKUP($B69,'[1]Oct-24'!$A:$A,'[1]Oct-24'!$H:$H,0)</f>
        <v>0</v>
      </c>
      <c r="P69" s="17">
        <f>_xlfn.XLOOKUP($B69,'[1]Nov-24'!$A:$A,'[1]Nov-24'!$H:$H,0)</f>
        <v>0</v>
      </c>
      <c r="Q69" s="17">
        <f>_xlfn.XLOOKUP($B69,'[1]Dec-24'!$A:$A,'[1]Dec-24'!$H:$H,0)</f>
        <v>0</v>
      </c>
      <c r="R69" s="17">
        <f>_xlfn.XLOOKUP($B69,'[1]Jan-25'!$A:$A,'[1]Jan-25'!$H:$H,0)</f>
        <v>0</v>
      </c>
      <c r="S69" s="17">
        <f>_xlfn.XLOOKUP($B69,'[1]Feb-25'!$A:$A,'[1]Feb-25'!$H:$H,0)</f>
        <v>0</v>
      </c>
      <c r="T69" s="17">
        <f>_xlfn.XLOOKUP($B69,'[1]Mar-25'!$A:$A,'[1]Mar-25'!$H:$H,0)</f>
        <v>908215.97</v>
      </c>
      <c r="U69" s="17">
        <f>_xlfn.XLOOKUP($B69,'[1]Apr-25'!$A:$A,'[1]Apr-25'!$H:$H,0)</f>
        <v>106367187.27</v>
      </c>
      <c r="V69" s="17">
        <f>_xlfn.XLOOKUP($B69,'[1]May-25'!$A:$A,'[1]May-25'!$H:$H,0)</f>
        <v>3575953.11</v>
      </c>
      <c r="W69" s="17">
        <f>_xlfn.XLOOKUP($B69,'[1]Jun-25'!$A:$A,'[1]Jun-25'!$H:$H,0)</f>
        <v>2726339.13</v>
      </c>
      <c r="X69" s="17">
        <f>_xlfn.XLOOKUP($B69,'[1]Jul-25'!$A:$A,'[1]Jul-25'!$H:$H,0)</f>
        <v>1829941.92</v>
      </c>
      <c r="Y69" s="17">
        <f>_xlfn.XLOOKUP($B69,'[1]Aug-25'!$A:$A,'[1]Aug-25'!$H:$H,0)</f>
        <v>1843356.86</v>
      </c>
      <c r="Z69" s="17">
        <f>_xlfn.XLOOKUP($B69,'[1]Sep-25'!$A:$A,'[1]Sep-25'!$H:$H,0)</f>
        <v>31482083.579999998</v>
      </c>
      <c r="AA69" s="17">
        <f>_xlfn.XLOOKUP($B69,'[1]Oct-25'!$A:$A,'[1]Oct-25'!$H:$H,0)</f>
        <v>1748498.56</v>
      </c>
      <c r="AB69" s="17">
        <f>_xlfn.XLOOKUP($B69,'[1]Nov-25'!$A:$A,'[1]Nov-25'!$H:$H,0)</f>
        <v>5186481.67</v>
      </c>
      <c r="AC69" s="17">
        <f>_xlfn.XLOOKUP($B69,'[1]Dec-25'!$A:$A,'[1]Dec-25'!$H:$H,0)</f>
        <v>8016039.8700000001</v>
      </c>
      <c r="AD69" s="17">
        <f>_xlfn.XLOOKUP($B69,'[1]Jan-26'!$A:$A,'[1]Jan-26'!$H:$H,0)</f>
        <v>262736.65999999997</v>
      </c>
      <c r="AE69" s="17">
        <f>_xlfn.XLOOKUP($B69,'[1]Feb-26'!$A:$A,'[1]Feb-26'!$H:$H,0)</f>
        <v>421685.06</v>
      </c>
      <c r="AF69" s="17">
        <f>_xlfn.XLOOKUP($B69,'[1]Mar-26'!$A:$A,'[1]Mar-26'!$H:$H,0)</f>
        <v>881581.86</v>
      </c>
      <c r="AG69" s="17">
        <f>_xlfn.XLOOKUP($B69,'[1]Apr-26'!$A:$A,'[1]Apr-26'!$H:$H,0)</f>
        <v>1262581.8600000001</v>
      </c>
    </row>
    <row r="70" spans="1:33" x14ac:dyDescent="0.2">
      <c r="A70" s="58">
        <v>10345</v>
      </c>
      <c r="B70" s="56" t="str">
        <f t="shared" si="6"/>
        <v>10345</v>
      </c>
      <c r="C70" s="57" t="s">
        <v>302</v>
      </c>
      <c r="D70" s="57" t="s">
        <v>303</v>
      </c>
      <c r="E70" s="44" t="s">
        <v>324</v>
      </c>
      <c r="F70" s="17">
        <f>_xlfn.XLOOKUP($B70,'[1]Jan-24'!$A:$A,'[1]Jan-24'!$H:$H,0)</f>
        <v>0</v>
      </c>
      <c r="G70" s="17">
        <f>_xlfn.XLOOKUP($B70,'[1]Feb-24'!$A:$A,'[1]Feb-24'!$H:$H,0)</f>
        <v>0</v>
      </c>
      <c r="H70" s="17">
        <f>_xlfn.XLOOKUP($B70,'[1]Mar-24'!$A:$A,'[1]Mar-24'!$H:$H,0)</f>
        <v>0</v>
      </c>
      <c r="I70" s="17">
        <f>_xlfn.XLOOKUP($B70,'[1]Apr-24'!$A:$A,'[1]Apr-24'!$H:$H,0)</f>
        <v>0</v>
      </c>
      <c r="J70" s="17">
        <f>_xlfn.XLOOKUP($B70,'[1]May-24'!$A:$A,'[1]May-24'!$H:$H,0)</f>
        <v>0</v>
      </c>
      <c r="K70" s="17">
        <f>_xlfn.XLOOKUP($B70,'[1]Jun-24'!$A:$A,'[1]Jun-24'!$H:$H,0)</f>
        <v>0</v>
      </c>
      <c r="L70" s="17">
        <f>_xlfn.XLOOKUP($B70,'[1]Jul-24'!$A:$A,'[1]Jul-24'!$H:$H,0)</f>
        <v>0</v>
      </c>
      <c r="M70" s="17">
        <f>_xlfn.XLOOKUP($B70,'[1]Aug-24'!$A:$A,'[1]Aug-24'!$H:$H,0)</f>
        <v>0</v>
      </c>
      <c r="N70" s="17">
        <f>_xlfn.XLOOKUP($B70,'[1]Sep-24'!$A:$A,'[1]Sep-24'!$H:$H,0)</f>
        <v>0</v>
      </c>
      <c r="O70" s="17">
        <f>_xlfn.XLOOKUP($B70,'[1]Oct-24'!$A:$A,'[1]Oct-24'!$H:$H,0)</f>
        <v>0</v>
      </c>
      <c r="P70" s="17">
        <f>_xlfn.XLOOKUP($B70,'[1]Nov-24'!$A:$A,'[1]Nov-24'!$H:$H,0)</f>
        <v>0</v>
      </c>
      <c r="Q70" s="17">
        <f>_xlfn.XLOOKUP($B70,'[1]Dec-24'!$A:$A,'[1]Dec-24'!$H:$H,0)</f>
        <v>0</v>
      </c>
      <c r="R70" s="17">
        <f>_xlfn.XLOOKUP($B70,'[1]Jan-25'!$A:$A,'[1]Jan-25'!$H:$H,0)</f>
        <v>0</v>
      </c>
      <c r="S70" s="17">
        <f>_xlfn.XLOOKUP($B70,'[1]Feb-25'!$A:$A,'[1]Feb-25'!$H:$H,0)</f>
        <v>0</v>
      </c>
      <c r="T70" s="17">
        <f>_xlfn.XLOOKUP($B70,'[1]Mar-25'!$A:$A,'[1]Mar-25'!$H:$H,0)</f>
        <v>0</v>
      </c>
      <c r="U70" s="17">
        <f>_xlfn.XLOOKUP($B70,'[1]Apr-25'!$A:$A,'[1]Apr-25'!$H:$H,0)</f>
        <v>0</v>
      </c>
      <c r="V70" s="17">
        <f>_xlfn.XLOOKUP($B70,'[1]May-25'!$A:$A,'[1]May-25'!$H:$H,0)</f>
        <v>0</v>
      </c>
      <c r="W70" s="17">
        <f>_xlfn.XLOOKUP($B70,'[1]Jun-25'!$A:$A,'[1]Jun-25'!$H:$H,0)</f>
        <v>0</v>
      </c>
      <c r="X70" s="17">
        <f>_xlfn.XLOOKUP($B70,'[1]Jul-25'!$A:$A,'[1]Jul-25'!$H:$H,0)</f>
        <v>0</v>
      </c>
      <c r="Y70" s="17">
        <f>_xlfn.XLOOKUP($B70,'[1]Aug-25'!$A:$A,'[1]Aug-25'!$H:$H,0)</f>
        <v>0</v>
      </c>
      <c r="Z70" s="17">
        <f>_xlfn.XLOOKUP($B70,'[1]Sep-25'!$A:$A,'[1]Sep-25'!$H:$H,0)</f>
        <v>0</v>
      </c>
      <c r="AA70" s="17">
        <f>_xlfn.XLOOKUP($B70,'[1]Oct-25'!$A:$A,'[1]Oct-25'!$H:$H,0)</f>
        <v>0</v>
      </c>
      <c r="AB70" s="17">
        <f>_xlfn.XLOOKUP($B70,'[1]Nov-25'!$A:$A,'[1]Nov-25'!$H:$H,0)</f>
        <v>0</v>
      </c>
      <c r="AC70" s="17">
        <f>_xlfn.XLOOKUP($B70,'[1]Dec-25'!$A:$A,'[1]Dec-25'!$H:$H,0)</f>
        <v>0</v>
      </c>
      <c r="AD70" s="17">
        <f>_xlfn.XLOOKUP($B70,'[1]Jan-26'!$A:$A,'[1]Jan-26'!$H:$H,0)</f>
        <v>0</v>
      </c>
      <c r="AE70" s="17">
        <f>_xlfn.XLOOKUP($B70,'[1]Feb-26'!$A:$A,'[1]Feb-26'!$H:$H,0)</f>
        <v>0</v>
      </c>
      <c r="AF70" s="17">
        <f>_xlfn.XLOOKUP($B70,'[1]Mar-26'!$A:$A,'[1]Mar-26'!$H:$H,0)</f>
        <v>0</v>
      </c>
      <c r="AG70" s="17">
        <f>_xlfn.XLOOKUP($B70,'[1]Apr-26'!$A:$A,'[1]Apr-26'!$H:$H,0)</f>
        <v>0</v>
      </c>
    </row>
    <row r="71" spans="1:33" x14ac:dyDescent="0.2">
      <c r="A71" s="58">
        <v>10347</v>
      </c>
      <c r="B71" s="56" t="str">
        <f t="shared" si="6"/>
        <v>10347</v>
      </c>
      <c r="C71" s="57" t="s">
        <v>302</v>
      </c>
      <c r="D71" s="57" t="s">
        <v>303</v>
      </c>
      <c r="E71" s="44" t="s">
        <v>325</v>
      </c>
      <c r="F71" s="17">
        <f>_xlfn.XLOOKUP($B71,'[1]Jan-24'!$A:$A,'[1]Jan-24'!$H:$H,0)</f>
        <v>0</v>
      </c>
      <c r="G71" s="17">
        <f>_xlfn.XLOOKUP($B71,'[1]Feb-24'!$A:$A,'[1]Feb-24'!$H:$H,0)</f>
        <v>0</v>
      </c>
      <c r="H71" s="17">
        <f>_xlfn.XLOOKUP($B71,'[1]Mar-24'!$A:$A,'[1]Mar-24'!$H:$H,0)</f>
        <v>0</v>
      </c>
      <c r="I71" s="17">
        <f>_xlfn.XLOOKUP($B71,'[1]Apr-24'!$A:$A,'[1]Apr-24'!$H:$H,0)</f>
        <v>0</v>
      </c>
      <c r="J71" s="17">
        <f>_xlfn.XLOOKUP($B71,'[1]May-24'!$A:$A,'[1]May-24'!$H:$H,0)</f>
        <v>0</v>
      </c>
      <c r="K71" s="17">
        <f>_xlfn.XLOOKUP($B71,'[1]Jun-24'!$A:$A,'[1]Jun-24'!$H:$H,0)</f>
        <v>0</v>
      </c>
      <c r="L71" s="17">
        <f>_xlfn.XLOOKUP($B71,'[1]Jul-24'!$A:$A,'[1]Jul-24'!$H:$H,0)</f>
        <v>0</v>
      </c>
      <c r="M71" s="17">
        <f>_xlfn.XLOOKUP($B71,'[1]Aug-24'!$A:$A,'[1]Aug-24'!$H:$H,0)</f>
        <v>0</v>
      </c>
      <c r="N71" s="17">
        <f>_xlfn.XLOOKUP($B71,'[1]Sep-24'!$A:$A,'[1]Sep-24'!$H:$H,0)</f>
        <v>0</v>
      </c>
      <c r="O71" s="17">
        <f>_xlfn.XLOOKUP($B71,'[1]Oct-24'!$A:$A,'[1]Oct-24'!$H:$H,0)</f>
        <v>0</v>
      </c>
      <c r="P71" s="17">
        <f>_xlfn.XLOOKUP($B71,'[1]Nov-24'!$A:$A,'[1]Nov-24'!$H:$H,0)</f>
        <v>0</v>
      </c>
      <c r="Q71" s="17">
        <f>_xlfn.XLOOKUP($B71,'[1]Dec-24'!$A:$A,'[1]Dec-24'!$H:$H,0)</f>
        <v>0</v>
      </c>
      <c r="R71" s="17">
        <f>_xlfn.XLOOKUP($B71,'[1]Jan-25'!$A:$A,'[1]Jan-25'!$H:$H,0)</f>
        <v>0</v>
      </c>
      <c r="S71" s="17">
        <f>_xlfn.XLOOKUP($B71,'[1]Feb-25'!$A:$A,'[1]Feb-25'!$H:$H,0)</f>
        <v>0</v>
      </c>
      <c r="T71" s="17">
        <f>_xlfn.XLOOKUP($B71,'[1]Mar-25'!$A:$A,'[1]Mar-25'!$H:$H,0)</f>
        <v>0</v>
      </c>
      <c r="U71" s="17">
        <f>_xlfn.XLOOKUP($B71,'[1]Apr-25'!$A:$A,'[1]Apr-25'!$H:$H,0)</f>
        <v>0</v>
      </c>
      <c r="V71" s="17">
        <f>_xlfn.XLOOKUP($B71,'[1]May-25'!$A:$A,'[1]May-25'!$H:$H,0)</f>
        <v>0</v>
      </c>
      <c r="W71" s="17">
        <f>_xlfn.XLOOKUP($B71,'[1]Jun-25'!$A:$A,'[1]Jun-25'!$H:$H,0)</f>
        <v>0</v>
      </c>
      <c r="X71" s="17">
        <f>_xlfn.XLOOKUP($B71,'[1]Jul-25'!$A:$A,'[1]Jul-25'!$H:$H,0)</f>
        <v>0</v>
      </c>
      <c r="Y71" s="17">
        <f>_xlfn.XLOOKUP($B71,'[1]Aug-25'!$A:$A,'[1]Aug-25'!$H:$H,0)</f>
        <v>0</v>
      </c>
      <c r="Z71" s="17">
        <f>_xlfn.XLOOKUP($B71,'[1]Sep-25'!$A:$A,'[1]Sep-25'!$H:$H,0)</f>
        <v>0</v>
      </c>
      <c r="AA71" s="17">
        <f>_xlfn.XLOOKUP($B71,'[1]Oct-25'!$A:$A,'[1]Oct-25'!$H:$H,0)</f>
        <v>0</v>
      </c>
      <c r="AB71" s="17">
        <f>_xlfn.XLOOKUP($B71,'[1]Nov-25'!$A:$A,'[1]Nov-25'!$H:$H,0)</f>
        <v>0</v>
      </c>
      <c r="AC71" s="17">
        <f>_xlfn.XLOOKUP($B71,'[1]Dec-25'!$A:$A,'[1]Dec-25'!$H:$H,0)</f>
        <v>0</v>
      </c>
      <c r="AD71" s="17">
        <f>_xlfn.XLOOKUP($B71,'[1]Jan-26'!$A:$A,'[1]Jan-26'!$H:$H,0)</f>
        <v>0</v>
      </c>
      <c r="AE71" s="17">
        <f>_xlfn.XLOOKUP($B71,'[1]Feb-26'!$A:$A,'[1]Feb-26'!$H:$H,0)</f>
        <v>0</v>
      </c>
      <c r="AF71" s="17">
        <f>_xlfn.XLOOKUP($B71,'[1]Mar-26'!$A:$A,'[1]Mar-26'!$H:$H,0)</f>
        <v>0</v>
      </c>
      <c r="AG71" s="17">
        <f>_xlfn.XLOOKUP($B71,'[1]Apr-26'!$A:$A,'[1]Apr-26'!$H:$H,0)</f>
        <v>0</v>
      </c>
    </row>
    <row r="72" spans="1:33" x14ac:dyDescent="0.2">
      <c r="A72" s="58">
        <v>10348</v>
      </c>
      <c r="B72" s="56" t="str">
        <f t="shared" si="6"/>
        <v>10348</v>
      </c>
      <c r="C72" s="57" t="s">
        <v>302</v>
      </c>
      <c r="D72" s="57" t="s">
        <v>303</v>
      </c>
      <c r="E72" s="44" t="s">
        <v>188</v>
      </c>
      <c r="F72" s="17">
        <f>_xlfn.XLOOKUP($B72,'[1]Jan-24'!$A:$A,'[1]Jan-24'!$H:$H,0)</f>
        <v>0</v>
      </c>
      <c r="G72" s="17">
        <f>_xlfn.XLOOKUP($B72,'[1]Feb-24'!$A:$A,'[1]Feb-24'!$H:$H,0)</f>
        <v>0</v>
      </c>
      <c r="H72" s="17">
        <f>_xlfn.XLOOKUP($B72,'[1]Mar-24'!$A:$A,'[1]Mar-24'!$H:$H,0)</f>
        <v>0</v>
      </c>
      <c r="I72" s="17">
        <f>_xlfn.XLOOKUP($B72,'[1]Apr-24'!$A:$A,'[1]Apr-24'!$H:$H,0)</f>
        <v>0</v>
      </c>
      <c r="J72" s="17">
        <f>_xlfn.XLOOKUP($B72,'[1]May-24'!$A:$A,'[1]May-24'!$H:$H,0)</f>
        <v>0</v>
      </c>
      <c r="K72" s="17">
        <f>_xlfn.XLOOKUP($B72,'[1]Jun-24'!$A:$A,'[1]Jun-24'!$H:$H,0)</f>
        <v>0</v>
      </c>
      <c r="L72" s="17">
        <f>_xlfn.XLOOKUP($B72,'[1]Jul-24'!$A:$A,'[1]Jul-24'!$H:$H,0)</f>
        <v>0</v>
      </c>
      <c r="M72" s="17">
        <f>_xlfn.XLOOKUP($B72,'[1]Aug-24'!$A:$A,'[1]Aug-24'!$H:$H,0)</f>
        <v>0</v>
      </c>
      <c r="N72" s="17">
        <f>_xlfn.XLOOKUP($B72,'[1]Sep-24'!$A:$A,'[1]Sep-24'!$H:$H,0)</f>
        <v>0</v>
      </c>
      <c r="O72" s="17">
        <f>_xlfn.XLOOKUP($B72,'[1]Oct-24'!$A:$A,'[1]Oct-24'!$H:$H,0)</f>
        <v>0</v>
      </c>
      <c r="P72" s="17">
        <f>_xlfn.XLOOKUP($B72,'[1]Nov-24'!$A:$A,'[1]Nov-24'!$H:$H,0)</f>
        <v>0</v>
      </c>
      <c r="Q72" s="17">
        <f>_xlfn.XLOOKUP($B72,'[1]Dec-24'!$A:$A,'[1]Dec-24'!$H:$H,0)</f>
        <v>0</v>
      </c>
      <c r="R72" s="17">
        <f>_xlfn.XLOOKUP($B72,'[1]Jan-25'!$A:$A,'[1]Jan-25'!$H:$H,0)</f>
        <v>0</v>
      </c>
      <c r="S72" s="17">
        <f>_xlfn.XLOOKUP($B72,'[1]Feb-25'!$A:$A,'[1]Feb-25'!$H:$H,0)</f>
        <v>0</v>
      </c>
      <c r="T72" s="17">
        <f>_xlfn.XLOOKUP($B72,'[1]Mar-25'!$A:$A,'[1]Mar-25'!$H:$H,0)</f>
        <v>5351833.95</v>
      </c>
      <c r="U72" s="17">
        <f>_xlfn.XLOOKUP($B72,'[1]Apr-25'!$A:$A,'[1]Apr-25'!$H:$H,0)</f>
        <v>25688802.949999999</v>
      </c>
      <c r="V72" s="17">
        <f>_xlfn.XLOOKUP($B72,'[1]May-25'!$A:$A,'[1]May-25'!$H:$H,0)</f>
        <v>25688802.949999999</v>
      </c>
      <c r="W72" s="17">
        <f>_xlfn.XLOOKUP($B72,'[1]Jun-25'!$A:$A,'[1]Jun-25'!$H:$H,0)</f>
        <v>25688802.949999999</v>
      </c>
      <c r="X72" s="17">
        <f>_xlfn.XLOOKUP($B72,'[1]Jul-25'!$A:$A,'[1]Jul-25'!$H:$H,0)</f>
        <v>25688802.949999999</v>
      </c>
      <c r="Y72" s="17">
        <f>_xlfn.XLOOKUP($B72,'[1]Aug-25'!$A:$A,'[1]Aug-25'!$H:$H,0)</f>
        <v>25688802.949999999</v>
      </c>
      <c r="Z72" s="17">
        <f>_xlfn.XLOOKUP($B72,'[1]Sep-25'!$A:$A,'[1]Sep-25'!$H:$H,0)</f>
        <v>0.01</v>
      </c>
      <c r="AA72" s="17">
        <f>_xlfn.XLOOKUP($B72,'[1]Oct-25'!$A:$A,'[1]Oct-25'!$H:$H,0)</f>
        <v>0.01</v>
      </c>
      <c r="AB72" s="17">
        <f>_xlfn.XLOOKUP($B72,'[1]Nov-25'!$A:$A,'[1]Nov-25'!$H:$H,0)</f>
        <v>0.01</v>
      </c>
      <c r="AC72" s="17">
        <f>_xlfn.XLOOKUP($B72,'[1]Dec-25'!$A:$A,'[1]Dec-25'!$H:$H,0)</f>
        <v>0.01</v>
      </c>
      <c r="AD72" s="17">
        <f>_xlfn.XLOOKUP($B72,'[1]Jan-26'!$A:$A,'[1]Jan-26'!$H:$H,0)</f>
        <v>0.01</v>
      </c>
      <c r="AE72" s="17">
        <f>_xlfn.XLOOKUP($B72,'[1]Feb-26'!$A:$A,'[1]Feb-26'!$H:$H,0)</f>
        <v>0.01</v>
      </c>
      <c r="AF72" s="17">
        <f>_xlfn.XLOOKUP($B72,'[1]Mar-26'!$A:$A,'[1]Mar-26'!$H:$H,0)</f>
        <v>0.01</v>
      </c>
      <c r="AG72" s="17">
        <f>_xlfn.XLOOKUP($B72,'[1]Apr-26'!$A:$A,'[1]Apr-26'!$H:$H,0)</f>
        <v>0.01</v>
      </c>
    </row>
    <row r="73" spans="1:33" x14ac:dyDescent="0.2">
      <c r="A73" s="58">
        <v>10350</v>
      </c>
      <c r="B73" s="56" t="str">
        <f t="shared" si="6"/>
        <v>10350</v>
      </c>
      <c r="C73" s="57" t="s">
        <v>302</v>
      </c>
      <c r="D73" s="57" t="s">
        <v>303</v>
      </c>
      <c r="E73" s="44" t="s">
        <v>326</v>
      </c>
      <c r="F73" s="17">
        <f>_xlfn.XLOOKUP($B73,'[1]Jan-24'!$A:$A,'[1]Jan-24'!$H:$H,0)</f>
        <v>0</v>
      </c>
      <c r="G73" s="17">
        <f>_xlfn.XLOOKUP($B73,'[1]Feb-24'!$A:$A,'[1]Feb-24'!$H:$H,0)</f>
        <v>0</v>
      </c>
      <c r="H73" s="17">
        <f>_xlfn.XLOOKUP($B73,'[1]Mar-24'!$A:$A,'[1]Mar-24'!$H:$H,0)</f>
        <v>0</v>
      </c>
      <c r="I73" s="17">
        <f>_xlfn.XLOOKUP($B73,'[1]Apr-24'!$A:$A,'[1]Apr-24'!$H:$H,0)</f>
        <v>0</v>
      </c>
      <c r="J73" s="17">
        <f>_xlfn.XLOOKUP($B73,'[1]May-24'!$A:$A,'[1]May-24'!$H:$H,0)</f>
        <v>0</v>
      </c>
      <c r="K73" s="17">
        <f>_xlfn.XLOOKUP($B73,'[1]Jun-24'!$A:$A,'[1]Jun-24'!$H:$H,0)</f>
        <v>0</v>
      </c>
      <c r="L73" s="17">
        <f>_xlfn.XLOOKUP($B73,'[1]Jul-24'!$A:$A,'[1]Jul-24'!$H:$H,0)</f>
        <v>0</v>
      </c>
      <c r="M73" s="17">
        <f>_xlfn.XLOOKUP($B73,'[1]Aug-24'!$A:$A,'[1]Aug-24'!$H:$H,0)</f>
        <v>0</v>
      </c>
      <c r="N73" s="17">
        <f>_xlfn.XLOOKUP($B73,'[1]Sep-24'!$A:$A,'[1]Sep-24'!$H:$H,0)</f>
        <v>0</v>
      </c>
      <c r="O73" s="17">
        <f>_xlfn.XLOOKUP($B73,'[1]Oct-24'!$A:$A,'[1]Oct-24'!$H:$H,0)</f>
        <v>0</v>
      </c>
      <c r="P73" s="17">
        <f>_xlfn.XLOOKUP($B73,'[1]Nov-24'!$A:$A,'[1]Nov-24'!$H:$H,0)</f>
        <v>0</v>
      </c>
      <c r="Q73" s="17">
        <f>_xlfn.XLOOKUP($B73,'[1]Dec-24'!$A:$A,'[1]Dec-24'!$H:$H,0)</f>
        <v>0</v>
      </c>
      <c r="R73" s="17">
        <f>_xlfn.XLOOKUP($B73,'[1]Jan-25'!$A:$A,'[1]Jan-25'!$H:$H,0)</f>
        <v>0</v>
      </c>
      <c r="S73" s="17">
        <f>_xlfn.XLOOKUP($B73,'[1]Feb-25'!$A:$A,'[1]Feb-25'!$H:$H,0)</f>
        <v>0</v>
      </c>
      <c r="T73" s="17">
        <f>_xlfn.XLOOKUP($B73,'[1]Mar-25'!$A:$A,'[1]Mar-25'!$H:$H,0)</f>
        <v>0</v>
      </c>
      <c r="U73" s="17">
        <f>_xlfn.XLOOKUP($B73,'[1]Apr-25'!$A:$A,'[1]Apr-25'!$H:$H,0)</f>
        <v>0</v>
      </c>
      <c r="V73" s="17">
        <f>_xlfn.XLOOKUP($B73,'[1]May-25'!$A:$A,'[1]May-25'!$H:$H,0)</f>
        <v>0</v>
      </c>
      <c r="W73" s="17">
        <f>_xlfn.XLOOKUP($B73,'[1]Jun-25'!$A:$A,'[1]Jun-25'!$H:$H,0)</f>
        <v>0</v>
      </c>
      <c r="X73" s="17">
        <f>_xlfn.XLOOKUP($B73,'[1]Jul-25'!$A:$A,'[1]Jul-25'!$H:$H,0)</f>
        <v>0</v>
      </c>
      <c r="Y73" s="17">
        <f>_xlfn.XLOOKUP($B73,'[1]Aug-25'!$A:$A,'[1]Aug-25'!$H:$H,0)</f>
        <v>0</v>
      </c>
      <c r="Z73" s="17">
        <f>_xlfn.XLOOKUP($B73,'[1]Sep-25'!$A:$A,'[1]Sep-25'!$H:$H,0)</f>
        <v>0</v>
      </c>
      <c r="AA73" s="17">
        <f>_xlfn.XLOOKUP($B73,'[1]Oct-25'!$A:$A,'[1]Oct-25'!$H:$H,0)</f>
        <v>0</v>
      </c>
      <c r="AB73" s="17">
        <f>_xlfn.XLOOKUP($B73,'[1]Nov-25'!$A:$A,'[1]Nov-25'!$H:$H,0)</f>
        <v>0</v>
      </c>
      <c r="AC73" s="17">
        <f>_xlfn.XLOOKUP($B73,'[1]Dec-25'!$A:$A,'[1]Dec-25'!$H:$H,0)</f>
        <v>0</v>
      </c>
      <c r="AD73" s="17">
        <f>_xlfn.XLOOKUP($B73,'[1]Jan-26'!$A:$A,'[1]Jan-26'!$H:$H,0)</f>
        <v>0</v>
      </c>
      <c r="AE73" s="17">
        <f>_xlfn.XLOOKUP($B73,'[1]Feb-26'!$A:$A,'[1]Feb-26'!$H:$H,0)</f>
        <v>0</v>
      </c>
      <c r="AF73" s="17">
        <f>_xlfn.XLOOKUP($B73,'[1]Mar-26'!$A:$A,'[1]Mar-26'!$H:$H,0)</f>
        <v>0</v>
      </c>
      <c r="AG73" s="17">
        <f>_xlfn.XLOOKUP($B73,'[1]Apr-26'!$A:$A,'[1]Apr-26'!$H:$H,0)</f>
        <v>0</v>
      </c>
    </row>
    <row r="74" spans="1:33" x14ac:dyDescent="0.2">
      <c r="A74" s="58">
        <v>10355</v>
      </c>
      <c r="B74" s="56" t="str">
        <f t="shared" si="6"/>
        <v>10355</v>
      </c>
      <c r="C74" s="57" t="s">
        <v>302</v>
      </c>
      <c r="D74" s="57" t="s">
        <v>303</v>
      </c>
      <c r="E74" s="44" t="s">
        <v>327</v>
      </c>
      <c r="F74" s="17">
        <f>_xlfn.XLOOKUP($B74,'[1]Jan-24'!$A:$A,'[1]Jan-24'!$H:$H,0)</f>
        <v>0</v>
      </c>
      <c r="G74" s="17">
        <f>_xlfn.XLOOKUP($B74,'[1]Feb-24'!$A:$A,'[1]Feb-24'!$H:$H,0)</f>
        <v>0</v>
      </c>
      <c r="H74" s="17">
        <f>_xlfn.XLOOKUP($B74,'[1]Mar-24'!$A:$A,'[1]Mar-24'!$H:$H,0)</f>
        <v>0</v>
      </c>
      <c r="I74" s="17">
        <f>_xlfn.XLOOKUP($B74,'[1]Apr-24'!$A:$A,'[1]Apr-24'!$H:$H,0)</f>
        <v>0</v>
      </c>
      <c r="J74" s="17">
        <f>_xlfn.XLOOKUP($B74,'[1]May-24'!$A:$A,'[1]May-24'!$H:$H,0)</f>
        <v>0</v>
      </c>
      <c r="K74" s="17">
        <f>_xlfn.XLOOKUP($B74,'[1]Jun-24'!$A:$A,'[1]Jun-24'!$H:$H,0)</f>
        <v>0</v>
      </c>
      <c r="L74" s="17">
        <f>_xlfn.XLOOKUP($B74,'[1]Jul-24'!$A:$A,'[1]Jul-24'!$H:$H,0)</f>
        <v>0</v>
      </c>
      <c r="M74" s="17">
        <f>_xlfn.XLOOKUP($B74,'[1]Aug-24'!$A:$A,'[1]Aug-24'!$H:$H,0)</f>
        <v>0</v>
      </c>
      <c r="N74" s="17">
        <f>_xlfn.XLOOKUP($B74,'[1]Sep-24'!$A:$A,'[1]Sep-24'!$H:$H,0)</f>
        <v>0</v>
      </c>
      <c r="O74" s="17">
        <f>_xlfn.XLOOKUP($B74,'[1]Oct-24'!$A:$A,'[1]Oct-24'!$H:$H,0)</f>
        <v>0</v>
      </c>
      <c r="P74" s="17">
        <f>_xlfn.XLOOKUP($B74,'[1]Nov-24'!$A:$A,'[1]Nov-24'!$H:$H,0)</f>
        <v>0</v>
      </c>
      <c r="Q74" s="17">
        <f>_xlfn.XLOOKUP($B74,'[1]Dec-24'!$A:$A,'[1]Dec-24'!$H:$H,0)</f>
        <v>0</v>
      </c>
      <c r="R74" s="17">
        <f>_xlfn.XLOOKUP($B74,'[1]Jan-25'!$A:$A,'[1]Jan-25'!$H:$H,0)</f>
        <v>0</v>
      </c>
      <c r="S74" s="17">
        <f>_xlfn.XLOOKUP($B74,'[1]Feb-25'!$A:$A,'[1]Feb-25'!$H:$H,0)</f>
        <v>0</v>
      </c>
      <c r="T74" s="17">
        <f>_xlfn.XLOOKUP($B74,'[1]Mar-25'!$A:$A,'[1]Mar-25'!$H:$H,0)</f>
        <v>0</v>
      </c>
      <c r="U74" s="17">
        <f>_xlfn.XLOOKUP($B74,'[1]Apr-25'!$A:$A,'[1]Apr-25'!$H:$H,0)</f>
        <v>0</v>
      </c>
      <c r="V74" s="17">
        <f>_xlfn.XLOOKUP($B74,'[1]May-25'!$A:$A,'[1]May-25'!$H:$H,0)</f>
        <v>0</v>
      </c>
      <c r="W74" s="17">
        <f>_xlfn.XLOOKUP($B74,'[1]Jun-25'!$A:$A,'[1]Jun-25'!$H:$H,0)</f>
        <v>0</v>
      </c>
      <c r="X74" s="17">
        <f>_xlfn.XLOOKUP($B74,'[1]Jul-25'!$A:$A,'[1]Jul-25'!$H:$H,0)</f>
        <v>0</v>
      </c>
      <c r="Y74" s="17">
        <f>_xlfn.XLOOKUP($B74,'[1]Aug-25'!$A:$A,'[1]Aug-25'!$H:$H,0)</f>
        <v>0</v>
      </c>
      <c r="Z74" s="17">
        <f>_xlfn.XLOOKUP($B74,'[1]Sep-25'!$A:$A,'[1]Sep-25'!$H:$H,0)</f>
        <v>0</v>
      </c>
      <c r="AA74" s="17">
        <f>_xlfn.XLOOKUP($B74,'[1]Oct-25'!$A:$A,'[1]Oct-25'!$H:$H,0)</f>
        <v>0</v>
      </c>
      <c r="AB74" s="17">
        <f>_xlfn.XLOOKUP($B74,'[1]Nov-25'!$A:$A,'[1]Nov-25'!$H:$H,0)</f>
        <v>0</v>
      </c>
      <c r="AC74" s="17">
        <f>_xlfn.XLOOKUP($B74,'[1]Dec-25'!$A:$A,'[1]Dec-25'!$H:$H,0)</f>
        <v>0</v>
      </c>
      <c r="AD74" s="17">
        <f>_xlfn.XLOOKUP($B74,'[1]Jan-26'!$A:$A,'[1]Jan-26'!$H:$H,0)</f>
        <v>0</v>
      </c>
      <c r="AE74" s="17">
        <f>_xlfn.XLOOKUP($B74,'[1]Feb-26'!$A:$A,'[1]Feb-26'!$H:$H,0)</f>
        <v>0</v>
      </c>
      <c r="AF74" s="17">
        <f>_xlfn.XLOOKUP($B74,'[1]Mar-26'!$A:$A,'[1]Mar-26'!$H:$H,0)</f>
        <v>0</v>
      </c>
      <c r="AG74" s="17">
        <f>_xlfn.XLOOKUP($B74,'[1]Apr-26'!$A:$A,'[1]Apr-26'!$H:$H,0)</f>
        <v>0</v>
      </c>
    </row>
    <row r="75" spans="1:33" x14ac:dyDescent="0.2">
      <c r="A75" s="58">
        <v>10360</v>
      </c>
      <c r="B75" s="56" t="str">
        <f t="shared" ref="B75:B138" si="7">TEXT(A75,"00000")</f>
        <v>10360</v>
      </c>
      <c r="C75" s="57" t="s">
        <v>302</v>
      </c>
      <c r="D75" s="57" t="s">
        <v>303</v>
      </c>
      <c r="E75" s="44" t="s">
        <v>328</v>
      </c>
      <c r="F75" s="17">
        <f>_xlfn.XLOOKUP($B75,'[1]Jan-24'!$A:$A,'[1]Jan-24'!$H:$H,0)</f>
        <v>0</v>
      </c>
      <c r="G75" s="17">
        <f>_xlfn.XLOOKUP($B75,'[1]Feb-24'!$A:$A,'[1]Feb-24'!$H:$H,0)</f>
        <v>0</v>
      </c>
      <c r="H75" s="17">
        <f>_xlfn.XLOOKUP($B75,'[1]Mar-24'!$A:$A,'[1]Mar-24'!$H:$H,0)</f>
        <v>0</v>
      </c>
      <c r="I75" s="17">
        <f>_xlfn.XLOOKUP($B75,'[1]Apr-24'!$A:$A,'[1]Apr-24'!$H:$H,0)</f>
        <v>0</v>
      </c>
      <c r="J75" s="17">
        <f>_xlfn.XLOOKUP($B75,'[1]May-24'!$A:$A,'[1]May-24'!$H:$H,0)</f>
        <v>0</v>
      </c>
      <c r="K75" s="17">
        <f>_xlfn.XLOOKUP($B75,'[1]Jun-24'!$A:$A,'[1]Jun-24'!$H:$H,0)</f>
        <v>0</v>
      </c>
      <c r="L75" s="17">
        <f>_xlfn.XLOOKUP($B75,'[1]Jul-24'!$A:$A,'[1]Jul-24'!$H:$H,0)</f>
        <v>0</v>
      </c>
      <c r="M75" s="17">
        <f>_xlfn.XLOOKUP($B75,'[1]Aug-24'!$A:$A,'[1]Aug-24'!$H:$H,0)</f>
        <v>0</v>
      </c>
      <c r="N75" s="17">
        <f>_xlfn.XLOOKUP($B75,'[1]Sep-24'!$A:$A,'[1]Sep-24'!$H:$H,0)</f>
        <v>0</v>
      </c>
      <c r="O75" s="17">
        <f>_xlfn.XLOOKUP($B75,'[1]Oct-24'!$A:$A,'[1]Oct-24'!$H:$H,0)</f>
        <v>0</v>
      </c>
      <c r="P75" s="17">
        <f>_xlfn.XLOOKUP($B75,'[1]Nov-24'!$A:$A,'[1]Nov-24'!$H:$H,0)</f>
        <v>0</v>
      </c>
      <c r="Q75" s="17">
        <f>_xlfn.XLOOKUP($B75,'[1]Dec-24'!$A:$A,'[1]Dec-24'!$H:$H,0)</f>
        <v>0</v>
      </c>
      <c r="R75" s="17">
        <f>_xlfn.XLOOKUP($B75,'[1]Jan-25'!$A:$A,'[1]Jan-25'!$H:$H,0)</f>
        <v>0</v>
      </c>
      <c r="S75" s="17">
        <f>_xlfn.XLOOKUP($B75,'[1]Feb-25'!$A:$A,'[1]Feb-25'!$H:$H,0)</f>
        <v>0</v>
      </c>
      <c r="T75" s="17">
        <f>_xlfn.XLOOKUP($B75,'[1]Mar-25'!$A:$A,'[1]Mar-25'!$H:$H,0)</f>
        <v>0</v>
      </c>
      <c r="U75" s="17">
        <f>_xlfn.XLOOKUP($B75,'[1]Apr-25'!$A:$A,'[1]Apr-25'!$H:$H,0)</f>
        <v>0</v>
      </c>
      <c r="V75" s="17">
        <f>_xlfn.XLOOKUP($B75,'[1]May-25'!$A:$A,'[1]May-25'!$H:$H,0)</f>
        <v>0</v>
      </c>
      <c r="W75" s="17">
        <f>_xlfn.XLOOKUP($B75,'[1]Jun-25'!$A:$A,'[1]Jun-25'!$H:$H,0)</f>
        <v>0</v>
      </c>
      <c r="X75" s="17">
        <f>_xlfn.XLOOKUP($B75,'[1]Jul-25'!$A:$A,'[1]Jul-25'!$H:$H,0)</f>
        <v>0</v>
      </c>
      <c r="Y75" s="17">
        <f>_xlfn.XLOOKUP($B75,'[1]Aug-25'!$A:$A,'[1]Aug-25'!$H:$H,0)</f>
        <v>0</v>
      </c>
      <c r="Z75" s="17">
        <f>_xlfn.XLOOKUP($B75,'[1]Sep-25'!$A:$A,'[1]Sep-25'!$H:$H,0)</f>
        <v>0</v>
      </c>
      <c r="AA75" s="17">
        <f>_xlfn.XLOOKUP($B75,'[1]Oct-25'!$A:$A,'[1]Oct-25'!$H:$H,0)</f>
        <v>0</v>
      </c>
      <c r="AB75" s="17">
        <f>_xlfn.XLOOKUP($B75,'[1]Nov-25'!$A:$A,'[1]Nov-25'!$H:$H,0)</f>
        <v>0</v>
      </c>
      <c r="AC75" s="17">
        <f>_xlfn.XLOOKUP($B75,'[1]Dec-25'!$A:$A,'[1]Dec-25'!$H:$H,0)</f>
        <v>0</v>
      </c>
      <c r="AD75" s="17">
        <f>_xlfn.XLOOKUP($B75,'[1]Jan-26'!$A:$A,'[1]Jan-26'!$H:$H,0)</f>
        <v>0</v>
      </c>
      <c r="AE75" s="17">
        <f>_xlfn.XLOOKUP($B75,'[1]Feb-26'!$A:$A,'[1]Feb-26'!$H:$H,0)</f>
        <v>0</v>
      </c>
      <c r="AF75" s="17">
        <f>_xlfn.XLOOKUP($B75,'[1]Mar-26'!$A:$A,'[1]Mar-26'!$H:$H,0)</f>
        <v>0</v>
      </c>
      <c r="AG75" s="17">
        <f>_xlfn.XLOOKUP($B75,'[1]Apr-26'!$A:$A,'[1]Apr-26'!$H:$H,0)</f>
        <v>0</v>
      </c>
    </row>
    <row r="76" spans="1:33" x14ac:dyDescent="0.2">
      <c r="A76" s="58">
        <v>10365</v>
      </c>
      <c r="B76" s="56" t="str">
        <f t="shared" si="7"/>
        <v>10365</v>
      </c>
      <c r="C76" s="57" t="s">
        <v>302</v>
      </c>
      <c r="D76" s="57" t="s">
        <v>303</v>
      </c>
      <c r="E76" s="44" t="s">
        <v>329</v>
      </c>
      <c r="F76" s="17">
        <f>_xlfn.XLOOKUP($B76,'[1]Jan-24'!$A:$A,'[1]Jan-24'!$H:$H,0)</f>
        <v>0</v>
      </c>
      <c r="G76" s="17">
        <f>_xlfn.XLOOKUP($B76,'[1]Feb-24'!$A:$A,'[1]Feb-24'!$H:$H,0)</f>
        <v>0</v>
      </c>
      <c r="H76" s="17">
        <f>_xlfn.XLOOKUP($B76,'[1]Mar-24'!$A:$A,'[1]Mar-24'!$H:$H,0)</f>
        <v>0</v>
      </c>
      <c r="I76" s="17">
        <f>_xlfn.XLOOKUP($B76,'[1]Apr-24'!$A:$A,'[1]Apr-24'!$H:$H,0)</f>
        <v>0</v>
      </c>
      <c r="J76" s="17">
        <f>_xlfn.XLOOKUP($B76,'[1]May-24'!$A:$A,'[1]May-24'!$H:$H,0)</f>
        <v>0</v>
      </c>
      <c r="K76" s="17">
        <f>_xlfn.XLOOKUP($B76,'[1]Jun-24'!$A:$A,'[1]Jun-24'!$H:$H,0)</f>
        <v>0</v>
      </c>
      <c r="L76" s="17">
        <f>_xlfn.XLOOKUP($B76,'[1]Jul-24'!$A:$A,'[1]Jul-24'!$H:$H,0)</f>
        <v>0</v>
      </c>
      <c r="M76" s="17">
        <f>_xlfn.XLOOKUP($B76,'[1]Aug-24'!$A:$A,'[1]Aug-24'!$H:$H,0)</f>
        <v>0</v>
      </c>
      <c r="N76" s="17">
        <f>_xlfn.XLOOKUP($B76,'[1]Sep-24'!$A:$A,'[1]Sep-24'!$H:$H,0)</f>
        <v>0</v>
      </c>
      <c r="O76" s="17">
        <f>_xlfn.XLOOKUP($B76,'[1]Oct-24'!$A:$A,'[1]Oct-24'!$H:$H,0)</f>
        <v>0</v>
      </c>
      <c r="P76" s="17">
        <f>_xlfn.XLOOKUP($B76,'[1]Nov-24'!$A:$A,'[1]Nov-24'!$H:$H,0)</f>
        <v>0</v>
      </c>
      <c r="Q76" s="17">
        <f>_xlfn.XLOOKUP($B76,'[1]Dec-24'!$A:$A,'[1]Dec-24'!$H:$H,0)</f>
        <v>0</v>
      </c>
      <c r="R76" s="17">
        <f>_xlfn.XLOOKUP($B76,'[1]Jan-25'!$A:$A,'[1]Jan-25'!$H:$H,0)</f>
        <v>0</v>
      </c>
      <c r="S76" s="17">
        <f>_xlfn.XLOOKUP($B76,'[1]Feb-25'!$A:$A,'[1]Feb-25'!$H:$H,0)</f>
        <v>0</v>
      </c>
      <c r="T76" s="17">
        <f>_xlfn.XLOOKUP($B76,'[1]Mar-25'!$A:$A,'[1]Mar-25'!$H:$H,0)</f>
        <v>0</v>
      </c>
      <c r="U76" s="17">
        <f>_xlfn.XLOOKUP($B76,'[1]Apr-25'!$A:$A,'[1]Apr-25'!$H:$H,0)</f>
        <v>0</v>
      </c>
      <c r="V76" s="17">
        <f>_xlfn.XLOOKUP($B76,'[1]May-25'!$A:$A,'[1]May-25'!$H:$H,0)</f>
        <v>0</v>
      </c>
      <c r="W76" s="17">
        <f>_xlfn.XLOOKUP($B76,'[1]Jun-25'!$A:$A,'[1]Jun-25'!$H:$H,0)</f>
        <v>0</v>
      </c>
      <c r="X76" s="17">
        <f>_xlfn.XLOOKUP($B76,'[1]Jul-25'!$A:$A,'[1]Jul-25'!$H:$H,0)</f>
        <v>0</v>
      </c>
      <c r="Y76" s="17">
        <f>_xlfn.XLOOKUP($B76,'[1]Aug-25'!$A:$A,'[1]Aug-25'!$H:$H,0)</f>
        <v>0</v>
      </c>
      <c r="Z76" s="17">
        <f>_xlfn.XLOOKUP($B76,'[1]Sep-25'!$A:$A,'[1]Sep-25'!$H:$H,0)</f>
        <v>0</v>
      </c>
      <c r="AA76" s="17">
        <f>_xlfn.XLOOKUP($B76,'[1]Oct-25'!$A:$A,'[1]Oct-25'!$H:$H,0)</f>
        <v>0</v>
      </c>
      <c r="AB76" s="17">
        <f>_xlfn.XLOOKUP($B76,'[1]Nov-25'!$A:$A,'[1]Nov-25'!$H:$H,0)</f>
        <v>0</v>
      </c>
      <c r="AC76" s="17">
        <f>_xlfn.XLOOKUP($B76,'[1]Dec-25'!$A:$A,'[1]Dec-25'!$H:$H,0)</f>
        <v>0</v>
      </c>
      <c r="AD76" s="17">
        <f>_xlfn.XLOOKUP($B76,'[1]Jan-26'!$A:$A,'[1]Jan-26'!$H:$H,0)</f>
        <v>0</v>
      </c>
      <c r="AE76" s="17">
        <f>_xlfn.XLOOKUP($B76,'[1]Feb-26'!$A:$A,'[1]Feb-26'!$H:$H,0)</f>
        <v>0</v>
      </c>
      <c r="AF76" s="17">
        <f>_xlfn.XLOOKUP($B76,'[1]Mar-26'!$A:$A,'[1]Mar-26'!$H:$H,0)</f>
        <v>0</v>
      </c>
      <c r="AG76" s="17">
        <f>_xlfn.XLOOKUP($B76,'[1]Apr-26'!$A:$A,'[1]Apr-26'!$H:$H,0)</f>
        <v>0</v>
      </c>
    </row>
    <row r="77" spans="1:33" x14ac:dyDescent="0.2">
      <c r="A77" s="58">
        <v>10370</v>
      </c>
      <c r="B77" s="56" t="str">
        <f t="shared" si="7"/>
        <v>10370</v>
      </c>
      <c r="C77" s="57" t="s">
        <v>302</v>
      </c>
      <c r="D77" s="57" t="s">
        <v>303</v>
      </c>
      <c r="E77" s="44" t="s">
        <v>330</v>
      </c>
      <c r="F77" s="17">
        <f>_xlfn.XLOOKUP($B77,'[1]Jan-24'!$A:$A,'[1]Jan-24'!$H:$H,0)</f>
        <v>0</v>
      </c>
      <c r="G77" s="17">
        <f>_xlfn.XLOOKUP($B77,'[1]Feb-24'!$A:$A,'[1]Feb-24'!$H:$H,0)</f>
        <v>0</v>
      </c>
      <c r="H77" s="17">
        <f>_xlfn.XLOOKUP($B77,'[1]Mar-24'!$A:$A,'[1]Mar-24'!$H:$H,0)</f>
        <v>0</v>
      </c>
      <c r="I77" s="17">
        <f>_xlfn.XLOOKUP($B77,'[1]Apr-24'!$A:$A,'[1]Apr-24'!$H:$H,0)</f>
        <v>0</v>
      </c>
      <c r="J77" s="17">
        <f>_xlfn.XLOOKUP($B77,'[1]May-24'!$A:$A,'[1]May-24'!$H:$H,0)</f>
        <v>0</v>
      </c>
      <c r="K77" s="17">
        <f>_xlfn.XLOOKUP($B77,'[1]Jun-24'!$A:$A,'[1]Jun-24'!$H:$H,0)</f>
        <v>0</v>
      </c>
      <c r="L77" s="17">
        <f>_xlfn.XLOOKUP($B77,'[1]Jul-24'!$A:$A,'[1]Jul-24'!$H:$H,0)</f>
        <v>0</v>
      </c>
      <c r="M77" s="17">
        <f>_xlfn.XLOOKUP($B77,'[1]Aug-24'!$A:$A,'[1]Aug-24'!$H:$H,0)</f>
        <v>0</v>
      </c>
      <c r="N77" s="17">
        <f>_xlfn.XLOOKUP($B77,'[1]Sep-24'!$A:$A,'[1]Sep-24'!$H:$H,0)</f>
        <v>0</v>
      </c>
      <c r="O77" s="17">
        <f>_xlfn.XLOOKUP($B77,'[1]Oct-24'!$A:$A,'[1]Oct-24'!$H:$H,0)</f>
        <v>0</v>
      </c>
      <c r="P77" s="17">
        <f>_xlfn.XLOOKUP($B77,'[1]Nov-24'!$A:$A,'[1]Nov-24'!$H:$H,0)</f>
        <v>0</v>
      </c>
      <c r="Q77" s="17">
        <f>_xlfn.XLOOKUP($B77,'[1]Dec-24'!$A:$A,'[1]Dec-24'!$H:$H,0)</f>
        <v>0</v>
      </c>
      <c r="R77" s="17">
        <f>_xlfn.XLOOKUP($B77,'[1]Jan-25'!$A:$A,'[1]Jan-25'!$H:$H,0)</f>
        <v>0</v>
      </c>
      <c r="S77" s="17">
        <f>_xlfn.XLOOKUP($B77,'[1]Feb-25'!$A:$A,'[1]Feb-25'!$H:$H,0)</f>
        <v>0</v>
      </c>
      <c r="T77" s="17">
        <f>_xlfn.XLOOKUP($B77,'[1]Mar-25'!$A:$A,'[1]Mar-25'!$H:$H,0)</f>
        <v>0</v>
      </c>
      <c r="U77" s="17">
        <f>_xlfn.XLOOKUP($B77,'[1]Apr-25'!$A:$A,'[1]Apr-25'!$H:$H,0)</f>
        <v>0</v>
      </c>
      <c r="V77" s="17">
        <f>_xlfn.XLOOKUP($B77,'[1]May-25'!$A:$A,'[1]May-25'!$H:$H,0)</f>
        <v>0</v>
      </c>
      <c r="W77" s="17">
        <f>_xlfn.XLOOKUP($B77,'[1]Jun-25'!$A:$A,'[1]Jun-25'!$H:$H,0)</f>
        <v>0</v>
      </c>
      <c r="X77" s="17">
        <f>_xlfn.XLOOKUP($B77,'[1]Jul-25'!$A:$A,'[1]Jul-25'!$H:$H,0)</f>
        <v>0</v>
      </c>
      <c r="Y77" s="17">
        <f>_xlfn.XLOOKUP($B77,'[1]Aug-25'!$A:$A,'[1]Aug-25'!$H:$H,0)</f>
        <v>0</v>
      </c>
      <c r="Z77" s="17">
        <f>_xlfn.XLOOKUP($B77,'[1]Sep-25'!$A:$A,'[1]Sep-25'!$H:$H,0)</f>
        <v>0</v>
      </c>
      <c r="AA77" s="17">
        <f>_xlfn.XLOOKUP($B77,'[1]Oct-25'!$A:$A,'[1]Oct-25'!$H:$H,0)</f>
        <v>0</v>
      </c>
      <c r="AB77" s="17">
        <f>_xlfn.XLOOKUP($B77,'[1]Nov-25'!$A:$A,'[1]Nov-25'!$H:$H,0)</f>
        <v>0</v>
      </c>
      <c r="AC77" s="17">
        <f>_xlfn.XLOOKUP($B77,'[1]Dec-25'!$A:$A,'[1]Dec-25'!$H:$H,0)</f>
        <v>0</v>
      </c>
      <c r="AD77" s="17">
        <f>_xlfn.XLOOKUP($B77,'[1]Jan-26'!$A:$A,'[1]Jan-26'!$H:$H,0)</f>
        <v>0</v>
      </c>
      <c r="AE77" s="17">
        <f>_xlfn.XLOOKUP($B77,'[1]Feb-26'!$A:$A,'[1]Feb-26'!$H:$H,0)</f>
        <v>0</v>
      </c>
      <c r="AF77" s="17">
        <f>_xlfn.XLOOKUP($B77,'[1]Mar-26'!$A:$A,'[1]Mar-26'!$H:$H,0)</f>
        <v>0</v>
      </c>
      <c r="AG77" s="17">
        <f>_xlfn.XLOOKUP($B77,'[1]Apr-26'!$A:$A,'[1]Apr-26'!$H:$H,0)</f>
        <v>0</v>
      </c>
    </row>
    <row r="78" spans="1:33" x14ac:dyDescent="0.2">
      <c r="A78" s="58">
        <v>10375</v>
      </c>
      <c r="B78" s="56" t="str">
        <f t="shared" si="7"/>
        <v>10375</v>
      </c>
      <c r="C78" s="57" t="s">
        <v>302</v>
      </c>
      <c r="D78" s="57" t="s">
        <v>303</v>
      </c>
      <c r="E78" s="44" t="s">
        <v>331</v>
      </c>
      <c r="F78" s="17">
        <f>_xlfn.XLOOKUP($B78,'[1]Jan-24'!$A:$A,'[1]Jan-24'!$H:$H,0)</f>
        <v>0</v>
      </c>
      <c r="G78" s="17">
        <f>_xlfn.XLOOKUP($B78,'[1]Feb-24'!$A:$A,'[1]Feb-24'!$H:$H,0)</f>
        <v>0</v>
      </c>
      <c r="H78" s="17">
        <f>_xlfn.XLOOKUP($B78,'[1]Mar-24'!$A:$A,'[1]Mar-24'!$H:$H,0)</f>
        <v>0</v>
      </c>
      <c r="I78" s="17">
        <f>_xlfn.XLOOKUP($B78,'[1]Apr-24'!$A:$A,'[1]Apr-24'!$H:$H,0)</f>
        <v>0</v>
      </c>
      <c r="J78" s="17">
        <f>_xlfn.XLOOKUP($B78,'[1]May-24'!$A:$A,'[1]May-24'!$H:$H,0)</f>
        <v>0</v>
      </c>
      <c r="K78" s="17">
        <f>_xlfn.XLOOKUP($B78,'[1]Jun-24'!$A:$A,'[1]Jun-24'!$H:$H,0)</f>
        <v>0</v>
      </c>
      <c r="L78" s="17">
        <f>_xlfn.XLOOKUP($B78,'[1]Jul-24'!$A:$A,'[1]Jul-24'!$H:$H,0)</f>
        <v>0</v>
      </c>
      <c r="M78" s="17">
        <f>_xlfn.XLOOKUP($B78,'[1]Aug-24'!$A:$A,'[1]Aug-24'!$H:$H,0)</f>
        <v>0</v>
      </c>
      <c r="N78" s="17">
        <f>_xlfn.XLOOKUP($B78,'[1]Sep-24'!$A:$A,'[1]Sep-24'!$H:$H,0)</f>
        <v>0</v>
      </c>
      <c r="O78" s="17">
        <f>_xlfn.XLOOKUP($B78,'[1]Oct-24'!$A:$A,'[1]Oct-24'!$H:$H,0)</f>
        <v>0</v>
      </c>
      <c r="P78" s="17">
        <f>_xlfn.XLOOKUP($B78,'[1]Nov-24'!$A:$A,'[1]Nov-24'!$H:$H,0)</f>
        <v>0</v>
      </c>
      <c r="Q78" s="17">
        <f>_xlfn.XLOOKUP($B78,'[1]Dec-24'!$A:$A,'[1]Dec-24'!$H:$H,0)</f>
        <v>0</v>
      </c>
      <c r="R78" s="17">
        <f>_xlfn.XLOOKUP($B78,'[1]Jan-25'!$A:$A,'[1]Jan-25'!$H:$H,0)</f>
        <v>0</v>
      </c>
      <c r="S78" s="17">
        <f>_xlfn.XLOOKUP($B78,'[1]Feb-25'!$A:$A,'[1]Feb-25'!$H:$H,0)</f>
        <v>0</v>
      </c>
      <c r="T78" s="17">
        <f>_xlfn.XLOOKUP($B78,'[1]Mar-25'!$A:$A,'[1]Mar-25'!$H:$H,0)</f>
        <v>0</v>
      </c>
      <c r="U78" s="17">
        <f>_xlfn.XLOOKUP($B78,'[1]Apr-25'!$A:$A,'[1]Apr-25'!$H:$H,0)</f>
        <v>0</v>
      </c>
      <c r="V78" s="17">
        <f>_xlfn.XLOOKUP($B78,'[1]May-25'!$A:$A,'[1]May-25'!$H:$H,0)</f>
        <v>0</v>
      </c>
      <c r="W78" s="17">
        <f>_xlfn.XLOOKUP($B78,'[1]Jun-25'!$A:$A,'[1]Jun-25'!$H:$H,0)</f>
        <v>0</v>
      </c>
      <c r="X78" s="17">
        <f>_xlfn.XLOOKUP($B78,'[1]Jul-25'!$A:$A,'[1]Jul-25'!$H:$H,0)</f>
        <v>0</v>
      </c>
      <c r="Y78" s="17">
        <f>_xlfn.XLOOKUP($B78,'[1]Aug-25'!$A:$A,'[1]Aug-25'!$H:$H,0)</f>
        <v>0</v>
      </c>
      <c r="Z78" s="17">
        <f>_xlfn.XLOOKUP($B78,'[1]Sep-25'!$A:$A,'[1]Sep-25'!$H:$H,0)</f>
        <v>0</v>
      </c>
      <c r="AA78" s="17">
        <f>_xlfn.XLOOKUP($B78,'[1]Oct-25'!$A:$A,'[1]Oct-25'!$H:$H,0)</f>
        <v>0</v>
      </c>
      <c r="AB78" s="17">
        <f>_xlfn.XLOOKUP($B78,'[1]Nov-25'!$A:$A,'[1]Nov-25'!$H:$H,0)</f>
        <v>0</v>
      </c>
      <c r="AC78" s="17">
        <f>_xlfn.XLOOKUP($B78,'[1]Dec-25'!$A:$A,'[1]Dec-25'!$H:$H,0)</f>
        <v>0</v>
      </c>
      <c r="AD78" s="17">
        <f>_xlfn.XLOOKUP($B78,'[1]Jan-26'!$A:$A,'[1]Jan-26'!$H:$H,0)</f>
        <v>0</v>
      </c>
      <c r="AE78" s="17">
        <f>_xlfn.XLOOKUP($B78,'[1]Feb-26'!$A:$A,'[1]Feb-26'!$H:$H,0)</f>
        <v>0</v>
      </c>
      <c r="AF78" s="17">
        <f>_xlfn.XLOOKUP($B78,'[1]Mar-26'!$A:$A,'[1]Mar-26'!$H:$H,0)</f>
        <v>0</v>
      </c>
      <c r="AG78" s="17">
        <f>_xlfn.XLOOKUP($B78,'[1]Apr-26'!$A:$A,'[1]Apr-26'!$H:$H,0)</f>
        <v>0</v>
      </c>
    </row>
    <row r="79" spans="1:33" x14ac:dyDescent="0.2">
      <c r="A79" s="58">
        <v>10380</v>
      </c>
      <c r="B79" s="56" t="str">
        <f t="shared" si="7"/>
        <v>10380</v>
      </c>
      <c r="C79" s="57" t="s">
        <v>302</v>
      </c>
      <c r="D79" s="57" t="s">
        <v>303</v>
      </c>
      <c r="E79" s="44" t="s">
        <v>332</v>
      </c>
      <c r="F79" s="17">
        <f>_xlfn.XLOOKUP($B79,'[1]Jan-24'!$A:$A,'[1]Jan-24'!$H:$H,0)</f>
        <v>0</v>
      </c>
      <c r="G79" s="17">
        <f>_xlfn.XLOOKUP($B79,'[1]Feb-24'!$A:$A,'[1]Feb-24'!$H:$H,0)</f>
        <v>0</v>
      </c>
      <c r="H79" s="17">
        <f>_xlfn.XLOOKUP($B79,'[1]Mar-24'!$A:$A,'[1]Mar-24'!$H:$H,0)</f>
        <v>0</v>
      </c>
      <c r="I79" s="17">
        <f>_xlfn.XLOOKUP($B79,'[1]Apr-24'!$A:$A,'[1]Apr-24'!$H:$H,0)</f>
        <v>0</v>
      </c>
      <c r="J79" s="17">
        <f>_xlfn.XLOOKUP($B79,'[1]May-24'!$A:$A,'[1]May-24'!$H:$H,0)</f>
        <v>0</v>
      </c>
      <c r="K79" s="17">
        <f>_xlfn.XLOOKUP($B79,'[1]Jun-24'!$A:$A,'[1]Jun-24'!$H:$H,0)</f>
        <v>0</v>
      </c>
      <c r="L79" s="17">
        <f>_xlfn.XLOOKUP($B79,'[1]Jul-24'!$A:$A,'[1]Jul-24'!$H:$H,0)</f>
        <v>0</v>
      </c>
      <c r="M79" s="17">
        <f>_xlfn.XLOOKUP($B79,'[1]Aug-24'!$A:$A,'[1]Aug-24'!$H:$H,0)</f>
        <v>0</v>
      </c>
      <c r="N79" s="17">
        <f>_xlfn.XLOOKUP($B79,'[1]Sep-24'!$A:$A,'[1]Sep-24'!$H:$H,0)</f>
        <v>0</v>
      </c>
      <c r="O79" s="17">
        <f>_xlfn.XLOOKUP($B79,'[1]Oct-24'!$A:$A,'[1]Oct-24'!$H:$H,0)</f>
        <v>0</v>
      </c>
      <c r="P79" s="17">
        <f>_xlfn.XLOOKUP($B79,'[1]Nov-24'!$A:$A,'[1]Nov-24'!$H:$H,0)</f>
        <v>0</v>
      </c>
      <c r="Q79" s="17">
        <f>_xlfn.XLOOKUP($B79,'[1]Dec-24'!$A:$A,'[1]Dec-24'!$H:$H,0)</f>
        <v>0</v>
      </c>
      <c r="R79" s="17">
        <f>_xlfn.XLOOKUP($B79,'[1]Jan-25'!$A:$A,'[1]Jan-25'!$H:$H,0)</f>
        <v>0</v>
      </c>
      <c r="S79" s="17">
        <f>_xlfn.XLOOKUP($B79,'[1]Feb-25'!$A:$A,'[1]Feb-25'!$H:$H,0)</f>
        <v>0</v>
      </c>
      <c r="T79" s="17">
        <f>_xlfn.XLOOKUP($B79,'[1]Mar-25'!$A:$A,'[1]Mar-25'!$H:$H,0)</f>
        <v>0</v>
      </c>
      <c r="U79" s="17">
        <f>_xlfn.XLOOKUP($B79,'[1]Apr-25'!$A:$A,'[1]Apr-25'!$H:$H,0)</f>
        <v>0</v>
      </c>
      <c r="V79" s="17">
        <f>_xlfn.XLOOKUP($B79,'[1]May-25'!$A:$A,'[1]May-25'!$H:$H,0)</f>
        <v>0</v>
      </c>
      <c r="W79" s="17">
        <f>_xlfn.XLOOKUP($B79,'[1]Jun-25'!$A:$A,'[1]Jun-25'!$H:$H,0)</f>
        <v>0</v>
      </c>
      <c r="X79" s="17">
        <f>_xlfn.XLOOKUP($B79,'[1]Jul-25'!$A:$A,'[1]Jul-25'!$H:$H,0)</f>
        <v>0</v>
      </c>
      <c r="Y79" s="17">
        <f>_xlfn.XLOOKUP($B79,'[1]Aug-25'!$A:$A,'[1]Aug-25'!$H:$H,0)</f>
        <v>0</v>
      </c>
      <c r="Z79" s="17">
        <f>_xlfn.XLOOKUP($B79,'[1]Sep-25'!$A:$A,'[1]Sep-25'!$H:$H,0)</f>
        <v>0</v>
      </c>
      <c r="AA79" s="17">
        <f>_xlfn.XLOOKUP($B79,'[1]Oct-25'!$A:$A,'[1]Oct-25'!$H:$H,0)</f>
        <v>0</v>
      </c>
      <c r="AB79" s="17">
        <f>_xlfn.XLOOKUP($B79,'[1]Nov-25'!$A:$A,'[1]Nov-25'!$H:$H,0)</f>
        <v>0</v>
      </c>
      <c r="AC79" s="17">
        <f>_xlfn.XLOOKUP($B79,'[1]Dec-25'!$A:$A,'[1]Dec-25'!$H:$H,0)</f>
        <v>0</v>
      </c>
      <c r="AD79" s="17">
        <f>_xlfn.XLOOKUP($B79,'[1]Jan-26'!$A:$A,'[1]Jan-26'!$H:$H,0)</f>
        <v>0</v>
      </c>
      <c r="AE79" s="17">
        <f>_xlfn.XLOOKUP($B79,'[1]Feb-26'!$A:$A,'[1]Feb-26'!$H:$H,0)</f>
        <v>0</v>
      </c>
      <c r="AF79" s="17">
        <f>_xlfn.XLOOKUP($B79,'[1]Mar-26'!$A:$A,'[1]Mar-26'!$H:$H,0)</f>
        <v>0</v>
      </c>
      <c r="AG79" s="17">
        <f>_xlfn.XLOOKUP($B79,'[1]Apr-26'!$A:$A,'[1]Apr-26'!$H:$H,0)</f>
        <v>0</v>
      </c>
    </row>
    <row r="80" spans="1:33" x14ac:dyDescent="0.2">
      <c r="A80" s="58">
        <v>10385</v>
      </c>
      <c r="B80" s="56" t="str">
        <f t="shared" si="7"/>
        <v>10385</v>
      </c>
      <c r="C80" s="57" t="s">
        <v>302</v>
      </c>
      <c r="D80" s="57" t="s">
        <v>303</v>
      </c>
      <c r="E80" s="44" t="s">
        <v>333</v>
      </c>
      <c r="F80" s="17">
        <f>_xlfn.XLOOKUP($B80,'[1]Jan-24'!$A:$A,'[1]Jan-24'!$H:$H,0)</f>
        <v>0</v>
      </c>
      <c r="G80" s="17">
        <f>_xlfn.XLOOKUP($B80,'[1]Feb-24'!$A:$A,'[1]Feb-24'!$H:$H,0)</f>
        <v>0</v>
      </c>
      <c r="H80" s="17">
        <f>_xlfn.XLOOKUP($B80,'[1]Mar-24'!$A:$A,'[1]Mar-24'!$H:$H,0)</f>
        <v>0</v>
      </c>
      <c r="I80" s="17">
        <f>_xlfn.XLOOKUP($B80,'[1]Apr-24'!$A:$A,'[1]Apr-24'!$H:$H,0)</f>
        <v>0</v>
      </c>
      <c r="J80" s="17">
        <f>_xlfn.XLOOKUP($B80,'[1]May-24'!$A:$A,'[1]May-24'!$H:$H,0)</f>
        <v>0</v>
      </c>
      <c r="K80" s="17">
        <f>_xlfn.XLOOKUP($B80,'[1]Jun-24'!$A:$A,'[1]Jun-24'!$H:$H,0)</f>
        <v>0</v>
      </c>
      <c r="L80" s="17">
        <f>_xlfn.XLOOKUP($B80,'[1]Jul-24'!$A:$A,'[1]Jul-24'!$H:$H,0)</f>
        <v>0</v>
      </c>
      <c r="M80" s="17">
        <f>_xlfn.XLOOKUP($B80,'[1]Aug-24'!$A:$A,'[1]Aug-24'!$H:$H,0)</f>
        <v>0</v>
      </c>
      <c r="N80" s="17">
        <f>_xlfn.XLOOKUP($B80,'[1]Sep-24'!$A:$A,'[1]Sep-24'!$H:$H,0)</f>
        <v>0</v>
      </c>
      <c r="O80" s="17">
        <f>_xlfn.XLOOKUP($B80,'[1]Oct-24'!$A:$A,'[1]Oct-24'!$H:$H,0)</f>
        <v>0</v>
      </c>
      <c r="P80" s="17">
        <f>_xlfn.XLOOKUP($B80,'[1]Nov-24'!$A:$A,'[1]Nov-24'!$H:$H,0)</f>
        <v>0</v>
      </c>
      <c r="Q80" s="17">
        <f>_xlfn.XLOOKUP($B80,'[1]Dec-24'!$A:$A,'[1]Dec-24'!$H:$H,0)</f>
        <v>0</v>
      </c>
      <c r="R80" s="17">
        <f>_xlfn.XLOOKUP($B80,'[1]Jan-25'!$A:$A,'[1]Jan-25'!$H:$H,0)</f>
        <v>0</v>
      </c>
      <c r="S80" s="17">
        <f>_xlfn.XLOOKUP($B80,'[1]Feb-25'!$A:$A,'[1]Feb-25'!$H:$H,0)</f>
        <v>0</v>
      </c>
      <c r="T80" s="17">
        <f>_xlfn.XLOOKUP($B80,'[1]Mar-25'!$A:$A,'[1]Mar-25'!$H:$H,0)</f>
        <v>0</v>
      </c>
      <c r="U80" s="17">
        <f>_xlfn.XLOOKUP($B80,'[1]Apr-25'!$A:$A,'[1]Apr-25'!$H:$H,0)</f>
        <v>0</v>
      </c>
      <c r="V80" s="17">
        <f>_xlfn.XLOOKUP($B80,'[1]May-25'!$A:$A,'[1]May-25'!$H:$H,0)</f>
        <v>0</v>
      </c>
      <c r="W80" s="17">
        <f>_xlfn.XLOOKUP($B80,'[1]Jun-25'!$A:$A,'[1]Jun-25'!$H:$H,0)</f>
        <v>0</v>
      </c>
      <c r="X80" s="17">
        <f>_xlfn.XLOOKUP($B80,'[1]Jul-25'!$A:$A,'[1]Jul-25'!$H:$H,0)</f>
        <v>0</v>
      </c>
      <c r="Y80" s="17">
        <f>_xlfn.XLOOKUP($B80,'[1]Aug-25'!$A:$A,'[1]Aug-25'!$H:$H,0)</f>
        <v>0</v>
      </c>
      <c r="Z80" s="17">
        <f>_xlfn.XLOOKUP($B80,'[1]Sep-25'!$A:$A,'[1]Sep-25'!$H:$H,0)</f>
        <v>0</v>
      </c>
      <c r="AA80" s="17">
        <f>_xlfn.XLOOKUP($B80,'[1]Oct-25'!$A:$A,'[1]Oct-25'!$H:$H,0)</f>
        <v>0</v>
      </c>
      <c r="AB80" s="17">
        <f>_xlfn.XLOOKUP($B80,'[1]Nov-25'!$A:$A,'[1]Nov-25'!$H:$H,0)</f>
        <v>0</v>
      </c>
      <c r="AC80" s="17">
        <f>_xlfn.XLOOKUP($B80,'[1]Dec-25'!$A:$A,'[1]Dec-25'!$H:$H,0)</f>
        <v>0</v>
      </c>
      <c r="AD80" s="17">
        <f>_xlfn.XLOOKUP($B80,'[1]Jan-26'!$A:$A,'[1]Jan-26'!$H:$H,0)</f>
        <v>0</v>
      </c>
      <c r="AE80" s="17">
        <f>_xlfn.XLOOKUP($B80,'[1]Feb-26'!$A:$A,'[1]Feb-26'!$H:$H,0)</f>
        <v>0</v>
      </c>
      <c r="AF80" s="17">
        <f>_xlfn.XLOOKUP($B80,'[1]Mar-26'!$A:$A,'[1]Mar-26'!$H:$H,0)</f>
        <v>0</v>
      </c>
      <c r="AG80" s="17">
        <f>_xlfn.XLOOKUP($B80,'[1]Apr-26'!$A:$A,'[1]Apr-26'!$H:$H,0)</f>
        <v>0</v>
      </c>
    </row>
    <row r="81" spans="1:33" x14ac:dyDescent="0.2">
      <c r="A81" s="58">
        <v>10390</v>
      </c>
      <c r="B81" s="56" t="str">
        <f t="shared" si="7"/>
        <v>10390</v>
      </c>
      <c r="C81" s="57" t="s">
        <v>302</v>
      </c>
      <c r="D81" s="57" t="s">
        <v>303</v>
      </c>
      <c r="E81" s="44" t="s">
        <v>334</v>
      </c>
      <c r="F81" s="17">
        <f>_xlfn.XLOOKUP($B81,'[1]Jan-24'!$A:$A,'[1]Jan-24'!$H:$H,0)</f>
        <v>0</v>
      </c>
      <c r="G81" s="17">
        <f>_xlfn.XLOOKUP($B81,'[1]Feb-24'!$A:$A,'[1]Feb-24'!$H:$H,0)</f>
        <v>0</v>
      </c>
      <c r="H81" s="17">
        <f>_xlfn.XLOOKUP($B81,'[1]Mar-24'!$A:$A,'[1]Mar-24'!$H:$H,0)</f>
        <v>0</v>
      </c>
      <c r="I81" s="17">
        <f>_xlfn.XLOOKUP($B81,'[1]Apr-24'!$A:$A,'[1]Apr-24'!$H:$H,0)</f>
        <v>0</v>
      </c>
      <c r="J81" s="17">
        <f>_xlfn.XLOOKUP($B81,'[1]May-24'!$A:$A,'[1]May-24'!$H:$H,0)</f>
        <v>0</v>
      </c>
      <c r="K81" s="17">
        <f>_xlfn.XLOOKUP($B81,'[1]Jun-24'!$A:$A,'[1]Jun-24'!$H:$H,0)</f>
        <v>0</v>
      </c>
      <c r="L81" s="17">
        <f>_xlfn.XLOOKUP($B81,'[1]Jul-24'!$A:$A,'[1]Jul-24'!$H:$H,0)</f>
        <v>0</v>
      </c>
      <c r="M81" s="17">
        <f>_xlfn.XLOOKUP($B81,'[1]Aug-24'!$A:$A,'[1]Aug-24'!$H:$H,0)</f>
        <v>0</v>
      </c>
      <c r="N81" s="17">
        <f>_xlfn.XLOOKUP($B81,'[1]Sep-24'!$A:$A,'[1]Sep-24'!$H:$H,0)</f>
        <v>0</v>
      </c>
      <c r="O81" s="17">
        <f>_xlfn.XLOOKUP($B81,'[1]Oct-24'!$A:$A,'[1]Oct-24'!$H:$H,0)</f>
        <v>0</v>
      </c>
      <c r="P81" s="17">
        <f>_xlfn.XLOOKUP($B81,'[1]Nov-24'!$A:$A,'[1]Nov-24'!$H:$H,0)</f>
        <v>0</v>
      </c>
      <c r="Q81" s="17">
        <f>_xlfn.XLOOKUP($B81,'[1]Dec-24'!$A:$A,'[1]Dec-24'!$H:$H,0)</f>
        <v>0</v>
      </c>
      <c r="R81" s="17">
        <f>_xlfn.XLOOKUP($B81,'[1]Jan-25'!$A:$A,'[1]Jan-25'!$H:$H,0)</f>
        <v>0</v>
      </c>
      <c r="S81" s="17">
        <f>_xlfn.XLOOKUP($B81,'[1]Feb-25'!$A:$A,'[1]Feb-25'!$H:$H,0)</f>
        <v>0</v>
      </c>
      <c r="T81" s="17">
        <f>_xlfn.XLOOKUP($B81,'[1]Mar-25'!$A:$A,'[1]Mar-25'!$H:$H,0)</f>
        <v>0</v>
      </c>
      <c r="U81" s="17">
        <f>_xlfn.XLOOKUP($B81,'[1]Apr-25'!$A:$A,'[1]Apr-25'!$H:$H,0)</f>
        <v>0</v>
      </c>
      <c r="V81" s="17">
        <f>_xlfn.XLOOKUP($B81,'[1]May-25'!$A:$A,'[1]May-25'!$H:$H,0)</f>
        <v>0</v>
      </c>
      <c r="W81" s="17">
        <f>_xlfn.XLOOKUP($B81,'[1]Jun-25'!$A:$A,'[1]Jun-25'!$H:$H,0)</f>
        <v>0</v>
      </c>
      <c r="X81" s="17">
        <f>_xlfn.XLOOKUP($B81,'[1]Jul-25'!$A:$A,'[1]Jul-25'!$H:$H,0)</f>
        <v>0</v>
      </c>
      <c r="Y81" s="17">
        <f>_xlfn.XLOOKUP($B81,'[1]Aug-25'!$A:$A,'[1]Aug-25'!$H:$H,0)</f>
        <v>0</v>
      </c>
      <c r="Z81" s="17">
        <f>_xlfn.XLOOKUP($B81,'[1]Sep-25'!$A:$A,'[1]Sep-25'!$H:$H,0)</f>
        <v>0</v>
      </c>
      <c r="AA81" s="17">
        <f>_xlfn.XLOOKUP($B81,'[1]Oct-25'!$A:$A,'[1]Oct-25'!$H:$H,0)</f>
        <v>0</v>
      </c>
      <c r="AB81" s="17">
        <f>_xlfn.XLOOKUP($B81,'[1]Nov-25'!$A:$A,'[1]Nov-25'!$H:$H,0)</f>
        <v>0</v>
      </c>
      <c r="AC81" s="17">
        <f>_xlfn.XLOOKUP($B81,'[1]Dec-25'!$A:$A,'[1]Dec-25'!$H:$H,0)</f>
        <v>0</v>
      </c>
      <c r="AD81" s="17">
        <f>_xlfn.XLOOKUP($B81,'[1]Jan-26'!$A:$A,'[1]Jan-26'!$H:$H,0)</f>
        <v>0</v>
      </c>
      <c r="AE81" s="17">
        <f>_xlfn.XLOOKUP($B81,'[1]Feb-26'!$A:$A,'[1]Feb-26'!$H:$H,0)</f>
        <v>0</v>
      </c>
      <c r="AF81" s="17">
        <f>_xlfn.XLOOKUP($B81,'[1]Mar-26'!$A:$A,'[1]Mar-26'!$H:$H,0)</f>
        <v>0</v>
      </c>
      <c r="AG81" s="17">
        <f>_xlfn.XLOOKUP($B81,'[1]Apr-26'!$A:$A,'[1]Apr-26'!$H:$H,0)</f>
        <v>0</v>
      </c>
    </row>
    <row r="82" spans="1:33" x14ac:dyDescent="0.2">
      <c r="A82" s="58">
        <v>10395</v>
      </c>
      <c r="B82" s="56" t="str">
        <f t="shared" si="7"/>
        <v>10395</v>
      </c>
      <c r="C82" s="57" t="s">
        <v>302</v>
      </c>
      <c r="D82" s="57" t="s">
        <v>303</v>
      </c>
      <c r="E82" s="44" t="s">
        <v>335</v>
      </c>
      <c r="F82" s="17">
        <f>_xlfn.XLOOKUP($B82,'[1]Jan-24'!$A:$A,'[1]Jan-24'!$H:$H,0)</f>
        <v>0</v>
      </c>
      <c r="G82" s="17">
        <f>_xlfn.XLOOKUP($B82,'[1]Feb-24'!$A:$A,'[1]Feb-24'!$H:$H,0)</f>
        <v>0</v>
      </c>
      <c r="H82" s="17">
        <f>_xlfn.XLOOKUP($B82,'[1]Mar-24'!$A:$A,'[1]Mar-24'!$H:$H,0)</f>
        <v>0</v>
      </c>
      <c r="I82" s="17">
        <f>_xlfn.XLOOKUP($B82,'[1]Apr-24'!$A:$A,'[1]Apr-24'!$H:$H,0)</f>
        <v>0</v>
      </c>
      <c r="J82" s="17">
        <f>_xlfn.XLOOKUP($B82,'[1]May-24'!$A:$A,'[1]May-24'!$H:$H,0)</f>
        <v>0</v>
      </c>
      <c r="K82" s="17">
        <f>_xlfn.XLOOKUP($B82,'[1]Jun-24'!$A:$A,'[1]Jun-24'!$H:$H,0)</f>
        <v>0</v>
      </c>
      <c r="L82" s="17">
        <f>_xlfn.XLOOKUP($B82,'[1]Jul-24'!$A:$A,'[1]Jul-24'!$H:$H,0)</f>
        <v>0</v>
      </c>
      <c r="M82" s="17">
        <f>_xlfn.XLOOKUP($B82,'[1]Aug-24'!$A:$A,'[1]Aug-24'!$H:$H,0)</f>
        <v>0</v>
      </c>
      <c r="N82" s="17">
        <f>_xlfn.XLOOKUP($B82,'[1]Sep-24'!$A:$A,'[1]Sep-24'!$H:$H,0)</f>
        <v>0</v>
      </c>
      <c r="O82" s="17">
        <f>_xlfn.XLOOKUP($B82,'[1]Oct-24'!$A:$A,'[1]Oct-24'!$H:$H,0)</f>
        <v>0</v>
      </c>
      <c r="P82" s="17">
        <f>_xlfn.XLOOKUP($B82,'[1]Nov-24'!$A:$A,'[1]Nov-24'!$H:$H,0)</f>
        <v>0</v>
      </c>
      <c r="Q82" s="17">
        <f>_xlfn.XLOOKUP($B82,'[1]Dec-24'!$A:$A,'[1]Dec-24'!$H:$H,0)</f>
        <v>0</v>
      </c>
      <c r="R82" s="17">
        <f>_xlfn.XLOOKUP($B82,'[1]Jan-25'!$A:$A,'[1]Jan-25'!$H:$H,0)</f>
        <v>0</v>
      </c>
      <c r="S82" s="17">
        <f>_xlfn.XLOOKUP($B82,'[1]Feb-25'!$A:$A,'[1]Feb-25'!$H:$H,0)</f>
        <v>0</v>
      </c>
      <c r="T82" s="17">
        <f>_xlfn.XLOOKUP($B82,'[1]Mar-25'!$A:$A,'[1]Mar-25'!$H:$H,0)</f>
        <v>0</v>
      </c>
      <c r="U82" s="17">
        <f>_xlfn.XLOOKUP($B82,'[1]Apr-25'!$A:$A,'[1]Apr-25'!$H:$H,0)</f>
        <v>0</v>
      </c>
      <c r="V82" s="17">
        <f>_xlfn.XLOOKUP($B82,'[1]May-25'!$A:$A,'[1]May-25'!$H:$H,0)</f>
        <v>0</v>
      </c>
      <c r="W82" s="17">
        <f>_xlfn.XLOOKUP($B82,'[1]Jun-25'!$A:$A,'[1]Jun-25'!$H:$H,0)</f>
        <v>0</v>
      </c>
      <c r="X82" s="17">
        <f>_xlfn.XLOOKUP($B82,'[1]Jul-25'!$A:$A,'[1]Jul-25'!$H:$H,0)</f>
        <v>0</v>
      </c>
      <c r="Y82" s="17">
        <f>_xlfn.XLOOKUP($B82,'[1]Aug-25'!$A:$A,'[1]Aug-25'!$H:$H,0)</f>
        <v>0</v>
      </c>
      <c r="Z82" s="17">
        <f>_xlfn.XLOOKUP($B82,'[1]Sep-25'!$A:$A,'[1]Sep-25'!$H:$H,0)</f>
        <v>0</v>
      </c>
      <c r="AA82" s="17">
        <f>_xlfn.XLOOKUP($B82,'[1]Oct-25'!$A:$A,'[1]Oct-25'!$H:$H,0)</f>
        <v>0</v>
      </c>
      <c r="AB82" s="17">
        <f>_xlfn.XLOOKUP($B82,'[1]Nov-25'!$A:$A,'[1]Nov-25'!$H:$H,0)</f>
        <v>0</v>
      </c>
      <c r="AC82" s="17">
        <f>_xlfn.XLOOKUP($B82,'[1]Dec-25'!$A:$A,'[1]Dec-25'!$H:$H,0)</f>
        <v>0</v>
      </c>
      <c r="AD82" s="17">
        <f>_xlfn.XLOOKUP($B82,'[1]Jan-26'!$A:$A,'[1]Jan-26'!$H:$H,0)</f>
        <v>0</v>
      </c>
      <c r="AE82" s="17">
        <f>_xlfn.XLOOKUP($B82,'[1]Feb-26'!$A:$A,'[1]Feb-26'!$H:$H,0)</f>
        <v>0</v>
      </c>
      <c r="AF82" s="17">
        <f>_xlfn.XLOOKUP($B82,'[1]Mar-26'!$A:$A,'[1]Mar-26'!$H:$H,0)</f>
        <v>0</v>
      </c>
      <c r="AG82" s="17">
        <f>_xlfn.XLOOKUP($B82,'[1]Apr-26'!$A:$A,'[1]Apr-26'!$H:$H,0)</f>
        <v>0</v>
      </c>
    </row>
    <row r="83" spans="1:33" x14ac:dyDescent="0.2">
      <c r="A83" s="58">
        <v>10400</v>
      </c>
      <c r="B83" s="56" t="str">
        <f t="shared" si="7"/>
        <v>10400</v>
      </c>
      <c r="C83" s="57" t="s">
        <v>302</v>
      </c>
      <c r="D83" s="57" t="s">
        <v>303</v>
      </c>
      <c r="E83" s="44" t="s">
        <v>336</v>
      </c>
      <c r="F83" s="17">
        <f>_xlfn.XLOOKUP($B83,'[1]Jan-24'!$A:$A,'[1]Jan-24'!$H:$H,0)</f>
        <v>0</v>
      </c>
      <c r="G83" s="17">
        <f>_xlfn.XLOOKUP($B83,'[1]Feb-24'!$A:$A,'[1]Feb-24'!$H:$H,0)</f>
        <v>0</v>
      </c>
      <c r="H83" s="17">
        <f>_xlfn.XLOOKUP($B83,'[1]Mar-24'!$A:$A,'[1]Mar-24'!$H:$H,0)</f>
        <v>0</v>
      </c>
      <c r="I83" s="17">
        <f>_xlfn.XLOOKUP($B83,'[1]Apr-24'!$A:$A,'[1]Apr-24'!$H:$H,0)</f>
        <v>0</v>
      </c>
      <c r="J83" s="17">
        <f>_xlfn.XLOOKUP($B83,'[1]May-24'!$A:$A,'[1]May-24'!$H:$H,0)</f>
        <v>0</v>
      </c>
      <c r="K83" s="17">
        <f>_xlfn.XLOOKUP($B83,'[1]Jun-24'!$A:$A,'[1]Jun-24'!$H:$H,0)</f>
        <v>0</v>
      </c>
      <c r="L83" s="17">
        <f>_xlfn.XLOOKUP($B83,'[1]Jul-24'!$A:$A,'[1]Jul-24'!$H:$H,0)</f>
        <v>0</v>
      </c>
      <c r="M83" s="17">
        <f>_xlfn.XLOOKUP($B83,'[1]Aug-24'!$A:$A,'[1]Aug-24'!$H:$H,0)</f>
        <v>0</v>
      </c>
      <c r="N83" s="17">
        <f>_xlfn.XLOOKUP($B83,'[1]Sep-24'!$A:$A,'[1]Sep-24'!$H:$H,0)</f>
        <v>0</v>
      </c>
      <c r="O83" s="17">
        <f>_xlfn.XLOOKUP($B83,'[1]Oct-24'!$A:$A,'[1]Oct-24'!$H:$H,0)</f>
        <v>0</v>
      </c>
      <c r="P83" s="17">
        <f>_xlfn.XLOOKUP($B83,'[1]Nov-24'!$A:$A,'[1]Nov-24'!$H:$H,0)</f>
        <v>0</v>
      </c>
      <c r="Q83" s="17">
        <f>_xlfn.XLOOKUP($B83,'[1]Dec-24'!$A:$A,'[1]Dec-24'!$H:$H,0)</f>
        <v>0</v>
      </c>
      <c r="R83" s="17">
        <f>_xlfn.XLOOKUP($B83,'[1]Jan-25'!$A:$A,'[1]Jan-25'!$H:$H,0)</f>
        <v>0</v>
      </c>
      <c r="S83" s="17">
        <f>_xlfn.XLOOKUP($B83,'[1]Feb-25'!$A:$A,'[1]Feb-25'!$H:$H,0)</f>
        <v>0</v>
      </c>
      <c r="T83" s="17">
        <f>_xlfn.XLOOKUP($B83,'[1]Mar-25'!$A:$A,'[1]Mar-25'!$H:$H,0)</f>
        <v>0</v>
      </c>
      <c r="U83" s="17">
        <f>_xlfn.XLOOKUP($B83,'[1]Apr-25'!$A:$A,'[1]Apr-25'!$H:$H,0)</f>
        <v>0</v>
      </c>
      <c r="V83" s="17">
        <f>_xlfn.XLOOKUP($B83,'[1]May-25'!$A:$A,'[1]May-25'!$H:$H,0)</f>
        <v>0</v>
      </c>
      <c r="W83" s="17">
        <f>_xlfn.XLOOKUP($B83,'[1]Jun-25'!$A:$A,'[1]Jun-25'!$H:$H,0)</f>
        <v>0</v>
      </c>
      <c r="X83" s="17">
        <f>_xlfn.XLOOKUP($B83,'[1]Jul-25'!$A:$A,'[1]Jul-25'!$H:$H,0)</f>
        <v>0</v>
      </c>
      <c r="Y83" s="17">
        <f>_xlfn.XLOOKUP($B83,'[1]Aug-25'!$A:$A,'[1]Aug-25'!$H:$H,0)</f>
        <v>0</v>
      </c>
      <c r="Z83" s="17">
        <f>_xlfn.XLOOKUP($B83,'[1]Sep-25'!$A:$A,'[1]Sep-25'!$H:$H,0)</f>
        <v>0</v>
      </c>
      <c r="AA83" s="17">
        <f>_xlfn.XLOOKUP($B83,'[1]Oct-25'!$A:$A,'[1]Oct-25'!$H:$H,0)</f>
        <v>0</v>
      </c>
      <c r="AB83" s="17">
        <f>_xlfn.XLOOKUP($B83,'[1]Nov-25'!$A:$A,'[1]Nov-25'!$H:$H,0)</f>
        <v>0</v>
      </c>
      <c r="AC83" s="17">
        <f>_xlfn.XLOOKUP($B83,'[1]Dec-25'!$A:$A,'[1]Dec-25'!$H:$H,0)</f>
        <v>0</v>
      </c>
      <c r="AD83" s="17">
        <f>_xlfn.XLOOKUP($B83,'[1]Jan-26'!$A:$A,'[1]Jan-26'!$H:$H,0)</f>
        <v>0</v>
      </c>
      <c r="AE83" s="17">
        <f>_xlfn.XLOOKUP($B83,'[1]Feb-26'!$A:$A,'[1]Feb-26'!$H:$H,0)</f>
        <v>0</v>
      </c>
      <c r="AF83" s="17">
        <f>_xlfn.XLOOKUP($B83,'[1]Mar-26'!$A:$A,'[1]Mar-26'!$H:$H,0)</f>
        <v>0</v>
      </c>
      <c r="AG83" s="17">
        <f>_xlfn.XLOOKUP($B83,'[1]Apr-26'!$A:$A,'[1]Apr-26'!$H:$H,0)</f>
        <v>0</v>
      </c>
    </row>
    <row r="84" spans="1:33" x14ac:dyDescent="0.2">
      <c r="A84" s="58">
        <v>10405</v>
      </c>
      <c r="B84" s="56" t="str">
        <f t="shared" si="7"/>
        <v>10405</v>
      </c>
      <c r="C84" s="57" t="s">
        <v>302</v>
      </c>
      <c r="D84" s="57" t="s">
        <v>303</v>
      </c>
      <c r="E84" s="44" t="s">
        <v>337</v>
      </c>
      <c r="F84" s="17">
        <f>_xlfn.XLOOKUP($B84,'[1]Jan-24'!$A:$A,'[1]Jan-24'!$H:$H,0)</f>
        <v>0</v>
      </c>
      <c r="G84" s="17">
        <f>_xlfn.XLOOKUP($B84,'[1]Feb-24'!$A:$A,'[1]Feb-24'!$H:$H,0)</f>
        <v>0</v>
      </c>
      <c r="H84" s="17">
        <f>_xlfn.XLOOKUP($B84,'[1]Mar-24'!$A:$A,'[1]Mar-24'!$H:$H,0)</f>
        <v>0</v>
      </c>
      <c r="I84" s="17">
        <f>_xlfn.XLOOKUP($B84,'[1]Apr-24'!$A:$A,'[1]Apr-24'!$H:$H,0)</f>
        <v>0</v>
      </c>
      <c r="J84" s="17">
        <f>_xlfn.XLOOKUP($B84,'[1]May-24'!$A:$A,'[1]May-24'!$H:$H,0)</f>
        <v>0</v>
      </c>
      <c r="K84" s="17">
        <f>_xlfn.XLOOKUP($B84,'[1]Jun-24'!$A:$A,'[1]Jun-24'!$H:$H,0)</f>
        <v>0</v>
      </c>
      <c r="L84" s="17">
        <f>_xlfn.XLOOKUP($B84,'[1]Jul-24'!$A:$A,'[1]Jul-24'!$H:$H,0)</f>
        <v>0</v>
      </c>
      <c r="M84" s="17">
        <f>_xlfn.XLOOKUP($B84,'[1]Aug-24'!$A:$A,'[1]Aug-24'!$H:$H,0)</f>
        <v>0</v>
      </c>
      <c r="N84" s="17">
        <f>_xlfn.XLOOKUP($B84,'[1]Sep-24'!$A:$A,'[1]Sep-24'!$H:$H,0)</f>
        <v>0</v>
      </c>
      <c r="O84" s="17">
        <f>_xlfn.XLOOKUP($B84,'[1]Oct-24'!$A:$A,'[1]Oct-24'!$H:$H,0)</f>
        <v>0</v>
      </c>
      <c r="P84" s="17">
        <f>_xlfn.XLOOKUP($B84,'[1]Nov-24'!$A:$A,'[1]Nov-24'!$H:$H,0)</f>
        <v>0</v>
      </c>
      <c r="Q84" s="17">
        <f>_xlfn.XLOOKUP($B84,'[1]Dec-24'!$A:$A,'[1]Dec-24'!$H:$H,0)</f>
        <v>0</v>
      </c>
      <c r="R84" s="17">
        <f>_xlfn.XLOOKUP($B84,'[1]Jan-25'!$A:$A,'[1]Jan-25'!$H:$H,0)</f>
        <v>0</v>
      </c>
      <c r="S84" s="17">
        <f>_xlfn.XLOOKUP($B84,'[1]Feb-25'!$A:$A,'[1]Feb-25'!$H:$H,0)</f>
        <v>0</v>
      </c>
      <c r="T84" s="17">
        <f>_xlfn.XLOOKUP($B84,'[1]Mar-25'!$A:$A,'[1]Mar-25'!$H:$H,0)</f>
        <v>0</v>
      </c>
      <c r="U84" s="17">
        <f>_xlfn.XLOOKUP($B84,'[1]Apr-25'!$A:$A,'[1]Apr-25'!$H:$H,0)</f>
        <v>0</v>
      </c>
      <c r="V84" s="17">
        <f>_xlfn.XLOOKUP($B84,'[1]May-25'!$A:$A,'[1]May-25'!$H:$H,0)</f>
        <v>0</v>
      </c>
      <c r="W84" s="17">
        <f>_xlfn.XLOOKUP($B84,'[1]Jun-25'!$A:$A,'[1]Jun-25'!$H:$H,0)</f>
        <v>0</v>
      </c>
      <c r="X84" s="17">
        <f>_xlfn.XLOOKUP($B84,'[1]Jul-25'!$A:$A,'[1]Jul-25'!$H:$H,0)</f>
        <v>0</v>
      </c>
      <c r="Y84" s="17">
        <f>_xlfn.XLOOKUP($B84,'[1]Aug-25'!$A:$A,'[1]Aug-25'!$H:$H,0)</f>
        <v>0</v>
      </c>
      <c r="Z84" s="17">
        <f>_xlfn.XLOOKUP($B84,'[1]Sep-25'!$A:$A,'[1]Sep-25'!$H:$H,0)</f>
        <v>0</v>
      </c>
      <c r="AA84" s="17">
        <f>_xlfn.XLOOKUP($B84,'[1]Oct-25'!$A:$A,'[1]Oct-25'!$H:$H,0)</f>
        <v>0</v>
      </c>
      <c r="AB84" s="17">
        <f>_xlfn.XLOOKUP($B84,'[1]Nov-25'!$A:$A,'[1]Nov-25'!$H:$H,0)</f>
        <v>0</v>
      </c>
      <c r="AC84" s="17">
        <f>_xlfn.XLOOKUP($B84,'[1]Dec-25'!$A:$A,'[1]Dec-25'!$H:$H,0)</f>
        <v>0</v>
      </c>
      <c r="AD84" s="17">
        <f>_xlfn.XLOOKUP($B84,'[1]Jan-26'!$A:$A,'[1]Jan-26'!$H:$H,0)</f>
        <v>0</v>
      </c>
      <c r="AE84" s="17">
        <f>_xlfn.XLOOKUP($B84,'[1]Feb-26'!$A:$A,'[1]Feb-26'!$H:$H,0)</f>
        <v>0</v>
      </c>
      <c r="AF84" s="17">
        <f>_xlfn.XLOOKUP($B84,'[1]Mar-26'!$A:$A,'[1]Mar-26'!$H:$H,0)</f>
        <v>0</v>
      </c>
      <c r="AG84" s="17">
        <f>_xlfn.XLOOKUP($B84,'[1]Apr-26'!$A:$A,'[1]Apr-26'!$H:$H,0)</f>
        <v>0</v>
      </c>
    </row>
    <row r="85" spans="1:33" x14ac:dyDescent="0.2">
      <c r="A85" s="58">
        <v>10410</v>
      </c>
      <c r="B85" s="56" t="str">
        <f t="shared" si="7"/>
        <v>10410</v>
      </c>
      <c r="C85" s="57" t="s">
        <v>302</v>
      </c>
      <c r="D85" s="57" t="s">
        <v>303</v>
      </c>
      <c r="E85" s="44" t="s">
        <v>338</v>
      </c>
      <c r="F85" s="17">
        <f>_xlfn.XLOOKUP($B85,'[1]Jan-24'!$A:$A,'[1]Jan-24'!$H:$H,0)</f>
        <v>0</v>
      </c>
      <c r="G85" s="17">
        <f>_xlfn.XLOOKUP($B85,'[1]Feb-24'!$A:$A,'[1]Feb-24'!$H:$H,0)</f>
        <v>0</v>
      </c>
      <c r="H85" s="17">
        <f>_xlfn.XLOOKUP($B85,'[1]Mar-24'!$A:$A,'[1]Mar-24'!$H:$H,0)</f>
        <v>0</v>
      </c>
      <c r="I85" s="17">
        <f>_xlfn.XLOOKUP($B85,'[1]Apr-24'!$A:$A,'[1]Apr-24'!$H:$H,0)</f>
        <v>0</v>
      </c>
      <c r="J85" s="17">
        <f>_xlfn.XLOOKUP($B85,'[1]May-24'!$A:$A,'[1]May-24'!$H:$H,0)</f>
        <v>0</v>
      </c>
      <c r="K85" s="17">
        <f>_xlfn.XLOOKUP($B85,'[1]Jun-24'!$A:$A,'[1]Jun-24'!$H:$H,0)</f>
        <v>0</v>
      </c>
      <c r="L85" s="17">
        <f>_xlfn.XLOOKUP($B85,'[1]Jul-24'!$A:$A,'[1]Jul-24'!$H:$H,0)</f>
        <v>0</v>
      </c>
      <c r="M85" s="17">
        <f>_xlfn.XLOOKUP($B85,'[1]Aug-24'!$A:$A,'[1]Aug-24'!$H:$H,0)</f>
        <v>0</v>
      </c>
      <c r="N85" s="17">
        <f>_xlfn.XLOOKUP($B85,'[1]Sep-24'!$A:$A,'[1]Sep-24'!$H:$H,0)</f>
        <v>0</v>
      </c>
      <c r="O85" s="17">
        <f>_xlfn.XLOOKUP($B85,'[1]Oct-24'!$A:$A,'[1]Oct-24'!$H:$H,0)</f>
        <v>0</v>
      </c>
      <c r="P85" s="17">
        <f>_xlfn.XLOOKUP($B85,'[1]Nov-24'!$A:$A,'[1]Nov-24'!$H:$H,0)</f>
        <v>0</v>
      </c>
      <c r="Q85" s="17">
        <f>_xlfn.XLOOKUP($B85,'[1]Dec-24'!$A:$A,'[1]Dec-24'!$H:$H,0)</f>
        <v>0</v>
      </c>
      <c r="R85" s="17">
        <f>_xlfn.XLOOKUP($B85,'[1]Jan-25'!$A:$A,'[1]Jan-25'!$H:$H,0)</f>
        <v>0</v>
      </c>
      <c r="S85" s="17">
        <f>_xlfn.XLOOKUP($B85,'[1]Feb-25'!$A:$A,'[1]Feb-25'!$H:$H,0)</f>
        <v>0</v>
      </c>
      <c r="T85" s="17">
        <f>_xlfn.XLOOKUP($B85,'[1]Mar-25'!$A:$A,'[1]Mar-25'!$H:$H,0)</f>
        <v>0</v>
      </c>
      <c r="U85" s="17">
        <f>_xlfn.XLOOKUP($B85,'[1]Apr-25'!$A:$A,'[1]Apr-25'!$H:$H,0)</f>
        <v>0</v>
      </c>
      <c r="V85" s="17">
        <f>_xlfn.XLOOKUP($B85,'[1]May-25'!$A:$A,'[1]May-25'!$H:$H,0)</f>
        <v>0</v>
      </c>
      <c r="W85" s="17">
        <f>_xlfn.XLOOKUP($B85,'[1]Jun-25'!$A:$A,'[1]Jun-25'!$H:$H,0)</f>
        <v>0</v>
      </c>
      <c r="X85" s="17">
        <f>_xlfn.XLOOKUP($B85,'[1]Jul-25'!$A:$A,'[1]Jul-25'!$H:$H,0)</f>
        <v>0</v>
      </c>
      <c r="Y85" s="17">
        <f>_xlfn.XLOOKUP($B85,'[1]Aug-25'!$A:$A,'[1]Aug-25'!$H:$H,0)</f>
        <v>0</v>
      </c>
      <c r="Z85" s="17">
        <f>_xlfn.XLOOKUP($B85,'[1]Sep-25'!$A:$A,'[1]Sep-25'!$H:$H,0)</f>
        <v>0</v>
      </c>
      <c r="AA85" s="17">
        <f>_xlfn.XLOOKUP($B85,'[1]Oct-25'!$A:$A,'[1]Oct-25'!$H:$H,0)</f>
        <v>0</v>
      </c>
      <c r="AB85" s="17">
        <f>_xlfn.XLOOKUP($B85,'[1]Nov-25'!$A:$A,'[1]Nov-25'!$H:$H,0)</f>
        <v>0</v>
      </c>
      <c r="AC85" s="17">
        <f>_xlfn.XLOOKUP($B85,'[1]Dec-25'!$A:$A,'[1]Dec-25'!$H:$H,0)</f>
        <v>0</v>
      </c>
      <c r="AD85" s="17">
        <f>_xlfn.XLOOKUP($B85,'[1]Jan-26'!$A:$A,'[1]Jan-26'!$H:$H,0)</f>
        <v>0</v>
      </c>
      <c r="AE85" s="17">
        <f>_xlfn.XLOOKUP($B85,'[1]Feb-26'!$A:$A,'[1]Feb-26'!$H:$H,0)</f>
        <v>0</v>
      </c>
      <c r="AF85" s="17">
        <f>_xlfn.XLOOKUP($B85,'[1]Mar-26'!$A:$A,'[1]Mar-26'!$H:$H,0)</f>
        <v>0</v>
      </c>
      <c r="AG85" s="17">
        <f>_xlfn.XLOOKUP($B85,'[1]Apr-26'!$A:$A,'[1]Apr-26'!$H:$H,0)</f>
        <v>0</v>
      </c>
    </row>
    <row r="86" spans="1:33" x14ac:dyDescent="0.2">
      <c r="A86" s="58">
        <v>10415</v>
      </c>
      <c r="B86" s="56" t="str">
        <f t="shared" si="7"/>
        <v>10415</v>
      </c>
      <c r="C86" s="57" t="s">
        <v>302</v>
      </c>
      <c r="D86" s="57" t="s">
        <v>303</v>
      </c>
      <c r="E86" s="44" t="s">
        <v>339</v>
      </c>
      <c r="F86" s="17">
        <f>_xlfn.XLOOKUP($B86,'[1]Jan-24'!$A:$A,'[1]Jan-24'!$H:$H,0)</f>
        <v>0</v>
      </c>
      <c r="G86" s="17">
        <f>_xlfn.XLOOKUP($B86,'[1]Feb-24'!$A:$A,'[1]Feb-24'!$H:$H,0)</f>
        <v>0</v>
      </c>
      <c r="H86" s="17">
        <f>_xlfn.XLOOKUP($B86,'[1]Mar-24'!$A:$A,'[1]Mar-24'!$H:$H,0)</f>
        <v>0</v>
      </c>
      <c r="I86" s="17">
        <f>_xlfn.XLOOKUP($B86,'[1]Apr-24'!$A:$A,'[1]Apr-24'!$H:$H,0)</f>
        <v>0</v>
      </c>
      <c r="J86" s="17">
        <f>_xlfn.XLOOKUP($B86,'[1]May-24'!$A:$A,'[1]May-24'!$H:$H,0)</f>
        <v>0</v>
      </c>
      <c r="K86" s="17">
        <f>_xlfn.XLOOKUP($B86,'[1]Jun-24'!$A:$A,'[1]Jun-24'!$H:$H,0)</f>
        <v>0</v>
      </c>
      <c r="L86" s="17">
        <f>_xlfn.XLOOKUP($B86,'[1]Jul-24'!$A:$A,'[1]Jul-24'!$H:$H,0)</f>
        <v>0</v>
      </c>
      <c r="M86" s="17">
        <f>_xlfn.XLOOKUP($B86,'[1]Aug-24'!$A:$A,'[1]Aug-24'!$H:$H,0)</f>
        <v>0</v>
      </c>
      <c r="N86" s="17">
        <f>_xlfn.XLOOKUP($B86,'[1]Sep-24'!$A:$A,'[1]Sep-24'!$H:$H,0)</f>
        <v>0</v>
      </c>
      <c r="O86" s="17">
        <f>_xlfn.XLOOKUP($B86,'[1]Oct-24'!$A:$A,'[1]Oct-24'!$H:$H,0)</f>
        <v>0</v>
      </c>
      <c r="P86" s="17">
        <f>_xlfn.XLOOKUP($B86,'[1]Nov-24'!$A:$A,'[1]Nov-24'!$H:$H,0)</f>
        <v>0</v>
      </c>
      <c r="Q86" s="17">
        <f>_xlfn.XLOOKUP($B86,'[1]Dec-24'!$A:$A,'[1]Dec-24'!$H:$H,0)</f>
        <v>0</v>
      </c>
      <c r="R86" s="17">
        <f>_xlfn.XLOOKUP($B86,'[1]Jan-25'!$A:$A,'[1]Jan-25'!$H:$H,0)</f>
        <v>0</v>
      </c>
      <c r="S86" s="17">
        <f>_xlfn.XLOOKUP($B86,'[1]Feb-25'!$A:$A,'[1]Feb-25'!$H:$H,0)</f>
        <v>0</v>
      </c>
      <c r="T86" s="17">
        <f>_xlfn.XLOOKUP($B86,'[1]Mar-25'!$A:$A,'[1]Mar-25'!$H:$H,0)</f>
        <v>0</v>
      </c>
      <c r="U86" s="17">
        <f>_xlfn.XLOOKUP($B86,'[1]Apr-25'!$A:$A,'[1]Apr-25'!$H:$H,0)</f>
        <v>0</v>
      </c>
      <c r="V86" s="17">
        <f>_xlfn.XLOOKUP($B86,'[1]May-25'!$A:$A,'[1]May-25'!$H:$H,0)</f>
        <v>0</v>
      </c>
      <c r="W86" s="17">
        <f>_xlfn.XLOOKUP($B86,'[1]Jun-25'!$A:$A,'[1]Jun-25'!$H:$H,0)</f>
        <v>0</v>
      </c>
      <c r="X86" s="17">
        <f>_xlfn.XLOOKUP($B86,'[1]Jul-25'!$A:$A,'[1]Jul-25'!$H:$H,0)</f>
        <v>0</v>
      </c>
      <c r="Y86" s="17">
        <f>_xlfn.XLOOKUP($B86,'[1]Aug-25'!$A:$A,'[1]Aug-25'!$H:$H,0)</f>
        <v>0</v>
      </c>
      <c r="Z86" s="17">
        <f>_xlfn.XLOOKUP($B86,'[1]Sep-25'!$A:$A,'[1]Sep-25'!$H:$H,0)</f>
        <v>0</v>
      </c>
      <c r="AA86" s="17">
        <f>_xlfn.XLOOKUP($B86,'[1]Oct-25'!$A:$A,'[1]Oct-25'!$H:$H,0)</f>
        <v>0</v>
      </c>
      <c r="AB86" s="17">
        <f>_xlfn.XLOOKUP($B86,'[1]Nov-25'!$A:$A,'[1]Nov-25'!$H:$H,0)</f>
        <v>0</v>
      </c>
      <c r="AC86" s="17">
        <f>_xlfn.XLOOKUP($B86,'[1]Dec-25'!$A:$A,'[1]Dec-25'!$H:$H,0)</f>
        <v>0</v>
      </c>
      <c r="AD86" s="17">
        <f>_xlfn.XLOOKUP($B86,'[1]Jan-26'!$A:$A,'[1]Jan-26'!$H:$H,0)</f>
        <v>0</v>
      </c>
      <c r="AE86" s="17">
        <f>_xlfn.XLOOKUP($B86,'[1]Feb-26'!$A:$A,'[1]Feb-26'!$H:$H,0)</f>
        <v>0</v>
      </c>
      <c r="AF86" s="17">
        <f>_xlfn.XLOOKUP($B86,'[1]Mar-26'!$A:$A,'[1]Mar-26'!$H:$H,0)</f>
        <v>0</v>
      </c>
      <c r="AG86" s="17">
        <f>_xlfn.XLOOKUP($B86,'[1]Apr-26'!$A:$A,'[1]Apr-26'!$H:$H,0)</f>
        <v>0</v>
      </c>
    </row>
    <row r="87" spans="1:33" x14ac:dyDescent="0.2">
      <c r="A87" s="58">
        <v>10420</v>
      </c>
      <c r="B87" s="56" t="str">
        <f t="shared" si="7"/>
        <v>10420</v>
      </c>
      <c r="C87" s="57" t="s">
        <v>302</v>
      </c>
      <c r="D87" s="57" t="s">
        <v>303</v>
      </c>
      <c r="E87" s="44" t="s">
        <v>340</v>
      </c>
      <c r="F87" s="17">
        <f>_xlfn.XLOOKUP($B87,'[1]Jan-24'!$A:$A,'[1]Jan-24'!$H:$H,0)</f>
        <v>0</v>
      </c>
      <c r="G87" s="17">
        <f>_xlfn.XLOOKUP($B87,'[1]Feb-24'!$A:$A,'[1]Feb-24'!$H:$H,0)</f>
        <v>0</v>
      </c>
      <c r="H87" s="17">
        <f>_xlfn.XLOOKUP($B87,'[1]Mar-24'!$A:$A,'[1]Mar-24'!$H:$H,0)</f>
        <v>0</v>
      </c>
      <c r="I87" s="17">
        <f>_xlfn.XLOOKUP($B87,'[1]Apr-24'!$A:$A,'[1]Apr-24'!$H:$H,0)</f>
        <v>0</v>
      </c>
      <c r="J87" s="17">
        <f>_xlfn.XLOOKUP($B87,'[1]May-24'!$A:$A,'[1]May-24'!$H:$H,0)</f>
        <v>0</v>
      </c>
      <c r="K87" s="17">
        <f>_xlfn.XLOOKUP($B87,'[1]Jun-24'!$A:$A,'[1]Jun-24'!$H:$H,0)</f>
        <v>0</v>
      </c>
      <c r="L87" s="17">
        <f>_xlfn.XLOOKUP($B87,'[1]Jul-24'!$A:$A,'[1]Jul-24'!$H:$H,0)</f>
        <v>0</v>
      </c>
      <c r="M87" s="17">
        <f>_xlfn.XLOOKUP($B87,'[1]Aug-24'!$A:$A,'[1]Aug-24'!$H:$H,0)</f>
        <v>0</v>
      </c>
      <c r="N87" s="17">
        <f>_xlfn.XLOOKUP($B87,'[1]Sep-24'!$A:$A,'[1]Sep-24'!$H:$H,0)</f>
        <v>0</v>
      </c>
      <c r="O87" s="17">
        <f>_xlfn.XLOOKUP($B87,'[1]Oct-24'!$A:$A,'[1]Oct-24'!$H:$H,0)</f>
        <v>0</v>
      </c>
      <c r="P87" s="17">
        <f>_xlfn.XLOOKUP($B87,'[1]Nov-24'!$A:$A,'[1]Nov-24'!$H:$H,0)</f>
        <v>0</v>
      </c>
      <c r="Q87" s="17">
        <f>_xlfn.XLOOKUP($B87,'[1]Dec-24'!$A:$A,'[1]Dec-24'!$H:$H,0)</f>
        <v>0</v>
      </c>
      <c r="R87" s="17">
        <f>_xlfn.XLOOKUP($B87,'[1]Jan-25'!$A:$A,'[1]Jan-25'!$H:$H,0)</f>
        <v>0</v>
      </c>
      <c r="S87" s="17">
        <f>_xlfn.XLOOKUP($B87,'[1]Feb-25'!$A:$A,'[1]Feb-25'!$H:$H,0)</f>
        <v>0</v>
      </c>
      <c r="T87" s="17">
        <f>_xlfn.XLOOKUP($B87,'[1]Mar-25'!$A:$A,'[1]Mar-25'!$H:$H,0)</f>
        <v>0</v>
      </c>
      <c r="U87" s="17">
        <f>_xlfn.XLOOKUP($B87,'[1]Apr-25'!$A:$A,'[1]Apr-25'!$H:$H,0)</f>
        <v>0</v>
      </c>
      <c r="V87" s="17">
        <f>_xlfn.XLOOKUP($B87,'[1]May-25'!$A:$A,'[1]May-25'!$H:$H,0)</f>
        <v>0</v>
      </c>
      <c r="W87" s="17">
        <f>_xlfn.XLOOKUP($B87,'[1]Jun-25'!$A:$A,'[1]Jun-25'!$H:$H,0)</f>
        <v>0</v>
      </c>
      <c r="X87" s="17">
        <f>_xlfn.XLOOKUP($B87,'[1]Jul-25'!$A:$A,'[1]Jul-25'!$H:$H,0)</f>
        <v>0</v>
      </c>
      <c r="Y87" s="17">
        <f>_xlfn.XLOOKUP($B87,'[1]Aug-25'!$A:$A,'[1]Aug-25'!$H:$H,0)</f>
        <v>0</v>
      </c>
      <c r="Z87" s="17">
        <f>_xlfn.XLOOKUP($B87,'[1]Sep-25'!$A:$A,'[1]Sep-25'!$H:$H,0)</f>
        <v>0</v>
      </c>
      <c r="AA87" s="17">
        <f>_xlfn.XLOOKUP($B87,'[1]Oct-25'!$A:$A,'[1]Oct-25'!$H:$H,0)</f>
        <v>0</v>
      </c>
      <c r="AB87" s="17">
        <f>_xlfn.XLOOKUP($B87,'[1]Nov-25'!$A:$A,'[1]Nov-25'!$H:$H,0)</f>
        <v>0</v>
      </c>
      <c r="AC87" s="17">
        <f>_xlfn.XLOOKUP($B87,'[1]Dec-25'!$A:$A,'[1]Dec-25'!$H:$H,0)</f>
        <v>0</v>
      </c>
      <c r="AD87" s="17">
        <f>_xlfn.XLOOKUP($B87,'[1]Jan-26'!$A:$A,'[1]Jan-26'!$H:$H,0)</f>
        <v>0</v>
      </c>
      <c r="AE87" s="17">
        <f>_xlfn.XLOOKUP($B87,'[1]Feb-26'!$A:$A,'[1]Feb-26'!$H:$H,0)</f>
        <v>0</v>
      </c>
      <c r="AF87" s="17">
        <f>_xlfn.XLOOKUP($B87,'[1]Mar-26'!$A:$A,'[1]Mar-26'!$H:$H,0)</f>
        <v>0</v>
      </c>
      <c r="AG87" s="17">
        <f>_xlfn.XLOOKUP($B87,'[1]Apr-26'!$A:$A,'[1]Apr-26'!$H:$H,0)</f>
        <v>0</v>
      </c>
    </row>
    <row r="88" spans="1:33" x14ac:dyDescent="0.2">
      <c r="A88" s="58">
        <v>10425</v>
      </c>
      <c r="B88" s="56" t="str">
        <f t="shared" si="7"/>
        <v>10425</v>
      </c>
      <c r="C88" s="57" t="s">
        <v>302</v>
      </c>
      <c r="D88" s="57" t="s">
        <v>303</v>
      </c>
      <c r="E88" s="44" t="s">
        <v>341</v>
      </c>
      <c r="F88" s="17">
        <f>_xlfn.XLOOKUP($B88,'[1]Jan-24'!$A:$A,'[1]Jan-24'!$H:$H,0)</f>
        <v>0</v>
      </c>
      <c r="G88" s="17">
        <f>_xlfn.XLOOKUP($B88,'[1]Feb-24'!$A:$A,'[1]Feb-24'!$H:$H,0)</f>
        <v>0</v>
      </c>
      <c r="H88" s="17">
        <f>_xlfn.XLOOKUP($B88,'[1]Mar-24'!$A:$A,'[1]Mar-24'!$H:$H,0)</f>
        <v>0</v>
      </c>
      <c r="I88" s="17">
        <f>_xlfn.XLOOKUP($B88,'[1]Apr-24'!$A:$A,'[1]Apr-24'!$H:$H,0)</f>
        <v>0</v>
      </c>
      <c r="J88" s="17">
        <f>_xlfn.XLOOKUP($B88,'[1]May-24'!$A:$A,'[1]May-24'!$H:$H,0)</f>
        <v>0</v>
      </c>
      <c r="K88" s="17">
        <f>_xlfn.XLOOKUP($B88,'[1]Jun-24'!$A:$A,'[1]Jun-24'!$H:$H,0)</f>
        <v>0</v>
      </c>
      <c r="L88" s="17">
        <f>_xlfn.XLOOKUP($B88,'[1]Jul-24'!$A:$A,'[1]Jul-24'!$H:$H,0)</f>
        <v>0</v>
      </c>
      <c r="M88" s="17">
        <f>_xlfn.XLOOKUP($B88,'[1]Aug-24'!$A:$A,'[1]Aug-24'!$H:$H,0)</f>
        <v>0</v>
      </c>
      <c r="N88" s="17">
        <f>_xlfn.XLOOKUP($B88,'[1]Sep-24'!$A:$A,'[1]Sep-24'!$H:$H,0)</f>
        <v>0</v>
      </c>
      <c r="O88" s="17">
        <f>_xlfn.XLOOKUP($B88,'[1]Oct-24'!$A:$A,'[1]Oct-24'!$H:$H,0)</f>
        <v>0</v>
      </c>
      <c r="P88" s="17">
        <f>_xlfn.XLOOKUP($B88,'[1]Nov-24'!$A:$A,'[1]Nov-24'!$H:$H,0)</f>
        <v>0</v>
      </c>
      <c r="Q88" s="17">
        <f>_xlfn.XLOOKUP($B88,'[1]Dec-24'!$A:$A,'[1]Dec-24'!$H:$H,0)</f>
        <v>0</v>
      </c>
      <c r="R88" s="17">
        <f>_xlfn.XLOOKUP($B88,'[1]Jan-25'!$A:$A,'[1]Jan-25'!$H:$H,0)</f>
        <v>0</v>
      </c>
      <c r="S88" s="17">
        <f>_xlfn.XLOOKUP($B88,'[1]Feb-25'!$A:$A,'[1]Feb-25'!$H:$H,0)</f>
        <v>0</v>
      </c>
      <c r="T88" s="17">
        <f>_xlfn.XLOOKUP($B88,'[1]Mar-25'!$A:$A,'[1]Mar-25'!$H:$H,0)</f>
        <v>0</v>
      </c>
      <c r="U88" s="17">
        <f>_xlfn.XLOOKUP($B88,'[1]Apr-25'!$A:$A,'[1]Apr-25'!$H:$H,0)</f>
        <v>0</v>
      </c>
      <c r="V88" s="17">
        <f>_xlfn.XLOOKUP($B88,'[1]May-25'!$A:$A,'[1]May-25'!$H:$H,0)</f>
        <v>0</v>
      </c>
      <c r="W88" s="17">
        <f>_xlfn.XLOOKUP($B88,'[1]Jun-25'!$A:$A,'[1]Jun-25'!$H:$H,0)</f>
        <v>0</v>
      </c>
      <c r="X88" s="17">
        <f>_xlfn.XLOOKUP($B88,'[1]Jul-25'!$A:$A,'[1]Jul-25'!$H:$H,0)</f>
        <v>0</v>
      </c>
      <c r="Y88" s="17">
        <f>_xlfn.XLOOKUP($B88,'[1]Aug-25'!$A:$A,'[1]Aug-25'!$H:$H,0)</f>
        <v>0</v>
      </c>
      <c r="Z88" s="17">
        <f>_xlfn.XLOOKUP($B88,'[1]Sep-25'!$A:$A,'[1]Sep-25'!$H:$H,0)</f>
        <v>0</v>
      </c>
      <c r="AA88" s="17">
        <f>_xlfn.XLOOKUP($B88,'[1]Oct-25'!$A:$A,'[1]Oct-25'!$H:$H,0)</f>
        <v>0</v>
      </c>
      <c r="AB88" s="17">
        <f>_xlfn.XLOOKUP($B88,'[1]Nov-25'!$A:$A,'[1]Nov-25'!$H:$H,0)</f>
        <v>0</v>
      </c>
      <c r="AC88" s="17">
        <f>_xlfn.XLOOKUP($B88,'[1]Dec-25'!$A:$A,'[1]Dec-25'!$H:$H,0)</f>
        <v>0</v>
      </c>
      <c r="AD88" s="17">
        <f>_xlfn.XLOOKUP($B88,'[1]Jan-26'!$A:$A,'[1]Jan-26'!$H:$H,0)</f>
        <v>0</v>
      </c>
      <c r="AE88" s="17">
        <f>_xlfn.XLOOKUP($B88,'[1]Feb-26'!$A:$A,'[1]Feb-26'!$H:$H,0)</f>
        <v>0</v>
      </c>
      <c r="AF88" s="17">
        <f>_xlfn.XLOOKUP($B88,'[1]Mar-26'!$A:$A,'[1]Mar-26'!$H:$H,0)</f>
        <v>0</v>
      </c>
      <c r="AG88" s="17">
        <f>_xlfn.XLOOKUP($B88,'[1]Apr-26'!$A:$A,'[1]Apr-26'!$H:$H,0)</f>
        <v>0</v>
      </c>
    </row>
    <row r="89" spans="1:33" x14ac:dyDescent="0.2">
      <c r="A89" s="58">
        <v>10430</v>
      </c>
      <c r="B89" s="56" t="str">
        <f t="shared" si="7"/>
        <v>10430</v>
      </c>
      <c r="C89" s="57" t="s">
        <v>302</v>
      </c>
      <c r="D89" s="57" t="s">
        <v>303</v>
      </c>
      <c r="E89" s="44" t="s">
        <v>342</v>
      </c>
      <c r="F89" s="17">
        <f>_xlfn.XLOOKUP($B89,'[1]Jan-24'!$A:$A,'[1]Jan-24'!$H:$H,0)</f>
        <v>0</v>
      </c>
      <c r="G89" s="17">
        <f>_xlfn.XLOOKUP($B89,'[1]Feb-24'!$A:$A,'[1]Feb-24'!$H:$H,0)</f>
        <v>0</v>
      </c>
      <c r="H89" s="17">
        <f>_xlfn.XLOOKUP($B89,'[1]Mar-24'!$A:$A,'[1]Mar-24'!$H:$H,0)</f>
        <v>0</v>
      </c>
      <c r="I89" s="17">
        <f>_xlfn.XLOOKUP($B89,'[1]Apr-24'!$A:$A,'[1]Apr-24'!$H:$H,0)</f>
        <v>0</v>
      </c>
      <c r="J89" s="17">
        <f>_xlfn.XLOOKUP($B89,'[1]May-24'!$A:$A,'[1]May-24'!$H:$H,0)</f>
        <v>0</v>
      </c>
      <c r="K89" s="17">
        <f>_xlfn.XLOOKUP($B89,'[1]Jun-24'!$A:$A,'[1]Jun-24'!$H:$H,0)</f>
        <v>0</v>
      </c>
      <c r="L89" s="17">
        <f>_xlfn.XLOOKUP($B89,'[1]Jul-24'!$A:$A,'[1]Jul-24'!$H:$H,0)</f>
        <v>0</v>
      </c>
      <c r="M89" s="17">
        <f>_xlfn.XLOOKUP($B89,'[1]Aug-24'!$A:$A,'[1]Aug-24'!$H:$H,0)</f>
        <v>0</v>
      </c>
      <c r="N89" s="17">
        <f>_xlfn.XLOOKUP($B89,'[1]Sep-24'!$A:$A,'[1]Sep-24'!$H:$H,0)</f>
        <v>0</v>
      </c>
      <c r="O89" s="17">
        <f>_xlfn.XLOOKUP($B89,'[1]Oct-24'!$A:$A,'[1]Oct-24'!$H:$H,0)</f>
        <v>0</v>
      </c>
      <c r="P89" s="17">
        <f>_xlfn.XLOOKUP($B89,'[1]Nov-24'!$A:$A,'[1]Nov-24'!$H:$H,0)</f>
        <v>0</v>
      </c>
      <c r="Q89" s="17">
        <f>_xlfn.XLOOKUP($B89,'[1]Dec-24'!$A:$A,'[1]Dec-24'!$H:$H,0)</f>
        <v>0</v>
      </c>
      <c r="R89" s="17">
        <f>_xlfn.XLOOKUP($B89,'[1]Jan-25'!$A:$A,'[1]Jan-25'!$H:$H,0)</f>
        <v>0</v>
      </c>
      <c r="S89" s="17">
        <f>_xlfn.XLOOKUP($B89,'[1]Feb-25'!$A:$A,'[1]Feb-25'!$H:$H,0)</f>
        <v>0</v>
      </c>
      <c r="T89" s="17">
        <f>_xlfn.XLOOKUP($B89,'[1]Mar-25'!$A:$A,'[1]Mar-25'!$H:$H,0)</f>
        <v>0</v>
      </c>
      <c r="U89" s="17">
        <f>_xlfn.XLOOKUP($B89,'[1]Apr-25'!$A:$A,'[1]Apr-25'!$H:$H,0)</f>
        <v>0</v>
      </c>
      <c r="V89" s="17">
        <f>_xlfn.XLOOKUP($B89,'[1]May-25'!$A:$A,'[1]May-25'!$H:$H,0)</f>
        <v>0</v>
      </c>
      <c r="W89" s="17">
        <f>_xlfn.XLOOKUP($B89,'[1]Jun-25'!$A:$A,'[1]Jun-25'!$H:$H,0)</f>
        <v>0</v>
      </c>
      <c r="X89" s="17">
        <f>_xlfn.XLOOKUP($B89,'[1]Jul-25'!$A:$A,'[1]Jul-25'!$H:$H,0)</f>
        <v>0</v>
      </c>
      <c r="Y89" s="17">
        <f>_xlfn.XLOOKUP($B89,'[1]Aug-25'!$A:$A,'[1]Aug-25'!$H:$H,0)</f>
        <v>0</v>
      </c>
      <c r="Z89" s="17">
        <f>_xlfn.XLOOKUP($B89,'[1]Sep-25'!$A:$A,'[1]Sep-25'!$H:$H,0)</f>
        <v>0</v>
      </c>
      <c r="AA89" s="17">
        <f>_xlfn.XLOOKUP($B89,'[1]Oct-25'!$A:$A,'[1]Oct-25'!$H:$H,0)</f>
        <v>0</v>
      </c>
      <c r="AB89" s="17">
        <f>_xlfn.XLOOKUP($B89,'[1]Nov-25'!$A:$A,'[1]Nov-25'!$H:$H,0)</f>
        <v>0</v>
      </c>
      <c r="AC89" s="17">
        <f>_xlfn.XLOOKUP($B89,'[1]Dec-25'!$A:$A,'[1]Dec-25'!$H:$H,0)</f>
        <v>0</v>
      </c>
      <c r="AD89" s="17">
        <f>_xlfn.XLOOKUP($B89,'[1]Jan-26'!$A:$A,'[1]Jan-26'!$H:$H,0)</f>
        <v>0</v>
      </c>
      <c r="AE89" s="17">
        <f>_xlfn.XLOOKUP($B89,'[1]Feb-26'!$A:$A,'[1]Feb-26'!$H:$H,0)</f>
        <v>0</v>
      </c>
      <c r="AF89" s="17">
        <f>_xlfn.XLOOKUP($B89,'[1]Mar-26'!$A:$A,'[1]Mar-26'!$H:$H,0)</f>
        <v>0</v>
      </c>
      <c r="AG89" s="17">
        <f>_xlfn.XLOOKUP($B89,'[1]Apr-26'!$A:$A,'[1]Apr-26'!$H:$H,0)</f>
        <v>0</v>
      </c>
    </row>
    <row r="90" spans="1:33" x14ac:dyDescent="0.2">
      <c r="A90" s="58">
        <v>10435</v>
      </c>
      <c r="B90" s="56" t="str">
        <f t="shared" si="7"/>
        <v>10435</v>
      </c>
      <c r="C90" s="57" t="s">
        <v>302</v>
      </c>
      <c r="D90" s="57" t="s">
        <v>303</v>
      </c>
      <c r="E90" s="44" t="s">
        <v>343</v>
      </c>
      <c r="F90" s="17">
        <f>_xlfn.XLOOKUP($B90,'[1]Jan-24'!$A:$A,'[1]Jan-24'!$H:$H,0)</f>
        <v>0</v>
      </c>
      <c r="G90" s="17">
        <f>_xlfn.XLOOKUP($B90,'[1]Feb-24'!$A:$A,'[1]Feb-24'!$H:$H,0)</f>
        <v>0</v>
      </c>
      <c r="H90" s="17">
        <f>_xlfn.XLOOKUP($B90,'[1]Mar-24'!$A:$A,'[1]Mar-24'!$H:$H,0)</f>
        <v>0</v>
      </c>
      <c r="I90" s="17">
        <f>_xlfn.XLOOKUP($B90,'[1]Apr-24'!$A:$A,'[1]Apr-24'!$H:$H,0)</f>
        <v>0</v>
      </c>
      <c r="J90" s="17">
        <f>_xlfn.XLOOKUP($B90,'[1]May-24'!$A:$A,'[1]May-24'!$H:$H,0)</f>
        <v>0</v>
      </c>
      <c r="K90" s="17">
        <f>_xlfn.XLOOKUP($B90,'[1]Jun-24'!$A:$A,'[1]Jun-24'!$H:$H,0)</f>
        <v>0</v>
      </c>
      <c r="L90" s="17">
        <f>_xlfn.XLOOKUP($B90,'[1]Jul-24'!$A:$A,'[1]Jul-24'!$H:$H,0)</f>
        <v>0</v>
      </c>
      <c r="M90" s="17">
        <f>_xlfn.XLOOKUP($B90,'[1]Aug-24'!$A:$A,'[1]Aug-24'!$H:$H,0)</f>
        <v>0</v>
      </c>
      <c r="N90" s="17">
        <f>_xlfn.XLOOKUP($B90,'[1]Sep-24'!$A:$A,'[1]Sep-24'!$H:$H,0)</f>
        <v>0</v>
      </c>
      <c r="O90" s="17">
        <f>_xlfn.XLOOKUP($B90,'[1]Oct-24'!$A:$A,'[1]Oct-24'!$H:$H,0)</f>
        <v>0</v>
      </c>
      <c r="P90" s="17">
        <f>_xlfn.XLOOKUP($B90,'[1]Nov-24'!$A:$A,'[1]Nov-24'!$H:$H,0)</f>
        <v>0</v>
      </c>
      <c r="Q90" s="17">
        <f>_xlfn.XLOOKUP($B90,'[1]Dec-24'!$A:$A,'[1]Dec-24'!$H:$H,0)</f>
        <v>0</v>
      </c>
      <c r="R90" s="17">
        <f>_xlfn.XLOOKUP($B90,'[1]Jan-25'!$A:$A,'[1]Jan-25'!$H:$H,0)</f>
        <v>0</v>
      </c>
      <c r="S90" s="17">
        <f>_xlfn.XLOOKUP($B90,'[1]Feb-25'!$A:$A,'[1]Feb-25'!$H:$H,0)</f>
        <v>0</v>
      </c>
      <c r="T90" s="17">
        <f>_xlfn.XLOOKUP($B90,'[1]Mar-25'!$A:$A,'[1]Mar-25'!$H:$H,0)</f>
        <v>0</v>
      </c>
      <c r="U90" s="17">
        <f>_xlfn.XLOOKUP($B90,'[1]Apr-25'!$A:$A,'[1]Apr-25'!$H:$H,0)</f>
        <v>0</v>
      </c>
      <c r="V90" s="17">
        <f>_xlfn.XLOOKUP($B90,'[1]May-25'!$A:$A,'[1]May-25'!$H:$H,0)</f>
        <v>0</v>
      </c>
      <c r="W90" s="17">
        <f>_xlfn.XLOOKUP($B90,'[1]Jun-25'!$A:$A,'[1]Jun-25'!$H:$H,0)</f>
        <v>0</v>
      </c>
      <c r="X90" s="17">
        <f>_xlfn.XLOOKUP($B90,'[1]Jul-25'!$A:$A,'[1]Jul-25'!$H:$H,0)</f>
        <v>0</v>
      </c>
      <c r="Y90" s="17">
        <f>_xlfn.XLOOKUP($B90,'[1]Aug-25'!$A:$A,'[1]Aug-25'!$H:$H,0)</f>
        <v>0</v>
      </c>
      <c r="Z90" s="17">
        <f>_xlfn.XLOOKUP($B90,'[1]Sep-25'!$A:$A,'[1]Sep-25'!$H:$H,0)</f>
        <v>0</v>
      </c>
      <c r="AA90" s="17">
        <f>_xlfn.XLOOKUP($B90,'[1]Oct-25'!$A:$A,'[1]Oct-25'!$H:$H,0)</f>
        <v>0</v>
      </c>
      <c r="AB90" s="17">
        <f>_xlfn.XLOOKUP($B90,'[1]Nov-25'!$A:$A,'[1]Nov-25'!$H:$H,0)</f>
        <v>0</v>
      </c>
      <c r="AC90" s="17">
        <f>_xlfn.XLOOKUP($B90,'[1]Dec-25'!$A:$A,'[1]Dec-25'!$H:$H,0)</f>
        <v>0</v>
      </c>
      <c r="AD90" s="17">
        <f>_xlfn.XLOOKUP($B90,'[1]Jan-26'!$A:$A,'[1]Jan-26'!$H:$H,0)</f>
        <v>0</v>
      </c>
      <c r="AE90" s="17">
        <f>_xlfn.XLOOKUP($B90,'[1]Feb-26'!$A:$A,'[1]Feb-26'!$H:$H,0)</f>
        <v>0</v>
      </c>
      <c r="AF90" s="17">
        <f>_xlfn.XLOOKUP($B90,'[1]Mar-26'!$A:$A,'[1]Mar-26'!$H:$H,0)</f>
        <v>0</v>
      </c>
      <c r="AG90" s="17">
        <f>_xlfn.XLOOKUP($B90,'[1]Apr-26'!$A:$A,'[1]Apr-26'!$H:$H,0)</f>
        <v>0</v>
      </c>
    </row>
    <row r="91" spans="1:33" x14ac:dyDescent="0.2">
      <c r="A91" s="58">
        <v>10440</v>
      </c>
      <c r="B91" s="56" t="str">
        <f t="shared" si="7"/>
        <v>10440</v>
      </c>
      <c r="C91" s="57" t="s">
        <v>302</v>
      </c>
      <c r="D91" s="57" t="s">
        <v>303</v>
      </c>
      <c r="E91" s="44" t="s">
        <v>344</v>
      </c>
      <c r="F91" s="17">
        <f>_xlfn.XLOOKUP($B91,'[1]Jan-24'!$A:$A,'[1]Jan-24'!$H:$H,0)</f>
        <v>0</v>
      </c>
      <c r="G91" s="17">
        <f>_xlfn.XLOOKUP($B91,'[1]Feb-24'!$A:$A,'[1]Feb-24'!$H:$H,0)</f>
        <v>0</v>
      </c>
      <c r="H91" s="17">
        <f>_xlfn.XLOOKUP($B91,'[1]Mar-24'!$A:$A,'[1]Mar-24'!$H:$H,0)</f>
        <v>0</v>
      </c>
      <c r="I91" s="17">
        <f>_xlfn.XLOOKUP($B91,'[1]Apr-24'!$A:$A,'[1]Apr-24'!$H:$H,0)</f>
        <v>0</v>
      </c>
      <c r="J91" s="17">
        <f>_xlfn.XLOOKUP($B91,'[1]May-24'!$A:$A,'[1]May-24'!$H:$H,0)</f>
        <v>0</v>
      </c>
      <c r="K91" s="17">
        <f>_xlfn.XLOOKUP($B91,'[1]Jun-24'!$A:$A,'[1]Jun-24'!$H:$H,0)</f>
        <v>0</v>
      </c>
      <c r="L91" s="17">
        <f>_xlfn.XLOOKUP($B91,'[1]Jul-24'!$A:$A,'[1]Jul-24'!$H:$H,0)</f>
        <v>0</v>
      </c>
      <c r="M91" s="17">
        <f>_xlfn.XLOOKUP($B91,'[1]Aug-24'!$A:$A,'[1]Aug-24'!$H:$H,0)</f>
        <v>0</v>
      </c>
      <c r="N91" s="17">
        <f>_xlfn.XLOOKUP($B91,'[1]Sep-24'!$A:$A,'[1]Sep-24'!$H:$H,0)</f>
        <v>0</v>
      </c>
      <c r="O91" s="17">
        <f>_xlfn.XLOOKUP($B91,'[1]Oct-24'!$A:$A,'[1]Oct-24'!$H:$H,0)</f>
        <v>0</v>
      </c>
      <c r="P91" s="17">
        <f>_xlfn.XLOOKUP($B91,'[1]Nov-24'!$A:$A,'[1]Nov-24'!$H:$H,0)</f>
        <v>0</v>
      </c>
      <c r="Q91" s="17">
        <f>_xlfn.XLOOKUP($B91,'[1]Dec-24'!$A:$A,'[1]Dec-24'!$H:$H,0)</f>
        <v>0</v>
      </c>
      <c r="R91" s="17">
        <f>_xlfn.XLOOKUP($B91,'[1]Jan-25'!$A:$A,'[1]Jan-25'!$H:$H,0)</f>
        <v>0</v>
      </c>
      <c r="S91" s="17">
        <f>_xlfn.XLOOKUP($B91,'[1]Feb-25'!$A:$A,'[1]Feb-25'!$H:$H,0)</f>
        <v>0</v>
      </c>
      <c r="T91" s="17">
        <f>_xlfn.XLOOKUP($B91,'[1]Mar-25'!$A:$A,'[1]Mar-25'!$H:$H,0)</f>
        <v>0</v>
      </c>
      <c r="U91" s="17">
        <f>_xlfn.XLOOKUP($B91,'[1]Apr-25'!$A:$A,'[1]Apr-25'!$H:$H,0)</f>
        <v>0</v>
      </c>
      <c r="V91" s="17">
        <f>_xlfn.XLOOKUP($B91,'[1]May-25'!$A:$A,'[1]May-25'!$H:$H,0)</f>
        <v>0</v>
      </c>
      <c r="W91" s="17">
        <f>_xlfn.XLOOKUP($B91,'[1]Jun-25'!$A:$A,'[1]Jun-25'!$H:$H,0)</f>
        <v>0</v>
      </c>
      <c r="X91" s="17">
        <f>_xlfn.XLOOKUP($B91,'[1]Jul-25'!$A:$A,'[1]Jul-25'!$H:$H,0)</f>
        <v>0</v>
      </c>
      <c r="Y91" s="17">
        <f>_xlfn.XLOOKUP($B91,'[1]Aug-25'!$A:$A,'[1]Aug-25'!$H:$H,0)</f>
        <v>0</v>
      </c>
      <c r="Z91" s="17">
        <f>_xlfn.XLOOKUP($B91,'[1]Sep-25'!$A:$A,'[1]Sep-25'!$H:$H,0)</f>
        <v>0</v>
      </c>
      <c r="AA91" s="17">
        <f>_xlfn.XLOOKUP($B91,'[1]Oct-25'!$A:$A,'[1]Oct-25'!$H:$H,0)</f>
        <v>0</v>
      </c>
      <c r="AB91" s="17">
        <f>_xlfn.XLOOKUP($B91,'[1]Nov-25'!$A:$A,'[1]Nov-25'!$H:$H,0)</f>
        <v>0</v>
      </c>
      <c r="AC91" s="17">
        <f>_xlfn.XLOOKUP($B91,'[1]Dec-25'!$A:$A,'[1]Dec-25'!$H:$H,0)</f>
        <v>0</v>
      </c>
      <c r="AD91" s="17">
        <f>_xlfn.XLOOKUP($B91,'[1]Jan-26'!$A:$A,'[1]Jan-26'!$H:$H,0)</f>
        <v>0</v>
      </c>
      <c r="AE91" s="17">
        <f>_xlfn.XLOOKUP($B91,'[1]Feb-26'!$A:$A,'[1]Feb-26'!$H:$H,0)</f>
        <v>0</v>
      </c>
      <c r="AF91" s="17">
        <f>_xlfn.XLOOKUP($B91,'[1]Mar-26'!$A:$A,'[1]Mar-26'!$H:$H,0)</f>
        <v>0</v>
      </c>
      <c r="AG91" s="17">
        <f>_xlfn.XLOOKUP($B91,'[1]Apr-26'!$A:$A,'[1]Apr-26'!$H:$H,0)</f>
        <v>0</v>
      </c>
    </row>
    <row r="92" spans="1:33" x14ac:dyDescent="0.2">
      <c r="A92" s="58">
        <v>10450</v>
      </c>
      <c r="B92" s="56" t="str">
        <f t="shared" si="7"/>
        <v>10450</v>
      </c>
      <c r="C92" s="57" t="s">
        <v>302</v>
      </c>
      <c r="D92" s="57" t="s">
        <v>303</v>
      </c>
      <c r="E92" s="44" t="s">
        <v>345</v>
      </c>
      <c r="F92" s="17">
        <f>_xlfn.XLOOKUP($B92,'[1]Jan-24'!$A:$A,'[1]Jan-24'!$H:$H,0)</f>
        <v>0</v>
      </c>
      <c r="G92" s="17">
        <f>_xlfn.XLOOKUP($B92,'[1]Feb-24'!$A:$A,'[1]Feb-24'!$H:$H,0)</f>
        <v>0</v>
      </c>
      <c r="H92" s="17">
        <f>_xlfn.XLOOKUP($B92,'[1]Mar-24'!$A:$A,'[1]Mar-24'!$H:$H,0)</f>
        <v>0</v>
      </c>
      <c r="I92" s="17">
        <f>_xlfn.XLOOKUP($B92,'[1]Apr-24'!$A:$A,'[1]Apr-24'!$H:$H,0)</f>
        <v>0</v>
      </c>
      <c r="J92" s="17">
        <f>_xlfn.XLOOKUP($B92,'[1]May-24'!$A:$A,'[1]May-24'!$H:$H,0)</f>
        <v>0</v>
      </c>
      <c r="K92" s="17">
        <f>_xlfn.XLOOKUP($B92,'[1]Jun-24'!$A:$A,'[1]Jun-24'!$H:$H,0)</f>
        <v>0</v>
      </c>
      <c r="L92" s="17">
        <f>_xlfn.XLOOKUP($B92,'[1]Jul-24'!$A:$A,'[1]Jul-24'!$H:$H,0)</f>
        <v>0</v>
      </c>
      <c r="M92" s="17">
        <f>_xlfn.XLOOKUP($B92,'[1]Aug-24'!$A:$A,'[1]Aug-24'!$H:$H,0)</f>
        <v>0</v>
      </c>
      <c r="N92" s="17">
        <f>_xlfn.XLOOKUP($B92,'[1]Sep-24'!$A:$A,'[1]Sep-24'!$H:$H,0)</f>
        <v>0</v>
      </c>
      <c r="O92" s="17">
        <f>_xlfn.XLOOKUP($B92,'[1]Oct-24'!$A:$A,'[1]Oct-24'!$H:$H,0)</f>
        <v>0</v>
      </c>
      <c r="P92" s="17">
        <f>_xlfn.XLOOKUP($B92,'[1]Nov-24'!$A:$A,'[1]Nov-24'!$H:$H,0)</f>
        <v>0</v>
      </c>
      <c r="Q92" s="17">
        <f>_xlfn.XLOOKUP($B92,'[1]Dec-24'!$A:$A,'[1]Dec-24'!$H:$H,0)</f>
        <v>0</v>
      </c>
      <c r="R92" s="17">
        <f>_xlfn.XLOOKUP($B92,'[1]Jan-25'!$A:$A,'[1]Jan-25'!$H:$H,0)</f>
        <v>0</v>
      </c>
      <c r="S92" s="17">
        <f>_xlfn.XLOOKUP($B92,'[1]Feb-25'!$A:$A,'[1]Feb-25'!$H:$H,0)</f>
        <v>0</v>
      </c>
      <c r="T92" s="17">
        <f>_xlfn.XLOOKUP($B92,'[1]Mar-25'!$A:$A,'[1]Mar-25'!$H:$H,0)</f>
        <v>0</v>
      </c>
      <c r="U92" s="17">
        <f>_xlfn.XLOOKUP($B92,'[1]Apr-25'!$A:$A,'[1]Apr-25'!$H:$H,0)</f>
        <v>0</v>
      </c>
      <c r="V92" s="17">
        <f>_xlfn.XLOOKUP($B92,'[1]May-25'!$A:$A,'[1]May-25'!$H:$H,0)</f>
        <v>0</v>
      </c>
      <c r="W92" s="17">
        <f>_xlfn.XLOOKUP($B92,'[1]Jun-25'!$A:$A,'[1]Jun-25'!$H:$H,0)</f>
        <v>0</v>
      </c>
      <c r="X92" s="17">
        <f>_xlfn.XLOOKUP($B92,'[1]Jul-25'!$A:$A,'[1]Jul-25'!$H:$H,0)</f>
        <v>0</v>
      </c>
      <c r="Y92" s="17">
        <f>_xlfn.XLOOKUP($B92,'[1]Aug-25'!$A:$A,'[1]Aug-25'!$H:$H,0)</f>
        <v>0</v>
      </c>
      <c r="Z92" s="17">
        <f>_xlfn.XLOOKUP($B92,'[1]Sep-25'!$A:$A,'[1]Sep-25'!$H:$H,0)</f>
        <v>0</v>
      </c>
      <c r="AA92" s="17">
        <f>_xlfn.XLOOKUP($B92,'[1]Oct-25'!$A:$A,'[1]Oct-25'!$H:$H,0)</f>
        <v>0</v>
      </c>
      <c r="AB92" s="17">
        <f>_xlfn.XLOOKUP($B92,'[1]Nov-25'!$A:$A,'[1]Nov-25'!$H:$H,0)</f>
        <v>0</v>
      </c>
      <c r="AC92" s="17">
        <f>_xlfn.XLOOKUP($B92,'[1]Dec-25'!$A:$A,'[1]Dec-25'!$H:$H,0)</f>
        <v>0</v>
      </c>
      <c r="AD92" s="17">
        <f>_xlfn.XLOOKUP($B92,'[1]Jan-26'!$A:$A,'[1]Jan-26'!$H:$H,0)</f>
        <v>0</v>
      </c>
      <c r="AE92" s="17">
        <f>_xlfn.XLOOKUP($B92,'[1]Feb-26'!$A:$A,'[1]Feb-26'!$H:$H,0)</f>
        <v>0</v>
      </c>
      <c r="AF92" s="17">
        <f>_xlfn.XLOOKUP($B92,'[1]Mar-26'!$A:$A,'[1]Mar-26'!$H:$H,0)</f>
        <v>0</v>
      </c>
      <c r="AG92" s="17">
        <f>_xlfn.XLOOKUP($B92,'[1]Apr-26'!$A:$A,'[1]Apr-26'!$H:$H,0)</f>
        <v>0</v>
      </c>
    </row>
    <row r="93" spans="1:33" x14ac:dyDescent="0.2">
      <c r="A93" s="58">
        <v>10455</v>
      </c>
      <c r="B93" s="56" t="str">
        <f t="shared" si="7"/>
        <v>10455</v>
      </c>
      <c r="C93" s="57" t="s">
        <v>302</v>
      </c>
      <c r="D93" s="57" t="s">
        <v>303</v>
      </c>
      <c r="E93" s="44" t="s">
        <v>346</v>
      </c>
      <c r="F93" s="17">
        <f>_xlfn.XLOOKUP($B93,'[1]Jan-24'!$A:$A,'[1]Jan-24'!$H:$H,0)</f>
        <v>0</v>
      </c>
      <c r="G93" s="17">
        <f>_xlfn.XLOOKUP($B93,'[1]Feb-24'!$A:$A,'[1]Feb-24'!$H:$H,0)</f>
        <v>0</v>
      </c>
      <c r="H93" s="17">
        <f>_xlfn.XLOOKUP($B93,'[1]Mar-24'!$A:$A,'[1]Mar-24'!$H:$H,0)</f>
        <v>0</v>
      </c>
      <c r="I93" s="17">
        <f>_xlfn.XLOOKUP($B93,'[1]Apr-24'!$A:$A,'[1]Apr-24'!$H:$H,0)</f>
        <v>0</v>
      </c>
      <c r="J93" s="17">
        <f>_xlfn.XLOOKUP($B93,'[1]May-24'!$A:$A,'[1]May-24'!$H:$H,0)</f>
        <v>0</v>
      </c>
      <c r="K93" s="17">
        <f>_xlfn.XLOOKUP($B93,'[1]Jun-24'!$A:$A,'[1]Jun-24'!$H:$H,0)</f>
        <v>0</v>
      </c>
      <c r="L93" s="17">
        <f>_xlfn.XLOOKUP($B93,'[1]Jul-24'!$A:$A,'[1]Jul-24'!$H:$H,0)</f>
        <v>0</v>
      </c>
      <c r="M93" s="17">
        <f>_xlfn.XLOOKUP($B93,'[1]Aug-24'!$A:$A,'[1]Aug-24'!$H:$H,0)</f>
        <v>0</v>
      </c>
      <c r="N93" s="17">
        <f>_xlfn.XLOOKUP($B93,'[1]Sep-24'!$A:$A,'[1]Sep-24'!$H:$H,0)</f>
        <v>0</v>
      </c>
      <c r="O93" s="17">
        <f>_xlfn.XLOOKUP($B93,'[1]Oct-24'!$A:$A,'[1]Oct-24'!$H:$H,0)</f>
        <v>0</v>
      </c>
      <c r="P93" s="17">
        <f>_xlfn.XLOOKUP($B93,'[1]Nov-24'!$A:$A,'[1]Nov-24'!$H:$H,0)</f>
        <v>0</v>
      </c>
      <c r="Q93" s="17">
        <f>_xlfn.XLOOKUP($B93,'[1]Dec-24'!$A:$A,'[1]Dec-24'!$H:$H,0)</f>
        <v>0</v>
      </c>
      <c r="R93" s="17">
        <f>_xlfn.XLOOKUP($B93,'[1]Jan-25'!$A:$A,'[1]Jan-25'!$H:$H,0)</f>
        <v>0</v>
      </c>
      <c r="S93" s="17">
        <f>_xlfn.XLOOKUP($B93,'[1]Feb-25'!$A:$A,'[1]Feb-25'!$H:$H,0)</f>
        <v>0</v>
      </c>
      <c r="T93" s="17">
        <f>_xlfn.XLOOKUP($B93,'[1]Mar-25'!$A:$A,'[1]Mar-25'!$H:$H,0)</f>
        <v>0</v>
      </c>
      <c r="U93" s="17">
        <f>_xlfn.XLOOKUP($B93,'[1]Apr-25'!$A:$A,'[1]Apr-25'!$H:$H,0)</f>
        <v>0</v>
      </c>
      <c r="V93" s="17">
        <f>_xlfn.XLOOKUP($B93,'[1]May-25'!$A:$A,'[1]May-25'!$H:$H,0)</f>
        <v>0</v>
      </c>
      <c r="W93" s="17">
        <f>_xlfn.XLOOKUP($B93,'[1]Jun-25'!$A:$A,'[1]Jun-25'!$H:$H,0)</f>
        <v>0</v>
      </c>
      <c r="X93" s="17">
        <f>_xlfn.XLOOKUP($B93,'[1]Jul-25'!$A:$A,'[1]Jul-25'!$H:$H,0)</f>
        <v>0</v>
      </c>
      <c r="Y93" s="17">
        <f>_xlfn.XLOOKUP($B93,'[1]Aug-25'!$A:$A,'[1]Aug-25'!$H:$H,0)</f>
        <v>0</v>
      </c>
      <c r="Z93" s="17">
        <f>_xlfn.XLOOKUP($B93,'[1]Sep-25'!$A:$A,'[1]Sep-25'!$H:$H,0)</f>
        <v>0</v>
      </c>
      <c r="AA93" s="17">
        <f>_xlfn.XLOOKUP($B93,'[1]Oct-25'!$A:$A,'[1]Oct-25'!$H:$H,0)</f>
        <v>0</v>
      </c>
      <c r="AB93" s="17">
        <f>_xlfn.XLOOKUP($B93,'[1]Nov-25'!$A:$A,'[1]Nov-25'!$H:$H,0)</f>
        <v>0</v>
      </c>
      <c r="AC93" s="17">
        <f>_xlfn.XLOOKUP($B93,'[1]Dec-25'!$A:$A,'[1]Dec-25'!$H:$H,0)</f>
        <v>0</v>
      </c>
      <c r="AD93" s="17">
        <f>_xlfn.XLOOKUP($B93,'[1]Jan-26'!$A:$A,'[1]Jan-26'!$H:$H,0)</f>
        <v>0</v>
      </c>
      <c r="AE93" s="17">
        <f>_xlfn.XLOOKUP($B93,'[1]Feb-26'!$A:$A,'[1]Feb-26'!$H:$H,0)</f>
        <v>0</v>
      </c>
      <c r="AF93" s="17">
        <f>_xlfn.XLOOKUP($B93,'[1]Mar-26'!$A:$A,'[1]Mar-26'!$H:$H,0)</f>
        <v>0</v>
      </c>
      <c r="AG93" s="17">
        <f>_xlfn.XLOOKUP($B93,'[1]Apr-26'!$A:$A,'[1]Apr-26'!$H:$H,0)</f>
        <v>0</v>
      </c>
    </row>
    <row r="94" spans="1:33" x14ac:dyDescent="0.2">
      <c r="A94" s="58">
        <v>10460</v>
      </c>
      <c r="B94" s="56" t="str">
        <f t="shared" si="7"/>
        <v>10460</v>
      </c>
      <c r="C94" s="57" t="s">
        <v>302</v>
      </c>
      <c r="D94" s="57" t="s">
        <v>303</v>
      </c>
      <c r="E94" s="44" t="s">
        <v>347</v>
      </c>
      <c r="F94" s="17">
        <f>_xlfn.XLOOKUP($B94,'[1]Jan-24'!$A:$A,'[1]Jan-24'!$H:$H,0)</f>
        <v>0</v>
      </c>
      <c r="G94" s="17">
        <f>_xlfn.XLOOKUP($B94,'[1]Feb-24'!$A:$A,'[1]Feb-24'!$H:$H,0)</f>
        <v>0</v>
      </c>
      <c r="H94" s="17">
        <f>_xlfn.XLOOKUP($B94,'[1]Mar-24'!$A:$A,'[1]Mar-24'!$H:$H,0)</f>
        <v>0</v>
      </c>
      <c r="I94" s="17">
        <f>_xlfn.XLOOKUP($B94,'[1]Apr-24'!$A:$A,'[1]Apr-24'!$H:$H,0)</f>
        <v>0</v>
      </c>
      <c r="J94" s="17">
        <f>_xlfn.XLOOKUP($B94,'[1]May-24'!$A:$A,'[1]May-24'!$H:$H,0)</f>
        <v>0</v>
      </c>
      <c r="K94" s="17">
        <f>_xlfn.XLOOKUP($B94,'[1]Jun-24'!$A:$A,'[1]Jun-24'!$H:$H,0)</f>
        <v>0</v>
      </c>
      <c r="L94" s="17">
        <f>_xlfn.XLOOKUP($B94,'[1]Jul-24'!$A:$A,'[1]Jul-24'!$H:$H,0)</f>
        <v>0</v>
      </c>
      <c r="M94" s="17">
        <f>_xlfn.XLOOKUP($B94,'[1]Aug-24'!$A:$A,'[1]Aug-24'!$H:$H,0)</f>
        <v>0</v>
      </c>
      <c r="N94" s="17">
        <f>_xlfn.XLOOKUP($B94,'[1]Sep-24'!$A:$A,'[1]Sep-24'!$H:$H,0)</f>
        <v>0</v>
      </c>
      <c r="O94" s="17">
        <f>_xlfn.XLOOKUP($B94,'[1]Oct-24'!$A:$A,'[1]Oct-24'!$H:$H,0)</f>
        <v>0</v>
      </c>
      <c r="P94" s="17">
        <f>_xlfn.XLOOKUP($B94,'[1]Nov-24'!$A:$A,'[1]Nov-24'!$H:$H,0)</f>
        <v>0</v>
      </c>
      <c r="Q94" s="17">
        <f>_xlfn.XLOOKUP($B94,'[1]Dec-24'!$A:$A,'[1]Dec-24'!$H:$H,0)</f>
        <v>0</v>
      </c>
      <c r="R94" s="17">
        <f>_xlfn.XLOOKUP($B94,'[1]Jan-25'!$A:$A,'[1]Jan-25'!$H:$H,0)</f>
        <v>0</v>
      </c>
      <c r="S94" s="17">
        <f>_xlfn.XLOOKUP($B94,'[1]Feb-25'!$A:$A,'[1]Feb-25'!$H:$H,0)</f>
        <v>0</v>
      </c>
      <c r="T94" s="17">
        <f>_xlfn.XLOOKUP($B94,'[1]Mar-25'!$A:$A,'[1]Mar-25'!$H:$H,0)</f>
        <v>0</v>
      </c>
      <c r="U94" s="17">
        <f>_xlfn.XLOOKUP($B94,'[1]Apr-25'!$A:$A,'[1]Apr-25'!$H:$H,0)</f>
        <v>0</v>
      </c>
      <c r="V94" s="17">
        <f>_xlfn.XLOOKUP($B94,'[1]May-25'!$A:$A,'[1]May-25'!$H:$H,0)</f>
        <v>0</v>
      </c>
      <c r="W94" s="17">
        <f>_xlfn.XLOOKUP($B94,'[1]Jun-25'!$A:$A,'[1]Jun-25'!$H:$H,0)</f>
        <v>0</v>
      </c>
      <c r="X94" s="17">
        <f>_xlfn.XLOOKUP($B94,'[1]Jul-25'!$A:$A,'[1]Jul-25'!$H:$H,0)</f>
        <v>0</v>
      </c>
      <c r="Y94" s="17">
        <f>_xlfn.XLOOKUP($B94,'[1]Aug-25'!$A:$A,'[1]Aug-25'!$H:$H,0)</f>
        <v>0</v>
      </c>
      <c r="Z94" s="17">
        <f>_xlfn.XLOOKUP($B94,'[1]Sep-25'!$A:$A,'[1]Sep-25'!$H:$H,0)</f>
        <v>0</v>
      </c>
      <c r="AA94" s="17">
        <f>_xlfn.XLOOKUP($B94,'[1]Oct-25'!$A:$A,'[1]Oct-25'!$H:$H,0)</f>
        <v>0</v>
      </c>
      <c r="AB94" s="17">
        <f>_xlfn.XLOOKUP($B94,'[1]Nov-25'!$A:$A,'[1]Nov-25'!$H:$H,0)</f>
        <v>0</v>
      </c>
      <c r="AC94" s="17">
        <f>_xlfn.XLOOKUP($B94,'[1]Dec-25'!$A:$A,'[1]Dec-25'!$H:$H,0)</f>
        <v>0</v>
      </c>
      <c r="AD94" s="17">
        <f>_xlfn.XLOOKUP($B94,'[1]Jan-26'!$A:$A,'[1]Jan-26'!$H:$H,0)</f>
        <v>0</v>
      </c>
      <c r="AE94" s="17">
        <f>_xlfn.XLOOKUP($B94,'[1]Feb-26'!$A:$A,'[1]Feb-26'!$H:$H,0)</f>
        <v>0</v>
      </c>
      <c r="AF94" s="17">
        <f>_xlfn.XLOOKUP($B94,'[1]Mar-26'!$A:$A,'[1]Mar-26'!$H:$H,0)</f>
        <v>0</v>
      </c>
      <c r="AG94" s="17">
        <f>_xlfn.XLOOKUP($B94,'[1]Apr-26'!$A:$A,'[1]Apr-26'!$H:$H,0)</f>
        <v>0</v>
      </c>
    </row>
    <row r="95" spans="1:33" x14ac:dyDescent="0.2">
      <c r="A95" s="58">
        <v>10465</v>
      </c>
      <c r="B95" s="56" t="str">
        <f t="shared" si="7"/>
        <v>10465</v>
      </c>
      <c r="C95" s="57" t="s">
        <v>302</v>
      </c>
      <c r="D95" s="57" t="s">
        <v>303</v>
      </c>
      <c r="E95" s="44" t="s">
        <v>348</v>
      </c>
      <c r="F95" s="17">
        <f>_xlfn.XLOOKUP($B95,'[1]Jan-24'!$A:$A,'[1]Jan-24'!$H:$H,0)</f>
        <v>0</v>
      </c>
      <c r="G95" s="17">
        <f>_xlfn.XLOOKUP($B95,'[1]Feb-24'!$A:$A,'[1]Feb-24'!$H:$H,0)</f>
        <v>0</v>
      </c>
      <c r="H95" s="17">
        <f>_xlfn.XLOOKUP($B95,'[1]Mar-24'!$A:$A,'[1]Mar-24'!$H:$H,0)</f>
        <v>0</v>
      </c>
      <c r="I95" s="17">
        <f>_xlfn.XLOOKUP($B95,'[1]Apr-24'!$A:$A,'[1]Apr-24'!$H:$H,0)</f>
        <v>0</v>
      </c>
      <c r="J95" s="17">
        <f>_xlfn.XLOOKUP($B95,'[1]May-24'!$A:$A,'[1]May-24'!$H:$H,0)</f>
        <v>0</v>
      </c>
      <c r="K95" s="17">
        <f>_xlfn.XLOOKUP($B95,'[1]Jun-24'!$A:$A,'[1]Jun-24'!$H:$H,0)</f>
        <v>0</v>
      </c>
      <c r="L95" s="17">
        <f>_xlfn.XLOOKUP($B95,'[1]Jul-24'!$A:$A,'[1]Jul-24'!$H:$H,0)</f>
        <v>0</v>
      </c>
      <c r="M95" s="17">
        <f>_xlfn.XLOOKUP($B95,'[1]Aug-24'!$A:$A,'[1]Aug-24'!$H:$H,0)</f>
        <v>0</v>
      </c>
      <c r="N95" s="17">
        <f>_xlfn.XLOOKUP($B95,'[1]Sep-24'!$A:$A,'[1]Sep-24'!$H:$H,0)</f>
        <v>0</v>
      </c>
      <c r="O95" s="17">
        <f>_xlfn.XLOOKUP($B95,'[1]Oct-24'!$A:$A,'[1]Oct-24'!$H:$H,0)</f>
        <v>0</v>
      </c>
      <c r="P95" s="17">
        <f>_xlfn.XLOOKUP($B95,'[1]Nov-24'!$A:$A,'[1]Nov-24'!$H:$H,0)</f>
        <v>0</v>
      </c>
      <c r="Q95" s="17">
        <f>_xlfn.XLOOKUP($B95,'[1]Dec-24'!$A:$A,'[1]Dec-24'!$H:$H,0)</f>
        <v>0</v>
      </c>
      <c r="R95" s="17">
        <f>_xlfn.XLOOKUP($B95,'[1]Jan-25'!$A:$A,'[1]Jan-25'!$H:$H,0)</f>
        <v>0</v>
      </c>
      <c r="S95" s="17">
        <f>_xlfn.XLOOKUP($B95,'[1]Feb-25'!$A:$A,'[1]Feb-25'!$H:$H,0)</f>
        <v>0</v>
      </c>
      <c r="T95" s="17">
        <f>_xlfn.XLOOKUP($B95,'[1]Mar-25'!$A:$A,'[1]Mar-25'!$H:$H,0)</f>
        <v>0</v>
      </c>
      <c r="U95" s="17">
        <f>_xlfn.XLOOKUP($B95,'[1]Apr-25'!$A:$A,'[1]Apr-25'!$H:$H,0)</f>
        <v>0</v>
      </c>
      <c r="V95" s="17">
        <f>_xlfn.XLOOKUP($B95,'[1]May-25'!$A:$A,'[1]May-25'!$H:$H,0)</f>
        <v>0</v>
      </c>
      <c r="W95" s="17">
        <f>_xlfn.XLOOKUP($B95,'[1]Jun-25'!$A:$A,'[1]Jun-25'!$H:$H,0)</f>
        <v>0</v>
      </c>
      <c r="X95" s="17">
        <f>_xlfn.XLOOKUP($B95,'[1]Jul-25'!$A:$A,'[1]Jul-25'!$H:$H,0)</f>
        <v>0</v>
      </c>
      <c r="Y95" s="17">
        <f>_xlfn.XLOOKUP($B95,'[1]Aug-25'!$A:$A,'[1]Aug-25'!$H:$H,0)</f>
        <v>0</v>
      </c>
      <c r="Z95" s="17">
        <f>_xlfn.XLOOKUP($B95,'[1]Sep-25'!$A:$A,'[1]Sep-25'!$H:$H,0)</f>
        <v>0</v>
      </c>
      <c r="AA95" s="17">
        <f>_xlfn.XLOOKUP($B95,'[1]Oct-25'!$A:$A,'[1]Oct-25'!$H:$H,0)</f>
        <v>0</v>
      </c>
      <c r="AB95" s="17">
        <f>_xlfn.XLOOKUP($B95,'[1]Nov-25'!$A:$A,'[1]Nov-25'!$H:$H,0)</f>
        <v>0</v>
      </c>
      <c r="AC95" s="17">
        <f>_xlfn.XLOOKUP($B95,'[1]Dec-25'!$A:$A,'[1]Dec-25'!$H:$H,0)</f>
        <v>0</v>
      </c>
      <c r="AD95" s="17">
        <f>_xlfn.XLOOKUP($B95,'[1]Jan-26'!$A:$A,'[1]Jan-26'!$H:$H,0)</f>
        <v>0</v>
      </c>
      <c r="AE95" s="17">
        <f>_xlfn.XLOOKUP($B95,'[1]Feb-26'!$A:$A,'[1]Feb-26'!$H:$H,0)</f>
        <v>0</v>
      </c>
      <c r="AF95" s="17">
        <f>_xlfn.XLOOKUP($B95,'[1]Mar-26'!$A:$A,'[1]Mar-26'!$H:$H,0)</f>
        <v>0</v>
      </c>
      <c r="AG95" s="17">
        <f>_xlfn.XLOOKUP($B95,'[1]Apr-26'!$A:$A,'[1]Apr-26'!$H:$H,0)</f>
        <v>0</v>
      </c>
    </row>
    <row r="96" spans="1:33" x14ac:dyDescent="0.2">
      <c r="A96" s="58">
        <v>10467</v>
      </c>
      <c r="B96" s="56" t="str">
        <f t="shared" si="7"/>
        <v>10467</v>
      </c>
      <c r="C96" s="57" t="s">
        <v>302</v>
      </c>
      <c r="D96" s="57" t="s">
        <v>303</v>
      </c>
      <c r="E96" s="44" t="s">
        <v>349</v>
      </c>
      <c r="F96" s="17">
        <f>_xlfn.XLOOKUP($B96,'[1]Jan-24'!$A:$A,'[1]Jan-24'!$H:$H,0)</f>
        <v>0</v>
      </c>
      <c r="G96" s="17">
        <f>_xlfn.XLOOKUP($B96,'[1]Feb-24'!$A:$A,'[1]Feb-24'!$H:$H,0)</f>
        <v>0</v>
      </c>
      <c r="H96" s="17">
        <f>_xlfn.XLOOKUP($B96,'[1]Mar-24'!$A:$A,'[1]Mar-24'!$H:$H,0)</f>
        <v>0</v>
      </c>
      <c r="I96" s="17">
        <f>_xlfn.XLOOKUP($B96,'[1]Apr-24'!$A:$A,'[1]Apr-24'!$H:$H,0)</f>
        <v>0</v>
      </c>
      <c r="J96" s="17">
        <f>_xlfn.XLOOKUP($B96,'[1]May-24'!$A:$A,'[1]May-24'!$H:$H,0)</f>
        <v>0</v>
      </c>
      <c r="K96" s="17">
        <f>_xlfn.XLOOKUP($B96,'[1]Jun-24'!$A:$A,'[1]Jun-24'!$H:$H,0)</f>
        <v>0</v>
      </c>
      <c r="L96" s="17">
        <f>_xlfn.XLOOKUP($B96,'[1]Jul-24'!$A:$A,'[1]Jul-24'!$H:$H,0)</f>
        <v>0</v>
      </c>
      <c r="M96" s="17">
        <f>_xlfn.XLOOKUP($B96,'[1]Aug-24'!$A:$A,'[1]Aug-24'!$H:$H,0)</f>
        <v>0</v>
      </c>
      <c r="N96" s="17">
        <f>_xlfn.XLOOKUP($B96,'[1]Sep-24'!$A:$A,'[1]Sep-24'!$H:$H,0)</f>
        <v>0</v>
      </c>
      <c r="O96" s="17">
        <f>_xlfn.XLOOKUP($B96,'[1]Oct-24'!$A:$A,'[1]Oct-24'!$H:$H,0)</f>
        <v>0</v>
      </c>
      <c r="P96" s="17">
        <f>_xlfn.XLOOKUP($B96,'[1]Nov-24'!$A:$A,'[1]Nov-24'!$H:$H,0)</f>
        <v>0</v>
      </c>
      <c r="Q96" s="17">
        <f>_xlfn.XLOOKUP($B96,'[1]Dec-24'!$A:$A,'[1]Dec-24'!$H:$H,0)</f>
        <v>0</v>
      </c>
      <c r="R96" s="17">
        <f>_xlfn.XLOOKUP($B96,'[1]Jan-25'!$A:$A,'[1]Jan-25'!$H:$H,0)</f>
        <v>0</v>
      </c>
      <c r="S96" s="17">
        <f>_xlfn.XLOOKUP($B96,'[1]Feb-25'!$A:$A,'[1]Feb-25'!$H:$H,0)</f>
        <v>0</v>
      </c>
      <c r="T96" s="17">
        <f>_xlfn.XLOOKUP($B96,'[1]Mar-25'!$A:$A,'[1]Mar-25'!$H:$H,0)</f>
        <v>0</v>
      </c>
      <c r="U96" s="17">
        <f>_xlfn.XLOOKUP($B96,'[1]Apr-25'!$A:$A,'[1]Apr-25'!$H:$H,0)</f>
        <v>0</v>
      </c>
      <c r="V96" s="17">
        <f>_xlfn.XLOOKUP($B96,'[1]May-25'!$A:$A,'[1]May-25'!$H:$H,0)</f>
        <v>0</v>
      </c>
      <c r="W96" s="17">
        <f>_xlfn.XLOOKUP($B96,'[1]Jun-25'!$A:$A,'[1]Jun-25'!$H:$H,0)</f>
        <v>0</v>
      </c>
      <c r="X96" s="17">
        <f>_xlfn.XLOOKUP($B96,'[1]Jul-25'!$A:$A,'[1]Jul-25'!$H:$H,0)</f>
        <v>0</v>
      </c>
      <c r="Y96" s="17">
        <f>_xlfn.XLOOKUP($B96,'[1]Aug-25'!$A:$A,'[1]Aug-25'!$H:$H,0)</f>
        <v>0</v>
      </c>
      <c r="Z96" s="17">
        <f>_xlfn.XLOOKUP($B96,'[1]Sep-25'!$A:$A,'[1]Sep-25'!$H:$H,0)</f>
        <v>0</v>
      </c>
      <c r="AA96" s="17">
        <f>_xlfn.XLOOKUP($B96,'[1]Oct-25'!$A:$A,'[1]Oct-25'!$H:$H,0)</f>
        <v>0</v>
      </c>
      <c r="AB96" s="17">
        <f>_xlfn.XLOOKUP($B96,'[1]Nov-25'!$A:$A,'[1]Nov-25'!$H:$H,0)</f>
        <v>0</v>
      </c>
      <c r="AC96" s="17">
        <f>_xlfn.XLOOKUP($B96,'[1]Dec-25'!$A:$A,'[1]Dec-25'!$H:$H,0)</f>
        <v>0</v>
      </c>
      <c r="AD96" s="17">
        <f>_xlfn.XLOOKUP($B96,'[1]Jan-26'!$A:$A,'[1]Jan-26'!$H:$H,0)</f>
        <v>0</v>
      </c>
      <c r="AE96" s="17">
        <f>_xlfn.XLOOKUP($B96,'[1]Feb-26'!$A:$A,'[1]Feb-26'!$H:$H,0)</f>
        <v>0</v>
      </c>
      <c r="AF96" s="17">
        <f>_xlfn.XLOOKUP($B96,'[1]Mar-26'!$A:$A,'[1]Mar-26'!$H:$H,0)</f>
        <v>0</v>
      </c>
      <c r="AG96" s="17">
        <f>_xlfn.XLOOKUP($B96,'[1]Apr-26'!$A:$A,'[1]Apr-26'!$H:$H,0)</f>
        <v>0</v>
      </c>
    </row>
    <row r="97" spans="1:33" x14ac:dyDescent="0.2">
      <c r="A97" s="58">
        <v>10470</v>
      </c>
      <c r="B97" s="56" t="str">
        <f t="shared" si="7"/>
        <v>10470</v>
      </c>
      <c r="C97" s="57" t="s">
        <v>302</v>
      </c>
      <c r="D97" s="57" t="s">
        <v>303</v>
      </c>
      <c r="E97" s="44" t="s">
        <v>350</v>
      </c>
      <c r="F97" s="17">
        <f>_xlfn.XLOOKUP($B97,'[1]Jan-24'!$A:$A,'[1]Jan-24'!$H:$H,0)</f>
        <v>0</v>
      </c>
      <c r="G97" s="17">
        <f>_xlfn.XLOOKUP($B97,'[1]Feb-24'!$A:$A,'[1]Feb-24'!$H:$H,0)</f>
        <v>0</v>
      </c>
      <c r="H97" s="17">
        <f>_xlfn.XLOOKUP($B97,'[1]Mar-24'!$A:$A,'[1]Mar-24'!$H:$H,0)</f>
        <v>0</v>
      </c>
      <c r="I97" s="17">
        <f>_xlfn.XLOOKUP($B97,'[1]Apr-24'!$A:$A,'[1]Apr-24'!$H:$H,0)</f>
        <v>0</v>
      </c>
      <c r="J97" s="17">
        <f>_xlfn.XLOOKUP($B97,'[1]May-24'!$A:$A,'[1]May-24'!$H:$H,0)</f>
        <v>0</v>
      </c>
      <c r="K97" s="17">
        <f>_xlfn.XLOOKUP($B97,'[1]Jun-24'!$A:$A,'[1]Jun-24'!$H:$H,0)</f>
        <v>0</v>
      </c>
      <c r="L97" s="17">
        <f>_xlfn.XLOOKUP($B97,'[1]Jul-24'!$A:$A,'[1]Jul-24'!$H:$H,0)</f>
        <v>0</v>
      </c>
      <c r="M97" s="17">
        <f>_xlfn.XLOOKUP($B97,'[1]Aug-24'!$A:$A,'[1]Aug-24'!$H:$H,0)</f>
        <v>0</v>
      </c>
      <c r="N97" s="17">
        <f>_xlfn.XLOOKUP($B97,'[1]Sep-24'!$A:$A,'[1]Sep-24'!$H:$H,0)</f>
        <v>0</v>
      </c>
      <c r="O97" s="17">
        <f>_xlfn.XLOOKUP($B97,'[1]Oct-24'!$A:$A,'[1]Oct-24'!$H:$H,0)</f>
        <v>0</v>
      </c>
      <c r="P97" s="17">
        <f>_xlfn.XLOOKUP($B97,'[1]Nov-24'!$A:$A,'[1]Nov-24'!$H:$H,0)</f>
        <v>0</v>
      </c>
      <c r="Q97" s="17">
        <f>_xlfn.XLOOKUP($B97,'[1]Dec-24'!$A:$A,'[1]Dec-24'!$H:$H,0)</f>
        <v>0</v>
      </c>
      <c r="R97" s="17">
        <f>_xlfn.XLOOKUP($B97,'[1]Jan-25'!$A:$A,'[1]Jan-25'!$H:$H,0)</f>
        <v>0</v>
      </c>
      <c r="S97" s="17">
        <f>_xlfn.XLOOKUP($B97,'[1]Feb-25'!$A:$A,'[1]Feb-25'!$H:$H,0)</f>
        <v>0</v>
      </c>
      <c r="T97" s="17">
        <f>_xlfn.XLOOKUP($B97,'[1]Mar-25'!$A:$A,'[1]Mar-25'!$H:$H,0)</f>
        <v>0</v>
      </c>
      <c r="U97" s="17">
        <f>_xlfn.XLOOKUP($B97,'[1]Apr-25'!$A:$A,'[1]Apr-25'!$H:$H,0)</f>
        <v>0</v>
      </c>
      <c r="V97" s="17">
        <f>_xlfn.XLOOKUP($B97,'[1]May-25'!$A:$A,'[1]May-25'!$H:$H,0)</f>
        <v>0</v>
      </c>
      <c r="W97" s="17">
        <f>_xlfn.XLOOKUP($B97,'[1]Jun-25'!$A:$A,'[1]Jun-25'!$H:$H,0)</f>
        <v>0</v>
      </c>
      <c r="X97" s="17">
        <f>_xlfn.XLOOKUP($B97,'[1]Jul-25'!$A:$A,'[1]Jul-25'!$H:$H,0)</f>
        <v>0</v>
      </c>
      <c r="Y97" s="17">
        <f>_xlfn.XLOOKUP($B97,'[1]Aug-25'!$A:$A,'[1]Aug-25'!$H:$H,0)</f>
        <v>0</v>
      </c>
      <c r="Z97" s="17">
        <f>_xlfn.XLOOKUP($B97,'[1]Sep-25'!$A:$A,'[1]Sep-25'!$H:$H,0)</f>
        <v>0</v>
      </c>
      <c r="AA97" s="17">
        <f>_xlfn.XLOOKUP($B97,'[1]Oct-25'!$A:$A,'[1]Oct-25'!$H:$H,0)</f>
        <v>0</v>
      </c>
      <c r="AB97" s="17">
        <f>_xlfn.XLOOKUP($B97,'[1]Nov-25'!$A:$A,'[1]Nov-25'!$H:$H,0)</f>
        <v>0</v>
      </c>
      <c r="AC97" s="17">
        <f>_xlfn.XLOOKUP($B97,'[1]Dec-25'!$A:$A,'[1]Dec-25'!$H:$H,0)</f>
        <v>0</v>
      </c>
      <c r="AD97" s="17">
        <f>_xlfn.XLOOKUP($B97,'[1]Jan-26'!$A:$A,'[1]Jan-26'!$H:$H,0)</f>
        <v>0</v>
      </c>
      <c r="AE97" s="17">
        <f>_xlfn.XLOOKUP($B97,'[1]Feb-26'!$A:$A,'[1]Feb-26'!$H:$H,0)</f>
        <v>0</v>
      </c>
      <c r="AF97" s="17">
        <f>_xlfn.XLOOKUP($B97,'[1]Mar-26'!$A:$A,'[1]Mar-26'!$H:$H,0)</f>
        <v>0</v>
      </c>
      <c r="AG97" s="17">
        <f>_xlfn.XLOOKUP($B97,'[1]Apr-26'!$A:$A,'[1]Apr-26'!$H:$H,0)</f>
        <v>0</v>
      </c>
    </row>
    <row r="98" spans="1:33" x14ac:dyDescent="0.2">
      <c r="A98" s="58">
        <v>10475</v>
      </c>
      <c r="B98" s="56" t="str">
        <f t="shared" si="7"/>
        <v>10475</v>
      </c>
      <c r="C98" s="57" t="s">
        <v>302</v>
      </c>
      <c r="D98" s="57" t="s">
        <v>303</v>
      </c>
      <c r="E98" s="44" t="s">
        <v>351</v>
      </c>
      <c r="F98" s="17">
        <f>_xlfn.XLOOKUP($B98,'[1]Jan-24'!$A:$A,'[1]Jan-24'!$H:$H,0)</f>
        <v>0</v>
      </c>
      <c r="G98" s="17">
        <f>_xlfn.XLOOKUP($B98,'[1]Feb-24'!$A:$A,'[1]Feb-24'!$H:$H,0)</f>
        <v>0</v>
      </c>
      <c r="H98" s="17">
        <f>_xlfn.XLOOKUP($B98,'[1]Mar-24'!$A:$A,'[1]Mar-24'!$H:$H,0)</f>
        <v>0</v>
      </c>
      <c r="I98" s="17">
        <f>_xlfn.XLOOKUP($B98,'[1]Apr-24'!$A:$A,'[1]Apr-24'!$H:$H,0)</f>
        <v>0</v>
      </c>
      <c r="J98" s="17">
        <f>_xlfn.XLOOKUP($B98,'[1]May-24'!$A:$A,'[1]May-24'!$H:$H,0)</f>
        <v>0</v>
      </c>
      <c r="K98" s="17">
        <f>_xlfn.XLOOKUP($B98,'[1]Jun-24'!$A:$A,'[1]Jun-24'!$H:$H,0)</f>
        <v>0</v>
      </c>
      <c r="L98" s="17">
        <f>_xlfn.XLOOKUP($B98,'[1]Jul-24'!$A:$A,'[1]Jul-24'!$H:$H,0)</f>
        <v>0</v>
      </c>
      <c r="M98" s="17">
        <f>_xlfn.XLOOKUP($B98,'[1]Aug-24'!$A:$A,'[1]Aug-24'!$H:$H,0)</f>
        <v>0</v>
      </c>
      <c r="N98" s="17">
        <f>_xlfn.XLOOKUP($B98,'[1]Sep-24'!$A:$A,'[1]Sep-24'!$H:$H,0)</f>
        <v>0</v>
      </c>
      <c r="O98" s="17">
        <f>_xlfn.XLOOKUP($B98,'[1]Oct-24'!$A:$A,'[1]Oct-24'!$H:$H,0)</f>
        <v>0</v>
      </c>
      <c r="P98" s="17">
        <f>_xlfn.XLOOKUP($B98,'[1]Nov-24'!$A:$A,'[1]Nov-24'!$H:$H,0)</f>
        <v>0</v>
      </c>
      <c r="Q98" s="17">
        <f>_xlfn.XLOOKUP($B98,'[1]Dec-24'!$A:$A,'[1]Dec-24'!$H:$H,0)</f>
        <v>0</v>
      </c>
      <c r="R98" s="17">
        <f>_xlfn.XLOOKUP($B98,'[1]Jan-25'!$A:$A,'[1]Jan-25'!$H:$H,0)</f>
        <v>0</v>
      </c>
      <c r="S98" s="17">
        <f>_xlfn.XLOOKUP($B98,'[1]Feb-25'!$A:$A,'[1]Feb-25'!$H:$H,0)</f>
        <v>0</v>
      </c>
      <c r="T98" s="17">
        <f>_xlfn.XLOOKUP($B98,'[1]Mar-25'!$A:$A,'[1]Mar-25'!$H:$H,0)</f>
        <v>0</v>
      </c>
      <c r="U98" s="17">
        <f>_xlfn.XLOOKUP($B98,'[1]Apr-25'!$A:$A,'[1]Apr-25'!$H:$H,0)</f>
        <v>0</v>
      </c>
      <c r="V98" s="17">
        <f>_xlfn.XLOOKUP($B98,'[1]May-25'!$A:$A,'[1]May-25'!$H:$H,0)</f>
        <v>0</v>
      </c>
      <c r="W98" s="17">
        <f>_xlfn.XLOOKUP($B98,'[1]Jun-25'!$A:$A,'[1]Jun-25'!$H:$H,0)</f>
        <v>0</v>
      </c>
      <c r="X98" s="17">
        <f>_xlfn.XLOOKUP($B98,'[1]Jul-25'!$A:$A,'[1]Jul-25'!$H:$H,0)</f>
        <v>0</v>
      </c>
      <c r="Y98" s="17">
        <f>_xlfn.XLOOKUP($B98,'[1]Aug-25'!$A:$A,'[1]Aug-25'!$H:$H,0)</f>
        <v>0</v>
      </c>
      <c r="Z98" s="17">
        <f>_xlfn.XLOOKUP($B98,'[1]Sep-25'!$A:$A,'[1]Sep-25'!$H:$H,0)</f>
        <v>0</v>
      </c>
      <c r="AA98" s="17">
        <f>_xlfn.XLOOKUP($B98,'[1]Oct-25'!$A:$A,'[1]Oct-25'!$H:$H,0)</f>
        <v>0</v>
      </c>
      <c r="AB98" s="17">
        <f>_xlfn.XLOOKUP($B98,'[1]Nov-25'!$A:$A,'[1]Nov-25'!$H:$H,0)</f>
        <v>0</v>
      </c>
      <c r="AC98" s="17">
        <f>_xlfn.XLOOKUP($B98,'[1]Dec-25'!$A:$A,'[1]Dec-25'!$H:$H,0)</f>
        <v>0</v>
      </c>
      <c r="AD98" s="17">
        <f>_xlfn.XLOOKUP($B98,'[1]Jan-26'!$A:$A,'[1]Jan-26'!$H:$H,0)</f>
        <v>0</v>
      </c>
      <c r="AE98" s="17">
        <f>_xlfn.XLOOKUP($B98,'[1]Feb-26'!$A:$A,'[1]Feb-26'!$H:$H,0)</f>
        <v>0</v>
      </c>
      <c r="AF98" s="17">
        <f>_xlfn.XLOOKUP($B98,'[1]Mar-26'!$A:$A,'[1]Mar-26'!$H:$H,0)</f>
        <v>0</v>
      </c>
      <c r="AG98" s="17">
        <f>_xlfn.XLOOKUP($B98,'[1]Apr-26'!$A:$A,'[1]Apr-26'!$H:$H,0)</f>
        <v>0</v>
      </c>
    </row>
    <row r="99" spans="1:33" x14ac:dyDescent="0.2">
      <c r="A99" s="58">
        <v>10476</v>
      </c>
      <c r="B99" s="56" t="str">
        <f t="shared" si="7"/>
        <v>10476</v>
      </c>
      <c r="C99" s="57" t="s">
        <v>302</v>
      </c>
      <c r="D99" s="57" t="s">
        <v>303</v>
      </c>
      <c r="E99" s="44" t="s">
        <v>352</v>
      </c>
      <c r="F99" s="17">
        <f>_xlfn.XLOOKUP($B99,'[1]Jan-24'!$A:$A,'[1]Jan-24'!$H:$H,0)</f>
        <v>0</v>
      </c>
      <c r="G99" s="17">
        <f>_xlfn.XLOOKUP($B99,'[1]Feb-24'!$A:$A,'[1]Feb-24'!$H:$H,0)</f>
        <v>0</v>
      </c>
      <c r="H99" s="17">
        <f>_xlfn.XLOOKUP($B99,'[1]Mar-24'!$A:$A,'[1]Mar-24'!$H:$H,0)</f>
        <v>0</v>
      </c>
      <c r="I99" s="17">
        <f>_xlfn.XLOOKUP($B99,'[1]Apr-24'!$A:$A,'[1]Apr-24'!$H:$H,0)</f>
        <v>0</v>
      </c>
      <c r="J99" s="17">
        <f>_xlfn.XLOOKUP($B99,'[1]May-24'!$A:$A,'[1]May-24'!$H:$H,0)</f>
        <v>0</v>
      </c>
      <c r="K99" s="17">
        <f>_xlfn.XLOOKUP($B99,'[1]Jun-24'!$A:$A,'[1]Jun-24'!$H:$H,0)</f>
        <v>0</v>
      </c>
      <c r="L99" s="17">
        <f>_xlfn.XLOOKUP($B99,'[1]Jul-24'!$A:$A,'[1]Jul-24'!$H:$H,0)</f>
        <v>0</v>
      </c>
      <c r="M99" s="17">
        <f>_xlfn.XLOOKUP($B99,'[1]Aug-24'!$A:$A,'[1]Aug-24'!$H:$H,0)</f>
        <v>0</v>
      </c>
      <c r="N99" s="17">
        <f>_xlfn.XLOOKUP($B99,'[1]Sep-24'!$A:$A,'[1]Sep-24'!$H:$H,0)</f>
        <v>0</v>
      </c>
      <c r="O99" s="17">
        <f>_xlfn.XLOOKUP($B99,'[1]Oct-24'!$A:$A,'[1]Oct-24'!$H:$H,0)</f>
        <v>0</v>
      </c>
      <c r="P99" s="17">
        <f>_xlfn.XLOOKUP($B99,'[1]Nov-24'!$A:$A,'[1]Nov-24'!$H:$H,0)</f>
        <v>0</v>
      </c>
      <c r="Q99" s="17">
        <f>_xlfn.XLOOKUP($B99,'[1]Dec-24'!$A:$A,'[1]Dec-24'!$H:$H,0)</f>
        <v>0</v>
      </c>
      <c r="R99" s="17">
        <f>_xlfn.XLOOKUP($B99,'[1]Jan-25'!$A:$A,'[1]Jan-25'!$H:$H,0)</f>
        <v>0</v>
      </c>
      <c r="S99" s="17">
        <f>_xlfn.XLOOKUP($B99,'[1]Feb-25'!$A:$A,'[1]Feb-25'!$H:$H,0)</f>
        <v>0</v>
      </c>
      <c r="T99" s="17">
        <f>_xlfn.XLOOKUP($B99,'[1]Mar-25'!$A:$A,'[1]Mar-25'!$H:$H,0)</f>
        <v>0</v>
      </c>
      <c r="U99" s="17">
        <f>_xlfn.XLOOKUP($B99,'[1]Apr-25'!$A:$A,'[1]Apr-25'!$H:$H,0)</f>
        <v>0</v>
      </c>
      <c r="V99" s="17">
        <f>_xlfn.XLOOKUP($B99,'[1]May-25'!$A:$A,'[1]May-25'!$H:$H,0)</f>
        <v>0</v>
      </c>
      <c r="W99" s="17">
        <f>_xlfn.XLOOKUP($B99,'[1]Jun-25'!$A:$A,'[1]Jun-25'!$H:$H,0)</f>
        <v>0</v>
      </c>
      <c r="X99" s="17">
        <f>_xlfn.XLOOKUP($B99,'[1]Jul-25'!$A:$A,'[1]Jul-25'!$H:$H,0)</f>
        <v>0</v>
      </c>
      <c r="Y99" s="17">
        <f>_xlfn.XLOOKUP($B99,'[1]Aug-25'!$A:$A,'[1]Aug-25'!$H:$H,0)</f>
        <v>0</v>
      </c>
      <c r="Z99" s="17">
        <f>_xlfn.XLOOKUP($B99,'[1]Sep-25'!$A:$A,'[1]Sep-25'!$H:$H,0)</f>
        <v>0</v>
      </c>
      <c r="AA99" s="17">
        <f>_xlfn.XLOOKUP($B99,'[1]Oct-25'!$A:$A,'[1]Oct-25'!$H:$H,0)</f>
        <v>0</v>
      </c>
      <c r="AB99" s="17">
        <f>_xlfn.XLOOKUP($B99,'[1]Nov-25'!$A:$A,'[1]Nov-25'!$H:$H,0)</f>
        <v>0</v>
      </c>
      <c r="AC99" s="17">
        <f>_xlfn.XLOOKUP($B99,'[1]Dec-25'!$A:$A,'[1]Dec-25'!$H:$H,0)</f>
        <v>0</v>
      </c>
      <c r="AD99" s="17">
        <f>_xlfn.XLOOKUP($B99,'[1]Jan-26'!$A:$A,'[1]Jan-26'!$H:$H,0)</f>
        <v>0</v>
      </c>
      <c r="AE99" s="17">
        <f>_xlfn.XLOOKUP($B99,'[1]Feb-26'!$A:$A,'[1]Feb-26'!$H:$H,0)</f>
        <v>0</v>
      </c>
      <c r="AF99" s="17">
        <f>_xlfn.XLOOKUP($B99,'[1]Mar-26'!$A:$A,'[1]Mar-26'!$H:$H,0)</f>
        <v>0</v>
      </c>
      <c r="AG99" s="17">
        <f>_xlfn.XLOOKUP($B99,'[1]Apr-26'!$A:$A,'[1]Apr-26'!$H:$H,0)</f>
        <v>0</v>
      </c>
    </row>
    <row r="100" spans="1:33" x14ac:dyDescent="0.2">
      <c r="A100" s="58">
        <v>10477</v>
      </c>
      <c r="B100" s="56" t="str">
        <f t="shared" si="7"/>
        <v>10477</v>
      </c>
      <c r="C100" s="57" t="s">
        <v>302</v>
      </c>
      <c r="D100" s="57" t="s">
        <v>303</v>
      </c>
      <c r="E100" s="44" t="s">
        <v>353</v>
      </c>
      <c r="F100" s="17">
        <f>_xlfn.XLOOKUP($B100,'[1]Jan-24'!$A:$A,'[1]Jan-24'!$H:$H,0)</f>
        <v>0</v>
      </c>
      <c r="G100" s="17">
        <f>_xlfn.XLOOKUP($B100,'[1]Feb-24'!$A:$A,'[1]Feb-24'!$H:$H,0)</f>
        <v>0</v>
      </c>
      <c r="H100" s="17">
        <f>_xlfn.XLOOKUP($B100,'[1]Mar-24'!$A:$A,'[1]Mar-24'!$H:$H,0)</f>
        <v>0</v>
      </c>
      <c r="I100" s="17">
        <f>_xlfn.XLOOKUP($B100,'[1]Apr-24'!$A:$A,'[1]Apr-24'!$H:$H,0)</f>
        <v>0</v>
      </c>
      <c r="J100" s="17">
        <f>_xlfn.XLOOKUP($B100,'[1]May-24'!$A:$A,'[1]May-24'!$H:$H,0)</f>
        <v>0</v>
      </c>
      <c r="K100" s="17">
        <f>_xlfn.XLOOKUP($B100,'[1]Jun-24'!$A:$A,'[1]Jun-24'!$H:$H,0)</f>
        <v>0</v>
      </c>
      <c r="L100" s="17">
        <f>_xlfn.XLOOKUP($B100,'[1]Jul-24'!$A:$A,'[1]Jul-24'!$H:$H,0)</f>
        <v>0</v>
      </c>
      <c r="M100" s="17">
        <f>_xlfn.XLOOKUP($B100,'[1]Aug-24'!$A:$A,'[1]Aug-24'!$H:$H,0)</f>
        <v>0</v>
      </c>
      <c r="N100" s="17">
        <f>_xlfn.XLOOKUP($B100,'[1]Sep-24'!$A:$A,'[1]Sep-24'!$H:$H,0)</f>
        <v>0</v>
      </c>
      <c r="O100" s="17">
        <f>_xlfn.XLOOKUP($B100,'[1]Oct-24'!$A:$A,'[1]Oct-24'!$H:$H,0)</f>
        <v>0</v>
      </c>
      <c r="P100" s="17">
        <f>_xlfn.XLOOKUP($B100,'[1]Nov-24'!$A:$A,'[1]Nov-24'!$H:$H,0)</f>
        <v>0</v>
      </c>
      <c r="Q100" s="17">
        <f>_xlfn.XLOOKUP($B100,'[1]Dec-24'!$A:$A,'[1]Dec-24'!$H:$H,0)</f>
        <v>0</v>
      </c>
      <c r="R100" s="17">
        <f>_xlfn.XLOOKUP($B100,'[1]Jan-25'!$A:$A,'[1]Jan-25'!$H:$H,0)</f>
        <v>0</v>
      </c>
      <c r="S100" s="17">
        <f>_xlfn.XLOOKUP($B100,'[1]Feb-25'!$A:$A,'[1]Feb-25'!$H:$H,0)</f>
        <v>0</v>
      </c>
      <c r="T100" s="17">
        <f>_xlfn.XLOOKUP($B100,'[1]Mar-25'!$A:$A,'[1]Mar-25'!$H:$H,0)</f>
        <v>0</v>
      </c>
      <c r="U100" s="17">
        <f>_xlfn.XLOOKUP($B100,'[1]Apr-25'!$A:$A,'[1]Apr-25'!$H:$H,0)</f>
        <v>0</v>
      </c>
      <c r="V100" s="17">
        <f>_xlfn.XLOOKUP($B100,'[1]May-25'!$A:$A,'[1]May-25'!$H:$H,0)</f>
        <v>0</v>
      </c>
      <c r="W100" s="17">
        <f>_xlfn.XLOOKUP($B100,'[1]Jun-25'!$A:$A,'[1]Jun-25'!$H:$H,0)</f>
        <v>0</v>
      </c>
      <c r="X100" s="17">
        <f>_xlfn.XLOOKUP($B100,'[1]Jul-25'!$A:$A,'[1]Jul-25'!$H:$H,0)</f>
        <v>0</v>
      </c>
      <c r="Y100" s="17">
        <f>_xlfn.XLOOKUP($B100,'[1]Aug-25'!$A:$A,'[1]Aug-25'!$H:$H,0)</f>
        <v>0</v>
      </c>
      <c r="Z100" s="17">
        <f>_xlfn.XLOOKUP($B100,'[1]Sep-25'!$A:$A,'[1]Sep-25'!$H:$H,0)</f>
        <v>0</v>
      </c>
      <c r="AA100" s="17">
        <f>_xlfn.XLOOKUP($B100,'[1]Oct-25'!$A:$A,'[1]Oct-25'!$H:$H,0)</f>
        <v>0</v>
      </c>
      <c r="AB100" s="17">
        <f>_xlfn.XLOOKUP($B100,'[1]Nov-25'!$A:$A,'[1]Nov-25'!$H:$H,0)</f>
        <v>0</v>
      </c>
      <c r="AC100" s="17">
        <f>_xlfn.XLOOKUP($B100,'[1]Dec-25'!$A:$A,'[1]Dec-25'!$H:$H,0)</f>
        <v>0</v>
      </c>
      <c r="AD100" s="17">
        <f>_xlfn.XLOOKUP($B100,'[1]Jan-26'!$A:$A,'[1]Jan-26'!$H:$H,0)</f>
        <v>0</v>
      </c>
      <c r="AE100" s="17">
        <f>_xlfn.XLOOKUP($B100,'[1]Feb-26'!$A:$A,'[1]Feb-26'!$H:$H,0)</f>
        <v>0</v>
      </c>
      <c r="AF100" s="17">
        <f>_xlfn.XLOOKUP($B100,'[1]Mar-26'!$A:$A,'[1]Mar-26'!$H:$H,0)</f>
        <v>0</v>
      </c>
      <c r="AG100" s="17">
        <f>_xlfn.XLOOKUP($B100,'[1]Apr-26'!$A:$A,'[1]Apr-26'!$H:$H,0)</f>
        <v>0</v>
      </c>
    </row>
    <row r="101" spans="1:33" x14ac:dyDescent="0.2">
      <c r="A101" s="58">
        <v>10478</v>
      </c>
      <c r="B101" s="56" t="str">
        <f t="shared" si="7"/>
        <v>10478</v>
      </c>
      <c r="C101" s="57" t="s">
        <v>302</v>
      </c>
      <c r="D101" s="57" t="s">
        <v>303</v>
      </c>
      <c r="E101" s="44" t="s">
        <v>354</v>
      </c>
      <c r="F101" s="17">
        <f>_xlfn.XLOOKUP($B101,'[1]Jan-24'!$A:$A,'[1]Jan-24'!$H:$H,0)</f>
        <v>0</v>
      </c>
      <c r="G101" s="17">
        <f>_xlfn.XLOOKUP($B101,'[1]Feb-24'!$A:$A,'[1]Feb-24'!$H:$H,0)</f>
        <v>0</v>
      </c>
      <c r="H101" s="17">
        <f>_xlfn.XLOOKUP($B101,'[1]Mar-24'!$A:$A,'[1]Mar-24'!$H:$H,0)</f>
        <v>0</v>
      </c>
      <c r="I101" s="17">
        <f>_xlfn.XLOOKUP($B101,'[1]Apr-24'!$A:$A,'[1]Apr-24'!$H:$H,0)</f>
        <v>0</v>
      </c>
      <c r="J101" s="17">
        <f>_xlfn.XLOOKUP($B101,'[1]May-24'!$A:$A,'[1]May-24'!$H:$H,0)</f>
        <v>0</v>
      </c>
      <c r="K101" s="17">
        <f>_xlfn.XLOOKUP($B101,'[1]Jun-24'!$A:$A,'[1]Jun-24'!$H:$H,0)</f>
        <v>0</v>
      </c>
      <c r="L101" s="17">
        <f>_xlfn.XLOOKUP($B101,'[1]Jul-24'!$A:$A,'[1]Jul-24'!$H:$H,0)</f>
        <v>0</v>
      </c>
      <c r="M101" s="17">
        <f>_xlfn.XLOOKUP($B101,'[1]Aug-24'!$A:$A,'[1]Aug-24'!$H:$H,0)</f>
        <v>0</v>
      </c>
      <c r="N101" s="17">
        <f>_xlfn.XLOOKUP($B101,'[1]Sep-24'!$A:$A,'[1]Sep-24'!$H:$H,0)</f>
        <v>0</v>
      </c>
      <c r="O101" s="17">
        <f>_xlfn.XLOOKUP($B101,'[1]Oct-24'!$A:$A,'[1]Oct-24'!$H:$H,0)</f>
        <v>0</v>
      </c>
      <c r="P101" s="17">
        <f>_xlfn.XLOOKUP($B101,'[1]Nov-24'!$A:$A,'[1]Nov-24'!$H:$H,0)</f>
        <v>0</v>
      </c>
      <c r="Q101" s="17">
        <f>_xlfn.XLOOKUP($B101,'[1]Dec-24'!$A:$A,'[1]Dec-24'!$H:$H,0)</f>
        <v>0</v>
      </c>
      <c r="R101" s="17">
        <f>_xlfn.XLOOKUP($B101,'[1]Jan-25'!$A:$A,'[1]Jan-25'!$H:$H,0)</f>
        <v>0</v>
      </c>
      <c r="S101" s="17">
        <f>_xlfn.XLOOKUP($B101,'[1]Feb-25'!$A:$A,'[1]Feb-25'!$H:$H,0)</f>
        <v>0</v>
      </c>
      <c r="T101" s="17">
        <f>_xlfn.XLOOKUP($B101,'[1]Mar-25'!$A:$A,'[1]Mar-25'!$H:$H,0)</f>
        <v>0</v>
      </c>
      <c r="U101" s="17">
        <f>_xlfn.XLOOKUP($B101,'[1]Apr-25'!$A:$A,'[1]Apr-25'!$H:$H,0)</f>
        <v>0</v>
      </c>
      <c r="V101" s="17">
        <f>_xlfn.XLOOKUP($B101,'[1]May-25'!$A:$A,'[1]May-25'!$H:$H,0)</f>
        <v>0</v>
      </c>
      <c r="W101" s="17">
        <f>_xlfn.XLOOKUP($B101,'[1]Jun-25'!$A:$A,'[1]Jun-25'!$H:$H,0)</f>
        <v>0</v>
      </c>
      <c r="X101" s="17">
        <f>_xlfn.XLOOKUP($B101,'[1]Jul-25'!$A:$A,'[1]Jul-25'!$H:$H,0)</f>
        <v>0</v>
      </c>
      <c r="Y101" s="17">
        <f>_xlfn.XLOOKUP($B101,'[1]Aug-25'!$A:$A,'[1]Aug-25'!$H:$H,0)</f>
        <v>0</v>
      </c>
      <c r="Z101" s="17">
        <f>_xlfn.XLOOKUP($B101,'[1]Sep-25'!$A:$A,'[1]Sep-25'!$H:$H,0)</f>
        <v>0</v>
      </c>
      <c r="AA101" s="17">
        <f>_xlfn.XLOOKUP($B101,'[1]Oct-25'!$A:$A,'[1]Oct-25'!$H:$H,0)</f>
        <v>0</v>
      </c>
      <c r="AB101" s="17">
        <f>_xlfn.XLOOKUP($B101,'[1]Nov-25'!$A:$A,'[1]Nov-25'!$H:$H,0)</f>
        <v>0</v>
      </c>
      <c r="AC101" s="17">
        <f>_xlfn.XLOOKUP($B101,'[1]Dec-25'!$A:$A,'[1]Dec-25'!$H:$H,0)</f>
        <v>0</v>
      </c>
      <c r="AD101" s="17">
        <f>_xlfn.XLOOKUP($B101,'[1]Jan-26'!$A:$A,'[1]Jan-26'!$H:$H,0)</f>
        <v>0</v>
      </c>
      <c r="AE101" s="17">
        <f>_xlfn.XLOOKUP($B101,'[1]Feb-26'!$A:$A,'[1]Feb-26'!$H:$H,0)</f>
        <v>0</v>
      </c>
      <c r="AF101" s="17">
        <f>_xlfn.XLOOKUP($B101,'[1]Mar-26'!$A:$A,'[1]Mar-26'!$H:$H,0)</f>
        <v>0</v>
      </c>
      <c r="AG101" s="17">
        <f>_xlfn.XLOOKUP($B101,'[1]Apr-26'!$A:$A,'[1]Apr-26'!$H:$H,0)</f>
        <v>0</v>
      </c>
    </row>
    <row r="102" spans="1:33" x14ac:dyDescent="0.2">
      <c r="A102" s="58">
        <v>10479</v>
      </c>
      <c r="B102" s="56" t="str">
        <f t="shared" si="7"/>
        <v>10479</v>
      </c>
      <c r="C102" s="57" t="s">
        <v>302</v>
      </c>
      <c r="D102" s="57" t="s">
        <v>303</v>
      </c>
      <c r="E102" s="44" t="s">
        <v>355</v>
      </c>
      <c r="F102" s="17">
        <f>_xlfn.XLOOKUP($B102,'[1]Jan-24'!$A:$A,'[1]Jan-24'!$H:$H,0)</f>
        <v>0</v>
      </c>
      <c r="G102" s="17">
        <f>_xlfn.XLOOKUP($B102,'[1]Feb-24'!$A:$A,'[1]Feb-24'!$H:$H,0)</f>
        <v>0</v>
      </c>
      <c r="H102" s="17">
        <f>_xlfn.XLOOKUP($B102,'[1]Mar-24'!$A:$A,'[1]Mar-24'!$H:$H,0)</f>
        <v>0</v>
      </c>
      <c r="I102" s="17">
        <f>_xlfn.XLOOKUP($B102,'[1]Apr-24'!$A:$A,'[1]Apr-24'!$H:$H,0)</f>
        <v>0</v>
      </c>
      <c r="J102" s="17">
        <f>_xlfn.XLOOKUP($B102,'[1]May-24'!$A:$A,'[1]May-24'!$H:$H,0)</f>
        <v>0</v>
      </c>
      <c r="K102" s="17">
        <f>_xlfn.XLOOKUP($B102,'[1]Jun-24'!$A:$A,'[1]Jun-24'!$H:$H,0)</f>
        <v>0</v>
      </c>
      <c r="L102" s="17">
        <f>_xlfn.XLOOKUP($B102,'[1]Jul-24'!$A:$A,'[1]Jul-24'!$H:$H,0)</f>
        <v>0</v>
      </c>
      <c r="M102" s="17">
        <f>_xlfn.XLOOKUP($B102,'[1]Aug-24'!$A:$A,'[1]Aug-24'!$H:$H,0)</f>
        <v>0</v>
      </c>
      <c r="N102" s="17">
        <f>_xlfn.XLOOKUP($B102,'[1]Sep-24'!$A:$A,'[1]Sep-24'!$H:$H,0)</f>
        <v>0</v>
      </c>
      <c r="O102" s="17">
        <f>_xlfn.XLOOKUP($B102,'[1]Oct-24'!$A:$A,'[1]Oct-24'!$H:$H,0)</f>
        <v>0</v>
      </c>
      <c r="P102" s="17">
        <f>_xlfn.XLOOKUP($B102,'[1]Nov-24'!$A:$A,'[1]Nov-24'!$H:$H,0)</f>
        <v>0</v>
      </c>
      <c r="Q102" s="17">
        <f>_xlfn.XLOOKUP($B102,'[1]Dec-24'!$A:$A,'[1]Dec-24'!$H:$H,0)</f>
        <v>0</v>
      </c>
      <c r="R102" s="17">
        <f>_xlfn.XLOOKUP($B102,'[1]Jan-25'!$A:$A,'[1]Jan-25'!$H:$H,0)</f>
        <v>0</v>
      </c>
      <c r="S102" s="17">
        <f>_xlfn.XLOOKUP($B102,'[1]Feb-25'!$A:$A,'[1]Feb-25'!$H:$H,0)</f>
        <v>0</v>
      </c>
      <c r="T102" s="17">
        <f>_xlfn.XLOOKUP($B102,'[1]Mar-25'!$A:$A,'[1]Mar-25'!$H:$H,0)</f>
        <v>0</v>
      </c>
      <c r="U102" s="17">
        <f>_xlfn.XLOOKUP($B102,'[1]Apr-25'!$A:$A,'[1]Apr-25'!$H:$H,0)</f>
        <v>0</v>
      </c>
      <c r="V102" s="17">
        <f>_xlfn.XLOOKUP($B102,'[1]May-25'!$A:$A,'[1]May-25'!$H:$H,0)</f>
        <v>0</v>
      </c>
      <c r="W102" s="17">
        <f>_xlfn.XLOOKUP($B102,'[1]Jun-25'!$A:$A,'[1]Jun-25'!$H:$H,0)</f>
        <v>0</v>
      </c>
      <c r="X102" s="17">
        <f>_xlfn.XLOOKUP($B102,'[1]Jul-25'!$A:$A,'[1]Jul-25'!$H:$H,0)</f>
        <v>0</v>
      </c>
      <c r="Y102" s="17">
        <f>_xlfn.XLOOKUP($B102,'[1]Aug-25'!$A:$A,'[1]Aug-25'!$H:$H,0)</f>
        <v>0</v>
      </c>
      <c r="Z102" s="17">
        <f>_xlfn.XLOOKUP($B102,'[1]Sep-25'!$A:$A,'[1]Sep-25'!$H:$H,0)</f>
        <v>0</v>
      </c>
      <c r="AA102" s="17">
        <f>_xlfn.XLOOKUP($B102,'[1]Oct-25'!$A:$A,'[1]Oct-25'!$H:$H,0)</f>
        <v>0</v>
      </c>
      <c r="AB102" s="17">
        <f>_xlfn.XLOOKUP($B102,'[1]Nov-25'!$A:$A,'[1]Nov-25'!$H:$H,0)</f>
        <v>0</v>
      </c>
      <c r="AC102" s="17">
        <f>_xlfn.XLOOKUP($B102,'[1]Dec-25'!$A:$A,'[1]Dec-25'!$H:$H,0)</f>
        <v>0</v>
      </c>
      <c r="AD102" s="17">
        <f>_xlfn.XLOOKUP($B102,'[1]Jan-26'!$A:$A,'[1]Jan-26'!$H:$H,0)</f>
        <v>0</v>
      </c>
      <c r="AE102" s="17">
        <f>_xlfn.XLOOKUP($B102,'[1]Feb-26'!$A:$A,'[1]Feb-26'!$H:$H,0)</f>
        <v>0</v>
      </c>
      <c r="AF102" s="17">
        <f>_xlfn.XLOOKUP($B102,'[1]Mar-26'!$A:$A,'[1]Mar-26'!$H:$H,0)</f>
        <v>0</v>
      </c>
      <c r="AG102" s="17">
        <f>_xlfn.XLOOKUP($B102,'[1]Apr-26'!$A:$A,'[1]Apr-26'!$H:$H,0)</f>
        <v>0</v>
      </c>
    </row>
    <row r="103" spans="1:33" x14ac:dyDescent="0.2">
      <c r="A103" s="58">
        <v>10480</v>
      </c>
      <c r="B103" s="56" t="str">
        <f t="shared" si="7"/>
        <v>10480</v>
      </c>
      <c r="C103" s="57" t="s">
        <v>302</v>
      </c>
      <c r="D103" s="57" t="s">
        <v>303</v>
      </c>
      <c r="E103" s="44" t="s">
        <v>356</v>
      </c>
      <c r="F103" s="17">
        <f>_xlfn.XLOOKUP($B103,'[1]Jan-24'!$A:$A,'[1]Jan-24'!$H:$H,0)</f>
        <v>0</v>
      </c>
      <c r="G103" s="17">
        <f>_xlfn.XLOOKUP($B103,'[1]Feb-24'!$A:$A,'[1]Feb-24'!$H:$H,0)</f>
        <v>0</v>
      </c>
      <c r="H103" s="17">
        <f>_xlfn.XLOOKUP($B103,'[1]Mar-24'!$A:$A,'[1]Mar-24'!$H:$H,0)</f>
        <v>0</v>
      </c>
      <c r="I103" s="17">
        <f>_xlfn.XLOOKUP($B103,'[1]Apr-24'!$A:$A,'[1]Apr-24'!$H:$H,0)</f>
        <v>0</v>
      </c>
      <c r="J103" s="17">
        <f>_xlfn.XLOOKUP($B103,'[1]May-24'!$A:$A,'[1]May-24'!$H:$H,0)</f>
        <v>0</v>
      </c>
      <c r="K103" s="17">
        <f>_xlfn.XLOOKUP($B103,'[1]Jun-24'!$A:$A,'[1]Jun-24'!$H:$H,0)</f>
        <v>0</v>
      </c>
      <c r="L103" s="17">
        <f>_xlfn.XLOOKUP($B103,'[1]Jul-24'!$A:$A,'[1]Jul-24'!$H:$H,0)</f>
        <v>0</v>
      </c>
      <c r="M103" s="17">
        <f>_xlfn.XLOOKUP($B103,'[1]Aug-24'!$A:$A,'[1]Aug-24'!$H:$H,0)</f>
        <v>0</v>
      </c>
      <c r="N103" s="17">
        <f>_xlfn.XLOOKUP($B103,'[1]Sep-24'!$A:$A,'[1]Sep-24'!$H:$H,0)</f>
        <v>0</v>
      </c>
      <c r="O103" s="17">
        <f>_xlfn.XLOOKUP($B103,'[1]Oct-24'!$A:$A,'[1]Oct-24'!$H:$H,0)</f>
        <v>0</v>
      </c>
      <c r="P103" s="17">
        <f>_xlfn.XLOOKUP($B103,'[1]Nov-24'!$A:$A,'[1]Nov-24'!$H:$H,0)</f>
        <v>0</v>
      </c>
      <c r="Q103" s="17">
        <f>_xlfn.XLOOKUP($B103,'[1]Dec-24'!$A:$A,'[1]Dec-24'!$H:$H,0)</f>
        <v>0</v>
      </c>
      <c r="R103" s="17">
        <f>_xlfn.XLOOKUP($B103,'[1]Jan-25'!$A:$A,'[1]Jan-25'!$H:$H,0)</f>
        <v>0</v>
      </c>
      <c r="S103" s="17">
        <f>_xlfn.XLOOKUP($B103,'[1]Feb-25'!$A:$A,'[1]Feb-25'!$H:$H,0)</f>
        <v>0</v>
      </c>
      <c r="T103" s="17">
        <f>_xlfn.XLOOKUP($B103,'[1]Mar-25'!$A:$A,'[1]Mar-25'!$H:$H,0)</f>
        <v>0</v>
      </c>
      <c r="U103" s="17">
        <f>_xlfn.XLOOKUP($B103,'[1]Apr-25'!$A:$A,'[1]Apr-25'!$H:$H,0)</f>
        <v>0</v>
      </c>
      <c r="V103" s="17">
        <f>_xlfn.XLOOKUP($B103,'[1]May-25'!$A:$A,'[1]May-25'!$H:$H,0)</f>
        <v>0</v>
      </c>
      <c r="W103" s="17">
        <f>_xlfn.XLOOKUP($B103,'[1]Jun-25'!$A:$A,'[1]Jun-25'!$H:$H,0)</f>
        <v>0</v>
      </c>
      <c r="X103" s="17">
        <f>_xlfn.XLOOKUP($B103,'[1]Jul-25'!$A:$A,'[1]Jul-25'!$H:$H,0)</f>
        <v>0</v>
      </c>
      <c r="Y103" s="17">
        <f>_xlfn.XLOOKUP($B103,'[1]Aug-25'!$A:$A,'[1]Aug-25'!$H:$H,0)</f>
        <v>0</v>
      </c>
      <c r="Z103" s="17">
        <f>_xlfn.XLOOKUP($B103,'[1]Sep-25'!$A:$A,'[1]Sep-25'!$H:$H,0)</f>
        <v>0</v>
      </c>
      <c r="AA103" s="17">
        <f>_xlfn.XLOOKUP($B103,'[1]Oct-25'!$A:$A,'[1]Oct-25'!$H:$H,0)</f>
        <v>0</v>
      </c>
      <c r="AB103" s="17">
        <f>_xlfn.XLOOKUP($B103,'[1]Nov-25'!$A:$A,'[1]Nov-25'!$H:$H,0)</f>
        <v>0</v>
      </c>
      <c r="AC103" s="17">
        <f>_xlfn.XLOOKUP($B103,'[1]Dec-25'!$A:$A,'[1]Dec-25'!$H:$H,0)</f>
        <v>0</v>
      </c>
      <c r="AD103" s="17">
        <f>_xlfn.XLOOKUP($B103,'[1]Jan-26'!$A:$A,'[1]Jan-26'!$H:$H,0)</f>
        <v>0</v>
      </c>
      <c r="AE103" s="17">
        <f>_xlfn.XLOOKUP($B103,'[1]Feb-26'!$A:$A,'[1]Feb-26'!$H:$H,0)</f>
        <v>0</v>
      </c>
      <c r="AF103" s="17">
        <f>_xlfn.XLOOKUP($B103,'[1]Mar-26'!$A:$A,'[1]Mar-26'!$H:$H,0)</f>
        <v>0</v>
      </c>
      <c r="AG103" s="17">
        <f>_xlfn.XLOOKUP($B103,'[1]Apr-26'!$A:$A,'[1]Apr-26'!$H:$H,0)</f>
        <v>0</v>
      </c>
    </row>
    <row r="104" spans="1:33" x14ac:dyDescent="0.2">
      <c r="A104" s="58">
        <v>10481</v>
      </c>
      <c r="B104" s="56" t="str">
        <f t="shared" si="7"/>
        <v>10481</v>
      </c>
      <c r="C104" s="57" t="s">
        <v>302</v>
      </c>
      <c r="D104" s="57" t="s">
        <v>303</v>
      </c>
      <c r="E104" s="44" t="s">
        <v>357</v>
      </c>
      <c r="F104" s="17">
        <f>_xlfn.XLOOKUP($B104,'[1]Jan-24'!$A:$A,'[1]Jan-24'!$H:$H,0)</f>
        <v>0</v>
      </c>
      <c r="G104" s="17">
        <f>_xlfn.XLOOKUP($B104,'[1]Feb-24'!$A:$A,'[1]Feb-24'!$H:$H,0)</f>
        <v>0</v>
      </c>
      <c r="H104" s="17">
        <f>_xlfn.XLOOKUP($B104,'[1]Mar-24'!$A:$A,'[1]Mar-24'!$H:$H,0)</f>
        <v>0</v>
      </c>
      <c r="I104" s="17">
        <f>_xlfn.XLOOKUP($B104,'[1]Apr-24'!$A:$A,'[1]Apr-24'!$H:$H,0)</f>
        <v>0</v>
      </c>
      <c r="J104" s="17">
        <f>_xlfn.XLOOKUP($B104,'[1]May-24'!$A:$A,'[1]May-24'!$H:$H,0)</f>
        <v>0</v>
      </c>
      <c r="K104" s="17">
        <f>_xlfn.XLOOKUP($B104,'[1]Jun-24'!$A:$A,'[1]Jun-24'!$H:$H,0)</f>
        <v>0</v>
      </c>
      <c r="L104" s="17">
        <f>_xlfn.XLOOKUP($B104,'[1]Jul-24'!$A:$A,'[1]Jul-24'!$H:$H,0)</f>
        <v>0</v>
      </c>
      <c r="M104" s="17">
        <f>_xlfn.XLOOKUP($B104,'[1]Aug-24'!$A:$A,'[1]Aug-24'!$H:$H,0)</f>
        <v>0</v>
      </c>
      <c r="N104" s="17">
        <f>_xlfn.XLOOKUP($B104,'[1]Sep-24'!$A:$A,'[1]Sep-24'!$H:$H,0)</f>
        <v>0</v>
      </c>
      <c r="O104" s="17">
        <f>_xlfn.XLOOKUP($B104,'[1]Oct-24'!$A:$A,'[1]Oct-24'!$H:$H,0)</f>
        <v>0</v>
      </c>
      <c r="P104" s="17">
        <f>_xlfn.XLOOKUP($B104,'[1]Nov-24'!$A:$A,'[1]Nov-24'!$H:$H,0)</f>
        <v>0</v>
      </c>
      <c r="Q104" s="17">
        <f>_xlfn.XLOOKUP($B104,'[1]Dec-24'!$A:$A,'[1]Dec-24'!$H:$H,0)</f>
        <v>0</v>
      </c>
      <c r="R104" s="17">
        <f>_xlfn.XLOOKUP($B104,'[1]Jan-25'!$A:$A,'[1]Jan-25'!$H:$H,0)</f>
        <v>0</v>
      </c>
      <c r="S104" s="17">
        <f>_xlfn.XLOOKUP($B104,'[1]Feb-25'!$A:$A,'[1]Feb-25'!$H:$H,0)</f>
        <v>0</v>
      </c>
      <c r="T104" s="17">
        <f>_xlfn.XLOOKUP($B104,'[1]Mar-25'!$A:$A,'[1]Mar-25'!$H:$H,0)</f>
        <v>0</v>
      </c>
      <c r="U104" s="17">
        <f>_xlfn.XLOOKUP($B104,'[1]Apr-25'!$A:$A,'[1]Apr-25'!$H:$H,0)</f>
        <v>0</v>
      </c>
      <c r="V104" s="17">
        <f>_xlfn.XLOOKUP($B104,'[1]May-25'!$A:$A,'[1]May-25'!$H:$H,0)</f>
        <v>0</v>
      </c>
      <c r="W104" s="17">
        <f>_xlfn.XLOOKUP($B104,'[1]Jun-25'!$A:$A,'[1]Jun-25'!$H:$H,0)</f>
        <v>0</v>
      </c>
      <c r="X104" s="17">
        <f>_xlfn.XLOOKUP($B104,'[1]Jul-25'!$A:$A,'[1]Jul-25'!$H:$H,0)</f>
        <v>0</v>
      </c>
      <c r="Y104" s="17">
        <f>_xlfn.XLOOKUP($B104,'[1]Aug-25'!$A:$A,'[1]Aug-25'!$H:$H,0)</f>
        <v>0</v>
      </c>
      <c r="Z104" s="17">
        <f>_xlfn.XLOOKUP($B104,'[1]Sep-25'!$A:$A,'[1]Sep-25'!$H:$H,0)</f>
        <v>0</v>
      </c>
      <c r="AA104" s="17">
        <f>_xlfn.XLOOKUP($B104,'[1]Oct-25'!$A:$A,'[1]Oct-25'!$H:$H,0)</f>
        <v>0</v>
      </c>
      <c r="AB104" s="17">
        <f>_xlfn.XLOOKUP($B104,'[1]Nov-25'!$A:$A,'[1]Nov-25'!$H:$H,0)</f>
        <v>0</v>
      </c>
      <c r="AC104" s="17">
        <f>_xlfn.XLOOKUP($B104,'[1]Dec-25'!$A:$A,'[1]Dec-25'!$H:$H,0)</f>
        <v>0</v>
      </c>
      <c r="AD104" s="17">
        <f>_xlfn.XLOOKUP($B104,'[1]Jan-26'!$A:$A,'[1]Jan-26'!$H:$H,0)</f>
        <v>0</v>
      </c>
      <c r="AE104" s="17">
        <f>_xlfn.XLOOKUP($B104,'[1]Feb-26'!$A:$A,'[1]Feb-26'!$H:$H,0)</f>
        <v>0</v>
      </c>
      <c r="AF104" s="17">
        <f>_xlfn.XLOOKUP($B104,'[1]Mar-26'!$A:$A,'[1]Mar-26'!$H:$H,0)</f>
        <v>0</v>
      </c>
      <c r="AG104" s="17">
        <f>_xlfn.XLOOKUP($B104,'[1]Apr-26'!$A:$A,'[1]Apr-26'!$H:$H,0)</f>
        <v>0</v>
      </c>
    </row>
    <row r="105" spans="1:33" x14ac:dyDescent="0.2">
      <c r="A105" s="58">
        <v>10485</v>
      </c>
      <c r="B105" s="56" t="str">
        <f t="shared" si="7"/>
        <v>10485</v>
      </c>
      <c r="C105" s="57" t="s">
        <v>302</v>
      </c>
      <c r="D105" s="57" t="s">
        <v>303</v>
      </c>
      <c r="E105" s="44" t="s">
        <v>354</v>
      </c>
      <c r="F105" s="17">
        <f>_xlfn.XLOOKUP($B105,'[1]Jan-24'!$A:$A,'[1]Jan-24'!$H:$H,0)</f>
        <v>0</v>
      </c>
      <c r="G105" s="17">
        <f>_xlfn.XLOOKUP($B105,'[1]Feb-24'!$A:$A,'[1]Feb-24'!$H:$H,0)</f>
        <v>0</v>
      </c>
      <c r="H105" s="17">
        <f>_xlfn.XLOOKUP($B105,'[1]Mar-24'!$A:$A,'[1]Mar-24'!$H:$H,0)</f>
        <v>0</v>
      </c>
      <c r="I105" s="17">
        <f>_xlfn.XLOOKUP($B105,'[1]Apr-24'!$A:$A,'[1]Apr-24'!$H:$H,0)</f>
        <v>0</v>
      </c>
      <c r="J105" s="17">
        <f>_xlfn.XLOOKUP($B105,'[1]May-24'!$A:$A,'[1]May-24'!$H:$H,0)</f>
        <v>0</v>
      </c>
      <c r="K105" s="17">
        <f>_xlfn.XLOOKUP($B105,'[1]Jun-24'!$A:$A,'[1]Jun-24'!$H:$H,0)</f>
        <v>0</v>
      </c>
      <c r="L105" s="17">
        <f>_xlfn.XLOOKUP($B105,'[1]Jul-24'!$A:$A,'[1]Jul-24'!$H:$H,0)</f>
        <v>0</v>
      </c>
      <c r="M105" s="17">
        <f>_xlfn.XLOOKUP($B105,'[1]Aug-24'!$A:$A,'[1]Aug-24'!$H:$H,0)</f>
        <v>0</v>
      </c>
      <c r="N105" s="17">
        <f>_xlfn.XLOOKUP($B105,'[1]Sep-24'!$A:$A,'[1]Sep-24'!$H:$H,0)</f>
        <v>0</v>
      </c>
      <c r="O105" s="17">
        <f>_xlfn.XLOOKUP($B105,'[1]Oct-24'!$A:$A,'[1]Oct-24'!$H:$H,0)</f>
        <v>0</v>
      </c>
      <c r="P105" s="17">
        <f>_xlfn.XLOOKUP($B105,'[1]Nov-24'!$A:$A,'[1]Nov-24'!$H:$H,0)</f>
        <v>0</v>
      </c>
      <c r="Q105" s="17">
        <f>_xlfn.XLOOKUP($B105,'[1]Dec-24'!$A:$A,'[1]Dec-24'!$H:$H,0)</f>
        <v>0</v>
      </c>
      <c r="R105" s="17">
        <f>_xlfn.XLOOKUP($B105,'[1]Jan-25'!$A:$A,'[1]Jan-25'!$H:$H,0)</f>
        <v>0</v>
      </c>
      <c r="S105" s="17">
        <f>_xlfn.XLOOKUP($B105,'[1]Feb-25'!$A:$A,'[1]Feb-25'!$H:$H,0)</f>
        <v>0</v>
      </c>
      <c r="T105" s="17">
        <f>_xlfn.XLOOKUP($B105,'[1]Mar-25'!$A:$A,'[1]Mar-25'!$H:$H,0)</f>
        <v>0</v>
      </c>
      <c r="U105" s="17">
        <f>_xlfn.XLOOKUP($B105,'[1]Apr-25'!$A:$A,'[1]Apr-25'!$H:$H,0)</f>
        <v>0</v>
      </c>
      <c r="V105" s="17">
        <f>_xlfn.XLOOKUP($B105,'[1]May-25'!$A:$A,'[1]May-25'!$H:$H,0)</f>
        <v>0</v>
      </c>
      <c r="W105" s="17">
        <f>_xlfn.XLOOKUP($B105,'[1]Jun-25'!$A:$A,'[1]Jun-25'!$H:$H,0)</f>
        <v>0</v>
      </c>
      <c r="X105" s="17">
        <f>_xlfn.XLOOKUP($B105,'[1]Jul-25'!$A:$A,'[1]Jul-25'!$H:$H,0)</f>
        <v>0</v>
      </c>
      <c r="Y105" s="17">
        <f>_xlfn.XLOOKUP($B105,'[1]Aug-25'!$A:$A,'[1]Aug-25'!$H:$H,0)</f>
        <v>0</v>
      </c>
      <c r="Z105" s="17">
        <f>_xlfn.XLOOKUP($B105,'[1]Sep-25'!$A:$A,'[1]Sep-25'!$H:$H,0)</f>
        <v>0</v>
      </c>
      <c r="AA105" s="17">
        <f>_xlfn.XLOOKUP($B105,'[1]Oct-25'!$A:$A,'[1]Oct-25'!$H:$H,0)</f>
        <v>0</v>
      </c>
      <c r="AB105" s="17">
        <f>_xlfn.XLOOKUP($B105,'[1]Nov-25'!$A:$A,'[1]Nov-25'!$H:$H,0)</f>
        <v>0</v>
      </c>
      <c r="AC105" s="17">
        <f>_xlfn.XLOOKUP($B105,'[1]Dec-25'!$A:$A,'[1]Dec-25'!$H:$H,0)</f>
        <v>0</v>
      </c>
      <c r="AD105" s="17">
        <f>_xlfn.XLOOKUP($B105,'[1]Jan-26'!$A:$A,'[1]Jan-26'!$H:$H,0)</f>
        <v>0</v>
      </c>
      <c r="AE105" s="17">
        <f>_xlfn.XLOOKUP($B105,'[1]Feb-26'!$A:$A,'[1]Feb-26'!$H:$H,0)</f>
        <v>0</v>
      </c>
      <c r="AF105" s="17">
        <f>_xlfn.XLOOKUP($B105,'[1]Mar-26'!$A:$A,'[1]Mar-26'!$H:$H,0)</f>
        <v>0</v>
      </c>
      <c r="AG105" s="17">
        <f>_xlfn.XLOOKUP($B105,'[1]Apr-26'!$A:$A,'[1]Apr-26'!$H:$H,0)</f>
        <v>0</v>
      </c>
    </row>
    <row r="106" spans="1:33" x14ac:dyDescent="0.2">
      <c r="A106" s="58">
        <v>10490</v>
      </c>
      <c r="B106" s="56" t="str">
        <f t="shared" si="7"/>
        <v>10490</v>
      </c>
      <c r="C106" s="57" t="s">
        <v>302</v>
      </c>
      <c r="D106" s="57" t="s">
        <v>303</v>
      </c>
      <c r="E106" s="44" t="s">
        <v>358</v>
      </c>
      <c r="F106" s="17">
        <f>_xlfn.XLOOKUP($B106,'[1]Jan-24'!$A:$A,'[1]Jan-24'!$H:$H,0)</f>
        <v>0</v>
      </c>
      <c r="G106" s="17">
        <f>_xlfn.XLOOKUP($B106,'[1]Feb-24'!$A:$A,'[1]Feb-24'!$H:$H,0)</f>
        <v>0</v>
      </c>
      <c r="H106" s="17">
        <f>_xlfn.XLOOKUP($B106,'[1]Mar-24'!$A:$A,'[1]Mar-24'!$H:$H,0)</f>
        <v>0</v>
      </c>
      <c r="I106" s="17">
        <f>_xlfn.XLOOKUP($B106,'[1]Apr-24'!$A:$A,'[1]Apr-24'!$H:$H,0)</f>
        <v>0</v>
      </c>
      <c r="J106" s="17">
        <f>_xlfn.XLOOKUP($B106,'[1]May-24'!$A:$A,'[1]May-24'!$H:$H,0)</f>
        <v>0</v>
      </c>
      <c r="K106" s="17">
        <f>_xlfn.XLOOKUP($B106,'[1]Jun-24'!$A:$A,'[1]Jun-24'!$H:$H,0)</f>
        <v>0</v>
      </c>
      <c r="L106" s="17">
        <f>_xlfn.XLOOKUP($B106,'[1]Jul-24'!$A:$A,'[1]Jul-24'!$H:$H,0)</f>
        <v>0</v>
      </c>
      <c r="M106" s="17">
        <f>_xlfn.XLOOKUP($B106,'[1]Aug-24'!$A:$A,'[1]Aug-24'!$H:$H,0)</f>
        <v>0</v>
      </c>
      <c r="N106" s="17">
        <f>_xlfn.XLOOKUP($B106,'[1]Sep-24'!$A:$A,'[1]Sep-24'!$H:$H,0)</f>
        <v>0</v>
      </c>
      <c r="O106" s="17">
        <f>_xlfn.XLOOKUP($B106,'[1]Oct-24'!$A:$A,'[1]Oct-24'!$H:$H,0)</f>
        <v>0</v>
      </c>
      <c r="P106" s="17">
        <f>_xlfn.XLOOKUP($B106,'[1]Nov-24'!$A:$A,'[1]Nov-24'!$H:$H,0)</f>
        <v>0</v>
      </c>
      <c r="Q106" s="17">
        <f>_xlfn.XLOOKUP($B106,'[1]Dec-24'!$A:$A,'[1]Dec-24'!$H:$H,0)</f>
        <v>0</v>
      </c>
      <c r="R106" s="17">
        <f>_xlfn.XLOOKUP($B106,'[1]Jan-25'!$A:$A,'[1]Jan-25'!$H:$H,0)</f>
        <v>0</v>
      </c>
      <c r="S106" s="17">
        <f>_xlfn.XLOOKUP($B106,'[1]Feb-25'!$A:$A,'[1]Feb-25'!$H:$H,0)</f>
        <v>0</v>
      </c>
      <c r="T106" s="17">
        <f>_xlfn.XLOOKUP($B106,'[1]Mar-25'!$A:$A,'[1]Mar-25'!$H:$H,0)</f>
        <v>0</v>
      </c>
      <c r="U106" s="17">
        <f>_xlfn.XLOOKUP($B106,'[1]Apr-25'!$A:$A,'[1]Apr-25'!$H:$H,0)</f>
        <v>0</v>
      </c>
      <c r="V106" s="17">
        <f>_xlfn.XLOOKUP($B106,'[1]May-25'!$A:$A,'[1]May-25'!$H:$H,0)</f>
        <v>0</v>
      </c>
      <c r="W106" s="17">
        <f>_xlfn.XLOOKUP($B106,'[1]Jun-25'!$A:$A,'[1]Jun-25'!$H:$H,0)</f>
        <v>0</v>
      </c>
      <c r="X106" s="17">
        <f>_xlfn.XLOOKUP($B106,'[1]Jul-25'!$A:$A,'[1]Jul-25'!$H:$H,0)</f>
        <v>0</v>
      </c>
      <c r="Y106" s="17">
        <f>_xlfn.XLOOKUP($B106,'[1]Aug-25'!$A:$A,'[1]Aug-25'!$H:$H,0)</f>
        <v>0</v>
      </c>
      <c r="Z106" s="17">
        <f>_xlfn.XLOOKUP($B106,'[1]Sep-25'!$A:$A,'[1]Sep-25'!$H:$H,0)</f>
        <v>0</v>
      </c>
      <c r="AA106" s="17">
        <f>_xlfn.XLOOKUP($B106,'[1]Oct-25'!$A:$A,'[1]Oct-25'!$H:$H,0)</f>
        <v>0</v>
      </c>
      <c r="AB106" s="17">
        <f>_xlfn.XLOOKUP($B106,'[1]Nov-25'!$A:$A,'[1]Nov-25'!$H:$H,0)</f>
        <v>0</v>
      </c>
      <c r="AC106" s="17">
        <f>_xlfn.XLOOKUP($B106,'[1]Dec-25'!$A:$A,'[1]Dec-25'!$H:$H,0)</f>
        <v>0</v>
      </c>
      <c r="AD106" s="17">
        <f>_xlfn.XLOOKUP($B106,'[1]Jan-26'!$A:$A,'[1]Jan-26'!$H:$H,0)</f>
        <v>0</v>
      </c>
      <c r="AE106" s="17">
        <f>_xlfn.XLOOKUP($B106,'[1]Feb-26'!$A:$A,'[1]Feb-26'!$H:$H,0)</f>
        <v>0</v>
      </c>
      <c r="AF106" s="17">
        <f>_xlfn.XLOOKUP($B106,'[1]Mar-26'!$A:$A,'[1]Mar-26'!$H:$H,0)</f>
        <v>0</v>
      </c>
      <c r="AG106" s="17">
        <f>_xlfn.XLOOKUP($B106,'[1]Apr-26'!$A:$A,'[1]Apr-26'!$H:$H,0)</f>
        <v>0</v>
      </c>
    </row>
    <row r="107" spans="1:33" x14ac:dyDescent="0.2">
      <c r="A107" s="58">
        <v>10495</v>
      </c>
      <c r="B107" s="56" t="str">
        <f t="shared" si="7"/>
        <v>10495</v>
      </c>
      <c r="C107" s="57" t="s">
        <v>302</v>
      </c>
      <c r="D107" s="57" t="s">
        <v>303</v>
      </c>
      <c r="E107" s="44" t="s">
        <v>359</v>
      </c>
      <c r="F107" s="17">
        <f>_xlfn.XLOOKUP($B107,'[1]Jan-24'!$A:$A,'[1]Jan-24'!$H:$H,0)</f>
        <v>0</v>
      </c>
      <c r="G107" s="17">
        <f>_xlfn.XLOOKUP($B107,'[1]Feb-24'!$A:$A,'[1]Feb-24'!$H:$H,0)</f>
        <v>0</v>
      </c>
      <c r="H107" s="17">
        <f>_xlfn.XLOOKUP($B107,'[1]Mar-24'!$A:$A,'[1]Mar-24'!$H:$H,0)</f>
        <v>0</v>
      </c>
      <c r="I107" s="17">
        <f>_xlfn.XLOOKUP($B107,'[1]Apr-24'!$A:$A,'[1]Apr-24'!$H:$H,0)</f>
        <v>0</v>
      </c>
      <c r="J107" s="17">
        <f>_xlfn.XLOOKUP($B107,'[1]May-24'!$A:$A,'[1]May-24'!$H:$H,0)</f>
        <v>0</v>
      </c>
      <c r="K107" s="17">
        <f>_xlfn.XLOOKUP($B107,'[1]Jun-24'!$A:$A,'[1]Jun-24'!$H:$H,0)</f>
        <v>0</v>
      </c>
      <c r="L107" s="17">
        <f>_xlfn.XLOOKUP($B107,'[1]Jul-24'!$A:$A,'[1]Jul-24'!$H:$H,0)</f>
        <v>0</v>
      </c>
      <c r="M107" s="17">
        <f>_xlfn.XLOOKUP($B107,'[1]Aug-24'!$A:$A,'[1]Aug-24'!$H:$H,0)</f>
        <v>0</v>
      </c>
      <c r="N107" s="17">
        <f>_xlfn.XLOOKUP($B107,'[1]Sep-24'!$A:$A,'[1]Sep-24'!$H:$H,0)</f>
        <v>0</v>
      </c>
      <c r="O107" s="17">
        <f>_xlfn.XLOOKUP($B107,'[1]Oct-24'!$A:$A,'[1]Oct-24'!$H:$H,0)</f>
        <v>0</v>
      </c>
      <c r="P107" s="17">
        <f>_xlfn.XLOOKUP($B107,'[1]Nov-24'!$A:$A,'[1]Nov-24'!$H:$H,0)</f>
        <v>0</v>
      </c>
      <c r="Q107" s="17">
        <f>_xlfn.XLOOKUP($B107,'[1]Dec-24'!$A:$A,'[1]Dec-24'!$H:$H,0)</f>
        <v>0</v>
      </c>
      <c r="R107" s="17">
        <f>_xlfn.XLOOKUP($B107,'[1]Jan-25'!$A:$A,'[1]Jan-25'!$H:$H,0)</f>
        <v>0</v>
      </c>
      <c r="S107" s="17">
        <f>_xlfn.XLOOKUP($B107,'[1]Feb-25'!$A:$A,'[1]Feb-25'!$H:$H,0)</f>
        <v>0</v>
      </c>
      <c r="T107" s="17">
        <f>_xlfn.XLOOKUP($B107,'[1]Mar-25'!$A:$A,'[1]Mar-25'!$H:$H,0)</f>
        <v>0</v>
      </c>
      <c r="U107" s="17">
        <f>_xlfn.XLOOKUP($B107,'[1]Apr-25'!$A:$A,'[1]Apr-25'!$H:$H,0)</f>
        <v>0</v>
      </c>
      <c r="V107" s="17">
        <f>_xlfn.XLOOKUP($B107,'[1]May-25'!$A:$A,'[1]May-25'!$H:$H,0)</f>
        <v>0</v>
      </c>
      <c r="W107" s="17">
        <f>_xlfn.XLOOKUP($B107,'[1]Jun-25'!$A:$A,'[1]Jun-25'!$H:$H,0)</f>
        <v>0</v>
      </c>
      <c r="X107" s="17">
        <f>_xlfn.XLOOKUP($B107,'[1]Jul-25'!$A:$A,'[1]Jul-25'!$H:$H,0)</f>
        <v>0</v>
      </c>
      <c r="Y107" s="17">
        <f>_xlfn.XLOOKUP($B107,'[1]Aug-25'!$A:$A,'[1]Aug-25'!$H:$H,0)</f>
        <v>0</v>
      </c>
      <c r="Z107" s="17">
        <f>_xlfn.XLOOKUP($B107,'[1]Sep-25'!$A:$A,'[1]Sep-25'!$H:$H,0)</f>
        <v>0</v>
      </c>
      <c r="AA107" s="17">
        <f>_xlfn.XLOOKUP($B107,'[1]Oct-25'!$A:$A,'[1]Oct-25'!$H:$H,0)</f>
        <v>0</v>
      </c>
      <c r="AB107" s="17">
        <f>_xlfn.XLOOKUP($B107,'[1]Nov-25'!$A:$A,'[1]Nov-25'!$H:$H,0)</f>
        <v>0</v>
      </c>
      <c r="AC107" s="17">
        <f>_xlfn.XLOOKUP($B107,'[1]Dec-25'!$A:$A,'[1]Dec-25'!$H:$H,0)</f>
        <v>0</v>
      </c>
      <c r="AD107" s="17">
        <f>_xlfn.XLOOKUP($B107,'[1]Jan-26'!$A:$A,'[1]Jan-26'!$H:$H,0)</f>
        <v>0</v>
      </c>
      <c r="AE107" s="17">
        <f>_xlfn.XLOOKUP($B107,'[1]Feb-26'!$A:$A,'[1]Feb-26'!$H:$H,0)</f>
        <v>0</v>
      </c>
      <c r="AF107" s="17">
        <f>_xlfn.XLOOKUP($B107,'[1]Mar-26'!$A:$A,'[1]Mar-26'!$H:$H,0)</f>
        <v>0</v>
      </c>
      <c r="AG107" s="17">
        <f>_xlfn.XLOOKUP($B107,'[1]Apr-26'!$A:$A,'[1]Apr-26'!$H:$H,0)</f>
        <v>0</v>
      </c>
    </row>
    <row r="108" spans="1:33" x14ac:dyDescent="0.2">
      <c r="A108" s="58">
        <v>10496</v>
      </c>
      <c r="B108" s="56" t="str">
        <f t="shared" si="7"/>
        <v>10496</v>
      </c>
      <c r="C108" s="57" t="s">
        <v>302</v>
      </c>
      <c r="D108" s="57" t="s">
        <v>303</v>
      </c>
      <c r="E108" s="44" t="s">
        <v>360</v>
      </c>
      <c r="F108" s="17">
        <f>_xlfn.XLOOKUP($B108,'[1]Jan-24'!$A:$A,'[1]Jan-24'!$H:$H,0)</f>
        <v>0</v>
      </c>
      <c r="G108" s="17">
        <f>_xlfn.XLOOKUP($B108,'[1]Feb-24'!$A:$A,'[1]Feb-24'!$H:$H,0)</f>
        <v>0</v>
      </c>
      <c r="H108" s="17">
        <f>_xlfn.XLOOKUP($B108,'[1]Mar-24'!$A:$A,'[1]Mar-24'!$H:$H,0)</f>
        <v>0</v>
      </c>
      <c r="I108" s="17">
        <f>_xlfn.XLOOKUP($B108,'[1]Apr-24'!$A:$A,'[1]Apr-24'!$H:$H,0)</f>
        <v>0</v>
      </c>
      <c r="J108" s="17">
        <f>_xlfn.XLOOKUP($B108,'[1]May-24'!$A:$A,'[1]May-24'!$H:$H,0)</f>
        <v>0</v>
      </c>
      <c r="K108" s="17">
        <f>_xlfn.XLOOKUP($B108,'[1]Jun-24'!$A:$A,'[1]Jun-24'!$H:$H,0)</f>
        <v>0</v>
      </c>
      <c r="L108" s="17">
        <f>_xlfn.XLOOKUP($B108,'[1]Jul-24'!$A:$A,'[1]Jul-24'!$H:$H,0)</f>
        <v>0</v>
      </c>
      <c r="M108" s="17">
        <f>_xlfn.XLOOKUP($B108,'[1]Aug-24'!$A:$A,'[1]Aug-24'!$H:$H,0)</f>
        <v>0</v>
      </c>
      <c r="N108" s="17">
        <f>_xlfn.XLOOKUP($B108,'[1]Sep-24'!$A:$A,'[1]Sep-24'!$H:$H,0)</f>
        <v>0</v>
      </c>
      <c r="O108" s="17">
        <f>_xlfn.XLOOKUP($B108,'[1]Oct-24'!$A:$A,'[1]Oct-24'!$H:$H,0)</f>
        <v>0</v>
      </c>
      <c r="P108" s="17">
        <f>_xlfn.XLOOKUP($B108,'[1]Nov-24'!$A:$A,'[1]Nov-24'!$H:$H,0)</f>
        <v>0</v>
      </c>
      <c r="Q108" s="17">
        <f>_xlfn.XLOOKUP($B108,'[1]Dec-24'!$A:$A,'[1]Dec-24'!$H:$H,0)</f>
        <v>0</v>
      </c>
      <c r="R108" s="17">
        <f>_xlfn.XLOOKUP($B108,'[1]Jan-25'!$A:$A,'[1]Jan-25'!$H:$H,0)</f>
        <v>0</v>
      </c>
      <c r="S108" s="17">
        <f>_xlfn.XLOOKUP($B108,'[1]Feb-25'!$A:$A,'[1]Feb-25'!$H:$H,0)</f>
        <v>0</v>
      </c>
      <c r="T108" s="17">
        <f>_xlfn.XLOOKUP($B108,'[1]Mar-25'!$A:$A,'[1]Mar-25'!$H:$H,0)</f>
        <v>0</v>
      </c>
      <c r="U108" s="17">
        <f>_xlfn.XLOOKUP($B108,'[1]Apr-25'!$A:$A,'[1]Apr-25'!$H:$H,0)</f>
        <v>0</v>
      </c>
      <c r="V108" s="17">
        <f>_xlfn.XLOOKUP($B108,'[1]May-25'!$A:$A,'[1]May-25'!$H:$H,0)</f>
        <v>0</v>
      </c>
      <c r="W108" s="17">
        <f>_xlfn.XLOOKUP($B108,'[1]Jun-25'!$A:$A,'[1]Jun-25'!$H:$H,0)</f>
        <v>0</v>
      </c>
      <c r="X108" s="17">
        <f>_xlfn.XLOOKUP($B108,'[1]Jul-25'!$A:$A,'[1]Jul-25'!$H:$H,0)</f>
        <v>0</v>
      </c>
      <c r="Y108" s="17">
        <f>_xlfn.XLOOKUP($B108,'[1]Aug-25'!$A:$A,'[1]Aug-25'!$H:$H,0)</f>
        <v>0</v>
      </c>
      <c r="Z108" s="17">
        <f>_xlfn.XLOOKUP($B108,'[1]Sep-25'!$A:$A,'[1]Sep-25'!$H:$H,0)</f>
        <v>0</v>
      </c>
      <c r="AA108" s="17">
        <f>_xlfn.XLOOKUP($B108,'[1]Oct-25'!$A:$A,'[1]Oct-25'!$H:$H,0)</f>
        <v>0</v>
      </c>
      <c r="AB108" s="17">
        <f>_xlfn.XLOOKUP($B108,'[1]Nov-25'!$A:$A,'[1]Nov-25'!$H:$H,0)</f>
        <v>0</v>
      </c>
      <c r="AC108" s="17">
        <f>_xlfn.XLOOKUP($B108,'[1]Dec-25'!$A:$A,'[1]Dec-25'!$H:$H,0)</f>
        <v>0</v>
      </c>
      <c r="AD108" s="17">
        <f>_xlfn.XLOOKUP($B108,'[1]Jan-26'!$A:$A,'[1]Jan-26'!$H:$H,0)</f>
        <v>0</v>
      </c>
      <c r="AE108" s="17">
        <f>_xlfn.XLOOKUP($B108,'[1]Feb-26'!$A:$A,'[1]Feb-26'!$H:$H,0)</f>
        <v>0</v>
      </c>
      <c r="AF108" s="17">
        <f>_xlfn.XLOOKUP($B108,'[1]Mar-26'!$A:$A,'[1]Mar-26'!$H:$H,0)</f>
        <v>0</v>
      </c>
      <c r="AG108" s="17">
        <f>_xlfn.XLOOKUP($B108,'[1]Apr-26'!$A:$A,'[1]Apr-26'!$H:$H,0)</f>
        <v>0</v>
      </c>
    </row>
    <row r="109" spans="1:33" x14ac:dyDescent="0.2">
      <c r="A109" s="58">
        <v>10497</v>
      </c>
      <c r="B109" s="56" t="str">
        <f t="shared" si="7"/>
        <v>10497</v>
      </c>
      <c r="C109" s="57" t="s">
        <v>302</v>
      </c>
      <c r="D109" s="57" t="s">
        <v>303</v>
      </c>
      <c r="E109" s="44" t="s">
        <v>189</v>
      </c>
      <c r="F109" s="17">
        <f>_xlfn.XLOOKUP($B109,'[1]Jan-24'!$A:$A,'[1]Jan-24'!$H:$H,0)</f>
        <v>1422924.68</v>
      </c>
      <c r="G109" s="17">
        <f>_xlfn.XLOOKUP($B109,'[1]Feb-24'!$A:$A,'[1]Feb-24'!$H:$H,0)</f>
        <v>24496.13</v>
      </c>
      <c r="H109" s="17">
        <f>_xlfn.XLOOKUP($B109,'[1]Mar-24'!$A:$A,'[1]Mar-24'!$H:$H,0)</f>
        <v>24496.13</v>
      </c>
      <c r="I109" s="17">
        <f>_xlfn.XLOOKUP($B109,'[1]Apr-24'!$A:$A,'[1]Apr-24'!$H:$H,0)</f>
        <v>9524436.5800000001</v>
      </c>
      <c r="J109" s="17">
        <f>_xlfn.XLOOKUP($B109,'[1]May-24'!$A:$A,'[1]May-24'!$H:$H,0)</f>
        <v>10734305.83</v>
      </c>
      <c r="K109" s="17">
        <f>_xlfn.XLOOKUP($B109,'[1]Jun-24'!$A:$A,'[1]Jun-24'!$H:$H,0)</f>
        <v>821680.58</v>
      </c>
      <c r="L109" s="17">
        <f>_xlfn.XLOOKUP($B109,'[1]Jul-24'!$A:$A,'[1]Jul-24'!$H:$H,0)</f>
        <v>921617.68</v>
      </c>
      <c r="M109" s="17">
        <f>_xlfn.XLOOKUP($B109,'[1]Aug-24'!$A:$A,'[1]Aug-24'!$H:$H,0)</f>
        <v>1416791.88</v>
      </c>
      <c r="N109" s="17">
        <f>_xlfn.XLOOKUP($B109,'[1]Sep-24'!$A:$A,'[1]Sep-24'!$H:$H,0)</f>
        <v>1666641.88</v>
      </c>
      <c r="O109" s="17">
        <f>_xlfn.XLOOKUP($B109,'[1]Oct-24'!$A:$A,'[1]Oct-24'!$H:$H,0)</f>
        <v>2400729.21</v>
      </c>
      <c r="P109" s="17">
        <f>_xlfn.XLOOKUP($B109,'[1]Nov-24'!$A:$A,'[1]Nov-24'!$H:$H,0)</f>
        <v>2400712.0099999998</v>
      </c>
      <c r="Q109" s="17">
        <f>_xlfn.XLOOKUP($B109,'[1]Dec-24'!$A:$A,'[1]Dec-24'!$H:$H,0)</f>
        <v>2800612.01</v>
      </c>
      <c r="R109" s="17">
        <f>_xlfn.XLOOKUP($B109,'[1]Jan-25'!$A:$A,'[1]Jan-25'!$H:$H,0)</f>
        <v>3098436.21</v>
      </c>
      <c r="S109" s="17">
        <f>_xlfn.XLOOKUP($B109,'[1]Feb-25'!$A:$A,'[1]Feb-25'!$H:$H,0)</f>
        <v>3397369.01</v>
      </c>
      <c r="T109" s="17">
        <f>_xlfn.XLOOKUP($B109,'[1]Mar-25'!$A:$A,'[1]Mar-25'!$H:$H,0)</f>
        <v>5109820.21</v>
      </c>
      <c r="U109" s="17">
        <f>_xlfn.XLOOKUP($B109,'[1]Apr-25'!$A:$A,'[1]Apr-25'!$H:$H,0)</f>
        <v>5409681.5099999998</v>
      </c>
      <c r="V109" s="17">
        <f>_xlfn.XLOOKUP($B109,'[1]May-25'!$A:$A,'[1]May-25'!$H:$H,0)</f>
        <v>5409681.5099999998</v>
      </c>
      <c r="W109" s="17">
        <f>_xlfn.XLOOKUP($B109,'[1]Jun-25'!$A:$A,'[1]Jun-25'!$H:$H,0)</f>
        <v>5409681.5099999998</v>
      </c>
      <c r="X109" s="17">
        <f>_xlfn.XLOOKUP($B109,'[1]Jul-25'!$A:$A,'[1]Jul-25'!$H:$H,0)</f>
        <v>5458755.71</v>
      </c>
      <c r="Y109" s="17">
        <f>_xlfn.XLOOKUP($B109,'[1]Aug-25'!$A:$A,'[1]Aug-25'!$H:$H,0)</f>
        <v>5458755.71</v>
      </c>
      <c r="Z109" s="17">
        <f>_xlfn.XLOOKUP($B109,'[1]Sep-25'!$A:$A,'[1]Sep-25'!$H:$H,0)</f>
        <v>5458755.71</v>
      </c>
      <c r="AA109" s="17">
        <f>_xlfn.XLOOKUP($B109,'[1]Oct-25'!$A:$A,'[1]Oct-25'!$H:$H,0)</f>
        <v>5458755.71</v>
      </c>
      <c r="AB109" s="17">
        <f>_xlfn.XLOOKUP($B109,'[1]Nov-25'!$A:$A,'[1]Nov-25'!$H:$H,0)</f>
        <v>5460548.8099999996</v>
      </c>
      <c r="AC109" s="17">
        <f>_xlfn.XLOOKUP($B109,'[1]Dec-25'!$A:$A,'[1]Dec-25'!$H:$H,0)</f>
        <v>5462330</v>
      </c>
      <c r="AD109" s="17">
        <f>_xlfn.XLOOKUP($B109,'[1]Jan-26'!$A:$A,'[1]Jan-26'!$H:$H,0)</f>
        <v>162226.29999999999</v>
      </c>
      <c r="AE109" s="17">
        <f>_xlfn.XLOOKUP($B109,'[1]Feb-26'!$A:$A,'[1]Feb-26'!$H:$H,0)</f>
        <v>162213.41</v>
      </c>
      <c r="AF109" s="17">
        <f>_xlfn.XLOOKUP($B109,'[1]Mar-26'!$A:$A,'[1]Mar-26'!$H:$H,0)</f>
        <v>157844.60999999999</v>
      </c>
      <c r="AG109" s="17">
        <f>_xlfn.XLOOKUP($B109,'[1]Apr-26'!$A:$A,'[1]Apr-26'!$H:$H,0)</f>
        <v>157844.60999999999</v>
      </c>
    </row>
    <row r="110" spans="1:33" x14ac:dyDescent="0.2">
      <c r="A110" s="58">
        <v>10500</v>
      </c>
      <c r="B110" s="56" t="str">
        <f t="shared" si="7"/>
        <v>10500</v>
      </c>
      <c r="C110" s="57" t="s">
        <v>302</v>
      </c>
      <c r="D110" s="57" t="s">
        <v>303</v>
      </c>
      <c r="E110" s="44" t="s">
        <v>361</v>
      </c>
      <c r="F110" s="17">
        <f>_xlfn.XLOOKUP($B110,'[1]Jan-24'!$A:$A,'[1]Jan-24'!$H:$H,0)</f>
        <v>15230000</v>
      </c>
      <c r="G110" s="17">
        <f>_xlfn.XLOOKUP($B110,'[1]Feb-24'!$A:$A,'[1]Feb-24'!$H:$H,0)</f>
        <v>40390000</v>
      </c>
      <c r="H110" s="17">
        <f>_xlfn.XLOOKUP($B110,'[1]Mar-24'!$A:$A,'[1]Mar-24'!$H:$H,0)</f>
        <v>5186000</v>
      </c>
      <c r="I110" s="17">
        <f>_xlfn.XLOOKUP($B110,'[1]Apr-24'!$A:$A,'[1]Apr-24'!$H:$H,0)</f>
        <v>42904000</v>
      </c>
      <c r="J110" s="17">
        <f>_xlfn.XLOOKUP($B110,'[1]May-24'!$A:$A,'[1]May-24'!$H:$H,0)</f>
        <v>0</v>
      </c>
      <c r="K110" s="17">
        <f>_xlfn.XLOOKUP($B110,'[1]Jun-24'!$A:$A,'[1]Jun-24'!$H:$H,0)</f>
        <v>0</v>
      </c>
      <c r="L110" s="17">
        <f>_xlfn.XLOOKUP($B110,'[1]Jul-24'!$A:$A,'[1]Jul-24'!$H:$H,0)</f>
        <v>0</v>
      </c>
      <c r="M110" s="17">
        <f>_xlfn.XLOOKUP($B110,'[1]Aug-24'!$A:$A,'[1]Aug-24'!$H:$H,0)</f>
        <v>62492895</v>
      </c>
      <c r="N110" s="17">
        <f>_xlfn.XLOOKUP($B110,'[1]Sep-24'!$A:$A,'[1]Sep-24'!$H:$H,0)</f>
        <v>0</v>
      </c>
      <c r="O110" s="17">
        <f>_xlfn.XLOOKUP($B110,'[1]Oct-24'!$A:$A,'[1]Oct-24'!$H:$H,0)</f>
        <v>0</v>
      </c>
      <c r="P110" s="17">
        <f>_xlfn.XLOOKUP($B110,'[1]Nov-24'!$A:$A,'[1]Nov-24'!$H:$H,0)</f>
        <v>0</v>
      </c>
      <c r="Q110" s="17">
        <f>_xlfn.XLOOKUP($B110,'[1]Dec-24'!$A:$A,'[1]Dec-24'!$H:$H,0)</f>
        <v>0</v>
      </c>
      <c r="R110" s="17">
        <f>_xlfn.XLOOKUP($B110,'[1]Jan-25'!$A:$A,'[1]Jan-25'!$H:$H,0)</f>
        <v>0</v>
      </c>
      <c r="S110" s="17">
        <f>_xlfn.XLOOKUP($B110,'[1]Feb-25'!$A:$A,'[1]Feb-25'!$H:$H,0)</f>
        <v>0</v>
      </c>
      <c r="T110" s="17">
        <f>_xlfn.XLOOKUP($B110,'[1]Mar-25'!$A:$A,'[1]Mar-25'!$H:$H,0)</f>
        <v>0</v>
      </c>
      <c r="U110" s="17">
        <f>_xlfn.XLOOKUP($B110,'[1]Apr-25'!$A:$A,'[1]Apr-25'!$H:$H,0)</f>
        <v>501445683.98000002</v>
      </c>
      <c r="V110" s="17">
        <f>_xlfn.XLOOKUP($B110,'[1]May-25'!$A:$A,'[1]May-25'!$H:$H,0)</f>
        <v>0</v>
      </c>
      <c r="W110" s="17">
        <f>_xlfn.XLOOKUP($B110,'[1]Jun-25'!$A:$A,'[1]Jun-25'!$H:$H,0)</f>
        <v>0</v>
      </c>
      <c r="X110" s="17">
        <f>_xlfn.XLOOKUP($B110,'[1]Jul-25'!$A:$A,'[1]Jul-25'!$H:$H,0)</f>
        <v>0</v>
      </c>
      <c r="Y110" s="17">
        <f>_xlfn.XLOOKUP($B110,'[1]Aug-25'!$A:$A,'[1]Aug-25'!$H:$H,0)</f>
        <v>0</v>
      </c>
      <c r="Z110" s="17">
        <f>_xlfn.XLOOKUP($B110,'[1]Sep-25'!$A:$A,'[1]Sep-25'!$H:$H,0)</f>
        <v>0</v>
      </c>
      <c r="AA110" s="17">
        <f>_xlfn.XLOOKUP($B110,'[1]Oct-25'!$A:$A,'[1]Oct-25'!$H:$H,0)</f>
        <v>0</v>
      </c>
      <c r="AB110" s="17">
        <f>_xlfn.XLOOKUP($B110,'[1]Nov-25'!$A:$A,'[1]Nov-25'!$H:$H,0)</f>
        <v>0</v>
      </c>
      <c r="AC110" s="17">
        <f>_xlfn.XLOOKUP($B110,'[1]Dec-25'!$A:$A,'[1]Dec-25'!$H:$H,0)</f>
        <v>0</v>
      </c>
      <c r="AD110" s="17">
        <f>_xlfn.XLOOKUP($B110,'[1]Jan-26'!$A:$A,'[1]Jan-26'!$H:$H,0)</f>
        <v>0</v>
      </c>
      <c r="AE110" s="17">
        <f>_xlfn.XLOOKUP($B110,'[1]Feb-26'!$A:$A,'[1]Feb-26'!$H:$H,0)</f>
        <v>0</v>
      </c>
      <c r="AF110" s="17">
        <f>_xlfn.XLOOKUP($B110,'[1]Mar-26'!$A:$A,'[1]Mar-26'!$H:$H,0)</f>
        <v>0</v>
      </c>
      <c r="AG110" s="17">
        <f>_xlfn.XLOOKUP($B110,'[1]Apr-26'!$A:$A,'[1]Apr-26'!$H:$H,0)</f>
        <v>0</v>
      </c>
    </row>
    <row r="111" spans="1:33" x14ac:dyDescent="0.2">
      <c r="A111" s="58">
        <v>10600</v>
      </c>
      <c r="B111" s="56" t="str">
        <f t="shared" si="7"/>
        <v>10600</v>
      </c>
      <c r="C111" s="57" t="s">
        <v>302</v>
      </c>
      <c r="D111" s="57" t="s">
        <v>303</v>
      </c>
      <c r="E111" s="44" t="s">
        <v>362</v>
      </c>
      <c r="F111" s="17">
        <f>_xlfn.XLOOKUP($B111,'[1]Jan-24'!$A:$A,'[1]Jan-24'!$H:$H,0)</f>
        <v>0</v>
      </c>
      <c r="G111" s="17">
        <f>_xlfn.XLOOKUP($B111,'[1]Feb-24'!$A:$A,'[1]Feb-24'!$H:$H,0)</f>
        <v>0</v>
      </c>
      <c r="H111" s="17">
        <f>_xlfn.XLOOKUP($B111,'[1]Mar-24'!$A:$A,'[1]Mar-24'!$H:$H,0)</f>
        <v>0</v>
      </c>
      <c r="I111" s="17">
        <f>_xlfn.XLOOKUP($B111,'[1]Apr-24'!$A:$A,'[1]Apr-24'!$H:$H,0)</f>
        <v>0</v>
      </c>
      <c r="J111" s="17">
        <f>_xlfn.XLOOKUP($B111,'[1]May-24'!$A:$A,'[1]May-24'!$H:$H,0)</f>
        <v>0</v>
      </c>
      <c r="K111" s="17">
        <f>_xlfn.XLOOKUP($B111,'[1]Jun-24'!$A:$A,'[1]Jun-24'!$H:$H,0)</f>
        <v>0</v>
      </c>
      <c r="L111" s="17">
        <f>_xlfn.XLOOKUP($B111,'[1]Jul-24'!$A:$A,'[1]Jul-24'!$H:$H,0)</f>
        <v>0</v>
      </c>
      <c r="M111" s="17">
        <f>_xlfn.XLOOKUP($B111,'[1]Aug-24'!$A:$A,'[1]Aug-24'!$H:$H,0)</f>
        <v>0</v>
      </c>
      <c r="N111" s="17">
        <f>_xlfn.XLOOKUP($B111,'[1]Sep-24'!$A:$A,'[1]Sep-24'!$H:$H,0)</f>
        <v>0</v>
      </c>
      <c r="O111" s="17">
        <f>_xlfn.XLOOKUP($B111,'[1]Oct-24'!$A:$A,'[1]Oct-24'!$H:$H,0)</f>
        <v>0</v>
      </c>
      <c r="P111" s="17">
        <f>_xlfn.XLOOKUP($B111,'[1]Nov-24'!$A:$A,'[1]Nov-24'!$H:$H,0)</f>
        <v>0</v>
      </c>
      <c r="Q111" s="17">
        <f>_xlfn.XLOOKUP($B111,'[1]Dec-24'!$A:$A,'[1]Dec-24'!$H:$H,0)</f>
        <v>0</v>
      </c>
      <c r="R111" s="17">
        <f>_xlfn.XLOOKUP($B111,'[1]Jan-25'!$A:$A,'[1]Jan-25'!$H:$H,0)</f>
        <v>0</v>
      </c>
      <c r="S111" s="17">
        <f>_xlfn.XLOOKUP($B111,'[1]Feb-25'!$A:$A,'[1]Feb-25'!$H:$H,0)</f>
        <v>0</v>
      </c>
      <c r="T111" s="17">
        <f>_xlfn.XLOOKUP($B111,'[1]Mar-25'!$A:$A,'[1]Mar-25'!$H:$H,0)</f>
        <v>0</v>
      </c>
      <c r="U111" s="17">
        <f>_xlfn.XLOOKUP($B111,'[1]Apr-25'!$A:$A,'[1]Apr-25'!$H:$H,0)</f>
        <v>0</v>
      </c>
      <c r="V111" s="17">
        <f>_xlfn.XLOOKUP($B111,'[1]May-25'!$A:$A,'[1]May-25'!$H:$H,0)</f>
        <v>0</v>
      </c>
      <c r="W111" s="17">
        <f>_xlfn.XLOOKUP($B111,'[1]Jun-25'!$A:$A,'[1]Jun-25'!$H:$H,0)</f>
        <v>0</v>
      </c>
      <c r="X111" s="17">
        <f>_xlfn.XLOOKUP($B111,'[1]Jul-25'!$A:$A,'[1]Jul-25'!$H:$H,0)</f>
        <v>0</v>
      </c>
      <c r="Y111" s="17">
        <f>_xlfn.XLOOKUP($B111,'[1]Aug-25'!$A:$A,'[1]Aug-25'!$H:$H,0)</f>
        <v>0</v>
      </c>
      <c r="Z111" s="17">
        <f>_xlfn.XLOOKUP($B111,'[1]Sep-25'!$A:$A,'[1]Sep-25'!$H:$H,0)</f>
        <v>0</v>
      </c>
      <c r="AA111" s="17">
        <f>_xlfn.XLOOKUP($B111,'[1]Oct-25'!$A:$A,'[1]Oct-25'!$H:$H,0)</f>
        <v>0</v>
      </c>
      <c r="AB111" s="17">
        <f>_xlfn.XLOOKUP($B111,'[1]Nov-25'!$A:$A,'[1]Nov-25'!$H:$H,0)</f>
        <v>0</v>
      </c>
      <c r="AC111" s="17">
        <f>_xlfn.XLOOKUP($B111,'[1]Dec-25'!$A:$A,'[1]Dec-25'!$H:$H,0)</f>
        <v>0</v>
      </c>
      <c r="AD111" s="17">
        <f>_xlfn.XLOOKUP($B111,'[1]Jan-26'!$A:$A,'[1]Jan-26'!$H:$H,0)</f>
        <v>0</v>
      </c>
      <c r="AE111" s="17">
        <f>_xlfn.XLOOKUP($B111,'[1]Feb-26'!$A:$A,'[1]Feb-26'!$H:$H,0)</f>
        <v>0</v>
      </c>
      <c r="AF111" s="17">
        <f>_xlfn.XLOOKUP($B111,'[1]Mar-26'!$A:$A,'[1]Mar-26'!$H:$H,0)</f>
        <v>0</v>
      </c>
      <c r="AG111" s="17">
        <f>_xlfn.XLOOKUP($B111,'[1]Apr-26'!$A:$A,'[1]Apr-26'!$H:$H,0)</f>
        <v>0</v>
      </c>
    </row>
    <row r="112" spans="1:33" x14ac:dyDescent="0.2">
      <c r="A112" s="58">
        <v>10700</v>
      </c>
      <c r="B112" s="56" t="str">
        <f t="shared" si="7"/>
        <v>10700</v>
      </c>
      <c r="C112" s="57" t="s">
        <v>302</v>
      </c>
      <c r="D112" s="57" t="s">
        <v>303</v>
      </c>
      <c r="E112" s="44" t="s">
        <v>363</v>
      </c>
      <c r="F112" s="17">
        <f>_xlfn.XLOOKUP($B112,'[1]Jan-24'!$A:$A,'[1]Jan-24'!$H:$H,0)</f>
        <v>0</v>
      </c>
      <c r="G112" s="17">
        <f>_xlfn.XLOOKUP($B112,'[1]Feb-24'!$A:$A,'[1]Feb-24'!$H:$H,0)</f>
        <v>0</v>
      </c>
      <c r="H112" s="17">
        <f>_xlfn.XLOOKUP($B112,'[1]Mar-24'!$A:$A,'[1]Mar-24'!$H:$H,0)</f>
        <v>0</v>
      </c>
      <c r="I112" s="17">
        <f>_xlfn.XLOOKUP($B112,'[1]Apr-24'!$A:$A,'[1]Apr-24'!$H:$H,0)</f>
        <v>0</v>
      </c>
      <c r="J112" s="17">
        <f>_xlfn.XLOOKUP($B112,'[1]May-24'!$A:$A,'[1]May-24'!$H:$H,0)</f>
        <v>0</v>
      </c>
      <c r="K112" s="17">
        <f>_xlfn.XLOOKUP($B112,'[1]Jun-24'!$A:$A,'[1]Jun-24'!$H:$H,0)</f>
        <v>0</v>
      </c>
      <c r="L112" s="17">
        <f>_xlfn.XLOOKUP($B112,'[1]Jul-24'!$A:$A,'[1]Jul-24'!$H:$H,0)</f>
        <v>0</v>
      </c>
      <c r="M112" s="17">
        <f>_xlfn.XLOOKUP($B112,'[1]Aug-24'!$A:$A,'[1]Aug-24'!$H:$H,0)</f>
        <v>0</v>
      </c>
      <c r="N112" s="17">
        <f>_xlfn.XLOOKUP($B112,'[1]Sep-24'!$A:$A,'[1]Sep-24'!$H:$H,0)</f>
        <v>0</v>
      </c>
      <c r="O112" s="17">
        <f>_xlfn.XLOOKUP($B112,'[1]Oct-24'!$A:$A,'[1]Oct-24'!$H:$H,0)</f>
        <v>0</v>
      </c>
      <c r="P112" s="17">
        <f>_xlfn.XLOOKUP($B112,'[1]Nov-24'!$A:$A,'[1]Nov-24'!$H:$H,0)</f>
        <v>0</v>
      </c>
      <c r="Q112" s="17">
        <f>_xlfn.XLOOKUP($B112,'[1]Dec-24'!$A:$A,'[1]Dec-24'!$H:$H,0)</f>
        <v>0</v>
      </c>
      <c r="R112" s="17">
        <f>_xlfn.XLOOKUP($B112,'[1]Jan-25'!$A:$A,'[1]Jan-25'!$H:$H,0)</f>
        <v>0</v>
      </c>
      <c r="S112" s="17">
        <f>_xlfn.XLOOKUP($B112,'[1]Feb-25'!$A:$A,'[1]Feb-25'!$H:$H,0)</f>
        <v>0</v>
      </c>
      <c r="T112" s="17">
        <f>_xlfn.XLOOKUP($B112,'[1]Mar-25'!$A:$A,'[1]Mar-25'!$H:$H,0)</f>
        <v>0</v>
      </c>
      <c r="U112" s="17">
        <f>_xlfn.XLOOKUP($B112,'[1]Apr-25'!$A:$A,'[1]Apr-25'!$H:$H,0)</f>
        <v>0</v>
      </c>
      <c r="V112" s="17">
        <f>_xlfn.XLOOKUP($B112,'[1]May-25'!$A:$A,'[1]May-25'!$H:$H,0)</f>
        <v>0</v>
      </c>
      <c r="W112" s="17">
        <f>_xlfn.XLOOKUP($B112,'[1]Jun-25'!$A:$A,'[1]Jun-25'!$H:$H,0)</f>
        <v>0</v>
      </c>
      <c r="X112" s="17">
        <f>_xlfn.XLOOKUP($B112,'[1]Jul-25'!$A:$A,'[1]Jul-25'!$H:$H,0)</f>
        <v>0</v>
      </c>
      <c r="Y112" s="17">
        <f>_xlfn.XLOOKUP($B112,'[1]Aug-25'!$A:$A,'[1]Aug-25'!$H:$H,0)</f>
        <v>0</v>
      </c>
      <c r="Z112" s="17">
        <f>_xlfn.XLOOKUP($B112,'[1]Sep-25'!$A:$A,'[1]Sep-25'!$H:$H,0)</f>
        <v>0</v>
      </c>
      <c r="AA112" s="17">
        <f>_xlfn.XLOOKUP($B112,'[1]Oct-25'!$A:$A,'[1]Oct-25'!$H:$H,0)</f>
        <v>0</v>
      </c>
      <c r="AB112" s="17">
        <f>_xlfn.XLOOKUP($B112,'[1]Nov-25'!$A:$A,'[1]Nov-25'!$H:$H,0)</f>
        <v>0</v>
      </c>
      <c r="AC112" s="17">
        <f>_xlfn.XLOOKUP($B112,'[1]Dec-25'!$A:$A,'[1]Dec-25'!$H:$H,0)</f>
        <v>0</v>
      </c>
      <c r="AD112" s="17">
        <f>_xlfn.XLOOKUP($B112,'[1]Jan-26'!$A:$A,'[1]Jan-26'!$H:$H,0)</f>
        <v>0</v>
      </c>
      <c r="AE112" s="17">
        <f>_xlfn.XLOOKUP($B112,'[1]Feb-26'!$A:$A,'[1]Feb-26'!$H:$H,0)</f>
        <v>0</v>
      </c>
      <c r="AF112" s="17">
        <f>_xlfn.XLOOKUP($B112,'[1]Mar-26'!$A:$A,'[1]Mar-26'!$H:$H,0)</f>
        <v>0</v>
      </c>
      <c r="AG112" s="17">
        <f>_xlfn.XLOOKUP($B112,'[1]Apr-26'!$A:$A,'[1]Apr-26'!$H:$H,0)</f>
        <v>0</v>
      </c>
    </row>
    <row r="113" spans="1:33" x14ac:dyDescent="0.2">
      <c r="A113" s="58">
        <v>10750</v>
      </c>
      <c r="B113" s="56" t="str">
        <f t="shared" si="7"/>
        <v>10750</v>
      </c>
      <c r="C113" s="57" t="s">
        <v>302</v>
      </c>
      <c r="D113" s="57" t="s">
        <v>303</v>
      </c>
      <c r="E113" s="44" t="s">
        <v>364</v>
      </c>
      <c r="F113" s="17">
        <f>_xlfn.XLOOKUP($B113,'[1]Jan-24'!$A:$A,'[1]Jan-24'!$H:$H,0)</f>
        <v>0</v>
      </c>
      <c r="G113" s="17">
        <f>_xlfn.XLOOKUP($B113,'[1]Feb-24'!$A:$A,'[1]Feb-24'!$H:$H,0)</f>
        <v>0</v>
      </c>
      <c r="H113" s="17">
        <f>_xlfn.XLOOKUP($B113,'[1]Mar-24'!$A:$A,'[1]Mar-24'!$H:$H,0)</f>
        <v>0</v>
      </c>
      <c r="I113" s="17">
        <f>_xlfn.XLOOKUP($B113,'[1]Apr-24'!$A:$A,'[1]Apr-24'!$H:$H,0)</f>
        <v>0</v>
      </c>
      <c r="J113" s="17">
        <f>_xlfn.XLOOKUP($B113,'[1]May-24'!$A:$A,'[1]May-24'!$H:$H,0)</f>
        <v>0</v>
      </c>
      <c r="K113" s="17">
        <f>_xlfn.XLOOKUP($B113,'[1]Jun-24'!$A:$A,'[1]Jun-24'!$H:$H,0)</f>
        <v>0</v>
      </c>
      <c r="L113" s="17">
        <f>_xlfn.XLOOKUP($B113,'[1]Jul-24'!$A:$A,'[1]Jul-24'!$H:$H,0)</f>
        <v>0</v>
      </c>
      <c r="M113" s="17">
        <f>_xlfn.XLOOKUP($B113,'[1]Aug-24'!$A:$A,'[1]Aug-24'!$H:$H,0)</f>
        <v>0</v>
      </c>
      <c r="N113" s="17">
        <f>_xlfn.XLOOKUP($B113,'[1]Sep-24'!$A:$A,'[1]Sep-24'!$H:$H,0)</f>
        <v>0</v>
      </c>
      <c r="O113" s="17">
        <f>_xlfn.XLOOKUP($B113,'[1]Oct-24'!$A:$A,'[1]Oct-24'!$H:$H,0)</f>
        <v>0</v>
      </c>
      <c r="P113" s="17">
        <f>_xlfn.XLOOKUP($B113,'[1]Nov-24'!$A:$A,'[1]Nov-24'!$H:$H,0)</f>
        <v>0</v>
      </c>
      <c r="Q113" s="17">
        <f>_xlfn.XLOOKUP($B113,'[1]Dec-24'!$A:$A,'[1]Dec-24'!$H:$H,0)</f>
        <v>0</v>
      </c>
      <c r="R113" s="17">
        <f>_xlfn.XLOOKUP($B113,'[1]Jan-25'!$A:$A,'[1]Jan-25'!$H:$H,0)</f>
        <v>0</v>
      </c>
      <c r="S113" s="17">
        <f>_xlfn.XLOOKUP($B113,'[1]Feb-25'!$A:$A,'[1]Feb-25'!$H:$H,0)</f>
        <v>0</v>
      </c>
      <c r="T113" s="17">
        <f>_xlfn.XLOOKUP($B113,'[1]Mar-25'!$A:$A,'[1]Mar-25'!$H:$H,0)</f>
        <v>0</v>
      </c>
      <c r="U113" s="17">
        <f>_xlfn.XLOOKUP($B113,'[1]Apr-25'!$A:$A,'[1]Apr-25'!$H:$H,0)</f>
        <v>0</v>
      </c>
      <c r="V113" s="17">
        <f>_xlfn.XLOOKUP($B113,'[1]May-25'!$A:$A,'[1]May-25'!$H:$H,0)</f>
        <v>0</v>
      </c>
      <c r="W113" s="17">
        <f>_xlfn.XLOOKUP($B113,'[1]Jun-25'!$A:$A,'[1]Jun-25'!$H:$H,0)</f>
        <v>0</v>
      </c>
      <c r="X113" s="17">
        <f>_xlfn.XLOOKUP($B113,'[1]Jul-25'!$A:$A,'[1]Jul-25'!$H:$H,0)</f>
        <v>0</v>
      </c>
      <c r="Y113" s="17">
        <f>_xlfn.XLOOKUP($B113,'[1]Aug-25'!$A:$A,'[1]Aug-25'!$H:$H,0)</f>
        <v>0</v>
      </c>
      <c r="Z113" s="17">
        <f>_xlfn.XLOOKUP($B113,'[1]Sep-25'!$A:$A,'[1]Sep-25'!$H:$H,0)</f>
        <v>0</v>
      </c>
      <c r="AA113" s="17">
        <f>_xlfn.XLOOKUP($B113,'[1]Oct-25'!$A:$A,'[1]Oct-25'!$H:$H,0)</f>
        <v>0</v>
      </c>
      <c r="AB113" s="17">
        <f>_xlfn.XLOOKUP($B113,'[1]Nov-25'!$A:$A,'[1]Nov-25'!$H:$H,0)</f>
        <v>0</v>
      </c>
      <c r="AC113" s="17">
        <f>_xlfn.XLOOKUP($B113,'[1]Dec-25'!$A:$A,'[1]Dec-25'!$H:$H,0)</f>
        <v>0</v>
      </c>
      <c r="AD113" s="17">
        <f>_xlfn.XLOOKUP($B113,'[1]Jan-26'!$A:$A,'[1]Jan-26'!$H:$H,0)</f>
        <v>0</v>
      </c>
      <c r="AE113" s="17">
        <f>_xlfn.XLOOKUP($B113,'[1]Feb-26'!$A:$A,'[1]Feb-26'!$H:$H,0)</f>
        <v>0</v>
      </c>
      <c r="AF113" s="17">
        <f>_xlfn.XLOOKUP($B113,'[1]Mar-26'!$A:$A,'[1]Mar-26'!$H:$H,0)</f>
        <v>0</v>
      </c>
      <c r="AG113" s="17">
        <f>_xlfn.XLOOKUP($B113,'[1]Apr-26'!$A:$A,'[1]Apr-26'!$H:$H,0)</f>
        <v>0</v>
      </c>
    </row>
    <row r="114" spans="1:33" x14ac:dyDescent="0.2">
      <c r="A114" s="58">
        <v>10800</v>
      </c>
      <c r="B114" s="56" t="str">
        <f t="shared" si="7"/>
        <v>10800</v>
      </c>
      <c r="C114" s="57" t="s">
        <v>302</v>
      </c>
      <c r="D114" s="57" t="s">
        <v>303</v>
      </c>
      <c r="E114" s="44" t="s">
        <v>365</v>
      </c>
      <c r="F114" s="17">
        <f>_xlfn.XLOOKUP($B114,'[1]Jan-24'!$A:$A,'[1]Jan-24'!$H:$H,0)</f>
        <v>0</v>
      </c>
      <c r="G114" s="17">
        <f>_xlfn.XLOOKUP($B114,'[1]Feb-24'!$A:$A,'[1]Feb-24'!$H:$H,0)</f>
        <v>0</v>
      </c>
      <c r="H114" s="17">
        <f>_xlfn.XLOOKUP($B114,'[1]Mar-24'!$A:$A,'[1]Mar-24'!$H:$H,0)</f>
        <v>0</v>
      </c>
      <c r="I114" s="17">
        <f>_xlfn.XLOOKUP($B114,'[1]Apr-24'!$A:$A,'[1]Apr-24'!$H:$H,0)</f>
        <v>0</v>
      </c>
      <c r="J114" s="17">
        <f>_xlfn.XLOOKUP($B114,'[1]May-24'!$A:$A,'[1]May-24'!$H:$H,0)</f>
        <v>0</v>
      </c>
      <c r="K114" s="17">
        <f>_xlfn.XLOOKUP($B114,'[1]Jun-24'!$A:$A,'[1]Jun-24'!$H:$H,0)</f>
        <v>0</v>
      </c>
      <c r="L114" s="17">
        <f>_xlfn.XLOOKUP($B114,'[1]Jul-24'!$A:$A,'[1]Jul-24'!$H:$H,0)</f>
        <v>0</v>
      </c>
      <c r="M114" s="17">
        <f>_xlfn.XLOOKUP($B114,'[1]Aug-24'!$A:$A,'[1]Aug-24'!$H:$H,0)</f>
        <v>0</v>
      </c>
      <c r="N114" s="17">
        <f>_xlfn.XLOOKUP($B114,'[1]Sep-24'!$A:$A,'[1]Sep-24'!$H:$H,0)</f>
        <v>0</v>
      </c>
      <c r="O114" s="17">
        <f>_xlfn.XLOOKUP($B114,'[1]Oct-24'!$A:$A,'[1]Oct-24'!$H:$H,0)</f>
        <v>0</v>
      </c>
      <c r="P114" s="17">
        <f>_xlfn.XLOOKUP($B114,'[1]Nov-24'!$A:$A,'[1]Nov-24'!$H:$H,0)</f>
        <v>0</v>
      </c>
      <c r="Q114" s="17">
        <f>_xlfn.XLOOKUP($B114,'[1]Dec-24'!$A:$A,'[1]Dec-24'!$H:$H,0)</f>
        <v>0</v>
      </c>
      <c r="R114" s="17">
        <f>_xlfn.XLOOKUP($B114,'[1]Jan-25'!$A:$A,'[1]Jan-25'!$H:$H,0)</f>
        <v>0</v>
      </c>
      <c r="S114" s="17">
        <f>_xlfn.XLOOKUP($B114,'[1]Feb-25'!$A:$A,'[1]Feb-25'!$H:$H,0)</f>
        <v>0</v>
      </c>
      <c r="T114" s="17">
        <f>_xlfn.XLOOKUP($B114,'[1]Mar-25'!$A:$A,'[1]Mar-25'!$H:$H,0)</f>
        <v>0</v>
      </c>
      <c r="U114" s="17">
        <f>_xlfn.XLOOKUP($B114,'[1]Apr-25'!$A:$A,'[1]Apr-25'!$H:$H,0)</f>
        <v>0</v>
      </c>
      <c r="V114" s="17">
        <f>_xlfn.XLOOKUP($B114,'[1]May-25'!$A:$A,'[1]May-25'!$H:$H,0)</f>
        <v>0</v>
      </c>
      <c r="W114" s="17">
        <f>_xlfn.XLOOKUP($B114,'[1]Jun-25'!$A:$A,'[1]Jun-25'!$H:$H,0)</f>
        <v>0</v>
      </c>
      <c r="X114" s="17">
        <f>_xlfn.XLOOKUP($B114,'[1]Jul-25'!$A:$A,'[1]Jul-25'!$H:$H,0)</f>
        <v>0</v>
      </c>
      <c r="Y114" s="17">
        <f>_xlfn.XLOOKUP($B114,'[1]Aug-25'!$A:$A,'[1]Aug-25'!$H:$H,0)</f>
        <v>0</v>
      </c>
      <c r="Z114" s="17">
        <f>_xlfn.XLOOKUP($B114,'[1]Sep-25'!$A:$A,'[1]Sep-25'!$H:$H,0)</f>
        <v>0</v>
      </c>
      <c r="AA114" s="17">
        <f>_xlfn.XLOOKUP($B114,'[1]Oct-25'!$A:$A,'[1]Oct-25'!$H:$H,0)</f>
        <v>0</v>
      </c>
      <c r="AB114" s="17">
        <f>_xlfn.XLOOKUP($B114,'[1]Nov-25'!$A:$A,'[1]Nov-25'!$H:$H,0)</f>
        <v>0</v>
      </c>
      <c r="AC114" s="17">
        <f>_xlfn.XLOOKUP($B114,'[1]Dec-25'!$A:$A,'[1]Dec-25'!$H:$H,0)</f>
        <v>0</v>
      </c>
      <c r="AD114" s="17">
        <f>_xlfn.XLOOKUP($B114,'[1]Jan-26'!$A:$A,'[1]Jan-26'!$H:$H,0)</f>
        <v>0</v>
      </c>
      <c r="AE114" s="17">
        <f>_xlfn.XLOOKUP($B114,'[1]Feb-26'!$A:$A,'[1]Feb-26'!$H:$H,0)</f>
        <v>0</v>
      </c>
      <c r="AF114" s="17">
        <f>_xlfn.XLOOKUP($B114,'[1]Mar-26'!$A:$A,'[1]Mar-26'!$H:$H,0)</f>
        <v>0</v>
      </c>
      <c r="AG114" s="17">
        <f>_xlfn.XLOOKUP($B114,'[1]Apr-26'!$A:$A,'[1]Apr-26'!$H:$H,0)</f>
        <v>0</v>
      </c>
    </row>
    <row r="115" spans="1:33" x14ac:dyDescent="0.2">
      <c r="A115" s="58">
        <v>10801</v>
      </c>
      <c r="B115" s="56" t="str">
        <f t="shared" si="7"/>
        <v>10801</v>
      </c>
      <c r="C115" s="57" t="s">
        <v>302</v>
      </c>
      <c r="D115" s="57" t="s">
        <v>303</v>
      </c>
      <c r="E115" s="44" t="s">
        <v>190</v>
      </c>
      <c r="F115" s="17">
        <f>_xlfn.XLOOKUP($B115,'[1]Jan-24'!$A:$A,'[1]Jan-24'!$H:$H,0)</f>
        <v>0</v>
      </c>
      <c r="G115" s="17">
        <f>_xlfn.XLOOKUP($B115,'[1]Feb-24'!$A:$A,'[1]Feb-24'!$H:$H,0)</f>
        <v>0</v>
      </c>
      <c r="H115" s="17">
        <f>_xlfn.XLOOKUP($B115,'[1]Mar-24'!$A:$A,'[1]Mar-24'!$H:$H,0)</f>
        <v>0</v>
      </c>
      <c r="I115" s="17">
        <f>_xlfn.XLOOKUP($B115,'[1]Apr-24'!$A:$A,'[1]Apr-24'!$H:$H,0)</f>
        <v>0</v>
      </c>
      <c r="J115" s="17">
        <f>_xlfn.XLOOKUP($B115,'[1]May-24'!$A:$A,'[1]May-24'!$H:$H,0)</f>
        <v>0</v>
      </c>
      <c r="K115" s="17">
        <f>_xlfn.XLOOKUP($B115,'[1]Jun-24'!$A:$A,'[1]Jun-24'!$H:$H,0)</f>
        <v>0</v>
      </c>
      <c r="L115" s="17">
        <f>_xlfn.XLOOKUP($B115,'[1]Jul-24'!$A:$A,'[1]Jul-24'!$H:$H,0)</f>
        <v>0</v>
      </c>
      <c r="M115" s="17">
        <f>_xlfn.XLOOKUP($B115,'[1]Aug-24'!$A:$A,'[1]Aug-24'!$H:$H,0)</f>
        <v>-79507.5</v>
      </c>
      <c r="N115" s="17">
        <f>_xlfn.XLOOKUP($B115,'[1]Sep-24'!$A:$A,'[1]Sep-24'!$H:$H,0)</f>
        <v>-83399</v>
      </c>
      <c r="O115" s="17">
        <f>_xlfn.XLOOKUP($B115,'[1]Oct-24'!$A:$A,'[1]Oct-24'!$H:$H,0)</f>
        <v>-82167</v>
      </c>
      <c r="P115" s="17">
        <f>_xlfn.XLOOKUP($B115,'[1]Nov-24'!$A:$A,'[1]Nov-24'!$H:$H,0)</f>
        <v>-84144</v>
      </c>
      <c r="Q115" s="17">
        <f>_xlfn.XLOOKUP($B115,'[1]Dec-24'!$A:$A,'[1]Dec-24'!$H:$H,0)</f>
        <v>-77340</v>
      </c>
      <c r="R115" s="17">
        <f>_xlfn.XLOOKUP($B115,'[1]Jan-25'!$A:$A,'[1]Jan-25'!$H:$H,0)</f>
        <v>-76881</v>
      </c>
      <c r="S115" s="17">
        <f>_xlfn.XLOOKUP($B115,'[1]Feb-25'!$A:$A,'[1]Feb-25'!$H:$H,0)</f>
        <v>768436004.13</v>
      </c>
      <c r="T115" s="17">
        <f>_xlfn.XLOOKUP($B115,'[1]Mar-25'!$A:$A,'[1]Mar-25'!$H:$H,0)</f>
        <v>787660881.75999999</v>
      </c>
      <c r="U115" s="17">
        <f>_xlfn.XLOOKUP($B115,'[1]Apr-25'!$A:$A,'[1]Apr-25'!$H:$H,0)</f>
        <v>59238.26</v>
      </c>
      <c r="V115" s="17">
        <f>_xlfn.XLOOKUP($B115,'[1]May-25'!$A:$A,'[1]May-25'!$H:$H,0)</f>
        <v>58700.6</v>
      </c>
      <c r="W115" s="17">
        <f>_xlfn.XLOOKUP($B115,'[1]Jun-25'!$A:$A,'[1]Jun-25'!$H:$H,0)</f>
        <v>56988.89</v>
      </c>
      <c r="X115" s="17">
        <f>_xlfn.XLOOKUP($B115,'[1]Jul-25'!$A:$A,'[1]Jul-25'!$H:$H,0)</f>
        <v>56582.95</v>
      </c>
      <c r="Y115" s="17">
        <f>_xlfn.XLOOKUP($B115,'[1]Aug-25'!$A:$A,'[1]Aug-25'!$H:$H,0)</f>
        <v>56868.36</v>
      </c>
      <c r="Z115" s="17">
        <f>_xlfn.XLOOKUP($B115,'[1]Sep-25'!$A:$A,'[1]Sep-25'!$H:$H,0)</f>
        <v>778957297.97000003</v>
      </c>
      <c r="AA115" s="17">
        <f>_xlfn.XLOOKUP($B115,'[1]Oct-25'!$A:$A,'[1]Oct-25'!$H:$H,0)</f>
        <v>211364.63</v>
      </c>
      <c r="AB115" s="17">
        <f>_xlfn.XLOOKUP($B115,'[1]Nov-25'!$A:$A,'[1]Nov-25'!$H:$H,0)</f>
        <v>434160.53</v>
      </c>
      <c r="AC115" s="17">
        <f>_xlfn.XLOOKUP($B115,'[1]Dec-25'!$A:$A,'[1]Dec-25'!$H:$H,0)</f>
        <v>766046936.07000005</v>
      </c>
      <c r="AD115" s="17">
        <f>_xlfn.XLOOKUP($B115,'[1]Jan-26'!$A:$A,'[1]Jan-26'!$H:$H,0)</f>
        <v>183372</v>
      </c>
      <c r="AE115" s="17">
        <f>_xlfn.XLOOKUP($B115,'[1]Feb-26'!$A:$A,'[1]Feb-26'!$H:$H,0)</f>
        <v>719229051.83000004</v>
      </c>
      <c r="AF115" s="17">
        <f>_xlfn.XLOOKUP($B115,'[1]Mar-26'!$A:$A,'[1]Mar-26'!$H:$H,0)</f>
        <v>41038781.939999998</v>
      </c>
      <c r="AG115" s="17">
        <f>_xlfn.XLOOKUP($B115,'[1]Apr-26'!$A:$A,'[1]Apr-26'!$H:$H,0)</f>
        <v>40588935.75</v>
      </c>
    </row>
    <row r="116" spans="1:33" x14ac:dyDescent="0.2">
      <c r="A116" s="58">
        <v>10802</v>
      </c>
      <c r="B116" s="56" t="str">
        <f t="shared" si="7"/>
        <v>10802</v>
      </c>
      <c r="C116" s="57" t="s">
        <v>302</v>
      </c>
      <c r="D116" s="57" t="s">
        <v>303</v>
      </c>
      <c r="E116" s="44" t="s">
        <v>366</v>
      </c>
      <c r="F116" s="17">
        <f>_xlfn.XLOOKUP($B116,'[1]Jan-24'!$A:$A,'[1]Jan-24'!$H:$H,0)</f>
        <v>0</v>
      </c>
      <c r="G116" s="17">
        <f>_xlfn.XLOOKUP($B116,'[1]Feb-24'!$A:$A,'[1]Feb-24'!$H:$H,0)</f>
        <v>0</v>
      </c>
      <c r="H116" s="17">
        <f>_xlfn.XLOOKUP($B116,'[1]Mar-24'!$A:$A,'[1]Mar-24'!$H:$H,0)</f>
        <v>0</v>
      </c>
      <c r="I116" s="17">
        <f>_xlfn.XLOOKUP($B116,'[1]Apr-24'!$A:$A,'[1]Apr-24'!$H:$H,0)</f>
        <v>0</v>
      </c>
      <c r="J116" s="17">
        <f>_xlfn.XLOOKUP($B116,'[1]May-24'!$A:$A,'[1]May-24'!$H:$H,0)</f>
        <v>0</v>
      </c>
      <c r="K116" s="17">
        <f>_xlfn.XLOOKUP($B116,'[1]Jun-24'!$A:$A,'[1]Jun-24'!$H:$H,0)</f>
        <v>0</v>
      </c>
      <c r="L116" s="17">
        <f>_xlfn.XLOOKUP($B116,'[1]Jul-24'!$A:$A,'[1]Jul-24'!$H:$H,0)</f>
        <v>0</v>
      </c>
      <c r="M116" s="17">
        <f>_xlfn.XLOOKUP($B116,'[1]Aug-24'!$A:$A,'[1]Aug-24'!$H:$H,0)</f>
        <v>0</v>
      </c>
      <c r="N116" s="17">
        <f>_xlfn.XLOOKUP($B116,'[1]Sep-24'!$A:$A,'[1]Sep-24'!$H:$H,0)</f>
        <v>0</v>
      </c>
      <c r="O116" s="17">
        <f>_xlfn.XLOOKUP($B116,'[1]Oct-24'!$A:$A,'[1]Oct-24'!$H:$H,0)</f>
        <v>0</v>
      </c>
      <c r="P116" s="17">
        <f>_xlfn.XLOOKUP($B116,'[1]Nov-24'!$A:$A,'[1]Nov-24'!$H:$H,0)</f>
        <v>0</v>
      </c>
      <c r="Q116" s="17">
        <f>_xlfn.XLOOKUP($B116,'[1]Dec-24'!$A:$A,'[1]Dec-24'!$H:$H,0)</f>
        <v>0</v>
      </c>
      <c r="R116" s="17">
        <f>_xlfn.XLOOKUP($B116,'[1]Jan-25'!$A:$A,'[1]Jan-25'!$H:$H,0)</f>
        <v>0</v>
      </c>
      <c r="S116" s="17">
        <f>_xlfn.XLOOKUP($B116,'[1]Feb-25'!$A:$A,'[1]Feb-25'!$H:$H,0)</f>
        <v>0</v>
      </c>
      <c r="T116" s="17">
        <f>_xlfn.XLOOKUP($B116,'[1]Mar-25'!$A:$A,'[1]Mar-25'!$H:$H,0)</f>
        <v>0</v>
      </c>
      <c r="U116" s="17">
        <f>_xlfn.XLOOKUP($B116,'[1]Apr-25'!$A:$A,'[1]Apr-25'!$H:$H,0)</f>
        <v>0</v>
      </c>
      <c r="V116" s="17">
        <f>_xlfn.XLOOKUP($B116,'[1]May-25'!$A:$A,'[1]May-25'!$H:$H,0)</f>
        <v>0</v>
      </c>
      <c r="W116" s="17">
        <f>_xlfn.XLOOKUP($B116,'[1]Jun-25'!$A:$A,'[1]Jun-25'!$H:$H,0)</f>
        <v>0</v>
      </c>
      <c r="X116" s="17">
        <f>_xlfn.XLOOKUP($B116,'[1]Jul-25'!$A:$A,'[1]Jul-25'!$H:$H,0)</f>
        <v>0</v>
      </c>
      <c r="Y116" s="17">
        <f>_xlfn.XLOOKUP($B116,'[1]Aug-25'!$A:$A,'[1]Aug-25'!$H:$H,0)</f>
        <v>0</v>
      </c>
      <c r="Z116" s="17">
        <f>_xlfn.XLOOKUP($B116,'[1]Sep-25'!$A:$A,'[1]Sep-25'!$H:$H,0)</f>
        <v>0</v>
      </c>
      <c r="AA116" s="17">
        <f>_xlfn.XLOOKUP($B116,'[1]Oct-25'!$A:$A,'[1]Oct-25'!$H:$H,0)</f>
        <v>0</v>
      </c>
      <c r="AB116" s="17">
        <f>_xlfn.XLOOKUP($B116,'[1]Nov-25'!$A:$A,'[1]Nov-25'!$H:$H,0)</f>
        <v>0</v>
      </c>
      <c r="AC116" s="17">
        <f>_xlfn.XLOOKUP($B116,'[1]Dec-25'!$A:$A,'[1]Dec-25'!$H:$H,0)</f>
        <v>0</v>
      </c>
      <c r="AD116" s="17">
        <f>_xlfn.XLOOKUP($B116,'[1]Jan-26'!$A:$A,'[1]Jan-26'!$H:$H,0)</f>
        <v>0</v>
      </c>
      <c r="AE116" s="17">
        <f>_xlfn.XLOOKUP($B116,'[1]Feb-26'!$A:$A,'[1]Feb-26'!$H:$H,0)</f>
        <v>0</v>
      </c>
      <c r="AF116" s="17">
        <f>_xlfn.XLOOKUP($B116,'[1]Mar-26'!$A:$A,'[1]Mar-26'!$H:$H,0)</f>
        <v>0</v>
      </c>
      <c r="AG116" s="17">
        <f>_xlfn.XLOOKUP($B116,'[1]Apr-26'!$A:$A,'[1]Apr-26'!$H:$H,0)</f>
        <v>0</v>
      </c>
    </row>
    <row r="117" spans="1:33" x14ac:dyDescent="0.2">
      <c r="A117" s="58">
        <v>10900</v>
      </c>
      <c r="B117" s="56" t="str">
        <f t="shared" si="7"/>
        <v>10900</v>
      </c>
      <c r="C117" s="57" t="s">
        <v>302</v>
      </c>
      <c r="D117" s="57" t="s">
        <v>303</v>
      </c>
      <c r="E117" s="44" t="s">
        <v>367</v>
      </c>
      <c r="F117" s="17">
        <f>_xlfn.XLOOKUP($B117,'[1]Jan-24'!$A:$A,'[1]Jan-24'!$H:$H,0)</f>
        <v>0</v>
      </c>
      <c r="G117" s="17">
        <f>_xlfn.XLOOKUP($B117,'[1]Feb-24'!$A:$A,'[1]Feb-24'!$H:$H,0)</f>
        <v>0</v>
      </c>
      <c r="H117" s="17">
        <f>_xlfn.XLOOKUP($B117,'[1]Mar-24'!$A:$A,'[1]Mar-24'!$H:$H,0)</f>
        <v>0</v>
      </c>
      <c r="I117" s="17">
        <f>_xlfn.XLOOKUP($B117,'[1]Apr-24'!$A:$A,'[1]Apr-24'!$H:$H,0)</f>
        <v>0</v>
      </c>
      <c r="J117" s="17">
        <f>_xlfn.XLOOKUP($B117,'[1]May-24'!$A:$A,'[1]May-24'!$H:$H,0)</f>
        <v>0</v>
      </c>
      <c r="K117" s="17">
        <f>_xlfn.XLOOKUP($B117,'[1]Jun-24'!$A:$A,'[1]Jun-24'!$H:$H,0)</f>
        <v>0</v>
      </c>
      <c r="L117" s="17">
        <f>_xlfn.XLOOKUP($B117,'[1]Jul-24'!$A:$A,'[1]Jul-24'!$H:$H,0)</f>
        <v>0</v>
      </c>
      <c r="M117" s="17">
        <f>_xlfn.XLOOKUP($B117,'[1]Aug-24'!$A:$A,'[1]Aug-24'!$H:$H,0)</f>
        <v>0</v>
      </c>
      <c r="N117" s="17">
        <f>_xlfn.XLOOKUP($B117,'[1]Sep-24'!$A:$A,'[1]Sep-24'!$H:$H,0)</f>
        <v>0</v>
      </c>
      <c r="O117" s="17">
        <f>_xlfn.XLOOKUP($B117,'[1]Oct-24'!$A:$A,'[1]Oct-24'!$H:$H,0)</f>
        <v>0</v>
      </c>
      <c r="P117" s="17">
        <f>_xlfn.XLOOKUP($B117,'[1]Nov-24'!$A:$A,'[1]Nov-24'!$H:$H,0)</f>
        <v>0</v>
      </c>
      <c r="Q117" s="17">
        <f>_xlfn.XLOOKUP($B117,'[1]Dec-24'!$A:$A,'[1]Dec-24'!$H:$H,0)</f>
        <v>0</v>
      </c>
      <c r="R117" s="17">
        <f>_xlfn.XLOOKUP($B117,'[1]Jan-25'!$A:$A,'[1]Jan-25'!$H:$H,0)</f>
        <v>0</v>
      </c>
      <c r="S117" s="17">
        <f>_xlfn.XLOOKUP($B117,'[1]Feb-25'!$A:$A,'[1]Feb-25'!$H:$H,0)</f>
        <v>0</v>
      </c>
      <c r="T117" s="17">
        <f>_xlfn.XLOOKUP($B117,'[1]Mar-25'!$A:$A,'[1]Mar-25'!$H:$H,0)</f>
        <v>0</v>
      </c>
      <c r="U117" s="17">
        <f>_xlfn.XLOOKUP($B117,'[1]Apr-25'!$A:$A,'[1]Apr-25'!$H:$H,0)</f>
        <v>0</v>
      </c>
      <c r="V117" s="17">
        <f>_xlfn.XLOOKUP($B117,'[1]May-25'!$A:$A,'[1]May-25'!$H:$H,0)</f>
        <v>0</v>
      </c>
      <c r="W117" s="17">
        <f>_xlfn.XLOOKUP($B117,'[1]Jun-25'!$A:$A,'[1]Jun-25'!$H:$H,0)</f>
        <v>0</v>
      </c>
      <c r="X117" s="17">
        <f>_xlfn.XLOOKUP($B117,'[1]Jul-25'!$A:$A,'[1]Jul-25'!$H:$H,0)</f>
        <v>0</v>
      </c>
      <c r="Y117" s="17">
        <f>_xlfn.XLOOKUP($B117,'[1]Aug-25'!$A:$A,'[1]Aug-25'!$H:$H,0)</f>
        <v>0</v>
      </c>
      <c r="Z117" s="17">
        <f>_xlfn.XLOOKUP($B117,'[1]Sep-25'!$A:$A,'[1]Sep-25'!$H:$H,0)</f>
        <v>0</v>
      </c>
      <c r="AA117" s="17">
        <f>_xlfn.XLOOKUP($B117,'[1]Oct-25'!$A:$A,'[1]Oct-25'!$H:$H,0)</f>
        <v>0</v>
      </c>
      <c r="AB117" s="17">
        <f>_xlfn.XLOOKUP($B117,'[1]Nov-25'!$A:$A,'[1]Nov-25'!$H:$H,0)</f>
        <v>0</v>
      </c>
      <c r="AC117" s="17">
        <f>_xlfn.XLOOKUP($B117,'[1]Dec-25'!$A:$A,'[1]Dec-25'!$H:$H,0)</f>
        <v>0</v>
      </c>
      <c r="AD117" s="17">
        <f>_xlfn.XLOOKUP($B117,'[1]Jan-26'!$A:$A,'[1]Jan-26'!$H:$H,0)</f>
        <v>0</v>
      </c>
      <c r="AE117" s="17">
        <f>_xlfn.XLOOKUP($B117,'[1]Feb-26'!$A:$A,'[1]Feb-26'!$H:$H,0)</f>
        <v>0</v>
      </c>
      <c r="AF117" s="17">
        <f>_xlfn.XLOOKUP($B117,'[1]Mar-26'!$A:$A,'[1]Mar-26'!$H:$H,0)</f>
        <v>0</v>
      </c>
      <c r="AG117" s="17">
        <f>_xlfn.XLOOKUP($B117,'[1]Apr-26'!$A:$A,'[1]Apr-26'!$H:$H,0)</f>
        <v>0</v>
      </c>
    </row>
    <row r="118" spans="1:33" x14ac:dyDescent="0.2">
      <c r="A118" s="58">
        <v>11000</v>
      </c>
      <c r="B118" s="56" t="str">
        <f t="shared" si="7"/>
        <v>11000</v>
      </c>
      <c r="C118" s="57" t="s">
        <v>368</v>
      </c>
      <c r="D118" s="57" t="s">
        <v>303</v>
      </c>
      <c r="E118" s="44" t="s">
        <v>195</v>
      </c>
      <c r="F118" s="17">
        <f>_xlfn.XLOOKUP($B118,'[1]Jan-24'!$A:$A,'[1]Jan-24'!$H:$H,0)</f>
        <v>156264272.31999999</v>
      </c>
      <c r="G118" s="17">
        <f>_xlfn.XLOOKUP($B118,'[1]Feb-24'!$A:$A,'[1]Feb-24'!$H:$H,0)</f>
        <v>564863684.07000005</v>
      </c>
      <c r="H118" s="17">
        <f>_xlfn.XLOOKUP($B118,'[1]Mar-24'!$A:$A,'[1]Mar-24'!$H:$H,0)</f>
        <v>855022952.01999998</v>
      </c>
      <c r="I118" s="17">
        <f>_xlfn.XLOOKUP($B118,'[1]Apr-24'!$A:$A,'[1]Apr-24'!$H:$H,0)</f>
        <v>845955586.53999996</v>
      </c>
      <c r="J118" s="17">
        <f>_xlfn.XLOOKUP($B118,'[1]May-24'!$A:$A,'[1]May-24'!$H:$H,0)</f>
        <v>677613947.49000001</v>
      </c>
      <c r="K118" s="17">
        <f>_xlfn.XLOOKUP($B118,'[1]Jun-24'!$A:$A,'[1]Jun-24'!$H:$H,0)</f>
        <v>641845991.34000003</v>
      </c>
      <c r="L118" s="17">
        <f>_xlfn.XLOOKUP($B118,'[1]Jul-24'!$A:$A,'[1]Jul-24'!$H:$H,0)</f>
        <v>680846040.74000001</v>
      </c>
      <c r="M118" s="17">
        <f>_xlfn.XLOOKUP($B118,'[1]Aug-24'!$A:$A,'[1]Aug-24'!$H:$H,0)</f>
        <v>503058169.26999998</v>
      </c>
      <c r="N118" s="17">
        <f>_xlfn.XLOOKUP($B118,'[1]Sep-24'!$A:$A,'[1]Sep-24'!$H:$H,0)</f>
        <v>384273723.79000002</v>
      </c>
      <c r="O118" s="17">
        <f>_xlfn.XLOOKUP($B118,'[1]Oct-24'!$A:$A,'[1]Oct-24'!$H:$H,0)</f>
        <v>261318604.97</v>
      </c>
      <c r="P118" s="17">
        <f>_xlfn.XLOOKUP($B118,'[1]Nov-24'!$A:$A,'[1]Nov-24'!$H:$H,0)</f>
        <v>226024768.34999999</v>
      </c>
      <c r="Q118" s="17">
        <f>_xlfn.XLOOKUP($B118,'[1]Dec-24'!$A:$A,'[1]Dec-24'!$H:$H,0)</f>
        <v>1302620817.1600001</v>
      </c>
      <c r="R118" s="17">
        <f>_xlfn.XLOOKUP($B118,'[1]Jan-25'!$A:$A,'[1]Jan-25'!$H:$H,0)</f>
        <v>1236827968.52</v>
      </c>
      <c r="S118" s="17">
        <f>_xlfn.XLOOKUP($B118,'[1]Feb-25'!$A:$A,'[1]Feb-25'!$H:$H,0)</f>
        <v>1273270111.49</v>
      </c>
      <c r="T118" s="17">
        <f>_xlfn.XLOOKUP($B118,'[1]Mar-25'!$A:$A,'[1]Mar-25'!$H:$H,0)</f>
        <v>518778937.31</v>
      </c>
      <c r="U118" s="17">
        <f>_xlfn.XLOOKUP($B118,'[1]Apr-25'!$A:$A,'[1]Apr-25'!$H:$H,0)</f>
        <v>438828428.83999997</v>
      </c>
      <c r="V118" s="17">
        <f>_xlfn.XLOOKUP($B118,'[1]May-25'!$A:$A,'[1]May-25'!$H:$H,0)</f>
        <v>490025471.18000001</v>
      </c>
      <c r="W118" s="17">
        <f>_xlfn.XLOOKUP($B118,'[1]Jun-25'!$A:$A,'[1]Jun-25'!$H:$H,0)</f>
        <v>83560599.980000004</v>
      </c>
      <c r="X118" s="17">
        <f>_xlfn.XLOOKUP($B118,'[1]Jul-25'!$A:$A,'[1]Jul-25'!$H:$H,0)</f>
        <v>85682880.909999996</v>
      </c>
      <c r="Y118" s="17">
        <f>_xlfn.XLOOKUP($B118,'[1]Aug-25'!$A:$A,'[1]Aug-25'!$H:$H,0)</f>
        <v>132495694.84</v>
      </c>
      <c r="Z118" s="17">
        <f>_xlfn.XLOOKUP($B118,'[1]Sep-25'!$A:$A,'[1]Sep-25'!$H:$H,0)</f>
        <v>145474271.58000001</v>
      </c>
      <c r="AA118" s="17">
        <f>_xlfn.XLOOKUP($B118,'[1]Oct-25'!$A:$A,'[1]Oct-25'!$H:$H,0)</f>
        <v>175308641.75999999</v>
      </c>
      <c r="AB118" s="17">
        <f>_xlfn.XLOOKUP($B118,'[1]Nov-25'!$A:$A,'[1]Nov-25'!$H:$H,0)</f>
        <v>172662378.19999999</v>
      </c>
      <c r="AC118" s="17">
        <f>_xlfn.XLOOKUP($B118,'[1]Dec-25'!$A:$A,'[1]Dec-25'!$H:$H,0)</f>
        <v>215046153.13999999</v>
      </c>
      <c r="AD118" s="17">
        <f>_xlfn.XLOOKUP($B118,'[1]Jan-26'!$A:$A,'[1]Jan-26'!$H:$H,0)</f>
        <v>470028366.91000003</v>
      </c>
      <c r="AE118" s="17">
        <f>_xlfn.XLOOKUP($B118,'[1]Feb-26'!$A:$A,'[1]Feb-26'!$H:$H,0)</f>
        <v>738813643.82000005</v>
      </c>
      <c r="AF118" s="17">
        <f>_xlfn.XLOOKUP($B118,'[1]Mar-26'!$A:$A,'[1]Mar-26'!$H:$H,0)</f>
        <v>701404828.05999994</v>
      </c>
      <c r="AG118" s="17">
        <f>_xlfn.XLOOKUP($B118,'[1]Apr-26'!$A:$A,'[1]Apr-26'!$H:$H,0)</f>
        <v>573307915.97000003</v>
      </c>
    </row>
    <row r="119" spans="1:33" x14ac:dyDescent="0.2">
      <c r="A119" s="58">
        <v>11001</v>
      </c>
      <c r="B119" s="56" t="str">
        <f t="shared" si="7"/>
        <v>11001</v>
      </c>
      <c r="C119" s="57" t="s">
        <v>368</v>
      </c>
      <c r="D119" s="57" t="s">
        <v>303</v>
      </c>
      <c r="E119" s="44" t="s">
        <v>196</v>
      </c>
      <c r="F119" s="17">
        <f>_xlfn.XLOOKUP($B119,'[1]Jan-24'!$A:$A,'[1]Jan-24'!$H:$H,0)</f>
        <v>0</v>
      </c>
      <c r="G119" s="17">
        <f>_xlfn.XLOOKUP($B119,'[1]Feb-24'!$A:$A,'[1]Feb-24'!$H:$H,0)</f>
        <v>0</v>
      </c>
      <c r="H119" s="17">
        <f>_xlfn.XLOOKUP($B119,'[1]Mar-24'!$A:$A,'[1]Mar-24'!$H:$H,0)</f>
        <v>0</v>
      </c>
      <c r="I119" s="17">
        <f>_xlfn.XLOOKUP($B119,'[1]Apr-24'!$A:$A,'[1]Apr-24'!$H:$H,0)</f>
        <v>0</v>
      </c>
      <c r="J119" s="17">
        <f>_xlfn.XLOOKUP($B119,'[1]May-24'!$A:$A,'[1]May-24'!$H:$H,0)</f>
        <v>0</v>
      </c>
      <c r="K119" s="17">
        <f>_xlfn.XLOOKUP($B119,'[1]Jun-24'!$A:$A,'[1]Jun-24'!$H:$H,0)</f>
        <v>0</v>
      </c>
      <c r="L119" s="17">
        <f>_xlfn.XLOOKUP($B119,'[1]Jul-24'!$A:$A,'[1]Jul-24'!$H:$H,0)</f>
        <v>0</v>
      </c>
      <c r="M119" s="17">
        <f>_xlfn.XLOOKUP($B119,'[1]Aug-24'!$A:$A,'[1]Aug-24'!$H:$H,0)</f>
        <v>0</v>
      </c>
      <c r="N119" s="17">
        <f>_xlfn.XLOOKUP($B119,'[1]Sep-24'!$A:$A,'[1]Sep-24'!$H:$H,0)</f>
        <v>0</v>
      </c>
      <c r="O119" s="17">
        <f>_xlfn.XLOOKUP($B119,'[1]Oct-24'!$A:$A,'[1]Oct-24'!$H:$H,0)</f>
        <v>0</v>
      </c>
      <c r="P119" s="17">
        <f>_xlfn.XLOOKUP($B119,'[1]Nov-24'!$A:$A,'[1]Nov-24'!$H:$H,0)</f>
        <v>0</v>
      </c>
      <c r="Q119" s="17">
        <f>_xlfn.XLOOKUP($B119,'[1]Dec-24'!$A:$A,'[1]Dec-24'!$H:$H,0)</f>
        <v>0</v>
      </c>
      <c r="R119" s="17">
        <f>_xlfn.XLOOKUP($B119,'[1]Jan-25'!$A:$A,'[1]Jan-25'!$H:$H,0)</f>
        <v>0</v>
      </c>
      <c r="S119" s="17">
        <f>_xlfn.XLOOKUP($B119,'[1]Feb-25'!$A:$A,'[1]Feb-25'!$H:$H,0)</f>
        <v>0</v>
      </c>
      <c r="T119" s="17">
        <f>_xlfn.XLOOKUP($B119,'[1]Mar-25'!$A:$A,'[1]Mar-25'!$H:$H,0)</f>
        <v>0</v>
      </c>
      <c r="U119" s="17">
        <f>_xlfn.XLOOKUP($B119,'[1]Apr-25'!$A:$A,'[1]Apr-25'!$H:$H,0)</f>
        <v>0</v>
      </c>
      <c r="V119" s="17">
        <f>_xlfn.XLOOKUP($B119,'[1]May-25'!$A:$A,'[1]May-25'!$H:$H,0)</f>
        <v>0</v>
      </c>
      <c r="W119" s="17">
        <f>_xlfn.XLOOKUP($B119,'[1]Jun-25'!$A:$A,'[1]Jun-25'!$H:$H,0)</f>
        <v>0</v>
      </c>
      <c r="X119" s="17">
        <f>_xlfn.XLOOKUP($B119,'[1]Jul-25'!$A:$A,'[1]Jul-25'!$H:$H,0)</f>
        <v>0</v>
      </c>
      <c r="Y119" s="17">
        <f>_xlfn.XLOOKUP($B119,'[1]Aug-25'!$A:$A,'[1]Aug-25'!$H:$H,0)</f>
        <v>0</v>
      </c>
      <c r="Z119" s="17">
        <f>_xlfn.XLOOKUP($B119,'[1]Sep-25'!$A:$A,'[1]Sep-25'!$H:$H,0)</f>
        <v>0</v>
      </c>
      <c r="AA119" s="17">
        <f>_xlfn.XLOOKUP($B119,'[1]Oct-25'!$A:$A,'[1]Oct-25'!$H:$H,0)</f>
        <v>0</v>
      </c>
      <c r="AB119" s="17">
        <f>_xlfn.XLOOKUP($B119,'[1]Nov-25'!$A:$A,'[1]Nov-25'!$H:$H,0)</f>
        <v>0</v>
      </c>
      <c r="AC119" s="17">
        <f>_xlfn.XLOOKUP($B119,'[1]Dec-25'!$A:$A,'[1]Dec-25'!$H:$H,0)</f>
        <v>0</v>
      </c>
      <c r="AD119" s="17">
        <f>_xlfn.XLOOKUP($B119,'[1]Jan-26'!$A:$A,'[1]Jan-26'!$H:$H,0)</f>
        <v>0</v>
      </c>
      <c r="AE119" s="17">
        <f>_xlfn.XLOOKUP($B119,'[1]Feb-26'!$A:$A,'[1]Feb-26'!$H:$H,0)</f>
        <v>0</v>
      </c>
      <c r="AF119" s="17">
        <f>_xlfn.XLOOKUP($B119,'[1]Mar-26'!$A:$A,'[1]Mar-26'!$H:$H,0)</f>
        <v>0</v>
      </c>
      <c r="AG119" s="17">
        <f>_xlfn.XLOOKUP($B119,'[1]Apr-26'!$A:$A,'[1]Apr-26'!$H:$H,0)</f>
        <v>0</v>
      </c>
    </row>
    <row r="120" spans="1:33" x14ac:dyDescent="0.2">
      <c r="A120" s="58">
        <v>11002</v>
      </c>
      <c r="B120" s="56" t="str">
        <f t="shared" si="7"/>
        <v>11002</v>
      </c>
      <c r="C120" s="57" t="s">
        <v>368</v>
      </c>
      <c r="D120" s="57" t="s">
        <v>303</v>
      </c>
      <c r="E120" s="44" t="s">
        <v>197</v>
      </c>
      <c r="F120" s="17">
        <f>_xlfn.XLOOKUP($B120,'[1]Jan-24'!$A:$A,'[1]Jan-24'!$H:$H,0)</f>
        <v>0</v>
      </c>
      <c r="G120" s="17">
        <f>_xlfn.XLOOKUP($B120,'[1]Feb-24'!$A:$A,'[1]Feb-24'!$H:$H,0)</f>
        <v>0</v>
      </c>
      <c r="H120" s="17">
        <f>_xlfn.XLOOKUP($B120,'[1]Mar-24'!$A:$A,'[1]Mar-24'!$H:$H,0)</f>
        <v>0</v>
      </c>
      <c r="I120" s="17">
        <f>_xlfn.XLOOKUP($B120,'[1]Apr-24'!$A:$A,'[1]Apr-24'!$H:$H,0)</f>
        <v>0</v>
      </c>
      <c r="J120" s="17">
        <f>_xlfn.XLOOKUP($B120,'[1]May-24'!$A:$A,'[1]May-24'!$H:$H,0)</f>
        <v>0</v>
      </c>
      <c r="K120" s="17">
        <f>_xlfn.XLOOKUP($B120,'[1]Jun-24'!$A:$A,'[1]Jun-24'!$H:$H,0)</f>
        <v>0</v>
      </c>
      <c r="L120" s="17">
        <f>_xlfn.XLOOKUP($B120,'[1]Jul-24'!$A:$A,'[1]Jul-24'!$H:$H,0)</f>
        <v>0</v>
      </c>
      <c r="M120" s="17">
        <f>_xlfn.XLOOKUP($B120,'[1]Aug-24'!$A:$A,'[1]Aug-24'!$H:$H,0)</f>
        <v>0</v>
      </c>
      <c r="N120" s="17">
        <f>_xlfn.XLOOKUP($B120,'[1]Sep-24'!$A:$A,'[1]Sep-24'!$H:$H,0)</f>
        <v>0</v>
      </c>
      <c r="O120" s="17">
        <f>_xlfn.XLOOKUP($B120,'[1]Oct-24'!$A:$A,'[1]Oct-24'!$H:$H,0)</f>
        <v>0</v>
      </c>
      <c r="P120" s="17">
        <f>_xlfn.XLOOKUP($B120,'[1]Nov-24'!$A:$A,'[1]Nov-24'!$H:$H,0)</f>
        <v>0</v>
      </c>
      <c r="Q120" s="17">
        <f>_xlfn.XLOOKUP($B120,'[1]Dec-24'!$A:$A,'[1]Dec-24'!$H:$H,0)</f>
        <v>0</v>
      </c>
      <c r="R120" s="17">
        <f>_xlfn.XLOOKUP($B120,'[1]Jan-25'!$A:$A,'[1]Jan-25'!$H:$H,0)</f>
        <v>0</v>
      </c>
      <c r="S120" s="17">
        <f>_xlfn.XLOOKUP($B120,'[1]Feb-25'!$A:$A,'[1]Feb-25'!$H:$H,0)</f>
        <v>0</v>
      </c>
      <c r="T120" s="17">
        <f>_xlfn.XLOOKUP($B120,'[1]Mar-25'!$A:$A,'[1]Mar-25'!$H:$H,0)</f>
        <v>0</v>
      </c>
      <c r="U120" s="17">
        <f>_xlfn.XLOOKUP($B120,'[1]Apr-25'!$A:$A,'[1]Apr-25'!$H:$H,0)</f>
        <v>0</v>
      </c>
      <c r="V120" s="17">
        <f>_xlfn.XLOOKUP($B120,'[1]May-25'!$A:$A,'[1]May-25'!$H:$H,0)</f>
        <v>0</v>
      </c>
      <c r="W120" s="17">
        <f>_xlfn.XLOOKUP($B120,'[1]Jun-25'!$A:$A,'[1]Jun-25'!$H:$H,0)</f>
        <v>0</v>
      </c>
      <c r="X120" s="17">
        <f>_xlfn.XLOOKUP($B120,'[1]Jul-25'!$A:$A,'[1]Jul-25'!$H:$H,0)</f>
        <v>0</v>
      </c>
      <c r="Y120" s="17">
        <f>_xlfn.XLOOKUP($B120,'[1]Aug-25'!$A:$A,'[1]Aug-25'!$H:$H,0)</f>
        <v>0</v>
      </c>
      <c r="Z120" s="17">
        <f>_xlfn.XLOOKUP($B120,'[1]Sep-25'!$A:$A,'[1]Sep-25'!$H:$H,0)</f>
        <v>0</v>
      </c>
      <c r="AA120" s="17">
        <f>_xlfn.XLOOKUP($B120,'[1]Oct-25'!$A:$A,'[1]Oct-25'!$H:$H,0)</f>
        <v>0</v>
      </c>
      <c r="AB120" s="17">
        <f>_xlfn.XLOOKUP($B120,'[1]Nov-25'!$A:$A,'[1]Nov-25'!$H:$H,0)</f>
        <v>0</v>
      </c>
      <c r="AC120" s="17">
        <f>_xlfn.XLOOKUP($B120,'[1]Dec-25'!$A:$A,'[1]Dec-25'!$H:$H,0)</f>
        <v>0</v>
      </c>
      <c r="AD120" s="17">
        <f>_xlfn.XLOOKUP($B120,'[1]Jan-26'!$A:$A,'[1]Jan-26'!$H:$H,0)</f>
        <v>0</v>
      </c>
      <c r="AE120" s="17">
        <f>_xlfn.XLOOKUP($B120,'[1]Feb-26'!$A:$A,'[1]Feb-26'!$H:$H,0)</f>
        <v>0</v>
      </c>
      <c r="AF120" s="17">
        <f>_xlfn.XLOOKUP($B120,'[1]Mar-26'!$A:$A,'[1]Mar-26'!$H:$H,0)</f>
        <v>0</v>
      </c>
      <c r="AG120" s="17">
        <f>_xlfn.XLOOKUP($B120,'[1]Apr-26'!$A:$A,'[1]Apr-26'!$H:$H,0)</f>
        <v>0</v>
      </c>
    </row>
    <row r="121" spans="1:33" x14ac:dyDescent="0.2">
      <c r="A121" s="58">
        <v>11003</v>
      </c>
      <c r="B121" s="56" t="str">
        <f t="shared" si="7"/>
        <v>11003</v>
      </c>
      <c r="C121" s="57" t="s">
        <v>368</v>
      </c>
      <c r="D121" s="57" t="s">
        <v>303</v>
      </c>
      <c r="E121" s="44" t="s">
        <v>198</v>
      </c>
      <c r="F121" s="17">
        <f>_xlfn.XLOOKUP($B121,'[1]Jan-24'!$A:$A,'[1]Jan-24'!$H:$H,0)</f>
        <v>0</v>
      </c>
      <c r="G121" s="17">
        <f>_xlfn.XLOOKUP($B121,'[1]Feb-24'!$A:$A,'[1]Feb-24'!$H:$H,0)</f>
        <v>0</v>
      </c>
      <c r="H121" s="17">
        <f>_xlfn.XLOOKUP($B121,'[1]Mar-24'!$A:$A,'[1]Mar-24'!$H:$H,0)</f>
        <v>0</v>
      </c>
      <c r="I121" s="17">
        <f>_xlfn.XLOOKUP($B121,'[1]Apr-24'!$A:$A,'[1]Apr-24'!$H:$H,0)</f>
        <v>0</v>
      </c>
      <c r="J121" s="17">
        <f>_xlfn.XLOOKUP($B121,'[1]May-24'!$A:$A,'[1]May-24'!$H:$H,0)</f>
        <v>0</v>
      </c>
      <c r="K121" s="17">
        <f>_xlfn.XLOOKUP($B121,'[1]Jun-24'!$A:$A,'[1]Jun-24'!$H:$H,0)</f>
        <v>0</v>
      </c>
      <c r="L121" s="17">
        <f>_xlfn.XLOOKUP($B121,'[1]Jul-24'!$A:$A,'[1]Jul-24'!$H:$H,0)</f>
        <v>0</v>
      </c>
      <c r="M121" s="17">
        <f>_xlfn.XLOOKUP($B121,'[1]Aug-24'!$A:$A,'[1]Aug-24'!$H:$H,0)</f>
        <v>0</v>
      </c>
      <c r="N121" s="17">
        <f>_xlfn.XLOOKUP($B121,'[1]Sep-24'!$A:$A,'[1]Sep-24'!$H:$H,0)</f>
        <v>0</v>
      </c>
      <c r="O121" s="17">
        <f>_xlfn.XLOOKUP($B121,'[1]Oct-24'!$A:$A,'[1]Oct-24'!$H:$H,0)</f>
        <v>0</v>
      </c>
      <c r="P121" s="17">
        <f>_xlfn.XLOOKUP($B121,'[1]Nov-24'!$A:$A,'[1]Nov-24'!$H:$H,0)</f>
        <v>0</v>
      </c>
      <c r="Q121" s="17">
        <f>_xlfn.XLOOKUP($B121,'[1]Dec-24'!$A:$A,'[1]Dec-24'!$H:$H,0)</f>
        <v>0</v>
      </c>
      <c r="R121" s="17">
        <f>_xlfn.XLOOKUP($B121,'[1]Jan-25'!$A:$A,'[1]Jan-25'!$H:$H,0)</f>
        <v>0</v>
      </c>
      <c r="S121" s="17">
        <f>_xlfn.XLOOKUP($B121,'[1]Feb-25'!$A:$A,'[1]Feb-25'!$H:$H,0)</f>
        <v>0</v>
      </c>
      <c r="T121" s="17">
        <f>_xlfn.XLOOKUP($B121,'[1]Mar-25'!$A:$A,'[1]Mar-25'!$H:$H,0)</f>
        <v>0</v>
      </c>
      <c r="U121" s="17">
        <f>_xlfn.XLOOKUP($B121,'[1]Apr-25'!$A:$A,'[1]Apr-25'!$H:$H,0)</f>
        <v>0</v>
      </c>
      <c r="V121" s="17">
        <f>_xlfn.XLOOKUP($B121,'[1]May-25'!$A:$A,'[1]May-25'!$H:$H,0)</f>
        <v>0</v>
      </c>
      <c r="W121" s="17">
        <f>_xlfn.XLOOKUP($B121,'[1]Jun-25'!$A:$A,'[1]Jun-25'!$H:$H,0)</f>
        <v>0</v>
      </c>
      <c r="X121" s="17">
        <f>_xlfn.XLOOKUP($B121,'[1]Jul-25'!$A:$A,'[1]Jul-25'!$H:$H,0)</f>
        <v>0</v>
      </c>
      <c r="Y121" s="17">
        <f>_xlfn.XLOOKUP($B121,'[1]Aug-25'!$A:$A,'[1]Aug-25'!$H:$H,0)</f>
        <v>0</v>
      </c>
      <c r="Z121" s="17">
        <f>_xlfn.XLOOKUP($B121,'[1]Sep-25'!$A:$A,'[1]Sep-25'!$H:$H,0)</f>
        <v>0</v>
      </c>
      <c r="AA121" s="17">
        <f>_xlfn.XLOOKUP($B121,'[1]Oct-25'!$A:$A,'[1]Oct-25'!$H:$H,0)</f>
        <v>0</v>
      </c>
      <c r="AB121" s="17">
        <f>_xlfn.XLOOKUP($B121,'[1]Nov-25'!$A:$A,'[1]Nov-25'!$H:$H,0)</f>
        <v>0</v>
      </c>
      <c r="AC121" s="17">
        <f>_xlfn.XLOOKUP($B121,'[1]Dec-25'!$A:$A,'[1]Dec-25'!$H:$H,0)</f>
        <v>0</v>
      </c>
      <c r="AD121" s="17">
        <f>_xlfn.XLOOKUP($B121,'[1]Jan-26'!$A:$A,'[1]Jan-26'!$H:$H,0)</f>
        <v>0</v>
      </c>
      <c r="AE121" s="17">
        <f>_xlfn.XLOOKUP($B121,'[1]Feb-26'!$A:$A,'[1]Feb-26'!$H:$H,0)</f>
        <v>0</v>
      </c>
      <c r="AF121" s="17">
        <f>_xlfn.XLOOKUP($B121,'[1]Mar-26'!$A:$A,'[1]Mar-26'!$H:$H,0)</f>
        <v>0</v>
      </c>
      <c r="AG121" s="17">
        <f>_xlfn.XLOOKUP($B121,'[1]Apr-26'!$A:$A,'[1]Apr-26'!$H:$H,0)</f>
        <v>0</v>
      </c>
    </row>
    <row r="122" spans="1:33" x14ac:dyDescent="0.2">
      <c r="A122" s="58">
        <v>11004</v>
      </c>
      <c r="B122" s="56" t="str">
        <f t="shared" si="7"/>
        <v>11004</v>
      </c>
      <c r="C122" s="57" t="s">
        <v>368</v>
      </c>
      <c r="D122" s="57" t="s">
        <v>303</v>
      </c>
      <c r="E122" s="44" t="s">
        <v>199</v>
      </c>
      <c r="F122" s="17">
        <f>_xlfn.XLOOKUP($B122,'[1]Jan-24'!$A:$A,'[1]Jan-24'!$H:$H,0)</f>
        <v>0</v>
      </c>
      <c r="G122" s="17">
        <f>_xlfn.XLOOKUP($B122,'[1]Feb-24'!$A:$A,'[1]Feb-24'!$H:$H,0)</f>
        <v>0</v>
      </c>
      <c r="H122" s="17">
        <f>_xlfn.XLOOKUP($B122,'[1]Mar-24'!$A:$A,'[1]Mar-24'!$H:$H,0)</f>
        <v>0</v>
      </c>
      <c r="I122" s="17">
        <f>_xlfn.XLOOKUP($B122,'[1]Apr-24'!$A:$A,'[1]Apr-24'!$H:$H,0)</f>
        <v>0</v>
      </c>
      <c r="J122" s="17">
        <f>_xlfn.XLOOKUP($B122,'[1]May-24'!$A:$A,'[1]May-24'!$H:$H,0)</f>
        <v>0</v>
      </c>
      <c r="K122" s="17">
        <f>_xlfn.XLOOKUP($B122,'[1]Jun-24'!$A:$A,'[1]Jun-24'!$H:$H,0)</f>
        <v>0</v>
      </c>
      <c r="L122" s="17">
        <f>_xlfn.XLOOKUP($B122,'[1]Jul-24'!$A:$A,'[1]Jul-24'!$H:$H,0)</f>
        <v>0</v>
      </c>
      <c r="M122" s="17">
        <f>_xlfn.XLOOKUP($B122,'[1]Aug-24'!$A:$A,'[1]Aug-24'!$H:$H,0)</f>
        <v>0</v>
      </c>
      <c r="N122" s="17">
        <f>_xlfn.XLOOKUP($B122,'[1]Sep-24'!$A:$A,'[1]Sep-24'!$H:$H,0)</f>
        <v>0</v>
      </c>
      <c r="O122" s="17">
        <f>_xlfn.XLOOKUP($B122,'[1]Oct-24'!$A:$A,'[1]Oct-24'!$H:$H,0)</f>
        <v>0</v>
      </c>
      <c r="P122" s="17">
        <f>_xlfn.XLOOKUP($B122,'[1]Nov-24'!$A:$A,'[1]Nov-24'!$H:$H,0)</f>
        <v>0</v>
      </c>
      <c r="Q122" s="17">
        <f>_xlfn.XLOOKUP($B122,'[1]Dec-24'!$A:$A,'[1]Dec-24'!$H:$H,0)</f>
        <v>0</v>
      </c>
      <c r="R122" s="17">
        <f>_xlfn.XLOOKUP($B122,'[1]Jan-25'!$A:$A,'[1]Jan-25'!$H:$H,0)</f>
        <v>0</v>
      </c>
      <c r="S122" s="17">
        <f>_xlfn.XLOOKUP($B122,'[1]Feb-25'!$A:$A,'[1]Feb-25'!$H:$H,0)</f>
        <v>0</v>
      </c>
      <c r="T122" s="17">
        <f>_xlfn.XLOOKUP($B122,'[1]Mar-25'!$A:$A,'[1]Mar-25'!$H:$H,0)</f>
        <v>0</v>
      </c>
      <c r="U122" s="17">
        <f>_xlfn.XLOOKUP($B122,'[1]Apr-25'!$A:$A,'[1]Apr-25'!$H:$H,0)</f>
        <v>0</v>
      </c>
      <c r="V122" s="17">
        <f>_xlfn.XLOOKUP($B122,'[1]May-25'!$A:$A,'[1]May-25'!$H:$H,0)</f>
        <v>0</v>
      </c>
      <c r="W122" s="17">
        <f>_xlfn.XLOOKUP($B122,'[1]Jun-25'!$A:$A,'[1]Jun-25'!$H:$H,0)</f>
        <v>0</v>
      </c>
      <c r="X122" s="17">
        <f>_xlfn.XLOOKUP($B122,'[1]Jul-25'!$A:$A,'[1]Jul-25'!$H:$H,0)</f>
        <v>0</v>
      </c>
      <c r="Y122" s="17">
        <f>_xlfn.XLOOKUP($B122,'[1]Aug-25'!$A:$A,'[1]Aug-25'!$H:$H,0)</f>
        <v>0</v>
      </c>
      <c r="Z122" s="17">
        <f>_xlfn.XLOOKUP($B122,'[1]Sep-25'!$A:$A,'[1]Sep-25'!$H:$H,0)</f>
        <v>0</v>
      </c>
      <c r="AA122" s="17">
        <f>_xlfn.XLOOKUP($B122,'[1]Oct-25'!$A:$A,'[1]Oct-25'!$H:$H,0)</f>
        <v>0</v>
      </c>
      <c r="AB122" s="17">
        <f>_xlfn.XLOOKUP($B122,'[1]Nov-25'!$A:$A,'[1]Nov-25'!$H:$H,0)</f>
        <v>0</v>
      </c>
      <c r="AC122" s="17">
        <f>_xlfn.XLOOKUP($B122,'[1]Dec-25'!$A:$A,'[1]Dec-25'!$H:$H,0)</f>
        <v>0</v>
      </c>
      <c r="AD122" s="17">
        <f>_xlfn.XLOOKUP($B122,'[1]Jan-26'!$A:$A,'[1]Jan-26'!$H:$H,0)</f>
        <v>0</v>
      </c>
      <c r="AE122" s="17">
        <f>_xlfn.XLOOKUP($B122,'[1]Feb-26'!$A:$A,'[1]Feb-26'!$H:$H,0)</f>
        <v>0</v>
      </c>
      <c r="AF122" s="17">
        <f>_xlfn.XLOOKUP($B122,'[1]Mar-26'!$A:$A,'[1]Mar-26'!$H:$H,0)</f>
        <v>0</v>
      </c>
      <c r="AG122" s="17">
        <f>_xlfn.XLOOKUP($B122,'[1]Apr-26'!$A:$A,'[1]Apr-26'!$H:$H,0)</f>
        <v>0</v>
      </c>
    </row>
    <row r="123" spans="1:33" x14ac:dyDescent="0.2">
      <c r="A123" s="58">
        <v>11005</v>
      </c>
      <c r="B123" s="56" t="str">
        <f t="shared" si="7"/>
        <v>11005</v>
      </c>
      <c r="C123" s="57" t="s">
        <v>368</v>
      </c>
      <c r="D123" s="57" t="s">
        <v>303</v>
      </c>
      <c r="E123" s="44" t="s">
        <v>200</v>
      </c>
      <c r="F123" s="17">
        <f>_xlfn.XLOOKUP($B123,'[1]Jan-24'!$A:$A,'[1]Jan-24'!$H:$H,0)</f>
        <v>0</v>
      </c>
      <c r="G123" s="17">
        <f>_xlfn.XLOOKUP($B123,'[1]Feb-24'!$A:$A,'[1]Feb-24'!$H:$H,0)</f>
        <v>0</v>
      </c>
      <c r="H123" s="17">
        <f>_xlfn.XLOOKUP($B123,'[1]Mar-24'!$A:$A,'[1]Mar-24'!$H:$H,0)</f>
        <v>0</v>
      </c>
      <c r="I123" s="17">
        <f>_xlfn.XLOOKUP($B123,'[1]Apr-24'!$A:$A,'[1]Apr-24'!$H:$H,0)</f>
        <v>0</v>
      </c>
      <c r="J123" s="17">
        <f>_xlfn.XLOOKUP($B123,'[1]May-24'!$A:$A,'[1]May-24'!$H:$H,0)</f>
        <v>0</v>
      </c>
      <c r="K123" s="17">
        <f>_xlfn.XLOOKUP($B123,'[1]Jun-24'!$A:$A,'[1]Jun-24'!$H:$H,0)</f>
        <v>0</v>
      </c>
      <c r="L123" s="17">
        <f>_xlfn.XLOOKUP($B123,'[1]Jul-24'!$A:$A,'[1]Jul-24'!$H:$H,0)</f>
        <v>0</v>
      </c>
      <c r="M123" s="17">
        <f>_xlfn.XLOOKUP($B123,'[1]Aug-24'!$A:$A,'[1]Aug-24'!$H:$H,0)</f>
        <v>0</v>
      </c>
      <c r="N123" s="17">
        <f>_xlfn.XLOOKUP($B123,'[1]Sep-24'!$A:$A,'[1]Sep-24'!$H:$H,0)</f>
        <v>0</v>
      </c>
      <c r="O123" s="17">
        <f>_xlfn.XLOOKUP($B123,'[1]Oct-24'!$A:$A,'[1]Oct-24'!$H:$H,0)</f>
        <v>0</v>
      </c>
      <c r="P123" s="17">
        <f>_xlfn.XLOOKUP($B123,'[1]Nov-24'!$A:$A,'[1]Nov-24'!$H:$H,0)</f>
        <v>0</v>
      </c>
      <c r="Q123" s="17">
        <f>_xlfn.XLOOKUP($B123,'[1]Dec-24'!$A:$A,'[1]Dec-24'!$H:$H,0)</f>
        <v>0</v>
      </c>
      <c r="R123" s="17">
        <f>_xlfn.XLOOKUP($B123,'[1]Jan-25'!$A:$A,'[1]Jan-25'!$H:$H,0)</f>
        <v>0</v>
      </c>
      <c r="S123" s="17">
        <f>_xlfn.XLOOKUP($B123,'[1]Feb-25'!$A:$A,'[1]Feb-25'!$H:$H,0)</f>
        <v>0</v>
      </c>
      <c r="T123" s="17">
        <f>_xlfn.XLOOKUP($B123,'[1]Mar-25'!$A:$A,'[1]Mar-25'!$H:$H,0)</f>
        <v>0</v>
      </c>
      <c r="U123" s="17">
        <f>_xlfn.XLOOKUP($B123,'[1]Apr-25'!$A:$A,'[1]Apr-25'!$H:$H,0)</f>
        <v>0</v>
      </c>
      <c r="V123" s="17">
        <f>_xlfn.XLOOKUP($B123,'[1]May-25'!$A:$A,'[1]May-25'!$H:$H,0)</f>
        <v>0</v>
      </c>
      <c r="W123" s="17">
        <f>_xlfn.XLOOKUP($B123,'[1]Jun-25'!$A:$A,'[1]Jun-25'!$H:$H,0)</f>
        <v>0</v>
      </c>
      <c r="X123" s="17">
        <f>_xlfn.XLOOKUP($B123,'[1]Jul-25'!$A:$A,'[1]Jul-25'!$H:$H,0)</f>
        <v>0</v>
      </c>
      <c r="Y123" s="17">
        <f>_xlfn.XLOOKUP($B123,'[1]Aug-25'!$A:$A,'[1]Aug-25'!$H:$H,0)</f>
        <v>0</v>
      </c>
      <c r="Z123" s="17">
        <f>_xlfn.XLOOKUP($B123,'[1]Sep-25'!$A:$A,'[1]Sep-25'!$H:$H,0)</f>
        <v>0</v>
      </c>
      <c r="AA123" s="17">
        <f>_xlfn.XLOOKUP($B123,'[1]Oct-25'!$A:$A,'[1]Oct-25'!$H:$H,0)</f>
        <v>0</v>
      </c>
      <c r="AB123" s="17">
        <f>_xlfn.XLOOKUP($B123,'[1]Nov-25'!$A:$A,'[1]Nov-25'!$H:$H,0)</f>
        <v>0</v>
      </c>
      <c r="AC123" s="17">
        <f>_xlfn.XLOOKUP($B123,'[1]Dec-25'!$A:$A,'[1]Dec-25'!$H:$H,0)</f>
        <v>0</v>
      </c>
      <c r="AD123" s="17">
        <f>_xlfn.XLOOKUP($B123,'[1]Jan-26'!$A:$A,'[1]Jan-26'!$H:$H,0)</f>
        <v>0</v>
      </c>
      <c r="AE123" s="17">
        <f>_xlfn.XLOOKUP($B123,'[1]Feb-26'!$A:$A,'[1]Feb-26'!$H:$H,0)</f>
        <v>0</v>
      </c>
      <c r="AF123" s="17">
        <f>_xlfn.XLOOKUP($B123,'[1]Mar-26'!$A:$A,'[1]Mar-26'!$H:$H,0)</f>
        <v>0</v>
      </c>
      <c r="AG123" s="17">
        <f>_xlfn.XLOOKUP($B123,'[1]Apr-26'!$A:$A,'[1]Apr-26'!$H:$H,0)</f>
        <v>0</v>
      </c>
    </row>
    <row r="124" spans="1:33" x14ac:dyDescent="0.2">
      <c r="A124" s="58">
        <v>11010</v>
      </c>
      <c r="B124" s="56" t="str">
        <f t="shared" si="7"/>
        <v>11010</v>
      </c>
      <c r="C124" s="57" t="s">
        <v>368</v>
      </c>
      <c r="D124" s="57" t="s">
        <v>369</v>
      </c>
      <c r="E124" s="44" t="s">
        <v>370</v>
      </c>
      <c r="F124" s="17">
        <f>_xlfn.XLOOKUP($B124,'[1]Jan-24'!$A:$A,'[1]Jan-24'!$H:$H,0)</f>
        <v>0</v>
      </c>
      <c r="G124" s="17">
        <f>_xlfn.XLOOKUP($B124,'[1]Feb-24'!$A:$A,'[1]Feb-24'!$H:$H,0)</f>
        <v>0</v>
      </c>
      <c r="H124" s="17">
        <f>_xlfn.XLOOKUP($B124,'[1]Mar-24'!$A:$A,'[1]Mar-24'!$H:$H,0)</f>
        <v>0</v>
      </c>
      <c r="I124" s="17">
        <f>_xlfn.XLOOKUP($B124,'[1]Apr-24'!$A:$A,'[1]Apr-24'!$H:$H,0)</f>
        <v>0</v>
      </c>
      <c r="J124" s="17">
        <f>_xlfn.XLOOKUP($B124,'[1]May-24'!$A:$A,'[1]May-24'!$H:$H,0)</f>
        <v>0</v>
      </c>
      <c r="K124" s="17">
        <f>_xlfn.XLOOKUP($B124,'[1]Jun-24'!$A:$A,'[1]Jun-24'!$H:$H,0)</f>
        <v>0</v>
      </c>
      <c r="L124" s="17">
        <f>_xlfn.XLOOKUP($B124,'[1]Jul-24'!$A:$A,'[1]Jul-24'!$H:$H,0)</f>
        <v>0</v>
      </c>
      <c r="M124" s="17">
        <f>_xlfn.XLOOKUP($B124,'[1]Aug-24'!$A:$A,'[1]Aug-24'!$H:$H,0)</f>
        <v>0</v>
      </c>
      <c r="N124" s="17">
        <f>_xlfn.XLOOKUP($B124,'[1]Sep-24'!$A:$A,'[1]Sep-24'!$H:$H,0)</f>
        <v>0</v>
      </c>
      <c r="O124" s="17">
        <f>_xlfn.XLOOKUP($B124,'[1]Oct-24'!$A:$A,'[1]Oct-24'!$H:$H,0)</f>
        <v>0</v>
      </c>
      <c r="P124" s="17">
        <f>_xlfn.XLOOKUP($B124,'[1]Nov-24'!$A:$A,'[1]Nov-24'!$H:$H,0)</f>
        <v>0</v>
      </c>
      <c r="Q124" s="17">
        <f>_xlfn.XLOOKUP($B124,'[1]Dec-24'!$A:$A,'[1]Dec-24'!$H:$H,0)</f>
        <v>0</v>
      </c>
      <c r="R124" s="17">
        <f>_xlfn.XLOOKUP($B124,'[1]Jan-25'!$A:$A,'[1]Jan-25'!$H:$H,0)</f>
        <v>0</v>
      </c>
      <c r="S124" s="17">
        <f>_xlfn.XLOOKUP($B124,'[1]Feb-25'!$A:$A,'[1]Feb-25'!$H:$H,0)</f>
        <v>0</v>
      </c>
      <c r="T124" s="17">
        <f>_xlfn.XLOOKUP($B124,'[1]Mar-25'!$A:$A,'[1]Mar-25'!$H:$H,0)</f>
        <v>0</v>
      </c>
      <c r="U124" s="17">
        <f>_xlfn.XLOOKUP($B124,'[1]Apr-25'!$A:$A,'[1]Apr-25'!$H:$H,0)</f>
        <v>0</v>
      </c>
      <c r="V124" s="17">
        <f>_xlfn.XLOOKUP($B124,'[1]May-25'!$A:$A,'[1]May-25'!$H:$H,0)</f>
        <v>0</v>
      </c>
      <c r="W124" s="17">
        <f>_xlfn.XLOOKUP($B124,'[1]Jun-25'!$A:$A,'[1]Jun-25'!$H:$H,0)</f>
        <v>0</v>
      </c>
      <c r="X124" s="17">
        <f>_xlfn.XLOOKUP($B124,'[1]Jul-25'!$A:$A,'[1]Jul-25'!$H:$H,0)</f>
        <v>0</v>
      </c>
      <c r="Y124" s="17">
        <f>_xlfn.XLOOKUP($B124,'[1]Aug-25'!$A:$A,'[1]Aug-25'!$H:$H,0)</f>
        <v>0</v>
      </c>
      <c r="Z124" s="17">
        <f>_xlfn.XLOOKUP($B124,'[1]Sep-25'!$A:$A,'[1]Sep-25'!$H:$H,0)</f>
        <v>0</v>
      </c>
      <c r="AA124" s="17">
        <f>_xlfn.XLOOKUP($B124,'[1]Oct-25'!$A:$A,'[1]Oct-25'!$H:$H,0)</f>
        <v>0</v>
      </c>
      <c r="AB124" s="17">
        <f>_xlfn.XLOOKUP($B124,'[1]Nov-25'!$A:$A,'[1]Nov-25'!$H:$H,0)</f>
        <v>0</v>
      </c>
      <c r="AC124" s="17">
        <f>_xlfn.XLOOKUP($B124,'[1]Dec-25'!$A:$A,'[1]Dec-25'!$H:$H,0)</f>
        <v>0</v>
      </c>
      <c r="AD124" s="17">
        <f>_xlfn.XLOOKUP($B124,'[1]Jan-26'!$A:$A,'[1]Jan-26'!$H:$H,0)</f>
        <v>0</v>
      </c>
      <c r="AE124" s="17">
        <f>_xlfn.XLOOKUP($B124,'[1]Feb-26'!$A:$A,'[1]Feb-26'!$H:$H,0)</f>
        <v>0</v>
      </c>
      <c r="AF124" s="17">
        <f>_xlfn.XLOOKUP($B124,'[1]Mar-26'!$A:$A,'[1]Mar-26'!$H:$H,0)</f>
        <v>0</v>
      </c>
      <c r="AG124" s="17">
        <f>_xlfn.XLOOKUP($B124,'[1]Apr-26'!$A:$A,'[1]Apr-26'!$H:$H,0)</f>
        <v>0</v>
      </c>
    </row>
    <row r="125" spans="1:33" x14ac:dyDescent="0.2">
      <c r="A125" s="58">
        <v>11020</v>
      </c>
      <c r="B125" s="56" t="str">
        <f t="shared" si="7"/>
        <v>11020</v>
      </c>
      <c r="C125" s="57" t="s">
        <v>371</v>
      </c>
      <c r="D125" s="57" t="s">
        <v>303</v>
      </c>
      <c r="E125" s="44" t="s">
        <v>372</v>
      </c>
      <c r="F125" s="17">
        <f>_xlfn.XLOOKUP($B125,'[1]Jan-24'!$A:$A,'[1]Jan-24'!$H:$H,0)</f>
        <v>501558.17</v>
      </c>
      <c r="G125" s="17">
        <f>_xlfn.XLOOKUP($B125,'[1]Feb-24'!$A:$A,'[1]Feb-24'!$H:$H,0)</f>
        <v>501558.17</v>
      </c>
      <c r="H125" s="17">
        <f>_xlfn.XLOOKUP($B125,'[1]Mar-24'!$A:$A,'[1]Mar-24'!$H:$H,0)</f>
        <v>509115.23</v>
      </c>
      <c r="I125" s="17">
        <f>_xlfn.XLOOKUP($B125,'[1]Apr-24'!$A:$A,'[1]Apr-24'!$H:$H,0)</f>
        <v>0</v>
      </c>
      <c r="J125" s="17">
        <f>_xlfn.XLOOKUP($B125,'[1]May-24'!$A:$A,'[1]May-24'!$H:$H,0)</f>
        <v>0</v>
      </c>
      <c r="K125" s="17">
        <f>_xlfn.XLOOKUP($B125,'[1]Jun-24'!$A:$A,'[1]Jun-24'!$H:$H,0)</f>
        <v>0</v>
      </c>
      <c r="L125" s="17">
        <f>_xlfn.XLOOKUP($B125,'[1]Jul-24'!$A:$A,'[1]Jul-24'!$H:$H,0)</f>
        <v>0</v>
      </c>
      <c r="M125" s="17">
        <f>_xlfn.XLOOKUP($B125,'[1]Aug-24'!$A:$A,'[1]Aug-24'!$H:$H,0)</f>
        <v>0</v>
      </c>
      <c r="N125" s="17">
        <f>_xlfn.XLOOKUP($B125,'[1]Sep-24'!$A:$A,'[1]Sep-24'!$H:$H,0)</f>
        <v>0</v>
      </c>
      <c r="O125" s="17">
        <f>_xlfn.XLOOKUP($B125,'[1]Oct-24'!$A:$A,'[1]Oct-24'!$H:$H,0)</f>
        <v>0</v>
      </c>
      <c r="P125" s="17">
        <f>_xlfn.XLOOKUP($B125,'[1]Nov-24'!$A:$A,'[1]Nov-24'!$H:$H,0)</f>
        <v>0</v>
      </c>
      <c r="Q125" s="17">
        <f>_xlfn.XLOOKUP($B125,'[1]Dec-24'!$A:$A,'[1]Dec-24'!$H:$H,0)</f>
        <v>0</v>
      </c>
      <c r="R125" s="17">
        <f>_xlfn.XLOOKUP($B125,'[1]Jan-25'!$A:$A,'[1]Jan-25'!$H:$H,0)</f>
        <v>0</v>
      </c>
      <c r="S125" s="17">
        <f>_xlfn.XLOOKUP($B125,'[1]Feb-25'!$A:$A,'[1]Feb-25'!$H:$H,0)</f>
        <v>0</v>
      </c>
      <c r="T125" s="17">
        <f>_xlfn.XLOOKUP($B125,'[1]Mar-25'!$A:$A,'[1]Mar-25'!$H:$H,0)</f>
        <v>0</v>
      </c>
      <c r="U125" s="17">
        <f>_xlfn.XLOOKUP($B125,'[1]Apr-25'!$A:$A,'[1]Apr-25'!$H:$H,0)</f>
        <v>0</v>
      </c>
      <c r="V125" s="17">
        <f>_xlfn.XLOOKUP($B125,'[1]May-25'!$A:$A,'[1]May-25'!$H:$H,0)</f>
        <v>0</v>
      </c>
      <c r="W125" s="17">
        <f>_xlfn.XLOOKUP($B125,'[1]Jun-25'!$A:$A,'[1]Jun-25'!$H:$H,0)</f>
        <v>0</v>
      </c>
      <c r="X125" s="17">
        <f>_xlfn.XLOOKUP($B125,'[1]Jul-25'!$A:$A,'[1]Jul-25'!$H:$H,0)</f>
        <v>0</v>
      </c>
      <c r="Y125" s="17">
        <f>_xlfn.XLOOKUP($B125,'[1]Aug-25'!$A:$A,'[1]Aug-25'!$H:$H,0)</f>
        <v>0</v>
      </c>
      <c r="Z125" s="17">
        <f>_xlfn.XLOOKUP($B125,'[1]Sep-25'!$A:$A,'[1]Sep-25'!$H:$H,0)</f>
        <v>0</v>
      </c>
      <c r="AA125" s="17">
        <f>_xlfn.XLOOKUP($B125,'[1]Oct-25'!$A:$A,'[1]Oct-25'!$H:$H,0)</f>
        <v>0</v>
      </c>
      <c r="AB125" s="17">
        <f>_xlfn.XLOOKUP($B125,'[1]Nov-25'!$A:$A,'[1]Nov-25'!$H:$H,0)</f>
        <v>0</v>
      </c>
      <c r="AC125" s="17">
        <f>_xlfn.XLOOKUP($B125,'[1]Dec-25'!$A:$A,'[1]Dec-25'!$H:$H,0)</f>
        <v>0</v>
      </c>
      <c r="AD125" s="17">
        <f>_xlfn.XLOOKUP($B125,'[1]Jan-26'!$A:$A,'[1]Jan-26'!$H:$H,0)</f>
        <v>0</v>
      </c>
      <c r="AE125" s="17">
        <f>_xlfn.XLOOKUP($B125,'[1]Feb-26'!$A:$A,'[1]Feb-26'!$H:$H,0)</f>
        <v>0</v>
      </c>
      <c r="AF125" s="17">
        <f>_xlfn.XLOOKUP($B125,'[1]Mar-26'!$A:$A,'[1]Mar-26'!$H:$H,0)</f>
        <v>0</v>
      </c>
      <c r="AG125" s="17">
        <f>_xlfn.XLOOKUP($B125,'[1]Apr-26'!$A:$A,'[1]Apr-26'!$H:$H,0)</f>
        <v>0</v>
      </c>
    </row>
    <row r="126" spans="1:33" x14ac:dyDescent="0.2">
      <c r="A126" s="58">
        <v>11500</v>
      </c>
      <c r="B126" s="56" t="str">
        <f t="shared" si="7"/>
        <v>11500</v>
      </c>
      <c r="C126" s="57" t="s">
        <v>371</v>
      </c>
      <c r="D126" s="57" t="s">
        <v>303</v>
      </c>
      <c r="E126" s="44" t="s">
        <v>373</v>
      </c>
      <c r="F126" s="17">
        <f>_xlfn.XLOOKUP($B126,'[1]Jan-24'!$A:$A,'[1]Jan-24'!$H:$H,0)</f>
        <v>0</v>
      </c>
      <c r="G126" s="17">
        <f>_xlfn.XLOOKUP($B126,'[1]Feb-24'!$A:$A,'[1]Feb-24'!$H:$H,0)</f>
        <v>0</v>
      </c>
      <c r="H126" s="17">
        <f>_xlfn.XLOOKUP($B126,'[1]Mar-24'!$A:$A,'[1]Mar-24'!$H:$H,0)</f>
        <v>0</v>
      </c>
      <c r="I126" s="17">
        <f>_xlfn.XLOOKUP($B126,'[1]Apr-24'!$A:$A,'[1]Apr-24'!$H:$H,0)</f>
        <v>0</v>
      </c>
      <c r="J126" s="17">
        <f>_xlfn.XLOOKUP($B126,'[1]May-24'!$A:$A,'[1]May-24'!$H:$H,0)</f>
        <v>0</v>
      </c>
      <c r="K126" s="17">
        <f>_xlfn.XLOOKUP($B126,'[1]Jun-24'!$A:$A,'[1]Jun-24'!$H:$H,0)</f>
        <v>0</v>
      </c>
      <c r="L126" s="17">
        <f>_xlfn.XLOOKUP($B126,'[1]Jul-24'!$A:$A,'[1]Jul-24'!$H:$H,0)</f>
        <v>0</v>
      </c>
      <c r="M126" s="17">
        <f>_xlfn.XLOOKUP($B126,'[1]Aug-24'!$A:$A,'[1]Aug-24'!$H:$H,0)</f>
        <v>0</v>
      </c>
      <c r="N126" s="17">
        <f>_xlfn.XLOOKUP($B126,'[1]Sep-24'!$A:$A,'[1]Sep-24'!$H:$H,0)</f>
        <v>0</v>
      </c>
      <c r="O126" s="17">
        <f>_xlfn.XLOOKUP($B126,'[1]Oct-24'!$A:$A,'[1]Oct-24'!$H:$H,0)</f>
        <v>0</v>
      </c>
      <c r="P126" s="17">
        <f>_xlfn.XLOOKUP($B126,'[1]Nov-24'!$A:$A,'[1]Nov-24'!$H:$H,0)</f>
        <v>0</v>
      </c>
      <c r="Q126" s="17">
        <f>_xlfn.XLOOKUP($B126,'[1]Dec-24'!$A:$A,'[1]Dec-24'!$H:$H,0)</f>
        <v>0</v>
      </c>
      <c r="R126" s="17">
        <f>_xlfn.XLOOKUP($B126,'[1]Jan-25'!$A:$A,'[1]Jan-25'!$H:$H,0)</f>
        <v>0</v>
      </c>
      <c r="S126" s="17">
        <f>_xlfn.XLOOKUP($B126,'[1]Feb-25'!$A:$A,'[1]Feb-25'!$H:$H,0)</f>
        <v>0</v>
      </c>
      <c r="T126" s="17">
        <f>_xlfn.XLOOKUP($B126,'[1]Mar-25'!$A:$A,'[1]Mar-25'!$H:$H,0)</f>
        <v>0</v>
      </c>
      <c r="U126" s="17">
        <f>_xlfn.XLOOKUP($B126,'[1]Apr-25'!$A:$A,'[1]Apr-25'!$H:$H,0)</f>
        <v>0</v>
      </c>
      <c r="V126" s="17">
        <f>_xlfn.XLOOKUP($B126,'[1]May-25'!$A:$A,'[1]May-25'!$H:$H,0)</f>
        <v>0</v>
      </c>
      <c r="W126" s="17">
        <f>_xlfn.XLOOKUP($B126,'[1]Jun-25'!$A:$A,'[1]Jun-25'!$H:$H,0)</f>
        <v>0</v>
      </c>
      <c r="X126" s="17">
        <f>_xlfn.XLOOKUP($B126,'[1]Jul-25'!$A:$A,'[1]Jul-25'!$H:$H,0)</f>
        <v>0</v>
      </c>
      <c r="Y126" s="17">
        <f>_xlfn.XLOOKUP($B126,'[1]Aug-25'!$A:$A,'[1]Aug-25'!$H:$H,0)</f>
        <v>0</v>
      </c>
      <c r="Z126" s="17">
        <f>_xlfn.XLOOKUP($B126,'[1]Sep-25'!$A:$A,'[1]Sep-25'!$H:$H,0)</f>
        <v>0</v>
      </c>
      <c r="AA126" s="17">
        <f>_xlfn.XLOOKUP($B126,'[1]Oct-25'!$A:$A,'[1]Oct-25'!$H:$H,0)</f>
        <v>0</v>
      </c>
      <c r="AB126" s="17">
        <f>_xlfn.XLOOKUP($B126,'[1]Nov-25'!$A:$A,'[1]Nov-25'!$H:$H,0)</f>
        <v>0</v>
      </c>
      <c r="AC126" s="17">
        <f>_xlfn.XLOOKUP($B126,'[1]Dec-25'!$A:$A,'[1]Dec-25'!$H:$H,0)</f>
        <v>0</v>
      </c>
      <c r="AD126" s="17">
        <f>_xlfn.XLOOKUP($B126,'[1]Jan-26'!$A:$A,'[1]Jan-26'!$H:$H,0)</f>
        <v>0</v>
      </c>
      <c r="AE126" s="17">
        <f>_xlfn.XLOOKUP($B126,'[1]Feb-26'!$A:$A,'[1]Feb-26'!$H:$H,0)</f>
        <v>0</v>
      </c>
      <c r="AF126" s="17">
        <f>_xlfn.XLOOKUP($B126,'[1]Mar-26'!$A:$A,'[1]Mar-26'!$H:$H,0)</f>
        <v>0</v>
      </c>
      <c r="AG126" s="17">
        <f>_xlfn.XLOOKUP($B126,'[1]Apr-26'!$A:$A,'[1]Apr-26'!$H:$H,0)</f>
        <v>0</v>
      </c>
    </row>
    <row r="127" spans="1:33" x14ac:dyDescent="0.2">
      <c r="A127" s="58">
        <v>11600</v>
      </c>
      <c r="B127" s="56" t="str">
        <f t="shared" si="7"/>
        <v>11600</v>
      </c>
      <c r="C127" s="57" t="s">
        <v>371</v>
      </c>
      <c r="D127" s="57" t="s">
        <v>303</v>
      </c>
      <c r="E127" s="44" t="s">
        <v>374</v>
      </c>
      <c r="F127" s="17">
        <f>_xlfn.XLOOKUP($B127,'[1]Jan-24'!$A:$A,'[1]Jan-24'!$H:$H,0)</f>
        <v>0</v>
      </c>
      <c r="G127" s="17">
        <f>_xlfn.XLOOKUP($B127,'[1]Feb-24'!$A:$A,'[1]Feb-24'!$H:$H,0)</f>
        <v>0</v>
      </c>
      <c r="H127" s="17">
        <f>_xlfn.XLOOKUP($B127,'[1]Mar-24'!$A:$A,'[1]Mar-24'!$H:$H,0)</f>
        <v>0</v>
      </c>
      <c r="I127" s="17">
        <f>_xlfn.XLOOKUP($B127,'[1]Apr-24'!$A:$A,'[1]Apr-24'!$H:$H,0)</f>
        <v>0</v>
      </c>
      <c r="J127" s="17">
        <f>_xlfn.XLOOKUP($B127,'[1]May-24'!$A:$A,'[1]May-24'!$H:$H,0)</f>
        <v>0</v>
      </c>
      <c r="K127" s="17">
        <f>_xlfn.XLOOKUP($B127,'[1]Jun-24'!$A:$A,'[1]Jun-24'!$H:$H,0)</f>
        <v>0</v>
      </c>
      <c r="L127" s="17">
        <f>_xlfn.XLOOKUP($B127,'[1]Jul-24'!$A:$A,'[1]Jul-24'!$H:$H,0)</f>
        <v>0</v>
      </c>
      <c r="M127" s="17">
        <f>_xlfn.XLOOKUP($B127,'[1]Aug-24'!$A:$A,'[1]Aug-24'!$H:$H,0)</f>
        <v>0</v>
      </c>
      <c r="N127" s="17">
        <f>_xlfn.XLOOKUP($B127,'[1]Sep-24'!$A:$A,'[1]Sep-24'!$H:$H,0)</f>
        <v>0</v>
      </c>
      <c r="O127" s="17">
        <f>_xlfn.XLOOKUP($B127,'[1]Oct-24'!$A:$A,'[1]Oct-24'!$H:$H,0)</f>
        <v>0</v>
      </c>
      <c r="P127" s="17">
        <f>_xlfn.XLOOKUP($B127,'[1]Nov-24'!$A:$A,'[1]Nov-24'!$H:$H,0)</f>
        <v>0</v>
      </c>
      <c r="Q127" s="17">
        <f>_xlfn.XLOOKUP($B127,'[1]Dec-24'!$A:$A,'[1]Dec-24'!$H:$H,0)</f>
        <v>0</v>
      </c>
      <c r="R127" s="17">
        <f>_xlfn.XLOOKUP($B127,'[1]Jan-25'!$A:$A,'[1]Jan-25'!$H:$H,0)</f>
        <v>0</v>
      </c>
      <c r="S127" s="17">
        <f>_xlfn.XLOOKUP($B127,'[1]Feb-25'!$A:$A,'[1]Feb-25'!$H:$H,0)</f>
        <v>0</v>
      </c>
      <c r="T127" s="17">
        <f>_xlfn.XLOOKUP($B127,'[1]Mar-25'!$A:$A,'[1]Mar-25'!$H:$H,0)</f>
        <v>0</v>
      </c>
      <c r="U127" s="17">
        <f>_xlfn.XLOOKUP($B127,'[1]Apr-25'!$A:$A,'[1]Apr-25'!$H:$H,0)</f>
        <v>0</v>
      </c>
      <c r="V127" s="17">
        <f>_xlfn.XLOOKUP($B127,'[1]May-25'!$A:$A,'[1]May-25'!$H:$H,0)</f>
        <v>0</v>
      </c>
      <c r="W127" s="17">
        <f>_xlfn.XLOOKUP($B127,'[1]Jun-25'!$A:$A,'[1]Jun-25'!$H:$H,0)</f>
        <v>0</v>
      </c>
      <c r="X127" s="17">
        <f>_xlfn.XLOOKUP($B127,'[1]Jul-25'!$A:$A,'[1]Jul-25'!$H:$H,0)</f>
        <v>0</v>
      </c>
      <c r="Y127" s="17">
        <f>_xlfn.XLOOKUP($B127,'[1]Aug-25'!$A:$A,'[1]Aug-25'!$H:$H,0)</f>
        <v>0</v>
      </c>
      <c r="Z127" s="17">
        <f>_xlfn.XLOOKUP($B127,'[1]Sep-25'!$A:$A,'[1]Sep-25'!$H:$H,0)</f>
        <v>0</v>
      </c>
      <c r="AA127" s="17">
        <f>_xlfn.XLOOKUP($B127,'[1]Oct-25'!$A:$A,'[1]Oct-25'!$H:$H,0)</f>
        <v>0</v>
      </c>
      <c r="AB127" s="17">
        <f>_xlfn.XLOOKUP($B127,'[1]Nov-25'!$A:$A,'[1]Nov-25'!$H:$H,0)</f>
        <v>0</v>
      </c>
      <c r="AC127" s="17">
        <f>_xlfn.XLOOKUP($B127,'[1]Dec-25'!$A:$A,'[1]Dec-25'!$H:$H,0)</f>
        <v>0</v>
      </c>
      <c r="AD127" s="17">
        <f>_xlfn.XLOOKUP($B127,'[1]Jan-26'!$A:$A,'[1]Jan-26'!$H:$H,0)</f>
        <v>0</v>
      </c>
      <c r="AE127" s="17">
        <f>_xlfn.XLOOKUP($B127,'[1]Feb-26'!$A:$A,'[1]Feb-26'!$H:$H,0)</f>
        <v>0</v>
      </c>
      <c r="AF127" s="17">
        <f>_xlfn.XLOOKUP($B127,'[1]Mar-26'!$A:$A,'[1]Mar-26'!$H:$H,0)</f>
        <v>0</v>
      </c>
      <c r="AG127" s="17">
        <f>_xlfn.XLOOKUP($B127,'[1]Apr-26'!$A:$A,'[1]Apr-26'!$H:$H,0)</f>
        <v>0</v>
      </c>
    </row>
    <row r="128" spans="1:33" x14ac:dyDescent="0.2">
      <c r="A128" s="58">
        <v>11700</v>
      </c>
      <c r="B128" s="56" t="str">
        <f t="shared" si="7"/>
        <v>11700</v>
      </c>
      <c r="C128" s="57" t="s">
        <v>368</v>
      </c>
      <c r="D128" s="57" t="s">
        <v>303</v>
      </c>
      <c r="E128" s="44" t="s">
        <v>201</v>
      </c>
      <c r="F128" s="17">
        <f>_xlfn.XLOOKUP($B128,'[1]Jan-24'!$A:$A,'[1]Jan-24'!$H:$H,0)</f>
        <v>0</v>
      </c>
      <c r="G128" s="17">
        <f>_xlfn.XLOOKUP($B128,'[1]Feb-24'!$A:$A,'[1]Feb-24'!$H:$H,0)</f>
        <v>0</v>
      </c>
      <c r="H128" s="17">
        <f>_xlfn.XLOOKUP($B128,'[1]Mar-24'!$A:$A,'[1]Mar-24'!$H:$H,0)</f>
        <v>0</v>
      </c>
      <c r="I128" s="17">
        <f>_xlfn.XLOOKUP($B128,'[1]Apr-24'!$A:$A,'[1]Apr-24'!$H:$H,0)</f>
        <v>0</v>
      </c>
      <c r="J128" s="17">
        <f>_xlfn.XLOOKUP($B128,'[1]May-24'!$A:$A,'[1]May-24'!$H:$H,0)</f>
        <v>0</v>
      </c>
      <c r="K128" s="17">
        <f>_xlfn.XLOOKUP($B128,'[1]Jun-24'!$A:$A,'[1]Jun-24'!$H:$H,0)</f>
        <v>0</v>
      </c>
      <c r="L128" s="17">
        <f>_xlfn.XLOOKUP($B128,'[1]Jul-24'!$A:$A,'[1]Jul-24'!$H:$H,0)</f>
        <v>0</v>
      </c>
      <c r="M128" s="17">
        <f>_xlfn.XLOOKUP($B128,'[1]Aug-24'!$A:$A,'[1]Aug-24'!$H:$H,0)</f>
        <v>0</v>
      </c>
      <c r="N128" s="17">
        <f>_xlfn.XLOOKUP($B128,'[1]Sep-24'!$A:$A,'[1]Sep-24'!$H:$H,0)</f>
        <v>0</v>
      </c>
      <c r="O128" s="17">
        <f>_xlfn.XLOOKUP($B128,'[1]Oct-24'!$A:$A,'[1]Oct-24'!$H:$H,0)</f>
        <v>0</v>
      </c>
      <c r="P128" s="17">
        <f>_xlfn.XLOOKUP($B128,'[1]Nov-24'!$A:$A,'[1]Nov-24'!$H:$H,0)</f>
        <v>0</v>
      </c>
      <c r="Q128" s="17">
        <f>_xlfn.XLOOKUP($B128,'[1]Dec-24'!$A:$A,'[1]Dec-24'!$H:$H,0)</f>
        <v>0</v>
      </c>
      <c r="R128" s="17">
        <f>_xlfn.XLOOKUP($B128,'[1]Jan-25'!$A:$A,'[1]Jan-25'!$H:$H,0)</f>
        <v>0</v>
      </c>
      <c r="S128" s="17">
        <f>_xlfn.XLOOKUP($B128,'[1]Feb-25'!$A:$A,'[1]Feb-25'!$H:$H,0)</f>
        <v>0</v>
      </c>
      <c r="T128" s="17">
        <f>_xlfn.XLOOKUP($B128,'[1]Mar-25'!$A:$A,'[1]Mar-25'!$H:$H,0)</f>
        <v>0</v>
      </c>
      <c r="U128" s="17">
        <f>_xlfn.XLOOKUP($B128,'[1]Apr-25'!$A:$A,'[1]Apr-25'!$H:$H,0)</f>
        <v>0</v>
      </c>
      <c r="V128" s="17">
        <f>_xlfn.XLOOKUP($B128,'[1]May-25'!$A:$A,'[1]May-25'!$H:$H,0)</f>
        <v>0</v>
      </c>
      <c r="W128" s="17">
        <f>_xlfn.XLOOKUP($B128,'[1]Jun-25'!$A:$A,'[1]Jun-25'!$H:$H,0)</f>
        <v>0</v>
      </c>
      <c r="X128" s="17">
        <f>_xlfn.XLOOKUP($B128,'[1]Jul-25'!$A:$A,'[1]Jul-25'!$H:$H,0)</f>
        <v>0</v>
      </c>
      <c r="Y128" s="17">
        <f>_xlfn.XLOOKUP($B128,'[1]Aug-25'!$A:$A,'[1]Aug-25'!$H:$H,0)</f>
        <v>0</v>
      </c>
      <c r="Z128" s="17">
        <f>_xlfn.XLOOKUP($B128,'[1]Sep-25'!$A:$A,'[1]Sep-25'!$H:$H,0)</f>
        <v>0</v>
      </c>
      <c r="AA128" s="17">
        <f>_xlfn.XLOOKUP($B128,'[1]Oct-25'!$A:$A,'[1]Oct-25'!$H:$H,0)</f>
        <v>0</v>
      </c>
      <c r="AB128" s="17">
        <f>_xlfn.XLOOKUP($B128,'[1]Nov-25'!$A:$A,'[1]Nov-25'!$H:$H,0)</f>
        <v>0</v>
      </c>
      <c r="AC128" s="17">
        <f>_xlfn.XLOOKUP($B128,'[1]Dec-25'!$A:$A,'[1]Dec-25'!$H:$H,0)</f>
        <v>0</v>
      </c>
      <c r="AD128" s="17">
        <f>_xlfn.XLOOKUP($B128,'[1]Jan-26'!$A:$A,'[1]Jan-26'!$H:$H,0)</f>
        <v>0</v>
      </c>
      <c r="AE128" s="17">
        <f>_xlfn.XLOOKUP($B128,'[1]Feb-26'!$A:$A,'[1]Feb-26'!$H:$H,0)</f>
        <v>0</v>
      </c>
      <c r="AF128" s="17">
        <f>_xlfn.XLOOKUP($B128,'[1]Mar-26'!$A:$A,'[1]Mar-26'!$H:$H,0)</f>
        <v>0</v>
      </c>
      <c r="AG128" s="17">
        <f>_xlfn.XLOOKUP($B128,'[1]Apr-26'!$A:$A,'[1]Apr-26'!$H:$H,0)</f>
        <v>0</v>
      </c>
    </row>
    <row r="129" spans="1:33" x14ac:dyDescent="0.2">
      <c r="A129" s="58">
        <v>12100</v>
      </c>
      <c r="B129" s="56" t="str">
        <f t="shared" si="7"/>
        <v>12100</v>
      </c>
      <c r="C129" s="57" t="s">
        <v>375</v>
      </c>
      <c r="D129" s="57" t="s">
        <v>303</v>
      </c>
      <c r="E129" s="44" t="s">
        <v>203</v>
      </c>
      <c r="F129" s="17">
        <f>_xlfn.XLOOKUP($B129,'[1]Jan-24'!$A:$A,'[1]Jan-24'!$H:$H,0)</f>
        <v>94581089.150000006</v>
      </c>
      <c r="G129" s="17">
        <f>_xlfn.XLOOKUP($B129,'[1]Feb-24'!$A:$A,'[1]Feb-24'!$H:$H,0)</f>
        <v>94581089.150000006</v>
      </c>
      <c r="H129" s="17">
        <f>_xlfn.XLOOKUP($B129,'[1]Mar-24'!$A:$A,'[1]Mar-24'!$H:$H,0)</f>
        <v>94581089.150000006</v>
      </c>
      <c r="I129" s="17">
        <f>_xlfn.XLOOKUP($B129,'[1]Apr-24'!$A:$A,'[1]Apr-24'!$H:$H,0)</f>
        <v>94581089.150000006</v>
      </c>
      <c r="J129" s="17">
        <f>_xlfn.XLOOKUP($B129,'[1]May-24'!$A:$A,'[1]May-24'!$H:$H,0)</f>
        <v>94581089.150000006</v>
      </c>
      <c r="K129" s="17">
        <f>_xlfn.XLOOKUP($B129,'[1]Jun-24'!$A:$A,'[1]Jun-24'!$H:$H,0)</f>
        <v>94581089.150000006</v>
      </c>
      <c r="L129" s="17">
        <f>_xlfn.XLOOKUP($B129,'[1]Jul-24'!$A:$A,'[1]Jul-24'!$H:$H,0)</f>
        <v>94581089.150000006</v>
      </c>
      <c r="M129" s="17">
        <f>_xlfn.XLOOKUP($B129,'[1]Aug-24'!$A:$A,'[1]Aug-24'!$H:$H,0)</f>
        <v>94581089.150000006</v>
      </c>
      <c r="N129" s="17">
        <f>_xlfn.XLOOKUP($B129,'[1]Sep-24'!$A:$A,'[1]Sep-24'!$H:$H,0)</f>
        <v>94581089.150000006</v>
      </c>
      <c r="O129" s="17">
        <f>_xlfn.XLOOKUP($B129,'[1]Oct-24'!$A:$A,'[1]Oct-24'!$H:$H,0)</f>
        <v>94581089.150000006</v>
      </c>
      <c r="P129" s="17">
        <f>_xlfn.XLOOKUP($B129,'[1]Nov-24'!$A:$A,'[1]Nov-24'!$H:$H,0)</f>
        <v>94581089.150000006</v>
      </c>
      <c r="Q129" s="17">
        <f>_xlfn.XLOOKUP($B129,'[1]Dec-24'!$A:$A,'[1]Dec-24'!$H:$H,0)</f>
        <v>94581089.150000006</v>
      </c>
      <c r="R129" s="17">
        <f>_xlfn.XLOOKUP($B129,'[1]Jan-25'!$A:$A,'[1]Jan-25'!$H:$H,0)</f>
        <v>94581089.150000006</v>
      </c>
      <c r="S129" s="17">
        <f>_xlfn.XLOOKUP($B129,'[1]Feb-25'!$A:$A,'[1]Feb-25'!$H:$H,0)</f>
        <v>94581089.150000006</v>
      </c>
      <c r="T129" s="17">
        <f>_xlfn.XLOOKUP($B129,'[1]Mar-25'!$A:$A,'[1]Mar-25'!$H:$H,0)</f>
        <v>87411677.140000001</v>
      </c>
      <c r="U129" s="17">
        <f>_xlfn.XLOOKUP($B129,'[1]Apr-25'!$A:$A,'[1]Apr-25'!$H:$H,0)</f>
        <v>78587785.299999997</v>
      </c>
      <c r="V129" s="17">
        <f>_xlfn.XLOOKUP($B129,'[1]May-25'!$A:$A,'[1]May-25'!$H:$H,0)</f>
        <v>71142626.680000007</v>
      </c>
      <c r="W129" s="17">
        <f>_xlfn.XLOOKUP($B129,'[1]Jun-25'!$A:$A,'[1]Jun-25'!$H:$H,0)</f>
        <v>71142626.680000007</v>
      </c>
      <c r="X129" s="17">
        <f>_xlfn.XLOOKUP($B129,'[1]Jul-25'!$A:$A,'[1]Jul-25'!$H:$H,0)</f>
        <v>56803802.659999996</v>
      </c>
      <c r="Y129" s="17">
        <f>_xlfn.XLOOKUP($B129,'[1]Aug-25'!$A:$A,'[1]Aug-25'!$H:$H,0)</f>
        <v>56803802.659999996</v>
      </c>
      <c r="Z129" s="17">
        <f>_xlfn.XLOOKUP($B129,'[1]Sep-25'!$A:$A,'[1]Sep-25'!$H:$H,0)</f>
        <v>55976562.82</v>
      </c>
      <c r="AA129" s="17">
        <f>_xlfn.XLOOKUP($B129,'[1]Oct-25'!$A:$A,'[1]Oct-25'!$H:$H,0)</f>
        <v>55976562.82</v>
      </c>
      <c r="AB129" s="17">
        <f>_xlfn.XLOOKUP($B129,'[1]Nov-25'!$A:$A,'[1]Nov-25'!$H:$H,0)</f>
        <v>55700816.210000001</v>
      </c>
      <c r="AC129" s="17">
        <f>_xlfn.XLOOKUP($B129,'[1]Dec-25'!$A:$A,'[1]Dec-25'!$H:$H,0)</f>
        <v>55425069.600000001</v>
      </c>
      <c r="AD129" s="17">
        <f>_xlfn.XLOOKUP($B129,'[1]Jan-26'!$A:$A,'[1]Jan-26'!$H:$H,0)</f>
        <v>54597829.740000002</v>
      </c>
      <c r="AE129" s="17">
        <f>_xlfn.XLOOKUP($B129,'[1]Feb-26'!$A:$A,'[1]Feb-26'!$H:$H,0)</f>
        <v>46325431.140000001</v>
      </c>
      <c r="AF129" s="17">
        <f>_xlfn.XLOOKUP($B129,'[1]Mar-26'!$A:$A,'[1]Mar-26'!$H:$H,0)</f>
        <v>46325431.140000001</v>
      </c>
      <c r="AG129" s="17">
        <f>_xlfn.XLOOKUP($B129,'[1]Apr-26'!$A:$A,'[1]Apr-26'!$H:$H,0)</f>
        <v>45773937.899999999</v>
      </c>
    </row>
    <row r="130" spans="1:33" x14ac:dyDescent="0.2">
      <c r="A130" s="58">
        <v>12101</v>
      </c>
      <c r="B130" s="56" t="str">
        <f t="shared" si="7"/>
        <v>12101</v>
      </c>
      <c r="C130" s="57" t="s">
        <v>375</v>
      </c>
      <c r="D130" s="57" t="s">
        <v>303</v>
      </c>
      <c r="E130" s="44" t="s">
        <v>204</v>
      </c>
      <c r="F130" s="17">
        <f>_xlfn.XLOOKUP($B130,'[1]Jan-24'!$A:$A,'[1]Jan-24'!$H:$H,0)</f>
        <v>0</v>
      </c>
      <c r="G130" s="17">
        <f>_xlfn.XLOOKUP($B130,'[1]Feb-24'!$A:$A,'[1]Feb-24'!$H:$H,0)</f>
        <v>0</v>
      </c>
      <c r="H130" s="17">
        <f>_xlfn.XLOOKUP($B130,'[1]Mar-24'!$A:$A,'[1]Mar-24'!$H:$H,0)</f>
        <v>0</v>
      </c>
      <c r="I130" s="17">
        <f>_xlfn.XLOOKUP($B130,'[1]Apr-24'!$A:$A,'[1]Apr-24'!$H:$H,0)</f>
        <v>0</v>
      </c>
      <c r="J130" s="17">
        <f>_xlfn.XLOOKUP($B130,'[1]May-24'!$A:$A,'[1]May-24'!$H:$H,0)</f>
        <v>0</v>
      </c>
      <c r="K130" s="17">
        <f>_xlfn.XLOOKUP($B130,'[1]Jun-24'!$A:$A,'[1]Jun-24'!$H:$H,0)</f>
        <v>0</v>
      </c>
      <c r="L130" s="17">
        <f>_xlfn.XLOOKUP($B130,'[1]Jul-24'!$A:$A,'[1]Jul-24'!$H:$H,0)</f>
        <v>0</v>
      </c>
      <c r="M130" s="17">
        <f>_xlfn.XLOOKUP($B130,'[1]Aug-24'!$A:$A,'[1]Aug-24'!$H:$H,0)</f>
        <v>0</v>
      </c>
      <c r="N130" s="17">
        <f>_xlfn.XLOOKUP($B130,'[1]Sep-24'!$A:$A,'[1]Sep-24'!$H:$H,0)</f>
        <v>0</v>
      </c>
      <c r="O130" s="17">
        <f>_xlfn.XLOOKUP($B130,'[1]Oct-24'!$A:$A,'[1]Oct-24'!$H:$H,0)</f>
        <v>0</v>
      </c>
      <c r="P130" s="17">
        <f>_xlfn.XLOOKUP($B130,'[1]Nov-24'!$A:$A,'[1]Nov-24'!$H:$H,0)</f>
        <v>0</v>
      </c>
      <c r="Q130" s="17">
        <f>_xlfn.XLOOKUP($B130,'[1]Dec-24'!$A:$A,'[1]Dec-24'!$H:$H,0)</f>
        <v>0</v>
      </c>
      <c r="R130" s="17">
        <f>_xlfn.XLOOKUP($B130,'[1]Jan-25'!$A:$A,'[1]Jan-25'!$H:$H,0)</f>
        <v>0</v>
      </c>
      <c r="S130" s="17">
        <f>_xlfn.XLOOKUP($B130,'[1]Feb-25'!$A:$A,'[1]Feb-25'!$H:$H,0)</f>
        <v>0</v>
      </c>
      <c r="T130" s="17">
        <f>_xlfn.XLOOKUP($B130,'[1]Mar-25'!$A:$A,'[1]Mar-25'!$H:$H,0)</f>
        <v>0</v>
      </c>
      <c r="U130" s="17">
        <f>_xlfn.XLOOKUP($B130,'[1]Apr-25'!$A:$A,'[1]Apr-25'!$H:$H,0)</f>
        <v>0</v>
      </c>
      <c r="V130" s="17">
        <f>_xlfn.XLOOKUP($B130,'[1]May-25'!$A:$A,'[1]May-25'!$H:$H,0)</f>
        <v>0</v>
      </c>
      <c r="W130" s="17">
        <f>_xlfn.XLOOKUP($B130,'[1]Jun-25'!$A:$A,'[1]Jun-25'!$H:$H,0)</f>
        <v>0</v>
      </c>
      <c r="X130" s="17">
        <f>_xlfn.XLOOKUP($B130,'[1]Jul-25'!$A:$A,'[1]Jul-25'!$H:$H,0)</f>
        <v>0</v>
      </c>
      <c r="Y130" s="17">
        <f>_xlfn.XLOOKUP($B130,'[1]Aug-25'!$A:$A,'[1]Aug-25'!$H:$H,0)</f>
        <v>0</v>
      </c>
      <c r="Z130" s="17">
        <f>_xlfn.XLOOKUP($B130,'[1]Sep-25'!$A:$A,'[1]Sep-25'!$H:$H,0)</f>
        <v>0</v>
      </c>
      <c r="AA130" s="17">
        <f>_xlfn.XLOOKUP($B130,'[1]Oct-25'!$A:$A,'[1]Oct-25'!$H:$H,0)</f>
        <v>0</v>
      </c>
      <c r="AB130" s="17">
        <f>_xlfn.XLOOKUP($B130,'[1]Nov-25'!$A:$A,'[1]Nov-25'!$H:$H,0)</f>
        <v>0</v>
      </c>
      <c r="AC130" s="17">
        <f>_xlfn.XLOOKUP($B130,'[1]Dec-25'!$A:$A,'[1]Dec-25'!$H:$H,0)</f>
        <v>0</v>
      </c>
      <c r="AD130" s="17">
        <f>_xlfn.XLOOKUP($B130,'[1]Jan-26'!$A:$A,'[1]Jan-26'!$H:$H,0)</f>
        <v>0</v>
      </c>
      <c r="AE130" s="17">
        <f>_xlfn.XLOOKUP($B130,'[1]Feb-26'!$A:$A,'[1]Feb-26'!$H:$H,0)</f>
        <v>0</v>
      </c>
      <c r="AF130" s="17">
        <f>_xlfn.XLOOKUP($B130,'[1]Mar-26'!$A:$A,'[1]Mar-26'!$H:$H,0)</f>
        <v>0</v>
      </c>
      <c r="AG130" s="17">
        <f>_xlfn.XLOOKUP($B130,'[1]Apr-26'!$A:$A,'[1]Apr-26'!$H:$H,0)</f>
        <v>0</v>
      </c>
    </row>
    <row r="131" spans="1:33" x14ac:dyDescent="0.2">
      <c r="A131" s="58">
        <v>12102</v>
      </c>
      <c r="B131" s="56" t="str">
        <f t="shared" si="7"/>
        <v>12102</v>
      </c>
      <c r="C131" s="57" t="s">
        <v>371</v>
      </c>
      <c r="D131" s="57" t="s">
        <v>303</v>
      </c>
      <c r="E131" s="44" t="s">
        <v>376</v>
      </c>
      <c r="F131" s="17">
        <f>_xlfn.XLOOKUP($B131,'[1]Jan-24'!$A:$A,'[1]Jan-24'!$H:$H,0)</f>
        <v>0</v>
      </c>
      <c r="G131" s="17">
        <f>_xlfn.XLOOKUP($B131,'[1]Feb-24'!$A:$A,'[1]Feb-24'!$H:$H,0)</f>
        <v>0</v>
      </c>
      <c r="H131" s="17">
        <f>_xlfn.XLOOKUP($B131,'[1]Mar-24'!$A:$A,'[1]Mar-24'!$H:$H,0)</f>
        <v>0</v>
      </c>
      <c r="I131" s="17">
        <f>_xlfn.XLOOKUP($B131,'[1]Apr-24'!$A:$A,'[1]Apr-24'!$H:$H,0)</f>
        <v>0</v>
      </c>
      <c r="J131" s="17">
        <f>_xlfn.XLOOKUP($B131,'[1]May-24'!$A:$A,'[1]May-24'!$H:$H,0)</f>
        <v>0</v>
      </c>
      <c r="K131" s="17">
        <f>_xlfn.XLOOKUP($B131,'[1]Jun-24'!$A:$A,'[1]Jun-24'!$H:$H,0)</f>
        <v>0</v>
      </c>
      <c r="L131" s="17">
        <f>_xlfn.XLOOKUP($B131,'[1]Jul-24'!$A:$A,'[1]Jul-24'!$H:$H,0)</f>
        <v>0</v>
      </c>
      <c r="M131" s="17">
        <f>_xlfn.XLOOKUP($B131,'[1]Aug-24'!$A:$A,'[1]Aug-24'!$H:$H,0)</f>
        <v>0</v>
      </c>
      <c r="N131" s="17">
        <f>_xlfn.XLOOKUP($B131,'[1]Sep-24'!$A:$A,'[1]Sep-24'!$H:$H,0)</f>
        <v>0</v>
      </c>
      <c r="O131" s="17">
        <f>_xlfn.XLOOKUP($B131,'[1]Oct-24'!$A:$A,'[1]Oct-24'!$H:$H,0)</f>
        <v>0</v>
      </c>
      <c r="P131" s="17">
        <f>_xlfn.XLOOKUP($B131,'[1]Nov-24'!$A:$A,'[1]Nov-24'!$H:$H,0)</f>
        <v>0</v>
      </c>
      <c r="Q131" s="17">
        <f>_xlfn.XLOOKUP($B131,'[1]Dec-24'!$A:$A,'[1]Dec-24'!$H:$H,0)</f>
        <v>0</v>
      </c>
      <c r="R131" s="17">
        <f>_xlfn.XLOOKUP($B131,'[1]Jan-25'!$A:$A,'[1]Jan-25'!$H:$H,0)</f>
        <v>0</v>
      </c>
      <c r="S131" s="17">
        <f>_xlfn.XLOOKUP($B131,'[1]Feb-25'!$A:$A,'[1]Feb-25'!$H:$H,0)</f>
        <v>0</v>
      </c>
      <c r="T131" s="17">
        <f>_xlfn.XLOOKUP($B131,'[1]Mar-25'!$A:$A,'[1]Mar-25'!$H:$H,0)</f>
        <v>0</v>
      </c>
      <c r="U131" s="17">
        <f>_xlfn.XLOOKUP($B131,'[1]Apr-25'!$A:$A,'[1]Apr-25'!$H:$H,0)</f>
        <v>0</v>
      </c>
      <c r="V131" s="17">
        <f>_xlfn.XLOOKUP($B131,'[1]May-25'!$A:$A,'[1]May-25'!$H:$H,0)</f>
        <v>0</v>
      </c>
      <c r="W131" s="17">
        <f>_xlfn.XLOOKUP($B131,'[1]Jun-25'!$A:$A,'[1]Jun-25'!$H:$H,0)</f>
        <v>0</v>
      </c>
      <c r="X131" s="17">
        <f>_xlfn.XLOOKUP($B131,'[1]Jul-25'!$A:$A,'[1]Jul-25'!$H:$H,0)</f>
        <v>0</v>
      </c>
      <c r="Y131" s="17">
        <f>_xlfn.XLOOKUP($B131,'[1]Aug-25'!$A:$A,'[1]Aug-25'!$H:$H,0)</f>
        <v>0</v>
      </c>
      <c r="Z131" s="17">
        <f>_xlfn.XLOOKUP($B131,'[1]Sep-25'!$A:$A,'[1]Sep-25'!$H:$H,0)</f>
        <v>0</v>
      </c>
      <c r="AA131" s="17">
        <f>_xlfn.XLOOKUP($B131,'[1]Oct-25'!$A:$A,'[1]Oct-25'!$H:$H,0)</f>
        <v>0</v>
      </c>
      <c r="AB131" s="17">
        <f>_xlfn.XLOOKUP($B131,'[1]Nov-25'!$A:$A,'[1]Nov-25'!$H:$H,0)</f>
        <v>0</v>
      </c>
      <c r="AC131" s="17">
        <f>_xlfn.XLOOKUP($B131,'[1]Dec-25'!$A:$A,'[1]Dec-25'!$H:$H,0)</f>
        <v>0</v>
      </c>
      <c r="AD131" s="17">
        <f>_xlfn.XLOOKUP($B131,'[1]Jan-26'!$A:$A,'[1]Jan-26'!$H:$H,0)</f>
        <v>0</v>
      </c>
      <c r="AE131" s="17">
        <f>_xlfn.XLOOKUP($B131,'[1]Feb-26'!$A:$A,'[1]Feb-26'!$H:$H,0)</f>
        <v>0</v>
      </c>
      <c r="AF131" s="17">
        <f>_xlfn.XLOOKUP($B131,'[1]Mar-26'!$A:$A,'[1]Mar-26'!$H:$H,0)</f>
        <v>0</v>
      </c>
      <c r="AG131" s="17">
        <f>_xlfn.XLOOKUP($B131,'[1]Apr-26'!$A:$A,'[1]Apr-26'!$H:$H,0)</f>
        <v>0</v>
      </c>
    </row>
    <row r="132" spans="1:33" x14ac:dyDescent="0.2">
      <c r="A132" s="58">
        <v>12105</v>
      </c>
      <c r="B132" s="56" t="str">
        <f t="shared" si="7"/>
        <v>12105</v>
      </c>
      <c r="C132" s="57" t="s">
        <v>377</v>
      </c>
      <c r="D132" s="57" t="s">
        <v>303</v>
      </c>
      <c r="E132" s="44" t="s">
        <v>248</v>
      </c>
      <c r="F132" s="17">
        <f>_xlfn.XLOOKUP($B132,'[1]Jan-24'!$A:$A,'[1]Jan-24'!$H:$H,0)</f>
        <v>0</v>
      </c>
      <c r="G132" s="17">
        <f>_xlfn.XLOOKUP($B132,'[1]Feb-24'!$A:$A,'[1]Feb-24'!$H:$H,0)</f>
        <v>0</v>
      </c>
      <c r="H132" s="17">
        <f>_xlfn.XLOOKUP($B132,'[1]Mar-24'!$A:$A,'[1]Mar-24'!$H:$H,0)</f>
        <v>0</v>
      </c>
      <c r="I132" s="17">
        <f>_xlfn.XLOOKUP($B132,'[1]Apr-24'!$A:$A,'[1]Apr-24'!$H:$H,0)</f>
        <v>0</v>
      </c>
      <c r="J132" s="17">
        <f>_xlfn.XLOOKUP($B132,'[1]May-24'!$A:$A,'[1]May-24'!$H:$H,0)</f>
        <v>0</v>
      </c>
      <c r="K132" s="17">
        <f>_xlfn.XLOOKUP($B132,'[1]Jun-24'!$A:$A,'[1]Jun-24'!$H:$H,0)</f>
        <v>0</v>
      </c>
      <c r="L132" s="17">
        <f>_xlfn.XLOOKUP($B132,'[1]Jul-24'!$A:$A,'[1]Jul-24'!$H:$H,0)</f>
        <v>0</v>
      </c>
      <c r="M132" s="17">
        <f>_xlfn.XLOOKUP($B132,'[1]Aug-24'!$A:$A,'[1]Aug-24'!$H:$H,0)</f>
        <v>0</v>
      </c>
      <c r="N132" s="17">
        <f>_xlfn.XLOOKUP($B132,'[1]Sep-24'!$A:$A,'[1]Sep-24'!$H:$H,0)</f>
        <v>0</v>
      </c>
      <c r="O132" s="17">
        <f>_xlfn.XLOOKUP($B132,'[1]Oct-24'!$A:$A,'[1]Oct-24'!$H:$H,0)</f>
        <v>0</v>
      </c>
      <c r="P132" s="17">
        <f>_xlfn.XLOOKUP($B132,'[1]Nov-24'!$A:$A,'[1]Nov-24'!$H:$H,0)</f>
        <v>0</v>
      </c>
      <c r="Q132" s="17">
        <f>_xlfn.XLOOKUP($B132,'[1]Dec-24'!$A:$A,'[1]Dec-24'!$H:$H,0)</f>
        <v>0</v>
      </c>
      <c r="R132" s="17">
        <f>_xlfn.XLOOKUP($B132,'[1]Jan-25'!$A:$A,'[1]Jan-25'!$H:$H,0)</f>
        <v>0</v>
      </c>
      <c r="S132" s="17">
        <f>_xlfn.XLOOKUP($B132,'[1]Feb-25'!$A:$A,'[1]Feb-25'!$H:$H,0)</f>
        <v>0</v>
      </c>
      <c r="T132" s="17">
        <f>_xlfn.XLOOKUP($B132,'[1]Mar-25'!$A:$A,'[1]Mar-25'!$H:$H,0)</f>
        <v>0</v>
      </c>
      <c r="U132" s="17">
        <f>_xlfn.XLOOKUP($B132,'[1]Apr-25'!$A:$A,'[1]Apr-25'!$H:$H,0)</f>
        <v>0</v>
      </c>
      <c r="V132" s="17">
        <f>_xlfn.XLOOKUP($B132,'[1]May-25'!$A:$A,'[1]May-25'!$H:$H,0)</f>
        <v>0</v>
      </c>
      <c r="W132" s="17">
        <f>_xlfn.XLOOKUP($B132,'[1]Jun-25'!$A:$A,'[1]Jun-25'!$H:$H,0)</f>
        <v>0</v>
      </c>
      <c r="X132" s="17">
        <f>_xlfn.XLOOKUP($B132,'[1]Jul-25'!$A:$A,'[1]Jul-25'!$H:$H,0)</f>
        <v>0</v>
      </c>
      <c r="Y132" s="17">
        <f>_xlfn.XLOOKUP($B132,'[1]Aug-25'!$A:$A,'[1]Aug-25'!$H:$H,0)</f>
        <v>0</v>
      </c>
      <c r="Z132" s="17">
        <f>_xlfn.XLOOKUP($B132,'[1]Sep-25'!$A:$A,'[1]Sep-25'!$H:$H,0)</f>
        <v>0</v>
      </c>
      <c r="AA132" s="17">
        <f>_xlfn.XLOOKUP($B132,'[1]Oct-25'!$A:$A,'[1]Oct-25'!$H:$H,0)</f>
        <v>0</v>
      </c>
      <c r="AB132" s="17">
        <f>_xlfn.XLOOKUP($B132,'[1]Nov-25'!$A:$A,'[1]Nov-25'!$H:$H,0)</f>
        <v>0</v>
      </c>
      <c r="AC132" s="17">
        <f>_xlfn.XLOOKUP($B132,'[1]Dec-25'!$A:$A,'[1]Dec-25'!$H:$H,0)</f>
        <v>0</v>
      </c>
      <c r="AD132" s="17">
        <f>_xlfn.XLOOKUP($B132,'[1]Jan-26'!$A:$A,'[1]Jan-26'!$H:$H,0)</f>
        <v>0</v>
      </c>
      <c r="AE132" s="17">
        <f>_xlfn.XLOOKUP($B132,'[1]Feb-26'!$A:$A,'[1]Feb-26'!$H:$H,0)</f>
        <v>0</v>
      </c>
      <c r="AF132" s="17">
        <f>_xlfn.XLOOKUP($B132,'[1]Mar-26'!$A:$A,'[1]Mar-26'!$H:$H,0)</f>
        <v>0</v>
      </c>
      <c r="AG132" s="17">
        <f>_xlfn.XLOOKUP($B132,'[1]Apr-26'!$A:$A,'[1]Apr-26'!$H:$H,0)</f>
        <v>0</v>
      </c>
    </row>
    <row r="133" spans="1:33" x14ac:dyDescent="0.2">
      <c r="A133" s="58">
        <v>12200</v>
      </c>
      <c r="B133" s="56" t="str">
        <f t="shared" si="7"/>
        <v>12200</v>
      </c>
      <c r="C133" s="57" t="s">
        <v>375</v>
      </c>
      <c r="D133" s="57" t="s">
        <v>303</v>
      </c>
      <c r="E133" s="44" t="s">
        <v>205</v>
      </c>
      <c r="F133" s="17">
        <f>_xlfn.XLOOKUP($B133,'[1]Jan-24'!$A:$A,'[1]Jan-24'!$H:$H,0)</f>
        <v>0</v>
      </c>
      <c r="G133" s="17">
        <f>_xlfn.XLOOKUP($B133,'[1]Feb-24'!$A:$A,'[1]Feb-24'!$H:$H,0)</f>
        <v>0</v>
      </c>
      <c r="H133" s="17">
        <f>_xlfn.XLOOKUP($B133,'[1]Mar-24'!$A:$A,'[1]Mar-24'!$H:$H,0)</f>
        <v>0</v>
      </c>
      <c r="I133" s="17">
        <f>_xlfn.XLOOKUP($B133,'[1]Apr-24'!$A:$A,'[1]Apr-24'!$H:$H,0)</f>
        <v>0</v>
      </c>
      <c r="J133" s="17">
        <f>_xlfn.XLOOKUP($B133,'[1]May-24'!$A:$A,'[1]May-24'!$H:$H,0)</f>
        <v>0</v>
      </c>
      <c r="K133" s="17">
        <f>_xlfn.XLOOKUP($B133,'[1]Jun-24'!$A:$A,'[1]Jun-24'!$H:$H,0)</f>
        <v>0</v>
      </c>
      <c r="L133" s="17">
        <f>_xlfn.XLOOKUP($B133,'[1]Jul-24'!$A:$A,'[1]Jul-24'!$H:$H,0)</f>
        <v>0</v>
      </c>
      <c r="M133" s="17">
        <f>_xlfn.XLOOKUP($B133,'[1]Aug-24'!$A:$A,'[1]Aug-24'!$H:$H,0)</f>
        <v>0</v>
      </c>
      <c r="N133" s="17">
        <f>_xlfn.XLOOKUP($B133,'[1]Sep-24'!$A:$A,'[1]Sep-24'!$H:$H,0)</f>
        <v>0</v>
      </c>
      <c r="O133" s="17">
        <f>_xlfn.XLOOKUP($B133,'[1]Oct-24'!$A:$A,'[1]Oct-24'!$H:$H,0)</f>
        <v>0</v>
      </c>
      <c r="P133" s="17">
        <f>_xlfn.XLOOKUP($B133,'[1]Nov-24'!$A:$A,'[1]Nov-24'!$H:$H,0)</f>
        <v>0</v>
      </c>
      <c r="Q133" s="17">
        <f>_xlfn.XLOOKUP($B133,'[1]Dec-24'!$A:$A,'[1]Dec-24'!$H:$H,0)</f>
        <v>0</v>
      </c>
      <c r="R133" s="17">
        <f>_xlfn.XLOOKUP($B133,'[1]Jan-25'!$A:$A,'[1]Jan-25'!$H:$H,0)</f>
        <v>0</v>
      </c>
      <c r="S133" s="17">
        <f>_xlfn.XLOOKUP($B133,'[1]Feb-25'!$A:$A,'[1]Feb-25'!$H:$H,0)</f>
        <v>0</v>
      </c>
      <c r="T133" s="17">
        <f>_xlfn.XLOOKUP($B133,'[1]Mar-25'!$A:$A,'[1]Mar-25'!$H:$H,0)</f>
        <v>0</v>
      </c>
      <c r="U133" s="17">
        <f>_xlfn.XLOOKUP($B133,'[1]Apr-25'!$A:$A,'[1]Apr-25'!$H:$H,0)</f>
        <v>0</v>
      </c>
      <c r="V133" s="17">
        <f>_xlfn.XLOOKUP($B133,'[1]May-25'!$A:$A,'[1]May-25'!$H:$H,0)</f>
        <v>0</v>
      </c>
      <c r="W133" s="17">
        <f>_xlfn.XLOOKUP($B133,'[1]Jun-25'!$A:$A,'[1]Jun-25'!$H:$H,0)</f>
        <v>0</v>
      </c>
      <c r="X133" s="17">
        <f>_xlfn.XLOOKUP($B133,'[1]Jul-25'!$A:$A,'[1]Jul-25'!$H:$H,0)</f>
        <v>0</v>
      </c>
      <c r="Y133" s="17">
        <f>_xlfn.XLOOKUP($B133,'[1]Aug-25'!$A:$A,'[1]Aug-25'!$H:$H,0)</f>
        <v>0</v>
      </c>
      <c r="Z133" s="17">
        <f>_xlfn.XLOOKUP($B133,'[1]Sep-25'!$A:$A,'[1]Sep-25'!$H:$H,0)</f>
        <v>0</v>
      </c>
      <c r="AA133" s="17">
        <f>_xlfn.XLOOKUP($B133,'[1]Oct-25'!$A:$A,'[1]Oct-25'!$H:$H,0)</f>
        <v>0</v>
      </c>
      <c r="AB133" s="17">
        <f>_xlfn.XLOOKUP($B133,'[1]Nov-25'!$A:$A,'[1]Nov-25'!$H:$H,0)</f>
        <v>0</v>
      </c>
      <c r="AC133" s="17">
        <f>_xlfn.XLOOKUP($B133,'[1]Dec-25'!$A:$A,'[1]Dec-25'!$H:$H,0)</f>
        <v>0</v>
      </c>
      <c r="AD133" s="17">
        <f>_xlfn.XLOOKUP($B133,'[1]Jan-26'!$A:$A,'[1]Jan-26'!$H:$H,0)</f>
        <v>0</v>
      </c>
      <c r="AE133" s="17">
        <f>_xlfn.XLOOKUP($B133,'[1]Feb-26'!$A:$A,'[1]Feb-26'!$H:$H,0)</f>
        <v>0</v>
      </c>
      <c r="AF133" s="17">
        <f>_xlfn.XLOOKUP($B133,'[1]Mar-26'!$A:$A,'[1]Mar-26'!$H:$H,0)</f>
        <v>0</v>
      </c>
      <c r="AG133" s="17">
        <f>_xlfn.XLOOKUP($B133,'[1]Apr-26'!$A:$A,'[1]Apr-26'!$H:$H,0)</f>
        <v>0</v>
      </c>
    </row>
    <row r="134" spans="1:33" x14ac:dyDescent="0.2">
      <c r="A134" s="58">
        <v>12300</v>
      </c>
      <c r="B134" s="56" t="str">
        <f t="shared" si="7"/>
        <v>12300</v>
      </c>
      <c r="C134" s="57" t="s">
        <v>375</v>
      </c>
      <c r="D134" s="57" t="s">
        <v>303</v>
      </c>
      <c r="E134" s="44" t="s">
        <v>206</v>
      </c>
      <c r="F134" s="17">
        <f>_xlfn.XLOOKUP($B134,'[1]Jan-24'!$A:$A,'[1]Jan-24'!$H:$H,0)</f>
        <v>0</v>
      </c>
      <c r="G134" s="17">
        <f>_xlfn.XLOOKUP($B134,'[1]Feb-24'!$A:$A,'[1]Feb-24'!$H:$H,0)</f>
        <v>0</v>
      </c>
      <c r="H134" s="17">
        <f>_xlfn.XLOOKUP($B134,'[1]Mar-24'!$A:$A,'[1]Mar-24'!$H:$H,0)</f>
        <v>0</v>
      </c>
      <c r="I134" s="17">
        <f>_xlfn.XLOOKUP($B134,'[1]Apr-24'!$A:$A,'[1]Apr-24'!$H:$H,0)</f>
        <v>0</v>
      </c>
      <c r="J134" s="17">
        <f>_xlfn.XLOOKUP($B134,'[1]May-24'!$A:$A,'[1]May-24'!$H:$H,0)</f>
        <v>0</v>
      </c>
      <c r="K134" s="17">
        <f>_xlfn.XLOOKUP($B134,'[1]Jun-24'!$A:$A,'[1]Jun-24'!$H:$H,0)</f>
        <v>0</v>
      </c>
      <c r="L134" s="17">
        <f>_xlfn.XLOOKUP($B134,'[1]Jul-24'!$A:$A,'[1]Jul-24'!$H:$H,0)</f>
        <v>0</v>
      </c>
      <c r="M134" s="17">
        <f>_xlfn.XLOOKUP($B134,'[1]Aug-24'!$A:$A,'[1]Aug-24'!$H:$H,0)</f>
        <v>0</v>
      </c>
      <c r="N134" s="17">
        <f>_xlfn.XLOOKUP($B134,'[1]Sep-24'!$A:$A,'[1]Sep-24'!$H:$H,0)</f>
        <v>0</v>
      </c>
      <c r="O134" s="17">
        <f>_xlfn.XLOOKUP($B134,'[1]Oct-24'!$A:$A,'[1]Oct-24'!$H:$H,0)</f>
        <v>0</v>
      </c>
      <c r="P134" s="17">
        <f>_xlfn.XLOOKUP($B134,'[1]Nov-24'!$A:$A,'[1]Nov-24'!$H:$H,0)</f>
        <v>0</v>
      </c>
      <c r="Q134" s="17">
        <f>_xlfn.XLOOKUP($B134,'[1]Dec-24'!$A:$A,'[1]Dec-24'!$H:$H,0)</f>
        <v>0</v>
      </c>
      <c r="R134" s="17">
        <f>_xlfn.XLOOKUP($B134,'[1]Jan-25'!$A:$A,'[1]Jan-25'!$H:$H,0)</f>
        <v>0</v>
      </c>
      <c r="S134" s="17">
        <f>_xlfn.XLOOKUP($B134,'[1]Feb-25'!$A:$A,'[1]Feb-25'!$H:$H,0)</f>
        <v>0</v>
      </c>
      <c r="T134" s="17">
        <f>_xlfn.XLOOKUP($B134,'[1]Mar-25'!$A:$A,'[1]Mar-25'!$H:$H,0)</f>
        <v>0</v>
      </c>
      <c r="U134" s="17">
        <f>_xlfn.XLOOKUP($B134,'[1]Apr-25'!$A:$A,'[1]Apr-25'!$H:$H,0)</f>
        <v>0</v>
      </c>
      <c r="V134" s="17">
        <f>_xlfn.XLOOKUP($B134,'[1]May-25'!$A:$A,'[1]May-25'!$H:$H,0)</f>
        <v>0</v>
      </c>
      <c r="W134" s="17">
        <f>_xlfn.XLOOKUP($B134,'[1]Jun-25'!$A:$A,'[1]Jun-25'!$H:$H,0)</f>
        <v>0</v>
      </c>
      <c r="X134" s="17">
        <f>_xlfn.XLOOKUP($B134,'[1]Jul-25'!$A:$A,'[1]Jul-25'!$H:$H,0)</f>
        <v>0</v>
      </c>
      <c r="Y134" s="17">
        <f>_xlfn.XLOOKUP($B134,'[1]Aug-25'!$A:$A,'[1]Aug-25'!$H:$H,0)</f>
        <v>0</v>
      </c>
      <c r="Z134" s="17">
        <f>_xlfn.XLOOKUP($B134,'[1]Sep-25'!$A:$A,'[1]Sep-25'!$H:$H,0)</f>
        <v>0</v>
      </c>
      <c r="AA134" s="17">
        <f>_xlfn.XLOOKUP($B134,'[1]Oct-25'!$A:$A,'[1]Oct-25'!$H:$H,0)</f>
        <v>0</v>
      </c>
      <c r="AB134" s="17">
        <f>_xlfn.XLOOKUP($B134,'[1]Nov-25'!$A:$A,'[1]Nov-25'!$H:$H,0)</f>
        <v>0</v>
      </c>
      <c r="AC134" s="17">
        <f>_xlfn.XLOOKUP($B134,'[1]Dec-25'!$A:$A,'[1]Dec-25'!$H:$H,0)</f>
        <v>0</v>
      </c>
      <c r="AD134" s="17">
        <f>_xlfn.XLOOKUP($B134,'[1]Jan-26'!$A:$A,'[1]Jan-26'!$H:$H,0)</f>
        <v>0</v>
      </c>
      <c r="AE134" s="17">
        <f>_xlfn.XLOOKUP($B134,'[1]Feb-26'!$A:$A,'[1]Feb-26'!$H:$H,0)</f>
        <v>0</v>
      </c>
      <c r="AF134" s="17">
        <f>_xlfn.XLOOKUP($B134,'[1]Mar-26'!$A:$A,'[1]Mar-26'!$H:$H,0)</f>
        <v>0</v>
      </c>
      <c r="AG134" s="17">
        <f>_xlfn.XLOOKUP($B134,'[1]Apr-26'!$A:$A,'[1]Apr-26'!$H:$H,0)</f>
        <v>0</v>
      </c>
    </row>
    <row r="135" spans="1:33" x14ac:dyDescent="0.2">
      <c r="A135" s="58">
        <v>12400</v>
      </c>
      <c r="B135" s="56" t="str">
        <f t="shared" si="7"/>
        <v>12400</v>
      </c>
      <c r="C135" s="57" t="s">
        <v>378</v>
      </c>
      <c r="D135" s="57" t="s">
        <v>303</v>
      </c>
      <c r="E135" s="44" t="s">
        <v>379</v>
      </c>
      <c r="F135" s="17">
        <f>_xlfn.XLOOKUP($B135,'[1]Jan-24'!$A:$A,'[1]Jan-24'!$H:$H,0)</f>
        <v>0</v>
      </c>
      <c r="G135" s="17">
        <f>_xlfn.XLOOKUP($B135,'[1]Feb-24'!$A:$A,'[1]Feb-24'!$H:$H,0)</f>
        <v>0</v>
      </c>
      <c r="H135" s="17">
        <f>_xlfn.XLOOKUP($B135,'[1]Mar-24'!$A:$A,'[1]Mar-24'!$H:$H,0)</f>
        <v>0</v>
      </c>
      <c r="I135" s="17">
        <f>_xlfn.XLOOKUP($B135,'[1]Apr-24'!$A:$A,'[1]Apr-24'!$H:$H,0)</f>
        <v>0</v>
      </c>
      <c r="J135" s="17">
        <f>_xlfn.XLOOKUP($B135,'[1]May-24'!$A:$A,'[1]May-24'!$H:$H,0)</f>
        <v>0</v>
      </c>
      <c r="K135" s="17">
        <f>_xlfn.XLOOKUP($B135,'[1]Jun-24'!$A:$A,'[1]Jun-24'!$H:$H,0)</f>
        <v>0</v>
      </c>
      <c r="L135" s="17">
        <f>_xlfn.XLOOKUP($B135,'[1]Jul-24'!$A:$A,'[1]Jul-24'!$H:$H,0)</f>
        <v>0</v>
      </c>
      <c r="M135" s="17">
        <f>_xlfn.XLOOKUP($B135,'[1]Aug-24'!$A:$A,'[1]Aug-24'!$H:$H,0)</f>
        <v>0</v>
      </c>
      <c r="N135" s="17">
        <f>_xlfn.XLOOKUP($B135,'[1]Sep-24'!$A:$A,'[1]Sep-24'!$H:$H,0)</f>
        <v>0</v>
      </c>
      <c r="O135" s="17">
        <f>_xlfn.XLOOKUP($B135,'[1]Oct-24'!$A:$A,'[1]Oct-24'!$H:$H,0)</f>
        <v>0</v>
      </c>
      <c r="P135" s="17">
        <f>_xlfn.XLOOKUP($B135,'[1]Nov-24'!$A:$A,'[1]Nov-24'!$H:$H,0)</f>
        <v>0</v>
      </c>
      <c r="Q135" s="17">
        <f>_xlfn.XLOOKUP($B135,'[1]Dec-24'!$A:$A,'[1]Dec-24'!$H:$H,0)</f>
        <v>0</v>
      </c>
      <c r="R135" s="17">
        <f>_xlfn.XLOOKUP($B135,'[1]Jan-25'!$A:$A,'[1]Jan-25'!$H:$H,0)</f>
        <v>0</v>
      </c>
      <c r="S135" s="17">
        <f>_xlfn.XLOOKUP($B135,'[1]Feb-25'!$A:$A,'[1]Feb-25'!$H:$H,0)</f>
        <v>0</v>
      </c>
      <c r="T135" s="17">
        <f>_xlfn.XLOOKUP($B135,'[1]Mar-25'!$A:$A,'[1]Mar-25'!$H:$H,0)</f>
        <v>0</v>
      </c>
      <c r="U135" s="17">
        <f>_xlfn.XLOOKUP($B135,'[1]Apr-25'!$A:$A,'[1]Apr-25'!$H:$H,0)</f>
        <v>0</v>
      </c>
      <c r="V135" s="17">
        <f>_xlfn.XLOOKUP($B135,'[1]May-25'!$A:$A,'[1]May-25'!$H:$H,0)</f>
        <v>0</v>
      </c>
      <c r="W135" s="17">
        <f>_xlfn.XLOOKUP($B135,'[1]Jun-25'!$A:$A,'[1]Jun-25'!$H:$H,0)</f>
        <v>0</v>
      </c>
      <c r="X135" s="17">
        <f>_xlfn.XLOOKUP($B135,'[1]Jul-25'!$A:$A,'[1]Jul-25'!$H:$H,0)</f>
        <v>0</v>
      </c>
      <c r="Y135" s="17">
        <f>_xlfn.XLOOKUP($B135,'[1]Aug-25'!$A:$A,'[1]Aug-25'!$H:$H,0)</f>
        <v>0</v>
      </c>
      <c r="Z135" s="17">
        <f>_xlfn.XLOOKUP($B135,'[1]Sep-25'!$A:$A,'[1]Sep-25'!$H:$H,0)</f>
        <v>0</v>
      </c>
      <c r="AA135" s="17">
        <f>_xlfn.XLOOKUP($B135,'[1]Oct-25'!$A:$A,'[1]Oct-25'!$H:$H,0)</f>
        <v>0</v>
      </c>
      <c r="AB135" s="17">
        <f>_xlfn.XLOOKUP($B135,'[1]Nov-25'!$A:$A,'[1]Nov-25'!$H:$H,0)</f>
        <v>0</v>
      </c>
      <c r="AC135" s="17">
        <f>_xlfn.XLOOKUP($B135,'[1]Dec-25'!$A:$A,'[1]Dec-25'!$H:$H,0)</f>
        <v>0</v>
      </c>
      <c r="AD135" s="17">
        <f>_xlfn.XLOOKUP($B135,'[1]Jan-26'!$A:$A,'[1]Jan-26'!$H:$H,0)</f>
        <v>0</v>
      </c>
      <c r="AE135" s="17">
        <f>_xlfn.XLOOKUP($B135,'[1]Feb-26'!$A:$A,'[1]Feb-26'!$H:$H,0)</f>
        <v>0</v>
      </c>
      <c r="AF135" s="17">
        <f>_xlfn.XLOOKUP($B135,'[1]Mar-26'!$A:$A,'[1]Mar-26'!$H:$H,0)</f>
        <v>0</v>
      </c>
      <c r="AG135" s="17">
        <f>_xlfn.XLOOKUP($B135,'[1]Apr-26'!$A:$A,'[1]Apr-26'!$H:$H,0)</f>
        <v>0</v>
      </c>
    </row>
    <row r="136" spans="1:33" x14ac:dyDescent="0.2">
      <c r="A136" s="58">
        <v>13000</v>
      </c>
      <c r="B136" s="56" t="str">
        <f t="shared" si="7"/>
        <v>13000</v>
      </c>
      <c r="C136" s="57" t="s">
        <v>371</v>
      </c>
      <c r="D136" s="57" t="s">
        <v>303</v>
      </c>
      <c r="E136" s="44" t="s">
        <v>380</v>
      </c>
      <c r="F136" s="17">
        <f>_xlfn.XLOOKUP($B136,'[1]Jan-24'!$A:$A,'[1]Jan-24'!$H:$H,0)</f>
        <v>0</v>
      </c>
      <c r="G136" s="17">
        <f>_xlfn.XLOOKUP($B136,'[1]Feb-24'!$A:$A,'[1]Feb-24'!$H:$H,0)</f>
        <v>0</v>
      </c>
      <c r="H136" s="17">
        <f>_xlfn.XLOOKUP($B136,'[1]Mar-24'!$A:$A,'[1]Mar-24'!$H:$H,0)</f>
        <v>0</v>
      </c>
      <c r="I136" s="17">
        <f>_xlfn.XLOOKUP($B136,'[1]Apr-24'!$A:$A,'[1]Apr-24'!$H:$H,0)</f>
        <v>0</v>
      </c>
      <c r="J136" s="17">
        <f>_xlfn.XLOOKUP($B136,'[1]May-24'!$A:$A,'[1]May-24'!$H:$H,0)</f>
        <v>0</v>
      </c>
      <c r="K136" s="17">
        <f>_xlfn.XLOOKUP($B136,'[1]Jun-24'!$A:$A,'[1]Jun-24'!$H:$H,0)</f>
        <v>0</v>
      </c>
      <c r="L136" s="17">
        <f>_xlfn.XLOOKUP($B136,'[1]Jul-24'!$A:$A,'[1]Jul-24'!$H:$H,0)</f>
        <v>0</v>
      </c>
      <c r="M136" s="17">
        <f>_xlfn.XLOOKUP($B136,'[1]Aug-24'!$A:$A,'[1]Aug-24'!$H:$H,0)</f>
        <v>0</v>
      </c>
      <c r="N136" s="17">
        <f>_xlfn.XLOOKUP($B136,'[1]Sep-24'!$A:$A,'[1]Sep-24'!$H:$H,0)</f>
        <v>0</v>
      </c>
      <c r="O136" s="17">
        <f>_xlfn.XLOOKUP($B136,'[1]Oct-24'!$A:$A,'[1]Oct-24'!$H:$H,0)</f>
        <v>0</v>
      </c>
      <c r="P136" s="17">
        <f>_xlfn.XLOOKUP($B136,'[1]Nov-24'!$A:$A,'[1]Nov-24'!$H:$H,0)</f>
        <v>0</v>
      </c>
      <c r="Q136" s="17">
        <f>_xlfn.XLOOKUP($B136,'[1]Dec-24'!$A:$A,'[1]Dec-24'!$H:$H,0)</f>
        <v>0</v>
      </c>
      <c r="R136" s="17">
        <f>_xlfn.XLOOKUP($B136,'[1]Jan-25'!$A:$A,'[1]Jan-25'!$H:$H,0)</f>
        <v>0</v>
      </c>
      <c r="S136" s="17">
        <f>_xlfn.XLOOKUP($B136,'[1]Feb-25'!$A:$A,'[1]Feb-25'!$H:$H,0)</f>
        <v>0</v>
      </c>
      <c r="T136" s="17">
        <f>_xlfn.XLOOKUP($B136,'[1]Mar-25'!$A:$A,'[1]Mar-25'!$H:$H,0)</f>
        <v>0</v>
      </c>
      <c r="U136" s="17">
        <f>_xlfn.XLOOKUP($B136,'[1]Apr-25'!$A:$A,'[1]Apr-25'!$H:$H,0)</f>
        <v>0</v>
      </c>
      <c r="V136" s="17">
        <f>_xlfn.XLOOKUP($B136,'[1]May-25'!$A:$A,'[1]May-25'!$H:$H,0)</f>
        <v>0</v>
      </c>
      <c r="W136" s="17">
        <f>_xlfn.XLOOKUP($B136,'[1]Jun-25'!$A:$A,'[1]Jun-25'!$H:$H,0)</f>
        <v>0</v>
      </c>
      <c r="X136" s="17">
        <f>_xlfn.XLOOKUP($B136,'[1]Jul-25'!$A:$A,'[1]Jul-25'!$H:$H,0)</f>
        <v>0</v>
      </c>
      <c r="Y136" s="17">
        <f>_xlfn.XLOOKUP($B136,'[1]Aug-25'!$A:$A,'[1]Aug-25'!$H:$H,0)</f>
        <v>0</v>
      </c>
      <c r="Z136" s="17">
        <f>_xlfn.XLOOKUP($B136,'[1]Sep-25'!$A:$A,'[1]Sep-25'!$H:$H,0)</f>
        <v>0</v>
      </c>
      <c r="AA136" s="17">
        <f>_xlfn.XLOOKUP($B136,'[1]Oct-25'!$A:$A,'[1]Oct-25'!$H:$H,0)</f>
        <v>0</v>
      </c>
      <c r="AB136" s="17">
        <f>_xlfn.XLOOKUP($B136,'[1]Nov-25'!$A:$A,'[1]Nov-25'!$H:$H,0)</f>
        <v>0</v>
      </c>
      <c r="AC136" s="17">
        <f>_xlfn.XLOOKUP($B136,'[1]Dec-25'!$A:$A,'[1]Dec-25'!$H:$H,0)</f>
        <v>0</v>
      </c>
      <c r="AD136" s="17">
        <f>_xlfn.XLOOKUP($B136,'[1]Jan-26'!$A:$A,'[1]Jan-26'!$H:$H,0)</f>
        <v>0</v>
      </c>
      <c r="AE136" s="17">
        <f>_xlfn.XLOOKUP($B136,'[1]Feb-26'!$A:$A,'[1]Feb-26'!$H:$H,0)</f>
        <v>0</v>
      </c>
      <c r="AF136" s="17">
        <f>_xlfn.XLOOKUP($B136,'[1]Mar-26'!$A:$A,'[1]Mar-26'!$H:$H,0)</f>
        <v>0</v>
      </c>
      <c r="AG136" s="17">
        <f>_xlfn.XLOOKUP($B136,'[1]Apr-26'!$A:$A,'[1]Apr-26'!$H:$H,0)</f>
        <v>0</v>
      </c>
    </row>
    <row r="137" spans="1:33" x14ac:dyDescent="0.2">
      <c r="A137" s="58">
        <v>13001</v>
      </c>
      <c r="B137" s="56" t="str">
        <f t="shared" si="7"/>
        <v>13001</v>
      </c>
      <c r="C137" s="57" t="s">
        <v>371</v>
      </c>
      <c r="D137" s="57" t="s">
        <v>303</v>
      </c>
      <c r="E137" s="44" t="s">
        <v>381</v>
      </c>
      <c r="F137" s="17">
        <f>_xlfn.XLOOKUP($B137,'[1]Jan-24'!$A:$A,'[1]Jan-24'!$H:$H,0)</f>
        <v>0</v>
      </c>
      <c r="G137" s="17">
        <f>_xlfn.XLOOKUP($B137,'[1]Feb-24'!$A:$A,'[1]Feb-24'!$H:$H,0)</f>
        <v>0</v>
      </c>
      <c r="H137" s="17">
        <f>_xlfn.XLOOKUP($B137,'[1]Mar-24'!$A:$A,'[1]Mar-24'!$H:$H,0)</f>
        <v>0</v>
      </c>
      <c r="I137" s="17">
        <f>_xlfn.XLOOKUP($B137,'[1]Apr-24'!$A:$A,'[1]Apr-24'!$H:$H,0)</f>
        <v>0</v>
      </c>
      <c r="J137" s="17">
        <f>_xlfn.XLOOKUP($B137,'[1]May-24'!$A:$A,'[1]May-24'!$H:$H,0)</f>
        <v>0</v>
      </c>
      <c r="K137" s="17">
        <f>_xlfn.XLOOKUP($B137,'[1]Jun-24'!$A:$A,'[1]Jun-24'!$H:$H,0)</f>
        <v>0</v>
      </c>
      <c r="L137" s="17">
        <f>_xlfn.XLOOKUP($B137,'[1]Jul-24'!$A:$A,'[1]Jul-24'!$H:$H,0)</f>
        <v>0</v>
      </c>
      <c r="M137" s="17">
        <f>_xlfn.XLOOKUP($B137,'[1]Aug-24'!$A:$A,'[1]Aug-24'!$H:$H,0)</f>
        <v>0</v>
      </c>
      <c r="N137" s="17">
        <f>_xlfn.XLOOKUP($B137,'[1]Sep-24'!$A:$A,'[1]Sep-24'!$H:$H,0)</f>
        <v>0</v>
      </c>
      <c r="O137" s="17">
        <f>_xlfn.XLOOKUP($B137,'[1]Oct-24'!$A:$A,'[1]Oct-24'!$H:$H,0)</f>
        <v>0</v>
      </c>
      <c r="P137" s="17">
        <f>_xlfn.XLOOKUP($B137,'[1]Nov-24'!$A:$A,'[1]Nov-24'!$H:$H,0)</f>
        <v>0</v>
      </c>
      <c r="Q137" s="17">
        <f>_xlfn.XLOOKUP($B137,'[1]Dec-24'!$A:$A,'[1]Dec-24'!$H:$H,0)</f>
        <v>0</v>
      </c>
      <c r="R137" s="17">
        <f>_xlfn.XLOOKUP($B137,'[1]Jan-25'!$A:$A,'[1]Jan-25'!$H:$H,0)</f>
        <v>0</v>
      </c>
      <c r="S137" s="17">
        <f>_xlfn.XLOOKUP($B137,'[1]Feb-25'!$A:$A,'[1]Feb-25'!$H:$H,0)</f>
        <v>0</v>
      </c>
      <c r="T137" s="17">
        <f>_xlfn.XLOOKUP($B137,'[1]Mar-25'!$A:$A,'[1]Mar-25'!$H:$H,0)</f>
        <v>0</v>
      </c>
      <c r="U137" s="17">
        <f>_xlfn.XLOOKUP($B137,'[1]Apr-25'!$A:$A,'[1]Apr-25'!$H:$H,0)</f>
        <v>0</v>
      </c>
      <c r="V137" s="17">
        <f>_xlfn.XLOOKUP($B137,'[1]May-25'!$A:$A,'[1]May-25'!$H:$H,0)</f>
        <v>0</v>
      </c>
      <c r="W137" s="17">
        <f>_xlfn.XLOOKUP($B137,'[1]Jun-25'!$A:$A,'[1]Jun-25'!$H:$H,0)</f>
        <v>0</v>
      </c>
      <c r="X137" s="17">
        <f>_xlfn.XLOOKUP($B137,'[1]Jul-25'!$A:$A,'[1]Jul-25'!$H:$H,0)</f>
        <v>0</v>
      </c>
      <c r="Y137" s="17">
        <f>_xlfn.XLOOKUP($B137,'[1]Aug-25'!$A:$A,'[1]Aug-25'!$H:$H,0)</f>
        <v>0</v>
      </c>
      <c r="Z137" s="17">
        <f>_xlfn.XLOOKUP($B137,'[1]Sep-25'!$A:$A,'[1]Sep-25'!$H:$H,0)</f>
        <v>0</v>
      </c>
      <c r="AA137" s="17">
        <f>_xlfn.XLOOKUP($B137,'[1]Oct-25'!$A:$A,'[1]Oct-25'!$H:$H,0)</f>
        <v>0</v>
      </c>
      <c r="AB137" s="17">
        <f>_xlfn.XLOOKUP($B137,'[1]Nov-25'!$A:$A,'[1]Nov-25'!$H:$H,0)</f>
        <v>0</v>
      </c>
      <c r="AC137" s="17">
        <f>_xlfn.XLOOKUP($B137,'[1]Dec-25'!$A:$A,'[1]Dec-25'!$H:$H,0)</f>
        <v>0</v>
      </c>
      <c r="AD137" s="17">
        <f>_xlfn.XLOOKUP($B137,'[1]Jan-26'!$A:$A,'[1]Jan-26'!$H:$H,0)</f>
        <v>0</v>
      </c>
      <c r="AE137" s="17">
        <f>_xlfn.XLOOKUP($B137,'[1]Feb-26'!$A:$A,'[1]Feb-26'!$H:$H,0)</f>
        <v>0</v>
      </c>
      <c r="AF137" s="17">
        <f>_xlfn.XLOOKUP($B137,'[1]Mar-26'!$A:$A,'[1]Mar-26'!$H:$H,0)</f>
        <v>0</v>
      </c>
      <c r="AG137" s="17">
        <f>_xlfn.XLOOKUP($B137,'[1]Apr-26'!$A:$A,'[1]Apr-26'!$H:$H,0)</f>
        <v>0</v>
      </c>
    </row>
    <row r="138" spans="1:33" x14ac:dyDescent="0.2">
      <c r="A138" s="58">
        <v>13002</v>
      </c>
      <c r="B138" s="56" t="str">
        <f t="shared" si="7"/>
        <v>13002</v>
      </c>
      <c r="C138" s="57" t="s">
        <v>371</v>
      </c>
      <c r="D138" s="57" t="s">
        <v>303</v>
      </c>
      <c r="E138" s="44" t="s">
        <v>215</v>
      </c>
      <c r="F138" s="17">
        <f>_xlfn.XLOOKUP($B138,'[1]Jan-24'!$A:$A,'[1]Jan-24'!$H:$H,0)</f>
        <v>1440000</v>
      </c>
      <c r="G138" s="17">
        <f>_xlfn.XLOOKUP($B138,'[1]Feb-24'!$A:$A,'[1]Feb-24'!$H:$H,0)</f>
        <v>1440000</v>
      </c>
      <c r="H138" s="17">
        <f>_xlfn.XLOOKUP($B138,'[1]Mar-24'!$A:$A,'[1]Mar-24'!$H:$H,0)</f>
        <v>1440000</v>
      </c>
      <c r="I138" s="17">
        <f>_xlfn.XLOOKUP($B138,'[1]Apr-24'!$A:$A,'[1]Apr-24'!$H:$H,0)</f>
        <v>1440000</v>
      </c>
      <c r="J138" s="17">
        <f>_xlfn.XLOOKUP($B138,'[1]May-24'!$A:$A,'[1]May-24'!$H:$H,0)</f>
        <v>1440000</v>
      </c>
      <c r="K138" s="17">
        <f>_xlfn.XLOOKUP($B138,'[1]Jun-24'!$A:$A,'[1]Jun-24'!$H:$H,0)</f>
        <v>1440000</v>
      </c>
      <c r="L138" s="17">
        <f>_xlfn.XLOOKUP($B138,'[1]Jul-24'!$A:$A,'[1]Jul-24'!$H:$H,0)</f>
        <v>1440000</v>
      </c>
      <c r="M138" s="17">
        <f>_xlfn.XLOOKUP($B138,'[1]Aug-24'!$A:$A,'[1]Aug-24'!$H:$H,0)</f>
        <v>1440000</v>
      </c>
      <c r="N138" s="17">
        <f>_xlfn.XLOOKUP($B138,'[1]Sep-24'!$A:$A,'[1]Sep-24'!$H:$H,0)</f>
        <v>1440000</v>
      </c>
      <c r="O138" s="17">
        <f>_xlfn.XLOOKUP($B138,'[1]Oct-24'!$A:$A,'[1]Oct-24'!$H:$H,0)</f>
        <v>1440000</v>
      </c>
      <c r="P138" s="17">
        <f>_xlfn.XLOOKUP($B138,'[1]Nov-24'!$A:$A,'[1]Nov-24'!$H:$H,0)</f>
        <v>1440000</v>
      </c>
      <c r="Q138" s="17">
        <f>_xlfn.XLOOKUP($B138,'[1]Dec-24'!$A:$A,'[1]Dec-24'!$H:$H,0)</f>
        <v>1440000</v>
      </c>
      <c r="R138" s="17">
        <f>_xlfn.XLOOKUP($B138,'[1]Jan-25'!$A:$A,'[1]Jan-25'!$H:$H,0)</f>
        <v>1440000</v>
      </c>
      <c r="S138" s="17">
        <f>_xlfn.XLOOKUP($B138,'[1]Feb-25'!$A:$A,'[1]Feb-25'!$H:$H,0)</f>
        <v>1440000</v>
      </c>
      <c r="T138" s="17">
        <f>_xlfn.XLOOKUP($B138,'[1]Mar-25'!$A:$A,'[1]Mar-25'!$H:$H,0)</f>
        <v>1440000</v>
      </c>
      <c r="U138" s="17">
        <f>_xlfn.XLOOKUP($B138,'[1]Apr-25'!$A:$A,'[1]Apr-25'!$H:$H,0)</f>
        <v>1440000</v>
      </c>
      <c r="V138" s="17">
        <f>_xlfn.XLOOKUP($B138,'[1]May-25'!$A:$A,'[1]May-25'!$H:$H,0)</f>
        <v>1440000</v>
      </c>
      <c r="W138" s="17">
        <f>_xlfn.XLOOKUP($B138,'[1]Jun-25'!$A:$A,'[1]Jun-25'!$H:$H,0)</f>
        <v>1440000</v>
      </c>
      <c r="X138" s="17">
        <f>_xlfn.XLOOKUP($B138,'[1]Jul-25'!$A:$A,'[1]Jul-25'!$H:$H,0)</f>
        <v>1440000</v>
      </c>
      <c r="Y138" s="17">
        <f>_xlfn.XLOOKUP($B138,'[1]Aug-25'!$A:$A,'[1]Aug-25'!$H:$H,0)</f>
        <v>1540000</v>
      </c>
      <c r="Z138" s="17">
        <f>_xlfn.XLOOKUP($B138,'[1]Sep-25'!$A:$A,'[1]Sep-25'!$H:$H,0)</f>
        <v>1440000</v>
      </c>
      <c r="AA138" s="17">
        <f>_xlfn.XLOOKUP($B138,'[1]Oct-25'!$A:$A,'[1]Oct-25'!$H:$H,0)</f>
        <v>1440000</v>
      </c>
      <c r="AB138" s="17">
        <f>_xlfn.XLOOKUP($B138,'[1]Nov-25'!$A:$A,'[1]Nov-25'!$H:$H,0)</f>
        <v>1440000</v>
      </c>
      <c r="AC138" s="17">
        <f>_xlfn.XLOOKUP($B138,'[1]Dec-25'!$A:$A,'[1]Dec-25'!$H:$H,0)</f>
        <v>1440000</v>
      </c>
      <c r="AD138" s="17">
        <f>_xlfn.XLOOKUP($B138,'[1]Jan-26'!$A:$A,'[1]Jan-26'!$H:$H,0)</f>
        <v>1440000</v>
      </c>
      <c r="AE138" s="17">
        <f>_xlfn.XLOOKUP($B138,'[1]Feb-26'!$A:$A,'[1]Feb-26'!$H:$H,0)</f>
        <v>1440000</v>
      </c>
      <c r="AF138" s="17">
        <f>_xlfn.XLOOKUP($B138,'[1]Mar-26'!$A:$A,'[1]Mar-26'!$H:$H,0)</f>
        <v>1440000</v>
      </c>
      <c r="AG138" s="17">
        <f>_xlfn.XLOOKUP($B138,'[1]Apr-26'!$A:$A,'[1]Apr-26'!$H:$H,0)</f>
        <v>1440000</v>
      </c>
    </row>
    <row r="139" spans="1:33" x14ac:dyDescent="0.2">
      <c r="A139" s="58">
        <v>13003</v>
      </c>
      <c r="B139" s="56" t="str">
        <f t="shared" ref="B139:B202" si="8">TEXT(A139,"00000")</f>
        <v>13003</v>
      </c>
      <c r="C139" s="57" t="s">
        <v>302</v>
      </c>
      <c r="D139" s="57" t="s">
        <v>303</v>
      </c>
      <c r="E139" s="44" t="s">
        <v>191</v>
      </c>
      <c r="F139" s="17">
        <f>_xlfn.XLOOKUP($B139,'[1]Jan-24'!$A:$A,'[1]Jan-24'!$H:$H,0)</f>
        <v>5163400</v>
      </c>
      <c r="G139" s="17">
        <f>_xlfn.XLOOKUP($B139,'[1]Feb-24'!$A:$A,'[1]Feb-24'!$H:$H,0)</f>
        <v>5163400</v>
      </c>
      <c r="H139" s="17">
        <f>_xlfn.XLOOKUP($B139,'[1]Mar-24'!$A:$A,'[1]Mar-24'!$H:$H,0)</f>
        <v>5163400</v>
      </c>
      <c r="I139" s="17">
        <f>_xlfn.XLOOKUP($B139,'[1]Apr-24'!$A:$A,'[1]Apr-24'!$H:$H,0)</f>
        <v>5967808.5700000003</v>
      </c>
      <c r="J139" s="17">
        <f>_xlfn.XLOOKUP($B139,'[1]May-24'!$A:$A,'[1]May-24'!$H:$H,0)</f>
        <v>152278565.88</v>
      </c>
      <c r="K139" s="17">
        <f>_xlfn.XLOOKUP($B139,'[1]Jun-24'!$A:$A,'[1]Jun-24'!$H:$H,0)</f>
        <v>166762511.16</v>
      </c>
      <c r="L139" s="17">
        <f>_xlfn.XLOOKUP($B139,'[1]Jul-24'!$A:$A,'[1]Jul-24'!$H:$H,0)</f>
        <v>167380062.44</v>
      </c>
      <c r="M139" s="17">
        <f>_xlfn.XLOOKUP($B139,'[1]Aug-24'!$A:$A,'[1]Aug-24'!$H:$H,0)</f>
        <v>166174096.34</v>
      </c>
      <c r="N139" s="17">
        <f>_xlfn.XLOOKUP($B139,'[1]Sep-24'!$A:$A,'[1]Sep-24'!$H:$H,0)</f>
        <v>241900389.28999999</v>
      </c>
      <c r="O139" s="17">
        <f>_xlfn.XLOOKUP($B139,'[1]Oct-24'!$A:$A,'[1]Oct-24'!$H:$H,0)</f>
        <v>245689217.77000001</v>
      </c>
      <c r="P139" s="17">
        <f>_xlfn.XLOOKUP($B139,'[1]Nov-24'!$A:$A,'[1]Nov-24'!$H:$H,0)</f>
        <v>446530045.44</v>
      </c>
      <c r="Q139" s="17">
        <f>_xlfn.XLOOKUP($B139,'[1]Dec-24'!$A:$A,'[1]Dec-24'!$H:$H,0)</f>
        <v>454454462.16000003</v>
      </c>
      <c r="R139" s="17">
        <f>_xlfn.XLOOKUP($B139,'[1]Jan-25'!$A:$A,'[1]Jan-25'!$H:$H,0)</f>
        <v>462702014.01999998</v>
      </c>
      <c r="S139" s="17">
        <f>_xlfn.XLOOKUP($B139,'[1]Feb-25'!$A:$A,'[1]Feb-25'!$H:$H,0)</f>
        <v>258059954.34999999</v>
      </c>
      <c r="T139" s="17">
        <f>_xlfn.XLOOKUP($B139,'[1]Mar-25'!$A:$A,'[1]Mar-25'!$H:$H,0)</f>
        <v>262326003.61000001</v>
      </c>
      <c r="U139" s="17">
        <f>_xlfn.XLOOKUP($B139,'[1]Apr-25'!$A:$A,'[1]Apr-25'!$H:$H,0)</f>
        <v>266261432.21000001</v>
      </c>
      <c r="V139" s="17">
        <f>_xlfn.XLOOKUP($B139,'[1]May-25'!$A:$A,'[1]May-25'!$H:$H,0)</f>
        <v>140077509.49000001</v>
      </c>
      <c r="W139" s="17">
        <f>_xlfn.XLOOKUP($B139,'[1]Jun-25'!$A:$A,'[1]Jun-25'!$H:$H,0)</f>
        <v>141740079.49000001</v>
      </c>
      <c r="X139" s="17">
        <f>_xlfn.XLOOKUP($B139,'[1]Jul-25'!$A:$A,'[1]Jul-25'!$H:$H,0)</f>
        <v>136300367.16999999</v>
      </c>
      <c r="Y139" s="17">
        <f>_xlfn.XLOOKUP($B139,'[1]Aug-25'!$A:$A,'[1]Aug-25'!$H:$H,0)</f>
        <v>112644149.51000001</v>
      </c>
      <c r="Z139" s="17">
        <f>_xlfn.XLOOKUP($B139,'[1]Sep-25'!$A:$A,'[1]Sep-25'!$H:$H,0)</f>
        <v>114426553.89</v>
      </c>
      <c r="AA139" s="17">
        <f>_xlfn.XLOOKUP($B139,'[1]Oct-25'!$A:$A,'[1]Oct-25'!$H:$H,0)</f>
        <v>368729112.16000003</v>
      </c>
      <c r="AB139" s="17">
        <f>_xlfn.XLOOKUP($B139,'[1]Nov-25'!$A:$A,'[1]Nov-25'!$H:$H,0)</f>
        <v>373940066.38999999</v>
      </c>
      <c r="AC139" s="17">
        <f>_xlfn.XLOOKUP($B139,'[1]Dec-25'!$A:$A,'[1]Dec-25'!$H:$H,0)</f>
        <v>127042724.55</v>
      </c>
      <c r="AD139" s="17">
        <f>_xlfn.XLOOKUP($B139,'[1]Jan-26'!$A:$A,'[1]Jan-26'!$H:$H,0)</f>
        <v>128672575.05</v>
      </c>
      <c r="AE139" s="17">
        <f>_xlfn.XLOOKUP($B139,'[1]Feb-26'!$A:$A,'[1]Feb-26'!$H:$H,0)</f>
        <v>13112691.93</v>
      </c>
      <c r="AF139" s="17">
        <f>_xlfn.XLOOKUP($B139,'[1]Mar-26'!$A:$A,'[1]Mar-26'!$H:$H,0)</f>
        <v>116622885.93000001</v>
      </c>
      <c r="AG139" s="17">
        <f>_xlfn.XLOOKUP($B139,'[1]Apr-26'!$A:$A,'[1]Apr-26'!$H:$H,0)</f>
        <v>17785993.859999999</v>
      </c>
    </row>
    <row r="140" spans="1:33" x14ac:dyDescent="0.2">
      <c r="A140" s="58">
        <v>13004</v>
      </c>
      <c r="B140" s="56" t="str">
        <f t="shared" si="8"/>
        <v>13004</v>
      </c>
      <c r="C140" s="57" t="s">
        <v>382</v>
      </c>
      <c r="D140" s="57" t="s">
        <v>303</v>
      </c>
      <c r="E140" s="44" t="s">
        <v>39</v>
      </c>
      <c r="F140" s="17">
        <f>_xlfn.XLOOKUP($B140,'[1]Jan-24'!$A:$A,'[1]Jan-24'!$H:$H,0)</f>
        <v>49500.4</v>
      </c>
      <c r="G140" s="17">
        <f>_xlfn.XLOOKUP($B140,'[1]Feb-24'!$A:$A,'[1]Feb-24'!$H:$H,0)</f>
        <v>2271850.4</v>
      </c>
      <c r="H140" s="17">
        <f>_xlfn.XLOOKUP($B140,'[1]Mar-24'!$A:$A,'[1]Mar-24'!$H:$H,0)</f>
        <v>326935.40000000002</v>
      </c>
      <c r="I140" s="17">
        <f>_xlfn.XLOOKUP($B140,'[1]Apr-24'!$A:$A,'[1]Apr-24'!$H:$H,0)</f>
        <v>1275951.47</v>
      </c>
      <c r="J140" s="17">
        <f>_xlfn.XLOOKUP($B140,'[1]May-24'!$A:$A,'[1]May-24'!$H:$H,0)</f>
        <v>13907181.300000001</v>
      </c>
      <c r="K140" s="17">
        <f>_xlfn.XLOOKUP($B140,'[1]Jun-24'!$A:$A,'[1]Jun-24'!$H:$H,0)</f>
        <v>3572489.35</v>
      </c>
      <c r="L140" s="17">
        <f>_xlfn.XLOOKUP($B140,'[1]Jul-24'!$A:$A,'[1]Jul-24'!$H:$H,0)</f>
        <v>4016143.03</v>
      </c>
      <c r="M140" s="17">
        <f>_xlfn.XLOOKUP($B140,'[1]Aug-24'!$A:$A,'[1]Aug-24'!$H:$H,0)</f>
        <v>7014445</v>
      </c>
      <c r="N140" s="17">
        <f>_xlfn.XLOOKUP($B140,'[1]Sep-24'!$A:$A,'[1]Sep-24'!$H:$H,0)</f>
        <v>345714.9</v>
      </c>
      <c r="O140" s="17">
        <f>_xlfn.XLOOKUP($B140,'[1]Oct-24'!$A:$A,'[1]Oct-24'!$H:$H,0)</f>
        <v>9045220.8300000001</v>
      </c>
      <c r="P140" s="17">
        <f>_xlfn.XLOOKUP($B140,'[1]Nov-24'!$A:$A,'[1]Nov-24'!$H:$H,0)</f>
        <v>194390.73</v>
      </c>
      <c r="Q140" s="17">
        <f>_xlfn.XLOOKUP($B140,'[1]Dec-24'!$A:$A,'[1]Dec-24'!$H:$H,0)</f>
        <v>2660413.5099999998</v>
      </c>
      <c r="R140" s="17">
        <f>_xlfn.XLOOKUP($B140,'[1]Jan-25'!$A:$A,'[1]Jan-25'!$H:$H,0)</f>
        <v>2711256.75</v>
      </c>
      <c r="S140" s="17">
        <f>_xlfn.XLOOKUP($B140,'[1]Feb-25'!$A:$A,'[1]Feb-25'!$H:$H,0)</f>
        <v>5351146</v>
      </c>
      <c r="T140" s="17">
        <f>_xlfn.XLOOKUP($B140,'[1]Mar-25'!$A:$A,'[1]Mar-25'!$H:$H,0)</f>
        <v>2377547.19</v>
      </c>
      <c r="U140" s="17">
        <f>_xlfn.XLOOKUP($B140,'[1]Apr-25'!$A:$A,'[1]Apr-25'!$H:$H,0)</f>
        <v>2525317.1800000002</v>
      </c>
      <c r="V140" s="17">
        <f>_xlfn.XLOOKUP($B140,'[1]May-25'!$A:$A,'[1]May-25'!$H:$H,0)</f>
        <v>5971230.6799999997</v>
      </c>
      <c r="W140" s="17">
        <f>_xlfn.XLOOKUP($B140,'[1]Jun-25'!$A:$A,'[1]Jun-25'!$H:$H,0)</f>
        <v>2537992</v>
      </c>
      <c r="X140" s="17">
        <f>_xlfn.XLOOKUP($B140,'[1]Jul-25'!$A:$A,'[1]Jul-25'!$H:$H,0)</f>
        <v>4880721.05</v>
      </c>
      <c r="Y140" s="17">
        <f>_xlfn.XLOOKUP($B140,'[1]Aug-25'!$A:$A,'[1]Aug-25'!$H:$H,0)</f>
        <v>1948373.63</v>
      </c>
      <c r="Z140" s="17">
        <f>_xlfn.XLOOKUP($B140,'[1]Sep-25'!$A:$A,'[1]Sep-25'!$H:$H,0)</f>
        <v>210000</v>
      </c>
      <c r="AA140" s="17">
        <f>_xlfn.XLOOKUP($B140,'[1]Oct-25'!$A:$A,'[1]Oct-25'!$H:$H,0)</f>
        <v>2499043.81</v>
      </c>
      <c r="AB140" s="17">
        <f>_xlfn.XLOOKUP($B140,'[1]Nov-25'!$A:$A,'[1]Nov-25'!$H:$H,0)</f>
        <v>18152149.399999999</v>
      </c>
      <c r="AC140" s="17">
        <f>_xlfn.XLOOKUP($B140,'[1]Dec-25'!$A:$A,'[1]Dec-25'!$H:$H,0)</f>
        <v>402004.23</v>
      </c>
      <c r="AD140" s="17">
        <f>_xlfn.XLOOKUP($B140,'[1]Jan-26'!$A:$A,'[1]Jan-26'!$H:$H,0)</f>
        <v>732616.21</v>
      </c>
      <c r="AE140" s="17">
        <f>_xlfn.XLOOKUP($B140,'[1]Feb-26'!$A:$A,'[1]Feb-26'!$H:$H,0)</f>
        <v>4418410.5</v>
      </c>
      <c r="AF140" s="17">
        <f>_xlfn.XLOOKUP($B140,'[1]Mar-26'!$A:$A,'[1]Mar-26'!$H:$H,0)</f>
        <v>1737292.6</v>
      </c>
      <c r="AG140" s="17">
        <f>_xlfn.XLOOKUP($B140,'[1]Apr-26'!$A:$A,'[1]Apr-26'!$H:$H,0)</f>
        <v>7688792.6900000004</v>
      </c>
    </row>
    <row r="141" spans="1:33" x14ac:dyDescent="0.2">
      <c r="A141" s="58">
        <v>13005</v>
      </c>
      <c r="B141" s="56" t="str">
        <f t="shared" si="8"/>
        <v>13005</v>
      </c>
      <c r="C141" s="57" t="s">
        <v>302</v>
      </c>
      <c r="D141" s="57" t="s">
        <v>303</v>
      </c>
      <c r="E141" s="44" t="s">
        <v>383</v>
      </c>
      <c r="F141" s="17">
        <f>_xlfn.XLOOKUP($B141,'[1]Jan-24'!$A:$A,'[1]Jan-24'!$H:$H,0)</f>
        <v>0</v>
      </c>
      <c r="G141" s="17">
        <f>_xlfn.XLOOKUP($B141,'[1]Feb-24'!$A:$A,'[1]Feb-24'!$H:$H,0)</f>
        <v>0</v>
      </c>
      <c r="H141" s="17">
        <f>_xlfn.XLOOKUP($B141,'[1]Mar-24'!$A:$A,'[1]Mar-24'!$H:$H,0)</f>
        <v>0</v>
      </c>
      <c r="I141" s="17">
        <f>_xlfn.XLOOKUP($B141,'[1]Apr-24'!$A:$A,'[1]Apr-24'!$H:$H,0)</f>
        <v>0</v>
      </c>
      <c r="J141" s="17">
        <f>_xlfn.XLOOKUP($B141,'[1]May-24'!$A:$A,'[1]May-24'!$H:$H,0)</f>
        <v>0</v>
      </c>
      <c r="K141" s="17">
        <f>_xlfn.XLOOKUP($B141,'[1]Jun-24'!$A:$A,'[1]Jun-24'!$H:$H,0)</f>
        <v>0</v>
      </c>
      <c r="L141" s="17">
        <f>_xlfn.XLOOKUP($B141,'[1]Jul-24'!$A:$A,'[1]Jul-24'!$H:$H,0)</f>
        <v>0</v>
      </c>
      <c r="M141" s="17">
        <f>_xlfn.XLOOKUP($B141,'[1]Aug-24'!$A:$A,'[1]Aug-24'!$H:$H,0)</f>
        <v>0</v>
      </c>
      <c r="N141" s="17">
        <f>_xlfn.XLOOKUP($B141,'[1]Sep-24'!$A:$A,'[1]Sep-24'!$H:$H,0)</f>
        <v>0</v>
      </c>
      <c r="O141" s="17">
        <f>_xlfn.XLOOKUP($B141,'[1]Oct-24'!$A:$A,'[1]Oct-24'!$H:$H,0)</f>
        <v>0</v>
      </c>
      <c r="P141" s="17">
        <f>_xlfn.XLOOKUP($B141,'[1]Nov-24'!$A:$A,'[1]Nov-24'!$H:$H,0)</f>
        <v>0</v>
      </c>
      <c r="Q141" s="17">
        <f>_xlfn.XLOOKUP($B141,'[1]Dec-24'!$A:$A,'[1]Dec-24'!$H:$H,0)</f>
        <v>0</v>
      </c>
      <c r="R141" s="17">
        <f>_xlfn.XLOOKUP($B141,'[1]Jan-25'!$A:$A,'[1]Jan-25'!$H:$H,0)</f>
        <v>0</v>
      </c>
      <c r="S141" s="17">
        <f>_xlfn.XLOOKUP($B141,'[1]Feb-25'!$A:$A,'[1]Feb-25'!$H:$H,0)</f>
        <v>0</v>
      </c>
      <c r="T141" s="17">
        <f>_xlfn.XLOOKUP($B141,'[1]Mar-25'!$A:$A,'[1]Mar-25'!$H:$H,0)</f>
        <v>0</v>
      </c>
      <c r="U141" s="17">
        <f>_xlfn.XLOOKUP($B141,'[1]Apr-25'!$A:$A,'[1]Apr-25'!$H:$H,0)</f>
        <v>0</v>
      </c>
      <c r="V141" s="17">
        <f>_xlfn.XLOOKUP($B141,'[1]May-25'!$A:$A,'[1]May-25'!$H:$H,0)</f>
        <v>0</v>
      </c>
      <c r="W141" s="17">
        <f>_xlfn.XLOOKUP($B141,'[1]Jun-25'!$A:$A,'[1]Jun-25'!$H:$H,0)</f>
        <v>0</v>
      </c>
      <c r="X141" s="17">
        <f>_xlfn.XLOOKUP($B141,'[1]Jul-25'!$A:$A,'[1]Jul-25'!$H:$H,0)</f>
        <v>0</v>
      </c>
      <c r="Y141" s="17">
        <f>_xlfn.XLOOKUP($B141,'[1]Aug-25'!$A:$A,'[1]Aug-25'!$H:$H,0)</f>
        <v>0</v>
      </c>
      <c r="Z141" s="17">
        <f>_xlfn.XLOOKUP($B141,'[1]Sep-25'!$A:$A,'[1]Sep-25'!$H:$H,0)</f>
        <v>0</v>
      </c>
      <c r="AA141" s="17">
        <f>_xlfn.XLOOKUP($B141,'[1]Oct-25'!$A:$A,'[1]Oct-25'!$H:$H,0)</f>
        <v>0</v>
      </c>
      <c r="AB141" s="17">
        <f>_xlfn.XLOOKUP($B141,'[1]Nov-25'!$A:$A,'[1]Nov-25'!$H:$H,0)</f>
        <v>0</v>
      </c>
      <c r="AC141" s="17">
        <f>_xlfn.XLOOKUP($B141,'[1]Dec-25'!$A:$A,'[1]Dec-25'!$H:$H,0)</f>
        <v>0</v>
      </c>
      <c r="AD141" s="17">
        <f>_xlfn.XLOOKUP($B141,'[1]Jan-26'!$A:$A,'[1]Jan-26'!$H:$H,0)</f>
        <v>0</v>
      </c>
      <c r="AE141" s="17">
        <f>_xlfn.XLOOKUP($B141,'[1]Feb-26'!$A:$A,'[1]Feb-26'!$H:$H,0)</f>
        <v>0</v>
      </c>
      <c r="AF141" s="17">
        <f>_xlfn.XLOOKUP($B141,'[1]Mar-26'!$A:$A,'[1]Mar-26'!$H:$H,0)</f>
        <v>0</v>
      </c>
      <c r="AG141" s="17">
        <f>_xlfn.XLOOKUP($B141,'[1]Apr-26'!$A:$A,'[1]Apr-26'!$H:$H,0)</f>
        <v>0</v>
      </c>
    </row>
    <row r="142" spans="1:33" x14ac:dyDescent="0.2">
      <c r="A142" s="58">
        <v>13006</v>
      </c>
      <c r="B142" s="56" t="str">
        <f t="shared" si="8"/>
        <v>13006</v>
      </c>
      <c r="C142" s="57" t="s">
        <v>382</v>
      </c>
      <c r="D142" s="57" t="s">
        <v>303</v>
      </c>
      <c r="E142" s="44" t="s">
        <v>384</v>
      </c>
      <c r="F142" s="17">
        <f>_xlfn.XLOOKUP($B142,'[1]Jan-24'!$A:$A,'[1]Jan-24'!$H:$H,0)</f>
        <v>0</v>
      </c>
      <c r="G142" s="17">
        <f>_xlfn.XLOOKUP($B142,'[1]Feb-24'!$A:$A,'[1]Feb-24'!$H:$H,0)</f>
        <v>0</v>
      </c>
      <c r="H142" s="17">
        <f>_xlfn.XLOOKUP($B142,'[1]Mar-24'!$A:$A,'[1]Mar-24'!$H:$H,0)</f>
        <v>0</v>
      </c>
      <c r="I142" s="17">
        <f>_xlfn.XLOOKUP($B142,'[1]Apr-24'!$A:$A,'[1]Apr-24'!$H:$H,0)</f>
        <v>0</v>
      </c>
      <c r="J142" s="17">
        <f>_xlfn.XLOOKUP($B142,'[1]May-24'!$A:$A,'[1]May-24'!$H:$H,0)</f>
        <v>0</v>
      </c>
      <c r="K142" s="17">
        <f>_xlfn.XLOOKUP($B142,'[1]Jun-24'!$A:$A,'[1]Jun-24'!$H:$H,0)</f>
        <v>0</v>
      </c>
      <c r="L142" s="17">
        <f>_xlfn.XLOOKUP($B142,'[1]Jul-24'!$A:$A,'[1]Jul-24'!$H:$H,0)</f>
        <v>0</v>
      </c>
      <c r="M142" s="17">
        <f>_xlfn.XLOOKUP($B142,'[1]Aug-24'!$A:$A,'[1]Aug-24'!$H:$H,0)</f>
        <v>0</v>
      </c>
      <c r="N142" s="17">
        <f>_xlfn.XLOOKUP($B142,'[1]Sep-24'!$A:$A,'[1]Sep-24'!$H:$H,0)</f>
        <v>0</v>
      </c>
      <c r="O142" s="17">
        <f>_xlfn.XLOOKUP($B142,'[1]Oct-24'!$A:$A,'[1]Oct-24'!$H:$H,0)</f>
        <v>0</v>
      </c>
      <c r="P142" s="17">
        <f>_xlfn.XLOOKUP($B142,'[1]Nov-24'!$A:$A,'[1]Nov-24'!$H:$H,0)</f>
        <v>0</v>
      </c>
      <c r="Q142" s="17">
        <f>_xlfn.XLOOKUP($B142,'[1]Dec-24'!$A:$A,'[1]Dec-24'!$H:$H,0)</f>
        <v>0</v>
      </c>
      <c r="R142" s="17">
        <f>_xlfn.XLOOKUP($B142,'[1]Jan-25'!$A:$A,'[1]Jan-25'!$H:$H,0)</f>
        <v>0</v>
      </c>
      <c r="S142" s="17">
        <f>_xlfn.XLOOKUP($B142,'[1]Feb-25'!$A:$A,'[1]Feb-25'!$H:$H,0)</f>
        <v>0</v>
      </c>
      <c r="T142" s="17">
        <f>_xlfn.XLOOKUP($B142,'[1]Mar-25'!$A:$A,'[1]Mar-25'!$H:$H,0)</f>
        <v>0</v>
      </c>
      <c r="U142" s="17">
        <f>_xlfn.XLOOKUP($B142,'[1]Apr-25'!$A:$A,'[1]Apr-25'!$H:$H,0)</f>
        <v>0</v>
      </c>
      <c r="V142" s="17">
        <f>_xlfn.XLOOKUP($B142,'[1]May-25'!$A:$A,'[1]May-25'!$H:$H,0)</f>
        <v>0</v>
      </c>
      <c r="W142" s="17">
        <f>_xlfn.XLOOKUP($B142,'[1]Jun-25'!$A:$A,'[1]Jun-25'!$H:$H,0)</f>
        <v>0</v>
      </c>
      <c r="X142" s="17">
        <f>_xlfn.XLOOKUP($B142,'[1]Jul-25'!$A:$A,'[1]Jul-25'!$H:$H,0)</f>
        <v>0</v>
      </c>
      <c r="Y142" s="17">
        <f>_xlfn.XLOOKUP($B142,'[1]Aug-25'!$A:$A,'[1]Aug-25'!$H:$H,0)</f>
        <v>0</v>
      </c>
      <c r="Z142" s="17">
        <f>_xlfn.XLOOKUP($B142,'[1]Sep-25'!$A:$A,'[1]Sep-25'!$H:$H,0)</f>
        <v>0</v>
      </c>
      <c r="AA142" s="17">
        <f>_xlfn.XLOOKUP($B142,'[1]Oct-25'!$A:$A,'[1]Oct-25'!$H:$H,0)</f>
        <v>0</v>
      </c>
      <c r="AB142" s="17">
        <f>_xlfn.XLOOKUP($B142,'[1]Nov-25'!$A:$A,'[1]Nov-25'!$H:$H,0)</f>
        <v>0</v>
      </c>
      <c r="AC142" s="17">
        <f>_xlfn.XLOOKUP($B142,'[1]Dec-25'!$A:$A,'[1]Dec-25'!$H:$H,0)</f>
        <v>0</v>
      </c>
      <c r="AD142" s="17">
        <f>_xlfn.XLOOKUP($B142,'[1]Jan-26'!$A:$A,'[1]Jan-26'!$H:$H,0)</f>
        <v>0</v>
      </c>
      <c r="AE142" s="17">
        <f>_xlfn.XLOOKUP($B142,'[1]Feb-26'!$A:$A,'[1]Feb-26'!$H:$H,0)</f>
        <v>0</v>
      </c>
      <c r="AF142" s="17">
        <f>_xlfn.XLOOKUP($B142,'[1]Mar-26'!$A:$A,'[1]Mar-26'!$H:$H,0)</f>
        <v>0</v>
      </c>
      <c r="AG142" s="17">
        <f>_xlfn.XLOOKUP($B142,'[1]Apr-26'!$A:$A,'[1]Apr-26'!$H:$H,0)</f>
        <v>0</v>
      </c>
    </row>
    <row r="143" spans="1:33" x14ac:dyDescent="0.2">
      <c r="A143" s="58">
        <v>13007</v>
      </c>
      <c r="B143" s="56" t="str">
        <f t="shared" si="8"/>
        <v>13007</v>
      </c>
      <c r="C143" s="57" t="s">
        <v>382</v>
      </c>
      <c r="D143" s="57" t="s">
        <v>303</v>
      </c>
      <c r="E143" s="44" t="s">
        <v>385</v>
      </c>
      <c r="F143" s="17">
        <f>_xlfn.XLOOKUP($B143,'[1]Jan-24'!$A:$A,'[1]Jan-24'!$H:$H,0)</f>
        <v>82015.399999999994</v>
      </c>
      <c r="G143" s="17">
        <f>_xlfn.XLOOKUP($B143,'[1]Feb-24'!$A:$A,'[1]Feb-24'!$H:$H,0)</f>
        <v>82015.399999999994</v>
      </c>
      <c r="H143" s="17">
        <f>_xlfn.XLOOKUP($B143,'[1]Mar-24'!$A:$A,'[1]Mar-24'!$H:$H,0)</f>
        <v>58951.91</v>
      </c>
      <c r="I143" s="17">
        <f>_xlfn.XLOOKUP($B143,'[1]Apr-24'!$A:$A,'[1]Apr-24'!$H:$H,0)</f>
        <v>15082015.4</v>
      </c>
      <c r="J143" s="17">
        <f>_xlfn.XLOOKUP($B143,'[1]May-24'!$A:$A,'[1]May-24'!$H:$H,0)</f>
        <v>15082015.4</v>
      </c>
      <c r="K143" s="17">
        <f>_xlfn.XLOOKUP($B143,'[1]Jun-24'!$A:$A,'[1]Jun-24'!$H:$H,0)</f>
        <v>0</v>
      </c>
      <c r="L143" s="17">
        <f>_xlfn.XLOOKUP($B143,'[1]Jul-24'!$A:$A,'[1]Jul-24'!$H:$H,0)</f>
        <v>0</v>
      </c>
      <c r="M143" s="17">
        <f>_xlfn.XLOOKUP($B143,'[1]Aug-24'!$A:$A,'[1]Aug-24'!$H:$H,0)</f>
        <v>0</v>
      </c>
      <c r="N143" s="17">
        <f>_xlfn.XLOOKUP($B143,'[1]Sep-24'!$A:$A,'[1]Sep-24'!$H:$H,0)</f>
        <v>0</v>
      </c>
      <c r="O143" s="17">
        <f>_xlfn.XLOOKUP($B143,'[1]Oct-24'!$A:$A,'[1]Oct-24'!$H:$H,0)</f>
        <v>0</v>
      </c>
      <c r="P143" s="17">
        <f>_xlfn.XLOOKUP($B143,'[1]Nov-24'!$A:$A,'[1]Nov-24'!$H:$H,0)</f>
        <v>0</v>
      </c>
      <c r="Q143" s="17">
        <f>_xlfn.XLOOKUP($B143,'[1]Dec-24'!$A:$A,'[1]Dec-24'!$H:$H,0)</f>
        <v>0</v>
      </c>
      <c r="R143" s="17">
        <f>_xlfn.XLOOKUP($B143,'[1]Jan-25'!$A:$A,'[1]Jan-25'!$H:$H,0)</f>
        <v>0</v>
      </c>
      <c r="S143" s="17">
        <f>_xlfn.XLOOKUP($B143,'[1]Feb-25'!$A:$A,'[1]Feb-25'!$H:$H,0)</f>
        <v>0</v>
      </c>
      <c r="T143" s="17">
        <f>_xlfn.XLOOKUP($B143,'[1]Mar-25'!$A:$A,'[1]Mar-25'!$H:$H,0)</f>
        <v>0</v>
      </c>
      <c r="U143" s="17">
        <f>_xlfn.XLOOKUP($B143,'[1]Apr-25'!$A:$A,'[1]Apr-25'!$H:$H,0)</f>
        <v>0</v>
      </c>
      <c r="V143" s="17">
        <f>_xlfn.XLOOKUP($B143,'[1]May-25'!$A:$A,'[1]May-25'!$H:$H,0)</f>
        <v>0</v>
      </c>
      <c r="W143" s="17">
        <f>_xlfn.XLOOKUP($B143,'[1]Jun-25'!$A:$A,'[1]Jun-25'!$H:$H,0)</f>
        <v>0</v>
      </c>
      <c r="X143" s="17">
        <f>_xlfn.XLOOKUP($B143,'[1]Jul-25'!$A:$A,'[1]Jul-25'!$H:$H,0)</f>
        <v>0</v>
      </c>
      <c r="Y143" s="17">
        <f>_xlfn.XLOOKUP($B143,'[1]Aug-25'!$A:$A,'[1]Aug-25'!$H:$H,0)</f>
        <v>0</v>
      </c>
      <c r="Z143" s="17">
        <f>_xlfn.XLOOKUP($B143,'[1]Sep-25'!$A:$A,'[1]Sep-25'!$H:$H,0)</f>
        <v>0</v>
      </c>
      <c r="AA143" s="17">
        <f>_xlfn.XLOOKUP($B143,'[1]Oct-25'!$A:$A,'[1]Oct-25'!$H:$H,0)</f>
        <v>0</v>
      </c>
      <c r="AB143" s="17">
        <f>_xlfn.XLOOKUP($B143,'[1]Nov-25'!$A:$A,'[1]Nov-25'!$H:$H,0)</f>
        <v>0</v>
      </c>
      <c r="AC143" s="17">
        <f>_xlfn.XLOOKUP($B143,'[1]Dec-25'!$A:$A,'[1]Dec-25'!$H:$H,0)</f>
        <v>0</v>
      </c>
      <c r="AD143" s="17">
        <f>_xlfn.XLOOKUP($B143,'[1]Jan-26'!$A:$A,'[1]Jan-26'!$H:$H,0)</f>
        <v>0</v>
      </c>
      <c r="AE143" s="17">
        <f>_xlfn.XLOOKUP($B143,'[1]Feb-26'!$A:$A,'[1]Feb-26'!$H:$H,0)</f>
        <v>0</v>
      </c>
      <c r="AF143" s="17">
        <f>_xlfn.XLOOKUP($B143,'[1]Mar-26'!$A:$A,'[1]Mar-26'!$H:$H,0)</f>
        <v>0</v>
      </c>
      <c r="AG143" s="17">
        <f>_xlfn.XLOOKUP($B143,'[1]Apr-26'!$A:$A,'[1]Apr-26'!$H:$H,0)</f>
        <v>0</v>
      </c>
    </row>
    <row r="144" spans="1:33" x14ac:dyDescent="0.2">
      <c r="A144" s="58">
        <v>13008</v>
      </c>
      <c r="B144" s="56" t="str">
        <f t="shared" si="8"/>
        <v>13008</v>
      </c>
      <c r="C144" s="57" t="s">
        <v>382</v>
      </c>
      <c r="D144" s="57" t="s">
        <v>303</v>
      </c>
      <c r="E144" s="44" t="s">
        <v>213</v>
      </c>
      <c r="F144" s="17">
        <f>_xlfn.XLOOKUP($B144,'[1]Jan-24'!$A:$A,'[1]Jan-24'!$H:$H,0)</f>
        <v>12561503.369999999</v>
      </c>
      <c r="G144" s="17">
        <f>_xlfn.XLOOKUP($B144,'[1]Feb-24'!$A:$A,'[1]Feb-24'!$H:$H,0)</f>
        <v>12561503.369999999</v>
      </c>
      <c r="H144" s="17">
        <f>_xlfn.XLOOKUP($B144,'[1]Mar-24'!$A:$A,'[1]Mar-24'!$H:$H,0)</f>
        <v>12561503.369999999</v>
      </c>
      <c r="I144" s="17">
        <f>_xlfn.XLOOKUP($B144,'[1]Apr-24'!$A:$A,'[1]Apr-24'!$H:$H,0)</f>
        <v>12561503.369999999</v>
      </c>
      <c r="J144" s="17">
        <f>_xlfn.XLOOKUP($B144,'[1]May-24'!$A:$A,'[1]May-24'!$H:$H,0)</f>
        <v>13561503.369999999</v>
      </c>
      <c r="K144" s="17">
        <f>_xlfn.XLOOKUP($B144,'[1]Jun-24'!$A:$A,'[1]Jun-24'!$H:$H,0)</f>
        <v>0</v>
      </c>
      <c r="L144" s="17">
        <f>_xlfn.XLOOKUP($B144,'[1]Jul-24'!$A:$A,'[1]Jul-24'!$H:$H,0)</f>
        <v>0</v>
      </c>
      <c r="M144" s="17">
        <f>_xlfn.XLOOKUP($B144,'[1]Aug-24'!$A:$A,'[1]Aug-24'!$H:$H,0)</f>
        <v>0</v>
      </c>
      <c r="N144" s="17">
        <f>_xlfn.XLOOKUP($B144,'[1]Sep-24'!$A:$A,'[1]Sep-24'!$H:$H,0)</f>
        <v>0</v>
      </c>
      <c r="O144" s="17">
        <f>_xlfn.XLOOKUP($B144,'[1]Oct-24'!$A:$A,'[1]Oct-24'!$H:$H,0)</f>
        <v>0</v>
      </c>
      <c r="P144" s="17">
        <f>_xlfn.XLOOKUP($B144,'[1]Nov-24'!$A:$A,'[1]Nov-24'!$H:$H,0)</f>
        <v>600000</v>
      </c>
      <c r="Q144" s="17">
        <f>_xlfn.XLOOKUP($B144,'[1]Dec-24'!$A:$A,'[1]Dec-24'!$H:$H,0)</f>
        <v>600000</v>
      </c>
      <c r="R144" s="17">
        <f>_xlfn.XLOOKUP($B144,'[1]Jan-25'!$A:$A,'[1]Jan-25'!$H:$H,0)</f>
        <v>600000</v>
      </c>
      <c r="S144" s="17">
        <f>_xlfn.XLOOKUP($B144,'[1]Feb-25'!$A:$A,'[1]Feb-25'!$H:$H,0)</f>
        <v>600000</v>
      </c>
      <c r="T144" s="17">
        <f>_xlfn.XLOOKUP($B144,'[1]Mar-25'!$A:$A,'[1]Mar-25'!$H:$H,0)</f>
        <v>600000</v>
      </c>
      <c r="U144" s="17">
        <f>_xlfn.XLOOKUP($B144,'[1]Apr-25'!$A:$A,'[1]Apr-25'!$H:$H,0)</f>
        <v>600000</v>
      </c>
      <c r="V144" s="17">
        <f>_xlfn.XLOOKUP($B144,'[1]May-25'!$A:$A,'[1]May-25'!$H:$H,0)</f>
        <v>600000</v>
      </c>
      <c r="W144" s="17">
        <f>_xlfn.XLOOKUP($B144,'[1]Jun-25'!$A:$A,'[1]Jun-25'!$H:$H,0)</f>
        <v>600000</v>
      </c>
      <c r="X144" s="17">
        <f>_xlfn.XLOOKUP($B144,'[1]Jul-25'!$A:$A,'[1]Jul-25'!$H:$H,0)</f>
        <v>599999.46</v>
      </c>
      <c r="Y144" s="17">
        <f>_xlfn.XLOOKUP($B144,'[1]Aug-25'!$A:$A,'[1]Aug-25'!$H:$H,0)</f>
        <v>599999.46</v>
      </c>
      <c r="Z144" s="17">
        <f>_xlfn.XLOOKUP($B144,'[1]Sep-25'!$A:$A,'[1]Sep-25'!$H:$H,0)</f>
        <v>0</v>
      </c>
      <c r="AA144" s="17">
        <f>_xlfn.XLOOKUP($B144,'[1]Oct-25'!$A:$A,'[1]Oct-25'!$H:$H,0)</f>
        <v>0</v>
      </c>
      <c r="AB144" s="17">
        <f>_xlfn.XLOOKUP($B144,'[1]Nov-25'!$A:$A,'[1]Nov-25'!$H:$H,0)</f>
        <v>0</v>
      </c>
      <c r="AC144" s="17">
        <f>_xlfn.XLOOKUP($B144,'[1]Dec-25'!$A:$A,'[1]Dec-25'!$H:$H,0)</f>
        <v>0</v>
      </c>
      <c r="AD144" s="17">
        <f>_xlfn.XLOOKUP($B144,'[1]Jan-26'!$A:$A,'[1]Jan-26'!$H:$H,0)</f>
        <v>0</v>
      </c>
      <c r="AE144" s="17">
        <f>_xlfn.XLOOKUP($B144,'[1]Feb-26'!$A:$A,'[1]Feb-26'!$H:$H,0)</f>
        <v>0</v>
      </c>
      <c r="AF144" s="17">
        <f>_xlfn.XLOOKUP($B144,'[1]Mar-26'!$A:$A,'[1]Mar-26'!$H:$H,0)</f>
        <v>0</v>
      </c>
      <c r="AG144" s="17">
        <f>_xlfn.XLOOKUP($B144,'[1]Apr-26'!$A:$A,'[1]Apr-26'!$H:$H,0)</f>
        <v>0</v>
      </c>
    </row>
    <row r="145" spans="1:33" x14ac:dyDescent="0.2">
      <c r="A145" s="58">
        <v>13009</v>
      </c>
      <c r="B145" s="56" t="str">
        <f t="shared" si="8"/>
        <v>13009</v>
      </c>
      <c r="C145" s="57" t="s">
        <v>382</v>
      </c>
      <c r="D145" s="57" t="s">
        <v>303</v>
      </c>
      <c r="E145" s="44" t="s">
        <v>386</v>
      </c>
      <c r="F145" s="17">
        <f>_xlfn.XLOOKUP($B145,'[1]Jan-24'!$A:$A,'[1]Jan-24'!$H:$H,0)</f>
        <v>0</v>
      </c>
      <c r="G145" s="17">
        <f>_xlfn.XLOOKUP($B145,'[1]Feb-24'!$A:$A,'[1]Feb-24'!$H:$H,0)</f>
        <v>0</v>
      </c>
      <c r="H145" s="17">
        <f>_xlfn.XLOOKUP($B145,'[1]Mar-24'!$A:$A,'[1]Mar-24'!$H:$H,0)</f>
        <v>0</v>
      </c>
      <c r="I145" s="17">
        <f>_xlfn.XLOOKUP($B145,'[1]Apr-24'!$A:$A,'[1]Apr-24'!$H:$H,0)</f>
        <v>0</v>
      </c>
      <c r="J145" s="17">
        <f>_xlfn.XLOOKUP($B145,'[1]May-24'!$A:$A,'[1]May-24'!$H:$H,0)</f>
        <v>0</v>
      </c>
      <c r="K145" s="17">
        <f>_xlfn.XLOOKUP($B145,'[1]Jun-24'!$A:$A,'[1]Jun-24'!$H:$H,0)</f>
        <v>0</v>
      </c>
      <c r="L145" s="17">
        <f>_xlfn.XLOOKUP($B145,'[1]Jul-24'!$A:$A,'[1]Jul-24'!$H:$H,0)</f>
        <v>0</v>
      </c>
      <c r="M145" s="17">
        <f>_xlfn.XLOOKUP($B145,'[1]Aug-24'!$A:$A,'[1]Aug-24'!$H:$H,0)</f>
        <v>0</v>
      </c>
      <c r="N145" s="17">
        <f>_xlfn.XLOOKUP($B145,'[1]Sep-24'!$A:$A,'[1]Sep-24'!$H:$H,0)</f>
        <v>0</v>
      </c>
      <c r="O145" s="17">
        <f>_xlfn.XLOOKUP($B145,'[1]Oct-24'!$A:$A,'[1]Oct-24'!$H:$H,0)</f>
        <v>0</v>
      </c>
      <c r="P145" s="17">
        <f>_xlfn.XLOOKUP($B145,'[1]Nov-24'!$A:$A,'[1]Nov-24'!$H:$H,0)</f>
        <v>0</v>
      </c>
      <c r="Q145" s="17">
        <f>_xlfn.XLOOKUP($B145,'[1]Dec-24'!$A:$A,'[1]Dec-24'!$H:$H,0)</f>
        <v>0</v>
      </c>
      <c r="R145" s="17">
        <f>_xlfn.XLOOKUP($B145,'[1]Jan-25'!$A:$A,'[1]Jan-25'!$H:$H,0)</f>
        <v>0</v>
      </c>
      <c r="S145" s="17">
        <f>_xlfn.XLOOKUP($B145,'[1]Feb-25'!$A:$A,'[1]Feb-25'!$H:$H,0)</f>
        <v>0</v>
      </c>
      <c r="T145" s="17">
        <f>_xlfn.XLOOKUP($B145,'[1]Mar-25'!$A:$A,'[1]Mar-25'!$H:$H,0)</f>
        <v>0</v>
      </c>
      <c r="U145" s="17">
        <f>_xlfn.XLOOKUP($B145,'[1]Apr-25'!$A:$A,'[1]Apr-25'!$H:$H,0)</f>
        <v>0</v>
      </c>
      <c r="V145" s="17">
        <f>_xlfn.XLOOKUP($B145,'[1]May-25'!$A:$A,'[1]May-25'!$H:$H,0)</f>
        <v>0</v>
      </c>
      <c r="W145" s="17">
        <f>_xlfn.XLOOKUP($B145,'[1]Jun-25'!$A:$A,'[1]Jun-25'!$H:$H,0)</f>
        <v>0</v>
      </c>
      <c r="X145" s="17">
        <f>_xlfn.XLOOKUP($B145,'[1]Jul-25'!$A:$A,'[1]Jul-25'!$H:$H,0)</f>
        <v>0</v>
      </c>
      <c r="Y145" s="17">
        <f>_xlfn.XLOOKUP($B145,'[1]Aug-25'!$A:$A,'[1]Aug-25'!$H:$H,0)</f>
        <v>0</v>
      </c>
      <c r="Z145" s="17">
        <f>_xlfn.XLOOKUP($B145,'[1]Sep-25'!$A:$A,'[1]Sep-25'!$H:$H,0)</f>
        <v>0</v>
      </c>
      <c r="AA145" s="17">
        <f>_xlfn.XLOOKUP($B145,'[1]Oct-25'!$A:$A,'[1]Oct-25'!$H:$H,0)</f>
        <v>0</v>
      </c>
      <c r="AB145" s="17">
        <f>_xlfn.XLOOKUP($B145,'[1]Nov-25'!$A:$A,'[1]Nov-25'!$H:$H,0)</f>
        <v>0</v>
      </c>
      <c r="AC145" s="17">
        <f>_xlfn.XLOOKUP($B145,'[1]Dec-25'!$A:$A,'[1]Dec-25'!$H:$H,0)</f>
        <v>0</v>
      </c>
      <c r="AD145" s="17">
        <f>_xlfn.XLOOKUP($B145,'[1]Jan-26'!$A:$A,'[1]Jan-26'!$H:$H,0)</f>
        <v>0</v>
      </c>
      <c r="AE145" s="17">
        <f>_xlfn.XLOOKUP($B145,'[1]Feb-26'!$A:$A,'[1]Feb-26'!$H:$H,0)</f>
        <v>0</v>
      </c>
      <c r="AF145" s="17">
        <f>_xlfn.XLOOKUP($B145,'[1]Mar-26'!$A:$A,'[1]Mar-26'!$H:$H,0)</f>
        <v>0</v>
      </c>
      <c r="AG145" s="17">
        <f>_xlfn.XLOOKUP($B145,'[1]Apr-26'!$A:$A,'[1]Apr-26'!$H:$H,0)</f>
        <v>0</v>
      </c>
    </row>
    <row r="146" spans="1:33" x14ac:dyDescent="0.2">
      <c r="A146" s="58">
        <v>13010</v>
      </c>
      <c r="B146" s="56" t="str">
        <f t="shared" si="8"/>
        <v>13010</v>
      </c>
      <c r="C146" s="57" t="s">
        <v>371</v>
      </c>
      <c r="D146" s="57" t="s">
        <v>303</v>
      </c>
      <c r="E146" s="44" t="s">
        <v>216</v>
      </c>
      <c r="F146" s="17">
        <f>_xlfn.XLOOKUP($B146,'[1]Jan-24'!$A:$A,'[1]Jan-24'!$H:$H,0)</f>
        <v>18458333.32</v>
      </c>
      <c r="G146" s="17">
        <f>_xlfn.XLOOKUP($B146,'[1]Feb-24'!$A:$A,'[1]Feb-24'!$H:$H,0)</f>
        <v>18054999.989999998</v>
      </c>
      <c r="H146" s="17">
        <f>_xlfn.XLOOKUP($B146,'[1]Mar-24'!$A:$A,'[1]Mar-24'!$H:$H,0)</f>
        <v>17631666.66</v>
      </c>
      <c r="I146" s="17">
        <f>_xlfn.XLOOKUP($B146,'[1]Apr-24'!$A:$A,'[1]Apr-24'!$H:$H,0)</f>
        <v>17720833.32</v>
      </c>
      <c r="J146" s="17">
        <f>_xlfn.XLOOKUP($B146,'[1]May-24'!$A:$A,'[1]May-24'!$H:$H,0)</f>
        <v>18124999.989999998</v>
      </c>
      <c r="K146" s="17">
        <f>_xlfn.XLOOKUP($B146,'[1]Jun-24'!$A:$A,'[1]Jun-24'!$H:$H,0)</f>
        <v>18587499.989999998</v>
      </c>
      <c r="L146" s="17">
        <f>_xlfn.XLOOKUP($B146,'[1]Jul-24'!$A:$A,'[1]Jul-24'!$H:$H,0)</f>
        <v>18749999.989999998</v>
      </c>
      <c r="M146" s="17">
        <f>_xlfn.XLOOKUP($B146,'[1]Aug-24'!$A:$A,'[1]Aug-24'!$H:$H,0)</f>
        <v>18445833.329999998</v>
      </c>
      <c r="N146" s="17">
        <f>_xlfn.XLOOKUP($B146,'[1]Sep-24'!$A:$A,'[1]Sep-24'!$H:$H,0)</f>
        <v>18141666.670000002</v>
      </c>
      <c r="O146" s="17">
        <f>_xlfn.XLOOKUP($B146,'[1]Oct-24'!$A:$A,'[1]Oct-24'!$H:$H,0)</f>
        <v>18765833.34</v>
      </c>
      <c r="P146" s="17">
        <f>_xlfn.XLOOKUP($B146,'[1]Nov-24'!$A:$A,'[1]Nov-24'!$H:$H,0)</f>
        <v>20569802.109999999</v>
      </c>
      <c r="Q146" s="17">
        <f>_xlfn.XLOOKUP($B146,'[1]Dec-24'!$A:$A,'[1]Dec-24'!$H:$H,0)</f>
        <v>19858168.43</v>
      </c>
      <c r="R146" s="17">
        <f>_xlfn.XLOOKUP($B146,'[1]Jan-25'!$A:$A,'[1]Jan-25'!$H:$H,0)</f>
        <v>29900088.079999998</v>
      </c>
      <c r="S146" s="17">
        <f>_xlfn.XLOOKUP($B146,'[1]Feb-25'!$A:$A,'[1]Feb-25'!$H:$H,0)</f>
        <v>26694007.690000001</v>
      </c>
      <c r="T146" s="17">
        <f>_xlfn.XLOOKUP($B146,'[1]Mar-25'!$A:$A,'[1]Mar-25'!$H:$H,0)</f>
        <v>22794447.350000001</v>
      </c>
      <c r="U146" s="17">
        <f>_xlfn.XLOOKUP($B146,'[1]Apr-25'!$A:$A,'[1]Apr-25'!$H:$H,0)</f>
        <v>21036633.66</v>
      </c>
      <c r="V146" s="17">
        <f>_xlfn.XLOOKUP($B146,'[1]May-25'!$A:$A,'[1]May-25'!$H:$H,0)</f>
        <v>36527899.969999999</v>
      </c>
      <c r="W146" s="17">
        <f>_xlfn.XLOOKUP($B146,'[1]Jun-25'!$A:$A,'[1]Jun-25'!$H:$H,0)</f>
        <v>32467411.510000002</v>
      </c>
      <c r="X146" s="17">
        <f>_xlfn.XLOOKUP($B146,'[1]Jul-25'!$A:$A,'[1]Jul-25'!$H:$H,0)</f>
        <v>32263389.800000001</v>
      </c>
      <c r="Y146" s="17">
        <f>_xlfn.XLOOKUP($B146,'[1]Aug-25'!$A:$A,'[1]Aug-25'!$H:$H,0)</f>
        <v>30879467.960000001</v>
      </c>
      <c r="Z146" s="17">
        <f>_xlfn.XLOOKUP($B146,'[1]Sep-25'!$A:$A,'[1]Sep-25'!$H:$H,0)</f>
        <v>29935446.899999999</v>
      </c>
      <c r="AA146" s="17">
        <f>_xlfn.XLOOKUP($B146,'[1]Oct-25'!$A:$A,'[1]Oct-25'!$H:$H,0)</f>
        <v>30064125.859999999</v>
      </c>
      <c r="AB146" s="17">
        <f>_xlfn.XLOOKUP($B146,'[1]Nov-25'!$A:$A,'[1]Nov-25'!$H:$H,0)</f>
        <v>28210000.030000001</v>
      </c>
      <c r="AC146" s="17">
        <f>_xlfn.XLOOKUP($B146,'[1]Dec-25'!$A:$A,'[1]Dec-25'!$H:$H,0)</f>
        <v>27171428.09</v>
      </c>
      <c r="AD146" s="17">
        <f>_xlfn.XLOOKUP($B146,'[1]Jan-26'!$A:$A,'[1]Jan-26'!$H:$H,0)</f>
        <v>25131566.940000001</v>
      </c>
      <c r="AE146" s="17">
        <f>_xlfn.XLOOKUP($B146,'[1]Feb-26'!$A:$A,'[1]Feb-26'!$H:$H,0)</f>
        <v>20908420.219999999</v>
      </c>
      <c r="AF146" s="17">
        <f>_xlfn.XLOOKUP($B146,'[1]Mar-26'!$A:$A,'[1]Mar-26'!$H:$H,0)</f>
        <v>19835273.5</v>
      </c>
      <c r="AG146" s="17">
        <f>_xlfn.XLOOKUP($B146,'[1]Apr-26'!$A:$A,'[1]Apr-26'!$H:$H,0)</f>
        <v>24922126.760000002</v>
      </c>
    </row>
    <row r="147" spans="1:33" x14ac:dyDescent="0.2">
      <c r="A147" s="58">
        <v>13011</v>
      </c>
      <c r="B147" s="56" t="str">
        <f t="shared" si="8"/>
        <v>13011</v>
      </c>
      <c r="C147" s="57" t="s">
        <v>371</v>
      </c>
      <c r="D147" s="57" t="s">
        <v>387</v>
      </c>
      <c r="E147" s="44" t="s">
        <v>388</v>
      </c>
      <c r="F147" s="17">
        <f>_xlfn.XLOOKUP($B147,'[1]Jan-24'!$A:$A,'[1]Jan-24'!$H:$H,0)</f>
        <v>0</v>
      </c>
      <c r="G147" s="17">
        <f>_xlfn.XLOOKUP($B147,'[1]Feb-24'!$A:$A,'[1]Feb-24'!$H:$H,0)</f>
        <v>0</v>
      </c>
      <c r="H147" s="17">
        <f>_xlfn.XLOOKUP($B147,'[1]Mar-24'!$A:$A,'[1]Mar-24'!$H:$H,0)</f>
        <v>0</v>
      </c>
      <c r="I147" s="17">
        <f>_xlfn.XLOOKUP($B147,'[1]Apr-24'!$A:$A,'[1]Apr-24'!$H:$H,0)</f>
        <v>0</v>
      </c>
      <c r="J147" s="17">
        <f>_xlfn.XLOOKUP($B147,'[1]May-24'!$A:$A,'[1]May-24'!$H:$H,0)</f>
        <v>0</v>
      </c>
      <c r="K147" s="17">
        <f>_xlfn.XLOOKUP($B147,'[1]Jun-24'!$A:$A,'[1]Jun-24'!$H:$H,0)</f>
        <v>0</v>
      </c>
      <c r="L147" s="17">
        <f>_xlfn.XLOOKUP($B147,'[1]Jul-24'!$A:$A,'[1]Jul-24'!$H:$H,0)</f>
        <v>0</v>
      </c>
      <c r="M147" s="17">
        <f>_xlfn.XLOOKUP($B147,'[1]Aug-24'!$A:$A,'[1]Aug-24'!$H:$H,0)</f>
        <v>0</v>
      </c>
      <c r="N147" s="17">
        <f>_xlfn.XLOOKUP($B147,'[1]Sep-24'!$A:$A,'[1]Sep-24'!$H:$H,0)</f>
        <v>0</v>
      </c>
      <c r="O147" s="17">
        <f>_xlfn.XLOOKUP($B147,'[1]Oct-24'!$A:$A,'[1]Oct-24'!$H:$H,0)</f>
        <v>0</v>
      </c>
      <c r="P147" s="17">
        <f>_xlfn.XLOOKUP($B147,'[1]Nov-24'!$A:$A,'[1]Nov-24'!$H:$H,0)</f>
        <v>0</v>
      </c>
      <c r="Q147" s="17">
        <f>_xlfn.XLOOKUP($B147,'[1]Dec-24'!$A:$A,'[1]Dec-24'!$H:$H,0)</f>
        <v>0</v>
      </c>
      <c r="R147" s="17">
        <f>_xlfn.XLOOKUP($B147,'[1]Jan-25'!$A:$A,'[1]Jan-25'!$H:$H,0)</f>
        <v>0</v>
      </c>
      <c r="S147" s="17">
        <f>_xlfn.XLOOKUP($B147,'[1]Feb-25'!$A:$A,'[1]Feb-25'!$H:$H,0)</f>
        <v>0</v>
      </c>
      <c r="T147" s="17">
        <f>_xlfn.XLOOKUP($B147,'[1]Mar-25'!$A:$A,'[1]Mar-25'!$H:$H,0)</f>
        <v>0</v>
      </c>
      <c r="U147" s="17">
        <f>_xlfn.XLOOKUP($B147,'[1]Apr-25'!$A:$A,'[1]Apr-25'!$H:$H,0)</f>
        <v>0</v>
      </c>
      <c r="V147" s="17">
        <f>_xlfn.XLOOKUP($B147,'[1]May-25'!$A:$A,'[1]May-25'!$H:$H,0)</f>
        <v>0</v>
      </c>
      <c r="W147" s="17">
        <f>_xlfn.XLOOKUP($B147,'[1]Jun-25'!$A:$A,'[1]Jun-25'!$H:$H,0)</f>
        <v>0</v>
      </c>
      <c r="X147" s="17">
        <f>_xlfn.XLOOKUP($B147,'[1]Jul-25'!$A:$A,'[1]Jul-25'!$H:$H,0)</f>
        <v>0</v>
      </c>
      <c r="Y147" s="17">
        <f>_xlfn.XLOOKUP($B147,'[1]Aug-25'!$A:$A,'[1]Aug-25'!$H:$H,0)</f>
        <v>0</v>
      </c>
      <c r="Z147" s="17">
        <f>_xlfn.XLOOKUP($B147,'[1]Sep-25'!$A:$A,'[1]Sep-25'!$H:$H,0)</f>
        <v>0</v>
      </c>
      <c r="AA147" s="17">
        <f>_xlfn.XLOOKUP($B147,'[1]Oct-25'!$A:$A,'[1]Oct-25'!$H:$H,0)</f>
        <v>0</v>
      </c>
      <c r="AB147" s="17">
        <f>_xlfn.XLOOKUP($B147,'[1]Nov-25'!$A:$A,'[1]Nov-25'!$H:$H,0)</f>
        <v>0</v>
      </c>
      <c r="AC147" s="17">
        <f>_xlfn.XLOOKUP($B147,'[1]Dec-25'!$A:$A,'[1]Dec-25'!$H:$H,0)</f>
        <v>0</v>
      </c>
      <c r="AD147" s="17">
        <f>_xlfn.XLOOKUP($B147,'[1]Jan-26'!$A:$A,'[1]Jan-26'!$H:$H,0)</f>
        <v>0</v>
      </c>
      <c r="AE147" s="17">
        <f>_xlfn.XLOOKUP($B147,'[1]Feb-26'!$A:$A,'[1]Feb-26'!$H:$H,0)</f>
        <v>0</v>
      </c>
      <c r="AF147" s="17">
        <f>_xlfn.XLOOKUP($B147,'[1]Mar-26'!$A:$A,'[1]Mar-26'!$H:$H,0)</f>
        <v>0</v>
      </c>
      <c r="AG147" s="17">
        <f>_xlfn.XLOOKUP($B147,'[1]Apr-26'!$A:$A,'[1]Apr-26'!$H:$H,0)</f>
        <v>0</v>
      </c>
    </row>
    <row r="148" spans="1:33" x14ac:dyDescent="0.2">
      <c r="A148" s="58">
        <v>13012</v>
      </c>
      <c r="B148" s="56" t="str">
        <f t="shared" si="8"/>
        <v>13012</v>
      </c>
      <c r="C148" s="57" t="s">
        <v>389</v>
      </c>
      <c r="D148" s="57" t="s">
        <v>387</v>
      </c>
      <c r="E148" s="44" t="s">
        <v>390</v>
      </c>
      <c r="F148" s="17">
        <f>_xlfn.XLOOKUP($B148,'[1]Jan-24'!$A:$A,'[1]Jan-24'!$H:$H,0)</f>
        <v>0</v>
      </c>
      <c r="G148" s="17">
        <f>_xlfn.XLOOKUP($B148,'[1]Feb-24'!$A:$A,'[1]Feb-24'!$H:$H,0)</f>
        <v>0</v>
      </c>
      <c r="H148" s="17">
        <f>_xlfn.XLOOKUP($B148,'[1]Mar-24'!$A:$A,'[1]Mar-24'!$H:$H,0)</f>
        <v>0</v>
      </c>
      <c r="I148" s="17">
        <f>_xlfn.XLOOKUP($B148,'[1]Apr-24'!$A:$A,'[1]Apr-24'!$H:$H,0)</f>
        <v>0</v>
      </c>
      <c r="J148" s="17">
        <f>_xlfn.XLOOKUP($B148,'[1]May-24'!$A:$A,'[1]May-24'!$H:$H,0)</f>
        <v>0</v>
      </c>
      <c r="K148" s="17">
        <f>_xlfn.XLOOKUP($B148,'[1]Jun-24'!$A:$A,'[1]Jun-24'!$H:$H,0)</f>
        <v>0</v>
      </c>
      <c r="L148" s="17">
        <f>_xlfn.XLOOKUP($B148,'[1]Jul-24'!$A:$A,'[1]Jul-24'!$H:$H,0)</f>
        <v>0</v>
      </c>
      <c r="M148" s="17">
        <f>_xlfn.XLOOKUP($B148,'[1]Aug-24'!$A:$A,'[1]Aug-24'!$H:$H,0)</f>
        <v>0</v>
      </c>
      <c r="N148" s="17">
        <f>_xlfn.XLOOKUP($B148,'[1]Sep-24'!$A:$A,'[1]Sep-24'!$H:$H,0)</f>
        <v>0</v>
      </c>
      <c r="O148" s="17">
        <f>_xlfn.XLOOKUP($B148,'[1]Oct-24'!$A:$A,'[1]Oct-24'!$H:$H,0)</f>
        <v>0</v>
      </c>
      <c r="P148" s="17">
        <f>_xlfn.XLOOKUP($B148,'[1]Nov-24'!$A:$A,'[1]Nov-24'!$H:$H,0)</f>
        <v>0</v>
      </c>
      <c r="Q148" s="17">
        <f>_xlfn.XLOOKUP($B148,'[1]Dec-24'!$A:$A,'[1]Dec-24'!$H:$H,0)</f>
        <v>0</v>
      </c>
      <c r="R148" s="17">
        <f>_xlfn.XLOOKUP($B148,'[1]Jan-25'!$A:$A,'[1]Jan-25'!$H:$H,0)</f>
        <v>0</v>
      </c>
      <c r="S148" s="17">
        <f>_xlfn.XLOOKUP($B148,'[1]Feb-25'!$A:$A,'[1]Feb-25'!$H:$H,0)</f>
        <v>0</v>
      </c>
      <c r="T148" s="17">
        <f>_xlfn.XLOOKUP($B148,'[1]Mar-25'!$A:$A,'[1]Mar-25'!$H:$H,0)</f>
        <v>0</v>
      </c>
      <c r="U148" s="17">
        <f>_xlfn.XLOOKUP($B148,'[1]Apr-25'!$A:$A,'[1]Apr-25'!$H:$H,0)</f>
        <v>0</v>
      </c>
      <c r="V148" s="17">
        <f>_xlfn.XLOOKUP($B148,'[1]May-25'!$A:$A,'[1]May-25'!$H:$H,0)</f>
        <v>0</v>
      </c>
      <c r="W148" s="17">
        <f>_xlfn.XLOOKUP($B148,'[1]Jun-25'!$A:$A,'[1]Jun-25'!$H:$H,0)</f>
        <v>0</v>
      </c>
      <c r="X148" s="17">
        <f>_xlfn.XLOOKUP($B148,'[1]Jul-25'!$A:$A,'[1]Jul-25'!$H:$H,0)</f>
        <v>0</v>
      </c>
      <c r="Y148" s="17">
        <f>_xlfn.XLOOKUP($B148,'[1]Aug-25'!$A:$A,'[1]Aug-25'!$H:$H,0)</f>
        <v>0</v>
      </c>
      <c r="Z148" s="17">
        <f>_xlfn.XLOOKUP($B148,'[1]Sep-25'!$A:$A,'[1]Sep-25'!$H:$H,0)</f>
        <v>0</v>
      </c>
      <c r="AA148" s="17">
        <f>_xlfn.XLOOKUP($B148,'[1]Oct-25'!$A:$A,'[1]Oct-25'!$H:$H,0)</f>
        <v>0</v>
      </c>
      <c r="AB148" s="17">
        <f>_xlfn.XLOOKUP($B148,'[1]Nov-25'!$A:$A,'[1]Nov-25'!$H:$H,0)</f>
        <v>0</v>
      </c>
      <c r="AC148" s="17">
        <f>_xlfn.XLOOKUP($B148,'[1]Dec-25'!$A:$A,'[1]Dec-25'!$H:$H,0)</f>
        <v>0</v>
      </c>
      <c r="AD148" s="17">
        <f>_xlfn.XLOOKUP($B148,'[1]Jan-26'!$A:$A,'[1]Jan-26'!$H:$H,0)</f>
        <v>0</v>
      </c>
      <c r="AE148" s="17">
        <f>_xlfn.XLOOKUP($B148,'[1]Feb-26'!$A:$A,'[1]Feb-26'!$H:$H,0)</f>
        <v>0</v>
      </c>
      <c r="AF148" s="17">
        <f>_xlfn.XLOOKUP($B148,'[1]Mar-26'!$A:$A,'[1]Mar-26'!$H:$H,0)</f>
        <v>0</v>
      </c>
      <c r="AG148" s="17">
        <f>_xlfn.XLOOKUP($B148,'[1]Apr-26'!$A:$A,'[1]Apr-26'!$H:$H,0)</f>
        <v>0</v>
      </c>
    </row>
    <row r="149" spans="1:33" x14ac:dyDescent="0.2">
      <c r="A149" s="58">
        <v>13013</v>
      </c>
      <c r="B149" s="56" t="str">
        <f t="shared" si="8"/>
        <v>13013</v>
      </c>
      <c r="C149" s="57" t="s">
        <v>389</v>
      </c>
      <c r="D149" s="57" t="s">
        <v>387</v>
      </c>
      <c r="E149" s="44" t="s">
        <v>391</v>
      </c>
      <c r="F149" s="17">
        <f>_xlfn.XLOOKUP($B149,'[1]Jan-24'!$A:$A,'[1]Jan-24'!$H:$H,0)</f>
        <v>0</v>
      </c>
      <c r="G149" s="17">
        <f>_xlfn.XLOOKUP($B149,'[1]Feb-24'!$A:$A,'[1]Feb-24'!$H:$H,0)</f>
        <v>0</v>
      </c>
      <c r="H149" s="17">
        <f>_xlfn.XLOOKUP($B149,'[1]Mar-24'!$A:$A,'[1]Mar-24'!$H:$H,0)</f>
        <v>0</v>
      </c>
      <c r="I149" s="17">
        <f>_xlfn.XLOOKUP($B149,'[1]Apr-24'!$A:$A,'[1]Apr-24'!$H:$H,0)</f>
        <v>0</v>
      </c>
      <c r="J149" s="17">
        <f>_xlfn.XLOOKUP($B149,'[1]May-24'!$A:$A,'[1]May-24'!$H:$H,0)</f>
        <v>0</v>
      </c>
      <c r="K149" s="17">
        <f>_xlfn.XLOOKUP($B149,'[1]Jun-24'!$A:$A,'[1]Jun-24'!$H:$H,0)</f>
        <v>0</v>
      </c>
      <c r="L149" s="17">
        <f>_xlfn.XLOOKUP($B149,'[1]Jul-24'!$A:$A,'[1]Jul-24'!$H:$H,0)</f>
        <v>0</v>
      </c>
      <c r="M149" s="17">
        <f>_xlfn.XLOOKUP($B149,'[1]Aug-24'!$A:$A,'[1]Aug-24'!$H:$H,0)</f>
        <v>0</v>
      </c>
      <c r="N149" s="17">
        <f>_xlfn.XLOOKUP($B149,'[1]Sep-24'!$A:$A,'[1]Sep-24'!$H:$H,0)</f>
        <v>0</v>
      </c>
      <c r="O149" s="17">
        <f>_xlfn.XLOOKUP($B149,'[1]Oct-24'!$A:$A,'[1]Oct-24'!$H:$H,0)</f>
        <v>0</v>
      </c>
      <c r="P149" s="17">
        <f>_xlfn.XLOOKUP($B149,'[1]Nov-24'!$A:$A,'[1]Nov-24'!$H:$H,0)</f>
        <v>0</v>
      </c>
      <c r="Q149" s="17">
        <f>_xlfn.XLOOKUP($B149,'[1]Dec-24'!$A:$A,'[1]Dec-24'!$H:$H,0)</f>
        <v>0</v>
      </c>
      <c r="R149" s="17">
        <f>_xlfn.XLOOKUP($B149,'[1]Jan-25'!$A:$A,'[1]Jan-25'!$H:$H,0)</f>
        <v>0</v>
      </c>
      <c r="S149" s="17">
        <f>_xlfn.XLOOKUP($B149,'[1]Feb-25'!$A:$A,'[1]Feb-25'!$H:$H,0)</f>
        <v>0</v>
      </c>
      <c r="T149" s="17">
        <f>_xlfn.XLOOKUP($B149,'[1]Mar-25'!$A:$A,'[1]Mar-25'!$H:$H,0)</f>
        <v>0</v>
      </c>
      <c r="U149" s="17">
        <f>_xlfn.XLOOKUP($B149,'[1]Apr-25'!$A:$A,'[1]Apr-25'!$H:$H,0)</f>
        <v>0</v>
      </c>
      <c r="V149" s="17">
        <f>_xlfn.XLOOKUP($B149,'[1]May-25'!$A:$A,'[1]May-25'!$H:$H,0)</f>
        <v>0</v>
      </c>
      <c r="W149" s="17">
        <f>_xlfn.XLOOKUP($B149,'[1]Jun-25'!$A:$A,'[1]Jun-25'!$H:$H,0)</f>
        <v>0</v>
      </c>
      <c r="X149" s="17">
        <f>_xlfn.XLOOKUP($B149,'[1]Jul-25'!$A:$A,'[1]Jul-25'!$H:$H,0)</f>
        <v>0</v>
      </c>
      <c r="Y149" s="17">
        <f>_xlfn.XLOOKUP($B149,'[1]Aug-25'!$A:$A,'[1]Aug-25'!$H:$H,0)</f>
        <v>0</v>
      </c>
      <c r="Z149" s="17">
        <f>_xlfn.XLOOKUP($B149,'[1]Sep-25'!$A:$A,'[1]Sep-25'!$H:$H,0)</f>
        <v>0</v>
      </c>
      <c r="AA149" s="17">
        <f>_xlfn.XLOOKUP($B149,'[1]Oct-25'!$A:$A,'[1]Oct-25'!$H:$H,0)</f>
        <v>0</v>
      </c>
      <c r="AB149" s="17">
        <f>_xlfn.XLOOKUP($B149,'[1]Nov-25'!$A:$A,'[1]Nov-25'!$H:$H,0)</f>
        <v>0</v>
      </c>
      <c r="AC149" s="17">
        <f>_xlfn.XLOOKUP($B149,'[1]Dec-25'!$A:$A,'[1]Dec-25'!$H:$H,0)</f>
        <v>0</v>
      </c>
      <c r="AD149" s="17">
        <f>_xlfn.XLOOKUP($B149,'[1]Jan-26'!$A:$A,'[1]Jan-26'!$H:$H,0)</f>
        <v>0</v>
      </c>
      <c r="AE149" s="17">
        <f>_xlfn.XLOOKUP($B149,'[1]Feb-26'!$A:$A,'[1]Feb-26'!$H:$H,0)</f>
        <v>0</v>
      </c>
      <c r="AF149" s="17">
        <f>_xlfn.XLOOKUP($B149,'[1]Mar-26'!$A:$A,'[1]Mar-26'!$H:$H,0)</f>
        <v>0</v>
      </c>
      <c r="AG149" s="17">
        <f>_xlfn.XLOOKUP($B149,'[1]Apr-26'!$A:$A,'[1]Apr-26'!$H:$H,0)</f>
        <v>0</v>
      </c>
    </row>
    <row r="150" spans="1:33" x14ac:dyDescent="0.2">
      <c r="A150" s="58">
        <v>13014</v>
      </c>
      <c r="B150" s="56" t="str">
        <f t="shared" si="8"/>
        <v>13014</v>
      </c>
      <c r="C150" s="57" t="s">
        <v>389</v>
      </c>
      <c r="D150" s="57" t="s">
        <v>387</v>
      </c>
      <c r="E150" s="44" t="s">
        <v>392</v>
      </c>
      <c r="F150" s="17">
        <f>_xlfn.XLOOKUP($B150,'[1]Jan-24'!$A:$A,'[1]Jan-24'!$H:$H,0)</f>
        <v>0</v>
      </c>
      <c r="G150" s="17">
        <f>_xlfn.XLOOKUP($B150,'[1]Feb-24'!$A:$A,'[1]Feb-24'!$H:$H,0)</f>
        <v>0</v>
      </c>
      <c r="H150" s="17">
        <f>_xlfn.XLOOKUP($B150,'[1]Mar-24'!$A:$A,'[1]Mar-24'!$H:$H,0)</f>
        <v>0</v>
      </c>
      <c r="I150" s="17">
        <f>_xlfn.XLOOKUP($B150,'[1]Apr-24'!$A:$A,'[1]Apr-24'!$H:$H,0)</f>
        <v>0</v>
      </c>
      <c r="J150" s="17">
        <f>_xlfn.XLOOKUP($B150,'[1]May-24'!$A:$A,'[1]May-24'!$H:$H,0)</f>
        <v>0</v>
      </c>
      <c r="K150" s="17">
        <f>_xlfn.XLOOKUP($B150,'[1]Jun-24'!$A:$A,'[1]Jun-24'!$H:$H,0)</f>
        <v>0</v>
      </c>
      <c r="L150" s="17">
        <f>_xlfn.XLOOKUP($B150,'[1]Jul-24'!$A:$A,'[1]Jul-24'!$H:$H,0)</f>
        <v>0</v>
      </c>
      <c r="M150" s="17">
        <f>_xlfn.XLOOKUP($B150,'[1]Aug-24'!$A:$A,'[1]Aug-24'!$H:$H,0)</f>
        <v>0</v>
      </c>
      <c r="N150" s="17">
        <f>_xlfn.XLOOKUP($B150,'[1]Sep-24'!$A:$A,'[1]Sep-24'!$H:$H,0)</f>
        <v>0</v>
      </c>
      <c r="O150" s="17">
        <f>_xlfn.XLOOKUP($B150,'[1]Oct-24'!$A:$A,'[1]Oct-24'!$H:$H,0)</f>
        <v>0</v>
      </c>
      <c r="P150" s="17">
        <f>_xlfn.XLOOKUP($B150,'[1]Nov-24'!$A:$A,'[1]Nov-24'!$H:$H,0)</f>
        <v>0</v>
      </c>
      <c r="Q150" s="17">
        <f>_xlfn.XLOOKUP($B150,'[1]Dec-24'!$A:$A,'[1]Dec-24'!$H:$H,0)</f>
        <v>0</v>
      </c>
      <c r="R150" s="17">
        <f>_xlfn.XLOOKUP($B150,'[1]Jan-25'!$A:$A,'[1]Jan-25'!$H:$H,0)</f>
        <v>0</v>
      </c>
      <c r="S150" s="17">
        <f>_xlfn.XLOOKUP($B150,'[1]Feb-25'!$A:$A,'[1]Feb-25'!$H:$H,0)</f>
        <v>0</v>
      </c>
      <c r="T150" s="17">
        <f>_xlfn.XLOOKUP($B150,'[1]Mar-25'!$A:$A,'[1]Mar-25'!$H:$H,0)</f>
        <v>0</v>
      </c>
      <c r="U150" s="17">
        <f>_xlfn.XLOOKUP($B150,'[1]Apr-25'!$A:$A,'[1]Apr-25'!$H:$H,0)</f>
        <v>0</v>
      </c>
      <c r="V150" s="17">
        <f>_xlfn.XLOOKUP($B150,'[1]May-25'!$A:$A,'[1]May-25'!$H:$H,0)</f>
        <v>0</v>
      </c>
      <c r="W150" s="17">
        <f>_xlfn.XLOOKUP($B150,'[1]Jun-25'!$A:$A,'[1]Jun-25'!$H:$H,0)</f>
        <v>0</v>
      </c>
      <c r="X150" s="17">
        <f>_xlfn.XLOOKUP($B150,'[1]Jul-25'!$A:$A,'[1]Jul-25'!$H:$H,0)</f>
        <v>0</v>
      </c>
      <c r="Y150" s="17">
        <f>_xlfn.XLOOKUP($B150,'[1]Aug-25'!$A:$A,'[1]Aug-25'!$H:$H,0)</f>
        <v>0</v>
      </c>
      <c r="Z150" s="17">
        <f>_xlfn.XLOOKUP($B150,'[1]Sep-25'!$A:$A,'[1]Sep-25'!$H:$H,0)</f>
        <v>0</v>
      </c>
      <c r="AA150" s="17">
        <f>_xlfn.XLOOKUP($B150,'[1]Oct-25'!$A:$A,'[1]Oct-25'!$H:$H,0)</f>
        <v>0</v>
      </c>
      <c r="AB150" s="17">
        <f>_xlfn.XLOOKUP($B150,'[1]Nov-25'!$A:$A,'[1]Nov-25'!$H:$H,0)</f>
        <v>0</v>
      </c>
      <c r="AC150" s="17">
        <f>_xlfn.XLOOKUP($B150,'[1]Dec-25'!$A:$A,'[1]Dec-25'!$H:$H,0)</f>
        <v>0</v>
      </c>
      <c r="AD150" s="17">
        <f>_xlfn.XLOOKUP($B150,'[1]Jan-26'!$A:$A,'[1]Jan-26'!$H:$H,0)</f>
        <v>0</v>
      </c>
      <c r="AE150" s="17">
        <f>_xlfn.XLOOKUP($B150,'[1]Feb-26'!$A:$A,'[1]Feb-26'!$H:$H,0)</f>
        <v>0</v>
      </c>
      <c r="AF150" s="17">
        <f>_xlfn.XLOOKUP($B150,'[1]Mar-26'!$A:$A,'[1]Mar-26'!$H:$H,0)</f>
        <v>0</v>
      </c>
      <c r="AG150" s="17">
        <f>_xlfn.XLOOKUP($B150,'[1]Apr-26'!$A:$A,'[1]Apr-26'!$H:$H,0)</f>
        <v>0</v>
      </c>
    </row>
    <row r="151" spans="1:33" x14ac:dyDescent="0.2">
      <c r="A151" s="58">
        <v>13015</v>
      </c>
      <c r="B151" s="56" t="str">
        <f t="shared" si="8"/>
        <v>13015</v>
      </c>
      <c r="C151" s="57" t="s">
        <v>389</v>
      </c>
      <c r="D151" s="57" t="s">
        <v>387</v>
      </c>
      <c r="E151" s="44" t="s">
        <v>393</v>
      </c>
      <c r="F151" s="17">
        <f>_xlfn.XLOOKUP($B151,'[1]Jan-24'!$A:$A,'[1]Jan-24'!$H:$H,0)</f>
        <v>0</v>
      </c>
      <c r="G151" s="17">
        <f>_xlfn.XLOOKUP($B151,'[1]Feb-24'!$A:$A,'[1]Feb-24'!$H:$H,0)</f>
        <v>0</v>
      </c>
      <c r="H151" s="17">
        <f>_xlfn.XLOOKUP($B151,'[1]Mar-24'!$A:$A,'[1]Mar-24'!$H:$H,0)</f>
        <v>0</v>
      </c>
      <c r="I151" s="17">
        <f>_xlfn.XLOOKUP($B151,'[1]Apr-24'!$A:$A,'[1]Apr-24'!$H:$H,0)</f>
        <v>0</v>
      </c>
      <c r="J151" s="17">
        <f>_xlfn.XLOOKUP($B151,'[1]May-24'!$A:$A,'[1]May-24'!$H:$H,0)</f>
        <v>0</v>
      </c>
      <c r="K151" s="17">
        <f>_xlfn.XLOOKUP($B151,'[1]Jun-24'!$A:$A,'[1]Jun-24'!$H:$H,0)</f>
        <v>0</v>
      </c>
      <c r="L151" s="17">
        <f>_xlfn.XLOOKUP($B151,'[1]Jul-24'!$A:$A,'[1]Jul-24'!$H:$H,0)</f>
        <v>0</v>
      </c>
      <c r="M151" s="17">
        <f>_xlfn.XLOOKUP($B151,'[1]Aug-24'!$A:$A,'[1]Aug-24'!$H:$H,0)</f>
        <v>0</v>
      </c>
      <c r="N151" s="17">
        <f>_xlfn.XLOOKUP($B151,'[1]Sep-24'!$A:$A,'[1]Sep-24'!$H:$H,0)</f>
        <v>0</v>
      </c>
      <c r="O151" s="17">
        <f>_xlfn.XLOOKUP($B151,'[1]Oct-24'!$A:$A,'[1]Oct-24'!$H:$H,0)</f>
        <v>0</v>
      </c>
      <c r="P151" s="17">
        <f>_xlfn.XLOOKUP($B151,'[1]Nov-24'!$A:$A,'[1]Nov-24'!$H:$H,0)</f>
        <v>0</v>
      </c>
      <c r="Q151" s="17">
        <f>_xlfn.XLOOKUP($B151,'[1]Dec-24'!$A:$A,'[1]Dec-24'!$H:$H,0)</f>
        <v>0</v>
      </c>
      <c r="R151" s="17">
        <f>_xlfn.XLOOKUP($B151,'[1]Jan-25'!$A:$A,'[1]Jan-25'!$H:$H,0)</f>
        <v>0</v>
      </c>
      <c r="S151" s="17">
        <f>_xlfn.XLOOKUP($B151,'[1]Feb-25'!$A:$A,'[1]Feb-25'!$H:$H,0)</f>
        <v>0</v>
      </c>
      <c r="T151" s="17">
        <f>_xlfn.XLOOKUP($B151,'[1]Mar-25'!$A:$A,'[1]Mar-25'!$H:$H,0)</f>
        <v>0</v>
      </c>
      <c r="U151" s="17">
        <f>_xlfn.XLOOKUP($B151,'[1]Apr-25'!$A:$A,'[1]Apr-25'!$H:$H,0)</f>
        <v>0</v>
      </c>
      <c r="V151" s="17">
        <f>_xlfn.XLOOKUP($B151,'[1]May-25'!$A:$A,'[1]May-25'!$H:$H,0)</f>
        <v>0</v>
      </c>
      <c r="W151" s="17">
        <f>_xlfn.XLOOKUP($B151,'[1]Jun-25'!$A:$A,'[1]Jun-25'!$H:$H,0)</f>
        <v>0</v>
      </c>
      <c r="X151" s="17">
        <f>_xlfn.XLOOKUP($B151,'[1]Jul-25'!$A:$A,'[1]Jul-25'!$H:$H,0)</f>
        <v>0</v>
      </c>
      <c r="Y151" s="17">
        <f>_xlfn.XLOOKUP($B151,'[1]Aug-25'!$A:$A,'[1]Aug-25'!$H:$H,0)</f>
        <v>0</v>
      </c>
      <c r="Z151" s="17">
        <f>_xlfn.XLOOKUP($B151,'[1]Sep-25'!$A:$A,'[1]Sep-25'!$H:$H,0)</f>
        <v>0</v>
      </c>
      <c r="AA151" s="17">
        <f>_xlfn.XLOOKUP($B151,'[1]Oct-25'!$A:$A,'[1]Oct-25'!$H:$H,0)</f>
        <v>0</v>
      </c>
      <c r="AB151" s="17">
        <f>_xlfn.XLOOKUP($B151,'[1]Nov-25'!$A:$A,'[1]Nov-25'!$H:$H,0)</f>
        <v>0</v>
      </c>
      <c r="AC151" s="17">
        <f>_xlfn.XLOOKUP($B151,'[1]Dec-25'!$A:$A,'[1]Dec-25'!$H:$H,0)</f>
        <v>0</v>
      </c>
      <c r="AD151" s="17">
        <f>_xlfn.XLOOKUP($B151,'[1]Jan-26'!$A:$A,'[1]Jan-26'!$H:$H,0)</f>
        <v>0</v>
      </c>
      <c r="AE151" s="17">
        <f>_xlfn.XLOOKUP($B151,'[1]Feb-26'!$A:$A,'[1]Feb-26'!$H:$H,0)</f>
        <v>0</v>
      </c>
      <c r="AF151" s="17">
        <f>_xlfn.XLOOKUP($B151,'[1]Mar-26'!$A:$A,'[1]Mar-26'!$H:$H,0)</f>
        <v>0</v>
      </c>
      <c r="AG151" s="17">
        <f>_xlfn.XLOOKUP($B151,'[1]Apr-26'!$A:$A,'[1]Apr-26'!$H:$H,0)</f>
        <v>0</v>
      </c>
    </row>
    <row r="152" spans="1:33" x14ac:dyDescent="0.2">
      <c r="A152" s="58">
        <v>13016</v>
      </c>
      <c r="B152" s="56" t="str">
        <f t="shared" si="8"/>
        <v>13016</v>
      </c>
      <c r="C152" s="57" t="s">
        <v>371</v>
      </c>
      <c r="D152" s="57" t="s">
        <v>303</v>
      </c>
      <c r="E152" s="44" t="s">
        <v>394</v>
      </c>
      <c r="F152" s="17">
        <f>_xlfn.XLOOKUP($B152,'[1]Jan-24'!$A:$A,'[1]Jan-24'!$H:$H,0)</f>
        <v>0</v>
      </c>
      <c r="G152" s="17">
        <f>_xlfn.XLOOKUP($B152,'[1]Feb-24'!$A:$A,'[1]Feb-24'!$H:$H,0)</f>
        <v>0</v>
      </c>
      <c r="H152" s="17">
        <f>_xlfn.XLOOKUP($B152,'[1]Mar-24'!$A:$A,'[1]Mar-24'!$H:$H,0)</f>
        <v>0</v>
      </c>
      <c r="I152" s="17">
        <f>_xlfn.XLOOKUP($B152,'[1]Apr-24'!$A:$A,'[1]Apr-24'!$H:$H,0)</f>
        <v>0</v>
      </c>
      <c r="J152" s="17">
        <f>_xlfn.XLOOKUP($B152,'[1]May-24'!$A:$A,'[1]May-24'!$H:$H,0)</f>
        <v>0</v>
      </c>
      <c r="K152" s="17">
        <f>_xlfn.XLOOKUP($B152,'[1]Jun-24'!$A:$A,'[1]Jun-24'!$H:$H,0)</f>
        <v>0</v>
      </c>
      <c r="L152" s="17">
        <f>_xlfn.XLOOKUP($B152,'[1]Jul-24'!$A:$A,'[1]Jul-24'!$H:$H,0)</f>
        <v>0</v>
      </c>
      <c r="M152" s="17">
        <f>_xlfn.XLOOKUP($B152,'[1]Aug-24'!$A:$A,'[1]Aug-24'!$H:$H,0)</f>
        <v>0</v>
      </c>
      <c r="N152" s="17">
        <f>_xlfn.XLOOKUP($B152,'[1]Sep-24'!$A:$A,'[1]Sep-24'!$H:$H,0)</f>
        <v>0</v>
      </c>
      <c r="O152" s="17">
        <f>_xlfn.XLOOKUP($B152,'[1]Oct-24'!$A:$A,'[1]Oct-24'!$H:$H,0)</f>
        <v>0</v>
      </c>
      <c r="P152" s="17">
        <f>_xlfn.XLOOKUP($B152,'[1]Nov-24'!$A:$A,'[1]Nov-24'!$H:$H,0)</f>
        <v>0</v>
      </c>
      <c r="Q152" s="17">
        <f>_xlfn.XLOOKUP($B152,'[1]Dec-24'!$A:$A,'[1]Dec-24'!$H:$H,0)</f>
        <v>0</v>
      </c>
      <c r="R152" s="17">
        <f>_xlfn.XLOOKUP($B152,'[1]Jan-25'!$A:$A,'[1]Jan-25'!$H:$H,0)</f>
        <v>0</v>
      </c>
      <c r="S152" s="17">
        <f>_xlfn.XLOOKUP($B152,'[1]Feb-25'!$A:$A,'[1]Feb-25'!$H:$H,0)</f>
        <v>0</v>
      </c>
      <c r="T152" s="17">
        <f>_xlfn.XLOOKUP($B152,'[1]Mar-25'!$A:$A,'[1]Mar-25'!$H:$H,0)</f>
        <v>0</v>
      </c>
      <c r="U152" s="17">
        <f>_xlfn.XLOOKUP($B152,'[1]Apr-25'!$A:$A,'[1]Apr-25'!$H:$H,0)</f>
        <v>0</v>
      </c>
      <c r="V152" s="17">
        <f>_xlfn.XLOOKUP($B152,'[1]May-25'!$A:$A,'[1]May-25'!$H:$H,0)</f>
        <v>0</v>
      </c>
      <c r="W152" s="17">
        <f>_xlfn.XLOOKUP($B152,'[1]Jun-25'!$A:$A,'[1]Jun-25'!$H:$H,0)</f>
        <v>0</v>
      </c>
      <c r="X152" s="17">
        <f>_xlfn.XLOOKUP($B152,'[1]Jul-25'!$A:$A,'[1]Jul-25'!$H:$H,0)</f>
        <v>0</v>
      </c>
      <c r="Y152" s="17">
        <f>_xlfn.XLOOKUP($B152,'[1]Aug-25'!$A:$A,'[1]Aug-25'!$H:$H,0)</f>
        <v>0</v>
      </c>
      <c r="Z152" s="17">
        <f>_xlfn.XLOOKUP($B152,'[1]Sep-25'!$A:$A,'[1]Sep-25'!$H:$H,0)</f>
        <v>0</v>
      </c>
      <c r="AA152" s="17">
        <f>_xlfn.XLOOKUP($B152,'[1]Oct-25'!$A:$A,'[1]Oct-25'!$H:$H,0)</f>
        <v>0</v>
      </c>
      <c r="AB152" s="17">
        <f>_xlfn.XLOOKUP($B152,'[1]Nov-25'!$A:$A,'[1]Nov-25'!$H:$H,0)</f>
        <v>0</v>
      </c>
      <c r="AC152" s="17">
        <f>_xlfn.XLOOKUP($B152,'[1]Dec-25'!$A:$A,'[1]Dec-25'!$H:$H,0)</f>
        <v>0</v>
      </c>
      <c r="AD152" s="17">
        <f>_xlfn.XLOOKUP($B152,'[1]Jan-26'!$A:$A,'[1]Jan-26'!$H:$H,0)</f>
        <v>0</v>
      </c>
      <c r="AE152" s="17">
        <f>_xlfn.XLOOKUP($B152,'[1]Feb-26'!$A:$A,'[1]Feb-26'!$H:$H,0)</f>
        <v>0</v>
      </c>
      <c r="AF152" s="17">
        <f>_xlfn.XLOOKUP($B152,'[1]Mar-26'!$A:$A,'[1]Mar-26'!$H:$H,0)</f>
        <v>0</v>
      </c>
      <c r="AG152" s="17">
        <f>_xlfn.XLOOKUP($B152,'[1]Apr-26'!$A:$A,'[1]Apr-26'!$H:$H,0)</f>
        <v>0</v>
      </c>
    </row>
    <row r="153" spans="1:33" x14ac:dyDescent="0.2">
      <c r="A153" s="58">
        <v>13017</v>
      </c>
      <c r="B153" s="56" t="str">
        <f t="shared" si="8"/>
        <v>13017</v>
      </c>
      <c r="C153" s="57" t="s">
        <v>371</v>
      </c>
      <c r="D153" s="57" t="s">
        <v>303</v>
      </c>
      <c r="E153" s="44" t="s">
        <v>395</v>
      </c>
      <c r="F153" s="17">
        <f>_xlfn.XLOOKUP($B153,'[1]Jan-24'!$A:$A,'[1]Jan-24'!$H:$H,0)</f>
        <v>0</v>
      </c>
      <c r="G153" s="17">
        <f>_xlfn.XLOOKUP($B153,'[1]Feb-24'!$A:$A,'[1]Feb-24'!$H:$H,0)</f>
        <v>0</v>
      </c>
      <c r="H153" s="17">
        <f>_xlfn.XLOOKUP($B153,'[1]Mar-24'!$A:$A,'[1]Mar-24'!$H:$H,0)</f>
        <v>0</v>
      </c>
      <c r="I153" s="17">
        <f>_xlfn.XLOOKUP($B153,'[1]Apr-24'!$A:$A,'[1]Apr-24'!$H:$H,0)</f>
        <v>0</v>
      </c>
      <c r="J153" s="17">
        <f>_xlfn.XLOOKUP($B153,'[1]May-24'!$A:$A,'[1]May-24'!$H:$H,0)</f>
        <v>0</v>
      </c>
      <c r="K153" s="17">
        <f>_xlfn.XLOOKUP($B153,'[1]Jun-24'!$A:$A,'[1]Jun-24'!$H:$H,0)</f>
        <v>0</v>
      </c>
      <c r="L153" s="17">
        <f>_xlfn.XLOOKUP($B153,'[1]Jul-24'!$A:$A,'[1]Jul-24'!$H:$H,0)</f>
        <v>0</v>
      </c>
      <c r="M153" s="17">
        <f>_xlfn.XLOOKUP($B153,'[1]Aug-24'!$A:$A,'[1]Aug-24'!$H:$H,0)</f>
        <v>0</v>
      </c>
      <c r="N153" s="17">
        <f>_xlfn.XLOOKUP($B153,'[1]Sep-24'!$A:$A,'[1]Sep-24'!$H:$H,0)</f>
        <v>0</v>
      </c>
      <c r="O153" s="17">
        <f>_xlfn.XLOOKUP($B153,'[1]Oct-24'!$A:$A,'[1]Oct-24'!$H:$H,0)</f>
        <v>0</v>
      </c>
      <c r="P153" s="17">
        <f>_xlfn.XLOOKUP($B153,'[1]Nov-24'!$A:$A,'[1]Nov-24'!$H:$H,0)</f>
        <v>0</v>
      </c>
      <c r="Q153" s="17">
        <f>_xlfn.XLOOKUP($B153,'[1]Dec-24'!$A:$A,'[1]Dec-24'!$H:$H,0)</f>
        <v>0</v>
      </c>
      <c r="R153" s="17">
        <f>_xlfn.XLOOKUP($B153,'[1]Jan-25'!$A:$A,'[1]Jan-25'!$H:$H,0)</f>
        <v>0</v>
      </c>
      <c r="S153" s="17">
        <f>_xlfn.XLOOKUP($B153,'[1]Feb-25'!$A:$A,'[1]Feb-25'!$H:$H,0)</f>
        <v>0</v>
      </c>
      <c r="T153" s="17">
        <f>_xlfn.XLOOKUP($B153,'[1]Mar-25'!$A:$A,'[1]Mar-25'!$H:$H,0)</f>
        <v>0</v>
      </c>
      <c r="U153" s="17">
        <f>_xlfn.XLOOKUP($B153,'[1]Apr-25'!$A:$A,'[1]Apr-25'!$H:$H,0)</f>
        <v>0</v>
      </c>
      <c r="V153" s="17">
        <f>_xlfn.XLOOKUP($B153,'[1]May-25'!$A:$A,'[1]May-25'!$H:$H,0)</f>
        <v>0</v>
      </c>
      <c r="W153" s="17">
        <f>_xlfn.XLOOKUP($B153,'[1]Jun-25'!$A:$A,'[1]Jun-25'!$H:$H,0)</f>
        <v>0</v>
      </c>
      <c r="X153" s="17">
        <f>_xlfn.XLOOKUP($B153,'[1]Jul-25'!$A:$A,'[1]Jul-25'!$H:$H,0)</f>
        <v>0</v>
      </c>
      <c r="Y153" s="17">
        <f>_xlfn.XLOOKUP($B153,'[1]Aug-25'!$A:$A,'[1]Aug-25'!$H:$H,0)</f>
        <v>0</v>
      </c>
      <c r="Z153" s="17">
        <f>_xlfn.XLOOKUP($B153,'[1]Sep-25'!$A:$A,'[1]Sep-25'!$H:$H,0)</f>
        <v>0</v>
      </c>
      <c r="AA153" s="17">
        <f>_xlfn.XLOOKUP($B153,'[1]Oct-25'!$A:$A,'[1]Oct-25'!$H:$H,0)</f>
        <v>0</v>
      </c>
      <c r="AB153" s="17">
        <f>_xlfn.XLOOKUP($B153,'[1]Nov-25'!$A:$A,'[1]Nov-25'!$H:$H,0)</f>
        <v>0</v>
      </c>
      <c r="AC153" s="17">
        <f>_xlfn.XLOOKUP($B153,'[1]Dec-25'!$A:$A,'[1]Dec-25'!$H:$H,0)</f>
        <v>0</v>
      </c>
      <c r="AD153" s="17">
        <f>_xlfn.XLOOKUP($B153,'[1]Jan-26'!$A:$A,'[1]Jan-26'!$H:$H,0)</f>
        <v>0</v>
      </c>
      <c r="AE153" s="17">
        <f>_xlfn.XLOOKUP($B153,'[1]Feb-26'!$A:$A,'[1]Feb-26'!$H:$H,0)</f>
        <v>0</v>
      </c>
      <c r="AF153" s="17">
        <f>_xlfn.XLOOKUP($B153,'[1]Mar-26'!$A:$A,'[1]Mar-26'!$H:$H,0)</f>
        <v>0</v>
      </c>
      <c r="AG153" s="17">
        <f>_xlfn.XLOOKUP($B153,'[1]Apr-26'!$A:$A,'[1]Apr-26'!$H:$H,0)</f>
        <v>0</v>
      </c>
    </row>
    <row r="154" spans="1:33" x14ac:dyDescent="0.2">
      <c r="A154" s="58">
        <v>13018</v>
      </c>
      <c r="B154" s="56" t="str">
        <f t="shared" si="8"/>
        <v>13018</v>
      </c>
      <c r="C154" s="57" t="s">
        <v>371</v>
      </c>
      <c r="D154" s="57" t="s">
        <v>303</v>
      </c>
      <c r="E154" s="44" t="s">
        <v>396</v>
      </c>
      <c r="F154" s="17">
        <f>_xlfn.XLOOKUP($B154,'[1]Jan-24'!$A:$A,'[1]Jan-24'!$H:$H,0)</f>
        <v>0</v>
      </c>
      <c r="G154" s="17">
        <f>_xlfn.XLOOKUP($B154,'[1]Feb-24'!$A:$A,'[1]Feb-24'!$H:$H,0)</f>
        <v>0</v>
      </c>
      <c r="H154" s="17">
        <f>_xlfn.XLOOKUP($B154,'[1]Mar-24'!$A:$A,'[1]Mar-24'!$H:$H,0)</f>
        <v>0</v>
      </c>
      <c r="I154" s="17">
        <f>_xlfn.XLOOKUP($B154,'[1]Apr-24'!$A:$A,'[1]Apr-24'!$H:$H,0)</f>
        <v>0</v>
      </c>
      <c r="J154" s="17">
        <f>_xlfn.XLOOKUP($B154,'[1]May-24'!$A:$A,'[1]May-24'!$H:$H,0)</f>
        <v>0</v>
      </c>
      <c r="K154" s="17">
        <f>_xlfn.XLOOKUP($B154,'[1]Jun-24'!$A:$A,'[1]Jun-24'!$H:$H,0)</f>
        <v>0</v>
      </c>
      <c r="L154" s="17">
        <f>_xlfn.XLOOKUP($B154,'[1]Jul-24'!$A:$A,'[1]Jul-24'!$H:$H,0)</f>
        <v>0</v>
      </c>
      <c r="M154" s="17">
        <f>_xlfn.XLOOKUP($B154,'[1]Aug-24'!$A:$A,'[1]Aug-24'!$H:$H,0)</f>
        <v>0</v>
      </c>
      <c r="N154" s="17">
        <f>_xlfn.XLOOKUP($B154,'[1]Sep-24'!$A:$A,'[1]Sep-24'!$H:$H,0)</f>
        <v>0</v>
      </c>
      <c r="O154" s="17">
        <f>_xlfn.XLOOKUP($B154,'[1]Oct-24'!$A:$A,'[1]Oct-24'!$H:$H,0)</f>
        <v>0</v>
      </c>
      <c r="P154" s="17">
        <f>_xlfn.XLOOKUP($B154,'[1]Nov-24'!$A:$A,'[1]Nov-24'!$H:$H,0)</f>
        <v>0</v>
      </c>
      <c r="Q154" s="17">
        <f>_xlfn.XLOOKUP($B154,'[1]Dec-24'!$A:$A,'[1]Dec-24'!$H:$H,0)</f>
        <v>0</v>
      </c>
      <c r="R154" s="17">
        <f>_xlfn.XLOOKUP($B154,'[1]Jan-25'!$A:$A,'[1]Jan-25'!$H:$H,0)</f>
        <v>0</v>
      </c>
      <c r="S154" s="17">
        <f>_xlfn.XLOOKUP($B154,'[1]Feb-25'!$A:$A,'[1]Feb-25'!$H:$H,0)</f>
        <v>0</v>
      </c>
      <c r="T154" s="17">
        <f>_xlfn.XLOOKUP($B154,'[1]Mar-25'!$A:$A,'[1]Mar-25'!$H:$H,0)</f>
        <v>0</v>
      </c>
      <c r="U154" s="17">
        <f>_xlfn.XLOOKUP($B154,'[1]Apr-25'!$A:$A,'[1]Apr-25'!$H:$H,0)</f>
        <v>0</v>
      </c>
      <c r="V154" s="17">
        <f>_xlfn.XLOOKUP($B154,'[1]May-25'!$A:$A,'[1]May-25'!$H:$H,0)</f>
        <v>0</v>
      </c>
      <c r="W154" s="17">
        <f>_xlfn.XLOOKUP($B154,'[1]Jun-25'!$A:$A,'[1]Jun-25'!$H:$H,0)</f>
        <v>0</v>
      </c>
      <c r="X154" s="17">
        <f>_xlfn.XLOOKUP($B154,'[1]Jul-25'!$A:$A,'[1]Jul-25'!$H:$H,0)</f>
        <v>0</v>
      </c>
      <c r="Y154" s="17">
        <f>_xlfn.XLOOKUP($B154,'[1]Aug-25'!$A:$A,'[1]Aug-25'!$H:$H,0)</f>
        <v>0</v>
      </c>
      <c r="Z154" s="17">
        <f>_xlfn.XLOOKUP($B154,'[1]Sep-25'!$A:$A,'[1]Sep-25'!$H:$H,0)</f>
        <v>0</v>
      </c>
      <c r="AA154" s="17">
        <f>_xlfn.XLOOKUP($B154,'[1]Oct-25'!$A:$A,'[1]Oct-25'!$H:$H,0)</f>
        <v>0</v>
      </c>
      <c r="AB154" s="17">
        <f>_xlfn.XLOOKUP($B154,'[1]Nov-25'!$A:$A,'[1]Nov-25'!$H:$H,0)</f>
        <v>0</v>
      </c>
      <c r="AC154" s="17">
        <f>_xlfn.XLOOKUP($B154,'[1]Dec-25'!$A:$A,'[1]Dec-25'!$H:$H,0)</f>
        <v>0</v>
      </c>
      <c r="AD154" s="17">
        <f>_xlfn.XLOOKUP($B154,'[1]Jan-26'!$A:$A,'[1]Jan-26'!$H:$H,0)</f>
        <v>0</v>
      </c>
      <c r="AE154" s="17">
        <f>_xlfn.XLOOKUP($B154,'[1]Feb-26'!$A:$A,'[1]Feb-26'!$H:$H,0)</f>
        <v>0</v>
      </c>
      <c r="AF154" s="17">
        <f>_xlfn.XLOOKUP($B154,'[1]Mar-26'!$A:$A,'[1]Mar-26'!$H:$H,0)</f>
        <v>0</v>
      </c>
      <c r="AG154" s="17">
        <f>_xlfn.XLOOKUP($B154,'[1]Apr-26'!$A:$A,'[1]Apr-26'!$H:$H,0)</f>
        <v>0</v>
      </c>
    </row>
    <row r="155" spans="1:33" x14ac:dyDescent="0.2">
      <c r="A155" s="58">
        <v>13019</v>
      </c>
      <c r="B155" s="56" t="str">
        <f t="shared" si="8"/>
        <v>13019</v>
      </c>
      <c r="C155" s="57" t="s">
        <v>371</v>
      </c>
      <c r="D155" s="57" t="s">
        <v>303</v>
      </c>
      <c r="E155" s="44" t="s">
        <v>397</v>
      </c>
      <c r="F155" s="17">
        <f>_xlfn.XLOOKUP($B155,'[1]Jan-24'!$A:$A,'[1]Jan-24'!$H:$H,0)</f>
        <v>0</v>
      </c>
      <c r="G155" s="17">
        <f>_xlfn.XLOOKUP($B155,'[1]Feb-24'!$A:$A,'[1]Feb-24'!$H:$H,0)</f>
        <v>0</v>
      </c>
      <c r="H155" s="17">
        <f>_xlfn.XLOOKUP($B155,'[1]Mar-24'!$A:$A,'[1]Mar-24'!$H:$H,0)</f>
        <v>0</v>
      </c>
      <c r="I155" s="17">
        <f>_xlfn.XLOOKUP($B155,'[1]Apr-24'!$A:$A,'[1]Apr-24'!$H:$H,0)</f>
        <v>0</v>
      </c>
      <c r="J155" s="17">
        <f>_xlfn.XLOOKUP($B155,'[1]May-24'!$A:$A,'[1]May-24'!$H:$H,0)</f>
        <v>0</v>
      </c>
      <c r="K155" s="17">
        <f>_xlfn.XLOOKUP($B155,'[1]Jun-24'!$A:$A,'[1]Jun-24'!$H:$H,0)</f>
        <v>0</v>
      </c>
      <c r="L155" s="17">
        <f>_xlfn.XLOOKUP($B155,'[1]Jul-24'!$A:$A,'[1]Jul-24'!$H:$H,0)</f>
        <v>0</v>
      </c>
      <c r="M155" s="17">
        <f>_xlfn.XLOOKUP($B155,'[1]Aug-24'!$A:$A,'[1]Aug-24'!$H:$H,0)</f>
        <v>0</v>
      </c>
      <c r="N155" s="17">
        <f>_xlfn.XLOOKUP($B155,'[1]Sep-24'!$A:$A,'[1]Sep-24'!$H:$H,0)</f>
        <v>0</v>
      </c>
      <c r="O155" s="17">
        <f>_xlfn.XLOOKUP($B155,'[1]Oct-24'!$A:$A,'[1]Oct-24'!$H:$H,0)</f>
        <v>0</v>
      </c>
      <c r="P155" s="17">
        <f>_xlfn.XLOOKUP($B155,'[1]Nov-24'!$A:$A,'[1]Nov-24'!$H:$H,0)</f>
        <v>0</v>
      </c>
      <c r="Q155" s="17">
        <f>_xlfn.XLOOKUP($B155,'[1]Dec-24'!$A:$A,'[1]Dec-24'!$H:$H,0)</f>
        <v>0</v>
      </c>
      <c r="R155" s="17">
        <f>_xlfn.XLOOKUP($B155,'[1]Jan-25'!$A:$A,'[1]Jan-25'!$H:$H,0)</f>
        <v>0</v>
      </c>
      <c r="S155" s="17">
        <f>_xlfn.XLOOKUP($B155,'[1]Feb-25'!$A:$A,'[1]Feb-25'!$H:$H,0)</f>
        <v>0</v>
      </c>
      <c r="T155" s="17">
        <f>_xlfn.XLOOKUP($B155,'[1]Mar-25'!$A:$A,'[1]Mar-25'!$H:$H,0)</f>
        <v>0</v>
      </c>
      <c r="U155" s="17">
        <f>_xlfn.XLOOKUP($B155,'[1]Apr-25'!$A:$A,'[1]Apr-25'!$H:$H,0)</f>
        <v>0</v>
      </c>
      <c r="V155" s="17">
        <f>_xlfn.XLOOKUP($B155,'[1]May-25'!$A:$A,'[1]May-25'!$H:$H,0)</f>
        <v>0</v>
      </c>
      <c r="W155" s="17">
        <f>_xlfn.XLOOKUP($B155,'[1]Jun-25'!$A:$A,'[1]Jun-25'!$H:$H,0)</f>
        <v>0</v>
      </c>
      <c r="X155" s="17">
        <f>_xlfn.XLOOKUP($B155,'[1]Jul-25'!$A:$A,'[1]Jul-25'!$H:$H,0)</f>
        <v>0</v>
      </c>
      <c r="Y155" s="17">
        <f>_xlfn.XLOOKUP($B155,'[1]Aug-25'!$A:$A,'[1]Aug-25'!$H:$H,0)</f>
        <v>0</v>
      </c>
      <c r="Z155" s="17">
        <f>_xlfn.XLOOKUP($B155,'[1]Sep-25'!$A:$A,'[1]Sep-25'!$H:$H,0)</f>
        <v>0</v>
      </c>
      <c r="AA155" s="17">
        <f>_xlfn.XLOOKUP($B155,'[1]Oct-25'!$A:$A,'[1]Oct-25'!$H:$H,0)</f>
        <v>0</v>
      </c>
      <c r="AB155" s="17">
        <f>_xlfn.XLOOKUP($B155,'[1]Nov-25'!$A:$A,'[1]Nov-25'!$H:$H,0)</f>
        <v>0</v>
      </c>
      <c r="AC155" s="17">
        <f>_xlfn.XLOOKUP($B155,'[1]Dec-25'!$A:$A,'[1]Dec-25'!$H:$H,0)</f>
        <v>0</v>
      </c>
      <c r="AD155" s="17">
        <f>_xlfn.XLOOKUP($B155,'[1]Jan-26'!$A:$A,'[1]Jan-26'!$H:$H,0)</f>
        <v>0</v>
      </c>
      <c r="AE155" s="17">
        <f>_xlfn.XLOOKUP($B155,'[1]Feb-26'!$A:$A,'[1]Feb-26'!$H:$H,0)</f>
        <v>0</v>
      </c>
      <c r="AF155" s="17">
        <f>_xlfn.XLOOKUP($B155,'[1]Mar-26'!$A:$A,'[1]Mar-26'!$H:$H,0)</f>
        <v>0</v>
      </c>
      <c r="AG155" s="17">
        <f>_xlfn.XLOOKUP($B155,'[1]Apr-26'!$A:$A,'[1]Apr-26'!$H:$H,0)</f>
        <v>0</v>
      </c>
    </row>
    <row r="156" spans="1:33" x14ac:dyDescent="0.2">
      <c r="A156" s="58">
        <v>13020</v>
      </c>
      <c r="B156" s="56" t="str">
        <f t="shared" si="8"/>
        <v>13020</v>
      </c>
      <c r="C156" s="57" t="s">
        <v>371</v>
      </c>
      <c r="D156" s="57" t="s">
        <v>303</v>
      </c>
      <c r="E156" s="44" t="s">
        <v>398</v>
      </c>
      <c r="F156" s="17">
        <f>_xlfn.XLOOKUP($B156,'[1]Jan-24'!$A:$A,'[1]Jan-24'!$H:$H,0)</f>
        <v>0</v>
      </c>
      <c r="G156" s="17">
        <f>_xlfn.XLOOKUP($B156,'[1]Feb-24'!$A:$A,'[1]Feb-24'!$H:$H,0)</f>
        <v>0</v>
      </c>
      <c r="H156" s="17">
        <f>_xlfn.XLOOKUP($B156,'[1]Mar-24'!$A:$A,'[1]Mar-24'!$H:$H,0)</f>
        <v>0</v>
      </c>
      <c r="I156" s="17">
        <f>_xlfn.XLOOKUP($B156,'[1]Apr-24'!$A:$A,'[1]Apr-24'!$H:$H,0)</f>
        <v>0</v>
      </c>
      <c r="J156" s="17">
        <f>_xlfn.XLOOKUP($B156,'[1]May-24'!$A:$A,'[1]May-24'!$H:$H,0)</f>
        <v>0</v>
      </c>
      <c r="K156" s="17">
        <f>_xlfn.XLOOKUP($B156,'[1]Jun-24'!$A:$A,'[1]Jun-24'!$H:$H,0)</f>
        <v>0</v>
      </c>
      <c r="L156" s="17">
        <f>_xlfn.XLOOKUP($B156,'[1]Jul-24'!$A:$A,'[1]Jul-24'!$H:$H,0)</f>
        <v>0</v>
      </c>
      <c r="M156" s="17">
        <f>_xlfn.XLOOKUP($B156,'[1]Aug-24'!$A:$A,'[1]Aug-24'!$H:$H,0)</f>
        <v>0</v>
      </c>
      <c r="N156" s="17">
        <f>_xlfn.XLOOKUP($B156,'[1]Sep-24'!$A:$A,'[1]Sep-24'!$H:$H,0)</f>
        <v>0</v>
      </c>
      <c r="O156" s="17">
        <f>_xlfn.XLOOKUP($B156,'[1]Oct-24'!$A:$A,'[1]Oct-24'!$H:$H,0)</f>
        <v>0</v>
      </c>
      <c r="P156" s="17">
        <f>_xlfn.XLOOKUP($B156,'[1]Nov-24'!$A:$A,'[1]Nov-24'!$H:$H,0)</f>
        <v>0</v>
      </c>
      <c r="Q156" s="17">
        <f>_xlfn.XLOOKUP($B156,'[1]Dec-24'!$A:$A,'[1]Dec-24'!$H:$H,0)</f>
        <v>0</v>
      </c>
      <c r="R156" s="17">
        <f>_xlfn.XLOOKUP($B156,'[1]Jan-25'!$A:$A,'[1]Jan-25'!$H:$H,0)</f>
        <v>0</v>
      </c>
      <c r="S156" s="17">
        <f>_xlfn.XLOOKUP($B156,'[1]Feb-25'!$A:$A,'[1]Feb-25'!$H:$H,0)</f>
        <v>0</v>
      </c>
      <c r="T156" s="17">
        <f>_xlfn.XLOOKUP($B156,'[1]Mar-25'!$A:$A,'[1]Mar-25'!$H:$H,0)</f>
        <v>0</v>
      </c>
      <c r="U156" s="17">
        <f>_xlfn.XLOOKUP($B156,'[1]Apr-25'!$A:$A,'[1]Apr-25'!$H:$H,0)</f>
        <v>0</v>
      </c>
      <c r="V156" s="17">
        <f>_xlfn.XLOOKUP($B156,'[1]May-25'!$A:$A,'[1]May-25'!$H:$H,0)</f>
        <v>0</v>
      </c>
      <c r="W156" s="17">
        <f>_xlfn.XLOOKUP($B156,'[1]Jun-25'!$A:$A,'[1]Jun-25'!$H:$H,0)</f>
        <v>0</v>
      </c>
      <c r="X156" s="17">
        <f>_xlfn.XLOOKUP($B156,'[1]Jul-25'!$A:$A,'[1]Jul-25'!$H:$H,0)</f>
        <v>0</v>
      </c>
      <c r="Y156" s="17">
        <f>_xlfn.XLOOKUP($B156,'[1]Aug-25'!$A:$A,'[1]Aug-25'!$H:$H,0)</f>
        <v>0</v>
      </c>
      <c r="Z156" s="17">
        <f>_xlfn.XLOOKUP($B156,'[1]Sep-25'!$A:$A,'[1]Sep-25'!$H:$H,0)</f>
        <v>0</v>
      </c>
      <c r="AA156" s="17">
        <f>_xlfn.XLOOKUP($B156,'[1]Oct-25'!$A:$A,'[1]Oct-25'!$H:$H,0)</f>
        <v>0</v>
      </c>
      <c r="AB156" s="17">
        <f>_xlfn.XLOOKUP($B156,'[1]Nov-25'!$A:$A,'[1]Nov-25'!$H:$H,0)</f>
        <v>0</v>
      </c>
      <c r="AC156" s="17">
        <f>_xlfn.XLOOKUP($B156,'[1]Dec-25'!$A:$A,'[1]Dec-25'!$H:$H,0)</f>
        <v>0</v>
      </c>
      <c r="AD156" s="17">
        <f>_xlfn.XLOOKUP($B156,'[1]Jan-26'!$A:$A,'[1]Jan-26'!$H:$H,0)</f>
        <v>0</v>
      </c>
      <c r="AE156" s="17">
        <f>_xlfn.XLOOKUP($B156,'[1]Feb-26'!$A:$A,'[1]Feb-26'!$H:$H,0)</f>
        <v>0</v>
      </c>
      <c r="AF156" s="17">
        <f>_xlfn.XLOOKUP($B156,'[1]Mar-26'!$A:$A,'[1]Mar-26'!$H:$H,0)</f>
        <v>0</v>
      </c>
      <c r="AG156" s="17">
        <f>_xlfn.XLOOKUP($B156,'[1]Apr-26'!$A:$A,'[1]Apr-26'!$H:$H,0)</f>
        <v>0</v>
      </c>
    </row>
    <row r="157" spans="1:33" x14ac:dyDescent="0.2">
      <c r="A157" s="58">
        <v>13021</v>
      </c>
      <c r="B157" s="56" t="str">
        <f t="shared" si="8"/>
        <v>13021</v>
      </c>
      <c r="C157" s="57" t="s">
        <v>371</v>
      </c>
      <c r="D157" s="57" t="s">
        <v>303</v>
      </c>
      <c r="E157" s="44" t="s">
        <v>399</v>
      </c>
      <c r="F157" s="17">
        <f>_xlfn.XLOOKUP($B157,'[1]Jan-24'!$A:$A,'[1]Jan-24'!$H:$H,0)</f>
        <v>0</v>
      </c>
      <c r="G157" s="17">
        <f>_xlfn.XLOOKUP($B157,'[1]Feb-24'!$A:$A,'[1]Feb-24'!$H:$H,0)</f>
        <v>0</v>
      </c>
      <c r="H157" s="17">
        <f>_xlfn.XLOOKUP($B157,'[1]Mar-24'!$A:$A,'[1]Mar-24'!$H:$H,0)</f>
        <v>0</v>
      </c>
      <c r="I157" s="17">
        <f>_xlfn.XLOOKUP($B157,'[1]Apr-24'!$A:$A,'[1]Apr-24'!$H:$H,0)</f>
        <v>0</v>
      </c>
      <c r="J157" s="17">
        <f>_xlfn.XLOOKUP($B157,'[1]May-24'!$A:$A,'[1]May-24'!$H:$H,0)</f>
        <v>0</v>
      </c>
      <c r="K157" s="17">
        <f>_xlfn.XLOOKUP($B157,'[1]Jun-24'!$A:$A,'[1]Jun-24'!$H:$H,0)</f>
        <v>0</v>
      </c>
      <c r="L157" s="17">
        <f>_xlfn.XLOOKUP($B157,'[1]Jul-24'!$A:$A,'[1]Jul-24'!$H:$H,0)</f>
        <v>0</v>
      </c>
      <c r="M157" s="17">
        <f>_xlfn.XLOOKUP($B157,'[1]Aug-24'!$A:$A,'[1]Aug-24'!$H:$H,0)</f>
        <v>0</v>
      </c>
      <c r="N157" s="17">
        <f>_xlfn.XLOOKUP($B157,'[1]Sep-24'!$A:$A,'[1]Sep-24'!$H:$H,0)</f>
        <v>0</v>
      </c>
      <c r="O157" s="17">
        <f>_xlfn.XLOOKUP($B157,'[1]Oct-24'!$A:$A,'[1]Oct-24'!$H:$H,0)</f>
        <v>0</v>
      </c>
      <c r="P157" s="17">
        <f>_xlfn.XLOOKUP($B157,'[1]Nov-24'!$A:$A,'[1]Nov-24'!$H:$H,0)</f>
        <v>0</v>
      </c>
      <c r="Q157" s="17">
        <f>_xlfn.XLOOKUP($B157,'[1]Dec-24'!$A:$A,'[1]Dec-24'!$H:$H,0)</f>
        <v>0</v>
      </c>
      <c r="R157" s="17">
        <f>_xlfn.XLOOKUP($B157,'[1]Jan-25'!$A:$A,'[1]Jan-25'!$H:$H,0)</f>
        <v>0</v>
      </c>
      <c r="S157" s="17">
        <f>_xlfn.XLOOKUP($B157,'[1]Feb-25'!$A:$A,'[1]Feb-25'!$H:$H,0)</f>
        <v>0</v>
      </c>
      <c r="T157" s="17">
        <f>_xlfn.XLOOKUP($B157,'[1]Mar-25'!$A:$A,'[1]Mar-25'!$H:$H,0)</f>
        <v>0</v>
      </c>
      <c r="U157" s="17">
        <f>_xlfn.XLOOKUP($B157,'[1]Apr-25'!$A:$A,'[1]Apr-25'!$H:$H,0)</f>
        <v>0</v>
      </c>
      <c r="V157" s="17">
        <f>_xlfn.XLOOKUP($B157,'[1]May-25'!$A:$A,'[1]May-25'!$H:$H,0)</f>
        <v>0</v>
      </c>
      <c r="W157" s="17">
        <f>_xlfn.XLOOKUP($B157,'[1]Jun-25'!$A:$A,'[1]Jun-25'!$H:$H,0)</f>
        <v>0</v>
      </c>
      <c r="X157" s="17">
        <f>_xlfn.XLOOKUP($B157,'[1]Jul-25'!$A:$A,'[1]Jul-25'!$H:$H,0)</f>
        <v>0</v>
      </c>
      <c r="Y157" s="17">
        <f>_xlfn.XLOOKUP($B157,'[1]Aug-25'!$A:$A,'[1]Aug-25'!$H:$H,0)</f>
        <v>0</v>
      </c>
      <c r="Z157" s="17">
        <f>_xlfn.XLOOKUP($B157,'[1]Sep-25'!$A:$A,'[1]Sep-25'!$H:$H,0)</f>
        <v>0</v>
      </c>
      <c r="AA157" s="17">
        <f>_xlfn.XLOOKUP($B157,'[1]Oct-25'!$A:$A,'[1]Oct-25'!$H:$H,0)</f>
        <v>0</v>
      </c>
      <c r="AB157" s="17">
        <f>_xlfn.XLOOKUP($B157,'[1]Nov-25'!$A:$A,'[1]Nov-25'!$H:$H,0)</f>
        <v>0</v>
      </c>
      <c r="AC157" s="17">
        <f>_xlfn.XLOOKUP($B157,'[1]Dec-25'!$A:$A,'[1]Dec-25'!$H:$H,0)</f>
        <v>0</v>
      </c>
      <c r="AD157" s="17">
        <f>_xlfn.XLOOKUP($B157,'[1]Jan-26'!$A:$A,'[1]Jan-26'!$H:$H,0)</f>
        <v>0</v>
      </c>
      <c r="AE157" s="17">
        <f>_xlfn.XLOOKUP($B157,'[1]Feb-26'!$A:$A,'[1]Feb-26'!$H:$H,0)</f>
        <v>0</v>
      </c>
      <c r="AF157" s="17">
        <f>_xlfn.XLOOKUP($B157,'[1]Mar-26'!$A:$A,'[1]Mar-26'!$H:$H,0)</f>
        <v>0</v>
      </c>
      <c r="AG157" s="17">
        <f>_xlfn.XLOOKUP($B157,'[1]Apr-26'!$A:$A,'[1]Apr-26'!$H:$H,0)</f>
        <v>0</v>
      </c>
    </row>
    <row r="158" spans="1:33" x14ac:dyDescent="0.2">
      <c r="A158" s="58">
        <v>13022</v>
      </c>
      <c r="B158" s="56" t="str">
        <f t="shared" si="8"/>
        <v>13022</v>
      </c>
      <c r="C158" s="57" t="s">
        <v>371</v>
      </c>
      <c r="D158" s="57" t="s">
        <v>303</v>
      </c>
      <c r="E158" s="44" t="s">
        <v>400</v>
      </c>
      <c r="F158" s="17">
        <f>_xlfn.XLOOKUP($B158,'[1]Jan-24'!$A:$A,'[1]Jan-24'!$H:$H,0)</f>
        <v>0</v>
      </c>
      <c r="G158" s="17">
        <f>_xlfn.XLOOKUP($B158,'[1]Feb-24'!$A:$A,'[1]Feb-24'!$H:$H,0)</f>
        <v>0</v>
      </c>
      <c r="H158" s="17">
        <f>_xlfn.XLOOKUP($B158,'[1]Mar-24'!$A:$A,'[1]Mar-24'!$H:$H,0)</f>
        <v>0</v>
      </c>
      <c r="I158" s="17">
        <f>_xlfn.XLOOKUP($B158,'[1]Apr-24'!$A:$A,'[1]Apr-24'!$H:$H,0)</f>
        <v>0</v>
      </c>
      <c r="J158" s="17">
        <f>_xlfn.XLOOKUP($B158,'[1]May-24'!$A:$A,'[1]May-24'!$H:$H,0)</f>
        <v>0</v>
      </c>
      <c r="K158" s="17">
        <f>_xlfn.XLOOKUP($B158,'[1]Jun-24'!$A:$A,'[1]Jun-24'!$H:$H,0)</f>
        <v>0</v>
      </c>
      <c r="L158" s="17">
        <f>_xlfn.XLOOKUP($B158,'[1]Jul-24'!$A:$A,'[1]Jul-24'!$H:$H,0)</f>
        <v>0</v>
      </c>
      <c r="M158" s="17">
        <f>_xlfn.XLOOKUP($B158,'[1]Aug-24'!$A:$A,'[1]Aug-24'!$H:$H,0)</f>
        <v>0</v>
      </c>
      <c r="N158" s="17">
        <f>_xlfn.XLOOKUP($B158,'[1]Sep-24'!$A:$A,'[1]Sep-24'!$H:$H,0)</f>
        <v>0</v>
      </c>
      <c r="O158" s="17">
        <f>_xlfn.XLOOKUP($B158,'[1]Oct-24'!$A:$A,'[1]Oct-24'!$H:$H,0)</f>
        <v>0</v>
      </c>
      <c r="P158" s="17">
        <f>_xlfn.XLOOKUP($B158,'[1]Nov-24'!$A:$A,'[1]Nov-24'!$H:$H,0)</f>
        <v>0</v>
      </c>
      <c r="Q158" s="17">
        <f>_xlfn.XLOOKUP($B158,'[1]Dec-24'!$A:$A,'[1]Dec-24'!$H:$H,0)</f>
        <v>0</v>
      </c>
      <c r="R158" s="17">
        <f>_xlfn.XLOOKUP($B158,'[1]Jan-25'!$A:$A,'[1]Jan-25'!$H:$H,0)</f>
        <v>0</v>
      </c>
      <c r="S158" s="17">
        <f>_xlfn.XLOOKUP($B158,'[1]Feb-25'!$A:$A,'[1]Feb-25'!$H:$H,0)</f>
        <v>0</v>
      </c>
      <c r="T158" s="17">
        <f>_xlfn.XLOOKUP($B158,'[1]Mar-25'!$A:$A,'[1]Mar-25'!$H:$H,0)</f>
        <v>0</v>
      </c>
      <c r="U158" s="17">
        <f>_xlfn.XLOOKUP($B158,'[1]Apr-25'!$A:$A,'[1]Apr-25'!$H:$H,0)</f>
        <v>0</v>
      </c>
      <c r="V158" s="17">
        <f>_xlfn.XLOOKUP($B158,'[1]May-25'!$A:$A,'[1]May-25'!$H:$H,0)</f>
        <v>0</v>
      </c>
      <c r="W158" s="17">
        <f>_xlfn.XLOOKUP($B158,'[1]Jun-25'!$A:$A,'[1]Jun-25'!$H:$H,0)</f>
        <v>0</v>
      </c>
      <c r="X158" s="17">
        <f>_xlfn.XLOOKUP($B158,'[1]Jul-25'!$A:$A,'[1]Jul-25'!$H:$H,0)</f>
        <v>0</v>
      </c>
      <c r="Y158" s="17">
        <f>_xlfn.XLOOKUP($B158,'[1]Aug-25'!$A:$A,'[1]Aug-25'!$H:$H,0)</f>
        <v>0</v>
      </c>
      <c r="Z158" s="17">
        <f>_xlfn.XLOOKUP($B158,'[1]Sep-25'!$A:$A,'[1]Sep-25'!$H:$H,0)</f>
        <v>0</v>
      </c>
      <c r="AA158" s="17">
        <f>_xlfn.XLOOKUP($B158,'[1]Oct-25'!$A:$A,'[1]Oct-25'!$H:$H,0)</f>
        <v>0</v>
      </c>
      <c r="AB158" s="17">
        <f>_xlfn.XLOOKUP($B158,'[1]Nov-25'!$A:$A,'[1]Nov-25'!$H:$H,0)</f>
        <v>0</v>
      </c>
      <c r="AC158" s="17">
        <f>_xlfn.XLOOKUP($B158,'[1]Dec-25'!$A:$A,'[1]Dec-25'!$H:$H,0)</f>
        <v>0</v>
      </c>
      <c r="AD158" s="17">
        <f>_xlfn.XLOOKUP($B158,'[1]Jan-26'!$A:$A,'[1]Jan-26'!$H:$H,0)</f>
        <v>0</v>
      </c>
      <c r="AE158" s="17">
        <f>_xlfn.XLOOKUP($B158,'[1]Feb-26'!$A:$A,'[1]Feb-26'!$H:$H,0)</f>
        <v>0</v>
      </c>
      <c r="AF158" s="17">
        <f>_xlfn.XLOOKUP($B158,'[1]Mar-26'!$A:$A,'[1]Mar-26'!$H:$H,0)</f>
        <v>0</v>
      </c>
      <c r="AG158" s="17">
        <f>_xlfn.XLOOKUP($B158,'[1]Apr-26'!$A:$A,'[1]Apr-26'!$H:$H,0)</f>
        <v>0</v>
      </c>
    </row>
    <row r="159" spans="1:33" x14ac:dyDescent="0.2">
      <c r="A159" s="58">
        <v>13100</v>
      </c>
      <c r="B159" s="56" t="str">
        <f t="shared" si="8"/>
        <v>13100</v>
      </c>
      <c r="C159" s="57" t="s">
        <v>401</v>
      </c>
      <c r="D159" s="57" t="s">
        <v>303</v>
      </c>
      <c r="E159" s="44" t="s">
        <v>402</v>
      </c>
      <c r="F159" s="17">
        <f>_xlfn.XLOOKUP($B159,'[1]Jan-24'!$A:$A,'[1]Jan-24'!$H:$H,0)</f>
        <v>0</v>
      </c>
      <c r="G159" s="17">
        <f>_xlfn.XLOOKUP($B159,'[1]Feb-24'!$A:$A,'[1]Feb-24'!$H:$H,0)</f>
        <v>0</v>
      </c>
      <c r="H159" s="17">
        <f>_xlfn.XLOOKUP($B159,'[1]Mar-24'!$A:$A,'[1]Mar-24'!$H:$H,0)</f>
        <v>0</v>
      </c>
      <c r="I159" s="17">
        <f>_xlfn.XLOOKUP($B159,'[1]Apr-24'!$A:$A,'[1]Apr-24'!$H:$H,0)</f>
        <v>0</v>
      </c>
      <c r="J159" s="17">
        <f>_xlfn.XLOOKUP($B159,'[1]May-24'!$A:$A,'[1]May-24'!$H:$H,0)</f>
        <v>0</v>
      </c>
      <c r="K159" s="17">
        <f>_xlfn.XLOOKUP($B159,'[1]Jun-24'!$A:$A,'[1]Jun-24'!$H:$H,0)</f>
        <v>0</v>
      </c>
      <c r="L159" s="17">
        <f>_xlfn.XLOOKUP($B159,'[1]Jul-24'!$A:$A,'[1]Jul-24'!$H:$H,0)</f>
        <v>0</v>
      </c>
      <c r="M159" s="17">
        <f>_xlfn.XLOOKUP($B159,'[1]Aug-24'!$A:$A,'[1]Aug-24'!$H:$H,0)</f>
        <v>0</v>
      </c>
      <c r="N159" s="17">
        <f>_xlfn.XLOOKUP($B159,'[1]Sep-24'!$A:$A,'[1]Sep-24'!$H:$H,0)</f>
        <v>0</v>
      </c>
      <c r="O159" s="17">
        <f>_xlfn.XLOOKUP($B159,'[1]Oct-24'!$A:$A,'[1]Oct-24'!$H:$H,0)</f>
        <v>0</v>
      </c>
      <c r="P159" s="17">
        <f>_xlfn.XLOOKUP($B159,'[1]Nov-24'!$A:$A,'[1]Nov-24'!$H:$H,0)</f>
        <v>0</v>
      </c>
      <c r="Q159" s="17">
        <f>_xlfn.XLOOKUP($B159,'[1]Dec-24'!$A:$A,'[1]Dec-24'!$H:$H,0)</f>
        <v>0</v>
      </c>
      <c r="R159" s="17">
        <f>_xlfn.XLOOKUP($B159,'[1]Jan-25'!$A:$A,'[1]Jan-25'!$H:$H,0)</f>
        <v>0</v>
      </c>
      <c r="S159" s="17">
        <f>_xlfn.XLOOKUP($B159,'[1]Feb-25'!$A:$A,'[1]Feb-25'!$H:$H,0)</f>
        <v>0</v>
      </c>
      <c r="T159" s="17">
        <f>_xlfn.XLOOKUP($B159,'[1]Mar-25'!$A:$A,'[1]Mar-25'!$H:$H,0)</f>
        <v>0</v>
      </c>
      <c r="U159" s="17">
        <f>_xlfn.XLOOKUP($B159,'[1]Apr-25'!$A:$A,'[1]Apr-25'!$H:$H,0)</f>
        <v>0</v>
      </c>
      <c r="V159" s="17">
        <f>_xlfn.XLOOKUP($B159,'[1]May-25'!$A:$A,'[1]May-25'!$H:$H,0)</f>
        <v>0</v>
      </c>
      <c r="W159" s="17">
        <f>_xlfn.XLOOKUP($B159,'[1]Jun-25'!$A:$A,'[1]Jun-25'!$H:$H,0)</f>
        <v>0</v>
      </c>
      <c r="X159" s="17">
        <f>_xlfn.XLOOKUP($B159,'[1]Jul-25'!$A:$A,'[1]Jul-25'!$H:$H,0)</f>
        <v>0</v>
      </c>
      <c r="Y159" s="17">
        <f>_xlfn.XLOOKUP($B159,'[1]Aug-25'!$A:$A,'[1]Aug-25'!$H:$H,0)</f>
        <v>0</v>
      </c>
      <c r="Z159" s="17">
        <f>_xlfn.XLOOKUP($B159,'[1]Sep-25'!$A:$A,'[1]Sep-25'!$H:$H,0)</f>
        <v>0</v>
      </c>
      <c r="AA159" s="17">
        <f>_xlfn.XLOOKUP($B159,'[1]Oct-25'!$A:$A,'[1]Oct-25'!$H:$H,0)</f>
        <v>0</v>
      </c>
      <c r="AB159" s="17">
        <f>_xlfn.XLOOKUP($B159,'[1]Nov-25'!$A:$A,'[1]Nov-25'!$H:$H,0)</f>
        <v>0</v>
      </c>
      <c r="AC159" s="17">
        <f>_xlfn.XLOOKUP($B159,'[1]Dec-25'!$A:$A,'[1]Dec-25'!$H:$H,0)</f>
        <v>0</v>
      </c>
      <c r="AD159" s="17">
        <f>_xlfn.XLOOKUP($B159,'[1]Jan-26'!$A:$A,'[1]Jan-26'!$H:$H,0)</f>
        <v>0</v>
      </c>
      <c r="AE159" s="17">
        <f>_xlfn.XLOOKUP($B159,'[1]Feb-26'!$A:$A,'[1]Feb-26'!$H:$H,0)</f>
        <v>0</v>
      </c>
      <c r="AF159" s="17">
        <f>_xlfn.XLOOKUP($B159,'[1]Mar-26'!$A:$A,'[1]Mar-26'!$H:$H,0)</f>
        <v>0</v>
      </c>
      <c r="AG159" s="17">
        <f>_xlfn.XLOOKUP($B159,'[1]Apr-26'!$A:$A,'[1]Apr-26'!$H:$H,0)</f>
        <v>0</v>
      </c>
    </row>
    <row r="160" spans="1:33" x14ac:dyDescent="0.2">
      <c r="A160" s="58">
        <v>13105</v>
      </c>
      <c r="B160" s="56" t="str">
        <f t="shared" si="8"/>
        <v>13105</v>
      </c>
      <c r="C160" s="57" t="s">
        <v>401</v>
      </c>
      <c r="D160" s="57" t="s">
        <v>303</v>
      </c>
      <c r="E160" s="44" t="s">
        <v>403</v>
      </c>
      <c r="F160" s="17">
        <f>_xlfn.XLOOKUP($B160,'[1]Jan-24'!$A:$A,'[1]Jan-24'!$H:$H,0)</f>
        <v>0</v>
      </c>
      <c r="G160" s="17">
        <f>_xlfn.XLOOKUP($B160,'[1]Feb-24'!$A:$A,'[1]Feb-24'!$H:$H,0)</f>
        <v>0</v>
      </c>
      <c r="H160" s="17">
        <f>_xlfn.XLOOKUP($B160,'[1]Mar-24'!$A:$A,'[1]Mar-24'!$H:$H,0)</f>
        <v>0</v>
      </c>
      <c r="I160" s="17">
        <f>_xlfn.XLOOKUP($B160,'[1]Apr-24'!$A:$A,'[1]Apr-24'!$H:$H,0)</f>
        <v>0</v>
      </c>
      <c r="J160" s="17">
        <f>_xlfn.XLOOKUP($B160,'[1]May-24'!$A:$A,'[1]May-24'!$H:$H,0)</f>
        <v>0</v>
      </c>
      <c r="K160" s="17">
        <f>_xlfn.XLOOKUP($B160,'[1]Jun-24'!$A:$A,'[1]Jun-24'!$H:$H,0)</f>
        <v>0</v>
      </c>
      <c r="L160" s="17">
        <f>_xlfn.XLOOKUP($B160,'[1]Jul-24'!$A:$A,'[1]Jul-24'!$H:$H,0)</f>
        <v>0</v>
      </c>
      <c r="M160" s="17">
        <f>_xlfn.XLOOKUP($B160,'[1]Aug-24'!$A:$A,'[1]Aug-24'!$H:$H,0)</f>
        <v>0</v>
      </c>
      <c r="N160" s="17">
        <f>_xlfn.XLOOKUP($B160,'[1]Sep-24'!$A:$A,'[1]Sep-24'!$H:$H,0)</f>
        <v>0</v>
      </c>
      <c r="O160" s="17">
        <f>_xlfn.XLOOKUP($B160,'[1]Oct-24'!$A:$A,'[1]Oct-24'!$H:$H,0)</f>
        <v>0</v>
      </c>
      <c r="P160" s="17">
        <f>_xlfn.XLOOKUP($B160,'[1]Nov-24'!$A:$A,'[1]Nov-24'!$H:$H,0)</f>
        <v>0</v>
      </c>
      <c r="Q160" s="17">
        <f>_xlfn.XLOOKUP($B160,'[1]Dec-24'!$A:$A,'[1]Dec-24'!$H:$H,0)</f>
        <v>0</v>
      </c>
      <c r="R160" s="17">
        <f>_xlfn.XLOOKUP($B160,'[1]Jan-25'!$A:$A,'[1]Jan-25'!$H:$H,0)</f>
        <v>0</v>
      </c>
      <c r="S160" s="17">
        <f>_xlfn.XLOOKUP($B160,'[1]Feb-25'!$A:$A,'[1]Feb-25'!$H:$H,0)</f>
        <v>0</v>
      </c>
      <c r="T160" s="17">
        <f>_xlfn.XLOOKUP($B160,'[1]Mar-25'!$A:$A,'[1]Mar-25'!$H:$H,0)</f>
        <v>0</v>
      </c>
      <c r="U160" s="17">
        <f>_xlfn.XLOOKUP($B160,'[1]Apr-25'!$A:$A,'[1]Apr-25'!$H:$H,0)</f>
        <v>0</v>
      </c>
      <c r="V160" s="17">
        <f>_xlfn.XLOOKUP($B160,'[1]May-25'!$A:$A,'[1]May-25'!$H:$H,0)</f>
        <v>0</v>
      </c>
      <c r="W160" s="17">
        <f>_xlfn.XLOOKUP($B160,'[1]Jun-25'!$A:$A,'[1]Jun-25'!$H:$H,0)</f>
        <v>0</v>
      </c>
      <c r="X160" s="17">
        <f>_xlfn.XLOOKUP($B160,'[1]Jul-25'!$A:$A,'[1]Jul-25'!$H:$H,0)</f>
        <v>0</v>
      </c>
      <c r="Y160" s="17">
        <f>_xlfn.XLOOKUP($B160,'[1]Aug-25'!$A:$A,'[1]Aug-25'!$H:$H,0)</f>
        <v>0</v>
      </c>
      <c r="Z160" s="17">
        <f>_xlfn.XLOOKUP($B160,'[1]Sep-25'!$A:$A,'[1]Sep-25'!$H:$H,0)</f>
        <v>0</v>
      </c>
      <c r="AA160" s="17">
        <f>_xlfn.XLOOKUP($B160,'[1]Oct-25'!$A:$A,'[1]Oct-25'!$H:$H,0)</f>
        <v>0</v>
      </c>
      <c r="AB160" s="17">
        <f>_xlfn.XLOOKUP($B160,'[1]Nov-25'!$A:$A,'[1]Nov-25'!$H:$H,0)</f>
        <v>0</v>
      </c>
      <c r="AC160" s="17">
        <f>_xlfn.XLOOKUP($B160,'[1]Dec-25'!$A:$A,'[1]Dec-25'!$H:$H,0)</f>
        <v>0</v>
      </c>
      <c r="AD160" s="17">
        <f>_xlfn.XLOOKUP($B160,'[1]Jan-26'!$A:$A,'[1]Jan-26'!$H:$H,0)</f>
        <v>0</v>
      </c>
      <c r="AE160" s="17">
        <f>_xlfn.XLOOKUP($B160,'[1]Feb-26'!$A:$A,'[1]Feb-26'!$H:$H,0)</f>
        <v>0</v>
      </c>
      <c r="AF160" s="17">
        <f>_xlfn.XLOOKUP($B160,'[1]Mar-26'!$A:$A,'[1]Mar-26'!$H:$H,0)</f>
        <v>0</v>
      </c>
      <c r="AG160" s="17">
        <f>_xlfn.XLOOKUP($B160,'[1]Apr-26'!$A:$A,'[1]Apr-26'!$H:$H,0)</f>
        <v>0</v>
      </c>
    </row>
    <row r="161" spans="1:33" x14ac:dyDescent="0.2">
      <c r="A161" s="58">
        <v>13110</v>
      </c>
      <c r="B161" s="56" t="str">
        <f t="shared" si="8"/>
        <v>13110</v>
      </c>
      <c r="C161" s="57" t="s">
        <v>401</v>
      </c>
      <c r="D161" s="57" t="s">
        <v>303</v>
      </c>
      <c r="E161" s="44" t="s">
        <v>404</v>
      </c>
      <c r="F161" s="17">
        <f>_xlfn.XLOOKUP($B161,'[1]Jan-24'!$A:$A,'[1]Jan-24'!$H:$H,0)</f>
        <v>0</v>
      </c>
      <c r="G161" s="17">
        <f>_xlfn.XLOOKUP($B161,'[1]Feb-24'!$A:$A,'[1]Feb-24'!$H:$H,0)</f>
        <v>0</v>
      </c>
      <c r="H161" s="17">
        <f>_xlfn.XLOOKUP($B161,'[1]Mar-24'!$A:$A,'[1]Mar-24'!$H:$H,0)</f>
        <v>0</v>
      </c>
      <c r="I161" s="17">
        <f>_xlfn.XLOOKUP($B161,'[1]Apr-24'!$A:$A,'[1]Apr-24'!$H:$H,0)</f>
        <v>0</v>
      </c>
      <c r="J161" s="17">
        <f>_xlfn.XLOOKUP($B161,'[1]May-24'!$A:$A,'[1]May-24'!$H:$H,0)</f>
        <v>0</v>
      </c>
      <c r="K161" s="17">
        <f>_xlfn.XLOOKUP($B161,'[1]Jun-24'!$A:$A,'[1]Jun-24'!$H:$H,0)</f>
        <v>0</v>
      </c>
      <c r="L161" s="17">
        <f>_xlfn.XLOOKUP($B161,'[1]Jul-24'!$A:$A,'[1]Jul-24'!$H:$H,0)</f>
        <v>0</v>
      </c>
      <c r="M161" s="17">
        <f>_xlfn.XLOOKUP($B161,'[1]Aug-24'!$A:$A,'[1]Aug-24'!$H:$H,0)</f>
        <v>0</v>
      </c>
      <c r="N161" s="17">
        <f>_xlfn.XLOOKUP($B161,'[1]Sep-24'!$A:$A,'[1]Sep-24'!$H:$H,0)</f>
        <v>0</v>
      </c>
      <c r="O161" s="17">
        <f>_xlfn.XLOOKUP($B161,'[1]Oct-24'!$A:$A,'[1]Oct-24'!$H:$H,0)</f>
        <v>0</v>
      </c>
      <c r="P161" s="17">
        <f>_xlfn.XLOOKUP($B161,'[1]Nov-24'!$A:$A,'[1]Nov-24'!$H:$H,0)</f>
        <v>0</v>
      </c>
      <c r="Q161" s="17">
        <f>_xlfn.XLOOKUP($B161,'[1]Dec-24'!$A:$A,'[1]Dec-24'!$H:$H,0)</f>
        <v>0</v>
      </c>
      <c r="R161" s="17">
        <f>_xlfn.XLOOKUP($B161,'[1]Jan-25'!$A:$A,'[1]Jan-25'!$H:$H,0)</f>
        <v>0</v>
      </c>
      <c r="S161" s="17">
        <f>_xlfn.XLOOKUP($B161,'[1]Feb-25'!$A:$A,'[1]Feb-25'!$H:$H,0)</f>
        <v>0</v>
      </c>
      <c r="T161" s="17">
        <f>_xlfn.XLOOKUP($B161,'[1]Mar-25'!$A:$A,'[1]Mar-25'!$H:$H,0)</f>
        <v>0</v>
      </c>
      <c r="U161" s="17">
        <f>_xlfn.XLOOKUP($B161,'[1]Apr-25'!$A:$A,'[1]Apr-25'!$H:$H,0)</f>
        <v>0</v>
      </c>
      <c r="V161" s="17">
        <f>_xlfn.XLOOKUP($B161,'[1]May-25'!$A:$A,'[1]May-25'!$H:$H,0)</f>
        <v>0</v>
      </c>
      <c r="W161" s="17">
        <f>_xlfn.XLOOKUP($B161,'[1]Jun-25'!$A:$A,'[1]Jun-25'!$H:$H,0)</f>
        <v>0</v>
      </c>
      <c r="X161" s="17">
        <f>_xlfn.XLOOKUP($B161,'[1]Jul-25'!$A:$A,'[1]Jul-25'!$H:$H,0)</f>
        <v>0</v>
      </c>
      <c r="Y161" s="17">
        <f>_xlfn.XLOOKUP($B161,'[1]Aug-25'!$A:$A,'[1]Aug-25'!$H:$H,0)</f>
        <v>0</v>
      </c>
      <c r="Z161" s="17">
        <f>_xlfn.XLOOKUP($B161,'[1]Sep-25'!$A:$A,'[1]Sep-25'!$H:$H,0)</f>
        <v>0</v>
      </c>
      <c r="AA161" s="17">
        <f>_xlfn.XLOOKUP($B161,'[1]Oct-25'!$A:$A,'[1]Oct-25'!$H:$H,0)</f>
        <v>0</v>
      </c>
      <c r="AB161" s="17">
        <f>_xlfn.XLOOKUP($B161,'[1]Nov-25'!$A:$A,'[1]Nov-25'!$H:$H,0)</f>
        <v>0</v>
      </c>
      <c r="AC161" s="17">
        <f>_xlfn.XLOOKUP($B161,'[1]Dec-25'!$A:$A,'[1]Dec-25'!$H:$H,0)</f>
        <v>0</v>
      </c>
      <c r="AD161" s="17">
        <f>_xlfn.XLOOKUP($B161,'[1]Jan-26'!$A:$A,'[1]Jan-26'!$H:$H,0)</f>
        <v>0</v>
      </c>
      <c r="AE161" s="17">
        <f>_xlfn.XLOOKUP($B161,'[1]Feb-26'!$A:$A,'[1]Feb-26'!$H:$H,0)</f>
        <v>0</v>
      </c>
      <c r="AF161" s="17">
        <f>_xlfn.XLOOKUP($B161,'[1]Mar-26'!$A:$A,'[1]Mar-26'!$H:$H,0)</f>
        <v>0</v>
      </c>
      <c r="AG161" s="17">
        <f>_xlfn.XLOOKUP($B161,'[1]Apr-26'!$A:$A,'[1]Apr-26'!$H:$H,0)</f>
        <v>0</v>
      </c>
    </row>
    <row r="162" spans="1:33" x14ac:dyDescent="0.2">
      <c r="A162" s="58">
        <v>13115</v>
      </c>
      <c r="B162" s="56" t="str">
        <f t="shared" si="8"/>
        <v>13115</v>
      </c>
      <c r="C162" s="57" t="s">
        <v>401</v>
      </c>
      <c r="D162" s="57" t="s">
        <v>303</v>
      </c>
      <c r="E162" s="44" t="s">
        <v>405</v>
      </c>
      <c r="F162" s="17">
        <f>_xlfn.XLOOKUP($B162,'[1]Jan-24'!$A:$A,'[1]Jan-24'!$H:$H,0)</f>
        <v>0</v>
      </c>
      <c r="G162" s="17">
        <f>_xlfn.XLOOKUP($B162,'[1]Feb-24'!$A:$A,'[1]Feb-24'!$H:$H,0)</f>
        <v>0</v>
      </c>
      <c r="H162" s="17">
        <f>_xlfn.XLOOKUP($B162,'[1]Mar-24'!$A:$A,'[1]Mar-24'!$H:$H,0)</f>
        <v>0</v>
      </c>
      <c r="I162" s="17">
        <f>_xlfn.XLOOKUP($B162,'[1]Apr-24'!$A:$A,'[1]Apr-24'!$H:$H,0)</f>
        <v>0</v>
      </c>
      <c r="J162" s="17">
        <f>_xlfn.XLOOKUP($B162,'[1]May-24'!$A:$A,'[1]May-24'!$H:$H,0)</f>
        <v>0</v>
      </c>
      <c r="K162" s="17">
        <f>_xlfn.XLOOKUP($B162,'[1]Jun-24'!$A:$A,'[1]Jun-24'!$H:$H,0)</f>
        <v>0</v>
      </c>
      <c r="L162" s="17">
        <f>_xlfn.XLOOKUP($B162,'[1]Jul-24'!$A:$A,'[1]Jul-24'!$H:$H,0)</f>
        <v>0</v>
      </c>
      <c r="M162" s="17">
        <f>_xlfn.XLOOKUP($B162,'[1]Aug-24'!$A:$A,'[1]Aug-24'!$H:$H,0)</f>
        <v>0</v>
      </c>
      <c r="N162" s="17">
        <f>_xlfn.XLOOKUP($B162,'[1]Sep-24'!$A:$A,'[1]Sep-24'!$H:$H,0)</f>
        <v>0</v>
      </c>
      <c r="O162" s="17">
        <f>_xlfn.XLOOKUP($B162,'[1]Oct-24'!$A:$A,'[1]Oct-24'!$H:$H,0)</f>
        <v>0</v>
      </c>
      <c r="P162" s="17">
        <f>_xlfn.XLOOKUP($B162,'[1]Nov-24'!$A:$A,'[1]Nov-24'!$H:$H,0)</f>
        <v>0</v>
      </c>
      <c r="Q162" s="17">
        <f>_xlfn.XLOOKUP($B162,'[1]Dec-24'!$A:$A,'[1]Dec-24'!$H:$H,0)</f>
        <v>0</v>
      </c>
      <c r="R162" s="17">
        <f>_xlfn.XLOOKUP($B162,'[1]Jan-25'!$A:$A,'[1]Jan-25'!$H:$H,0)</f>
        <v>0</v>
      </c>
      <c r="S162" s="17">
        <f>_xlfn.XLOOKUP($B162,'[1]Feb-25'!$A:$A,'[1]Feb-25'!$H:$H,0)</f>
        <v>0</v>
      </c>
      <c r="T162" s="17">
        <f>_xlfn.XLOOKUP($B162,'[1]Mar-25'!$A:$A,'[1]Mar-25'!$H:$H,0)</f>
        <v>0</v>
      </c>
      <c r="U162" s="17">
        <f>_xlfn.XLOOKUP($B162,'[1]Apr-25'!$A:$A,'[1]Apr-25'!$H:$H,0)</f>
        <v>0</v>
      </c>
      <c r="V162" s="17">
        <f>_xlfn.XLOOKUP($B162,'[1]May-25'!$A:$A,'[1]May-25'!$H:$H,0)</f>
        <v>0</v>
      </c>
      <c r="W162" s="17">
        <f>_xlfn.XLOOKUP($B162,'[1]Jun-25'!$A:$A,'[1]Jun-25'!$H:$H,0)</f>
        <v>0</v>
      </c>
      <c r="X162" s="17">
        <f>_xlfn.XLOOKUP($B162,'[1]Jul-25'!$A:$A,'[1]Jul-25'!$H:$H,0)</f>
        <v>0</v>
      </c>
      <c r="Y162" s="17">
        <f>_xlfn.XLOOKUP($B162,'[1]Aug-25'!$A:$A,'[1]Aug-25'!$H:$H,0)</f>
        <v>0</v>
      </c>
      <c r="Z162" s="17">
        <f>_xlfn.XLOOKUP($B162,'[1]Sep-25'!$A:$A,'[1]Sep-25'!$H:$H,0)</f>
        <v>0</v>
      </c>
      <c r="AA162" s="17">
        <f>_xlfn.XLOOKUP($B162,'[1]Oct-25'!$A:$A,'[1]Oct-25'!$H:$H,0)</f>
        <v>0</v>
      </c>
      <c r="AB162" s="17">
        <f>_xlfn.XLOOKUP($B162,'[1]Nov-25'!$A:$A,'[1]Nov-25'!$H:$H,0)</f>
        <v>0</v>
      </c>
      <c r="AC162" s="17">
        <f>_xlfn.XLOOKUP($B162,'[1]Dec-25'!$A:$A,'[1]Dec-25'!$H:$H,0)</f>
        <v>0</v>
      </c>
      <c r="AD162" s="17">
        <f>_xlfn.XLOOKUP($B162,'[1]Jan-26'!$A:$A,'[1]Jan-26'!$H:$H,0)</f>
        <v>0</v>
      </c>
      <c r="AE162" s="17">
        <f>_xlfn.XLOOKUP($B162,'[1]Feb-26'!$A:$A,'[1]Feb-26'!$H:$H,0)</f>
        <v>0</v>
      </c>
      <c r="AF162" s="17">
        <f>_xlfn.XLOOKUP($B162,'[1]Mar-26'!$A:$A,'[1]Mar-26'!$H:$H,0)</f>
        <v>0</v>
      </c>
      <c r="AG162" s="17">
        <f>_xlfn.XLOOKUP($B162,'[1]Apr-26'!$A:$A,'[1]Apr-26'!$H:$H,0)</f>
        <v>0</v>
      </c>
    </row>
    <row r="163" spans="1:33" x14ac:dyDescent="0.2">
      <c r="A163" s="58">
        <v>13116</v>
      </c>
      <c r="B163" s="56" t="str">
        <f t="shared" si="8"/>
        <v>13116</v>
      </c>
      <c r="C163" s="57" t="s">
        <v>401</v>
      </c>
      <c r="D163" s="57" t="s">
        <v>303</v>
      </c>
      <c r="E163" s="44" t="s">
        <v>208</v>
      </c>
      <c r="F163" s="17">
        <f>_xlfn.XLOOKUP($B163,'[1]Jan-24'!$A:$A,'[1]Jan-24'!$H:$H,0)</f>
        <v>0</v>
      </c>
      <c r="G163" s="17">
        <f>_xlfn.XLOOKUP($B163,'[1]Feb-24'!$A:$A,'[1]Feb-24'!$H:$H,0)</f>
        <v>0</v>
      </c>
      <c r="H163" s="17">
        <f>_xlfn.XLOOKUP($B163,'[1]Mar-24'!$A:$A,'[1]Mar-24'!$H:$H,0)</f>
        <v>0</v>
      </c>
      <c r="I163" s="17">
        <f>_xlfn.XLOOKUP($B163,'[1]Apr-24'!$A:$A,'[1]Apr-24'!$H:$H,0)</f>
        <v>0</v>
      </c>
      <c r="J163" s="17">
        <f>_xlfn.XLOOKUP($B163,'[1]May-24'!$A:$A,'[1]May-24'!$H:$H,0)</f>
        <v>0</v>
      </c>
      <c r="K163" s="17">
        <f>_xlfn.XLOOKUP($B163,'[1]Jun-24'!$A:$A,'[1]Jun-24'!$H:$H,0)</f>
        <v>0</v>
      </c>
      <c r="L163" s="17">
        <f>_xlfn.XLOOKUP($B163,'[1]Jul-24'!$A:$A,'[1]Jul-24'!$H:$H,0)</f>
        <v>0</v>
      </c>
      <c r="M163" s="17">
        <f>_xlfn.XLOOKUP($B163,'[1]Aug-24'!$A:$A,'[1]Aug-24'!$H:$H,0)</f>
        <v>0</v>
      </c>
      <c r="N163" s="17">
        <f>_xlfn.XLOOKUP($B163,'[1]Sep-24'!$A:$A,'[1]Sep-24'!$H:$H,0)</f>
        <v>0</v>
      </c>
      <c r="O163" s="17">
        <f>_xlfn.XLOOKUP($B163,'[1]Oct-24'!$A:$A,'[1]Oct-24'!$H:$H,0)</f>
        <v>0</v>
      </c>
      <c r="P163" s="17">
        <f>_xlfn.XLOOKUP($B163,'[1]Nov-24'!$A:$A,'[1]Nov-24'!$H:$H,0)</f>
        <v>40635</v>
      </c>
      <c r="Q163" s="17">
        <f>_xlfn.XLOOKUP($B163,'[1]Dec-24'!$A:$A,'[1]Dec-24'!$H:$H,0)</f>
        <v>111900</v>
      </c>
      <c r="R163" s="17">
        <f>_xlfn.XLOOKUP($B163,'[1]Jan-25'!$A:$A,'[1]Jan-25'!$H:$H,0)</f>
        <v>98100</v>
      </c>
      <c r="S163" s="17">
        <f>_xlfn.XLOOKUP($B163,'[1]Feb-25'!$A:$A,'[1]Feb-25'!$H:$H,0)</f>
        <v>139100</v>
      </c>
      <c r="T163" s="17">
        <f>_xlfn.XLOOKUP($B163,'[1]Mar-25'!$A:$A,'[1]Mar-25'!$H:$H,0)</f>
        <v>131900</v>
      </c>
      <c r="U163" s="17">
        <f>_xlfn.XLOOKUP($B163,'[1]Apr-25'!$A:$A,'[1]Apr-25'!$H:$H,0)</f>
        <v>113300</v>
      </c>
      <c r="V163" s="17">
        <f>_xlfn.XLOOKUP($B163,'[1]May-25'!$A:$A,'[1]May-25'!$H:$H,0)</f>
        <v>111100</v>
      </c>
      <c r="W163" s="17">
        <f>_xlfn.XLOOKUP($B163,'[1]Jun-25'!$A:$A,'[1]Jun-25'!$H:$H,0)</f>
        <v>101500</v>
      </c>
      <c r="X163" s="17">
        <f>_xlfn.XLOOKUP($B163,'[1]Jul-25'!$A:$A,'[1]Jul-25'!$H:$H,0)</f>
        <v>74700</v>
      </c>
      <c r="Y163" s="17">
        <f>_xlfn.XLOOKUP($B163,'[1]Aug-25'!$A:$A,'[1]Aug-25'!$H:$H,0)</f>
        <v>72300</v>
      </c>
      <c r="Z163" s="17">
        <f>_xlfn.XLOOKUP($B163,'[1]Sep-25'!$A:$A,'[1]Sep-25'!$H:$H,0)</f>
        <v>57300</v>
      </c>
      <c r="AA163" s="17">
        <f>_xlfn.XLOOKUP($B163,'[1]Oct-25'!$A:$A,'[1]Oct-25'!$H:$H,0)</f>
        <v>55100</v>
      </c>
      <c r="AB163" s="17">
        <f>_xlfn.XLOOKUP($B163,'[1]Nov-25'!$A:$A,'[1]Nov-25'!$H:$H,0)</f>
        <v>51900</v>
      </c>
      <c r="AC163" s="17">
        <f>_xlfn.XLOOKUP($B163,'[1]Dec-25'!$A:$A,'[1]Dec-25'!$H:$H,0)</f>
        <v>48700</v>
      </c>
      <c r="AD163" s="17">
        <f>_xlfn.XLOOKUP($B163,'[1]Jan-26'!$A:$A,'[1]Jan-26'!$H:$H,0)</f>
        <v>41100</v>
      </c>
      <c r="AE163" s="17">
        <f>_xlfn.XLOOKUP($B163,'[1]Feb-26'!$A:$A,'[1]Feb-26'!$H:$H,0)</f>
        <v>32500</v>
      </c>
      <c r="AF163" s="17">
        <f>_xlfn.XLOOKUP($B163,'[1]Mar-26'!$A:$A,'[1]Mar-26'!$H:$H,0)</f>
        <v>18500</v>
      </c>
      <c r="AG163" s="17">
        <f>_xlfn.XLOOKUP($B163,'[1]Apr-26'!$A:$A,'[1]Apr-26'!$H:$H,0)</f>
        <v>14300</v>
      </c>
    </row>
    <row r="164" spans="1:33" x14ac:dyDescent="0.2">
      <c r="A164" s="58">
        <v>13120</v>
      </c>
      <c r="B164" s="56" t="str">
        <f t="shared" si="8"/>
        <v>13120</v>
      </c>
      <c r="C164" s="57" t="s">
        <v>401</v>
      </c>
      <c r="D164" s="57" t="s">
        <v>303</v>
      </c>
      <c r="E164" s="44" t="s">
        <v>209</v>
      </c>
      <c r="F164" s="17">
        <f>_xlfn.XLOOKUP($B164,'[1]Jan-24'!$A:$A,'[1]Jan-24'!$H:$H,0)</f>
        <v>15587602.92</v>
      </c>
      <c r="G164" s="17">
        <f>_xlfn.XLOOKUP($B164,'[1]Feb-24'!$A:$A,'[1]Feb-24'!$H:$H,0)</f>
        <v>69874789.719999999</v>
      </c>
      <c r="H164" s="17">
        <f>_xlfn.XLOOKUP($B164,'[1]Mar-24'!$A:$A,'[1]Mar-24'!$H:$H,0)</f>
        <v>34448695.130000003</v>
      </c>
      <c r="I164" s="17">
        <f>_xlfn.XLOOKUP($B164,'[1]Apr-24'!$A:$A,'[1]Apr-24'!$H:$H,0)</f>
        <v>36936979.539999999</v>
      </c>
      <c r="J164" s="17">
        <f>_xlfn.XLOOKUP($B164,'[1]May-24'!$A:$A,'[1]May-24'!$H:$H,0)</f>
        <v>30274587.219999999</v>
      </c>
      <c r="K164" s="17">
        <f>_xlfn.XLOOKUP($B164,'[1]Jun-24'!$A:$A,'[1]Jun-24'!$H:$H,0)</f>
        <v>52726922.32</v>
      </c>
      <c r="L164" s="17">
        <f>_xlfn.XLOOKUP($B164,'[1]Jul-24'!$A:$A,'[1]Jul-24'!$H:$H,0)</f>
        <v>50979200.530000001</v>
      </c>
      <c r="M164" s="17">
        <f>_xlfn.XLOOKUP($B164,'[1]Aug-24'!$A:$A,'[1]Aug-24'!$H:$H,0)</f>
        <v>44614274.549999997</v>
      </c>
      <c r="N164" s="17">
        <f>_xlfn.XLOOKUP($B164,'[1]Sep-24'!$A:$A,'[1]Sep-24'!$H:$H,0)</f>
        <v>48719489.780000001</v>
      </c>
      <c r="O164" s="17">
        <f>_xlfn.XLOOKUP($B164,'[1]Oct-24'!$A:$A,'[1]Oct-24'!$H:$H,0)</f>
        <v>108136211.08</v>
      </c>
      <c r="P164" s="17">
        <f>_xlfn.XLOOKUP($B164,'[1]Nov-24'!$A:$A,'[1]Nov-24'!$H:$H,0)</f>
        <v>81824833.780000001</v>
      </c>
      <c r="Q164" s="17">
        <f>_xlfn.XLOOKUP($B164,'[1]Dec-24'!$A:$A,'[1]Dec-24'!$H:$H,0)</f>
        <v>75063432.430000007</v>
      </c>
      <c r="R164" s="17">
        <f>_xlfn.XLOOKUP($B164,'[1]Jan-25'!$A:$A,'[1]Jan-25'!$H:$H,0)</f>
        <v>85060331.489999995</v>
      </c>
      <c r="S164" s="17">
        <f>_xlfn.XLOOKUP($B164,'[1]Feb-25'!$A:$A,'[1]Feb-25'!$H:$H,0)</f>
        <v>104645309.26000001</v>
      </c>
      <c r="T164" s="17">
        <f>_xlfn.XLOOKUP($B164,'[1]Mar-25'!$A:$A,'[1]Mar-25'!$H:$H,0)</f>
        <v>83951218.739999995</v>
      </c>
      <c r="U164" s="17">
        <f>_xlfn.XLOOKUP($B164,'[1]Apr-25'!$A:$A,'[1]Apr-25'!$H:$H,0)</f>
        <v>56741192.780000001</v>
      </c>
      <c r="V164" s="17">
        <f>_xlfn.XLOOKUP($B164,'[1]May-25'!$A:$A,'[1]May-25'!$H:$H,0)</f>
        <v>63721645.049999997</v>
      </c>
      <c r="W164" s="17">
        <f>_xlfn.XLOOKUP($B164,'[1]Jun-25'!$A:$A,'[1]Jun-25'!$H:$H,0)</f>
        <v>60516883.399999999</v>
      </c>
      <c r="X164" s="17">
        <f>_xlfn.XLOOKUP($B164,'[1]Jul-25'!$A:$A,'[1]Jul-25'!$H:$H,0)</f>
        <v>71575192.790000007</v>
      </c>
      <c r="Y164" s="17">
        <f>_xlfn.XLOOKUP($B164,'[1]Aug-25'!$A:$A,'[1]Aug-25'!$H:$H,0)</f>
        <v>95716723.189999998</v>
      </c>
      <c r="Z164" s="17">
        <f>_xlfn.XLOOKUP($B164,'[1]Sep-25'!$A:$A,'[1]Sep-25'!$H:$H,0)</f>
        <v>272448710.39999998</v>
      </c>
      <c r="AA164" s="17">
        <f>_xlfn.XLOOKUP($B164,'[1]Oct-25'!$A:$A,'[1]Oct-25'!$H:$H,0)</f>
        <v>252563544.81999999</v>
      </c>
      <c r="AB164" s="17">
        <f>_xlfn.XLOOKUP($B164,'[1]Nov-25'!$A:$A,'[1]Nov-25'!$H:$H,0)</f>
        <v>240236002.88</v>
      </c>
      <c r="AC164" s="17">
        <f>_xlfn.XLOOKUP($B164,'[1]Dec-25'!$A:$A,'[1]Dec-25'!$H:$H,0)</f>
        <v>322963371.66000003</v>
      </c>
      <c r="AD164" s="17">
        <f>_xlfn.XLOOKUP($B164,'[1]Jan-26'!$A:$A,'[1]Jan-26'!$H:$H,0)</f>
        <v>289937689.69</v>
      </c>
      <c r="AE164" s="17">
        <f>_xlfn.XLOOKUP($B164,'[1]Feb-26'!$A:$A,'[1]Feb-26'!$H:$H,0)</f>
        <v>255411621.47999999</v>
      </c>
      <c r="AF164" s="17">
        <f>_xlfn.XLOOKUP($B164,'[1]Mar-26'!$A:$A,'[1]Mar-26'!$H:$H,0)</f>
        <v>239092460.11000001</v>
      </c>
      <c r="AG164" s="17">
        <f>_xlfn.XLOOKUP($B164,'[1]Apr-26'!$A:$A,'[1]Apr-26'!$H:$H,0)</f>
        <v>211073690.13999999</v>
      </c>
    </row>
    <row r="165" spans="1:33" x14ac:dyDescent="0.2">
      <c r="A165" s="58">
        <v>13125</v>
      </c>
      <c r="B165" s="56" t="str">
        <f t="shared" si="8"/>
        <v>13125</v>
      </c>
      <c r="C165" s="57" t="s">
        <v>401</v>
      </c>
      <c r="D165" s="57" t="s">
        <v>303</v>
      </c>
      <c r="E165" s="44" t="s">
        <v>406</v>
      </c>
      <c r="F165" s="17">
        <f>_xlfn.XLOOKUP($B165,'[1]Jan-24'!$A:$A,'[1]Jan-24'!$H:$H,0)</f>
        <v>0</v>
      </c>
      <c r="G165" s="17">
        <f>_xlfn.XLOOKUP($B165,'[1]Feb-24'!$A:$A,'[1]Feb-24'!$H:$H,0)</f>
        <v>0</v>
      </c>
      <c r="H165" s="17">
        <f>_xlfn.XLOOKUP($B165,'[1]Mar-24'!$A:$A,'[1]Mar-24'!$H:$H,0)</f>
        <v>0</v>
      </c>
      <c r="I165" s="17">
        <f>_xlfn.XLOOKUP($B165,'[1]Apr-24'!$A:$A,'[1]Apr-24'!$H:$H,0)</f>
        <v>0</v>
      </c>
      <c r="J165" s="17">
        <f>_xlfn.XLOOKUP($B165,'[1]May-24'!$A:$A,'[1]May-24'!$H:$H,0)</f>
        <v>0</v>
      </c>
      <c r="K165" s="17">
        <f>_xlfn.XLOOKUP($B165,'[1]Jun-24'!$A:$A,'[1]Jun-24'!$H:$H,0)</f>
        <v>0</v>
      </c>
      <c r="L165" s="17">
        <f>_xlfn.XLOOKUP($B165,'[1]Jul-24'!$A:$A,'[1]Jul-24'!$H:$H,0)</f>
        <v>0</v>
      </c>
      <c r="M165" s="17">
        <f>_xlfn.XLOOKUP($B165,'[1]Aug-24'!$A:$A,'[1]Aug-24'!$H:$H,0)</f>
        <v>0</v>
      </c>
      <c r="N165" s="17">
        <f>_xlfn.XLOOKUP($B165,'[1]Sep-24'!$A:$A,'[1]Sep-24'!$H:$H,0)</f>
        <v>0</v>
      </c>
      <c r="O165" s="17">
        <f>_xlfn.XLOOKUP($B165,'[1]Oct-24'!$A:$A,'[1]Oct-24'!$H:$H,0)</f>
        <v>0</v>
      </c>
      <c r="P165" s="17">
        <f>_xlfn.XLOOKUP($B165,'[1]Nov-24'!$A:$A,'[1]Nov-24'!$H:$H,0)</f>
        <v>0</v>
      </c>
      <c r="Q165" s="17">
        <f>_xlfn.XLOOKUP($B165,'[1]Dec-24'!$A:$A,'[1]Dec-24'!$H:$H,0)</f>
        <v>0</v>
      </c>
      <c r="R165" s="17">
        <f>_xlfn.XLOOKUP($B165,'[1]Jan-25'!$A:$A,'[1]Jan-25'!$H:$H,0)</f>
        <v>0</v>
      </c>
      <c r="S165" s="17">
        <f>_xlfn.XLOOKUP($B165,'[1]Feb-25'!$A:$A,'[1]Feb-25'!$H:$H,0)</f>
        <v>0</v>
      </c>
      <c r="T165" s="17">
        <f>_xlfn.XLOOKUP($B165,'[1]Mar-25'!$A:$A,'[1]Mar-25'!$H:$H,0)</f>
        <v>0</v>
      </c>
      <c r="U165" s="17">
        <f>_xlfn.XLOOKUP($B165,'[1]Apr-25'!$A:$A,'[1]Apr-25'!$H:$H,0)</f>
        <v>0</v>
      </c>
      <c r="V165" s="17">
        <f>_xlfn.XLOOKUP($B165,'[1]May-25'!$A:$A,'[1]May-25'!$H:$H,0)</f>
        <v>0</v>
      </c>
      <c r="W165" s="17">
        <f>_xlfn.XLOOKUP($B165,'[1]Jun-25'!$A:$A,'[1]Jun-25'!$H:$H,0)</f>
        <v>0</v>
      </c>
      <c r="X165" s="17">
        <f>_xlfn.XLOOKUP($B165,'[1]Jul-25'!$A:$A,'[1]Jul-25'!$H:$H,0)</f>
        <v>0</v>
      </c>
      <c r="Y165" s="17">
        <f>_xlfn.XLOOKUP($B165,'[1]Aug-25'!$A:$A,'[1]Aug-25'!$H:$H,0)</f>
        <v>0</v>
      </c>
      <c r="Z165" s="17">
        <f>_xlfn.XLOOKUP($B165,'[1]Sep-25'!$A:$A,'[1]Sep-25'!$H:$H,0)</f>
        <v>0</v>
      </c>
      <c r="AA165" s="17">
        <f>_xlfn.XLOOKUP($B165,'[1]Oct-25'!$A:$A,'[1]Oct-25'!$H:$H,0)</f>
        <v>0</v>
      </c>
      <c r="AB165" s="17">
        <f>_xlfn.XLOOKUP($B165,'[1]Nov-25'!$A:$A,'[1]Nov-25'!$H:$H,0)</f>
        <v>0</v>
      </c>
      <c r="AC165" s="17">
        <f>_xlfn.XLOOKUP($B165,'[1]Dec-25'!$A:$A,'[1]Dec-25'!$H:$H,0)</f>
        <v>0</v>
      </c>
      <c r="AD165" s="17">
        <f>_xlfn.XLOOKUP($B165,'[1]Jan-26'!$A:$A,'[1]Jan-26'!$H:$H,0)</f>
        <v>0</v>
      </c>
      <c r="AE165" s="17">
        <f>_xlfn.XLOOKUP($B165,'[1]Feb-26'!$A:$A,'[1]Feb-26'!$H:$H,0)</f>
        <v>0</v>
      </c>
      <c r="AF165" s="17">
        <f>_xlfn.XLOOKUP($B165,'[1]Mar-26'!$A:$A,'[1]Mar-26'!$H:$H,0)</f>
        <v>0</v>
      </c>
      <c r="AG165" s="17">
        <f>_xlfn.XLOOKUP($B165,'[1]Apr-26'!$A:$A,'[1]Apr-26'!$H:$H,0)</f>
        <v>0</v>
      </c>
    </row>
    <row r="166" spans="1:33" x14ac:dyDescent="0.2">
      <c r="A166" s="58">
        <v>13127</v>
      </c>
      <c r="B166" s="56" t="str">
        <f t="shared" si="8"/>
        <v>13127</v>
      </c>
      <c r="C166" s="57" t="s">
        <v>401</v>
      </c>
      <c r="D166" s="57" t="s">
        <v>303</v>
      </c>
      <c r="E166" s="44" t="s">
        <v>407</v>
      </c>
      <c r="F166" s="17">
        <f>_xlfn.XLOOKUP($B166,'[1]Jan-24'!$A:$A,'[1]Jan-24'!$H:$H,0)</f>
        <v>0</v>
      </c>
      <c r="G166" s="17">
        <f>_xlfn.XLOOKUP($B166,'[1]Feb-24'!$A:$A,'[1]Feb-24'!$H:$H,0)</f>
        <v>0</v>
      </c>
      <c r="H166" s="17">
        <f>_xlfn.XLOOKUP($B166,'[1]Mar-24'!$A:$A,'[1]Mar-24'!$H:$H,0)</f>
        <v>0</v>
      </c>
      <c r="I166" s="17">
        <f>_xlfn.XLOOKUP($B166,'[1]Apr-24'!$A:$A,'[1]Apr-24'!$H:$H,0)</f>
        <v>0</v>
      </c>
      <c r="J166" s="17">
        <f>_xlfn.XLOOKUP($B166,'[1]May-24'!$A:$A,'[1]May-24'!$H:$H,0)</f>
        <v>0</v>
      </c>
      <c r="K166" s="17">
        <f>_xlfn.XLOOKUP($B166,'[1]Jun-24'!$A:$A,'[1]Jun-24'!$H:$H,0)</f>
        <v>0</v>
      </c>
      <c r="L166" s="17">
        <f>_xlfn.XLOOKUP($B166,'[1]Jul-24'!$A:$A,'[1]Jul-24'!$H:$H,0)</f>
        <v>0</v>
      </c>
      <c r="M166" s="17">
        <f>_xlfn.XLOOKUP($B166,'[1]Aug-24'!$A:$A,'[1]Aug-24'!$H:$H,0)</f>
        <v>0</v>
      </c>
      <c r="N166" s="17">
        <f>_xlfn.XLOOKUP($B166,'[1]Sep-24'!$A:$A,'[1]Sep-24'!$H:$H,0)</f>
        <v>0</v>
      </c>
      <c r="O166" s="17">
        <f>_xlfn.XLOOKUP($B166,'[1]Oct-24'!$A:$A,'[1]Oct-24'!$H:$H,0)</f>
        <v>0</v>
      </c>
      <c r="P166" s="17">
        <f>_xlfn.XLOOKUP($B166,'[1]Nov-24'!$A:$A,'[1]Nov-24'!$H:$H,0)</f>
        <v>0</v>
      </c>
      <c r="Q166" s="17">
        <f>_xlfn.XLOOKUP($B166,'[1]Dec-24'!$A:$A,'[1]Dec-24'!$H:$H,0)</f>
        <v>0</v>
      </c>
      <c r="R166" s="17">
        <f>_xlfn.XLOOKUP($B166,'[1]Jan-25'!$A:$A,'[1]Jan-25'!$H:$H,0)</f>
        <v>0</v>
      </c>
      <c r="S166" s="17">
        <f>_xlfn.XLOOKUP($B166,'[1]Feb-25'!$A:$A,'[1]Feb-25'!$H:$H,0)</f>
        <v>0</v>
      </c>
      <c r="T166" s="17">
        <f>_xlfn.XLOOKUP($B166,'[1]Mar-25'!$A:$A,'[1]Mar-25'!$H:$H,0)</f>
        <v>0</v>
      </c>
      <c r="U166" s="17">
        <f>_xlfn.XLOOKUP($B166,'[1]Apr-25'!$A:$A,'[1]Apr-25'!$H:$H,0)</f>
        <v>0</v>
      </c>
      <c r="V166" s="17">
        <f>_xlfn.XLOOKUP($B166,'[1]May-25'!$A:$A,'[1]May-25'!$H:$H,0)</f>
        <v>0</v>
      </c>
      <c r="W166" s="17">
        <f>_xlfn.XLOOKUP($B166,'[1]Jun-25'!$A:$A,'[1]Jun-25'!$H:$H,0)</f>
        <v>0</v>
      </c>
      <c r="X166" s="17">
        <f>_xlfn.XLOOKUP($B166,'[1]Jul-25'!$A:$A,'[1]Jul-25'!$H:$H,0)</f>
        <v>0</v>
      </c>
      <c r="Y166" s="17">
        <f>_xlfn.XLOOKUP($B166,'[1]Aug-25'!$A:$A,'[1]Aug-25'!$H:$H,0)</f>
        <v>0</v>
      </c>
      <c r="Z166" s="17">
        <f>_xlfn.XLOOKUP($B166,'[1]Sep-25'!$A:$A,'[1]Sep-25'!$H:$H,0)</f>
        <v>0</v>
      </c>
      <c r="AA166" s="17">
        <f>_xlfn.XLOOKUP($B166,'[1]Oct-25'!$A:$A,'[1]Oct-25'!$H:$H,0)</f>
        <v>0</v>
      </c>
      <c r="AB166" s="17">
        <f>_xlfn.XLOOKUP($B166,'[1]Nov-25'!$A:$A,'[1]Nov-25'!$H:$H,0)</f>
        <v>0</v>
      </c>
      <c r="AC166" s="17">
        <f>_xlfn.XLOOKUP($B166,'[1]Dec-25'!$A:$A,'[1]Dec-25'!$H:$H,0)</f>
        <v>0</v>
      </c>
      <c r="AD166" s="17">
        <f>_xlfn.XLOOKUP($B166,'[1]Jan-26'!$A:$A,'[1]Jan-26'!$H:$H,0)</f>
        <v>0</v>
      </c>
      <c r="AE166" s="17">
        <f>_xlfn.XLOOKUP($B166,'[1]Feb-26'!$A:$A,'[1]Feb-26'!$H:$H,0)</f>
        <v>0</v>
      </c>
      <c r="AF166" s="17">
        <f>_xlfn.XLOOKUP($B166,'[1]Mar-26'!$A:$A,'[1]Mar-26'!$H:$H,0)</f>
        <v>0</v>
      </c>
      <c r="AG166" s="17">
        <f>_xlfn.XLOOKUP($B166,'[1]Apr-26'!$A:$A,'[1]Apr-26'!$H:$H,0)</f>
        <v>0</v>
      </c>
    </row>
    <row r="167" spans="1:33" x14ac:dyDescent="0.2">
      <c r="A167" s="58">
        <v>13130</v>
      </c>
      <c r="B167" s="56" t="str">
        <f t="shared" si="8"/>
        <v>13130</v>
      </c>
      <c r="C167" s="57" t="s">
        <v>401</v>
      </c>
      <c r="D167" s="57" t="s">
        <v>303</v>
      </c>
      <c r="E167" s="44" t="s">
        <v>210</v>
      </c>
      <c r="F167" s="17">
        <f>_xlfn.XLOOKUP($B167,'[1]Jan-24'!$A:$A,'[1]Jan-24'!$H:$H,0)</f>
        <v>4889575.54</v>
      </c>
      <c r="G167" s="17">
        <f>_xlfn.XLOOKUP($B167,'[1]Feb-24'!$A:$A,'[1]Feb-24'!$H:$H,0)</f>
        <v>4184990.15</v>
      </c>
      <c r="H167" s="17">
        <f>_xlfn.XLOOKUP($B167,'[1]Mar-24'!$A:$A,'[1]Mar-24'!$H:$H,0)</f>
        <v>4171904.76</v>
      </c>
      <c r="I167" s="17">
        <f>_xlfn.XLOOKUP($B167,'[1]Apr-24'!$A:$A,'[1]Apr-24'!$H:$H,0)</f>
        <v>3409694.37</v>
      </c>
      <c r="J167" s="17">
        <f>_xlfn.XLOOKUP($B167,'[1]May-24'!$A:$A,'[1]May-24'!$H:$H,0)</f>
        <v>16642540.210000001</v>
      </c>
      <c r="K167" s="17">
        <f>_xlfn.XLOOKUP($B167,'[1]Jun-24'!$A:$A,'[1]Jun-24'!$H:$H,0)</f>
        <v>14069374.619999999</v>
      </c>
      <c r="L167" s="17">
        <f>_xlfn.XLOOKUP($B167,'[1]Jul-24'!$A:$A,'[1]Jul-24'!$H:$H,0)</f>
        <v>14860413.130000001</v>
      </c>
      <c r="M167" s="17">
        <f>_xlfn.XLOOKUP($B167,'[1]Aug-24'!$A:$A,'[1]Aug-24'!$H:$H,0)</f>
        <v>12069837.609999999</v>
      </c>
      <c r="N167" s="17">
        <f>_xlfn.XLOOKUP($B167,'[1]Sep-24'!$A:$A,'[1]Sep-24'!$H:$H,0)</f>
        <v>14001626.18</v>
      </c>
      <c r="O167" s="17">
        <f>_xlfn.XLOOKUP($B167,'[1]Oct-24'!$A:$A,'[1]Oct-24'!$H:$H,0)</f>
        <v>12230758.5</v>
      </c>
      <c r="P167" s="17">
        <f>_xlfn.XLOOKUP($B167,'[1]Nov-24'!$A:$A,'[1]Nov-24'!$H:$H,0)</f>
        <v>9542363</v>
      </c>
      <c r="Q167" s="17">
        <f>_xlfn.XLOOKUP($B167,'[1]Dec-24'!$A:$A,'[1]Dec-24'!$H:$H,0)</f>
        <v>13037097.65</v>
      </c>
      <c r="R167" s="17">
        <f>_xlfn.XLOOKUP($B167,'[1]Jan-25'!$A:$A,'[1]Jan-25'!$H:$H,0)</f>
        <v>9466030.4600000009</v>
      </c>
      <c r="S167" s="17">
        <f>_xlfn.XLOOKUP($B167,'[1]Feb-25'!$A:$A,'[1]Feb-25'!$H:$H,0)</f>
        <v>6225129.4299999997</v>
      </c>
      <c r="T167" s="17">
        <f>_xlfn.XLOOKUP($B167,'[1]Mar-25'!$A:$A,'[1]Mar-25'!$H:$H,0)</f>
        <v>8628152.6600000001</v>
      </c>
      <c r="U167" s="17">
        <f>_xlfn.XLOOKUP($B167,'[1]Apr-25'!$A:$A,'[1]Apr-25'!$H:$H,0)</f>
        <v>23573074.829999998</v>
      </c>
      <c r="V167" s="17">
        <f>_xlfn.XLOOKUP($B167,'[1]May-25'!$A:$A,'[1]May-25'!$H:$H,0)</f>
        <v>21405581.52</v>
      </c>
      <c r="W167" s="17">
        <f>_xlfn.XLOOKUP($B167,'[1]Jun-25'!$A:$A,'[1]Jun-25'!$H:$H,0)</f>
        <v>19824614.449999999</v>
      </c>
      <c r="X167" s="17">
        <f>_xlfn.XLOOKUP($B167,'[1]Jul-25'!$A:$A,'[1]Jul-25'!$H:$H,0)</f>
        <v>17673759.600000001</v>
      </c>
      <c r="Y167" s="17">
        <f>_xlfn.XLOOKUP($B167,'[1]Aug-25'!$A:$A,'[1]Aug-25'!$H:$H,0)</f>
        <v>18244912.920000002</v>
      </c>
      <c r="Z167" s="17">
        <f>_xlfn.XLOOKUP($B167,'[1]Sep-25'!$A:$A,'[1]Sep-25'!$H:$H,0)</f>
        <v>16737937.460000001</v>
      </c>
      <c r="AA167" s="17">
        <f>_xlfn.XLOOKUP($B167,'[1]Oct-25'!$A:$A,'[1]Oct-25'!$H:$H,0)</f>
        <v>21392567.75</v>
      </c>
      <c r="AB167" s="17">
        <f>_xlfn.XLOOKUP($B167,'[1]Nov-25'!$A:$A,'[1]Nov-25'!$H:$H,0)</f>
        <v>14915739.15</v>
      </c>
      <c r="AC167" s="17">
        <f>_xlfn.XLOOKUP($B167,'[1]Dec-25'!$A:$A,'[1]Dec-25'!$H:$H,0)</f>
        <v>13268184.74</v>
      </c>
      <c r="AD167" s="17">
        <f>_xlfn.XLOOKUP($B167,'[1]Jan-26'!$A:$A,'[1]Jan-26'!$H:$H,0)</f>
        <v>11041151.869999999</v>
      </c>
      <c r="AE167" s="17">
        <f>_xlfn.XLOOKUP($B167,'[1]Feb-26'!$A:$A,'[1]Feb-26'!$H:$H,0)</f>
        <v>8470948.4600000009</v>
      </c>
      <c r="AF167" s="17">
        <f>_xlfn.XLOOKUP($B167,'[1]Mar-26'!$A:$A,'[1]Mar-26'!$H:$H,0)</f>
        <v>14241882.050000001</v>
      </c>
      <c r="AG167" s="17">
        <f>_xlfn.XLOOKUP($B167,'[1]Apr-26'!$A:$A,'[1]Apr-26'!$H:$H,0)</f>
        <v>7867554.2599999998</v>
      </c>
    </row>
    <row r="168" spans="1:33" x14ac:dyDescent="0.2">
      <c r="A168" s="58">
        <v>13135</v>
      </c>
      <c r="B168" s="56" t="str">
        <f t="shared" si="8"/>
        <v>13135</v>
      </c>
      <c r="C168" s="57" t="s">
        <v>401</v>
      </c>
      <c r="D168" s="57" t="s">
        <v>303</v>
      </c>
      <c r="E168" s="44" t="s">
        <v>211</v>
      </c>
      <c r="F168" s="17">
        <f>_xlfn.XLOOKUP($B168,'[1]Jan-24'!$A:$A,'[1]Jan-24'!$H:$H,0)</f>
        <v>1600000.11</v>
      </c>
      <c r="G168" s="17">
        <f>_xlfn.XLOOKUP($B168,'[1]Feb-24'!$A:$A,'[1]Feb-24'!$H:$H,0)</f>
        <v>0.11</v>
      </c>
      <c r="H168" s="17">
        <f>_xlfn.XLOOKUP($B168,'[1]Mar-24'!$A:$A,'[1]Mar-24'!$H:$H,0)</f>
        <v>0.11</v>
      </c>
      <c r="I168" s="17">
        <f>_xlfn.XLOOKUP($B168,'[1]Apr-24'!$A:$A,'[1]Apr-24'!$H:$H,0)</f>
        <v>0.11</v>
      </c>
      <c r="J168" s="17">
        <f>_xlfn.XLOOKUP($B168,'[1]May-24'!$A:$A,'[1]May-24'!$H:$H,0)</f>
        <v>18333333.440000001</v>
      </c>
      <c r="K168" s="17">
        <f>_xlfn.XLOOKUP($B168,'[1]Jun-24'!$A:$A,'[1]Jun-24'!$H:$H,0)</f>
        <v>16296296.4</v>
      </c>
      <c r="L168" s="17">
        <f>_xlfn.XLOOKUP($B168,'[1]Jul-24'!$A:$A,'[1]Jul-24'!$H:$H,0)</f>
        <v>14259259.359999999</v>
      </c>
      <c r="M168" s="17">
        <f>_xlfn.XLOOKUP($B168,'[1]Aug-24'!$A:$A,'[1]Aug-24'!$H:$H,0)</f>
        <v>12222222.32</v>
      </c>
      <c r="N168" s="17">
        <f>_xlfn.XLOOKUP($B168,'[1]Sep-24'!$A:$A,'[1]Sep-24'!$H:$H,0)</f>
        <v>10185185.279999999</v>
      </c>
      <c r="O168" s="17">
        <f>_xlfn.XLOOKUP($B168,'[1]Oct-24'!$A:$A,'[1]Oct-24'!$H:$H,0)</f>
        <v>8148148.2400000002</v>
      </c>
      <c r="P168" s="17">
        <f>_xlfn.XLOOKUP($B168,'[1]Nov-24'!$A:$A,'[1]Nov-24'!$H:$H,0)</f>
        <v>6111111.2000000002</v>
      </c>
      <c r="Q168" s="17">
        <f>_xlfn.XLOOKUP($B168,'[1]Dec-24'!$A:$A,'[1]Dec-24'!$H:$H,0)</f>
        <v>4074074.16</v>
      </c>
      <c r="R168" s="17">
        <f>_xlfn.XLOOKUP($B168,'[1]Jan-25'!$A:$A,'[1]Jan-25'!$H:$H,0)</f>
        <v>2037037.12</v>
      </c>
      <c r="S168" s="17">
        <f>_xlfn.XLOOKUP($B168,'[1]Feb-25'!$A:$A,'[1]Feb-25'!$H:$H,0)</f>
        <v>0.12</v>
      </c>
      <c r="T168" s="17">
        <f>_xlfn.XLOOKUP($B168,'[1]Mar-25'!$A:$A,'[1]Mar-25'!$H:$H,0)</f>
        <v>0.12</v>
      </c>
      <c r="U168" s="17">
        <f>_xlfn.XLOOKUP($B168,'[1]Apr-25'!$A:$A,'[1]Apr-25'!$H:$H,0)</f>
        <v>0.12</v>
      </c>
      <c r="V168" s="17">
        <f>_xlfn.XLOOKUP($B168,'[1]May-25'!$A:$A,'[1]May-25'!$H:$H,0)</f>
        <v>0.12</v>
      </c>
      <c r="W168" s="17">
        <f>_xlfn.XLOOKUP($B168,'[1]Jun-25'!$A:$A,'[1]Jun-25'!$H:$H,0)</f>
        <v>3370370.48</v>
      </c>
      <c r="X168" s="17">
        <f>_xlfn.XLOOKUP($B168,'[1]Jul-25'!$A:$A,'[1]Jul-25'!$H:$H,0)</f>
        <v>962963.07</v>
      </c>
      <c r="Y168" s="17">
        <f>_xlfn.XLOOKUP($B168,'[1]Aug-25'!$A:$A,'[1]Aug-25'!$H:$H,0)</f>
        <v>14444444.550000001</v>
      </c>
      <c r="Z168" s="17">
        <f>_xlfn.XLOOKUP($B168,'[1]Sep-25'!$A:$A,'[1]Sep-25'!$H:$H,0)</f>
        <v>11638889</v>
      </c>
      <c r="AA168" s="17">
        <f>_xlfn.XLOOKUP($B168,'[1]Oct-25'!$A:$A,'[1]Oct-25'!$H:$H,0)</f>
        <v>9311111.2200000007</v>
      </c>
      <c r="AB168" s="17">
        <f>_xlfn.XLOOKUP($B168,'[1]Nov-25'!$A:$A,'[1]Nov-25'!$H:$H,0)</f>
        <v>6983333.4400000004</v>
      </c>
      <c r="AC168" s="17">
        <f>_xlfn.XLOOKUP($B168,'[1]Dec-25'!$A:$A,'[1]Dec-25'!$H:$H,0)</f>
        <v>4655555.66</v>
      </c>
      <c r="AD168" s="17">
        <f>_xlfn.XLOOKUP($B168,'[1]Jan-26'!$A:$A,'[1]Jan-26'!$H:$H,0)</f>
        <v>2327777.88</v>
      </c>
      <c r="AE168" s="17">
        <f>_xlfn.XLOOKUP($B168,'[1]Feb-26'!$A:$A,'[1]Feb-26'!$H:$H,0)</f>
        <v>0.13</v>
      </c>
      <c r="AF168" s="17">
        <f>_xlfn.XLOOKUP($B168,'[1]Mar-26'!$A:$A,'[1]Mar-26'!$H:$H,0)</f>
        <v>0.13</v>
      </c>
      <c r="AG168" s="17">
        <f>_xlfn.XLOOKUP($B168,'[1]Apr-26'!$A:$A,'[1]Apr-26'!$H:$H,0)</f>
        <v>0.13</v>
      </c>
    </row>
    <row r="169" spans="1:33" x14ac:dyDescent="0.2">
      <c r="A169" s="58">
        <v>13200</v>
      </c>
      <c r="B169" s="56" t="str">
        <f t="shared" si="8"/>
        <v>13200</v>
      </c>
      <c r="C169" s="57" t="s">
        <v>371</v>
      </c>
      <c r="D169" s="57" t="s">
        <v>303</v>
      </c>
      <c r="E169" s="44" t="s">
        <v>217</v>
      </c>
      <c r="F169" s="17">
        <f>_xlfn.XLOOKUP($B169,'[1]Jan-24'!$A:$A,'[1]Jan-24'!$H:$H,0)</f>
        <v>6243492.71</v>
      </c>
      <c r="G169" s="17">
        <f>_xlfn.XLOOKUP($B169,'[1]Feb-24'!$A:$A,'[1]Feb-24'!$H:$H,0)</f>
        <v>8207356.8300000001</v>
      </c>
      <c r="H169" s="17">
        <f>_xlfn.XLOOKUP($B169,'[1]Mar-24'!$A:$A,'[1]Mar-24'!$H:$H,0)</f>
        <v>9933685.3499999996</v>
      </c>
      <c r="I169" s="17">
        <f>_xlfn.XLOOKUP($B169,'[1]Apr-24'!$A:$A,'[1]Apr-24'!$H:$H,0)</f>
        <v>12188701.869999999</v>
      </c>
      <c r="J169" s="17">
        <f>_xlfn.XLOOKUP($B169,'[1]May-24'!$A:$A,'[1]May-24'!$H:$H,0)</f>
        <v>9960434.1199999992</v>
      </c>
      <c r="K169" s="17">
        <f>_xlfn.XLOOKUP($B169,'[1]Jun-24'!$A:$A,'[1]Jun-24'!$H:$H,0)</f>
        <v>6102149.7800000003</v>
      </c>
      <c r="L169" s="17">
        <f>_xlfn.XLOOKUP($B169,'[1]Jul-24'!$A:$A,'[1]Jul-24'!$H:$H,0)</f>
        <v>8198177.1500000004</v>
      </c>
      <c r="M169" s="17">
        <f>_xlfn.XLOOKUP($B169,'[1]Aug-24'!$A:$A,'[1]Aug-24'!$H:$H,0)</f>
        <v>10151260</v>
      </c>
      <c r="N169" s="17">
        <f>_xlfn.XLOOKUP($B169,'[1]Sep-24'!$A:$A,'[1]Sep-24'!$H:$H,0)</f>
        <v>5820369.4699999997</v>
      </c>
      <c r="O169" s="17">
        <f>_xlfn.XLOOKUP($B169,'[1]Oct-24'!$A:$A,'[1]Oct-24'!$H:$H,0)</f>
        <v>12913475.17</v>
      </c>
      <c r="P169" s="17">
        <f>_xlfn.XLOOKUP($B169,'[1]Nov-24'!$A:$A,'[1]Nov-24'!$H:$H,0)</f>
        <v>12968586.57</v>
      </c>
      <c r="Q169" s="17">
        <f>_xlfn.XLOOKUP($B169,'[1]Dec-24'!$A:$A,'[1]Dec-24'!$H:$H,0)</f>
        <v>10898024.24</v>
      </c>
      <c r="R169" s="17">
        <f>_xlfn.XLOOKUP($B169,'[1]Jan-25'!$A:$A,'[1]Jan-25'!$H:$H,0)</f>
        <v>15113486.93</v>
      </c>
      <c r="S169" s="17">
        <f>_xlfn.XLOOKUP($B169,'[1]Feb-25'!$A:$A,'[1]Feb-25'!$H:$H,0)</f>
        <v>14885950.32</v>
      </c>
      <c r="T169" s="17">
        <f>_xlfn.XLOOKUP($B169,'[1]Mar-25'!$A:$A,'[1]Mar-25'!$H:$H,0)</f>
        <v>13008398.060000001</v>
      </c>
      <c r="U169" s="17">
        <f>_xlfn.XLOOKUP($B169,'[1]Apr-25'!$A:$A,'[1]Apr-25'!$H:$H,0)</f>
        <v>12913965.560000001</v>
      </c>
      <c r="V169" s="17">
        <f>_xlfn.XLOOKUP($B169,'[1]May-25'!$A:$A,'[1]May-25'!$H:$H,0)</f>
        <v>12389631.630000001</v>
      </c>
      <c r="W169" s="17">
        <f>_xlfn.XLOOKUP($B169,'[1]Jun-25'!$A:$A,'[1]Jun-25'!$H:$H,0)</f>
        <v>4901041.1900000004</v>
      </c>
      <c r="X169" s="17">
        <f>_xlfn.XLOOKUP($B169,'[1]Jul-25'!$A:$A,'[1]Jul-25'!$H:$H,0)</f>
        <v>4245944.76</v>
      </c>
      <c r="Y169" s="17">
        <f>_xlfn.XLOOKUP($B169,'[1]Aug-25'!$A:$A,'[1]Aug-25'!$H:$H,0)</f>
        <v>3487923.33</v>
      </c>
      <c r="Z169" s="17">
        <f>_xlfn.XLOOKUP($B169,'[1]Sep-25'!$A:$A,'[1]Sep-25'!$H:$H,0)</f>
        <v>2646501.9</v>
      </c>
      <c r="AA169" s="17">
        <f>_xlfn.XLOOKUP($B169,'[1]Oct-25'!$A:$A,'[1]Oct-25'!$H:$H,0)</f>
        <v>2218050.4700000002</v>
      </c>
      <c r="AB169" s="17">
        <f>_xlfn.XLOOKUP($B169,'[1]Nov-25'!$A:$A,'[1]Nov-25'!$H:$H,0)</f>
        <v>3559099.04</v>
      </c>
      <c r="AC169" s="17">
        <f>_xlfn.XLOOKUP($B169,'[1]Dec-25'!$A:$A,'[1]Dec-25'!$H:$H,0)</f>
        <v>2435621.84</v>
      </c>
      <c r="AD169" s="17">
        <f>_xlfn.XLOOKUP($B169,'[1]Jan-26'!$A:$A,'[1]Jan-26'!$H:$H,0)</f>
        <v>1051374.0800000001</v>
      </c>
      <c r="AE169" s="17">
        <f>_xlfn.XLOOKUP($B169,'[1]Feb-26'!$A:$A,'[1]Feb-26'!$H:$H,0)</f>
        <v>888624.08</v>
      </c>
      <c r="AF169" s="17">
        <f>_xlfn.XLOOKUP($B169,'[1]Mar-26'!$A:$A,'[1]Mar-26'!$H:$H,0)</f>
        <v>1011249.08</v>
      </c>
      <c r="AG169" s="17">
        <f>_xlfn.XLOOKUP($B169,'[1]Apr-26'!$A:$A,'[1]Apr-26'!$H:$H,0)</f>
        <v>1290699.08</v>
      </c>
    </row>
    <row r="170" spans="1:33" x14ac:dyDescent="0.2">
      <c r="A170" s="58">
        <v>13300</v>
      </c>
      <c r="B170" s="56" t="str">
        <f t="shared" si="8"/>
        <v>13300</v>
      </c>
      <c r="C170" s="57" t="s">
        <v>371</v>
      </c>
      <c r="D170" s="57" t="s">
        <v>303</v>
      </c>
      <c r="E170" s="44" t="s">
        <v>408</v>
      </c>
      <c r="F170" s="17">
        <f>_xlfn.XLOOKUP($B170,'[1]Jan-24'!$A:$A,'[1]Jan-24'!$H:$H,0)</f>
        <v>0</v>
      </c>
      <c r="G170" s="17">
        <f>_xlfn.XLOOKUP($B170,'[1]Feb-24'!$A:$A,'[1]Feb-24'!$H:$H,0)</f>
        <v>0</v>
      </c>
      <c r="H170" s="17">
        <f>_xlfn.XLOOKUP($B170,'[1]Mar-24'!$A:$A,'[1]Mar-24'!$H:$H,0)</f>
        <v>0</v>
      </c>
      <c r="I170" s="17">
        <f>_xlfn.XLOOKUP($B170,'[1]Apr-24'!$A:$A,'[1]Apr-24'!$H:$H,0)</f>
        <v>0</v>
      </c>
      <c r="J170" s="17">
        <f>_xlfn.XLOOKUP($B170,'[1]May-24'!$A:$A,'[1]May-24'!$H:$H,0)</f>
        <v>0</v>
      </c>
      <c r="K170" s="17">
        <f>_xlfn.XLOOKUP($B170,'[1]Jun-24'!$A:$A,'[1]Jun-24'!$H:$H,0)</f>
        <v>0</v>
      </c>
      <c r="L170" s="17">
        <f>_xlfn.XLOOKUP($B170,'[1]Jul-24'!$A:$A,'[1]Jul-24'!$H:$H,0)</f>
        <v>0</v>
      </c>
      <c r="M170" s="17">
        <f>_xlfn.XLOOKUP($B170,'[1]Aug-24'!$A:$A,'[1]Aug-24'!$H:$H,0)</f>
        <v>0</v>
      </c>
      <c r="N170" s="17">
        <f>_xlfn.XLOOKUP($B170,'[1]Sep-24'!$A:$A,'[1]Sep-24'!$H:$H,0)</f>
        <v>0</v>
      </c>
      <c r="O170" s="17">
        <f>_xlfn.XLOOKUP($B170,'[1]Oct-24'!$A:$A,'[1]Oct-24'!$H:$H,0)</f>
        <v>0</v>
      </c>
      <c r="P170" s="17">
        <f>_xlfn.XLOOKUP($B170,'[1]Nov-24'!$A:$A,'[1]Nov-24'!$H:$H,0)</f>
        <v>0</v>
      </c>
      <c r="Q170" s="17">
        <f>_xlfn.XLOOKUP($B170,'[1]Dec-24'!$A:$A,'[1]Dec-24'!$H:$H,0)</f>
        <v>0</v>
      </c>
      <c r="R170" s="17">
        <f>_xlfn.XLOOKUP($B170,'[1]Jan-25'!$A:$A,'[1]Jan-25'!$H:$H,0)</f>
        <v>0</v>
      </c>
      <c r="S170" s="17">
        <f>_xlfn.XLOOKUP($B170,'[1]Feb-25'!$A:$A,'[1]Feb-25'!$H:$H,0)</f>
        <v>0</v>
      </c>
      <c r="T170" s="17">
        <f>_xlfn.XLOOKUP($B170,'[1]Mar-25'!$A:$A,'[1]Mar-25'!$H:$H,0)</f>
        <v>0</v>
      </c>
      <c r="U170" s="17">
        <f>_xlfn.XLOOKUP($B170,'[1]Apr-25'!$A:$A,'[1]Apr-25'!$H:$H,0)</f>
        <v>0</v>
      </c>
      <c r="V170" s="17">
        <f>_xlfn.XLOOKUP($B170,'[1]May-25'!$A:$A,'[1]May-25'!$H:$H,0)</f>
        <v>0</v>
      </c>
      <c r="W170" s="17">
        <f>_xlfn.XLOOKUP($B170,'[1]Jun-25'!$A:$A,'[1]Jun-25'!$H:$H,0)</f>
        <v>0</v>
      </c>
      <c r="X170" s="17">
        <f>_xlfn.XLOOKUP($B170,'[1]Jul-25'!$A:$A,'[1]Jul-25'!$H:$H,0)</f>
        <v>0</v>
      </c>
      <c r="Y170" s="17">
        <f>_xlfn.XLOOKUP($B170,'[1]Aug-25'!$A:$A,'[1]Aug-25'!$H:$H,0)</f>
        <v>0</v>
      </c>
      <c r="Z170" s="17">
        <f>_xlfn.XLOOKUP($B170,'[1]Sep-25'!$A:$A,'[1]Sep-25'!$H:$H,0)</f>
        <v>0</v>
      </c>
      <c r="AA170" s="17">
        <f>_xlfn.XLOOKUP($B170,'[1]Oct-25'!$A:$A,'[1]Oct-25'!$H:$H,0)</f>
        <v>0</v>
      </c>
      <c r="AB170" s="17">
        <f>_xlfn.XLOOKUP($B170,'[1]Nov-25'!$A:$A,'[1]Nov-25'!$H:$H,0)</f>
        <v>0</v>
      </c>
      <c r="AC170" s="17">
        <f>_xlfn.XLOOKUP($B170,'[1]Dec-25'!$A:$A,'[1]Dec-25'!$H:$H,0)</f>
        <v>0</v>
      </c>
      <c r="AD170" s="17">
        <f>_xlfn.XLOOKUP($B170,'[1]Jan-26'!$A:$A,'[1]Jan-26'!$H:$H,0)</f>
        <v>0</v>
      </c>
      <c r="AE170" s="17">
        <f>_xlfn.XLOOKUP($B170,'[1]Feb-26'!$A:$A,'[1]Feb-26'!$H:$H,0)</f>
        <v>0</v>
      </c>
      <c r="AF170" s="17">
        <f>_xlfn.XLOOKUP($B170,'[1]Mar-26'!$A:$A,'[1]Mar-26'!$H:$H,0)</f>
        <v>0</v>
      </c>
      <c r="AG170" s="17">
        <f>_xlfn.XLOOKUP($B170,'[1]Apr-26'!$A:$A,'[1]Apr-26'!$H:$H,0)</f>
        <v>0</v>
      </c>
    </row>
    <row r="171" spans="1:33" x14ac:dyDescent="0.2">
      <c r="A171" s="58">
        <v>13301</v>
      </c>
      <c r="B171" s="56" t="str">
        <f t="shared" si="8"/>
        <v>13301</v>
      </c>
      <c r="C171" s="57" t="s">
        <v>371</v>
      </c>
      <c r="D171" s="57" t="s">
        <v>303</v>
      </c>
      <c r="E171" s="44" t="s">
        <v>409</v>
      </c>
      <c r="F171" s="17">
        <f>_xlfn.XLOOKUP($B171,'[1]Jan-24'!$A:$A,'[1]Jan-24'!$H:$H,0)</f>
        <v>0</v>
      </c>
      <c r="G171" s="17">
        <f>_xlfn.XLOOKUP($B171,'[1]Feb-24'!$A:$A,'[1]Feb-24'!$H:$H,0)</f>
        <v>0</v>
      </c>
      <c r="H171" s="17">
        <f>_xlfn.XLOOKUP($B171,'[1]Mar-24'!$A:$A,'[1]Mar-24'!$H:$H,0)</f>
        <v>0</v>
      </c>
      <c r="I171" s="17">
        <f>_xlfn.XLOOKUP($B171,'[1]Apr-24'!$A:$A,'[1]Apr-24'!$H:$H,0)</f>
        <v>0</v>
      </c>
      <c r="J171" s="17">
        <f>_xlfn.XLOOKUP($B171,'[1]May-24'!$A:$A,'[1]May-24'!$H:$H,0)</f>
        <v>0</v>
      </c>
      <c r="K171" s="17">
        <f>_xlfn.XLOOKUP($B171,'[1]Jun-24'!$A:$A,'[1]Jun-24'!$H:$H,0)</f>
        <v>0</v>
      </c>
      <c r="L171" s="17">
        <f>_xlfn.XLOOKUP($B171,'[1]Jul-24'!$A:$A,'[1]Jul-24'!$H:$H,0)</f>
        <v>0</v>
      </c>
      <c r="M171" s="17">
        <f>_xlfn.XLOOKUP($B171,'[1]Aug-24'!$A:$A,'[1]Aug-24'!$H:$H,0)</f>
        <v>0</v>
      </c>
      <c r="N171" s="17">
        <f>_xlfn.XLOOKUP($B171,'[1]Sep-24'!$A:$A,'[1]Sep-24'!$H:$H,0)</f>
        <v>0</v>
      </c>
      <c r="O171" s="17">
        <f>_xlfn.XLOOKUP($B171,'[1]Oct-24'!$A:$A,'[1]Oct-24'!$H:$H,0)</f>
        <v>0</v>
      </c>
      <c r="P171" s="17">
        <f>_xlfn.XLOOKUP($B171,'[1]Nov-24'!$A:$A,'[1]Nov-24'!$H:$H,0)</f>
        <v>10000000</v>
      </c>
      <c r="Q171" s="17">
        <f>_xlfn.XLOOKUP($B171,'[1]Dec-24'!$A:$A,'[1]Dec-24'!$H:$H,0)</f>
        <v>0</v>
      </c>
      <c r="R171" s="17">
        <f>_xlfn.XLOOKUP($B171,'[1]Jan-25'!$A:$A,'[1]Jan-25'!$H:$H,0)</f>
        <v>0</v>
      </c>
      <c r="S171" s="17">
        <f>_xlfn.XLOOKUP($B171,'[1]Feb-25'!$A:$A,'[1]Feb-25'!$H:$H,0)</f>
        <v>0</v>
      </c>
      <c r="T171" s="17">
        <f>_xlfn.XLOOKUP($B171,'[1]Mar-25'!$A:$A,'[1]Mar-25'!$H:$H,0)</f>
        <v>0</v>
      </c>
      <c r="U171" s="17">
        <f>_xlfn.XLOOKUP($B171,'[1]Apr-25'!$A:$A,'[1]Apr-25'!$H:$H,0)</f>
        <v>0</v>
      </c>
      <c r="V171" s="17">
        <f>_xlfn.XLOOKUP($B171,'[1]May-25'!$A:$A,'[1]May-25'!$H:$H,0)</f>
        <v>0</v>
      </c>
      <c r="W171" s="17">
        <f>_xlfn.XLOOKUP($B171,'[1]Jun-25'!$A:$A,'[1]Jun-25'!$H:$H,0)</f>
        <v>0</v>
      </c>
      <c r="X171" s="17">
        <f>_xlfn.XLOOKUP($B171,'[1]Jul-25'!$A:$A,'[1]Jul-25'!$H:$H,0)</f>
        <v>0</v>
      </c>
      <c r="Y171" s="17">
        <f>_xlfn.XLOOKUP($B171,'[1]Aug-25'!$A:$A,'[1]Aug-25'!$H:$H,0)</f>
        <v>0</v>
      </c>
      <c r="Z171" s="17">
        <f>_xlfn.XLOOKUP($B171,'[1]Sep-25'!$A:$A,'[1]Sep-25'!$H:$H,0)</f>
        <v>0</v>
      </c>
      <c r="AA171" s="17">
        <f>_xlfn.XLOOKUP($B171,'[1]Oct-25'!$A:$A,'[1]Oct-25'!$H:$H,0)</f>
        <v>0</v>
      </c>
      <c r="AB171" s="17">
        <f>_xlfn.XLOOKUP($B171,'[1]Nov-25'!$A:$A,'[1]Nov-25'!$H:$H,0)</f>
        <v>0</v>
      </c>
      <c r="AC171" s="17">
        <f>_xlfn.XLOOKUP($B171,'[1]Dec-25'!$A:$A,'[1]Dec-25'!$H:$H,0)</f>
        <v>0</v>
      </c>
      <c r="AD171" s="17">
        <f>_xlfn.XLOOKUP($B171,'[1]Jan-26'!$A:$A,'[1]Jan-26'!$H:$H,0)</f>
        <v>0</v>
      </c>
      <c r="AE171" s="17">
        <f>_xlfn.XLOOKUP($B171,'[1]Feb-26'!$A:$A,'[1]Feb-26'!$H:$H,0)</f>
        <v>0</v>
      </c>
      <c r="AF171" s="17">
        <f>_xlfn.XLOOKUP($B171,'[1]Mar-26'!$A:$A,'[1]Mar-26'!$H:$H,0)</f>
        <v>0</v>
      </c>
      <c r="AG171" s="17">
        <f>_xlfn.XLOOKUP($B171,'[1]Apr-26'!$A:$A,'[1]Apr-26'!$H:$H,0)</f>
        <v>0</v>
      </c>
    </row>
    <row r="172" spans="1:33" x14ac:dyDescent="0.2">
      <c r="A172" s="58">
        <v>13400</v>
      </c>
      <c r="B172" s="56" t="str">
        <f t="shared" si="8"/>
        <v>13400</v>
      </c>
      <c r="C172" s="57" t="s">
        <v>371</v>
      </c>
      <c r="D172" s="57" t="s">
        <v>303</v>
      </c>
      <c r="E172" s="44" t="s">
        <v>218</v>
      </c>
      <c r="F172" s="17">
        <f>_xlfn.XLOOKUP($B172,'[1]Jan-24'!$A:$A,'[1]Jan-24'!$H:$H,0)</f>
        <v>305145909.02999997</v>
      </c>
      <c r="G172" s="17">
        <f>_xlfn.XLOOKUP($B172,'[1]Feb-24'!$A:$A,'[1]Feb-24'!$H:$H,0)</f>
        <v>313643468.25</v>
      </c>
      <c r="H172" s="17">
        <f>_xlfn.XLOOKUP($B172,'[1]Mar-24'!$A:$A,'[1]Mar-24'!$H:$H,0)</f>
        <v>345334052.72000003</v>
      </c>
      <c r="I172" s="17">
        <f>_xlfn.XLOOKUP($B172,'[1]Apr-24'!$A:$A,'[1]Apr-24'!$H:$H,0)</f>
        <v>394948400.66000003</v>
      </c>
      <c r="J172" s="17">
        <f>_xlfn.XLOOKUP($B172,'[1]May-24'!$A:$A,'[1]May-24'!$H:$H,0)</f>
        <v>421038561.36000001</v>
      </c>
      <c r="K172" s="17">
        <f>_xlfn.XLOOKUP($B172,'[1]Jun-24'!$A:$A,'[1]Jun-24'!$H:$H,0)</f>
        <v>421038561.36000001</v>
      </c>
      <c r="L172" s="17">
        <f>_xlfn.XLOOKUP($B172,'[1]Jul-24'!$A:$A,'[1]Jul-24'!$H:$H,0)</f>
        <v>421113561.36000001</v>
      </c>
      <c r="M172" s="17">
        <f>_xlfn.XLOOKUP($B172,'[1]Aug-24'!$A:$A,'[1]Aug-24'!$H:$H,0)</f>
        <v>459214113.20999998</v>
      </c>
      <c r="N172" s="17">
        <f>_xlfn.XLOOKUP($B172,'[1]Sep-24'!$A:$A,'[1]Sep-24'!$H:$H,0)</f>
        <v>443925487.08999997</v>
      </c>
      <c r="O172" s="17">
        <f>_xlfn.XLOOKUP($B172,'[1]Oct-24'!$A:$A,'[1]Oct-24'!$H:$H,0)</f>
        <v>454629154.98000002</v>
      </c>
      <c r="P172" s="17">
        <f>_xlfn.XLOOKUP($B172,'[1]Nov-24'!$A:$A,'[1]Nov-24'!$H:$H,0)</f>
        <v>456145048.47000003</v>
      </c>
      <c r="Q172" s="17">
        <f>_xlfn.XLOOKUP($B172,'[1]Dec-24'!$A:$A,'[1]Dec-24'!$H:$H,0)</f>
        <v>466104687.24000001</v>
      </c>
      <c r="R172" s="17">
        <f>_xlfn.XLOOKUP($B172,'[1]Jan-25'!$A:$A,'[1]Jan-25'!$H:$H,0)</f>
        <v>472564818.79000002</v>
      </c>
      <c r="S172" s="17">
        <f>_xlfn.XLOOKUP($B172,'[1]Feb-25'!$A:$A,'[1]Feb-25'!$H:$H,0)</f>
        <v>472564818.79000002</v>
      </c>
      <c r="T172" s="17">
        <f>_xlfn.XLOOKUP($B172,'[1]Mar-25'!$A:$A,'[1]Mar-25'!$H:$H,0)</f>
        <v>509096092.43000001</v>
      </c>
      <c r="U172" s="17">
        <f>_xlfn.XLOOKUP($B172,'[1]Apr-25'!$A:$A,'[1]Apr-25'!$H:$H,0)</f>
        <v>514536526.37</v>
      </c>
      <c r="V172" s="17">
        <f>_xlfn.XLOOKUP($B172,'[1]May-25'!$A:$A,'[1]May-25'!$H:$H,0)</f>
        <v>514536526.37</v>
      </c>
      <c r="W172" s="17">
        <f>_xlfn.XLOOKUP($B172,'[1]Jun-25'!$A:$A,'[1]Jun-25'!$H:$H,0)</f>
        <v>547375401.25</v>
      </c>
      <c r="X172" s="17">
        <f>_xlfn.XLOOKUP($B172,'[1]Jul-25'!$A:$A,'[1]Jul-25'!$H:$H,0)</f>
        <v>550768486.45000005</v>
      </c>
      <c r="Y172" s="17">
        <f>_xlfn.XLOOKUP($B172,'[1]Aug-25'!$A:$A,'[1]Aug-25'!$H:$H,0)</f>
        <v>529096062.88</v>
      </c>
      <c r="Z172" s="17">
        <f>_xlfn.XLOOKUP($B172,'[1]Sep-25'!$A:$A,'[1]Sep-25'!$H:$H,0)</f>
        <v>529096062.88</v>
      </c>
      <c r="AA172" s="17">
        <f>_xlfn.XLOOKUP($B172,'[1]Oct-25'!$A:$A,'[1]Oct-25'!$H:$H,0)</f>
        <v>529096062.88</v>
      </c>
      <c r="AB172" s="17">
        <f>_xlfn.XLOOKUP($B172,'[1]Nov-25'!$A:$A,'[1]Nov-25'!$H:$H,0)</f>
        <v>533004810.48000002</v>
      </c>
      <c r="AC172" s="17">
        <f>_xlfn.XLOOKUP($B172,'[1]Dec-25'!$A:$A,'[1]Dec-25'!$H:$H,0)</f>
        <v>533116438.38999999</v>
      </c>
      <c r="AD172" s="17">
        <f>_xlfn.XLOOKUP($B172,'[1]Jan-26'!$A:$A,'[1]Jan-26'!$H:$H,0)</f>
        <v>533116438.38999999</v>
      </c>
      <c r="AE172" s="17">
        <f>_xlfn.XLOOKUP($B172,'[1]Feb-26'!$A:$A,'[1]Feb-26'!$H:$H,0)</f>
        <v>535628490.38999999</v>
      </c>
      <c r="AF172" s="17">
        <f>_xlfn.XLOOKUP($B172,'[1]Mar-26'!$A:$A,'[1]Mar-26'!$H:$H,0)</f>
        <v>541268486.66999996</v>
      </c>
      <c r="AG172" s="17">
        <f>_xlfn.XLOOKUP($B172,'[1]Apr-26'!$A:$A,'[1]Apr-26'!$H:$H,0)</f>
        <v>541284486.66999996</v>
      </c>
    </row>
    <row r="173" spans="1:33" x14ac:dyDescent="0.2">
      <c r="A173" s="58">
        <v>13401</v>
      </c>
      <c r="B173" s="56" t="str">
        <f t="shared" si="8"/>
        <v>13401</v>
      </c>
      <c r="C173" s="57" t="s">
        <v>371</v>
      </c>
      <c r="D173" s="57" t="s">
        <v>303</v>
      </c>
      <c r="E173" s="44" t="s">
        <v>410</v>
      </c>
      <c r="F173" s="17">
        <f>_xlfn.XLOOKUP($B173,'[1]Jan-24'!$A:$A,'[1]Jan-24'!$H:$H,0)</f>
        <v>0</v>
      </c>
      <c r="G173" s="17">
        <f>_xlfn.XLOOKUP($B173,'[1]Feb-24'!$A:$A,'[1]Feb-24'!$H:$H,0)</f>
        <v>0</v>
      </c>
      <c r="H173" s="17">
        <f>_xlfn.XLOOKUP($B173,'[1]Mar-24'!$A:$A,'[1]Mar-24'!$H:$H,0)</f>
        <v>0</v>
      </c>
      <c r="I173" s="17">
        <f>_xlfn.XLOOKUP($B173,'[1]Apr-24'!$A:$A,'[1]Apr-24'!$H:$H,0)</f>
        <v>0</v>
      </c>
      <c r="J173" s="17">
        <f>_xlfn.XLOOKUP($B173,'[1]May-24'!$A:$A,'[1]May-24'!$H:$H,0)</f>
        <v>0</v>
      </c>
      <c r="K173" s="17">
        <f>_xlfn.XLOOKUP($B173,'[1]Jun-24'!$A:$A,'[1]Jun-24'!$H:$H,0)</f>
        <v>0</v>
      </c>
      <c r="L173" s="17">
        <f>_xlfn.XLOOKUP($B173,'[1]Jul-24'!$A:$A,'[1]Jul-24'!$H:$H,0)</f>
        <v>0</v>
      </c>
      <c r="M173" s="17">
        <f>_xlfn.XLOOKUP($B173,'[1]Aug-24'!$A:$A,'[1]Aug-24'!$H:$H,0)</f>
        <v>0</v>
      </c>
      <c r="N173" s="17">
        <f>_xlfn.XLOOKUP($B173,'[1]Sep-24'!$A:$A,'[1]Sep-24'!$H:$H,0)</f>
        <v>0</v>
      </c>
      <c r="O173" s="17">
        <f>_xlfn.XLOOKUP($B173,'[1]Oct-24'!$A:$A,'[1]Oct-24'!$H:$H,0)</f>
        <v>0</v>
      </c>
      <c r="P173" s="17">
        <f>_xlfn.XLOOKUP($B173,'[1]Nov-24'!$A:$A,'[1]Nov-24'!$H:$H,0)</f>
        <v>0</v>
      </c>
      <c r="Q173" s="17">
        <f>_xlfn.XLOOKUP($B173,'[1]Dec-24'!$A:$A,'[1]Dec-24'!$H:$H,0)</f>
        <v>0</v>
      </c>
      <c r="R173" s="17">
        <f>_xlfn.XLOOKUP($B173,'[1]Jan-25'!$A:$A,'[1]Jan-25'!$H:$H,0)</f>
        <v>0</v>
      </c>
      <c r="S173" s="17">
        <f>_xlfn.XLOOKUP($B173,'[1]Feb-25'!$A:$A,'[1]Feb-25'!$H:$H,0)</f>
        <v>0</v>
      </c>
      <c r="T173" s="17">
        <f>_xlfn.XLOOKUP($B173,'[1]Mar-25'!$A:$A,'[1]Mar-25'!$H:$H,0)</f>
        <v>0</v>
      </c>
      <c r="U173" s="17">
        <f>_xlfn.XLOOKUP($B173,'[1]Apr-25'!$A:$A,'[1]Apr-25'!$H:$H,0)</f>
        <v>0</v>
      </c>
      <c r="V173" s="17">
        <f>_xlfn.XLOOKUP($B173,'[1]May-25'!$A:$A,'[1]May-25'!$H:$H,0)</f>
        <v>0</v>
      </c>
      <c r="W173" s="17">
        <f>_xlfn.XLOOKUP($B173,'[1]Jun-25'!$A:$A,'[1]Jun-25'!$H:$H,0)</f>
        <v>0</v>
      </c>
      <c r="X173" s="17">
        <f>_xlfn.XLOOKUP($B173,'[1]Jul-25'!$A:$A,'[1]Jul-25'!$H:$H,0)</f>
        <v>0</v>
      </c>
      <c r="Y173" s="17">
        <f>_xlfn.XLOOKUP($B173,'[1]Aug-25'!$A:$A,'[1]Aug-25'!$H:$H,0)</f>
        <v>0</v>
      </c>
      <c r="Z173" s="17">
        <f>_xlfn.XLOOKUP($B173,'[1]Sep-25'!$A:$A,'[1]Sep-25'!$H:$H,0)</f>
        <v>0</v>
      </c>
      <c r="AA173" s="17">
        <f>_xlfn.XLOOKUP($B173,'[1]Oct-25'!$A:$A,'[1]Oct-25'!$H:$H,0)</f>
        <v>0</v>
      </c>
      <c r="AB173" s="17">
        <f>_xlfn.XLOOKUP($B173,'[1]Nov-25'!$A:$A,'[1]Nov-25'!$H:$H,0)</f>
        <v>0</v>
      </c>
      <c r="AC173" s="17">
        <f>_xlfn.XLOOKUP($B173,'[1]Dec-25'!$A:$A,'[1]Dec-25'!$H:$H,0)</f>
        <v>0</v>
      </c>
      <c r="AD173" s="17">
        <f>_xlfn.XLOOKUP($B173,'[1]Jan-26'!$A:$A,'[1]Jan-26'!$H:$H,0)</f>
        <v>0</v>
      </c>
      <c r="AE173" s="17">
        <f>_xlfn.XLOOKUP($B173,'[1]Feb-26'!$A:$A,'[1]Feb-26'!$H:$H,0)</f>
        <v>0</v>
      </c>
      <c r="AF173" s="17">
        <f>_xlfn.XLOOKUP($B173,'[1]Mar-26'!$A:$A,'[1]Mar-26'!$H:$H,0)</f>
        <v>0</v>
      </c>
      <c r="AG173" s="17">
        <f>_xlfn.XLOOKUP($B173,'[1]Apr-26'!$A:$A,'[1]Apr-26'!$H:$H,0)</f>
        <v>0</v>
      </c>
    </row>
    <row r="174" spans="1:33" x14ac:dyDescent="0.2">
      <c r="A174" s="58">
        <v>13402</v>
      </c>
      <c r="B174" s="56" t="str">
        <f t="shared" si="8"/>
        <v>13402</v>
      </c>
      <c r="C174" s="57" t="s">
        <v>371</v>
      </c>
      <c r="D174" s="57" t="s">
        <v>303</v>
      </c>
      <c r="E174" s="44" t="s">
        <v>411</v>
      </c>
      <c r="F174" s="17">
        <f>_xlfn.XLOOKUP($B174,'[1]Jan-24'!$A:$A,'[1]Jan-24'!$H:$H,0)</f>
        <v>0</v>
      </c>
      <c r="G174" s="17">
        <f>_xlfn.XLOOKUP($B174,'[1]Feb-24'!$A:$A,'[1]Feb-24'!$H:$H,0)</f>
        <v>0</v>
      </c>
      <c r="H174" s="17">
        <f>_xlfn.XLOOKUP($B174,'[1]Mar-24'!$A:$A,'[1]Mar-24'!$H:$H,0)</f>
        <v>0</v>
      </c>
      <c r="I174" s="17">
        <f>_xlfn.XLOOKUP($B174,'[1]Apr-24'!$A:$A,'[1]Apr-24'!$H:$H,0)</f>
        <v>0</v>
      </c>
      <c r="J174" s="17">
        <f>_xlfn.XLOOKUP($B174,'[1]May-24'!$A:$A,'[1]May-24'!$H:$H,0)</f>
        <v>0</v>
      </c>
      <c r="K174" s="17">
        <f>_xlfn.XLOOKUP($B174,'[1]Jun-24'!$A:$A,'[1]Jun-24'!$H:$H,0)</f>
        <v>0</v>
      </c>
      <c r="L174" s="17">
        <f>_xlfn.XLOOKUP($B174,'[1]Jul-24'!$A:$A,'[1]Jul-24'!$H:$H,0)</f>
        <v>0</v>
      </c>
      <c r="M174" s="17">
        <f>_xlfn.XLOOKUP($B174,'[1]Aug-24'!$A:$A,'[1]Aug-24'!$H:$H,0)</f>
        <v>0</v>
      </c>
      <c r="N174" s="17">
        <f>_xlfn.XLOOKUP($B174,'[1]Sep-24'!$A:$A,'[1]Sep-24'!$H:$H,0)</f>
        <v>0</v>
      </c>
      <c r="O174" s="17">
        <f>_xlfn.XLOOKUP($B174,'[1]Oct-24'!$A:$A,'[1]Oct-24'!$H:$H,0)</f>
        <v>0</v>
      </c>
      <c r="P174" s="17">
        <f>_xlfn.XLOOKUP($B174,'[1]Nov-24'!$A:$A,'[1]Nov-24'!$H:$H,0)</f>
        <v>0</v>
      </c>
      <c r="Q174" s="17">
        <f>_xlfn.XLOOKUP($B174,'[1]Dec-24'!$A:$A,'[1]Dec-24'!$H:$H,0)</f>
        <v>0</v>
      </c>
      <c r="R174" s="17">
        <f>_xlfn.XLOOKUP($B174,'[1]Jan-25'!$A:$A,'[1]Jan-25'!$H:$H,0)</f>
        <v>0</v>
      </c>
      <c r="S174" s="17">
        <f>_xlfn.XLOOKUP($B174,'[1]Feb-25'!$A:$A,'[1]Feb-25'!$H:$H,0)</f>
        <v>0</v>
      </c>
      <c r="T174" s="17">
        <f>_xlfn.XLOOKUP($B174,'[1]Mar-25'!$A:$A,'[1]Mar-25'!$H:$H,0)</f>
        <v>0</v>
      </c>
      <c r="U174" s="17">
        <f>_xlfn.XLOOKUP($B174,'[1]Apr-25'!$A:$A,'[1]Apr-25'!$H:$H,0)</f>
        <v>0</v>
      </c>
      <c r="V174" s="17">
        <f>_xlfn.XLOOKUP($B174,'[1]May-25'!$A:$A,'[1]May-25'!$H:$H,0)</f>
        <v>0</v>
      </c>
      <c r="W174" s="17">
        <f>_xlfn.XLOOKUP($B174,'[1]Jun-25'!$A:$A,'[1]Jun-25'!$H:$H,0)</f>
        <v>0</v>
      </c>
      <c r="X174" s="17">
        <f>_xlfn.XLOOKUP($B174,'[1]Jul-25'!$A:$A,'[1]Jul-25'!$H:$H,0)</f>
        <v>0</v>
      </c>
      <c r="Y174" s="17">
        <f>_xlfn.XLOOKUP($B174,'[1]Aug-25'!$A:$A,'[1]Aug-25'!$H:$H,0)</f>
        <v>0</v>
      </c>
      <c r="Z174" s="17">
        <f>_xlfn.XLOOKUP($B174,'[1]Sep-25'!$A:$A,'[1]Sep-25'!$H:$H,0)</f>
        <v>0</v>
      </c>
      <c r="AA174" s="17">
        <f>_xlfn.XLOOKUP($B174,'[1]Oct-25'!$A:$A,'[1]Oct-25'!$H:$H,0)</f>
        <v>0</v>
      </c>
      <c r="AB174" s="17">
        <f>_xlfn.XLOOKUP($B174,'[1]Nov-25'!$A:$A,'[1]Nov-25'!$H:$H,0)</f>
        <v>0</v>
      </c>
      <c r="AC174" s="17">
        <f>_xlfn.XLOOKUP($B174,'[1]Dec-25'!$A:$A,'[1]Dec-25'!$H:$H,0)</f>
        <v>0</v>
      </c>
      <c r="AD174" s="17">
        <f>_xlfn.XLOOKUP($B174,'[1]Jan-26'!$A:$A,'[1]Jan-26'!$H:$H,0)</f>
        <v>0</v>
      </c>
      <c r="AE174" s="17">
        <f>_xlfn.XLOOKUP($B174,'[1]Feb-26'!$A:$A,'[1]Feb-26'!$H:$H,0)</f>
        <v>0</v>
      </c>
      <c r="AF174" s="17">
        <f>_xlfn.XLOOKUP($B174,'[1]Mar-26'!$A:$A,'[1]Mar-26'!$H:$H,0)</f>
        <v>0</v>
      </c>
      <c r="AG174" s="17">
        <f>_xlfn.XLOOKUP($B174,'[1]Apr-26'!$A:$A,'[1]Apr-26'!$H:$H,0)</f>
        <v>0</v>
      </c>
    </row>
    <row r="175" spans="1:33" x14ac:dyDescent="0.2">
      <c r="A175" s="58">
        <v>14000</v>
      </c>
      <c r="B175" s="56" t="str">
        <f t="shared" si="8"/>
        <v>14000</v>
      </c>
      <c r="C175" s="57" t="s">
        <v>371</v>
      </c>
      <c r="D175" s="57" t="s">
        <v>303</v>
      </c>
      <c r="E175" s="44" t="s">
        <v>221</v>
      </c>
      <c r="F175" s="17">
        <f>_xlfn.XLOOKUP($B175,'[1]Jan-24'!$A:$A,'[1]Jan-24'!$H:$H,0)</f>
        <v>-125319791.42</v>
      </c>
      <c r="G175" s="17">
        <f>_xlfn.XLOOKUP($B175,'[1]Feb-24'!$A:$A,'[1]Feb-24'!$H:$H,0)</f>
        <v>-123695322.29000001</v>
      </c>
      <c r="H175" s="17">
        <f>_xlfn.XLOOKUP($B175,'[1]Mar-24'!$A:$A,'[1]Mar-24'!$H:$H,0)</f>
        <v>-122014070.22</v>
      </c>
      <c r="I175" s="17">
        <f>_xlfn.XLOOKUP($B175,'[1]Apr-24'!$A:$A,'[1]Apr-24'!$H:$H,0)</f>
        <v>-119776296.28</v>
      </c>
      <c r="J175" s="17">
        <f>_xlfn.XLOOKUP($B175,'[1]May-24'!$A:$A,'[1]May-24'!$H:$H,0)</f>
        <v>-117314718.72</v>
      </c>
      <c r="K175" s="17">
        <f>_xlfn.XLOOKUP($B175,'[1]Jun-24'!$A:$A,'[1]Jun-24'!$H:$H,0)</f>
        <v>-115015198.62</v>
      </c>
      <c r="L175" s="17">
        <f>_xlfn.XLOOKUP($B175,'[1]Jul-24'!$A:$A,'[1]Jul-24'!$H:$H,0)</f>
        <v>-111174435.17</v>
      </c>
      <c r="M175" s="17">
        <f>_xlfn.XLOOKUP($B175,'[1]Aug-24'!$A:$A,'[1]Aug-24'!$H:$H,0)</f>
        <v>-108378862.88</v>
      </c>
      <c r="N175" s="17">
        <f>_xlfn.XLOOKUP($B175,'[1]Sep-24'!$A:$A,'[1]Sep-24'!$H:$H,0)</f>
        <v>-105483782.89</v>
      </c>
      <c r="O175" s="17">
        <f>_xlfn.XLOOKUP($B175,'[1]Oct-24'!$A:$A,'[1]Oct-24'!$H:$H,0)</f>
        <v>-102689600.92</v>
      </c>
      <c r="P175" s="17">
        <f>_xlfn.XLOOKUP($B175,'[1]Nov-24'!$A:$A,'[1]Nov-24'!$H:$H,0)</f>
        <v>-99922944.659999996</v>
      </c>
      <c r="Q175" s="17">
        <f>_xlfn.XLOOKUP($B175,'[1]Dec-24'!$A:$A,'[1]Dec-24'!$H:$H,0)</f>
        <v>-349512635.64999998</v>
      </c>
      <c r="R175" s="17">
        <f>_xlfn.XLOOKUP($B175,'[1]Jan-25'!$A:$A,'[1]Jan-25'!$H:$H,0)</f>
        <v>-345952131.94999999</v>
      </c>
      <c r="S175" s="17">
        <f>_xlfn.XLOOKUP($B175,'[1]Feb-25'!$A:$A,'[1]Feb-25'!$H:$H,0)</f>
        <v>-342245217.87</v>
      </c>
      <c r="T175" s="17">
        <f>_xlfn.XLOOKUP($B175,'[1]Mar-25'!$A:$A,'[1]Mar-25'!$H:$H,0)</f>
        <v>-338271278.72000003</v>
      </c>
      <c r="U175" s="17">
        <f>_xlfn.XLOOKUP($B175,'[1]Apr-25'!$A:$A,'[1]Apr-25'!$H:$H,0)</f>
        <v>-334448738.54000002</v>
      </c>
      <c r="V175" s="17">
        <f>_xlfn.XLOOKUP($B175,'[1]May-25'!$A:$A,'[1]May-25'!$H:$H,0)</f>
        <v>-330494250.91000003</v>
      </c>
      <c r="W175" s="17">
        <f>_xlfn.XLOOKUP($B175,'[1]Jun-25'!$A:$A,'[1]Jun-25'!$H:$H,0)</f>
        <v>-326542645.45999998</v>
      </c>
      <c r="X175" s="17">
        <f>_xlfn.XLOOKUP($B175,'[1]Jul-25'!$A:$A,'[1]Jul-25'!$H:$H,0)</f>
        <v>-322669887.00999999</v>
      </c>
      <c r="Y175" s="17">
        <f>_xlfn.XLOOKUP($B175,'[1]Aug-25'!$A:$A,'[1]Aug-25'!$H:$H,0)</f>
        <v>-318560734.56999999</v>
      </c>
      <c r="Z175" s="17">
        <f>_xlfn.XLOOKUP($B175,'[1]Sep-25'!$A:$A,'[1]Sep-25'!$H:$H,0)</f>
        <v>-313993615.92000002</v>
      </c>
      <c r="AA175" s="17">
        <f>_xlfn.XLOOKUP($B175,'[1]Oct-25'!$A:$A,'[1]Oct-25'!$H:$H,0)</f>
        <v>-310074394.69</v>
      </c>
      <c r="AB175" s="17">
        <f>_xlfn.XLOOKUP($B175,'[1]Nov-25'!$A:$A,'[1]Nov-25'!$H:$H,0)</f>
        <v>-306045878.44</v>
      </c>
      <c r="AC175" s="17">
        <f>_xlfn.XLOOKUP($B175,'[1]Dec-25'!$A:$A,'[1]Dec-25'!$H:$H,0)</f>
        <v>-626072596.49000001</v>
      </c>
      <c r="AD175" s="17">
        <f>_xlfn.XLOOKUP($B175,'[1]Jan-26'!$A:$A,'[1]Jan-26'!$H:$H,0)</f>
        <v>-622215929.97000003</v>
      </c>
      <c r="AE175" s="17">
        <f>_xlfn.XLOOKUP($B175,'[1]Feb-26'!$A:$A,'[1]Feb-26'!$H:$H,0)</f>
        <v>-618013830.13999999</v>
      </c>
      <c r="AF175" s="17">
        <f>_xlfn.XLOOKUP($B175,'[1]Mar-26'!$A:$A,'[1]Mar-26'!$H:$H,0)</f>
        <v>-613759357.80999994</v>
      </c>
      <c r="AG175" s="17">
        <f>_xlfn.XLOOKUP($B175,'[1]Apr-26'!$A:$A,'[1]Apr-26'!$H:$H,0)</f>
        <v>-609462487.11000001</v>
      </c>
    </row>
    <row r="176" spans="1:33" x14ac:dyDescent="0.2">
      <c r="A176" s="58">
        <v>14001</v>
      </c>
      <c r="B176" s="56" t="str">
        <f t="shared" si="8"/>
        <v>14001</v>
      </c>
      <c r="C176" s="57" t="s">
        <v>371</v>
      </c>
      <c r="D176" s="57" t="s">
        <v>303</v>
      </c>
      <c r="E176" s="44" t="s">
        <v>222</v>
      </c>
      <c r="F176" s="17">
        <f>_xlfn.XLOOKUP($B176,'[1]Jan-24'!$A:$A,'[1]Jan-24'!$H:$H,0)</f>
        <v>-186070180.63</v>
      </c>
      <c r="G176" s="17">
        <f>_xlfn.XLOOKUP($B176,'[1]Feb-24'!$A:$A,'[1]Feb-24'!$H:$H,0)</f>
        <v>-187691790.90000001</v>
      </c>
      <c r="H176" s="17">
        <f>_xlfn.XLOOKUP($B176,'[1]Mar-24'!$A:$A,'[1]Mar-24'!$H:$H,0)</f>
        <v>-188444806.75</v>
      </c>
      <c r="I176" s="17">
        <f>_xlfn.XLOOKUP($B176,'[1]Apr-24'!$A:$A,'[1]Apr-24'!$H:$H,0)</f>
        <v>-184079052.63</v>
      </c>
      <c r="J176" s="17">
        <f>_xlfn.XLOOKUP($B176,'[1]May-24'!$A:$A,'[1]May-24'!$H:$H,0)</f>
        <v>-178692361.96000001</v>
      </c>
      <c r="K176" s="17">
        <f>_xlfn.XLOOKUP($B176,'[1]Jun-24'!$A:$A,'[1]Jun-24'!$H:$H,0)</f>
        <v>-174947850.88</v>
      </c>
      <c r="L176" s="17">
        <f>_xlfn.XLOOKUP($B176,'[1]Jul-24'!$A:$A,'[1]Jul-24'!$H:$H,0)</f>
        <v>-169973185.53</v>
      </c>
      <c r="M176" s="17">
        <f>_xlfn.XLOOKUP($B176,'[1]Aug-24'!$A:$A,'[1]Aug-24'!$H:$H,0)</f>
        <v>-175738239.08000001</v>
      </c>
      <c r="N176" s="17">
        <f>_xlfn.XLOOKUP($B176,'[1]Sep-24'!$A:$A,'[1]Sep-24'!$H:$H,0)</f>
        <v>-140993774.84999999</v>
      </c>
      <c r="O176" s="17">
        <f>_xlfn.XLOOKUP($B176,'[1]Oct-24'!$A:$A,'[1]Oct-24'!$H:$H,0)</f>
        <v>-111582080.88</v>
      </c>
      <c r="P176" s="17">
        <f>_xlfn.XLOOKUP($B176,'[1]Nov-24'!$A:$A,'[1]Nov-24'!$H:$H,0)</f>
        <v>-216774730.50999999</v>
      </c>
      <c r="Q176" s="17">
        <f>_xlfn.XLOOKUP($B176,'[1]Dec-24'!$A:$A,'[1]Dec-24'!$H:$H,0)</f>
        <v>-408048937.57999998</v>
      </c>
      <c r="R176" s="17">
        <f>_xlfn.XLOOKUP($B176,'[1]Jan-25'!$A:$A,'[1]Jan-25'!$H:$H,0)</f>
        <v>-407611639.51999998</v>
      </c>
      <c r="S176" s="17">
        <f>_xlfn.XLOOKUP($B176,'[1]Feb-25'!$A:$A,'[1]Feb-25'!$H:$H,0)</f>
        <v>-354587182.82999998</v>
      </c>
      <c r="T176" s="17">
        <f>_xlfn.XLOOKUP($B176,'[1]Mar-25'!$A:$A,'[1]Mar-25'!$H:$H,0)</f>
        <v>-353686473</v>
      </c>
      <c r="U176" s="17">
        <f>_xlfn.XLOOKUP($B176,'[1]Apr-25'!$A:$A,'[1]Apr-25'!$H:$H,0)</f>
        <v>-353443883.91000003</v>
      </c>
      <c r="V176" s="17">
        <f>_xlfn.XLOOKUP($B176,'[1]May-25'!$A:$A,'[1]May-25'!$H:$H,0)</f>
        <v>-353027152.50999999</v>
      </c>
      <c r="W176" s="17">
        <f>_xlfn.XLOOKUP($B176,'[1]Jun-25'!$A:$A,'[1]Jun-25'!$H:$H,0)</f>
        <v>-352583620.5</v>
      </c>
      <c r="X176" s="17">
        <f>_xlfn.XLOOKUP($B176,'[1]Jul-25'!$A:$A,'[1]Jul-25'!$H:$H,0)</f>
        <v>-352056654.45999998</v>
      </c>
      <c r="Y176" s="17">
        <f>_xlfn.XLOOKUP($B176,'[1]Aug-25'!$A:$A,'[1]Aug-25'!$H:$H,0)</f>
        <v>-349897889.79000002</v>
      </c>
      <c r="Z176" s="17">
        <f>_xlfn.XLOOKUP($B176,'[1]Sep-25'!$A:$A,'[1]Sep-25'!$H:$H,0)</f>
        <v>-343165037.39999998</v>
      </c>
      <c r="AA176" s="17">
        <f>_xlfn.XLOOKUP($B176,'[1]Oct-25'!$A:$A,'[1]Oct-25'!$H:$H,0)</f>
        <v>-328516060.98000002</v>
      </c>
      <c r="AB176" s="17">
        <f>_xlfn.XLOOKUP($B176,'[1]Nov-25'!$A:$A,'[1]Nov-25'!$H:$H,0)</f>
        <v>-328515069.05000001</v>
      </c>
      <c r="AC176" s="17">
        <f>_xlfn.XLOOKUP($B176,'[1]Dec-25'!$A:$A,'[1]Dec-25'!$H:$H,0)</f>
        <v>-584798566.20000005</v>
      </c>
      <c r="AD176" s="17">
        <f>_xlfn.XLOOKUP($B176,'[1]Jan-26'!$A:$A,'[1]Jan-26'!$H:$H,0)</f>
        <v>-565467348.90999997</v>
      </c>
      <c r="AE176" s="17">
        <f>_xlfn.XLOOKUP($B176,'[1]Feb-26'!$A:$A,'[1]Feb-26'!$H:$H,0)</f>
        <v>-549422384.96000004</v>
      </c>
      <c r="AF176" s="17">
        <f>_xlfn.XLOOKUP($B176,'[1]Mar-26'!$A:$A,'[1]Mar-26'!$H:$H,0)</f>
        <v>-531517567.81999999</v>
      </c>
      <c r="AG176" s="17">
        <f>_xlfn.XLOOKUP($B176,'[1]Apr-26'!$A:$A,'[1]Apr-26'!$H:$H,0)</f>
        <v>-514419965.77999997</v>
      </c>
    </row>
    <row r="177" spans="1:33" x14ac:dyDescent="0.2">
      <c r="A177" s="58">
        <v>14010</v>
      </c>
      <c r="B177" s="56" t="str">
        <f t="shared" si="8"/>
        <v>14010</v>
      </c>
      <c r="C177" s="57" t="s">
        <v>371</v>
      </c>
      <c r="D177" s="57" t="s">
        <v>303</v>
      </c>
      <c r="E177" s="44" t="s">
        <v>223</v>
      </c>
      <c r="F177" s="17">
        <f>_xlfn.XLOOKUP($B177,'[1]Jan-24'!$A:$A,'[1]Jan-24'!$H:$H,0)</f>
        <v>37218036.689999998</v>
      </c>
      <c r="G177" s="17">
        <f>_xlfn.XLOOKUP($B177,'[1]Feb-24'!$A:$A,'[1]Feb-24'!$H:$H,0)</f>
        <v>23831374.739999998</v>
      </c>
      <c r="H177" s="17">
        <f>_xlfn.XLOOKUP($B177,'[1]Mar-24'!$A:$A,'[1]Mar-24'!$H:$H,0)</f>
        <v>20212011.27</v>
      </c>
      <c r="I177" s="17">
        <f>_xlfn.XLOOKUP($B177,'[1]Apr-24'!$A:$A,'[1]Apr-24'!$H:$H,0)</f>
        <v>21870321.710000001</v>
      </c>
      <c r="J177" s="17">
        <f>_xlfn.XLOOKUP($B177,'[1]May-24'!$A:$A,'[1]May-24'!$H:$H,0)</f>
        <v>20626653.109999999</v>
      </c>
      <c r="K177" s="17">
        <f>_xlfn.XLOOKUP($B177,'[1]Jun-24'!$A:$A,'[1]Jun-24'!$H:$H,0)</f>
        <v>16844653.109999999</v>
      </c>
      <c r="L177" s="17">
        <f>_xlfn.XLOOKUP($B177,'[1]Jul-24'!$A:$A,'[1]Jul-24'!$H:$H,0)</f>
        <v>16857653.109999999</v>
      </c>
      <c r="M177" s="17">
        <f>_xlfn.XLOOKUP($B177,'[1]Aug-24'!$A:$A,'[1]Aug-24'!$H:$H,0)</f>
        <v>12931653.109999999</v>
      </c>
      <c r="N177" s="17">
        <f>_xlfn.XLOOKUP($B177,'[1]Sep-24'!$A:$A,'[1]Sep-24'!$H:$H,0)</f>
        <v>12372839.16</v>
      </c>
      <c r="O177" s="17">
        <f>_xlfn.XLOOKUP($B177,'[1]Oct-24'!$A:$A,'[1]Oct-24'!$H:$H,0)</f>
        <v>7171397.2999999998</v>
      </c>
      <c r="P177" s="17">
        <f>_xlfn.XLOOKUP($B177,'[1]Nov-24'!$A:$A,'[1]Nov-24'!$H:$H,0)</f>
        <v>6319397.2999999998</v>
      </c>
      <c r="Q177" s="17">
        <f>_xlfn.XLOOKUP($B177,'[1]Dec-24'!$A:$A,'[1]Dec-24'!$H:$H,0)</f>
        <v>7493927.7300000004</v>
      </c>
      <c r="R177" s="17">
        <f>_xlfn.XLOOKUP($B177,'[1]Jan-25'!$A:$A,'[1]Jan-25'!$H:$H,0)</f>
        <v>7668014.4500000002</v>
      </c>
      <c r="S177" s="17">
        <f>_xlfn.XLOOKUP($B177,'[1]Feb-25'!$A:$A,'[1]Feb-25'!$H:$H,0)</f>
        <v>-179000</v>
      </c>
      <c r="T177" s="17">
        <f>_xlfn.XLOOKUP($B177,'[1]Mar-25'!$A:$A,'[1]Mar-25'!$H:$H,0)</f>
        <v>-179000</v>
      </c>
      <c r="U177" s="17">
        <f>_xlfn.XLOOKUP($B177,'[1]Apr-25'!$A:$A,'[1]Apr-25'!$H:$H,0)</f>
        <v>305581.40000000002</v>
      </c>
      <c r="V177" s="17">
        <f>_xlfn.XLOOKUP($B177,'[1]May-25'!$A:$A,'[1]May-25'!$H:$H,0)</f>
        <v>305581.40000000002</v>
      </c>
      <c r="W177" s="17">
        <f>_xlfn.XLOOKUP($B177,'[1]Jun-25'!$A:$A,'[1]Jun-25'!$H:$H,0)</f>
        <v>818549.6</v>
      </c>
      <c r="X177" s="17">
        <f>_xlfn.XLOOKUP($B177,'[1]Jul-25'!$A:$A,'[1]Jul-25'!$H:$H,0)</f>
        <v>984549.6</v>
      </c>
      <c r="Y177" s="17">
        <f>_xlfn.XLOOKUP($B177,'[1]Aug-25'!$A:$A,'[1]Aug-25'!$H:$H,0)</f>
        <v>0</v>
      </c>
      <c r="Z177" s="17">
        <f>_xlfn.XLOOKUP($B177,'[1]Sep-25'!$A:$A,'[1]Sep-25'!$H:$H,0)</f>
        <v>303050</v>
      </c>
      <c r="AA177" s="17">
        <f>_xlfn.XLOOKUP($B177,'[1]Oct-25'!$A:$A,'[1]Oct-25'!$H:$H,0)</f>
        <v>380050</v>
      </c>
      <c r="AB177" s="17">
        <f>_xlfn.XLOOKUP($B177,'[1]Nov-25'!$A:$A,'[1]Nov-25'!$H:$H,0)</f>
        <v>159650</v>
      </c>
      <c r="AC177" s="17">
        <f>_xlfn.XLOOKUP($B177,'[1]Dec-25'!$A:$A,'[1]Dec-25'!$H:$H,0)</f>
        <v>-164634.51</v>
      </c>
      <c r="AD177" s="17">
        <f>_xlfn.XLOOKUP($B177,'[1]Jan-26'!$A:$A,'[1]Jan-26'!$H:$H,0)</f>
        <v>3717159.41</v>
      </c>
      <c r="AE177" s="17">
        <f>_xlfn.XLOOKUP($B177,'[1]Feb-26'!$A:$A,'[1]Feb-26'!$H:$H,0)</f>
        <v>5801094.4100000001</v>
      </c>
      <c r="AF177" s="17">
        <f>_xlfn.XLOOKUP($B177,'[1]Mar-26'!$A:$A,'[1]Mar-26'!$H:$H,0)</f>
        <v>8214468.3300000001</v>
      </c>
      <c r="AG177" s="17">
        <f>_xlfn.XLOOKUP($B177,'[1]Apr-26'!$A:$A,'[1]Apr-26'!$H:$H,0)</f>
        <v>5270581.9800000004</v>
      </c>
    </row>
    <row r="178" spans="1:33" x14ac:dyDescent="0.2">
      <c r="A178" s="58">
        <v>14011</v>
      </c>
      <c r="B178" s="56" t="str">
        <f t="shared" si="8"/>
        <v>14011</v>
      </c>
      <c r="C178" s="57" t="s">
        <v>371</v>
      </c>
      <c r="D178" s="57" t="s">
        <v>303</v>
      </c>
      <c r="E178" s="44" t="s">
        <v>412</v>
      </c>
      <c r="F178" s="17">
        <f>_xlfn.XLOOKUP($B178,'[1]Jan-24'!$A:$A,'[1]Jan-24'!$H:$H,0)</f>
        <v>0</v>
      </c>
      <c r="G178" s="17">
        <f>_xlfn.XLOOKUP($B178,'[1]Feb-24'!$A:$A,'[1]Feb-24'!$H:$H,0)</f>
        <v>0</v>
      </c>
      <c r="H178" s="17">
        <f>_xlfn.XLOOKUP($B178,'[1]Mar-24'!$A:$A,'[1]Mar-24'!$H:$H,0)</f>
        <v>0</v>
      </c>
      <c r="I178" s="17">
        <f>_xlfn.XLOOKUP($B178,'[1]Apr-24'!$A:$A,'[1]Apr-24'!$H:$H,0)</f>
        <v>0</v>
      </c>
      <c r="J178" s="17">
        <f>_xlfn.XLOOKUP($B178,'[1]May-24'!$A:$A,'[1]May-24'!$H:$H,0)</f>
        <v>0</v>
      </c>
      <c r="K178" s="17">
        <f>_xlfn.XLOOKUP($B178,'[1]Jun-24'!$A:$A,'[1]Jun-24'!$H:$H,0)</f>
        <v>0</v>
      </c>
      <c r="L178" s="17">
        <f>_xlfn.XLOOKUP($B178,'[1]Jul-24'!$A:$A,'[1]Jul-24'!$H:$H,0)</f>
        <v>0</v>
      </c>
      <c r="M178" s="17">
        <f>_xlfn.XLOOKUP($B178,'[1]Aug-24'!$A:$A,'[1]Aug-24'!$H:$H,0)</f>
        <v>0</v>
      </c>
      <c r="N178" s="17">
        <f>_xlfn.XLOOKUP($B178,'[1]Sep-24'!$A:$A,'[1]Sep-24'!$H:$H,0)</f>
        <v>0</v>
      </c>
      <c r="O178" s="17">
        <f>_xlfn.XLOOKUP($B178,'[1]Oct-24'!$A:$A,'[1]Oct-24'!$H:$H,0)</f>
        <v>0</v>
      </c>
      <c r="P178" s="17">
        <f>_xlfn.XLOOKUP($B178,'[1]Nov-24'!$A:$A,'[1]Nov-24'!$H:$H,0)</f>
        <v>0</v>
      </c>
      <c r="Q178" s="17">
        <f>_xlfn.XLOOKUP($B178,'[1]Dec-24'!$A:$A,'[1]Dec-24'!$H:$H,0)</f>
        <v>0</v>
      </c>
      <c r="R178" s="17">
        <f>_xlfn.XLOOKUP($B178,'[1]Jan-25'!$A:$A,'[1]Jan-25'!$H:$H,0)</f>
        <v>0</v>
      </c>
      <c r="S178" s="17">
        <f>_xlfn.XLOOKUP($B178,'[1]Feb-25'!$A:$A,'[1]Feb-25'!$H:$H,0)</f>
        <v>0</v>
      </c>
      <c r="T178" s="17">
        <f>_xlfn.XLOOKUP($B178,'[1]Mar-25'!$A:$A,'[1]Mar-25'!$H:$H,0)</f>
        <v>0</v>
      </c>
      <c r="U178" s="17">
        <f>_xlfn.XLOOKUP($B178,'[1]Apr-25'!$A:$A,'[1]Apr-25'!$H:$H,0)</f>
        <v>0</v>
      </c>
      <c r="V178" s="17">
        <f>_xlfn.XLOOKUP($B178,'[1]May-25'!$A:$A,'[1]May-25'!$H:$H,0)</f>
        <v>0</v>
      </c>
      <c r="W178" s="17">
        <f>_xlfn.XLOOKUP($B178,'[1]Jun-25'!$A:$A,'[1]Jun-25'!$H:$H,0)</f>
        <v>0</v>
      </c>
      <c r="X178" s="17">
        <f>_xlfn.XLOOKUP($B178,'[1]Jul-25'!$A:$A,'[1]Jul-25'!$H:$H,0)</f>
        <v>0</v>
      </c>
      <c r="Y178" s="17">
        <f>_xlfn.XLOOKUP($B178,'[1]Aug-25'!$A:$A,'[1]Aug-25'!$H:$H,0)</f>
        <v>0</v>
      </c>
      <c r="Z178" s="17">
        <f>_xlfn.XLOOKUP($B178,'[1]Sep-25'!$A:$A,'[1]Sep-25'!$H:$H,0)</f>
        <v>0</v>
      </c>
      <c r="AA178" s="17">
        <f>_xlfn.XLOOKUP($B178,'[1]Oct-25'!$A:$A,'[1]Oct-25'!$H:$H,0)</f>
        <v>0</v>
      </c>
      <c r="AB178" s="17">
        <f>_xlfn.XLOOKUP($B178,'[1]Nov-25'!$A:$A,'[1]Nov-25'!$H:$H,0)</f>
        <v>0</v>
      </c>
      <c r="AC178" s="17">
        <f>_xlfn.XLOOKUP($B178,'[1]Dec-25'!$A:$A,'[1]Dec-25'!$H:$H,0)</f>
        <v>0</v>
      </c>
      <c r="AD178" s="17">
        <f>_xlfn.XLOOKUP($B178,'[1]Jan-26'!$A:$A,'[1]Jan-26'!$H:$H,0)</f>
        <v>0</v>
      </c>
      <c r="AE178" s="17">
        <f>_xlfn.XLOOKUP($B178,'[1]Feb-26'!$A:$A,'[1]Feb-26'!$H:$H,0)</f>
        <v>0</v>
      </c>
      <c r="AF178" s="17">
        <f>_xlfn.XLOOKUP($B178,'[1]Mar-26'!$A:$A,'[1]Mar-26'!$H:$H,0)</f>
        <v>0</v>
      </c>
      <c r="AG178" s="17">
        <f>_xlfn.XLOOKUP($B178,'[1]Apr-26'!$A:$A,'[1]Apr-26'!$H:$H,0)</f>
        <v>0</v>
      </c>
    </row>
    <row r="179" spans="1:33" x14ac:dyDescent="0.2">
      <c r="A179" s="58">
        <v>14012</v>
      </c>
      <c r="B179" s="56" t="str">
        <f t="shared" si="8"/>
        <v>14012</v>
      </c>
      <c r="C179" s="57" t="s">
        <v>371</v>
      </c>
      <c r="D179" s="57" t="s">
        <v>303</v>
      </c>
      <c r="E179" s="44" t="s">
        <v>413</v>
      </c>
      <c r="F179" s="17">
        <f>_xlfn.XLOOKUP($B179,'[1]Jan-24'!$A:$A,'[1]Jan-24'!$H:$H,0)</f>
        <v>0</v>
      </c>
      <c r="G179" s="17">
        <f>_xlfn.XLOOKUP($B179,'[1]Feb-24'!$A:$A,'[1]Feb-24'!$H:$H,0)</f>
        <v>0</v>
      </c>
      <c r="H179" s="17">
        <f>_xlfn.XLOOKUP($B179,'[1]Mar-24'!$A:$A,'[1]Mar-24'!$H:$H,0)</f>
        <v>0</v>
      </c>
      <c r="I179" s="17">
        <f>_xlfn.XLOOKUP($B179,'[1]Apr-24'!$A:$A,'[1]Apr-24'!$H:$H,0)</f>
        <v>0</v>
      </c>
      <c r="J179" s="17">
        <f>_xlfn.XLOOKUP($B179,'[1]May-24'!$A:$A,'[1]May-24'!$H:$H,0)</f>
        <v>0</v>
      </c>
      <c r="K179" s="17">
        <f>_xlfn.XLOOKUP($B179,'[1]Jun-24'!$A:$A,'[1]Jun-24'!$H:$H,0)</f>
        <v>0</v>
      </c>
      <c r="L179" s="17">
        <f>_xlfn.XLOOKUP($B179,'[1]Jul-24'!$A:$A,'[1]Jul-24'!$H:$H,0)</f>
        <v>0</v>
      </c>
      <c r="M179" s="17">
        <f>_xlfn.XLOOKUP($B179,'[1]Aug-24'!$A:$A,'[1]Aug-24'!$H:$H,0)</f>
        <v>0</v>
      </c>
      <c r="N179" s="17">
        <f>_xlfn.XLOOKUP($B179,'[1]Sep-24'!$A:$A,'[1]Sep-24'!$H:$H,0)</f>
        <v>0</v>
      </c>
      <c r="O179" s="17">
        <f>_xlfn.XLOOKUP($B179,'[1]Oct-24'!$A:$A,'[1]Oct-24'!$H:$H,0)</f>
        <v>0</v>
      </c>
      <c r="P179" s="17">
        <f>_xlfn.XLOOKUP($B179,'[1]Nov-24'!$A:$A,'[1]Nov-24'!$H:$H,0)</f>
        <v>0</v>
      </c>
      <c r="Q179" s="17">
        <f>_xlfn.XLOOKUP($B179,'[1]Dec-24'!$A:$A,'[1]Dec-24'!$H:$H,0)</f>
        <v>0</v>
      </c>
      <c r="R179" s="17">
        <f>_xlfn.XLOOKUP($B179,'[1]Jan-25'!$A:$A,'[1]Jan-25'!$H:$H,0)</f>
        <v>0</v>
      </c>
      <c r="S179" s="17">
        <f>_xlfn.XLOOKUP($B179,'[1]Feb-25'!$A:$A,'[1]Feb-25'!$H:$H,0)</f>
        <v>0</v>
      </c>
      <c r="T179" s="17">
        <f>_xlfn.XLOOKUP($B179,'[1]Mar-25'!$A:$A,'[1]Mar-25'!$H:$H,0)</f>
        <v>0</v>
      </c>
      <c r="U179" s="17">
        <f>_xlfn.XLOOKUP($B179,'[1]Apr-25'!$A:$A,'[1]Apr-25'!$H:$H,0)</f>
        <v>0</v>
      </c>
      <c r="V179" s="17">
        <f>_xlfn.XLOOKUP($B179,'[1]May-25'!$A:$A,'[1]May-25'!$H:$H,0)</f>
        <v>0</v>
      </c>
      <c r="W179" s="17">
        <f>_xlfn.XLOOKUP($B179,'[1]Jun-25'!$A:$A,'[1]Jun-25'!$H:$H,0)</f>
        <v>0</v>
      </c>
      <c r="X179" s="17">
        <f>_xlfn.XLOOKUP($B179,'[1]Jul-25'!$A:$A,'[1]Jul-25'!$H:$H,0)</f>
        <v>0</v>
      </c>
      <c r="Y179" s="17">
        <f>_xlfn.XLOOKUP($B179,'[1]Aug-25'!$A:$A,'[1]Aug-25'!$H:$H,0)</f>
        <v>0</v>
      </c>
      <c r="Z179" s="17">
        <f>_xlfn.XLOOKUP($B179,'[1]Sep-25'!$A:$A,'[1]Sep-25'!$H:$H,0)</f>
        <v>0</v>
      </c>
      <c r="AA179" s="17">
        <f>_xlfn.XLOOKUP($B179,'[1]Oct-25'!$A:$A,'[1]Oct-25'!$H:$H,0)</f>
        <v>0</v>
      </c>
      <c r="AB179" s="17">
        <f>_xlfn.XLOOKUP($B179,'[1]Nov-25'!$A:$A,'[1]Nov-25'!$H:$H,0)</f>
        <v>0</v>
      </c>
      <c r="AC179" s="17">
        <f>_xlfn.XLOOKUP($B179,'[1]Dec-25'!$A:$A,'[1]Dec-25'!$H:$H,0)</f>
        <v>0</v>
      </c>
      <c r="AD179" s="17">
        <f>_xlfn.XLOOKUP($B179,'[1]Jan-26'!$A:$A,'[1]Jan-26'!$H:$H,0)</f>
        <v>0</v>
      </c>
      <c r="AE179" s="17">
        <f>_xlfn.XLOOKUP($B179,'[1]Feb-26'!$A:$A,'[1]Feb-26'!$H:$H,0)</f>
        <v>0</v>
      </c>
      <c r="AF179" s="17">
        <f>_xlfn.XLOOKUP($B179,'[1]Mar-26'!$A:$A,'[1]Mar-26'!$H:$H,0)</f>
        <v>0</v>
      </c>
      <c r="AG179" s="17">
        <f>_xlfn.XLOOKUP($B179,'[1]Apr-26'!$A:$A,'[1]Apr-26'!$H:$H,0)</f>
        <v>0</v>
      </c>
    </row>
    <row r="180" spans="1:33" x14ac:dyDescent="0.2">
      <c r="A180" s="58">
        <v>14013</v>
      </c>
      <c r="B180" s="56" t="str">
        <f t="shared" si="8"/>
        <v>14013</v>
      </c>
      <c r="C180" s="57" t="s">
        <v>371</v>
      </c>
      <c r="D180" s="57" t="s">
        <v>303</v>
      </c>
      <c r="E180" s="44" t="s">
        <v>224</v>
      </c>
      <c r="F180" s="17">
        <f>_xlfn.XLOOKUP($B180,'[1]Jan-24'!$A:$A,'[1]Jan-24'!$H:$H,0)</f>
        <v>0</v>
      </c>
      <c r="G180" s="17">
        <f>_xlfn.XLOOKUP($B180,'[1]Feb-24'!$A:$A,'[1]Feb-24'!$H:$H,0)</f>
        <v>0</v>
      </c>
      <c r="H180" s="17">
        <f>_xlfn.XLOOKUP($B180,'[1]Mar-24'!$A:$A,'[1]Mar-24'!$H:$H,0)</f>
        <v>0</v>
      </c>
      <c r="I180" s="17">
        <f>_xlfn.XLOOKUP($B180,'[1]Apr-24'!$A:$A,'[1]Apr-24'!$H:$H,0)</f>
        <v>0</v>
      </c>
      <c r="J180" s="17">
        <f>_xlfn.XLOOKUP($B180,'[1]May-24'!$A:$A,'[1]May-24'!$H:$H,0)</f>
        <v>0</v>
      </c>
      <c r="K180" s="17">
        <f>_xlfn.XLOOKUP($B180,'[1]Jun-24'!$A:$A,'[1]Jun-24'!$H:$H,0)</f>
        <v>0</v>
      </c>
      <c r="L180" s="17">
        <f>_xlfn.XLOOKUP($B180,'[1]Jul-24'!$A:$A,'[1]Jul-24'!$H:$H,0)</f>
        <v>0</v>
      </c>
      <c r="M180" s="17">
        <f>_xlfn.XLOOKUP($B180,'[1]Aug-24'!$A:$A,'[1]Aug-24'!$H:$H,0)</f>
        <v>0</v>
      </c>
      <c r="N180" s="17">
        <f>_xlfn.XLOOKUP($B180,'[1]Sep-24'!$A:$A,'[1]Sep-24'!$H:$H,0)</f>
        <v>0</v>
      </c>
      <c r="O180" s="17">
        <f>_xlfn.XLOOKUP($B180,'[1]Oct-24'!$A:$A,'[1]Oct-24'!$H:$H,0)</f>
        <v>0</v>
      </c>
      <c r="P180" s="17">
        <f>_xlfn.XLOOKUP($B180,'[1]Nov-24'!$A:$A,'[1]Nov-24'!$H:$H,0)</f>
        <v>0</v>
      </c>
      <c r="Q180" s="17">
        <f>_xlfn.XLOOKUP($B180,'[1]Dec-24'!$A:$A,'[1]Dec-24'!$H:$H,0)</f>
        <v>0</v>
      </c>
      <c r="R180" s="17">
        <f>_xlfn.XLOOKUP($B180,'[1]Jan-25'!$A:$A,'[1]Jan-25'!$H:$H,0)</f>
        <v>0</v>
      </c>
      <c r="S180" s="17">
        <f>_xlfn.XLOOKUP($B180,'[1]Feb-25'!$A:$A,'[1]Feb-25'!$H:$H,0)</f>
        <v>0</v>
      </c>
      <c r="T180" s="17">
        <f>_xlfn.XLOOKUP($B180,'[1]Mar-25'!$A:$A,'[1]Mar-25'!$H:$H,0)</f>
        <v>0</v>
      </c>
      <c r="U180" s="17">
        <f>_xlfn.XLOOKUP($B180,'[1]Apr-25'!$A:$A,'[1]Apr-25'!$H:$H,0)</f>
        <v>0</v>
      </c>
      <c r="V180" s="17">
        <f>_xlfn.XLOOKUP($B180,'[1]May-25'!$A:$A,'[1]May-25'!$H:$H,0)</f>
        <v>0</v>
      </c>
      <c r="W180" s="17">
        <f>_xlfn.XLOOKUP($B180,'[1]Jun-25'!$A:$A,'[1]Jun-25'!$H:$H,0)</f>
        <v>0</v>
      </c>
      <c r="X180" s="17">
        <f>_xlfn.XLOOKUP($B180,'[1]Jul-25'!$A:$A,'[1]Jul-25'!$H:$H,0)</f>
        <v>0</v>
      </c>
      <c r="Y180" s="17">
        <f>_xlfn.XLOOKUP($B180,'[1]Aug-25'!$A:$A,'[1]Aug-25'!$H:$H,0)</f>
        <v>0</v>
      </c>
      <c r="Z180" s="17">
        <f>_xlfn.XLOOKUP($B180,'[1]Sep-25'!$A:$A,'[1]Sep-25'!$H:$H,0)</f>
        <v>0</v>
      </c>
      <c r="AA180" s="17">
        <f>_xlfn.XLOOKUP($B180,'[1]Oct-25'!$A:$A,'[1]Oct-25'!$H:$H,0)</f>
        <v>0</v>
      </c>
      <c r="AB180" s="17">
        <f>_xlfn.XLOOKUP($B180,'[1]Nov-25'!$A:$A,'[1]Nov-25'!$H:$H,0)</f>
        <v>0</v>
      </c>
      <c r="AC180" s="17">
        <f>_xlfn.XLOOKUP($B180,'[1]Dec-25'!$A:$A,'[1]Dec-25'!$H:$H,0)</f>
        <v>0</v>
      </c>
      <c r="AD180" s="17">
        <f>_xlfn.XLOOKUP($B180,'[1]Jan-26'!$A:$A,'[1]Jan-26'!$H:$H,0)</f>
        <v>0</v>
      </c>
      <c r="AE180" s="17">
        <f>_xlfn.XLOOKUP($B180,'[1]Feb-26'!$A:$A,'[1]Feb-26'!$H:$H,0)</f>
        <v>0</v>
      </c>
      <c r="AF180" s="17">
        <f>_xlfn.XLOOKUP($B180,'[1]Mar-26'!$A:$A,'[1]Mar-26'!$H:$H,0)</f>
        <v>0</v>
      </c>
      <c r="AG180" s="17">
        <f>_xlfn.XLOOKUP($B180,'[1]Apr-26'!$A:$A,'[1]Apr-26'!$H:$H,0)</f>
        <v>0</v>
      </c>
    </row>
    <row r="181" spans="1:33" x14ac:dyDescent="0.2">
      <c r="A181" s="58">
        <v>14014</v>
      </c>
      <c r="B181" s="56" t="str">
        <f t="shared" si="8"/>
        <v>14014</v>
      </c>
      <c r="C181" s="57" t="s">
        <v>371</v>
      </c>
      <c r="D181" s="57" t="s">
        <v>303</v>
      </c>
      <c r="E181" s="44" t="s">
        <v>225</v>
      </c>
      <c r="F181" s="17">
        <f>_xlfn.XLOOKUP($B181,'[1]Jan-24'!$A:$A,'[1]Jan-24'!$H:$H,0)</f>
        <v>32724180.43</v>
      </c>
      <c r="G181" s="17">
        <f>_xlfn.XLOOKUP($B181,'[1]Feb-24'!$A:$A,'[1]Feb-24'!$H:$H,0)</f>
        <v>33870839.969999999</v>
      </c>
      <c r="H181" s="17">
        <f>_xlfn.XLOOKUP($B181,'[1]Mar-24'!$A:$A,'[1]Mar-24'!$H:$H,0)</f>
        <v>28105430.59</v>
      </c>
      <c r="I181" s="17">
        <f>_xlfn.XLOOKUP($B181,'[1]Apr-24'!$A:$A,'[1]Apr-24'!$H:$H,0)</f>
        <v>31289687.91</v>
      </c>
      <c r="J181" s="17">
        <f>_xlfn.XLOOKUP($B181,'[1]May-24'!$A:$A,'[1]May-24'!$H:$H,0)</f>
        <v>34803874.420000002</v>
      </c>
      <c r="K181" s="17">
        <f>_xlfn.XLOOKUP($B181,'[1]Jun-24'!$A:$A,'[1]Jun-24'!$H:$H,0)</f>
        <v>37665409.960000001</v>
      </c>
      <c r="L181" s="17">
        <f>_xlfn.XLOOKUP($B181,'[1]Jul-24'!$A:$A,'[1]Jul-24'!$H:$H,0)</f>
        <v>47381600.159999996</v>
      </c>
      <c r="M181" s="17">
        <f>_xlfn.XLOOKUP($B181,'[1]Aug-24'!$A:$A,'[1]Aug-24'!$H:$H,0)</f>
        <v>47945948.689999998</v>
      </c>
      <c r="N181" s="17">
        <f>_xlfn.XLOOKUP($B181,'[1]Sep-24'!$A:$A,'[1]Sep-24'!$H:$H,0)</f>
        <v>50153299.07</v>
      </c>
      <c r="O181" s="17">
        <f>_xlfn.XLOOKUP($B181,'[1]Oct-24'!$A:$A,'[1]Oct-24'!$H:$H,0)</f>
        <v>39705998.890000001</v>
      </c>
      <c r="P181" s="17">
        <f>_xlfn.XLOOKUP($B181,'[1]Nov-24'!$A:$A,'[1]Nov-24'!$H:$H,0)</f>
        <v>40465810.390000001</v>
      </c>
      <c r="Q181" s="17">
        <f>_xlfn.XLOOKUP($B181,'[1]Dec-24'!$A:$A,'[1]Dec-24'!$H:$H,0)</f>
        <v>40465810.390000001</v>
      </c>
      <c r="R181" s="17">
        <f>_xlfn.XLOOKUP($B181,'[1]Jan-25'!$A:$A,'[1]Jan-25'!$H:$H,0)</f>
        <v>40465810.390000001</v>
      </c>
      <c r="S181" s="17">
        <f>_xlfn.XLOOKUP($B181,'[1]Feb-25'!$A:$A,'[1]Feb-25'!$H:$H,0)</f>
        <v>40465810.390000001</v>
      </c>
      <c r="T181" s="17">
        <f>_xlfn.XLOOKUP($B181,'[1]Mar-25'!$A:$A,'[1]Mar-25'!$H:$H,0)</f>
        <v>40465810.390000001</v>
      </c>
      <c r="U181" s="17">
        <f>_xlfn.XLOOKUP($B181,'[1]Apr-25'!$A:$A,'[1]Apr-25'!$H:$H,0)</f>
        <v>40465810.390000001</v>
      </c>
      <c r="V181" s="17">
        <f>_xlfn.XLOOKUP($B181,'[1]May-25'!$A:$A,'[1]May-25'!$H:$H,0)</f>
        <v>40465810.390000001</v>
      </c>
      <c r="W181" s="17">
        <f>_xlfn.XLOOKUP($B181,'[1]Jun-25'!$A:$A,'[1]Jun-25'!$H:$H,0)</f>
        <v>40465810.390000001</v>
      </c>
      <c r="X181" s="17">
        <f>_xlfn.XLOOKUP($B181,'[1]Jul-25'!$A:$A,'[1]Jul-25'!$H:$H,0)</f>
        <v>40465810.390000001</v>
      </c>
      <c r="Y181" s="17">
        <f>_xlfn.XLOOKUP($B181,'[1]Aug-25'!$A:$A,'[1]Aug-25'!$H:$H,0)</f>
        <v>40465810.390000001</v>
      </c>
      <c r="Z181" s="17">
        <f>_xlfn.XLOOKUP($B181,'[1]Sep-25'!$A:$A,'[1]Sep-25'!$H:$H,0)</f>
        <v>0</v>
      </c>
      <c r="AA181" s="17">
        <f>_xlfn.XLOOKUP($B181,'[1]Oct-25'!$A:$A,'[1]Oct-25'!$H:$H,0)</f>
        <v>0</v>
      </c>
      <c r="AB181" s="17">
        <f>_xlfn.XLOOKUP($B181,'[1]Nov-25'!$A:$A,'[1]Nov-25'!$H:$H,0)</f>
        <v>0</v>
      </c>
      <c r="AC181" s="17">
        <f>_xlfn.XLOOKUP($B181,'[1]Dec-25'!$A:$A,'[1]Dec-25'!$H:$H,0)</f>
        <v>0</v>
      </c>
      <c r="AD181" s="17">
        <f>_xlfn.XLOOKUP($B181,'[1]Jan-26'!$A:$A,'[1]Jan-26'!$H:$H,0)</f>
        <v>0</v>
      </c>
      <c r="AE181" s="17">
        <f>_xlfn.XLOOKUP($B181,'[1]Feb-26'!$A:$A,'[1]Feb-26'!$H:$H,0)</f>
        <v>0</v>
      </c>
      <c r="AF181" s="17">
        <f>_xlfn.XLOOKUP($B181,'[1]Mar-26'!$A:$A,'[1]Mar-26'!$H:$H,0)</f>
        <v>0</v>
      </c>
      <c r="AG181" s="17">
        <f>_xlfn.XLOOKUP($B181,'[1]Apr-26'!$A:$A,'[1]Apr-26'!$H:$H,0)</f>
        <v>0</v>
      </c>
    </row>
    <row r="182" spans="1:33" x14ac:dyDescent="0.2">
      <c r="A182" s="58">
        <v>14015</v>
      </c>
      <c r="B182" s="56" t="str">
        <f t="shared" si="8"/>
        <v>14015</v>
      </c>
      <c r="C182" s="57" t="s">
        <v>371</v>
      </c>
      <c r="D182" s="57" t="s">
        <v>303</v>
      </c>
      <c r="E182" s="44" t="s">
        <v>414</v>
      </c>
      <c r="F182" s="17">
        <f>_xlfn.XLOOKUP($B182,'[1]Jan-24'!$A:$A,'[1]Jan-24'!$H:$H,0)</f>
        <v>0</v>
      </c>
      <c r="G182" s="17">
        <f>_xlfn.XLOOKUP($B182,'[1]Feb-24'!$A:$A,'[1]Feb-24'!$H:$H,0)</f>
        <v>0</v>
      </c>
      <c r="H182" s="17">
        <f>_xlfn.XLOOKUP($B182,'[1]Mar-24'!$A:$A,'[1]Mar-24'!$H:$H,0)</f>
        <v>0</v>
      </c>
      <c r="I182" s="17">
        <f>_xlfn.XLOOKUP($B182,'[1]Apr-24'!$A:$A,'[1]Apr-24'!$H:$H,0)</f>
        <v>0</v>
      </c>
      <c r="J182" s="17">
        <f>_xlfn.XLOOKUP($B182,'[1]May-24'!$A:$A,'[1]May-24'!$H:$H,0)</f>
        <v>0</v>
      </c>
      <c r="K182" s="17">
        <f>_xlfn.XLOOKUP($B182,'[1]Jun-24'!$A:$A,'[1]Jun-24'!$H:$H,0)</f>
        <v>0</v>
      </c>
      <c r="L182" s="17">
        <f>_xlfn.XLOOKUP($B182,'[1]Jul-24'!$A:$A,'[1]Jul-24'!$H:$H,0)</f>
        <v>0</v>
      </c>
      <c r="M182" s="17">
        <f>_xlfn.XLOOKUP($B182,'[1]Aug-24'!$A:$A,'[1]Aug-24'!$H:$H,0)</f>
        <v>0</v>
      </c>
      <c r="N182" s="17">
        <f>_xlfn.XLOOKUP($B182,'[1]Sep-24'!$A:$A,'[1]Sep-24'!$H:$H,0)</f>
        <v>0</v>
      </c>
      <c r="O182" s="17">
        <f>_xlfn.XLOOKUP($B182,'[1]Oct-24'!$A:$A,'[1]Oct-24'!$H:$H,0)</f>
        <v>0</v>
      </c>
      <c r="P182" s="17">
        <f>_xlfn.XLOOKUP($B182,'[1]Nov-24'!$A:$A,'[1]Nov-24'!$H:$H,0)</f>
        <v>0</v>
      </c>
      <c r="Q182" s="17">
        <f>_xlfn.XLOOKUP($B182,'[1]Dec-24'!$A:$A,'[1]Dec-24'!$H:$H,0)</f>
        <v>0</v>
      </c>
      <c r="R182" s="17">
        <f>_xlfn.XLOOKUP($B182,'[1]Jan-25'!$A:$A,'[1]Jan-25'!$H:$H,0)</f>
        <v>0</v>
      </c>
      <c r="S182" s="17">
        <f>_xlfn.XLOOKUP($B182,'[1]Feb-25'!$A:$A,'[1]Feb-25'!$H:$H,0)</f>
        <v>0</v>
      </c>
      <c r="T182" s="17">
        <f>_xlfn.XLOOKUP($B182,'[1]Mar-25'!$A:$A,'[1]Mar-25'!$H:$H,0)</f>
        <v>0</v>
      </c>
      <c r="U182" s="17">
        <f>_xlfn.XLOOKUP($B182,'[1]Apr-25'!$A:$A,'[1]Apr-25'!$H:$H,0)</f>
        <v>0</v>
      </c>
      <c r="V182" s="17">
        <f>_xlfn.XLOOKUP($B182,'[1]May-25'!$A:$A,'[1]May-25'!$H:$H,0)</f>
        <v>0</v>
      </c>
      <c r="W182" s="17">
        <f>_xlfn.XLOOKUP($B182,'[1]Jun-25'!$A:$A,'[1]Jun-25'!$H:$H,0)</f>
        <v>0</v>
      </c>
      <c r="X182" s="17">
        <f>_xlfn.XLOOKUP($B182,'[1]Jul-25'!$A:$A,'[1]Jul-25'!$H:$H,0)</f>
        <v>0</v>
      </c>
      <c r="Y182" s="17">
        <f>_xlfn.XLOOKUP($B182,'[1]Aug-25'!$A:$A,'[1]Aug-25'!$H:$H,0)</f>
        <v>0</v>
      </c>
      <c r="Z182" s="17">
        <f>_xlfn.XLOOKUP($B182,'[1]Sep-25'!$A:$A,'[1]Sep-25'!$H:$H,0)</f>
        <v>0</v>
      </c>
      <c r="AA182" s="17">
        <f>_xlfn.XLOOKUP($B182,'[1]Oct-25'!$A:$A,'[1]Oct-25'!$H:$H,0)</f>
        <v>0</v>
      </c>
      <c r="AB182" s="17">
        <f>_xlfn.XLOOKUP($B182,'[1]Nov-25'!$A:$A,'[1]Nov-25'!$H:$H,0)</f>
        <v>0</v>
      </c>
      <c r="AC182" s="17">
        <f>_xlfn.XLOOKUP($B182,'[1]Dec-25'!$A:$A,'[1]Dec-25'!$H:$H,0)</f>
        <v>0</v>
      </c>
      <c r="AD182" s="17">
        <f>_xlfn.XLOOKUP($B182,'[1]Jan-26'!$A:$A,'[1]Jan-26'!$H:$H,0)</f>
        <v>0</v>
      </c>
      <c r="AE182" s="17">
        <f>_xlfn.XLOOKUP($B182,'[1]Feb-26'!$A:$A,'[1]Feb-26'!$H:$H,0)</f>
        <v>0</v>
      </c>
      <c r="AF182" s="17">
        <f>_xlfn.XLOOKUP($B182,'[1]Mar-26'!$A:$A,'[1]Mar-26'!$H:$H,0)</f>
        <v>0</v>
      </c>
      <c r="AG182" s="17">
        <f>_xlfn.XLOOKUP($B182,'[1]Apr-26'!$A:$A,'[1]Apr-26'!$H:$H,0)</f>
        <v>0</v>
      </c>
    </row>
    <row r="183" spans="1:33" x14ac:dyDescent="0.2">
      <c r="A183" s="58">
        <v>14016</v>
      </c>
      <c r="B183" s="56" t="str">
        <f t="shared" si="8"/>
        <v>14016</v>
      </c>
      <c r="C183" s="57" t="s">
        <v>371</v>
      </c>
      <c r="D183" s="57" t="s">
        <v>303</v>
      </c>
      <c r="E183" s="44" t="s">
        <v>226</v>
      </c>
      <c r="F183" s="17">
        <f>_xlfn.XLOOKUP($B183,'[1]Jan-24'!$A:$A,'[1]Jan-24'!$H:$H,0)</f>
        <v>805000</v>
      </c>
      <c r="G183" s="17">
        <f>_xlfn.XLOOKUP($B183,'[1]Feb-24'!$A:$A,'[1]Feb-24'!$H:$H,0)</f>
        <v>2380000</v>
      </c>
      <c r="H183" s="17">
        <f>_xlfn.XLOOKUP($B183,'[1]Mar-24'!$A:$A,'[1]Mar-24'!$H:$H,0)</f>
        <v>2380000</v>
      </c>
      <c r="I183" s="17">
        <f>_xlfn.XLOOKUP($B183,'[1]Apr-24'!$A:$A,'[1]Apr-24'!$H:$H,0)</f>
        <v>2380000</v>
      </c>
      <c r="J183" s="17">
        <f>_xlfn.XLOOKUP($B183,'[1]May-24'!$A:$A,'[1]May-24'!$H:$H,0)</f>
        <v>2380000</v>
      </c>
      <c r="K183" s="17">
        <f>_xlfn.XLOOKUP($B183,'[1]Jun-24'!$A:$A,'[1]Jun-24'!$H:$H,0)</f>
        <v>2380000</v>
      </c>
      <c r="L183" s="17">
        <f>_xlfn.XLOOKUP($B183,'[1]Jul-24'!$A:$A,'[1]Jul-24'!$H:$H,0)</f>
        <v>2380000</v>
      </c>
      <c r="M183" s="17">
        <f>_xlfn.XLOOKUP($B183,'[1]Aug-24'!$A:$A,'[1]Aug-24'!$H:$H,0)</f>
        <v>2380000</v>
      </c>
      <c r="N183" s="17">
        <f>_xlfn.XLOOKUP($B183,'[1]Sep-24'!$A:$A,'[1]Sep-24'!$H:$H,0)</f>
        <v>2380000</v>
      </c>
      <c r="O183" s="17">
        <f>_xlfn.XLOOKUP($B183,'[1]Oct-24'!$A:$A,'[1]Oct-24'!$H:$H,0)</f>
        <v>2380000</v>
      </c>
      <c r="P183" s="17">
        <f>_xlfn.XLOOKUP($B183,'[1]Nov-24'!$A:$A,'[1]Nov-24'!$H:$H,0)</f>
        <v>18767386.48</v>
      </c>
      <c r="Q183" s="17">
        <f>_xlfn.XLOOKUP($B183,'[1]Dec-24'!$A:$A,'[1]Dec-24'!$H:$H,0)</f>
        <v>19576056.48</v>
      </c>
      <c r="R183" s="17">
        <f>_xlfn.XLOOKUP($B183,'[1]Jan-25'!$A:$A,'[1]Jan-25'!$H:$H,0)</f>
        <v>20501784.48</v>
      </c>
      <c r="S183" s="17">
        <f>_xlfn.XLOOKUP($B183,'[1]Feb-25'!$A:$A,'[1]Feb-25'!$H:$H,0)</f>
        <v>21430757.66</v>
      </c>
      <c r="T183" s="17">
        <f>_xlfn.XLOOKUP($B183,'[1]Mar-25'!$A:$A,'[1]Mar-25'!$H:$H,0)</f>
        <v>21430757.66</v>
      </c>
      <c r="U183" s="17">
        <f>_xlfn.XLOOKUP($B183,'[1]Apr-25'!$A:$A,'[1]Apr-25'!$H:$H,0)</f>
        <v>21430757.66</v>
      </c>
      <c r="V183" s="17">
        <f>_xlfn.XLOOKUP($B183,'[1]May-25'!$A:$A,'[1]May-25'!$H:$H,0)</f>
        <v>21430757.66</v>
      </c>
      <c r="W183" s="17">
        <f>_xlfn.XLOOKUP($B183,'[1]Jun-25'!$A:$A,'[1]Jun-25'!$H:$H,0)</f>
        <v>21430757.66</v>
      </c>
      <c r="X183" s="17">
        <f>_xlfn.XLOOKUP($B183,'[1]Jul-25'!$A:$A,'[1]Jul-25'!$H:$H,0)</f>
        <v>21430757.66</v>
      </c>
      <c r="Y183" s="17">
        <f>_xlfn.XLOOKUP($B183,'[1]Aug-25'!$A:$A,'[1]Aug-25'!$H:$H,0)</f>
        <v>21661042.16</v>
      </c>
      <c r="Z183" s="17">
        <f>_xlfn.XLOOKUP($B183,'[1]Sep-25'!$A:$A,'[1]Sep-25'!$H:$H,0)</f>
        <v>24641562.16</v>
      </c>
      <c r="AA183" s="17">
        <f>_xlfn.XLOOKUP($B183,'[1]Oct-25'!$A:$A,'[1]Oct-25'!$H:$H,0)</f>
        <v>24641562.16</v>
      </c>
      <c r="AB183" s="17">
        <f>_xlfn.XLOOKUP($B183,'[1]Nov-25'!$A:$A,'[1]Nov-25'!$H:$H,0)</f>
        <v>24786952.16</v>
      </c>
      <c r="AC183" s="17">
        <f>_xlfn.XLOOKUP($B183,'[1]Dec-25'!$A:$A,'[1]Dec-25'!$H:$H,0)</f>
        <v>24786952.16</v>
      </c>
      <c r="AD183" s="17">
        <f>_xlfn.XLOOKUP($B183,'[1]Jan-26'!$A:$A,'[1]Jan-26'!$H:$H,0)</f>
        <v>24786952.16</v>
      </c>
      <c r="AE183" s="17">
        <f>_xlfn.XLOOKUP($B183,'[1]Feb-26'!$A:$A,'[1]Feb-26'!$H:$H,0)</f>
        <v>24786952.16</v>
      </c>
      <c r="AF183" s="17">
        <f>_xlfn.XLOOKUP($B183,'[1]Mar-26'!$A:$A,'[1]Mar-26'!$H:$H,0)</f>
        <v>25625579.02</v>
      </c>
      <c r="AG183" s="17">
        <f>_xlfn.XLOOKUP($B183,'[1]Apr-26'!$A:$A,'[1]Apr-26'!$H:$H,0)</f>
        <v>26984689.02</v>
      </c>
    </row>
    <row r="184" spans="1:33" x14ac:dyDescent="0.2">
      <c r="A184" s="58">
        <v>14017</v>
      </c>
      <c r="B184" s="56" t="str">
        <f t="shared" si="8"/>
        <v>14017</v>
      </c>
      <c r="C184" s="57" t="s">
        <v>371</v>
      </c>
      <c r="D184" s="57" t="s">
        <v>303</v>
      </c>
      <c r="E184" s="44" t="s">
        <v>227</v>
      </c>
      <c r="F184" s="17">
        <f>_xlfn.XLOOKUP($B184,'[1]Jan-24'!$A:$A,'[1]Jan-24'!$H:$H,0)</f>
        <v>0</v>
      </c>
      <c r="G184" s="17">
        <f>_xlfn.XLOOKUP($B184,'[1]Feb-24'!$A:$A,'[1]Feb-24'!$H:$H,0)</f>
        <v>0</v>
      </c>
      <c r="H184" s="17">
        <f>_xlfn.XLOOKUP($B184,'[1]Mar-24'!$A:$A,'[1]Mar-24'!$H:$H,0)</f>
        <v>0</v>
      </c>
      <c r="I184" s="17">
        <f>_xlfn.XLOOKUP($B184,'[1]Apr-24'!$A:$A,'[1]Apr-24'!$H:$H,0)</f>
        <v>0</v>
      </c>
      <c r="J184" s="17">
        <f>_xlfn.XLOOKUP($B184,'[1]May-24'!$A:$A,'[1]May-24'!$H:$H,0)</f>
        <v>0</v>
      </c>
      <c r="K184" s="17">
        <f>_xlfn.XLOOKUP($B184,'[1]Jun-24'!$A:$A,'[1]Jun-24'!$H:$H,0)</f>
        <v>0</v>
      </c>
      <c r="L184" s="17">
        <f>_xlfn.XLOOKUP($B184,'[1]Jul-24'!$A:$A,'[1]Jul-24'!$H:$H,0)</f>
        <v>0</v>
      </c>
      <c r="M184" s="17">
        <f>_xlfn.XLOOKUP($B184,'[1]Aug-24'!$A:$A,'[1]Aug-24'!$H:$H,0)</f>
        <v>0</v>
      </c>
      <c r="N184" s="17">
        <f>_xlfn.XLOOKUP($B184,'[1]Sep-24'!$A:$A,'[1]Sep-24'!$H:$H,0)</f>
        <v>0</v>
      </c>
      <c r="O184" s="17">
        <f>_xlfn.XLOOKUP($B184,'[1]Oct-24'!$A:$A,'[1]Oct-24'!$H:$H,0)</f>
        <v>0</v>
      </c>
      <c r="P184" s="17">
        <f>_xlfn.XLOOKUP($B184,'[1]Nov-24'!$A:$A,'[1]Nov-24'!$H:$H,0)</f>
        <v>0</v>
      </c>
      <c r="Q184" s="17">
        <f>_xlfn.XLOOKUP($B184,'[1]Dec-24'!$A:$A,'[1]Dec-24'!$H:$H,0)</f>
        <v>0</v>
      </c>
      <c r="R184" s="17">
        <f>_xlfn.XLOOKUP($B184,'[1]Jan-25'!$A:$A,'[1]Jan-25'!$H:$H,0)</f>
        <v>0</v>
      </c>
      <c r="S184" s="17">
        <f>_xlfn.XLOOKUP($B184,'[1]Feb-25'!$A:$A,'[1]Feb-25'!$H:$H,0)</f>
        <v>0</v>
      </c>
      <c r="T184" s="17">
        <f>_xlfn.XLOOKUP($B184,'[1]Mar-25'!$A:$A,'[1]Mar-25'!$H:$H,0)</f>
        <v>0</v>
      </c>
      <c r="U184" s="17">
        <f>_xlfn.XLOOKUP($B184,'[1]Apr-25'!$A:$A,'[1]Apr-25'!$H:$H,0)</f>
        <v>0</v>
      </c>
      <c r="V184" s="17">
        <f>_xlfn.XLOOKUP($B184,'[1]May-25'!$A:$A,'[1]May-25'!$H:$H,0)</f>
        <v>0</v>
      </c>
      <c r="W184" s="17">
        <f>_xlfn.XLOOKUP($B184,'[1]Jun-25'!$A:$A,'[1]Jun-25'!$H:$H,0)</f>
        <v>0</v>
      </c>
      <c r="X184" s="17">
        <f>_xlfn.XLOOKUP($B184,'[1]Jul-25'!$A:$A,'[1]Jul-25'!$H:$H,0)</f>
        <v>0</v>
      </c>
      <c r="Y184" s="17">
        <f>_xlfn.XLOOKUP($B184,'[1]Aug-25'!$A:$A,'[1]Aug-25'!$H:$H,0)</f>
        <v>0</v>
      </c>
      <c r="Z184" s="17">
        <f>_xlfn.XLOOKUP($B184,'[1]Sep-25'!$A:$A,'[1]Sep-25'!$H:$H,0)</f>
        <v>0</v>
      </c>
      <c r="AA184" s="17">
        <f>_xlfn.XLOOKUP($B184,'[1]Oct-25'!$A:$A,'[1]Oct-25'!$H:$H,0)</f>
        <v>0</v>
      </c>
      <c r="AB184" s="17">
        <f>_xlfn.XLOOKUP($B184,'[1]Nov-25'!$A:$A,'[1]Nov-25'!$H:$H,0)</f>
        <v>0</v>
      </c>
      <c r="AC184" s="17">
        <f>_xlfn.XLOOKUP($B184,'[1]Dec-25'!$A:$A,'[1]Dec-25'!$H:$H,0)</f>
        <v>0</v>
      </c>
      <c r="AD184" s="17">
        <f>_xlfn.XLOOKUP($B184,'[1]Jan-26'!$A:$A,'[1]Jan-26'!$H:$H,0)</f>
        <v>0</v>
      </c>
      <c r="AE184" s="17">
        <f>_xlfn.XLOOKUP($B184,'[1]Feb-26'!$A:$A,'[1]Feb-26'!$H:$H,0)</f>
        <v>0</v>
      </c>
      <c r="AF184" s="17">
        <f>_xlfn.XLOOKUP($B184,'[1]Mar-26'!$A:$A,'[1]Mar-26'!$H:$H,0)</f>
        <v>0</v>
      </c>
      <c r="AG184" s="17">
        <f>_xlfn.XLOOKUP($B184,'[1]Apr-26'!$A:$A,'[1]Apr-26'!$H:$H,0)</f>
        <v>0</v>
      </c>
    </row>
    <row r="185" spans="1:33" x14ac:dyDescent="0.2">
      <c r="A185" s="58">
        <v>14018</v>
      </c>
      <c r="B185" s="56" t="str">
        <f t="shared" si="8"/>
        <v>14018</v>
      </c>
      <c r="C185" s="57" t="s">
        <v>371</v>
      </c>
      <c r="D185" s="57" t="s">
        <v>303</v>
      </c>
      <c r="E185" s="44" t="s">
        <v>415</v>
      </c>
      <c r="F185" s="17">
        <f>_xlfn.XLOOKUP($B185,'[1]Jan-24'!$A:$A,'[1]Jan-24'!$H:$H,0)</f>
        <v>0</v>
      </c>
      <c r="G185" s="17">
        <f>_xlfn.XLOOKUP($B185,'[1]Feb-24'!$A:$A,'[1]Feb-24'!$H:$H,0)</f>
        <v>0</v>
      </c>
      <c r="H185" s="17">
        <f>_xlfn.XLOOKUP($B185,'[1]Mar-24'!$A:$A,'[1]Mar-24'!$H:$H,0)</f>
        <v>0</v>
      </c>
      <c r="I185" s="17">
        <f>_xlfn.XLOOKUP($B185,'[1]Apr-24'!$A:$A,'[1]Apr-24'!$H:$H,0)</f>
        <v>0</v>
      </c>
      <c r="J185" s="17">
        <f>_xlfn.XLOOKUP($B185,'[1]May-24'!$A:$A,'[1]May-24'!$H:$H,0)</f>
        <v>0</v>
      </c>
      <c r="K185" s="17">
        <f>_xlfn.XLOOKUP($B185,'[1]Jun-24'!$A:$A,'[1]Jun-24'!$H:$H,0)</f>
        <v>0</v>
      </c>
      <c r="L185" s="17">
        <f>_xlfn.XLOOKUP($B185,'[1]Jul-24'!$A:$A,'[1]Jul-24'!$H:$H,0)</f>
        <v>0</v>
      </c>
      <c r="M185" s="17">
        <f>_xlfn.XLOOKUP($B185,'[1]Aug-24'!$A:$A,'[1]Aug-24'!$H:$H,0)</f>
        <v>0</v>
      </c>
      <c r="N185" s="17">
        <f>_xlfn.XLOOKUP($B185,'[1]Sep-24'!$A:$A,'[1]Sep-24'!$H:$H,0)</f>
        <v>0</v>
      </c>
      <c r="O185" s="17">
        <f>_xlfn.XLOOKUP($B185,'[1]Oct-24'!$A:$A,'[1]Oct-24'!$H:$H,0)</f>
        <v>0</v>
      </c>
      <c r="P185" s="17">
        <f>_xlfn.XLOOKUP($B185,'[1]Nov-24'!$A:$A,'[1]Nov-24'!$H:$H,0)</f>
        <v>0</v>
      </c>
      <c r="Q185" s="17">
        <f>_xlfn.XLOOKUP($B185,'[1]Dec-24'!$A:$A,'[1]Dec-24'!$H:$H,0)</f>
        <v>0</v>
      </c>
      <c r="R185" s="17">
        <f>_xlfn.XLOOKUP($B185,'[1]Jan-25'!$A:$A,'[1]Jan-25'!$H:$H,0)</f>
        <v>0</v>
      </c>
      <c r="S185" s="17">
        <f>_xlfn.XLOOKUP($B185,'[1]Feb-25'!$A:$A,'[1]Feb-25'!$H:$H,0)</f>
        <v>0</v>
      </c>
      <c r="T185" s="17">
        <f>_xlfn.XLOOKUP($B185,'[1]Mar-25'!$A:$A,'[1]Mar-25'!$H:$H,0)</f>
        <v>0</v>
      </c>
      <c r="U185" s="17">
        <f>_xlfn.XLOOKUP($B185,'[1]Apr-25'!$A:$A,'[1]Apr-25'!$H:$H,0)</f>
        <v>0</v>
      </c>
      <c r="V185" s="17">
        <f>_xlfn.XLOOKUP($B185,'[1]May-25'!$A:$A,'[1]May-25'!$H:$H,0)</f>
        <v>0</v>
      </c>
      <c r="W185" s="17">
        <f>_xlfn.XLOOKUP($B185,'[1]Jun-25'!$A:$A,'[1]Jun-25'!$H:$H,0)</f>
        <v>0</v>
      </c>
      <c r="X185" s="17">
        <f>_xlfn.XLOOKUP($B185,'[1]Jul-25'!$A:$A,'[1]Jul-25'!$H:$H,0)</f>
        <v>0</v>
      </c>
      <c r="Y185" s="17">
        <f>_xlfn.XLOOKUP($B185,'[1]Aug-25'!$A:$A,'[1]Aug-25'!$H:$H,0)</f>
        <v>0</v>
      </c>
      <c r="Z185" s="17">
        <f>_xlfn.XLOOKUP($B185,'[1]Sep-25'!$A:$A,'[1]Sep-25'!$H:$H,0)</f>
        <v>0</v>
      </c>
      <c r="AA185" s="17">
        <f>_xlfn.XLOOKUP($B185,'[1]Oct-25'!$A:$A,'[1]Oct-25'!$H:$H,0)</f>
        <v>0</v>
      </c>
      <c r="AB185" s="17">
        <f>_xlfn.XLOOKUP($B185,'[1]Nov-25'!$A:$A,'[1]Nov-25'!$H:$H,0)</f>
        <v>0</v>
      </c>
      <c r="AC185" s="17">
        <f>_xlfn.XLOOKUP($B185,'[1]Dec-25'!$A:$A,'[1]Dec-25'!$H:$H,0)</f>
        <v>0</v>
      </c>
      <c r="AD185" s="17">
        <f>_xlfn.XLOOKUP($B185,'[1]Jan-26'!$A:$A,'[1]Jan-26'!$H:$H,0)</f>
        <v>0</v>
      </c>
      <c r="AE185" s="17">
        <f>_xlfn.XLOOKUP($B185,'[1]Feb-26'!$A:$A,'[1]Feb-26'!$H:$H,0)</f>
        <v>0</v>
      </c>
      <c r="AF185" s="17">
        <f>_xlfn.XLOOKUP($B185,'[1]Mar-26'!$A:$A,'[1]Mar-26'!$H:$H,0)</f>
        <v>0</v>
      </c>
      <c r="AG185" s="17">
        <f>_xlfn.XLOOKUP($B185,'[1]Apr-26'!$A:$A,'[1]Apr-26'!$H:$H,0)</f>
        <v>0</v>
      </c>
    </row>
    <row r="186" spans="1:33" x14ac:dyDescent="0.2">
      <c r="A186" s="58">
        <v>14020</v>
      </c>
      <c r="B186" s="56" t="str">
        <f t="shared" si="8"/>
        <v>14020</v>
      </c>
      <c r="C186" s="57" t="s">
        <v>371</v>
      </c>
      <c r="D186" s="57" t="s">
        <v>303</v>
      </c>
      <c r="E186" s="44" t="s">
        <v>228</v>
      </c>
      <c r="F186" s="17">
        <f>_xlfn.XLOOKUP($B186,'[1]Jan-24'!$A:$A,'[1]Jan-24'!$H:$H,0)</f>
        <v>0</v>
      </c>
      <c r="G186" s="17">
        <f>_xlfn.XLOOKUP($B186,'[1]Feb-24'!$A:$A,'[1]Feb-24'!$H:$H,0)</f>
        <v>0</v>
      </c>
      <c r="H186" s="17">
        <f>_xlfn.XLOOKUP($B186,'[1]Mar-24'!$A:$A,'[1]Mar-24'!$H:$H,0)</f>
        <v>0</v>
      </c>
      <c r="I186" s="17">
        <f>_xlfn.XLOOKUP($B186,'[1]Apr-24'!$A:$A,'[1]Apr-24'!$H:$H,0)</f>
        <v>0</v>
      </c>
      <c r="J186" s="17">
        <f>_xlfn.XLOOKUP($B186,'[1]May-24'!$A:$A,'[1]May-24'!$H:$H,0)</f>
        <v>0</v>
      </c>
      <c r="K186" s="17">
        <f>_xlfn.XLOOKUP($B186,'[1]Jun-24'!$A:$A,'[1]Jun-24'!$H:$H,0)</f>
        <v>0</v>
      </c>
      <c r="L186" s="17">
        <f>_xlfn.XLOOKUP($B186,'[1]Jul-24'!$A:$A,'[1]Jul-24'!$H:$H,0)</f>
        <v>0</v>
      </c>
      <c r="M186" s="17">
        <f>_xlfn.XLOOKUP($B186,'[1]Aug-24'!$A:$A,'[1]Aug-24'!$H:$H,0)</f>
        <v>0</v>
      </c>
      <c r="N186" s="17">
        <f>_xlfn.XLOOKUP($B186,'[1]Sep-24'!$A:$A,'[1]Sep-24'!$H:$H,0)</f>
        <v>1726190.7</v>
      </c>
      <c r="O186" s="17">
        <f>_xlfn.XLOOKUP($B186,'[1]Oct-24'!$A:$A,'[1]Oct-24'!$H:$H,0)</f>
        <v>0</v>
      </c>
      <c r="P186" s="17">
        <f>_xlfn.XLOOKUP($B186,'[1]Nov-24'!$A:$A,'[1]Nov-24'!$H:$H,0)</f>
        <v>0</v>
      </c>
      <c r="Q186" s="17">
        <f>_xlfn.XLOOKUP($B186,'[1]Dec-24'!$A:$A,'[1]Dec-24'!$H:$H,0)</f>
        <v>0</v>
      </c>
      <c r="R186" s="17">
        <f>_xlfn.XLOOKUP($B186,'[1]Jan-25'!$A:$A,'[1]Jan-25'!$H:$H,0)</f>
        <v>0</v>
      </c>
      <c r="S186" s="17">
        <f>_xlfn.XLOOKUP($B186,'[1]Feb-25'!$A:$A,'[1]Feb-25'!$H:$H,0)</f>
        <v>0</v>
      </c>
      <c r="T186" s="17">
        <f>_xlfn.XLOOKUP($B186,'[1]Mar-25'!$A:$A,'[1]Mar-25'!$H:$H,0)</f>
        <v>0</v>
      </c>
      <c r="U186" s="17">
        <f>_xlfn.XLOOKUP($B186,'[1]Apr-25'!$A:$A,'[1]Apr-25'!$H:$H,0)</f>
        <v>0</v>
      </c>
      <c r="V186" s="17">
        <f>_xlfn.XLOOKUP($B186,'[1]May-25'!$A:$A,'[1]May-25'!$H:$H,0)</f>
        <v>0</v>
      </c>
      <c r="W186" s="17">
        <f>_xlfn.XLOOKUP($B186,'[1]Jun-25'!$A:$A,'[1]Jun-25'!$H:$H,0)</f>
        <v>0</v>
      </c>
      <c r="X186" s="17">
        <f>_xlfn.XLOOKUP($B186,'[1]Jul-25'!$A:$A,'[1]Jul-25'!$H:$H,0)</f>
        <v>0</v>
      </c>
      <c r="Y186" s="17">
        <f>_xlfn.XLOOKUP($B186,'[1]Aug-25'!$A:$A,'[1]Aug-25'!$H:$H,0)</f>
        <v>0</v>
      </c>
      <c r="Z186" s="17">
        <f>_xlfn.XLOOKUP($B186,'[1]Sep-25'!$A:$A,'[1]Sep-25'!$H:$H,0)</f>
        <v>0</v>
      </c>
      <c r="AA186" s="17">
        <f>_xlfn.XLOOKUP($B186,'[1]Oct-25'!$A:$A,'[1]Oct-25'!$H:$H,0)</f>
        <v>0</v>
      </c>
      <c r="AB186" s="17">
        <f>_xlfn.XLOOKUP($B186,'[1]Nov-25'!$A:$A,'[1]Nov-25'!$H:$H,0)</f>
        <v>0</v>
      </c>
      <c r="AC186" s="17">
        <f>_xlfn.XLOOKUP($B186,'[1]Dec-25'!$A:$A,'[1]Dec-25'!$H:$H,0)</f>
        <v>0</v>
      </c>
      <c r="AD186" s="17">
        <f>_xlfn.XLOOKUP($B186,'[1]Jan-26'!$A:$A,'[1]Jan-26'!$H:$H,0)</f>
        <v>0</v>
      </c>
      <c r="AE186" s="17">
        <f>_xlfn.XLOOKUP($B186,'[1]Feb-26'!$A:$A,'[1]Feb-26'!$H:$H,0)</f>
        <v>0</v>
      </c>
      <c r="AF186" s="17">
        <f>_xlfn.XLOOKUP($B186,'[1]Mar-26'!$A:$A,'[1]Mar-26'!$H:$H,0)</f>
        <v>0</v>
      </c>
      <c r="AG186" s="17">
        <f>_xlfn.XLOOKUP($B186,'[1]Apr-26'!$A:$A,'[1]Apr-26'!$H:$H,0)</f>
        <v>0</v>
      </c>
    </row>
    <row r="187" spans="1:33" x14ac:dyDescent="0.2">
      <c r="A187" s="58">
        <v>14021</v>
      </c>
      <c r="B187" s="56" t="str">
        <f t="shared" si="8"/>
        <v>14021</v>
      </c>
      <c r="C187" s="57" t="s">
        <v>371</v>
      </c>
      <c r="D187" s="57" t="s">
        <v>303</v>
      </c>
      <c r="E187" s="44" t="s">
        <v>229</v>
      </c>
      <c r="F187" s="17">
        <f>_xlfn.XLOOKUP($B187,'[1]Jan-24'!$A:$A,'[1]Jan-24'!$H:$H,0)</f>
        <v>0</v>
      </c>
      <c r="G187" s="17">
        <f>_xlfn.XLOOKUP($B187,'[1]Feb-24'!$A:$A,'[1]Feb-24'!$H:$H,0)</f>
        <v>0</v>
      </c>
      <c r="H187" s="17">
        <f>_xlfn.XLOOKUP($B187,'[1]Mar-24'!$A:$A,'[1]Mar-24'!$H:$H,0)</f>
        <v>0</v>
      </c>
      <c r="I187" s="17">
        <f>_xlfn.XLOOKUP($B187,'[1]Apr-24'!$A:$A,'[1]Apr-24'!$H:$H,0)</f>
        <v>0</v>
      </c>
      <c r="J187" s="17">
        <f>_xlfn.XLOOKUP($B187,'[1]May-24'!$A:$A,'[1]May-24'!$H:$H,0)</f>
        <v>0</v>
      </c>
      <c r="K187" s="17">
        <f>_xlfn.XLOOKUP($B187,'[1]Jun-24'!$A:$A,'[1]Jun-24'!$H:$H,0)</f>
        <v>0</v>
      </c>
      <c r="L187" s="17">
        <f>_xlfn.XLOOKUP($B187,'[1]Jul-24'!$A:$A,'[1]Jul-24'!$H:$H,0)</f>
        <v>0</v>
      </c>
      <c r="M187" s="17">
        <f>_xlfn.XLOOKUP($B187,'[1]Aug-24'!$A:$A,'[1]Aug-24'!$H:$H,0)</f>
        <v>0</v>
      </c>
      <c r="N187" s="17">
        <f>_xlfn.XLOOKUP($B187,'[1]Sep-24'!$A:$A,'[1]Sep-24'!$H:$H,0)</f>
        <v>0</v>
      </c>
      <c r="O187" s="17">
        <f>_xlfn.XLOOKUP($B187,'[1]Oct-24'!$A:$A,'[1]Oct-24'!$H:$H,0)</f>
        <v>0</v>
      </c>
      <c r="P187" s="17">
        <f>_xlfn.XLOOKUP($B187,'[1]Nov-24'!$A:$A,'[1]Nov-24'!$H:$H,0)</f>
        <v>0</v>
      </c>
      <c r="Q187" s="17">
        <f>_xlfn.XLOOKUP($B187,'[1]Dec-24'!$A:$A,'[1]Dec-24'!$H:$H,0)</f>
        <v>1481337</v>
      </c>
      <c r="R187" s="17">
        <f>_xlfn.XLOOKUP($B187,'[1]Jan-25'!$A:$A,'[1]Jan-25'!$H:$H,0)</f>
        <v>1481337</v>
      </c>
      <c r="S187" s="17">
        <f>_xlfn.XLOOKUP($B187,'[1]Feb-25'!$A:$A,'[1]Feb-25'!$H:$H,0)</f>
        <v>1481337</v>
      </c>
      <c r="T187" s="17">
        <f>_xlfn.XLOOKUP($B187,'[1]Mar-25'!$A:$A,'[1]Mar-25'!$H:$H,0)</f>
        <v>1481337</v>
      </c>
      <c r="U187" s="17">
        <f>_xlfn.XLOOKUP($B187,'[1]Apr-25'!$A:$A,'[1]Apr-25'!$H:$H,0)</f>
        <v>1481337</v>
      </c>
      <c r="V187" s="17">
        <f>_xlfn.XLOOKUP($B187,'[1]May-25'!$A:$A,'[1]May-25'!$H:$H,0)</f>
        <v>1721338.5</v>
      </c>
      <c r="W187" s="17">
        <f>_xlfn.XLOOKUP($B187,'[1]Jun-25'!$A:$A,'[1]Jun-25'!$H:$H,0)</f>
        <v>1721338.5</v>
      </c>
      <c r="X187" s="17">
        <f>_xlfn.XLOOKUP($B187,'[1]Jul-25'!$A:$A,'[1]Jul-25'!$H:$H,0)</f>
        <v>1721338.5</v>
      </c>
      <c r="Y187" s="17">
        <f>_xlfn.XLOOKUP($B187,'[1]Aug-25'!$A:$A,'[1]Aug-25'!$H:$H,0)</f>
        <v>1721338.5</v>
      </c>
      <c r="Z187" s="17">
        <f>_xlfn.XLOOKUP($B187,'[1]Sep-25'!$A:$A,'[1]Sep-25'!$H:$H,0)</f>
        <v>1721338.5</v>
      </c>
      <c r="AA187" s="17">
        <f>_xlfn.XLOOKUP($B187,'[1]Oct-25'!$A:$A,'[1]Oct-25'!$H:$H,0)</f>
        <v>1721338.5</v>
      </c>
      <c r="AB187" s="17">
        <f>_xlfn.XLOOKUP($B187,'[1]Nov-25'!$A:$A,'[1]Nov-25'!$H:$H,0)</f>
        <v>1721338.5</v>
      </c>
      <c r="AC187" s="17">
        <f>_xlfn.XLOOKUP($B187,'[1]Dec-25'!$A:$A,'[1]Dec-25'!$H:$H,0)</f>
        <v>1721338.5</v>
      </c>
      <c r="AD187" s="17">
        <f>_xlfn.XLOOKUP($B187,'[1]Jan-26'!$A:$A,'[1]Jan-26'!$H:$H,0)</f>
        <v>1721338.5</v>
      </c>
      <c r="AE187" s="17">
        <f>_xlfn.XLOOKUP($B187,'[1]Feb-26'!$A:$A,'[1]Feb-26'!$H:$H,0)</f>
        <v>1721338.5</v>
      </c>
      <c r="AF187" s="17">
        <f>_xlfn.XLOOKUP($B187,'[1]Mar-26'!$A:$A,'[1]Mar-26'!$H:$H,0)</f>
        <v>1721338.5</v>
      </c>
      <c r="AG187" s="17">
        <f>_xlfn.XLOOKUP($B187,'[1]Apr-26'!$A:$A,'[1]Apr-26'!$H:$H,0)</f>
        <v>1721338.5</v>
      </c>
    </row>
    <row r="188" spans="1:33" x14ac:dyDescent="0.2">
      <c r="A188" s="58">
        <v>15000</v>
      </c>
      <c r="B188" s="56" t="str">
        <f t="shared" si="8"/>
        <v>15000</v>
      </c>
      <c r="C188" s="57" t="s">
        <v>416</v>
      </c>
      <c r="D188" s="57" t="s">
        <v>303</v>
      </c>
      <c r="E188" s="44" t="s">
        <v>233</v>
      </c>
      <c r="F188" s="17">
        <f>_xlfn.XLOOKUP($B188,'[1]Jan-24'!$A:$A,'[1]Jan-24'!$H:$H,0)</f>
        <v>26403926.010000002</v>
      </c>
      <c r="G188" s="17">
        <f>_xlfn.XLOOKUP($B188,'[1]Feb-24'!$A:$A,'[1]Feb-24'!$H:$H,0)</f>
        <v>26403926.010000002</v>
      </c>
      <c r="H188" s="17">
        <f>_xlfn.XLOOKUP($B188,'[1]Mar-24'!$A:$A,'[1]Mar-24'!$H:$H,0)</f>
        <v>26403926.010000002</v>
      </c>
      <c r="I188" s="17">
        <f>_xlfn.XLOOKUP($B188,'[1]Apr-24'!$A:$A,'[1]Apr-24'!$H:$H,0)</f>
        <v>26403926.010000002</v>
      </c>
      <c r="J188" s="17">
        <f>_xlfn.XLOOKUP($B188,'[1]May-24'!$A:$A,'[1]May-24'!$H:$H,0)</f>
        <v>26403926.010000002</v>
      </c>
      <c r="K188" s="17">
        <f>_xlfn.XLOOKUP($B188,'[1]Jun-24'!$A:$A,'[1]Jun-24'!$H:$H,0)</f>
        <v>26404192.68</v>
      </c>
      <c r="L188" s="17">
        <f>_xlfn.XLOOKUP($B188,'[1]Jul-24'!$A:$A,'[1]Jul-24'!$H:$H,0)</f>
        <v>27291067.68</v>
      </c>
      <c r="M188" s="17">
        <f>_xlfn.XLOOKUP($B188,'[1]Aug-24'!$A:$A,'[1]Aug-24'!$H:$H,0)</f>
        <v>27291067.68</v>
      </c>
      <c r="N188" s="17">
        <f>_xlfn.XLOOKUP($B188,'[1]Sep-24'!$A:$A,'[1]Sep-24'!$H:$H,0)</f>
        <v>27291067.68</v>
      </c>
      <c r="O188" s="17">
        <f>_xlfn.XLOOKUP($B188,'[1]Oct-24'!$A:$A,'[1]Oct-24'!$H:$H,0)</f>
        <v>27291067.68</v>
      </c>
      <c r="P188" s="17">
        <f>_xlfn.XLOOKUP($B188,'[1]Nov-24'!$A:$A,'[1]Nov-24'!$H:$H,0)</f>
        <v>27291067.68</v>
      </c>
      <c r="Q188" s="17">
        <f>_xlfn.XLOOKUP($B188,'[1]Dec-24'!$A:$A,'[1]Dec-24'!$H:$H,0)</f>
        <v>36171942.920000002</v>
      </c>
      <c r="R188" s="17">
        <f>_xlfn.XLOOKUP($B188,'[1]Jan-25'!$A:$A,'[1]Jan-25'!$H:$H,0)</f>
        <v>36171942.920000002</v>
      </c>
      <c r="S188" s="17">
        <f>_xlfn.XLOOKUP($B188,'[1]Feb-25'!$A:$A,'[1]Feb-25'!$H:$H,0)</f>
        <v>37033192.920000002</v>
      </c>
      <c r="T188" s="17">
        <f>_xlfn.XLOOKUP($B188,'[1]Mar-25'!$A:$A,'[1]Mar-25'!$H:$H,0)</f>
        <v>38615442.920000002</v>
      </c>
      <c r="U188" s="17">
        <f>_xlfn.XLOOKUP($B188,'[1]Apr-25'!$A:$A,'[1]Apr-25'!$H:$H,0)</f>
        <v>38615442.920000002</v>
      </c>
      <c r="V188" s="17">
        <f>_xlfn.XLOOKUP($B188,'[1]May-25'!$A:$A,'[1]May-25'!$H:$H,0)</f>
        <v>38615442.920000002</v>
      </c>
      <c r="W188" s="17">
        <f>_xlfn.XLOOKUP($B188,'[1]Jun-25'!$A:$A,'[1]Jun-25'!$H:$H,0)</f>
        <v>38615442.920000002</v>
      </c>
      <c r="X188" s="17">
        <f>_xlfn.XLOOKUP($B188,'[1]Jul-25'!$A:$A,'[1]Jul-25'!$H:$H,0)</f>
        <v>38615442.920000002</v>
      </c>
      <c r="Y188" s="17">
        <f>_xlfn.XLOOKUP($B188,'[1]Aug-25'!$A:$A,'[1]Aug-25'!$H:$H,0)</f>
        <v>38615442.920000002</v>
      </c>
      <c r="Z188" s="17">
        <f>_xlfn.XLOOKUP($B188,'[1]Sep-25'!$A:$A,'[1]Sep-25'!$H:$H,0)</f>
        <v>38615442.920000002</v>
      </c>
      <c r="AA188" s="17">
        <f>_xlfn.XLOOKUP($B188,'[1]Oct-25'!$A:$A,'[1]Oct-25'!$H:$H,0)</f>
        <v>38385442.920000002</v>
      </c>
      <c r="AB188" s="17">
        <f>_xlfn.XLOOKUP($B188,'[1]Nov-25'!$A:$A,'[1]Nov-25'!$H:$H,0)</f>
        <v>38385442.920000002</v>
      </c>
      <c r="AC188" s="17">
        <f>_xlfn.XLOOKUP($B188,'[1]Dec-25'!$A:$A,'[1]Dec-25'!$H:$H,0)</f>
        <v>38515442.920000002</v>
      </c>
      <c r="AD188" s="17">
        <f>_xlfn.XLOOKUP($B188,'[1]Jan-26'!$A:$A,'[1]Jan-26'!$H:$H,0)</f>
        <v>36071942.920000002</v>
      </c>
      <c r="AE188" s="17">
        <f>_xlfn.XLOOKUP($B188,'[1]Feb-26'!$A:$A,'[1]Feb-26'!$H:$H,0)</f>
        <v>36071942.920000002</v>
      </c>
      <c r="AF188" s="17">
        <f>_xlfn.XLOOKUP($B188,'[1]Mar-26'!$A:$A,'[1]Mar-26'!$H:$H,0)</f>
        <v>36071942.920000002</v>
      </c>
      <c r="AG188" s="17">
        <f>_xlfn.XLOOKUP($B188,'[1]Apr-26'!$A:$A,'[1]Apr-26'!$H:$H,0)</f>
        <v>36071942.920000002</v>
      </c>
    </row>
    <row r="189" spans="1:33" x14ac:dyDescent="0.2">
      <c r="A189" s="58">
        <v>15100</v>
      </c>
      <c r="B189" s="56" t="str">
        <f t="shared" si="8"/>
        <v>15100</v>
      </c>
      <c r="C189" s="57" t="s">
        <v>416</v>
      </c>
      <c r="D189" s="57" t="s">
        <v>303</v>
      </c>
      <c r="E189" s="44" t="s">
        <v>234</v>
      </c>
      <c r="F189" s="17">
        <f>_xlfn.XLOOKUP($B189,'[1]Jan-24'!$A:$A,'[1]Jan-24'!$H:$H,0)</f>
        <v>88402001</v>
      </c>
      <c r="G189" s="17">
        <f>_xlfn.XLOOKUP($B189,'[1]Feb-24'!$A:$A,'[1]Feb-24'!$H:$H,0)</f>
        <v>88402001</v>
      </c>
      <c r="H189" s="17">
        <f>_xlfn.XLOOKUP($B189,'[1]Mar-24'!$A:$A,'[1]Mar-24'!$H:$H,0)</f>
        <v>88402001</v>
      </c>
      <c r="I189" s="17">
        <f>_xlfn.XLOOKUP($B189,'[1]Apr-24'!$A:$A,'[1]Apr-24'!$H:$H,0)</f>
        <v>88402001</v>
      </c>
      <c r="J189" s="17">
        <f>_xlfn.XLOOKUP($B189,'[1]May-24'!$A:$A,'[1]May-24'!$H:$H,0)</f>
        <v>88402001</v>
      </c>
      <c r="K189" s="17">
        <f>_xlfn.XLOOKUP($B189,'[1]Jun-24'!$A:$A,'[1]Jun-24'!$H:$H,0)</f>
        <v>88402001</v>
      </c>
      <c r="L189" s="17">
        <f>_xlfn.XLOOKUP($B189,'[1]Jul-24'!$A:$A,'[1]Jul-24'!$H:$H,0)</f>
        <v>88402001</v>
      </c>
      <c r="M189" s="17">
        <f>_xlfn.XLOOKUP($B189,'[1]Aug-24'!$A:$A,'[1]Aug-24'!$H:$H,0)</f>
        <v>88402001</v>
      </c>
      <c r="N189" s="17">
        <f>_xlfn.XLOOKUP($B189,'[1]Sep-24'!$A:$A,'[1]Sep-24'!$H:$H,0)</f>
        <v>88402001</v>
      </c>
      <c r="O189" s="17">
        <f>_xlfn.XLOOKUP($B189,'[1]Oct-24'!$A:$A,'[1]Oct-24'!$H:$H,0)</f>
        <v>88402001</v>
      </c>
      <c r="P189" s="17">
        <f>_xlfn.XLOOKUP($B189,'[1]Nov-24'!$A:$A,'[1]Nov-24'!$H:$H,0)</f>
        <v>88402001</v>
      </c>
      <c r="Q189" s="17">
        <f>_xlfn.XLOOKUP($B189,'[1]Dec-24'!$A:$A,'[1]Dec-24'!$H:$H,0)</f>
        <v>3645000</v>
      </c>
      <c r="R189" s="17">
        <f>_xlfn.XLOOKUP($B189,'[1]Jan-25'!$A:$A,'[1]Jan-25'!$H:$H,0)</f>
        <v>3645000</v>
      </c>
      <c r="S189" s="17">
        <f>_xlfn.XLOOKUP($B189,'[1]Feb-25'!$A:$A,'[1]Feb-25'!$H:$H,0)</f>
        <v>3645000</v>
      </c>
      <c r="T189" s="17">
        <f>_xlfn.XLOOKUP($B189,'[1]Mar-25'!$A:$A,'[1]Mar-25'!$H:$H,0)</f>
        <v>3645000</v>
      </c>
      <c r="U189" s="17">
        <f>_xlfn.XLOOKUP($B189,'[1]Apr-25'!$A:$A,'[1]Apr-25'!$H:$H,0)</f>
        <v>3645000</v>
      </c>
      <c r="V189" s="17">
        <f>_xlfn.XLOOKUP($B189,'[1]May-25'!$A:$A,'[1]May-25'!$H:$H,0)</f>
        <v>3645000</v>
      </c>
      <c r="W189" s="17">
        <f>_xlfn.XLOOKUP($B189,'[1]Jun-25'!$A:$A,'[1]Jun-25'!$H:$H,0)</f>
        <v>3645000</v>
      </c>
      <c r="X189" s="17">
        <f>_xlfn.XLOOKUP($B189,'[1]Jul-25'!$A:$A,'[1]Jul-25'!$H:$H,0)</f>
        <v>3645000</v>
      </c>
      <c r="Y189" s="17">
        <f>_xlfn.XLOOKUP($B189,'[1]Aug-25'!$A:$A,'[1]Aug-25'!$H:$H,0)</f>
        <v>3645000</v>
      </c>
      <c r="Z189" s="17">
        <f>_xlfn.XLOOKUP($B189,'[1]Sep-25'!$A:$A,'[1]Sep-25'!$H:$H,0)</f>
        <v>3645000</v>
      </c>
      <c r="AA189" s="17">
        <f>_xlfn.XLOOKUP($B189,'[1]Oct-25'!$A:$A,'[1]Oct-25'!$H:$H,0)</f>
        <v>3645000</v>
      </c>
      <c r="AB189" s="17">
        <f>_xlfn.XLOOKUP($B189,'[1]Nov-25'!$A:$A,'[1]Nov-25'!$H:$H,0)</f>
        <v>3645000</v>
      </c>
      <c r="AC189" s="17">
        <f>_xlfn.XLOOKUP($B189,'[1]Dec-25'!$A:$A,'[1]Dec-25'!$H:$H,0)</f>
        <v>3645000</v>
      </c>
      <c r="AD189" s="17">
        <f>_xlfn.XLOOKUP($B189,'[1]Jan-26'!$A:$A,'[1]Jan-26'!$H:$H,0)</f>
        <v>3645000</v>
      </c>
      <c r="AE189" s="17">
        <f>_xlfn.XLOOKUP($B189,'[1]Feb-26'!$A:$A,'[1]Feb-26'!$H:$H,0)</f>
        <v>5141700</v>
      </c>
      <c r="AF189" s="17">
        <f>_xlfn.XLOOKUP($B189,'[1]Mar-26'!$A:$A,'[1]Mar-26'!$H:$H,0)</f>
        <v>5141700</v>
      </c>
      <c r="AG189" s="17">
        <f>_xlfn.XLOOKUP($B189,'[1]Apr-26'!$A:$A,'[1]Apr-26'!$H:$H,0)</f>
        <v>5141700</v>
      </c>
    </row>
    <row r="190" spans="1:33" x14ac:dyDescent="0.2">
      <c r="A190" s="58">
        <v>15200</v>
      </c>
      <c r="B190" s="56" t="str">
        <f t="shared" si="8"/>
        <v>15200</v>
      </c>
      <c r="C190" s="57" t="s">
        <v>416</v>
      </c>
      <c r="D190" s="57" t="s">
        <v>303</v>
      </c>
      <c r="E190" s="44" t="s">
        <v>235</v>
      </c>
      <c r="F190" s="17">
        <f>_xlfn.XLOOKUP($B190,'[1]Jan-24'!$A:$A,'[1]Jan-24'!$H:$H,0)</f>
        <v>254750375.25999999</v>
      </c>
      <c r="G190" s="17">
        <f>_xlfn.XLOOKUP($B190,'[1]Feb-24'!$A:$A,'[1]Feb-24'!$H:$H,0)</f>
        <v>254750375.25999999</v>
      </c>
      <c r="H190" s="17">
        <f>_xlfn.XLOOKUP($B190,'[1]Mar-24'!$A:$A,'[1]Mar-24'!$H:$H,0)</f>
        <v>254750375.25999999</v>
      </c>
      <c r="I190" s="17">
        <f>_xlfn.XLOOKUP($B190,'[1]Apr-24'!$A:$A,'[1]Apr-24'!$H:$H,0)</f>
        <v>258638575.25999999</v>
      </c>
      <c r="J190" s="17">
        <f>_xlfn.XLOOKUP($B190,'[1]May-24'!$A:$A,'[1]May-24'!$H:$H,0)</f>
        <v>271567375.25999999</v>
      </c>
      <c r="K190" s="17">
        <f>_xlfn.XLOOKUP($B190,'[1]Jun-24'!$A:$A,'[1]Jun-24'!$H:$H,0)</f>
        <v>271567375.25999999</v>
      </c>
      <c r="L190" s="17">
        <f>_xlfn.XLOOKUP($B190,'[1]Jul-24'!$A:$A,'[1]Jul-24'!$H:$H,0)</f>
        <v>276163000.25999999</v>
      </c>
      <c r="M190" s="17">
        <f>_xlfn.XLOOKUP($B190,'[1]Aug-24'!$A:$A,'[1]Aug-24'!$H:$H,0)</f>
        <v>280188875.25999999</v>
      </c>
      <c r="N190" s="17">
        <f>_xlfn.XLOOKUP($B190,'[1]Sep-24'!$A:$A,'[1]Sep-24'!$H:$H,0)</f>
        <v>280188875.25999999</v>
      </c>
      <c r="O190" s="17">
        <f>_xlfn.XLOOKUP($B190,'[1]Oct-24'!$A:$A,'[1]Oct-24'!$H:$H,0)</f>
        <v>293110375.25999999</v>
      </c>
      <c r="P190" s="17">
        <f>_xlfn.XLOOKUP($B190,'[1]Nov-24'!$A:$A,'[1]Nov-24'!$H:$H,0)</f>
        <v>301179875.25999999</v>
      </c>
      <c r="Q190" s="17">
        <f>_xlfn.XLOOKUP($B190,'[1]Dec-24'!$A:$A,'[1]Dec-24'!$H:$H,0)</f>
        <v>302982472.25999999</v>
      </c>
      <c r="R190" s="17">
        <f>_xlfn.XLOOKUP($B190,'[1]Jan-25'!$A:$A,'[1]Jan-25'!$H:$H,0)</f>
        <v>301799972.25999999</v>
      </c>
      <c r="S190" s="17">
        <f>_xlfn.XLOOKUP($B190,'[1]Feb-25'!$A:$A,'[1]Feb-25'!$H:$H,0)</f>
        <v>316900706.66000003</v>
      </c>
      <c r="T190" s="17">
        <f>_xlfn.XLOOKUP($B190,'[1]Mar-25'!$A:$A,'[1]Mar-25'!$H:$H,0)</f>
        <v>316900706.66000003</v>
      </c>
      <c r="U190" s="17">
        <f>_xlfn.XLOOKUP($B190,'[1]Apr-25'!$A:$A,'[1]Apr-25'!$H:$H,0)</f>
        <v>316900706.66000003</v>
      </c>
      <c r="V190" s="17">
        <f>_xlfn.XLOOKUP($B190,'[1]May-25'!$A:$A,'[1]May-25'!$H:$H,0)</f>
        <v>316900706.66000003</v>
      </c>
      <c r="W190" s="17">
        <f>_xlfn.XLOOKUP($B190,'[1]Jun-25'!$A:$A,'[1]Jun-25'!$H:$H,0)</f>
        <v>316900706.66000003</v>
      </c>
      <c r="X190" s="17">
        <f>_xlfn.XLOOKUP($B190,'[1]Jul-25'!$A:$A,'[1]Jul-25'!$H:$H,0)</f>
        <v>319910706.66000003</v>
      </c>
      <c r="Y190" s="17">
        <f>_xlfn.XLOOKUP($B190,'[1]Aug-25'!$A:$A,'[1]Aug-25'!$H:$H,0)</f>
        <v>326910706.66000003</v>
      </c>
      <c r="Z190" s="17">
        <f>_xlfn.XLOOKUP($B190,'[1]Sep-25'!$A:$A,'[1]Sep-25'!$H:$H,0)</f>
        <v>326910706.66000003</v>
      </c>
      <c r="AA190" s="17">
        <f>_xlfn.XLOOKUP($B190,'[1]Oct-25'!$A:$A,'[1]Oct-25'!$H:$H,0)</f>
        <v>326910706.66000003</v>
      </c>
      <c r="AB190" s="17">
        <f>_xlfn.XLOOKUP($B190,'[1]Nov-25'!$A:$A,'[1]Nov-25'!$H:$H,0)</f>
        <v>340489606.66000003</v>
      </c>
      <c r="AC190" s="17">
        <f>_xlfn.XLOOKUP($B190,'[1]Dec-25'!$A:$A,'[1]Dec-25'!$H:$H,0)</f>
        <v>343338606.66000003</v>
      </c>
      <c r="AD190" s="17">
        <f>_xlfn.XLOOKUP($B190,'[1]Jan-26'!$A:$A,'[1]Jan-26'!$H:$H,0)</f>
        <v>345909006.66000003</v>
      </c>
      <c r="AE190" s="17">
        <f>_xlfn.XLOOKUP($B190,'[1]Feb-26'!$A:$A,'[1]Feb-26'!$H:$H,0)</f>
        <v>350267006.66000003</v>
      </c>
      <c r="AF190" s="17">
        <f>_xlfn.XLOOKUP($B190,'[1]Mar-26'!$A:$A,'[1]Mar-26'!$H:$H,0)</f>
        <v>367417006.66000003</v>
      </c>
      <c r="AG190" s="17">
        <f>_xlfn.XLOOKUP($B190,'[1]Apr-26'!$A:$A,'[1]Apr-26'!$H:$H,0)</f>
        <v>378277006.66000003</v>
      </c>
    </row>
    <row r="191" spans="1:33" x14ac:dyDescent="0.2">
      <c r="A191" s="58">
        <v>15205</v>
      </c>
      <c r="B191" s="56" t="str">
        <f t="shared" si="8"/>
        <v>15205</v>
      </c>
      <c r="C191" s="57" t="s">
        <v>307</v>
      </c>
      <c r="D191" s="57" t="s">
        <v>303</v>
      </c>
      <c r="E191" s="44" t="s">
        <v>417</v>
      </c>
      <c r="F191" s="17">
        <f>_xlfn.XLOOKUP($B191,'[1]Jan-24'!$A:$A,'[1]Jan-24'!$H:$H,0)</f>
        <v>0</v>
      </c>
      <c r="G191" s="17">
        <f>_xlfn.XLOOKUP($B191,'[1]Feb-24'!$A:$A,'[1]Feb-24'!$H:$H,0)</f>
        <v>0</v>
      </c>
      <c r="H191" s="17">
        <f>_xlfn.XLOOKUP($B191,'[1]Mar-24'!$A:$A,'[1]Mar-24'!$H:$H,0)</f>
        <v>0</v>
      </c>
      <c r="I191" s="17">
        <f>_xlfn.XLOOKUP($B191,'[1]Apr-24'!$A:$A,'[1]Apr-24'!$H:$H,0)</f>
        <v>0</v>
      </c>
      <c r="J191" s="17">
        <f>_xlfn.XLOOKUP($B191,'[1]May-24'!$A:$A,'[1]May-24'!$H:$H,0)</f>
        <v>0</v>
      </c>
      <c r="K191" s="17">
        <f>_xlfn.XLOOKUP($B191,'[1]Jun-24'!$A:$A,'[1]Jun-24'!$H:$H,0)</f>
        <v>0</v>
      </c>
      <c r="L191" s="17">
        <f>_xlfn.XLOOKUP($B191,'[1]Jul-24'!$A:$A,'[1]Jul-24'!$H:$H,0)</f>
        <v>0</v>
      </c>
      <c r="M191" s="17">
        <f>_xlfn.XLOOKUP($B191,'[1]Aug-24'!$A:$A,'[1]Aug-24'!$H:$H,0)</f>
        <v>0</v>
      </c>
      <c r="N191" s="17">
        <f>_xlfn.XLOOKUP($B191,'[1]Sep-24'!$A:$A,'[1]Sep-24'!$H:$H,0)</f>
        <v>0</v>
      </c>
      <c r="O191" s="17">
        <f>_xlfn.XLOOKUP($B191,'[1]Oct-24'!$A:$A,'[1]Oct-24'!$H:$H,0)</f>
        <v>0</v>
      </c>
      <c r="P191" s="17">
        <f>_xlfn.XLOOKUP($B191,'[1]Nov-24'!$A:$A,'[1]Nov-24'!$H:$H,0)</f>
        <v>0</v>
      </c>
      <c r="Q191" s="17">
        <f>_xlfn.XLOOKUP($B191,'[1]Dec-24'!$A:$A,'[1]Dec-24'!$H:$H,0)</f>
        <v>0</v>
      </c>
      <c r="R191" s="17">
        <f>_xlfn.XLOOKUP($B191,'[1]Jan-25'!$A:$A,'[1]Jan-25'!$H:$H,0)</f>
        <v>0</v>
      </c>
      <c r="S191" s="17">
        <f>_xlfn.XLOOKUP($B191,'[1]Feb-25'!$A:$A,'[1]Feb-25'!$H:$H,0)</f>
        <v>0</v>
      </c>
      <c r="T191" s="17">
        <f>_xlfn.XLOOKUP($B191,'[1]Mar-25'!$A:$A,'[1]Mar-25'!$H:$H,0)</f>
        <v>0</v>
      </c>
      <c r="U191" s="17">
        <f>_xlfn.XLOOKUP($B191,'[1]Apr-25'!$A:$A,'[1]Apr-25'!$H:$H,0)</f>
        <v>0</v>
      </c>
      <c r="V191" s="17">
        <f>_xlfn.XLOOKUP($B191,'[1]May-25'!$A:$A,'[1]May-25'!$H:$H,0)</f>
        <v>0</v>
      </c>
      <c r="W191" s="17">
        <f>_xlfn.XLOOKUP($B191,'[1]Jun-25'!$A:$A,'[1]Jun-25'!$H:$H,0)</f>
        <v>0</v>
      </c>
      <c r="X191" s="17">
        <f>_xlfn.XLOOKUP($B191,'[1]Jul-25'!$A:$A,'[1]Jul-25'!$H:$H,0)</f>
        <v>0</v>
      </c>
      <c r="Y191" s="17">
        <f>_xlfn.XLOOKUP($B191,'[1]Aug-25'!$A:$A,'[1]Aug-25'!$H:$H,0)</f>
        <v>0</v>
      </c>
      <c r="Z191" s="17">
        <f>_xlfn.XLOOKUP($B191,'[1]Sep-25'!$A:$A,'[1]Sep-25'!$H:$H,0)</f>
        <v>0</v>
      </c>
      <c r="AA191" s="17">
        <f>_xlfn.XLOOKUP($B191,'[1]Oct-25'!$A:$A,'[1]Oct-25'!$H:$H,0)</f>
        <v>0</v>
      </c>
      <c r="AB191" s="17">
        <f>_xlfn.XLOOKUP($B191,'[1]Nov-25'!$A:$A,'[1]Nov-25'!$H:$H,0)</f>
        <v>0</v>
      </c>
      <c r="AC191" s="17">
        <f>_xlfn.XLOOKUP($B191,'[1]Dec-25'!$A:$A,'[1]Dec-25'!$H:$H,0)</f>
        <v>0</v>
      </c>
      <c r="AD191" s="17">
        <f>_xlfn.XLOOKUP($B191,'[1]Jan-26'!$A:$A,'[1]Jan-26'!$H:$H,0)</f>
        <v>0</v>
      </c>
      <c r="AE191" s="17">
        <f>_xlfn.XLOOKUP($B191,'[1]Feb-26'!$A:$A,'[1]Feb-26'!$H:$H,0)</f>
        <v>0</v>
      </c>
      <c r="AF191" s="17">
        <f>_xlfn.XLOOKUP($B191,'[1]Mar-26'!$A:$A,'[1]Mar-26'!$H:$H,0)</f>
        <v>0</v>
      </c>
      <c r="AG191" s="17">
        <f>_xlfn.XLOOKUP($B191,'[1]Apr-26'!$A:$A,'[1]Apr-26'!$H:$H,0)</f>
        <v>0</v>
      </c>
    </row>
    <row r="192" spans="1:33" x14ac:dyDescent="0.2">
      <c r="A192" s="58">
        <v>15300</v>
      </c>
      <c r="B192" s="56" t="str">
        <f t="shared" si="8"/>
        <v>15300</v>
      </c>
      <c r="C192" s="57" t="s">
        <v>416</v>
      </c>
      <c r="D192" s="57" t="s">
        <v>303</v>
      </c>
      <c r="E192" s="44" t="s">
        <v>236</v>
      </c>
      <c r="F192" s="17">
        <f>_xlfn.XLOOKUP($B192,'[1]Jan-24'!$A:$A,'[1]Jan-24'!$H:$H,0)</f>
        <v>16565780</v>
      </c>
      <c r="G192" s="17">
        <f>_xlfn.XLOOKUP($B192,'[1]Feb-24'!$A:$A,'[1]Feb-24'!$H:$H,0)</f>
        <v>16565780</v>
      </c>
      <c r="H192" s="17">
        <f>_xlfn.XLOOKUP($B192,'[1]Mar-24'!$A:$A,'[1]Mar-24'!$H:$H,0)</f>
        <v>16565780</v>
      </c>
      <c r="I192" s="17">
        <f>_xlfn.XLOOKUP($B192,'[1]Apr-24'!$A:$A,'[1]Apr-24'!$H:$H,0)</f>
        <v>16565780</v>
      </c>
      <c r="J192" s="17">
        <f>_xlfn.XLOOKUP($B192,'[1]May-24'!$A:$A,'[1]May-24'!$H:$H,0)</f>
        <v>17087942.25</v>
      </c>
      <c r="K192" s="17">
        <f>_xlfn.XLOOKUP($B192,'[1]Jun-24'!$A:$A,'[1]Jun-24'!$H:$H,0)</f>
        <v>17087942.25</v>
      </c>
      <c r="L192" s="17">
        <f>_xlfn.XLOOKUP($B192,'[1]Jul-24'!$A:$A,'[1]Jul-24'!$H:$H,0)</f>
        <v>17087942.25</v>
      </c>
      <c r="M192" s="17">
        <f>_xlfn.XLOOKUP($B192,'[1]Aug-24'!$A:$A,'[1]Aug-24'!$H:$H,0)</f>
        <v>17087942.25</v>
      </c>
      <c r="N192" s="17">
        <f>_xlfn.XLOOKUP($B192,'[1]Sep-24'!$A:$A,'[1]Sep-24'!$H:$H,0)</f>
        <v>17087942.25</v>
      </c>
      <c r="O192" s="17">
        <f>_xlfn.XLOOKUP($B192,'[1]Oct-24'!$A:$A,'[1]Oct-24'!$H:$H,0)</f>
        <v>17087942.25</v>
      </c>
      <c r="P192" s="17">
        <f>_xlfn.XLOOKUP($B192,'[1]Nov-24'!$A:$A,'[1]Nov-24'!$H:$H,0)</f>
        <v>17087942.25</v>
      </c>
      <c r="Q192" s="17">
        <f>_xlfn.XLOOKUP($B192,'[1]Dec-24'!$A:$A,'[1]Dec-24'!$H:$H,0)</f>
        <v>16565780.25</v>
      </c>
      <c r="R192" s="17">
        <f>_xlfn.XLOOKUP($B192,'[1]Jan-25'!$A:$A,'[1]Jan-25'!$H:$H,0)</f>
        <v>16565780.25</v>
      </c>
      <c r="S192" s="17">
        <f>_xlfn.XLOOKUP($B192,'[1]Feb-25'!$A:$A,'[1]Feb-25'!$H:$H,0)</f>
        <v>16565780.25</v>
      </c>
      <c r="T192" s="17">
        <f>_xlfn.XLOOKUP($B192,'[1]Mar-25'!$A:$A,'[1]Mar-25'!$H:$H,0)</f>
        <v>16565780.25</v>
      </c>
      <c r="U192" s="17">
        <f>_xlfn.XLOOKUP($B192,'[1]Apr-25'!$A:$A,'[1]Apr-25'!$H:$H,0)</f>
        <v>16565780.25</v>
      </c>
      <c r="V192" s="17">
        <f>_xlfn.XLOOKUP($B192,'[1]May-25'!$A:$A,'[1]May-25'!$H:$H,0)</f>
        <v>17185780.25</v>
      </c>
      <c r="W192" s="17">
        <f>_xlfn.XLOOKUP($B192,'[1]Jun-25'!$A:$A,'[1]Jun-25'!$H:$H,0)</f>
        <v>17185780.25</v>
      </c>
      <c r="X192" s="17">
        <f>_xlfn.XLOOKUP($B192,'[1]Jul-25'!$A:$A,'[1]Jul-25'!$H:$H,0)</f>
        <v>25280780.25</v>
      </c>
      <c r="Y192" s="17">
        <f>_xlfn.XLOOKUP($B192,'[1]Aug-25'!$A:$A,'[1]Aug-25'!$H:$H,0)</f>
        <v>25560780.25</v>
      </c>
      <c r="Z192" s="17">
        <f>_xlfn.XLOOKUP($B192,'[1]Sep-25'!$A:$A,'[1]Sep-25'!$H:$H,0)</f>
        <v>25560780.25</v>
      </c>
      <c r="AA192" s="17">
        <f>_xlfn.XLOOKUP($B192,'[1]Oct-25'!$A:$A,'[1]Oct-25'!$H:$H,0)</f>
        <v>25560780.25</v>
      </c>
      <c r="AB192" s="17">
        <f>_xlfn.XLOOKUP($B192,'[1]Nov-25'!$A:$A,'[1]Nov-25'!$H:$H,0)</f>
        <v>25560780.25</v>
      </c>
      <c r="AC192" s="17">
        <f>_xlfn.XLOOKUP($B192,'[1]Dec-25'!$A:$A,'[1]Dec-25'!$H:$H,0)</f>
        <v>25560780.25</v>
      </c>
      <c r="AD192" s="17">
        <f>_xlfn.XLOOKUP($B192,'[1]Jan-26'!$A:$A,'[1]Jan-26'!$H:$H,0)</f>
        <v>25560780.25</v>
      </c>
      <c r="AE192" s="17">
        <f>_xlfn.XLOOKUP($B192,'[1]Feb-26'!$A:$A,'[1]Feb-26'!$H:$H,0)</f>
        <v>26275780.25</v>
      </c>
      <c r="AF192" s="17">
        <f>_xlfn.XLOOKUP($B192,'[1]Mar-26'!$A:$A,'[1]Mar-26'!$H:$H,0)</f>
        <v>26275780.25</v>
      </c>
      <c r="AG192" s="17">
        <f>_xlfn.XLOOKUP($B192,'[1]Apr-26'!$A:$A,'[1]Apr-26'!$H:$H,0)</f>
        <v>28200780.25</v>
      </c>
    </row>
    <row r="193" spans="1:33" x14ac:dyDescent="0.2">
      <c r="A193" s="58">
        <v>15400</v>
      </c>
      <c r="B193" s="56" t="str">
        <f t="shared" si="8"/>
        <v>15400</v>
      </c>
      <c r="C193" s="57" t="s">
        <v>416</v>
      </c>
      <c r="D193" s="57" t="s">
        <v>303</v>
      </c>
      <c r="E193" s="44" t="s">
        <v>237</v>
      </c>
      <c r="F193" s="17">
        <f>_xlfn.XLOOKUP($B193,'[1]Jan-24'!$A:$A,'[1]Jan-24'!$H:$H,0)</f>
        <v>174166123.81</v>
      </c>
      <c r="G193" s="17">
        <f>_xlfn.XLOOKUP($B193,'[1]Feb-24'!$A:$A,'[1]Feb-24'!$H:$H,0)</f>
        <v>174166123.81</v>
      </c>
      <c r="H193" s="17">
        <f>_xlfn.XLOOKUP($B193,'[1]Mar-24'!$A:$A,'[1]Mar-24'!$H:$H,0)</f>
        <v>174166123.81</v>
      </c>
      <c r="I193" s="17">
        <f>_xlfn.XLOOKUP($B193,'[1]Apr-24'!$A:$A,'[1]Apr-24'!$H:$H,0)</f>
        <v>174166123.81</v>
      </c>
      <c r="J193" s="17">
        <f>_xlfn.XLOOKUP($B193,'[1]May-24'!$A:$A,'[1]May-24'!$H:$H,0)</f>
        <v>174166123.81</v>
      </c>
      <c r="K193" s="17">
        <f>_xlfn.XLOOKUP($B193,'[1]Jun-24'!$A:$A,'[1]Jun-24'!$H:$H,0)</f>
        <v>174166123.81</v>
      </c>
      <c r="L193" s="17">
        <f>_xlfn.XLOOKUP($B193,'[1]Jul-24'!$A:$A,'[1]Jul-24'!$H:$H,0)</f>
        <v>174166123.81</v>
      </c>
      <c r="M193" s="17">
        <f>_xlfn.XLOOKUP($B193,'[1]Aug-24'!$A:$A,'[1]Aug-24'!$H:$H,0)</f>
        <v>174166123.81</v>
      </c>
      <c r="N193" s="17">
        <f>_xlfn.XLOOKUP($B193,'[1]Sep-24'!$A:$A,'[1]Sep-24'!$H:$H,0)</f>
        <v>174166123.81</v>
      </c>
      <c r="O193" s="17">
        <f>_xlfn.XLOOKUP($B193,'[1]Oct-24'!$A:$A,'[1]Oct-24'!$H:$H,0)</f>
        <v>174166123.81</v>
      </c>
      <c r="P193" s="17">
        <f>_xlfn.XLOOKUP($B193,'[1]Nov-24'!$A:$A,'[1]Nov-24'!$H:$H,0)</f>
        <v>174166123.81</v>
      </c>
      <c r="Q193" s="17">
        <f>_xlfn.XLOOKUP($B193,'[1]Dec-24'!$A:$A,'[1]Dec-24'!$H:$H,0)</f>
        <v>179350495.81</v>
      </c>
      <c r="R193" s="17">
        <f>_xlfn.XLOOKUP($B193,'[1]Jan-25'!$A:$A,'[1]Jan-25'!$H:$H,0)</f>
        <v>179350495.81</v>
      </c>
      <c r="S193" s="17">
        <f>_xlfn.XLOOKUP($B193,'[1]Feb-25'!$A:$A,'[1]Feb-25'!$H:$H,0)</f>
        <v>179350495.81</v>
      </c>
      <c r="T193" s="17">
        <f>_xlfn.XLOOKUP($B193,'[1]Mar-25'!$A:$A,'[1]Mar-25'!$H:$H,0)</f>
        <v>179350495.81</v>
      </c>
      <c r="U193" s="17">
        <f>_xlfn.XLOOKUP($B193,'[1]Apr-25'!$A:$A,'[1]Apr-25'!$H:$H,0)</f>
        <v>179350495.81</v>
      </c>
      <c r="V193" s="17">
        <f>_xlfn.XLOOKUP($B193,'[1]May-25'!$A:$A,'[1]May-25'!$H:$H,0)</f>
        <v>179350495.81</v>
      </c>
      <c r="W193" s="17">
        <f>_xlfn.XLOOKUP($B193,'[1]Jun-25'!$A:$A,'[1]Jun-25'!$H:$H,0)</f>
        <v>179350495.81</v>
      </c>
      <c r="X193" s="17">
        <f>_xlfn.XLOOKUP($B193,'[1]Jul-25'!$A:$A,'[1]Jul-25'!$H:$H,0)</f>
        <v>179350495.81</v>
      </c>
      <c r="Y193" s="17">
        <f>_xlfn.XLOOKUP($B193,'[1]Aug-25'!$A:$A,'[1]Aug-25'!$H:$H,0)</f>
        <v>179350495.81</v>
      </c>
      <c r="Z193" s="17">
        <f>_xlfn.XLOOKUP($B193,'[1]Sep-25'!$A:$A,'[1]Sep-25'!$H:$H,0)</f>
        <v>179350495.81</v>
      </c>
      <c r="AA193" s="17">
        <f>_xlfn.XLOOKUP($B193,'[1]Oct-25'!$A:$A,'[1]Oct-25'!$H:$H,0)</f>
        <v>179350495.81</v>
      </c>
      <c r="AB193" s="17">
        <f>_xlfn.XLOOKUP($B193,'[1]Nov-25'!$A:$A,'[1]Nov-25'!$H:$H,0)</f>
        <v>179350495.81</v>
      </c>
      <c r="AC193" s="17">
        <f>_xlfn.XLOOKUP($B193,'[1]Dec-25'!$A:$A,'[1]Dec-25'!$H:$H,0)</f>
        <v>179350495.81</v>
      </c>
      <c r="AD193" s="17">
        <f>_xlfn.XLOOKUP($B193,'[1]Jan-26'!$A:$A,'[1]Jan-26'!$H:$H,0)</f>
        <v>186936657.31</v>
      </c>
      <c r="AE193" s="17">
        <f>_xlfn.XLOOKUP($B193,'[1]Feb-26'!$A:$A,'[1]Feb-26'!$H:$H,0)</f>
        <v>186936657.31</v>
      </c>
      <c r="AF193" s="17">
        <f>_xlfn.XLOOKUP($B193,'[1]Mar-26'!$A:$A,'[1]Mar-26'!$H:$H,0)</f>
        <v>186936657.31</v>
      </c>
      <c r="AG193" s="17">
        <f>_xlfn.XLOOKUP($B193,'[1]Apr-26'!$A:$A,'[1]Apr-26'!$H:$H,0)</f>
        <v>188782657.31</v>
      </c>
    </row>
    <row r="194" spans="1:33" x14ac:dyDescent="0.2">
      <c r="A194" s="58">
        <v>15405</v>
      </c>
      <c r="B194" s="56" t="str">
        <f t="shared" si="8"/>
        <v>15405</v>
      </c>
      <c r="C194" s="57" t="s">
        <v>416</v>
      </c>
      <c r="D194" s="57" t="s">
        <v>303</v>
      </c>
      <c r="E194" s="44" t="s">
        <v>238</v>
      </c>
      <c r="F194" s="17">
        <f>_xlfn.XLOOKUP($B194,'[1]Jan-24'!$A:$A,'[1]Jan-24'!$H:$H,0)</f>
        <v>17904365.100000001</v>
      </c>
      <c r="G194" s="17">
        <f>_xlfn.XLOOKUP($B194,'[1]Feb-24'!$A:$A,'[1]Feb-24'!$H:$H,0)</f>
        <v>17904365.100000001</v>
      </c>
      <c r="H194" s="17">
        <f>_xlfn.XLOOKUP($B194,'[1]Mar-24'!$A:$A,'[1]Mar-24'!$H:$H,0)</f>
        <v>17904365.100000001</v>
      </c>
      <c r="I194" s="17">
        <f>_xlfn.XLOOKUP($B194,'[1]Apr-24'!$A:$A,'[1]Apr-24'!$H:$H,0)</f>
        <v>17904365.100000001</v>
      </c>
      <c r="J194" s="17">
        <f>_xlfn.XLOOKUP($B194,'[1]May-24'!$A:$A,'[1]May-24'!$H:$H,0)</f>
        <v>17904365.100000001</v>
      </c>
      <c r="K194" s="17">
        <f>_xlfn.XLOOKUP($B194,'[1]Jun-24'!$A:$A,'[1]Jun-24'!$H:$H,0)</f>
        <v>17904365.100000001</v>
      </c>
      <c r="L194" s="17">
        <f>_xlfn.XLOOKUP($B194,'[1]Jul-24'!$A:$A,'[1]Jul-24'!$H:$H,0)</f>
        <v>17904365.100000001</v>
      </c>
      <c r="M194" s="17">
        <f>_xlfn.XLOOKUP($B194,'[1]Aug-24'!$A:$A,'[1]Aug-24'!$H:$H,0)</f>
        <v>17904365.100000001</v>
      </c>
      <c r="N194" s="17">
        <f>_xlfn.XLOOKUP($B194,'[1]Sep-24'!$A:$A,'[1]Sep-24'!$H:$H,0)</f>
        <v>17904365.100000001</v>
      </c>
      <c r="O194" s="17">
        <f>_xlfn.XLOOKUP($B194,'[1]Oct-24'!$A:$A,'[1]Oct-24'!$H:$H,0)</f>
        <v>17904365.100000001</v>
      </c>
      <c r="P194" s="17">
        <f>_xlfn.XLOOKUP($B194,'[1]Nov-24'!$A:$A,'[1]Nov-24'!$H:$H,0)</f>
        <v>17904365.100000001</v>
      </c>
      <c r="Q194" s="17">
        <f>_xlfn.XLOOKUP($B194,'[1]Dec-24'!$A:$A,'[1]Dec-24'!$H:$H,0)</f>
        <v>17904365.100000001</v>
      </c>
      <c r="R194" s="17">
        <f>_xlfn.XLOOKUP($B194,'[1]Jan-25'!$A:$A,'[1]Jan-25'!$H:$H,0)</f>
        <v>17904365.100000001</v>
      </c>
      <c r="S194" s="17">
        <f>_xlfn.XLOOKUP($B194,'[1]Feb-25'!$A:$A,'[1]Feb-25'!$H:$H,0)</f>
        <v>17904365.100000001</v>
      </c>
      <c r="T194" s="17">
        <f>_xlfn.XLOOKUP($B194,'[1]Mar-25'!$A:$A,'[1]Mar-25'!$H:$H,0)</f>
        <v>17904365.100000001</v>
      </c>
      <c r="U194" s="17">
        <f>_xlfn.XLOOKUP($B194,'[1]Apr-25'!$A:$A,'[1]Apr-25'!$H:$H,0)</f>
        <v>17904365.100000001</v>
      </c>
      <c r="V194" s="17">
        <f>_xlfn.XLOOKUP($B194,'[1]May-25'!$A:$A,'[1]May-25'!$H:$H,0)</f>
        <v>17904365.100000001</v>
      </c>
      <c r="W194" s="17">
        <f>_xlfn.XLOOKUP($B194,'[1]Jun-25'!$A:$A,'[1]Jun-25'!$H:$H,0)</f>
        <v>17904365.100000001</v>
      </c>
      <c r="X194" s="17">
        <f>_xlfn.XLOOKUP($B194,'[1]Jul-25'!$A:$A,'[1]Jul-25'!$H:$H,0)</f>
        <v>17904365.100000001</v>
      </c>
      <c r="Y194" s="17">
        <f>_xlfn.XLOOKUP($B194,'[1]Aug-25'!$A:$A,'[1]Aug-25'!$H:$H,0)</f>
        <v>17904365.100000001</v>
      </c>
      <c r="Z194" s="17">
        <f>_xlfn.XLOOKUP($B194,'[1]Sep-25'!$A:$A,'[1]Sep-25'!$H:$H,0)</f>
        <v>17904365.100000001</v>
      </c>
      <c r="AA194" s="17">
        <f>_xlfn.XLOOKUP($B194,'[1]Oct-25'!$A:$A,'[1]Oct-25'!$H:$H,0)</f>
        <v>17904365.100000001</v>
      </c>
      <c r="AB194" s="17">
        <f>_xlfn.XLOOKUP($B194,'[1]Nov-25'!$A:$A,'[1]Nov-25'!$H:$H,0)</f>
        <v>17904365.100000001</v>
      </c>
      <c r="AC194" s="17">
        <f>_xlfn.XLOOKUP($B194,'[1]Dec-25'!$A:$A,'[1]Dec-25'!$H:$H,0)</f>
        <v>17904365.100000001</v>
      </c>
      <c r="AD194" s="17">
        <f>_xlfn.XLOOKUP($B194,'[1]Jan-26'!$A:$A,'[1]Jan-26'!$H:$H,0)</f>
        <v>0</v>
      </c>
      <c r="AE194" s="17">
        <f>_xlfn.XLOOKUP($B194,'[1]Feb-26'!$A:$A,'[1]Feb-26'!$H:$H,0)</f>
        <v>0</v>
      </c>
      <c r="AF194" s="17">
        <f>_xlfn.XLOOKUP($B194,'[1]Mar-26'!$A:$A,'[1]Mar-26'!$H:$H,0)</f>
        <v>0</v>
      </c>
      <c r="AG194" s="17">
        <f>_xlfn.XLOOKUP($B194,'[1]Apr-26'!$A:$A,'[1]Apr-26'!$H:$H,0)</f>
        <v>0</v>
      </c>
    </row>
    <row r="195" spans="1:33" x14ac:dyDescent="0.2">
      <c r="A195" s="58">
        <v>15410</v>
      </c>
      <c r="B195" s="56" t="str">
        <f t="shared" si="8"/>
        <v>15410</v>
      </c>
      <c r="C195" s="57" t="s">
        <v>416</v>
      </c>
      <c r="D195" s="57" t="s">
        <v>303</v>
      </c>
      <c r="E195" s="44" t="s">
        <v>239</v>
      </c>
      <c r="F195" s="17">
        <f>_xlfn.XLOOKUP($B195,'[1]Jan-24'!$A:$A,'[1]Jan-24'!$H:$H,0)</f>
        <v>2410161.5</v>
      </c>
      <c r="G195" s="17">
        <f>_xlfn.XLOOKUP($B195,'[1]Feb-24'!$A:$A,'[1]Feb-24'!$H:$H,0)</f>
        <v>2410161.5</v>
      </c>
      <c r="H195" s="17">
        <f>_xlfn.XLOOKUP($B195,'[1]Mar-24'!$A:$A,'[1]Mar-24'!$H:$H,0)</f>
        <v>2410161.5</v>
      </c>
      <c r="I195" s="17">
        <f>_xlfn.XLOOKUP($B195,'[1]Apr-24'!$A:$A,'[1]Apr-24'!$H:$H,0)</f>
        <v>2410161.5</v>
      </c>
      <c r="J195" s="17">
        <f>_xlfn.XLOOKUP($B195,'[1]May-24'!$A:$A,'[1]May-24'!$H:$H,0)</f>
        <v>2410161.5</v>
      </c>
      <c r="K195" s="17">
        <f>_xlfn.XLOOKUP($B195,'[1]Jun-24'!$A:$A,'[1]Jun-24'!$H:$H,0)</f>
        <v>2410161.5</v>
      </c>
      <c r="L195" s="17">
        <f>_xlfn.XLOOKUP($B195,'[1]Jul-24'!$A:$A,'[1]Jul-24'!$H:$H,0)</f>
        <v>2410161.5</v>
      </c>
      <c r="M195" s="17">
        <f>_xlfn.XLOOKUP($B195,'[1]Aug-24'!$A:$A,'[1]Aug-24'!$H:$H,0)</f>
        <v>2410161.5</v>
      </c>
      <c r="N195" s="17">
        <f>_xlfn.XLOOKUP($B195,'[1]Sep-24'!$A:$A,'[1]Sep-24'!$H:$H,0)</f>
        <v>2410161.5</v>
      </c>
      <c r="O195" s="17">
        <f>_xlfn.XLOOKUP($B195,'[1]Oct-24'!$A:$A,'[1]Oct-24'!$H:$H,0)</f>
        <v>2410161.5</v>
      </c>
      <c r="P195" s="17">
        <f>_xlfn.XLOOKUP($B195,'[1]Nov-24'!$A:$A,'[1]Nov-24'!$H:$H,0)</f>
        <v>2410161.5</v>
      </c>
      <c r="Q195" s="17">
        <f>_xlfn.XLOOKUP($B195,'[1]Dec-24'!$A:$A,'[1]Dec-24'!$H:$H,0)</f>
        <v>2410161.5</v>
      </c>
      <c r="R195" s="17">
        <f>_xlfn.XLOOKUP($B195,'[1]Jan-25'!$A:$A,'[1]Jan-25'!$H:$H,0)</f>
        <v>2410161.5</v>
      </c>
      <c r="S195" s="17">
        <f>_xlfn.XLOOKUP($B195,'[1]Feb-25'!$A:$A,'[1]Feb-25'!$H:$H,0)</f>
        <v>2410161.5</v>
      </c>
      <c r="T195" s="17">
        <f>_xlfn.XLOOKUP($B195,'[1]Mar-25'!$A:$A,'[1]Mar-25'!$H:$H,0)</f>
        <v>2410161.5</v>
      </c>
      <c r="U195" s="17">
        <f>_xlfn.XLOOKUP($B195,'[1]Apr-25'!$A:$A,'[1]Apr-25'!$H:$H,0)</f>
        <v>2410161.5</v>
      </c>
      <c r="V195" s="17">
        <f>_xlfn.XLOOKUP($B195,'[1]May-25'!$A:$A,'[1]May-25'!$H:$H,0)</f>
        <v>2410161.5</v>
      </c>
      <c r="W195" s="17">
        <f>_xlfn.XLOOKUP($B195,'[1]Jun-25'!$A:$A,'[1]Jun-25'!$H:$H,0)</f>
        <v>2410161.5</v>
      </c>
      <c r="X195" s="17">
        <f>_xlfn.XLOOKUP($B195,'[1]Jul-25'!$A:$A,'[1]Jul-25'!$H:$H,0)</f>
        <v>2410161.5</v>
      </c>
      <c r="Y195" s="17">
        <f>_xlfn.XLOOKUP($B195,'[1]Aug-25'!$A:$A,'[1]Aug-25'!$H:$H,0)</f>
        <v>4414161.5</v>
      </c>
      <c r="Z195" s="17">
        <f>_xlfn.XLOOKUP($B195,'[1]Sep-25'!$A:$A,'[1]Sep-25'!$H:$H,0)</f>
        <v>4514161.5</v>
      </c>
      <c r="AA195" s="17">
        <f>_xlfn.XLOOKUP($B195,'[1]Oct-25'!$A:$A,'[1]Oct-25'!$H:$H,0)</f>
        <v>4514161.5</v>
      </c>
      <c r="AB195" s="17">
        <f>_xlfn.XLOOKUP($B195,'[1]Nov-25'!$A:$A,'[1]Nov-25'!$H:$H,0)</f>
        <v>4514161.5</v>
      </c>
      <c r="AC195" s="17">
        <f>_xlfn.XLOOKUP($B195,'[1]Dec-25'!$A:$A,'[1]Dec-25'!$H:$H,0)</f>
        <v>4514161.5</v>
      </c>
      <c r="AD195" s="17">
        <f>_xlfn.XLOOKUP($B195,'[1]Jan-26'!$A:$A,'[1]Jan-26'!$H:$H,0)</f>
        <v>0</v>
      </c>
      <c r="AE195" s="17">
        <f>_xlfn.XLOOKUP($B195,'[1]Feb-26'!$A:$A,'[1]Feb-26'!$H:$H,0)</f>
        <v>0</v>
      </c>
      <c r="AF195" s="17">
        <f>_xlfn.XLOOKUP($B195,'[1]Mar-26'!$A:$A,'[1]Mar-26'!$H:$H,0)</f>
        <v>0</v>
      </c>
      <c r="AG195" s="17">
        <f>_xlfn.XLOOKUP($B195,'[1]Apr-26'!$A:$A,'[1]Apr-26'!$H:$H,0)</f>
        <v>0</v>
      </c>
    </row>
    <row r="196" spans="1:33" x14ac:dyDescent="0.2">
      <c r="A196" s="58">
        <v>15500</v>
      </c>
      <c r="B196" s="56" t="str">
        <f t="shared" si="8"/>
        <v>15500</v>
      </c>
      <c r="C196" s="57" t="s">
        <v>377</v>
      </c>
      <c r="D196" s="57" t="s">
        <v>303</v>
      </c>
      <c r="E196" s="44" t="s">
        <v>249</v>
      </c>
      <c r="F196" s="17">
        <f>_xlfn.XLOOKUP($B196,'[1]Jan-24'!$A:$A,'[1]Jan-24'!$H:$H,0)</f>
        <v>18388298.050000001</v>
      </c>
      <c r="G196" s="17">
        <f>_xlfn.XLOOKUP($B196,'[1]Feb-24'!$A:$A,'[1]Feb-24'!$H:$H,0)</f>
        <v>18388298.050000001</v>
      </c>
      <c r="H196" s="17">
        <f>_xlfn.XLOOKUP($B196,'[1]Mar-24'!$A:$A,'[1]Mar-24'!$H:$H,0)</f>
        <v>18388298.050000001</v>
      </c>
      <c r="I196" s="17">
        <f>_xlfn.XLOOKUP($B196,'[1]Apr-24'!$A:$A,'[1]Apr-24'!$H:$H,0)</f>
        <v>18388298.050000001</v>
      </c>
      <c r="J196" s="17">
        <f>_xlfn.XLOOKUP($B196,'[1]May-24'!$A:$A,'[1]May-24'!$H:$H,0)</f>
        <v>18388298.050000001</v>
      </c>
      <c r="K196" s="17">
        <f>_xlfn.XLOOKUP($B196,'[1]Jun-24'!$A:$A,'[1]Jun-24'!$H:$H,0)</f>
        <v>53411028.170000002</v>
      </c>
      <c r="L196" s="17">
        <f>_xlfn.XLOOKUP($B196,'[1]Jul-24'!$A:$A,'[1]Jul-24'!$H:$H,0)</f>
        <v>53411028.170000002</v>
      </c>
      <c r="M196" s="17">
        <f>_xlfn.XLOOKUP($B196,'[1]Aug-24'!$A:$A,'[1]Aug-24'!$H:$H,0)</f>
        <v>61627057.890000001</v>
      </c>
      <c r="N196" s="17">
        <f>_xlfn.XLOOKUP($B196,'[1]Sep-24'!$A:$A,'[1]Sep-24'!$H:$H,0)</f>
        <v>61627057.890000001</v>
      </c>
      <c r="O196" s="17">
        <f>_xlfn.XLOOKUP($B196,'[1]Oct-24'!$A:$A,'[1]Oct-24'!$H:$H,0)</f>
        <v>61627057.890000001</v>
      </c>
      <c r="P196" s="17">
        <f>_xlfn.XLOOKUP($B196,'[1]Nov-24'!$A:$A,'[1]Nov-24'!$H:$H,0)</f>
        <v>61627057.890000001</v>
      </c>
      <c r="Q196" s="17">
        <f>_xlfn.XLOOKUP($B196,'[1]Dec-24'!$A:$A,'[1]Dec-24'!$H:$H,0)</f>
        <v>61627057.890000001</v>
      </c>
      <c r="R196" s="17">
        <f>_xlfn.XLOOKUP($B196,'[1]Jan-25'!$A:$A,'[1]Jan-25'!$H:$H,0)</f>
        <v>61627057.890000001</v>
      </c>
      <c r="S196" s="17">
        <f>_xlfn.XLOOKUP($B196,'[1]Feb-25'!$A:$A,'[1]Feb-25'!$H:$H,0)</f>
        <v>61627057.890000001</v>
      </c>
      <c r="T196" s="17">
        <f>_xlfn.XLOOKUP($B196,'[1]Mar-25'!$A:$A,'[1]Mar-25'!$H:$H,0)</f>
        <v>61627057.890000001</v>
      </c>
      <c r="U196" s="17">
        <f>_xlfn.XLOOKUP($B196,'[1]Apr-25'!$A:$A,'[1]Apr-25'!$H:$H,0)</f>
        <v>61627057.890000001</v>
      </c>
      <c r="V196" s="17">
        <f>_xlfn.XLOOKUP($B196,'[1]May-25'!$A:$A,'[1]May-25'!$H:$H,0)</f>
        <v>61627057.890000001</v>
      </c>
      <c r="W196" s="17">
        <f>_xlfn.XLOOKUP($B196,'[1]Jun-25'!$A:$A,'[1]Jun-25'!$H:$H,0)</f>
        <v>61627057.890000001</v>
      </c>
      <c r="X196" s="17">
        <f>_xlfn.XLOOKUP($B196,'[1]Jul-25'!$A:$A,'[1]Jul-25'!$H:$H,0)</f>
        <v>61627057.890000001</v>
      </c>
      <c r="Y196" s="17">
        <f>_xlfn.XLOOKUP($B196,'[1]Aug-25'!$A:$A,'[1]Aug-25'!$H:$H,0)</f>
        <v>61627057.890000001</v>
      </c>
      <c r="Z196" s="17">
        <f>_xlfn.XLOOKUP($B196,'[1]Sep-25'!$A:$A,'[1]Sep-25'!$H:$H,0)</f>
        <v>61627057.890000001</v>
      </c>
      <c r="AA196" s="17">
        <f>_xlfn.XLOOKUP($B196,'[1]Oct-25'!$A:$A,'[1]Oct-25'!$H:$H,0)</f>
        <v>61627057.890000001</v>
      </c>
      <c r="AB196" s="17">
        <f>_xlfn.XLOOKUP($B196,'[1]Nov-25'!$A:$A,'[1]Nov-25'!$H:$H,0)</f>
        <v>61627057.890000001</v>
      </c>
      <c r="AC196" s="17">
        <f>_xlfn.XLOOKUP($B196,'[1]Dec-25'!$A:$A,'[1]Dec-25'!$H:$H,0)</f>
        <v>61627057.890000001</v>
      </c>
      <c r="AD196" s="17">
        <f>_xlfn.XLOOKUP($B196,'[1]Jan-26'!$A:$A,'[1]Jan-26'!$H:$H,0)</f>
        <v>61627057.890000001</v>
      </c>
      <c r="AE196" s="17">
        <f>_xlfn.XLOOKUP($B196,'[1]Feb-26'!$A:$A,'[1]Feb-26'!$H:$H,0)</f>
        <v>61627057.890000001</v>
      </c>
      <c r="AF196" s="17">
        <f>_xlfn.XLOOKUP($B196,'[1]Mar-26'!$A:$A,'[1]Mar-26'!$H:$H,0)</f>
        <v>61627057.890000001</v>
      </c>
      <c r="AG196" s="17">
        <f>_xlfn.XLOOKUP($B196,'[1]Apr-26'!$A:$A,'[1]Apr-26'!$H:$H,0)</f>
        <v>61627057.890000001</v>
      </c>
    </row>
    <row r="197" spans="1:33" x14ac:dyDescent="0.2">
      <c r="A197" s="58">
        <v>15501</v>
      </c>
      <c r="B197" s="56" t="str">
        <f t="shared" si="8"/>
        <v>15501</v>
      </c>
      <c r="C197" s="57" t="s">
        <v>377</v>
      </c>
      <c r="D197" s="57" t="s">
        <v>303</v>
      </c>
      <c r="E197" s="44" t="s">
        <v>250</v>
      </c>
      <c r="F197" s="17">
        <f>_xlfn.XLOOKUP($B197,'[1]Jan-24'!$A:$A,'[1]Jan-24'!$H:$H,0)</f>
        <v>363793880.81999999</v>
      </c>
      <c r="G197" s="17">
        <f>_xlfn.XLOOKUP($B197,'[1]Feb-24'!$A:$A,'[1]Feb-24'!$H:$H,0)</f>
        <v>383107008.41000003</v>
      </c>
      <c r="H197" s="17">
        <f>_xlfn.XLOOKUP($B197,'[1]Mar-24'!$A:$A,'[1]Mar-24'!$H:$H,0)</f>
        <v>408381553.41000003</v>
      </c>
      <c r="I197" s="17">
        <f>_xlfn.XLOOKUP($B197,'[1]Apr-24'!$A:$A,'[1]Apr-24'!$H:$H,0)</f>
        <v>429326894.85000002</v>
      </c>
      <c r="J197" s="17">
        <f>_xlfn.XLOOKUP($B197,'[1]May-24'!$A:$A,'[1]May-24'!$H:$H,0)</f>
        <v>451571950.82999998</v>
      </c>
      <c r="K197" s="17">
        <f>_xlfn.XLOOKUP($B197,'[1]Jun-24'!$A:$A,'[1]Jun-24'!$H:$H,0)</f>
        <v>474971974.51999998</v>
      </c>
      <c r="L197" s="17">
        <f>_xlfn.XLOOKUP($B197,'[1]Jul-24'!$A:$A,'[1]Jul-24'!$H:$H,0)</f>
        <v>497179611.41000003</v>
      </c>
      <c r="M197" s="17">
        <f>_xlfn.XLOOKUP($B197,'[1]Aug-24'!$A:$A,'[1]Aug-24'!$H:$H,0)</f>
        <v>519321513.86000001</v>
      </c>
      <c r="N197" s="17">
        <f>_xlfn.XLOOKUP($B197,'[1]Sep-24'!$A:$A,'[1]Sep-24'!$H:$H,0)</f>
        <v>544266299.65999997</v>
      </c>
      <c r="O197" s="17">
        <f>_xlfn.XLOOKUP($B197,'[1]Oct-24'!$A:$A,'[1]Oct-24'!$H:$H,0)</f>
        <v>546358998.30999994</v>
      </c>
      <c r="P197" s="17">
        <f>_xlfn.XLOOKUP($B197,'[1]Nov-24'!$A:$A,'[1]Nov-24'!$H:$H,0)</f>
        <v>576262713.03999996</v>
      </c>
      <c r="Q197" s="17">
        <f>_xlfn.XLOOKUP($B197,'[1]Dec-24'!$A:$A,'[1]Dec-24'!$H:$H,0)</f>
        <v>608045544.54999995</v>
      </c>
      <c r="R197" s="17">
        <f>_xlfn.XLOOKUP($B197,'[1]Jan-25'!$A:$A,'[1]Jan-25'!$H:$H,0)</f>
        <v>621367684.12</v>
      </c>
      <c r="S197" s="17">
        <f>_xlfn.XLOOKUP($B197,'[1]Feb-25'!$A:$A,'[1]Feb-25'!$H:$H,0)</f>
        <v>629243877.60000002</v>
      </c>
      <c r="T197" s="17">
        <f>_xlfn.XLOOKUP($B197,'[1]Mar-25'!$A:$A,'[1]Mar-25'!$H:$H,0)</f>
        <v>638405483.95000005</v>
      </c>
      <c r="U197" s="17">
        <f>_xlfn.XLOOKUP($B197,'[1]Apr-25'!$A:$A,'[1]Apr-25'!$H:$H,0)</f>
        <v>643385951.24000001</v>
      </c>
      <c r="V197" s="17">
        <f>_xlfn.XLOOKUP($B197,'[1]May-25'!$A:$A,'[1]May-25'!$H:$H,0)</f>
        <v>643949346.76999998</v>
      </c>
      <c r="W197" s="17">
        <f>_xlfn.XLOOKUP($B197,'[1]Jun-25'!$A:$A,'[1]Jun-25'!$H:$H,0)</f>
        <v>644391600.25</v>
      </c>
      <c r="X197" s="17">
        <f>_xlfn.XLOOKUP($B197,'[1]Jul-25'!$A:$A,'[1]Jul-25'!$H:$H,0)</f>
        <v>644834851.25</v>
      </c>
      <c r="Y197" s="17">
        <f>_xlfn.XLOOKUP($B197,'[1]Aug-25'!$A:$A,'[1]Aug-25'!$H:$H,0)</f>
        <v>645172846.52999997</v>
      </c>
      <c r="Z197" s="17">
        <f>_xlfn.XLOOKUP($B197,'[1]Sep-25'!$A:$A,'[1]Sep-25'!$H:$H,0)</f>
        <v>643385951.24000001</v>
      </c>
      <c r="AA197" s="17">
        <f>_xlfn.XLOOKUP($B197,'[1]Oct-25'!$A:$A,'[1]Oct-25'!$H:$H,0)</f>
        <v>643385951.24000001</v>
      </c>
      <c r="AB197" s="17">
        <f>_xlfn.XLOOKUP($B197,'[1]Nov-25'!$A:$A,'[1]Nov-25'!$H:$H,0)</f>
        <v>643385951.24000001</v>
      </c>
      <c r="AC197" s="17">
        <f>_xlfn.XLOOKUP($B197,'[1]Dec-25'!$A:$A,'[1]Dec-25'!$H:$H,0)</f>
        <v>643385951.24000001</v>
      </c>
      <c r="AD197" s="17">
        <f>_xlfn.XLOOKUP($B197,'[1]Jan-26'!$A:$A,'[1]Jan-26'!$H:$H,0)</f>
        <v>643385951.24000001</v>
      </c>
      <c r="AE197" s="17">
        <f>_xlfn.XLOOKUP($B197,'[1]Feb-26'!$A:$A,'[1]Feb-26'!$H:$H,0)</f>
        <v>643385951.24000001</v>
      </c>
      <c r="AF197" s="17">
        <f>_xlfn.XLOOKUP($B197,'[1]Mar-26'!$A:$A,'[1]Mar-26'!$H:$H,0)</f>
        <v>643385951.24000001</v>
      </c>
      <c r="AG197" s="17">
        <f>_xlfn.XLOOKUP($B197,'[1]Apr-26'!$A:$A,'[1]Apr-26'!$H:$H,0)</f>
        <v>643385951.24000001</v>
      </c>
    </row>
    <row r="198" spans="1:33" x14ac:dyDescent="0.2">
      <c r="A198" s="58">
        <v>15505</v>
      </c>
      <c r="B198" s="56" t="str">
        <f t="shared" si="8"/>
        <v>15505</v>
      </c>
      <c r="C198" s="57" t="s">
        <v>377</v>
      </c>
      <c r="D198" s="57" t="s">
        <v>303</v>
      </c>
      <c r="E198" s="44" t="s">
        <v>251</v>
      </c>
      <c r="F198" s="17">
        <f>_xlfn.XLOOKUP($B198,'[1]Jan-24'!$A:$A,'[1]Jan-24'!$H:$H,0)</f>
        <v>8503671.5099999998</v>
      </c>
      <c r="G198" s="17">
        <f>_xlfn.XLOOKUP($B198,'[1]Feb-24'!$A:$A,'[1]Feb-24'!$H:$H,0)</f>
        <v>8503671.5099999998</v>
      </c>
      <c r="H198" s="17">
        <f>_xlfn.XLOOKUP($B198,'[1]Mar-24'!$A:$A,'[1]Mar-24'!$H:$H,0)</f>
        <v>8503671.5099999998</v>
      </c>
      <c r="I198" s="17">
        <f>_xlfn.XLOOKUP($B198,'[1]Apr-24'!$A:$A,'[1]Apr-24'!$H:$H,0)</f>
        <v>8503671.5099999998</v>
      </c>
      <c r="J198" s="17">
        <f>_xlfn.XLOOKUP($B198,'[1]May-24'!$A:$A,'[1]May-24'!$H:$H,0)</f>
        <v>8503671.5099999998</v>
      </c>
      <c r="K198" s="17">
        <f>_xlfn.XLOOKUP($B198,'[1]Jun-24'!$A:$A,'[1]Jun-24'!$H:$H,0)</f>
        <v>8503671.5099999998</v>
      </c>
      <c r="L198" s="17">
        <f>_xlfn.XLOOKUP($B198,'[1]Jul-24'!$A:$A,'[1]Jul-24'!$H:$H,0)</f>
        <v>8503671.5099999998</v>
      </c>
      <c r="M198" s="17">
        <f>_xlfn.XLOOKUP($B198,'[1]Aug-24'!$A:$A,'[1]Aug-24'!$H:$H,0)</f>
        <v>8503671.5099999998</v>
      </c>
      <c r="N198" s="17">
        <f>_xlfn.XLOOKUP($B198,'[1]Sep-24'!$A:$A,'[1]Sep-24'!$H:$H,0)</f>
        <v>8503671.5099999998</v>
      </c>
      <c r="O198" s="17">
        <f>_xlfn.XLOOKUP($B198,'[1]Oct-24'!$A:$A,'[1]Oct-24'!$H:$H,0)</f>
        <v>8503671.5099999998</v>
      </c>
      <c r="P198" s="17">
        <f>_xlfn.XLOOKUP($B198,'[1]Nov-24'!$A:$A,'[1]Nov-24'!$H:$H,0)</f>
        <v>8503671.5099999998</v>
      </c>
      <c r="Q198" s="17">
        <f>_xlfn.XLOOKUP($B198,'[1]Dec-24'!$A:$A,'[1]Dec-24'!$H:$H,0)</f>
        <v>8503671.5099999998</v>
      </c>
      <c r="R198" s="17">
        <f>_xlfn.XLOOKUP($B198,'[1]Jan-25'!$A:$A,'[1]Jan-25'!$H:$H,0)</f>
        <v>8503671.5099999998</v>
      </c>
      <c r="S198" s="17">
        <f>_xlfn.XLOOKUP($B198,'[1]Feb-25'!$A:$A,'[1]Feb-25'!$H:$H,0)</f>
        <v>8503671.5099999998</v>
      </c>
      <c r="T198" s="17">
        <f>_xlfn.XLOOKUP($B198,'[1]Mar-25'!$A:$A,'[1]Mar-25'!$H:$H,0)</f>
        <v>8503671.5099999998</v>
      </c>
      <c r="U198" s="17">
        <f>_xlfn.XLOOKUP($B198,'[1]Apr-25'!$A:$A,'[1]Apr-25'!$H:$H,0)</f>
        <v>8503671.5099999998</v>
      </c>
      <c r="V198" s="17">
        <f>_xlfn.XLOOKUP($B198,'[1]May-25'!$A:$A,'[1]May-25'!$H:$H,0)</f>
        <v>8503671.5099999998</v>
      </c>
      <c r="W198" s="17">
        <f>_xlfn.XLOOKUP($B198,'[1]Jun-25'!$A:$A,'[1]Jun-25'!$H:$H,0)</f>
        <v>7288861.2699999996</v>
      </c>
      <c r="X198" s="17">
        <f>_xlfn.XLOOKUP($B198,'[1]Jul-25'!$A:$A,'[1]Jul-25'!$H:$H,0)</f>
        <v>8503671.5099999998</v>
      </c>
      <c r="Y198" s="17">
        <f>_xlfn.XLOOKUP($B198,'[1]Aug-25'!$A:$A,'[1]Aug-25'!$H:$H,0)</f>
        <v>8503671.5099999998</v>
      </c>
      <c r="Z198" s="17">
        <f>_xlfn.XLOOKUP($B198,'[1]Sep-25'!$A:$A,'[1]Sep-25'!$H:$H,0)</f>
        <v>8503671.5099999998</v>
      </c>
      <c r="AA198" s="17">
        <f>_xlfn.XLOOKUP($B198,'[1]Oct-25'!$A:$A,'[1]Oct-25'!$H:$H,0)</f>
        <v>8503671.5099999998</v>
      </c>
      <c r="AB198" s="17">
        <f>_xlfn.XLOOKUP($B198,'[1]Nov-25'!$A:$A,'[1]Nov-25'!$H:$H,0)</f>
        <v>8503671.5099999998</v>
      </c>
      <c r="AC198" s="17">
        <f>_xlfn.XLOOKUP($B198,'[1]Dec-25'!$A:$A,'[1]Dec-25'!$H:$H,0)</f>
        <v>0</v>
      </c>
      <c r="AD198" s="17">
        <f>_xlfn.XLOOKUP($B198,'[1]Jan-26'!$A:$A,'[1]Jan-26'!$H:$H,0)</f>
        <v>0</v>
      </c>
      <c r="AE198" s="17">
        <f>_xlfn.XLOOKUP($B198,'[1]Feb-26'!$A:$A,'[1]Feb-26'!$H:$H,0)</f>
        <v>0</v>
      </c>
      <c r="AF198" s="17">
        <f>_xlfn.XLOOKUP($B198,'[1]Mar-26'!$A:$A,'[1]Mar-26'!$H:$H,0)</f>
        <v>0</v>
      </c>
      <c r="AG198" s="17">
        <f>_xlfn.XLOOKUP($B198,'[1]Apr-26'!$A:$A,'[1]Apr-26'!$H:$H,0)</f>
        <v>0</v>
      </c>
    </row>
    <row r="199" spans="1:33" x14ac:dyDescent="0.2">
      <c r="A199" s="58">
        <v>15509</v>
      </c>
      <c r="B199" s="56" t="str">
        <f t="shared" si="8"/>
        <v>15509</v>
      </c>
      <c r="C199" s="57" t="s">
        <v>377</v>
      </c>
      <c r="D199" s="57" t="s">
        <v>303</v>
      </c>
      <c r="E199" s="44" t="s">
        <v>252</v>
      </c>
      <c r="F199" s="17">
        <f>_xlfn.XLOOKUP($B199,'[1]Jan-24'!$A:$A,'[1]Jan-24'!$H:$H,0)</f>
        <v>0</v>
      </c>
      <c r="G199" s="17">
        <f>_xlfn.XLOOKUP($B199,'[1]Feb-24'!$A:$A,'[1]Feb-24'!$H:$H,0)</f>
        <v>0</v>
      </c>
      <c r="H199" s="17">
        <f>_xlfn.XLOOKUP($B199,'[1]Mar-24'!$A:$A,'[1]Mar-24'!$H:$H,0)</f>
        <v>0</v>
      </c>
      <c r="I199" s="17">
        <f>_xlfn.XLOOKUP($B199,'[1]Apr-24'!$A:$A,'[1]Apr-24'!$H:$H,0)</f>
        <v>0</v>
      </c>
      <c r="J199" s="17">
        <f>_xlfn.XLOOKUP($B199,'[1]May-24'!$A:$A,'[1]May-24'!$H:$H,0)</f>
        <v>0</v>
      </c>
      <c r="K199" s="17">
        <f>_xlfn.XLOOKUP($B199,'[1]Jun-24'!$A:$A,'[1]Jun-24'!$H:$H,0)</f>
        <v>2400000</v>
      </c>
      <c r="L199" s="17">
        <f>_xlfn.XLOOKUP($B199,'[1]Jul-24'!$A:$A,'[1]Jul-24'!$H:$H,0)</f>
        <v>2400000</v>
      </c>
      <c r="M199" s="17">
        <f>_xlfn.XLOOKUP($B199,'[1]Aug-24'!$A:$A,'[1]Aug-24'!$H:$H,0)</f>
        <v>2400000</v>
      </c>
      <c r="N199" s="17">
        <f>_xlfn.XLOOKUP($B199,'[1]Sep-24'!$A:$A,'[1]Sep-24'!$H:$H,0)</f>
        <v>2400000</v>
      </c>
      <c r="O199" s="17">
        <f>_xlfn.XLOOKUP($B199,'[1]Oct-24'!$A:$A,'[1]Oct-24'!$H:$H,0)</f>
        <v>4400000</v>
      </c>
      <c r="P199" s="17">
        <f>_xlfn.XLOOKUP($B199,'[1]Nov-24'!$A:$A,'[1]Nov-24'!$H:$H,0)</f>
        <v>4400000</v>
      </c>
      <c r="Q199" s="17">
        <f>_xlfn.XLOOKUP($B199,'[1]Dec-24'!$A:$A,'[1]Dec-24'!$H:$H,0)</f>
        <v>4400000</v>
      </c>
      <c r="R199" s="17">
        <f>_xlfn.XLOOKUP($B199,'[1]Jan-25'!$A:$A,'[1]Jan-25'!$H:$H,0)</f>
        <v>4400000</v>
      </c>
      <c r="S199" s="17">
        <f>_xlfn.XLOOKUP($B199,'[1]Feb-25'!$A:$A,'[1]Feb-25'!$H:$H,0)</f>
        <v>4400000</v>
      </c>
      <c r="T199" s="17">
        <f>_xlfn.XLOOKUP($B199,'[1]Mar-25'!$A:$A,'[1]Mar-25'!$H:$H,0)</f>
        <v>4400000</v>
      </c>
      <c r="U199" s="17">
        <f>_xlfn.XLOOKUP($B199,'[1]Apr-25'!$A:$A,'[1]Apr-25'!$H:$H,0)</f>
        <v>5400000</v>
      </c>
      <c r="V199" s="17">
        <f>_xlfn.XLOOKUP($B199,'[1]May-25'!$A:$A,'[1]May-25'!$H:$H,0)</f>
        <v>5400000</v>
      </c>
      <c r="W199" s="17">
        <f>_xlfn.XLOOKUP($B199,'[1]Jun-25'!$A:$A,'[1]Jun-25'!$H:$H,0)</f>
        <v>5400000</v>
      </c>
      <c r="X199" s="17">
        <f>_xlfn.XLOOKUP($B199,'[1]Jul-25'!$A:$A,'[1]Jul-25'!$H:$H,0)</f>
        <v>10400000</v>
      </c>
      <c r="Y199" s="17">
        <f>_xlfn.XLOOKUP($B199,'[1]Aug-25'!$A:$A,'[1]Aug-25'!$H:$H,0)</f>
        <v>10400000</v>
      </c>
      <c r="Z199" s="17">
        <f>_xlfn.XLOOKUP($B199,'[1]Sep-25'!$A:$A,'[1]Sep-25'!$H:$H,0)</f>
        <v>10400000</v>
      </c>
      <c r="AA199" s="17">
        <f>_xlfn.XLOOKUP($B199,'[1]Oct-25'!$A:$A,'[1]Oct-25'!$H:$H,0)</f>
        <v>10400000</v>
      </c>
      <c r="AB199" s="17">
        <f>_xlfn.XLOOKUP($B199,'[1]Nov-25'!$A:$A,'[1]Nov-25'!$H:$H,0)</f>
        <v>11400000</v>
      </c>
      <c r="AC199" s="17">
        <f>_xlfn.XLOOKUP($B199,'[1]Dec-25'!$A:$A,'[1]Dec-25'!$H:$H,0)</f>
        <v>11400000</v>
      </c>
      <c r="AD199" s="17">
        <f>_xlfn.XLOOKUP($B199,'[1]Jan-26'!$A:$A,'[1]Jan-26'!$H:$H,0)</f>
        <v>11400000</v>
      </c>
      <c r="AE199" s="17">
        <f>_xlfn.XLOOKUP($B199,'[1]Feb-26'!$A:$A,'[1]Feb-26'!$H:$H,0)</f>
        <v>11400000</v>
      </c>
      <c r="AF199" s="17">
        <f>_xlfn.XLOOKUP($B199,'[1]Mar-26'!$A:$A,'[1]Mar-26'!$H:$H,0)</f>
        <v>11400000</v>
      </c>
      <c r="AG199" s="17">
        <f>_xlfn.XLOOKUP($B199,'[1]Apr-26'!$A:$A,'[1]Apr-26'!$H:$H,0)</f>
        <v>11400000</v>
      </c>
    </row>
    <row r="200" spans="1:33" x14ac:dyDescent="0.2">
      <c r="A200" s="58">
        <v>15510</v>
      </c>
      <c r="B200" s="56" t="str">
        <f t="shared" si="8"/>
        <v>15510</v>
      </c>
      <c r="C200" s="57" t="s">
        <v>377</v>
      </c>
      <c r="D200" s="57" t="s">
        <v>303</v>
      </c>
      <c r="E200" s="44" t="s">
        <v>253</v>
      </c>
      <c r="F200" s="17">
        <f>_xlfn.XLOOKUP($B200,'[1]Jan-24'!$A:$A,'[1]Jan-24'!$H:$H,0)</f>
        <v>0</v>
      </c>
      <c r="G200" s="17">
        <f>_xlfn.XLOOKUP($B200,'[1]Feb-24'!$A:$A,'[1]Feb-24'!$H:$H,0)</f>
        <v>0</v>
      </c>
      <c r="H200" s="17">
        <f>_xlfn.XLOOKUP($B200,'[1]Mar-24'!$A:$A,'[1]Mar-24'!$H:$H,0)</f>
        <v>0</v>
      </c>
      <c r="I200" s="17">
        <f>_xlfn.XLOOKUP($B200,'[1]Apr-24'!$A:$A,'[1]Apr-24'!$H:$H,0)</f>
        <v>0</v>
      </c>
      <c r="J200" s="17">
        <f>_xlfn.XLOOKUP($B200,'[1]May-24'!$A:$A,'[1]May-24'!$H:$H,0)</f>
        <v>0</v>
      </c>
      <c r="K200" s="17">
        <f>_xlfn.XLOOKUP($B200,'[1]Jun-24'!$A:$A,'[1]Jun-24'!$H:$H,0)</f>
        <v>9685283.8000000007</v>
      </c>
      <c r="L200" s="17">
        <f>_xlfn.XLOOKUP($B200,'[1]Jul-24'!$A:$A,'[1]Jul-24'!$H:$H,0)</f>
        <v>99160219.060000002</v>
      </c>
      <c r="M200" s="17">
        <f>_xlfn.XLOOKUP($B200,'[1]Aug-24'!$A:$A,'[1]Aug-24'!$H:$H,0)</f>
        <v>150618380.36000001</v>
      </c>
      <c r="N200" s="17">
        <f>_xlfn.XLOOKUP($B200,'[1]Sep-24'!$A:$A,'[1]Sep-24'!$H:$H,0)</f>
        <v>252189301.40000001</v>
      </c>
      <c r="O200" s="17">
        <f>_xlfn.XLOOKUP($B200,'[1]Oct-24'!$A:$A,'[1]Oct-24'!$H:$H,0)</f>
        <v>409542430.24000001</v>
      </c>
      <c r="P200" s="17">
        <f>_xlfn.XLOOKUP($B200,'[1]Nov-24'!$A:$A,'[1]Nov-24'!$H:$H,0)</f>
        <v>418121134.19</v>
      </c>
      <c r="Q200" s="17">
        <f>_xlfn.XLOOKUP($B200,'[1]Dec-24'!$A:$A,'[1]Dec-24'!$H:$H,0)</f>
        <v>425611613.13999999</v>
      </c>
      <c r="R200" s="17">
        <f>_xlfn.XLOOKUP($B200,'[1]Jan-25'!$A:$A,'[1]Jan-25'!$H:$H,0)</f>
        <v>551035086.30999994</v>
      </c>
      <c r="S200" s="17">
        <f>_xlfn.XLOOKUP($B200,'[1]Feb-25'!$A:$A,'[1]Feb-25'!$H:$H,0)</f>
        <v>647006032.61000001</v>
      </c>
      <c r="T200" s="17">
        <f>_xlfn.XLOOKUP($B200,'[1]Mar-25'!$A:$A,'[1]Mar-25'!$H:$H,0)</f>
        <v>701593285.34000003</v>
      </c>
      <c r="U200" s="17">
        <f>_xlfn.XLOOKUP($B200,'[1]Apr-25'!$A:$A,'[1]Apr-25'!$H:$H,0)</f>
        <v>891065643.45000005</v>
      </c>
      <c r="V200" s="17">
        <f>_xlfn.XLOOKUP($B200,'[1]May-25'!$A:$A,'[1]May-25'!$H:$H,0)</f>
        <v>896413018.45000005</v>
      </c>
      <c r="W200" s="17">
        <f>_xlfn.XLOOKUP($B200,'[1]Jun-25'!$A:$A,'[1]Jun-25'!$H:$H,0)</f>
        <v>971341658.44000006</v>
      </c>
      <c r="X200" s="17">
        <f>_xlfn.XLOOKUP($B200,'[1]Jul-25'!$A:$A,'[1]Jul-25'!$H:$H,0)</f>
        <v>1066894070.23</v>
      </c>
      <c r="Y200" s="17">
        <f>_xlfn.XLOOKUP($B200,'[1]Aug-25'!$A:$A,'[1]Aug-25'!$H:$H,0)</f>
        <v>1185707663.48</v>
      </c>
      <c r="Z200" s="17">
        <f>_xlfn.XLOOKUP($B200,'[1]Sep-25'!$A:$A,'[1]Sep-25'!$H:$H,0)</f>
        <v>1305043294.6800001</v>
      </c>
      <c r="AA200" s="17">
        <f>_xlfn.XLOOKUP($B200,'[1]Oct-25'!$A:$A,'[1]Oct-25'!$H:$H,0)</f>
        <v>1381601549.5599999</v>
      </c>
      <c r="AB200" s="17">
        <f>_xlfn.XLOOKUP($B200,'[1]Nov-25'!$A:$A,'[1]Nov-25'!$H:$H,0)</f>
        <v>1399438542.73</v>
      </c>
      <c r="AC200" s="17">
        <f>_xlfn.XLOOKUP($B200,'[1]Dec-25'!$A:$A,'[1]Dec-25'!$H:$H,0)</f>
        <v>1579061423.45</v>
      </c>
      <c r="AD200" s="17">
        <f>_xlfn.XLOOKUP($B200,'[1]Jan-26'!$A:$A,'[1]Jan-26'!$H:$H,0)</f>
        <v>1582904816.3800001</v>
      </c>
      <c r="AE200" s="17">
        <f>_xlfn.XLOOKUP($B200,'[1]Feb-26'!$A:$A,'[1]Feb-26'!$H:$H,0)</f>
        <v>1587533938.73</v>
      </c>
      <c r="AF200" s="17">
        <f>_xlfn.XLOOKUP($B200,'[1]Mar-26'!$A:$A,'[1]Mar-26'!$H:$H,0)</f>
        <v>1670262314.0899999</v>
      </c>
      <c r="AG200" s="17">
        <f>_xlfn.XLOOKUP($B200,'[1]Apr-26'!$A:$A,'[1]Apr-26'!$H:$H,0)</f>
        <v>1671302043.48</v>
      </c>
    </row>
    <row r="201" spans="1:33" x14ac:dyDescent="0.2">
      <c r="A201" s="58">
        <v>15600</v>
      </c>
      <c r="B201" s="56" t="str">
        <f t="shared" si="8"/>
        <v>15600</v>
      </c>
      <c r="C201" s="57" t="s">
        <v>416</v>
      </c>
      <c r="D201" s="57" t="s">
        <v>303</v>
      </c>
      <c r="E201" s="44" t="s">
        <v>240</v>
      </c>
      <c r="F201" s="17">
        <f>_xlfn.XLOOKUP($B201,'[1]Jan-24'!$A:$A,'[1]Jan-24'!$H:$H,0)</f>
        <v>0</v>
      </c>
      <c r="G201" s="17">
        <f>_xlfn.XLOOKUP($B201,'[1]Feb-24'!$A:$A,'[1]Feb-24'!$H:$H,0)</f>
        <v>0</v>
      </c>
      <c r="H201" s="17">
        <f>_xlfn.XLOOKUP($B201,'[1]Mar-24'!$A:$A,'[1]Mar-24'!$H:$H,0)</f>
        <v>0</v>
      </c>
      <c r="I201" s="17">
        <f>_xlfn.XLOOKUP($B201,'[1]Apr-24'!$A:$A,'[1]Apr-24'!$H:$H,0)</f>
        <v>0</v>
      </c>
      <c r="J201" s="17">
        <f>_xlfn.XLOOKUP($B201,'[1]May-24'!$A:$A,'[1]May-24'!$H:$H,0)</f>
        <v>0</v>
      </c>
      <c r="K201" s="17">
        <f>_xlfn.XLOOKUP($B201,'[1]Jun-24'!$A:$A,'[1]Jun-24'!$H:$H,0)</f>
        <v>0</v>
      </c>
      <c r="L201" s="17">
        <f>_xlfn.XLOOKUP($B201,'[1]Jul-24'!$A:$A,'[1]Jul-24'!$H:$H,0)</f>
        <v>0</v>
      </c>
      <c r="M201" s="17">
        <f>_xlfn.XLOOKUP($B201,'[1]Aug-24'!$A:$A,'[1]Aug-24'!$H:$H,0)</f>
        <v>0</v>
      </c>
      <c r="N201" s="17">
        <f>_xlfn.XLOOKUP($B201,'[1]Sep-24'!$A:$A,'[1]Sep-24'!$H:$H,0)</f>
        <v>0</v>
      </c>
      <c r="O201" s="17">
        <f>_xlfn.XLOOKUP($B201,'[1]Oct-24'!$A:$A,'[1]Oct-24'!$H:$H,0)</f>
        <v>0</v>
      </c>
      <c r="P201" s="17">
        <f>_xlfn.XLOOKUP($B201,'[1]Nov-24'!$A:$A,'[1]Nov-24'!$H:$H,0)</f>
        <v>0</v>
      </c>
      <c r="Q201" s="17">
        <f>_xlfn.XLOOKUP($B201,'[1]Dec-24'!$A:$A,'[1]Dec-24'!$H:$H,0)</f>
        <v>0</v>
      </c>
      <c r="R201" s="17">
        <f>_xlfn.XLOOKUP($B201,'[1]Jan-25'!$A:$A,'[1]Jan-25'!$H:$H,0)</f>
        <v>0</v>
      </c>
      <c r="S201" s="17">
        <f>_xlfn.XLOOKUP($B201,'[1]Feb-25'!$A:$A,'[1]Feb-25'!$H:$H,0)</f>
        <v>0</v>
      </c>
      <c r="T201" s="17">
        <f>_xlfn.XLOOKUP($B201,'[1]Mar-25'!$A:$A,'[1]Mar-25'!$H:$H,0)</f>
        <v>0</v>
      </c>
      <c r="U201" s="17">
        <f>_xlfn.XLOOKUP($B201,'[1]Apr-25'!$A:$A,'[1]Apr-25'!$H:$H,0)</f>
        <v>0</v>
      </c>
      <c r="V201" s="17">
        <f>_xlfn.XLOOKUP($B201,'[1]May-25'!$A:$A,'[1]May-25'!$H:$H,0)</f>
        <v>0</v>
      </c>
      <c r="W201" s="17">
        <f>_xlfn.XLOOKUP($B201,'[1]Jun-25'!$A:$A,'[1]Jun-25'!$H:$H,0)</f>
        <v>0</v>
      </c>
      <c r="X201" s="17">
        <f>_xlfn.XLOOKUP($B201,'[1]Jul-25'!$A:$A,'[1]Jul-25'!$H:$H,0)</f>
        <v>0</v>
      </c>
      <c r="Y201" s="17">
        <f>_xlfn.XLOOKUP($B201,'[1]Aug-25'!$A:$A,'[1]Aug-25'!$H:$H,0)</f>
        <v>0</v>
      </c>
      <c r="Z201" s="17">
        <f>_xlfn.XLOOKUP($B201,'[1]Sep-25'!$A:$A,'[1]Sep-25'!$H:$H,0)</f>
        <v>0</v>
      </c>
      <c r="AA201" s="17">
        <f>_xlfn.XLOOKUP($B201,'[1]Oct-25'!$A:$A,'[1]Oct-25'!$H:$H,0)</f>
        <v>0</v>
      </c>
      <c r="AB201" s="17">
        <f>_xlfn.XLOOKUP($B201,'[1]Nov-25'!$A:$A,'[1]Nov-25'!$H:$H,0)</f>
        <v>0</v>
      </c>
      <c r="AC201" s="17">
        <f>_xlfn.XLOOKUP($B201,'[1]Dec-25'!$A:$A,'[1]Dec-25'!$H:$H,0)</f>
        <v>0</v>
      </c>
      <c r="AD201" s="17">
        <f>_xlfn.XLOOKUP($B201,'[1]Jan-26'!$A:$A,'[1]Jan-26'!$H:$H,0)</f>
        <v>0</v>
      </c>
      <c r="AE201" s="17">
        <f>_xlfn.XLOOKUP($B201,'[1]Feb-26'!$A:$A,'[1]Feb-26'!$H:$H,0)</f>
        <v>0</v>
      </c>
      <c r="AF201" s="17">
        <f>_xlfn.XLOOKUP($B201,'[1]Mar-26'!$A:$A,'[1]Mar-26'!$H:$H,0)</f>
        <v>0</v>
      </c>
      <c r="AG201" s="17">
        <f>_xlfn.XLOOKUP($B201,'[1]Apr-26'!$A:$A,'[1]Apr-26'!$H:$H,0)</f>
        <v>0</v>
      </c>
    </row>
    <row r="202" spans="1:33" x14ac:dyDescent="0.2">
      <c r="A202" s="58">
        <v>15999</v>
      </c>
      <c r="B202" s="56" t="str">
        <f t="shared" si="8"/>
        <v>15999</v>
      </c>
      <c r="C202" s="57" t="s">
        <v>416</v>
      </c>
      <c r="D202" s="57" t="s">
        <v>303</v>
      </c>
      <c r="E202" s="44" t="s">
        <v>241</v>
      </c>
      <c r="F202" s="17">
        <f>_xlfn.XLOOKUP($B202,'[1]Jan-24'!$A:$A,'[1]Jan-24'!$H:$H,0)</f>
        <v>0</v>
      </c>
      <c r="G202" s="17">
        <f>_xlfn.XLOOKUP($B202,'[1]Feb-24'!$A:$A,'[1]Feb-24'!$H:$H,0)</f>
        <v>0</v>
      </c>
      <c r="H202" s="17">
        <f>_xlfn.XLOOKUP($B202,'[1]Mar-24'!$A:$A,'[1]Mar-24'!$H:$H,0)</f>
        <v>0</v>
      </c>
      <c r="I202" s="17">
        <f>_xlfn.XLOOKUP($B202,'[1]Apr-24'!$A:$A,'[1]Apr-24'!$H:$H,0)</f>
        <v>0</v>
      </c>
      <c r="J202" s="17">
        <f>_xlfn.XLOOKUP($B202,'[1]May-24'!$A:$A,'[1]May-24'!$H:$H,0)</f>
        <v>0</v>
      </c>
      <c r="K202" s="17">
        <f>_xlfn.XLOOKUP($B202,'[1]Jun-24'!$A:$A,'[1]Jun-24'!$H:$H,0)</f>
        <v>0</v>
      </c>
      <c r="L202" s="17">
        <f>_xlfn.XLOOKUP($B202,'[1]Jul-24'!$A:$A,'[1]Jul-24'!$H:$H,0)</f>
        <v>0</v>
      </c>
      <c r="M202" s="17">
        <f>_xlfn.XLOOKUP($B202,'[1]Aug-24'!$A:$A,'[1]Aug-24'!$H:$H,0)</f>
        <v>0</v>
      </c>
      <c r="N202" s="17">
        <f>_xlfn.XLOOKUP($B202,'[1]Sep-24'!$A:$A,'[1]Sep-24'!$H:$H,0)</f>
        <v>0</v>
      </c>
      <c r="O202" s="17">
        <f>_xlfn.XLOOKUP($B202,'[1]Oct-24'!$A:$A,'[1]Oct-24'!$H:$H,0)</f>
        <v>0</v>
      </c>
      <c r="P202" s="17">
        <f>_xlfn.XLOOKUP($B202,'[1]Nov-24'!$A:$A,'[1]Nov-24'!$H:$H,0)</f>
        <v>0</v>
      </c>
      <c r="Q202" s="17">
        <f>_xlfn.XLOOKUP($B202,'[1]Dec-24'!$A:$A,'[1]Dec-24'!$H:$H,0)</f>
        <v>0</v>
      </c>
      <c r="R202" s="17">
        <f>_xlfn.XLOOKUP($B202,'[1]Jan-25'!$A:$A,'[1]Jan-25'!$H:$H,0)</f>
        <v>0</v>
      </c>
      <c r="S202" s="17">
        <f>_xlfn.XLOOKUP($B202,'[1]Feb-25'!$A:$A,'[1]Feb-25'!$H:$H,0)</f>
        <v>0</v>
      </c>
      <c r="T202" s="17">
        <f>_xlfn.XLOOKUP($B202,'[1]Mar-25'!$A:$A,'[1]Mar-25'!$H:$H,0)</f>
        <v>0</v>
      </c>
      <c r="U202" s="17">
        <f>_xlfn.XLOOKUP($B202,'[1]Apr-25'!$A:$A,'[1]Apr-25'!$H:$H,0)</f>
        <v>0</v>
      </c>
      <c r="V202" s="17">
        <f>_xlfn.XLOOKUP($B202,'[1]May-25'!$A:$A,'[1]May-25'!$H:$H,0)</f>
        <v>0</v>
      </c>
      <c r="W202" s="17">
        <f>_xlfn.XLOOKUP($B202,'[1]Jun-25'!$A:$A,'[1]Jun-25'!$H:$H,0)</f>
        <v>0</v>
      </c>
      <c r="X202" s="17">
        <f>_xlfn.XLOOKUP($B202,'[1]Jul-25'!$A:$A,'[1]Jul-25'!$H:$H,0)</f>
        <v>0</v>
      </c>
      <c r="Y202" s="17">
        <f>_xlfn.XLOOKUP($B202,'[1]Aug-25'!$A:$A,'[1]Aug-25'!$H:$H,0)</f>
        <v>0</v>
      </c>
      <c r="Z202" s="17">
        <f>_xlfn.XLOOKUP($B202,'[1]Sep-25'!$A:$A,'[1]Sep-25'!$H:$H,0)</f>
        <v>0</v>
      </c>
      <c r="AA202" s="17">
        <f>_xlfn.XLOOKUP($B202,'[1]Oct-25'!$A:$A,'[1]Oct-25'!$H:$H,0)</f>
        <v>0</v>
      </c>
      <c r="AB202" s="17">
        <f>_xlfn.XLOOKUP($B202,'[1]Nov-25'!$A:$A,'[1]Nov-25'!$H:$H,0)</f>
        <v>0</v>
      </c>
      <c r="AC202" s="17">
        <f>_xlfn.XLOOKUP($B202,'[1]Dec-25'!$A:$A,'[1]Dec-25'!$H:$H,0)</f>
        <v>0</v>
      </c>
      <c r="AD202" s="17">
        <f>_xlfn.XLOOKUP($B202,'[1]Jan-26'!$A:$A,'[1]Jan-26'!$H:$H,0)</f>
        <v>0</v>
      </c>
      <c r="AE202" s="17">
        <f>_xlfn.XLOOKUP($B202,'[1]Feb-26'!$A:$A,'[1]Feb-26'!$H:$H,0)</f>
        <v>0</v>
      </c>
      <c r="AF202" s="17">
        <f>_xlfn.XLOOKUP($B202,'[1]Mar-26'!$A:$A,'[1]Mar-26'!$H:$H,0)</f>
        <v>0</v>
      </c>
      <c r="AG202" s="17">
        <f>_xlfn.XLOOKUP($B202,'[1]Apr-26'!$A:$A,'[1]Apr-26'!$H:$H,0)</f>
        <v>0</v>
      </c>
    </row>
    <row r="203" spans="1:33" x14ac:dyDescent="0.2">
      <c r="A203" s="58">
        <v>16000</v>
      </c>
      <c r="B203" s="56" t="str">
        <f t="shared" ref="B203:B267" si="9">TEXT(A203,"00000")</f>
        <v>16000</v>
      </c>
      <c r="C203" s="57" t="s">
        <v>418</v>
      </c>
      <c r="D203" s="57" t="s">
        <v>303</v>
      </c>
      <c r="E203" s="44" t="s">
        <v>242</v>
      </c>
      <c r="F203" s="17">
        <f>_xlfn.XLOOKUP($B203,'[1]Jan-24'!$A:$A,'[1]Jan-24'!$H:$H,0)</f>
        <v>-25729894.710000001</v>
      </c>
      <c r="G203" s="17">
        <f>_xlfn.XLOOKUP($B203,'[1]Feb-24'!$A:$A,'[1]Feb-24'!$H:$H,0)</f>
        <v>-25795028.399999999</v>
      </c>
      <c r="H203" s="17">
        <f>_xlfn.XLOOKUP($B203,'[1]Mar-24'!$A:$A,'[1]Mar-24'!$H:$H,0)</f>
        <v>-25860162.09</v>
      </c>
      <c r="I203" s="17">
        <f>_xlfn.XLOOKUP($B203,'[1]Apr-24'!$A:$A,'[1]Apr-24'!$H:$H,0)</f>
        <v>-25925295.77</v>
      </c>
      <c r="J203" s="17">
        <f>_xlfn.XLOOKUP($B203,'[1]May-24'!$A:$A,'[1]May-24'!$H:$H,0)</f>
        <v>-25990429.460000001</v>
      </c>
      <c r="K203" s="17">
        <f>_xlfn.XLOOKUP($B203,'[1]Jun-24'!$A:$A,'[1]Jun-24'!$H:$H,0)</f>
        <v>-26053952.16</v>
      </c>
      <c r="L203" s="17">
        <f>_xlfn.XLOOKUP($B203,'[1]Jul-24'!$A:$A,'[1]Jul-24'!$H:$H,0)</f>
        <v>-26109562.41</v>
      </c>
      <c r="M203" s="17">
        <f>_xlfn.XLOOKUP($B203,'[1]Aug-24'!$A:$A,'[1]Aug-24'!$H:$H,0)</f>
        <v>-26160688.16</v>
      </c>
      <c r="N203" s="17">
        <f>_xlfn.XLOOKUP($B203,'[1]Sep-24'!$A:$A,'[1]Sep-24'!$H:$H,0)</f>
        <v>-26209429</v>
      </c>
      <c r="O203" s="17">
        <f>_xlfn.XLOOKUP($B203,'[1]Oct-24'!$A:$A,'[1]Oct-24'!$H:$H,0)</f>
        <v>-26237311.920000002</v>
      </c>
      <c r="P203" s="17">
        <f>_xlfn.XLOOKUP($B203,'[1]Nov-24'!$A:$A,'[1]Nov-24'!$H:$H,0)</f>
        <v>-26257605.670000002</v>
      </c>
      <c r="Q203" s="17">
        <f>_xlfn.XLOOKUP($B203,'[1]Dec-24'!$A:$A,'[1]Dec-24'!$H:$H,0)</f>
        <v>-26406453.420000002</v>
      </c>
      <c r="R203" s="17">
        <f>_xlfn.XLOOKUP($B203,'[1]Jan-25'!$A:$A,'[1]Jan-25'!$H:$H,0)</f>
        <v>-26569114.219999999</v>
      </c>
      <c r="S203" s="17">
        <f>_xlfn.XLOOKUP($B203,'[1]Feb-25'!$A:$A,'[1]Feb-25'!$H:$H,0)</f>
        <v>-26745642.800000001</v>
      </c>
      <c r="T203" s="17">
        <f>_xlfn.XLOOKUP($B203,'[1]Mar-25'!$A:$A,'[1]Mar-25'!$H:$H,0)</f>
        <v>-26945354.059999999</v>
      </c>
      <c r="U203" s="17">
        <f>_xlfn.XLOOKUP($B203,'[1]Apr-25'!$A:$A,'[1]Apr-25'!$H:$H,0)</f>
        <v>-27145260.149999999</v>
      </c>
      <c r="V203" s="17">
        <f>_xlfn.XLOOKUP($B203,'[1]May-25'!$A:$A,'[1]May-25'!$H:$H,0)</f>
        <v>-27339931.239999998</v>
      </c>
      <c r="W203" s="17">
        <f>_xlfn.XLOOKUP($B203,'[1]Jun-25'!$A:$A,'[1]Jun-25'!$H:$H,0)</f>
        <v>-27534602.329999998</v>
      </c>
      <c r="X203" s="17">
        <f>_xlfn.XLOOKUP($B203,'[1]Jul-25'!$A:$A,'[1]Jul-25'!$H:$H,0)</f>
        <v>-27729273.420000002</v>
      </c>
      <c r="Y203" s="17">
        <f>_xlfn.XLOOKUP($B203,'[1]Aug-25'!$A:$A,'[1]Aug-25'!$H:$H,0)</f>
        <v>-27923944.510000002</v>
      </c>
      <c r="Z203" s="17">
        <f>_xlfn.XLOOKUP($B203,'[1]Sep-25'!$A:$A,'[1]Sep-25'!$H:$H,0)</f>
        <v>-28118615.600000001</v>
      </c>
      <c r="AA203" s="17">
        <f>_xlfn.XLOOKUP($B203,'[1]Oct-25'!$A:$A,'[1]Oct-25'!$H:$H,0)</f>
        <v>-28083286.690000001</v>
      </c>
      <c r="AB203" s="17">
        <f>_xlfn.XLOOKUP($B203,'[1]Nov-25'!$A:$A,'[1]Nov-25'!$H:$H,0)</f>
        <v>-28277957.780000001</v>
      </c>
      <c r="AC203" s="17">
        <f>_xlfn.XLOOKUP($B203,'[1]Dec-25'!$A:$A,'[1]Dec-25'!$H:$H,0)</f>
        <v>-28475128.870000001</v>
      </c>
      <c r="AD203" s="17">
        <f>_xlfn.XLOOKUP($B203,'[1]Jan-26'!$A:$A,'[1]Jan-26'!$H:$H,0)</f>
        <v>-28229212.440000001</v>
      </c>
      <c r="AE203" s="17">
        <f>_xlfn.XLOOKUP($B203,'[1]Feb-26'!$A:$A,'[1]Feb-26'!$H:$H,0)</f>
        <v>-28340036.850000001</v>
      </c>
      <c r="AF203" s="17">
        <f>_xlfn.XLOOKUP($B203,'[1]Mar-26'!$A:$A,'[1]Mar-26'!$H:$H,0)</f>
        <v>-28494034.600000001</v>
      </c>
      <c r="AG203" s="17">
        <f>_xlfn.XLOOKUP($B203,'[1]Apr-26'!$A:$A,'[1]Apr-26'!$H:$H,0)</f>
        <v>-28648032.350000001</v>
      </c>
    </row>
    <row r="204" spans="1:33" x14ac:dyDescent="0.2">
      <c r="A204" s="58">
        <v>16100</v>
      </c>
      <c r="B204" s="56" t="str">
        <f t="shared" si="9"/>
        <v>16100</v>
      </c>
      <c r="C204" s="57" t="s">
        <v>418</v>
      </c>
      <c r="D204" s="57" t="s">
        <v>303</v>
      </c>
      <c r="E204" s="44" t="s">
        <v>243</v>
      </c>
      <c r="F204" s="17">
        <f>_xlfn.XLOOKUP($B204,'[1]Jan-24'!$A:$A,'[1]Jan-24'!$H:$H,0)</f>
        <v>-87566688.560000002</v>
      </c>
      <c r="G204" s="17">
        <f>_xlfn.XLOOKUP($B204,'[1]Feb-24'!$A:$A,'[1]Feb-24'!$H:$H,0)</f>
        <v>-87642626.060000002</v>
      </c>
      <c r="H204" s="17">
        <f>_xlfn.XLOOKUP($B204,'[1]Mar-24'!$A:$A,'[1]Mar-24'!$H:$H,0)</f>
        <v>-87718563.560000002</v>
      </c>
      <c r="I204" s="17">
        <f>_xlfn.XLOOKUP($B204,'[1]Apr-24'!$A:$A,'[1]Apr-24'!$H:$H,0)</f>
        <v>-87794501.060000002</v>
      </c>
      <c r="J204" s="17">
        <f>_xlfn.XLOOKUP($B204,'[1]May-24'!$A:$A,'[1]May-24'!$H:$H,0)</f>
        <v>-87870438.560000002</v>
      </c>
      <c r="K204" s="17">
        <f>_xlfn.XLOOKUP($B204,'[1]Jun-24'!$A:$A,'[1]Jun-24'!$H:$H,0)</f>
        <v>-87946376.060000002</v>
      </c>
      <c r="L204" s="17">
        <f>_xlfn.XLOOKUP($B204,'[1]Jul-24'!$A:$A,'[1]Jul-24'!$H:$H,0)</f>
        <v>-88022313.560000002</v>
      </c>
      <c r="M204" s="17">
        <f>_xlfn.XLOOKUP($B204,'[1]Aug-24'!$A:$A,'[1]Aug-24'!$H:$H,0)</f>
        <v>-88098251.060000002</v>
      </c>
      <c r="N204" s="17">
        <f>_xlfn.XLOOKUP($B204,'[1]Sep-24'!$A:$A,'[1]Sep-24'!$H:$H,0)</f>
        <v>-88174188.560000002</v>
      </c>
      <c r="O204" s="17">
        <f>_xlfn.XLOOKUP($B204,'[1]Oct-24'!$A:$A,'[1]Oct-24'!$H:$H,0)</f>
        <v>-88250126.060000002</v>
      </c>
      <c r="P204" s="17">
        <f>_xlfn.XLOOKUP($B204,'[1]Nov-24'!$A:$A,'[1]Nov-24'!$H:$H,0)</f>
        <v>-88326063.560000002</v>
      </c>
      <c r="Q204" s="17">
        <f>_xlfn.XLOOKUP($B204,'[1]Dec-24'!$A:$A,'[1]Dec-24'!$H:$H,0)</f>
        <v>-3644980.06</v>
      </c>
      <c r="R204" s="17">
        <f>_xlfn.XLOOKUP($B204,'[1]Jan-25'!$A:$A,'[1]Jan-25'!$H:$H,0)</f>
        <v>-3644980.06</v>
      </c>
      <c r="S204" s="17">
        <f>_xlfn.XLOOKUP($B204,'[1]Feb-25'!$A:$A,'[1]Feb-25'!$H:$H,0)</f>
        <v>-3644980.06</v>
      </c>
      <c r="T204" s="17">
        <f>_xlfn.XLOOKUP($B204,'[1]Mar-25'!$A:$A,'[1]Mar-25'!$H:$H,0)</f>
        <v>-3644980.06</v>
      </c>
      <c r="U204" s="17">
        <f>_xlfn.XLOOKUP($B204,'[1]Apr-25'!$A:$A,'[1]Apr-25'!$H:$H,0)</f>
        <v>-3644980.06</v>
      </c>
      <c r="V204" s="17">
        <f>_xlfn.XLOOKUP($B204,'[1]May-25'!$A:$A,'[1]May-25'!$H:$H,0)</f>
        <v>-3644980.06</v>
      </c>
      <c r="W204" s="17">
        <f>_xlfn.XLOOKUP($B204,'[1]Jun-25'!$A:$A,'[1]Jun-25'!$H:$H,0)</f>
        <v>-3644980.06</v>
      </c>
      <c r="X204" s="17">
        <f>_xlfn.XLOOKUP($B204,'[1]Jul-25'!$A:$A,'[1]Jul-25'!$H:$H,0)</f>
        <v>-3644980.06</v>
      </c>
      <c r="Y204" s="17">
        <f>_xlfn.XLOOKUP($B204,'[1]Aug-25'!$A:$A,'[1]Aug-25'!$H:$H,0)</f>
        <v>-3644980.06</v>
      </c>
      <c r="Z204" s="17">
        <f>_xlfn.XLOOKUP($B204,'[1]Sep-25'!$A:$A,'[1]Sep-25'!$H:$H,0)</f>
        <v>-3644980.06</v>
      </c>
      <c r="AA204" s="17">
        <f>_xlfn.XLOOKUP($B204,'[1]Oct-25'!$A:$A,'[1]Oct-25'!$H:$H,0)</f>
        <v>-3644980.06</v>
      </c>
      <c r="AB204" s="17">
        <f>_xlfn.XLOOKUP($B204,'[1]Nov-25'!$A:$A,'[1]Nov-25'!$H:$H,0)</f>
        <v>-3644980.06</v>
      </c>
      <c r="AC204" s="17">
        <f>_xlfn.XLOOKUP($B204,'[1]Dec-25'!$A:$A,'[1]Dec-25'!$H:$H,0)</f>
        <v>-3644980.06</v>
      </c>
      <c r="AD204" s="17">
        <f>_xlfn.XLOOKUP($B204,'[1]Jan-26'!$A:$A,'[1]Jan-26'!$H:$H,0)</f>
        <v>-3644980.06</v>
      </c>
      <c r="AE204" s="17">
        <f>_xlfn.XLOOKUP($B204,'[1]Feb-26'!$A:$A,'[1]Feb-26'!$H:$H,0)</f>
        <v>-3676161.31</v>
      </c>
      <c r="AF204" s="17">
        <f>_xlfn.XLOOKUP($B204,'[1]Mar-26'!$A:$A,'[1]Mar-26'!$H:$H,0)</f>
        <v>-3707342.56</v>
      </c>
      <c r="AG204" s="17">
        <f>_xlfn.XLOOKUP($B204,'[1]Apr-26'!$A:$A,'[1]Apr-26'!$H:$H,0)</f>
        <v>-3738523.81</v>
      </c>
    </row>
    <row r="205" spans="1:33" x14ac:dyDescent="0.2">
      <c r="A205" s="58">
        <v>16200</v>
      </c>
      <c r="B205" s="56" t="str">
        <f t="shared" si="9"/>
        <v>16200</v>
      </c>
      <c r="C205" s="57" t="s">
        <v>418</v>
      </c>
      <c r="D205" s="57" t="s">
        <v>303</v>
      </c>
      <c r="E205" s="44" t="s">
        <v>244</v>
      </c>
      <c r="F205" s="17">
        <f>_xlfn.XLOOKUP($B205,'[1]Jan-24'!$A:$A,'[1]Jan-24'!$H:$H,0)</f>
        <v>-167484027.13999999</v>
      </c>
      <c r="G205" s="17">
        <f>_xlfn.XLOOKUP($B205,'[1]Feb-24'!$A:$A,'[1]Feb-24'!$H:$H,0)</f>
        <v>-170069251.18000001</v>
      </c>
      <c r="H205" s="17">
        <f>_xlfn.XLOOKUP($B205,'[1]Mar-24'!$A:$A,'[1]Mar-24'!$H:$H,0)</f>
        <v>-172632417.30000001</v>
      </c>
      <c r="I205" s="17">
        <f>_xlfn.XLOOKUP($B205,'[1]Apr-24'!$A:$A,'[1]Apr-24'!$H:$H,0)</f>
        <v>-175149645.93000001</v>
      </c>
      <c r="J205" s="17">
        <f>_xlfn.XLOOKUP($B205,'[1]May-24'!$A:$A,'[1]May-24'!$H:$H,0)</f>
        <v>-177762723.72</v>
      </c>
      <c r="K205" s="17">
        <f>_xlfn.XLOOKUP($B205,'[1]Jun-24'!$A:$A,'[1]Jun-24'!$H:$H,0)</f>
        <v>-180756305.09</v>
      </c>
      <c r="L205" s="17">
        <f>_xlfn.XLOOKUP($B205,'[1]Jul-24'!$A:$A,'[1]Jul-24'!$H:$H,0)</f>
        <v>-183570530.94999999</v>
      </c>
      <c r="M205" s="17">
        <f>_xlfn.XLOOKUP($B205,'[1]Aug-24'!$A:$A,'[1]Aug-24'!$H:$H,0)</f>
        <v>-186384792.22</v>
      </c>
      <c r="N205" s="17">
        <f>_xlfn.XLOOKUP($B205,'[1]Sep-24'!$A:$A,'[1]Sep-24'!$H:$H,0)</f>
        <v>-189156636.83000001</v>
      </c>
      <c r="O205" s="17">
        <f>_xlfn.XLOOKUP($B205,'[1]Oct-24'!$A:$A,'[1]Oct-24'!$H:$H,0)</f>
        <v>-192115360.59999999</v>
      </c>
      <c r="P205" s="17">
        <f>_xlfn.XLOOKUP($B205,'[1]Nov-24'!$A:$A,'[1]Nov-24'!$H:$H,0)</f>
        <v>-195206876.03999999</v>
      </c>
      <c r="Q205" s="17">
        <f>_xlfn.XLOOKUP($B205,'[1]Dec-24'!$A:$A,'[1]Dec-24'!$H:$H,0)</f>
        <v>-198247297.96000001</v>
      </c>
      <c r="R205" s="17">
        <f>_xlfn.XLOOKUP($B205,'[1]Jan-25'!$A:$A,'[1]Jan-25'!$H:$H,0)</f>
        <v>-200382566.47999999</v>
      </c>
      <c r="S205" s="17">
        <f>_xlfn.XLOOKUP($B205,'[1]Feb-25'!$A:$A,'[1]Feb-25'!$H:$H,0)</f>
        <v>-203715513.91</v>
      </c>
      <c r="T205" s="17">
        <f>_xlfn.XLOOKUP($B205,'[1]Mar-25'!$A:$A,'[1]Mar-25'!$H:$H,0)</f>
        <v>-207074569.44</v>
      </c>
      <c r="U205" s="17">
        <f>_xlfn.XLOOKUP($B205,'[1]Apr-25'!$A:$A,'[1]Apr-25'!$H:$H,0)</f>
        <v>-210416219.56999999</v>
      </c>
      <c r="V205" s="17">
        <f>_xlfn.XLOOKUP($B205,'[1]May-25'!$A:$A,'[1]May-25'!$H:$H,0)</f>
        <v>-213757869.69999999</v>
      </c>
      <c r="W205" s="17">
        <f>_xlfn.XLOOKUP($B205,'[1]Jun-25'!$A:$A,'[1]Jun-25'!$H:$H,0)</f>
        <v>-217099519.83000001</v>
      </c>
      <c r="X205" s="17">
        <f>_xlfn.XLOOKUP($B205,'[1]Jul-25'!$A:$A,'[1]Jul-25'!$H:$H,0)</f>
        <v>-220476386.25</v>
      </c>
      <c r="Y205" s="17">
        <f>_xlfn.XLOOKUP($B205,'[1]Aug-25'!$A:$A,'[1]Aug-25'!$H:$H,0)</f>
        <v>-223975027.30000001</v>
      </c>
      <c r="Z205" s="17">
        <f>_xlfn.XLOOKUP($B205,'[1]Sep-25'!$A:$A,'[1]Sep-25'!$H:$H,0)</f>
        <v>-227446263.91</v>
      </c>
      <c r="AA205" s="17">
        <f>_xlfn.XLOOKUP($B205,'[1]Oct-25'!$A:$A,'[1]Oct-25'!$H:$H,0)</f>
        <v>-230911083.84999999</v>
      </c>
      <c r="AB205" s="17">
        <f>_xlfn.XLOOKUP($B205,'[1]Nov-25'!$A:$A,'[1]Nov-25'!$H:$H,0)</f>
        <v>-234591052.13</v>
      </c>
      <c r="AC205" s="17">
        <f>_xlfn.XLOOKUP($B205,'[1]Dec-25'!$A:$A,'[1]Dec-25'!$H:$H,0)</f>
        <v>-238311503.74000001</v>
      </c>
      <c r="AD205" s="17">
        <f>_xlfn.XLOOKUP($B205,'[1]Jan-26'!$A:$A,'[1]Jan-26'!$H:$H,0)</f>
        <v>-242100948.5</v>
      </c>
      <c r="AE205" s="17">
        <f>_xlfn.XLOOKUP($B205,'[1]Feb-26'!$A:$A,'[1]Feb-26'!$H:$H,0)</f>
        <v>-245611256.56999999</v>
      </c>
      <c r="AF205" s="17">
        <f>_xlfn.XLOOKUP($B205,'[1]Mar-26'!$A:$A,'[1]Mar-26'!$H:$H,0)</f>
        <v>-248861047.75999999</v>
      </c>
      <c r="AG205" s="17">
        <f>_xlfn.XLOOKUP($B205,'[1]Apr-26'!$A:$A,'[1]Apr-26'!$H:$H,0)</f>
        <v>-252291838.94999999</v>
      </c>
    </row>
    <row r="206" spans="1:33" x14ac:dyDescent="0.2">
      <c r="A206" s="58">
        <v>16300</v>
      </c>
      <c r="B206" s="56" t="str">
        <f t="shared" si="9"/>
        <v>16300</v>
      </c>
      <c r="C206" s="57" t="s">
        <v>418</v>
      </c>
      <c r="D206" s="57" t="s">
        <v>303</v>
      </c>
      <c r="E206" s="44" t="s">
        <v>245</v>
      </c>
      <c r="F206" s="17">
        <f>_xlfn.XLOOKUP($B206,'[1]Jan-24'!$A:$A,'[1]Jan-24'!$H:$H,0)</f>
        <v>-12930446.59</v>
      </c>
      <c r="G206" s="17">
        <f>_xlfn.XLOOKUP($B206,'[1]Feb-24'!$A:$A,'[1]Feb-24'!$H:$H,0)</f>
        <v>-13017613.26</v>
      </c>
      <c r="H206" s="17">
        <f>_xlfn.XLOOKUP($B206,'[1]Mar-24'!$A:$A,'[1]Mar-24'!$H:$H,0)</f>
        <v>-13104779.93</v>
      </c>
      <c r="I206" s="17">
        <f>_xlfn.XLOOKUP($B206,'[1]Apr-24'!$A:$A,'[1]Apr-24'!$H:$H,0)</f>
        <v>-13191946.6</v>
      </c>
      <c r="J206" s="17">
        <f>_xlfn.XLOOKUP($B206,'[1]May-24'!$A:$A,'[1]May-24'!$H:$H,0)</f>
        <v>-13289991.65</v>
      </c>
      <c r="K206" s="17">
        <f>_xlfn.XLOOKUP($B206,'[1]Jun-24'!$A:$A,'[1]Jun-24'!$H:$H,0)</f>
        <v>-13388036.699999999</v>
      </c>
      <c r="L206" s="17">
        <f>_xlfn.XLOOKUP($B206,'[1]Jul-24'!$A:$A,'[1]Jul-24'!$H:$H,0)</f>
        <v>-13486081.75</v>
      </c>
      <c r="M206" s="17">
        <f>_xlfn.XLOOKUP($B206,'[1]Aug-24'!$A:$A,'[1]Aug-24'!$H:$H,0)</f>
        <v>-13584126.800000001</v>
      </c>
      <c r="N206" s="17">
        <f>_xlfn.XLOOKUP($B206,'[1]Sep-24'!$A:$A,'[1]Sep-24'!$H:$H,0)</f>
        <v>-13682171.85</v>
      </c>
      <c r="O206" s="17">
        <f>_xlfn.XLOOKUP($B206,'[1]Oct-24'!$A:$A,'[1]Oct-24'!$H:$H,0)</f>
        <v>-13780216.9</v>
      </c>
      <c r="P206" s="17">
        <f>_xlfn.XLOOKUP($B206,'[1]Nov-24'!$A:$A,'[1]Nov-24'!$H:$H,0)</f>
        <v>-13878261.949999999</v>
      </c>
      <c r="Q206" s="17">
        <f>_xlfn.XLOOKUP($B206,'[1]Dec-24'!$A:$A,'[1]Dec-24'!$H:$H,0)</f>
        <v>-13889279.960000001</v>
      </c>
      <c r="R206" s="17">
        <f>_xlfn.XLOOKUP($B206,'[1]Jan-25'!$A:$A,'[1]Jan-25'!$H:$H,0)</f>
        <v>-13987325.01</v>
      </c>
      <c r="S206" s="17">
        <f>_xlfn.XLOOKUP($B206,'[1]Feb-25'!$A:$A,'[1]Feb-25'!$H:$H,0)</f>
        <v>-14085370.060000001</v>
      </c>
      <c r="T206" s="17">
        <f>_xlfn.XLOOKUP($B206,'[1]Mar-25'!$A:$A,'[1]Mar-25'!$H:$H,0)</f>
        <v>-14161658.35</v>
      </c>
      <c r="U206" s="17">
        <f>_xlfn.XLOOKUP($B206,'[1]Apr-25'!$A:$A,'[1]Apr-25'!$H:$H,0)</f>
        <v>-14248825.02</v>
      </c>
      <c r="V206" s="17">
        <f>_xlfn.XLOOKUP($B206,'[1]May-25'!$A:$A,'[1]May-25'!$H:$H,0)</f>
        <v>-14348908.35</v>
      </c>
      <c r="W206" s="17">
        <f>_xlfn.XLOOKUP($B206,'[1]Jun-25'!$A:$A,'[1]Jun-25'!$H:$H,0)</f>
        <v>-14448991.68</v>
      </c>
      <c r="X206" s="17">
        <f>_xlfn.XLOOKUP($B206,'[1]Jul-25'!$A:$A,'[1]Jul-25'!$H:$H,0)</f>
        <v>-14717720.85</v>
      </c>
      <c r="Y206" s="17">
        <f>_xlfn.XLOOKUP($B206,'[1]Aug-25'!$A:$A,'[1]Aug-25'!$H:$H,0)</f>
        <v>-14998116.68</v>
      </c>
      <c r="Z206" s="17">
        <f>_xlfn.XLOOKUP($B206,'[1]Sep-25'!$A:$A,'[1]Sep-25'!$H:$H,0)</f>
        <v>-15272679.18</v>
      </c>
      <c r="AA206" s="17">
        <f>_xlfn.XLOOKUP($B206,'[1]Oct-25'!$A:$A,'[1]Oct-25'!$H:$H,0)</f>
        <v>-15547241.68</v>
      </c>
      <c r="AB206" s="17">
        <f>_xlfn.XLOOKUP($B206,'[1]Nov-25'!$A:$A,'[1]Nov-25'!$H:$H,0)</f>
        <v>-15821804.18</v>
      </c>
      <c r="AC206" s="17">
        <f>_xlfn.XLOOKUP($B206,'[1]Dec-25'!$A:$A,'[1]Dec-25'!$H:$H,0)</f>
        <v>-16096366.68</v>
      </c>
      <c r="AD206" s="17">
        <f>_xlfn.XLOOKUP($B206,'[1]Jan-26'!$A:$A,'[1]Jan-26'!$H:$H,0)</f>
        <v>-16370929.18</v>
      </c>
      <c r="AE206" s="17">
        <f>_xlfn.XLOOKUP($B206,'[1]Feb-26'!$A:$A,'[1]Feb-26'!$H:$H,0)</f>
        <v>-16660387.51</v>
      </c>
      <c r="AF206" s="17">
        <f>_xlfn.XLOOKUP($B206,'[1]Mar-26'!$A:$A,'[1]Mar-26'!$H:$H,0)</f>
        <v>-16949845.84</v>
      </c>
      <c r="AG206" s="17">
        <f>_xlfn.XLOOKUP($B206,'[1]Apr-26'!$A:$A,'[1]Apr-26'!$H:$H,0)</f>
        <v>-17279408.34</v>
      </c>
    </row>
    <row r="207" spans="1:33" x14ac:dyDescent="0.2">
      <c r="A207" s="58">
        <v>16400</v>
      </c>
      <c r="B207" s="56" t="str">
        <f t="shared" si="9"/>
        <v>16400</v>
      </c>
      <c r="C207" s="57" t="s">
        <v>418</v>
      </c>
      <c r="D207" s="57" t="s">
        <v>303</v>
      </c>
      <c r="E207" s="44" t="s">
        <v>246</v>
      </c>
      <c r="F207" s="17">
        <f>_xlfn.XLOOKUP($B207,'[1]Jan-24'!$A:$A,'[1]Jan-24'!$H:$H,0)</f>
        <v>0</v>
      </c>
      <c r="G207" s="17">
        <f>_xlfn.XLOOKUP($B207,'[1]Feb-24'!$A:$A,'[1]Feb-24'!$H:$H,0)</f>
        <v>0</v>
      </c>
      <c r="H207" s="17">
        <f>_xlfn.XLOOKUP($B207,'[1]Mar-24'!$A:$A,'[1]Mar-24'!$H:$H,0)</f>
        <v>0</v>
      </c>
      <c r="I207" s="17">
        <f>_xlfn.XLOOKUP($B207,'[1]Apr-24'!$A:$A,'[1]Apr-24'!$H:$H,0)</f>
        <v>0</v>
      </c>
      <c r="J207" s="17">
        <f>_xlfn.XLOOKUP($B207,'[1]May-24'!$A:$A,'[1]May-24'!$H:$H,0)</f>
        <v>0</v>
      </c>
      <c r="K207" s="17">
        <f>_xlfn.XLOOKUP($B207,'[1]Jun-24'!$A:$A,'[1]Jun-24'!$H:$H,0)</f>
        <v>0</v>
      </c>
      <c r="L207" s="17">
        <f>_xlfn.XLOOKUP($B207,'[1]Jul-24'!$A:$A,'[1]Jul-24'!$H:$H,0)</f>
        <v>0</v>
      </c>
      <c r="M207" s="17">
        <f>_xlfn.XLOOKUP($B207,'[1]Aug-24'!$A:$A,'[1]Aug-24'!$H:$H,0)</f>
        <v>0</v>
      </c>
      <c r="N207" s="17">
        <f>_xlfn.XLOOKUP($B207,'[1]Sep-24'!$A:$A,'[1]Sep-24'!$H:$H,0)</f>
        <v>0</v>
      </c>
      <c r="O207" s="17">
        <f>_xlfn.XLOOKUP($B207,'[1]Oct-24'!$A:$A,'[1]Oct-24'!$H:$H,0)</f>
        <v>0</v>
      </c>
      <c r="P207" s="17">
        <f>_xlfn.XLOOKUP($B207,'[1]Nov-24'!$A:$A,'[1]Nov-24'!$H:$H,0)</f>
        <v>0</v>
      </c>
      <c r="Q207" s="17">
        <f>_xlfn.XLOOKUP($B207,'[1]Dec-24'!$A:$A,'[1]Dec-24'!$H:$H,0)</f>
        <v>0</v>
      </c>
      <c r="R207" s="17">
        <f>_xlfn.XLOOKUP($B207,'[1]Jan-25'!$A:$A,'[1]Jan-25'!$H:$H,0)</f>
        <v>0</v>
      </c>
      <c r="S207" s="17">
        <f>_xlfn.XLOOKUP($B207,'[1]Feb-25'!$A:$A,'[1]Feb-25'!$H:$H,0)</f>
        <v>0</v>
      </c>
      <c r="T207" s="17">
        <f>_xlfn.XLOOKUP($B207,'[1]Mar-25'!$A:$A,'[1]Mar-25'!$H:$H,0)</f>
        <v>0</v>
      </c>
      <c r="U207" s="17">
        <f>_xlfn.XLOOKUP($B207,'[1]Apr-25'!$A:$A,'[1]Apr-25'!$H:$H,0)</f>
        <v>0</v>
      </c>
      <c r="V207" s="17">
        <f>_xlfn.XLOOKUP($B207,'[1]May-25'!$A:$A,'[1]May-25'!$H:$H,0)</f>
        <v>0</v>
      </c>
      <c r="W207" s="17">
        <f>_xlfn.XLOOKUP($B207,'[1]Jun-25'!$A:$A,'[1]Jun-25'!$H:$H,0)</f>
        <v>0</v>
      </c>
      <c r="X207" s="17">
        <f>_xlfn.XLOOKUP($B207,'[1]Jul-25'!$A:$A,'[1]Jul-25'!$H:$H,0)</f>
        <v>0</v>
      </c>
      <c r="Y207" s="17">
        <f>_xlfn.XLOOKUP($B207,'[1]Aug-25'!$A:$A,'[1]Aug-25'!$H:$H,0)</f>
        <v>0</v>
      </c>
      <c r="Z207" s="17">
        <f>_xlfn.XLOOKUP($B207,'[1]Sep-25'!$A:$A,'[1]Sep-25'!$H:$H,0)</f>
        <v>0</v>
      </c>
      <c r="AA207" s="17">
        <f>_xlfn.XLOOKUP($B207,'[1]Oct-25'!$A:$A,'[1]Oct-25'!$H:$H,0)</f>
        <v>0</v>
      </c>
      <c r="AB207" s="17">
        <f>_xlfn.XLOOKUP($B207,'[1]Nov-25'!$A:$A,'[1]Nov-25'!$H:$H,0)</f>
        <v>0</v>
      </c>
      <c r="AC207" s="17">
        <f>_xlfn.XLOOKUP($B207,'[1]Dec-25'!$A:$A,'[1]Dec-25'!$H:$H,0)</f>
        <v>0</v>
      </c>
      <c r="AD207" s="17">
        <f>_xlfn.XLOOKUP($B207,'[1]Jan-26'!$A:$A,'[1]Jan-26'!$H:$H,0)</f>
        <v>0</v>
      </c>
      <c r="AE207" s="17">
        <f>_xlfn.XLOOKUP($B207,'[1]Feb-26'!$A:$A,'[1]Feb-26'!$H:$H,0)</f>
        <v>0</v>
      </c>
      <c r="AF207" s="17">
        <f>_xlfn.XLOOKUP($B207,'[1]Mar-26'!$A:$A,'[1]Mar-26'!$H:$H,0)</f>
        <v>0</v>
      </c>
      <c r="AG207" s="17">
        <f>_xlfn.XLOOKUP($B207,'[1]Apr-26'!$A:$A,'[1]Apr-26'!$H:$H,0)</f>
        <v>0</v>
      </c>
    </row>
    <row r="208" spans="1:33" x14ac:dyDescent="0.2">
      <c r="A208" s="58">
        <v>16500</v>
      </c>
      <c r="B208" s="56" t="str">
        <f t="shared" si="9"/>
        <v>16500</v>
      </c>
      <c r="C208" s="57" t="s">
        <v>419</v>
      </c>
      <c r="D208" s="57" t="s">
        <v>303</v>
      </c>
      <c r="E208" s="44" t="s">
        <v>254</v>
      </c>
      <c r="F208" s="17">
        <f>_xlfn.XLOOKUP($B208,'[1]Jan-24'!$A:$A,'[1]Jan-24'!$H:$H,0)</f>
        <v>-17904365.100000001</v>
      </c>
      <c r="G208" s="17">
        <f>_xlfn.XLOOKUP($B208,'[1]Feb-24'!$A:$A,'[1]Feb-24'!$H:$H,0)</f>
        <v>-17904365.100000001</v>
      </c>
      <c r="H208" s="17">
        <f>_xlfn.XLOOKUP($B208,'[1]Mar-24'!$A:$A,'[1]Mar-24'!$H:$H,0)</f>
        <v>-17904365.100000001</v>
      </c>
      <c r="I208" s="17">
        <f>_xlfn.XLOOKUP($B208,'[1]Apr-24'!$A:$A,'[1]Apr-24'!$H:$H,0)</f>
        <v>-17904365.100000001</v>
      </c>
      <c r="J208" s="17">
        <f>_xlfn.XLOOKUP($B208,'[1]May-24'!$A:$A,'[1]May-24'!$H:$H,0)</f>
        <v>-17904365.100000001</v>
      </c>
      <c r="K208" s="17">
        <f>_xlfn.XLOOKUP($B208,'[1]Jun-24'!$A:$A,'[1]Jun-24'!$H:$H,0)</f>
        <v>-17904365.100000001</v>
      </c>
      <c r="L208" s="17">
        <f>_xlfn.XLOOKUP($B208,'[1]Jul-24'!$A:$A,'[1]Jul-24'!$H:$H,0)</f>
        <v>-17904365.100000001</v>
      </c>
      <c r="M208" s="17">
        <f>_xlfn.XLOOKUP($B208,'[1]Aug-24'!$A:$A,'[1]Aug-24'!$H:$H,0)</f>
        <v>-17904365.100000001</v>
      </c>
      <c r="N208" s="17">
        <f>_xlfn.XLOOKUP($B208,'[1]Sep-24'!$A:$A,'[1]Sep-24'!$H:$H,0)</f>
        <v>-17904365.100000001</v>
      </c>
      <c r="O208" s="17">
        <f>_xlfn.XLOOKUP($B208,'[1]Oct-24'!$A:$A,'[1]Oct-24'!$H:$H,0)</f>
        <v>-17904365.100000001</v>
      </c>
      <c r="P208" s="17">
        <f>_xlfn.XLOOKUP($B208,'[1]Nov-24'!$A:$A,'[1]Nov-24'!$H:$H,0)</f>
        <v>-17904365.100000001</v>
      </c>
      <c r="Q208" s="17">
        <f>_xlfn.XLOOKUP($B208,'[1]Dec-24'!$A:$A,'[1]Dec-24'!$H:$H,0)</f>
        <v>-17904365.100000001</v>
      </c>
      <c r="R208" s="17">
        <f>_xlfn.XLOOKUP($B208,'[1]Jan-25'!$A:$A,'[1]Jan-25'!$H:$H,0)</f>
        <v>-17904365.100000001</v>
      </c>
      <c r="S208" s="17">
        <f>_xlfn.XLOOKUP($B208,'[1]Feb-25'!$A:$A,'[1]Feb-25'!$H:$H,0)</f>
        <v>-17904365.100000001</v>
      </c>
      <c r="T208" s="17">
        <f>_xlfn.XLOOKUP($B208,'[1]Mar-25'!$A:$A,'[1]Mar-25'!$H:$H,0)</f>
        <v>-17904365.100000001</v>
      </c>
      <c r="U208" s="17">
        <f>_xlfn.XLOOKUP($B208,'[1]Apr-25'!$A:$A,'[1]Apr-25'!$H:$H,0)</f>
        <v>-17904365.100000001</v>
      </c>
      <c r="V208" s="17">
        <f>_xlfn.XLOOKUP($B208,'[1]May-25'!$A:$A,'[1]May-25'!$H:$H,0)</f>
        <v>-17904365.100000001</v>
      </c>
      <c r="W208" s="17">
        <f>_xlfn.XLOOKUP($B208,'[1]Jun-25'!$A:$A,'[1]Jun-25'!$H:$H,0)</f>
        <v>-17904365.100000001</v>
      </c>
      <c r="X208" s="17">
        <f>_xlfn.XLOOKUP($B208,'[1]Jul-25'!$A:$A,'[1]Jul-25'!$H:$H,0)</f>
        <v>-17904365.100000001</v>
      </c>
      <c r="Y208" s="17">
        <f>_xlfn.XLOOKUP($B208,'[1]Aug-25'!$A:$A,'[1]Aug-25'!$H:$H,0)</f>
        <v>-17904365.100000001</v>
      </c>
      <c r="Z208" s="17">
        <f>_xlfn.XLOOKUP($B208,'[1]Sep-25'!$A:$A,'[1]Sep-25'!$H:$H,0)</f>
        <v>-17904365.100000001</v>
      </c>
      <c r="AA208" s="17">
        <f>_xlfn.XLOOKUP($B208,'[1]Oct-25'!$A:$A,'[1]Oct-25'!$H:$H,0)</f>
        <v>-17904365.100000001</v>
      </c>
      <c r="AB208" s="17">
        <f>_xlfn.XLOOKUP($B208,'[1]Nov-25'!$A:$A,'[1]Nov-25'!$H:$H,0)</f>
        <v>-17904365.100000001</v>
      </c>
      <c r="AC208" s="17">
        <f>_xlfn.XLOOKUP($B208,'[1]Dec-25'!$A:$A,'[1]Dec-25'!$H:$H,0)</f>
        <v>-17904365.100000001</v>
      </c>
      <c r="AD208" s="17">
        <f>_xlfn.XLOOKUP($B208,'[1]Jan-26'!$A:$A,'[1]Jan-26'!$H:$H,0)</f>
        <v>0</v>
      </c>
      <c r="AE208" s="17">
        <f>_xlfn.XLOOKUP($B208,'[1]Feb-26'!$A:$A,'[1]Feb-26'!$H:$H,0)</f>
        <v>0</v>
      </c>
      <c r="AF208" s="17">
        <f>_xlfn.XLOOKUP($B208,'[1]Mar-26'!$A:$A,'[1]Mar-26'!$H:$H,0)</f>
        <v>0</v>
      </c>
      <c r="AG208" s="17">
        <f>_xlfn.XLOOKUP($B208,'[1]Apr-26'!$A:$A,'[1]Apr-26'!$H:$H,0)</f>
        <v>0</v>
      </c>
    </row>
    <row r="209" spans="1:33" x14ac:dyDescent="0.2">
      <c r="A209" s="58">
        <v>16600</v>
      </c>
      <c r="B209" s="56" t="str">
        <f t="shared" si="9"/>
        <v>16600</v>
      </c>
      <c r="C209" s="57" t="s">
        <v>420</v>
      </c>
      <c r="D209" s="57" t="s">
        <v>387</v>
      </c>
      <c r="E209" s="44" t="s">
        <v>421</v>
      </c>
      <c r="F209" s="17">
        <f>_xlfn.XLOOKUP($B209,'[1]Jan-24'!$A:$A,'[1]Jan-24'!$H:$H,0)</f>
        <v>0</v>
      </c>
      <c r="G209" s="17">
        <f>_xlfn.XLOOKUP($B209,'[1]Feb-24'!$A:$A,'[1]Feb-24'!$H:$H,0)</f>
        <v>0</v>
      </c>
      <c r="H209" s="17">
        <f>_xlfn.XLOOKUP($B209,'[1]Mar-24'!$A:$A,'[1]Mar-24'!$H:$H,0)</f>
        <v>0</v>
      </c>
      <c r="I209" s="17">
        <f>_xlfn.XLOOKUP($B209,'[1]Apr-24'!$A:$A,'[1]Apr-24'!$H:$H,0)</f>
        <v>0</v>
      </c>
      <c r="J209" s="17">
        <f>_xlfn.XLOOKUP($B209,'[1]May-24'!$A:$A,'[1]May-24'!$H:$H,0)</f>
        <v>0</v>
      </c>
      <c r="K209" s="17">
        <f>_xlfn.XLOOKUP($B209,'[1]Jun-24'!$A:$A,'[1]Jun-24'!$H:$H,0)</f>
        <v>0</v>
      </c>
      <c r="L209" s="17">
        <f>_xlfn.XLOOKUP($B209,'[1]Jul-24'!$A:$A,'[1]Jul-24'!$H:$H,0)</f>
        <v>0</v>
      </c>
      <c r="M209" s="17">
        <f>_xlfn.XLOOKUP($B209,'[1]Aug-24'!$A:$A,'[1]Aug-24'!$H:$H,0)</f>
        <v>0</v>
      </c>
      <c r="N209" s="17">
        <f>_xlfn.XLOOKUP($B209,'[1]Sep-24'!$A:$A,'[1]Sep-24'!$H:$H,0)</f>
        <v>0</v>
      </c>
      <c r="O209" s="17">
        <f>_xlfn.XLOOKUP($B209,'[1]Oct-24'!$A:$A,'[1]Oct-24'!$H:$H,0)</f>
        <v>0</v>
      </c>
      <c r="P209" s="17">
        <f>_xlfn.XLOOKUP($B209,'[1]Nov-24'!$A:$A,'[1]Nov-24'!$H:$H,0)</f>
        <v>0</v>
      </c>
      <c r="Q209" s="17">
        <f>_xlfn.XLOOKUP($B209,'[1]Dec-24'!$A:$A,'[1]Dec-24'!$H:$H,0)</f>
        <v>0</v>
      </c>
      <c r="R209" s="17">
        <f>_xlfn.XLOOKUP($B209,'[1]Jan-25'!$A:$A,'[1]Jan-25'!$H:$H,0)</f>
        <v>0</v>
      </c>
      <c r="S209" s="17">
        <f>_xlfn.XLOOKUP($B209,'[1]Feb-25'!$A:$A,'[1]Feb-25'!$H:$H,0)</f>
        <v>0</v>
      </c>
      <c r="T209" s="17">
        <f>_xlfn.XLOOKUP($B209,'[1]Mar-25'!$A:$A,'[1]Mar-25'!$H:$H,0)</f>
        <v>0</v>
      </c>
      <c r="U209" s="17">
        <f>_xlfn.XLOOKUP($B209,'[1]Apr-25'!$A:$A,'[1]Apr-25'!$H:$H,0)</f>
        <v>0</v>
      </c>
      <c r="V209" s="17">
        <f>_xlfn.XLOOKUP($B209,'[1]May-25'!$A:$A,'[1]May-25'!$H:$H,0)</f>
        <v>0</v>
      </c>
      <c r="W209" s="17">
        <f>_xlfn.XLOOKUP($B209,'[1]Jun-25'!$A:$A,'[1]Jun-25'!$H:$H,0)</f>
        <v>0</v>
      </c>
      <c r="X209" s="17">
        <f>_xlfn.XLOOKUP($B209,'[1]Jul-25'!$A:$A,'[1]Jul-25'!$H:$H,0)</f>
        <v>0</v>
      </c>
      <c r="Y209" s="17">
        <f>_xlfn.XLOOKUP($B209,'[1]Aug-25'!$A:$A,'[1]Aug-25'!$H:$H,0)</f>
        <v>0</v>
      </c>
      <c r="Z209" s="17">
        <f>_xlfn.XLOOKUP($B209,'[1]Sep-25'!$A:$A,'[1]Sep-25'!$H:$H,0)</f>
        <v>0</v>
      </c>
      <c r="AA209" s="17">
        <f>_xlfn.XLOOKUP($B209,'[1]Oct-25'!$A:$A,'[1]Oct-25'!$H:$H,0)</f>
        <v>0</v>
      </c>
      <c r="AB209" s="17">
        <f>_xlfn.XLOOKUP($B209,'[1]Nov-25'!$A:$A,'[1]Nov-25'!$H:$H,0)</f>
        <v>0</v>
      </c>
      <c r="AC209" s="17">
        <f>_xlfn.XLOOKUP($B209,'[1]Dec-25'!$A:$A,'[1]Dec-25'!$H:$H,0)</f>
        <v>0</v>
      </c>
      <c r="AD209" s="17">
        <f>_xlfn.XLOOKUP($B209,'[1]Jan-26'!$A:$A,'[1]Jan-26'!$H:$H,0)</f>
        <v>0</v>
      </c>
      <c r="AE209" s="17">
        <f>_xlfn.XLOOKUP($B209,'[1]Feb-26'!$A:$A,'[1]Feb-26'!$H:$H,0)</f>
        <v>0</v>
      </c>
      <c r="AF209" s="17">
        <f>_xlfn.XLOOKUP($B209,'[1]Mar-26'!$A:$A,'[1]Mar-26'!$H:$H,0)</f>
        <v>0</v>
      </c>
      <c r="AG209" s="17">
        <f>_xlfn.XLOOKUP($B209,'[1]Apr-26'!$A:$A,'[1]Apr-26'!$H:$H,0)</f>
        <v>0</v>
      </c>
    </row>
    <row r="210" spans="1:33" x14ac:dyDescent="0.2">
      <c r="A210" s="58">
        <v>17000</v>
      </c>
      <c r="B210" s="56" t="str">
        <f t="shared" si="9"/>
        <v>17000</v>
      </c>
      <c r="C210" s="57" t="s">
        <v>371</v>
      </c>
      <c r="D210" s="57" t="s">
        <v>303</v>
      </c>
      <c r="E210" s="44" t="s">
        <v>219</v>
      </c>
      <c r="F210" s="17">
        <f>_xlfn.XLOOKUP($B210,'[1]Jan-24'!$A:$A,'[1]Jan-24'!$H:$H,0)</f>
        <v>170606570.56999999</v>
      </c>
      <c r="G210" s="17">
        <f>_xlfn.XLOOKUP($B210,'[1]Feb-24'!$A:$A,'[1]Feb-24'!$H:$H,0)</f>
        <v>177031054.99000001</v>
      </c>
      <c r="H210" s="17">
        <f>_xlfn.XLOOKUP($B210,'[1]Mar-24'!$A:$A,'[1]Mar-24'!$H:$H,0)</f>
        <v>211205923.84999999</v>
      </c>
      <c r="I210" s="17">
        <f>_xlfn.XLOOKUP($B210,'[1]Apr-24'!$A:$A,'[1]Apr-24'!$H:$H,0)</f>
        <v>248704331.25999999</v>
      </c>
      <c r="J210" s="17">
        <f>_xlfn.XLOOKUP($B210,'[1]May-24'!$A:$A,'[1]May-24'!$H:$H,0)</f>
        <v>268893776.79000002</v>
      </c>
      <c r="K210" s="17">
        <f>_xlfn.XLOOKUP($B210,'[1]Jun-24'!$A:$A,'[1]Jun-24'!$H:$H,0)</f>
        <v>268893776.79000002</v>
      </c>
      <c r="L210" s="17">
        <f>_xlfn.XLOOKUP($B210,'[1]Jul-24'!$A:$A,'[1]Jul-24'!$H:$H,0)</f>
        <v>268893776.79000002</v>
      </c>
      <c r="M210" s="17">
        <f>_xlfn.XLOOKUP($B210,'[1]Aug-24'!$A:$A,'[1]Aug-24'!$H:$H,0)</f>
        <v>271402110.11000001</v>
      </c>
      <c r="N210" s="17">
        <f>_xlfn.XLOOKUP($B210,'[1]Sep-24'!$A:$A,'[1]Sep-24'!$H:$H,0)</f>
        <v>277699390.52999997</v>
      </c>
      <c r="O210" s="17">
        <f>_xlfn.XLOOKUP($B210,'[1]Oct-24'!$A:$A,'[1]Oct-24'!$H:$H,0)</f>
        <v>285727141.44999999</v>
      </c>
      <c r="P210" s="17">
        <f>_xlfn.XLOOKUP($B210,'[1]Nov-24'!$A:$A,'[1]Nov-24'!$H:$H,0)</f>
        <v>288000981.68000001</v>
      </c>
      <c r="Q210" s="17">
        <f>_xlfn.XLOOKUP($B210,'[1]Dec-24'!$A:$A,'[1]Dec-24'!$H:$H,0)</f>
        <v>302198656.10000002</v>
      </c>
      <c r="R210" s="17">
        <f>_xlfn.XLOOKUP($B210,'[1]Jan-25'!$A:$A,'[1]Jan-25'!$H:$H,0)</f>
        <v>311888853.44</v>
      </c>
      <c r="S210" s="17">
        <f>_xlfn.XLOOKUP($B210,'[1]Feb-25'!$A:$A,'[1]Feb-25'!$H:$H,0)</f>
        <v>311888853.44</v>
      </c>
      <c r="T210" s="17">
        <f>_xlfn.XLOOKUP($B210,'[1]Mar-25'!$A:$A,'[1]Mar-25'!$H:$H,0)</f>
        <v>366685763.89999998</v>
      </c>
      <c r="U210" s="17">
        <f>_xlfn.XLOOKUP($B210,'[1]Apr-25'!$A:$A,'[1]Apr-25'!$H:$H,0)</f>
        <v>366818663.89999998</v>
      </c>
      <c r="V210" s="17">
        <f>_xlfn.XLOOKUP($B210,'[1]May-25'!$A:$A,'[1]May-25'!$H:$H,0)</f>
        <v>366818663.89999998</v>
      </c>
      <c r="W210" s="17">
        <f>_xlfn.XLOOKUP($B210,'[1]Jun-25'!$A:$A,'[1]Jun-25'!$H:$H,0)</f>
        <v>388114354.81999999</v>
      </c>
      <c r="X210" s="17">
        <f>_xlfn.XLOOKUP($B210,'[1]Jul-25'!$A:$A,'[1]Jul-25'!$H:$H,0)</f>
        <v>389713354.81999999</v>
      </c>
      <c r="Y210" s="17">
        <f>_xlfn.XLOOKUP($B210,'[1]Aug-25'!$A:$A,'[1]Aug-25'!$H:$H,0)</f>
        <v>389713354.81999999</v>
      </c>
      <c r="Z210" s="17">
        <f>_xlfn.XLOOKUP($B210,'[1]Sep-25'!$A:$A,'[1]Sep-25'!$H:$H,0)</f>
        <v>389713354.81999999</v>
      </c>
      <c r="AA210" s="17">
        <f>_xlfn.XLOOKUP($B210,'[1]Oct-25'!$A:$A,'[1]Oct-25'!$H:$H,0)</f>
        <v>389713354.81999999</v>
      </c>
      <c r="AB210" s="17">
        <f>_xlfn.XLOOKUP($B210,'[1]Nov-25'!$A:$A,'[1]Nov-25'!$H:$H,0)</f>
        <v>395576476.22000003</v>
      </c>
      <c r="AC210" s="17">
        <f>_xlfn.XLOOKUP($B210,'[1]Dec-25'!$A:$A,'[1]Dec-25'!$H:$H,0)</f>
        <v>0</v>
      </c>
      <c r="AD210" s="17">
        <f>_xlfn.XLOOKUP($B210,'[1]Jan-26'!$A:$A,'[1]Jan-26'!$H:$H,0)</f>
        <v>0</v>
      </c>
      <c r="AE210" s="17">
        <f>_xlfn.XLOOKUP($B210,'[1]Feb-26'!$A:$A,'[1]Feb-26'!$H:$H,0)</f>
        <v>0</v>
      </c>
      <c r="AF210" s="17">
        <f>_xlfn.XLOOKUP($B210,'[1]Mar-26'!$A:$A,'[1]Mar-26'!$H:$H,0)</f>
        <v>0</v>
      </c>
      <c r="AG210" s="17">
        <f>_xlfn.XLOOKUP($B210,'[1]Apr-26'!$A:$A,'[1]Apr-26'!$H:$H,0)</f>
        <v>0</v>
      </c>
    </row>
    <row r="211" spans="1:33" x14ac:dyDescent="0.2">
      <c r="A211" s="58">
        <v>19000</v>
      </c>
      <c r="B211" s="56" t="str">
        <f t="shared" si="9"/>
        <v>19000</v>
      </c>
      <c r="C211" s="57" t="s">
        <v>422</v>
      </c>
      <c r="D211" s="57" t="s">
        <v>303</v>
      </c>
      <c r="E211" s="44" t="s">
        <v>423</v>
      </c>
      <c r="F211" s="17">
        <f>_xlfn.XLOOKUP($B211,'[1]Jan-24'!$A:$A,'[1]Jan-24'!$H:$H,0)</f>
        <v>0</v>
      </c>
      <c r="G211" s="17">
        <f>_xlfn.XLOOKUP($B211,'[1]Feb-24'!$A:$A,'[1]Feb-24'!$H:$H,0)</f>
        <v>0</v>
      </c>
      <c r="H211" s="17">
        <f>_xlfn.XLOOKUP($B211,'[1]Mar-24'!$A:$A,'[1]Mar-24'!$H:$H,0)</f>
        <v>0</v>
      </c>
      <c r="I211" s="17">
        <f>_xlfn.XLOOKUP($B211,'[1]Apr-24'!$A:$A,'[1]Apr-24'!$H:$H,0)</f>
        <v>0</v>
      </c>
      <c r="J211" s="17">
        <f>_xlfn.XLOOKUP($B211,'[1]May-24'!$A:$A,'[1]May-24'!$H:$H,0)</f>
        <v>0</v>
      </c>
      <c r="K211" s="17">
        <f>_xlfn.XLOOKUP($B211,'[1]Jun-24'!$A:$A,'[1]Jun-24'!$H:$H,0)</f>
        <v>0</v>
      </c>
      <c r="L211" s="17">
        <f>_xlfn.XLOOKUP($B211,'[1]Jul-24'!$A:$A,'[1]Jul-24'!$H:$H,0)</f>
        <v>0</v>
      </c>
      <c r="M211" s="17">
        <f>_xlfn.XLOOKUP($B211,'[1]Aug-24'!$A:$A,'[1]Aug-24'!$H:$H,0)</f>
        <v>0</v>
      </c>
      <c r="N211" s="17">
        <f>_xlfn.XLOOKUP($B211,'[1]Sep-24'!$A:$A,'[1]Sep-24'!$H:$H,0)</f>
        <v>0</v>
      </c>
      <c r="O211" s="17">
        <f>_xlfn.XLOOKUP($B211,'[1]Oct-24'!$A:$A,'[1]Oct-24'!$H:$H,0)</f>
        <v>0</v>
      </c>
      <c r="P211" s="17">
        <f>_xlfn.XLOOKUP($B211,'[1]Nov-24'!$A:$A,'[1]Nov-24'!$H:$H,0)</f>
        <v>0</v>
      </c>
      <c r="Q211" s="17">
        <f>_xlfn.XLOOKUP($B211,'[1]Dec-24'!$A:$A,'[1]Dec-24'!$H:$H,0)</f>
        <v>0</v>
      </c>
      <c r="R211" s="17">
        <f>_xlfn.XLOOKUP($B211,'[1]Jan-25'!$A:$A,'[1]Jan-25'!$H:$H,0)</f>
        <v>0</v>
      </c>
      <c r="S211" s="17">
        <f>_xlfn.XLOOKUP($B211,'[1]Feb-25'!$A:$A,'[1]Feb-25'!$H:$H,0)</f>
        <v>0</v>
      </c>
      <c r="T211" s="17">
        <f>_xlfn.XLOOKUP($B211,'[1]Mar-25'!$A:$A,'[1]Mar-25'!$H:$H,0)</f>
        <v>0</v>
      </c>
      <c r="U211" s="17">
        <f>_xlfn.XLOOKUP($B211,'[1]Apr-25'!$A:$A,'[1]Apr-25'!$H:$H,0)</f>
        <v>0</v>
      </c>
      <c r="V211" s="17">
        <f>_xlfn.XLOOKUP($B211,'[1]May-25'!$A:$A,'[1]May-25'!$H:$H,0)</f>
        <v>0</v>
      </c>
      <c r="W211" s="17">
        <f>_xlfn.XLOOKUP($B211,'[1]Jun-25'!$A:$A,'[1]Jun-25'!$H:$H,0)</f>
        <v>0</v>
      </c>
      <c r="X211" s="17">
        <f>_xlfn.XLOOKUP($B211,'[1]Jul-25'!$A:$A,'[1]Jul-25'!$H:$H,0)</f>
        <v>0</v>
      </c>
      <c r="Y211" s="17">
        <f>_xlfn.XLOOKUP($B211,'[1]Aug-25'!$A:$A,'[1]Aug-25'!$H:$H,0)</f>
        <v>0</v>
      </c>
      <c r="Z211" s="17">
        <f>_xlfn.XLOOKUP($B211,'[1]Sep-25'!$A:$A,'[1]Sep-25'!$H:$H,0)</f>
        <v>0</v>
      </c>
      <c r="AA211" s="17">
        <f>_xlfn.XLOOKUP($B211,'[1]Oct-25'!$A:$A,'[1]Oct-25'!$H:$H,0)</f>
        <v>0</v>
      </c>
      <c r="AB211" s="17">
        <f>_xlfn.XLOOKUP($B211,'[1]Nov-25'!$A:$A,'[1]Nov-25'!$H:$H,0)</f>
        <v>0</v>
      </c>
      <c r="AC211" s="17">
        <f>_xlfn.XLOOKUP($B211,'[1]Dec-25'!$A:$A,'[1]Dec-25'!$H:$H,0)</f>
        <v>0</v>
      </c>
      <c r="AD211" s="17">
        <f>_xlfn.XLOOKUP($B211,'[1]Jan-26'!$A:$A,'[1]Jan-26'!$H:$H,0)</f>
        <v>0</v>
      </c>
      <c r="AE211" s="17">
        <f>_xlfn.XLOOKUP($B211,'[1]Feb-26'!$A:$A,'[1]Feb-26'!$H:$H,0)</f>
        <v>0</v>
      </c>
      <c r="AF211" s="17">
        <f>_xlfn.XLOOKUP($B211,'[1]Mar-26'!$A:$A,'[1]Mar-26'!$H:$H,0)</f>
        <v>0</v>
      </c>
      <c r="AG211" s="17">
        <f>_xlfn.XLOOKUP($B211,'[1]Apr-26'!$A:$A,'[1]Apr-26'!$H:$H,0)</f>
        <v>0</v>
      </c>
    </row>
    <row r="212" spans="1:33" x14ac:dyDescent="0.2">
      <c r="A212" s="58">
        <v>19001</v>
      </c>
      <c r="B212" s="56" t="str">
        <f t="shared" si="9"/>
        <v>19001</v>
      </c>
      <c r="C212" s="57" t="s">
        <v>422</v>
      </c>
      <c r="D212" s="57" t="s">
        <v>303</v>
      </c>
      <c r="E212" s="44" t="s">
        <v>424</v>
      </c>
      <c r="F212" s="17">
        <f>_xlfn.XLOOKUP($B212,'[1]Jan-24'!$A:$A,'[1]Jan-24'!$H:$H,0)</f>
        <v>0</v>
      </c>
      <c r="G212" s="17">
        <f>_xlfn.XLOOKUP($B212,'[1]Feb-24'!$A:$A,'[1]Feb-24'!$H:$H,0)</f>
        <v>0</v>
      </c>
      <c r="H212" s="17">
        <f>_xlfn.XLOOKUP($B212,'[1]Mar-24'!$A:$A,'[1]Mar-24'!$H:$H,0)</f>
        <v>0</v>
      </c>
      <c r="I212" s="17">
        <f>_xlfn.XLOOKUP($B212,'[1]Apr-24'!$A:$A,'[1]Apr-24'!$H:$H,0)</f>
        <v>0</v>
      </c>
      <c r="J212" s="17">
        <f>_xlfn.XLOOKUP($B212,'[1]May-24'!$A:$A,'[1]May-24'!$H:$H,0)</f>
        <v>0</v>
      </c>
      <c r="K212" s="17">
        <f>_xlfn.XLOOKUP($B212,'[1]Jun-24'!$A:$A,'[1]Jun-24'!$H:$H,0)</f>
        <v>0</v>
      </c>
      <c r="L212" s="17">
        <f>_xlfn.XLOOKUP($B212,'[1]Jul-24'!$A:$A,'[1]Jul-24'!$H:$H,0)</f>
        <v>0</v>
      </c>
      <c r="M212" s="17">
        <f>_xlfn.XLOOKUP($B212,'[1]Aug-24'!$A:$A,'[1]Aug-24'!$H:$H,0)</f>
        <v>0</v>
      </c>
      <c r="N212" s="17">
        <f>_xlfn.XLOOKUP($B212,'[1]Sep-24'!$A:$A,'[1]Sep-24'!$H:$H,0)</f>
        <v>0</v>
      </c>
      <c r="O212" s="17">
        <f>_xlfn.XLOOKUP($B212,'[1]Oct-24'!$A:$A,'[1]Oct-24'!$H:$H,0)</f>
        <v>0</v>
      </c>
      <c r="P212" s="17">
        <f>_xlfn.XLOOKUP($B212,'[1]Nov-24'!$A:$A,'[1]Nov-24'!$H:$H,0)</f>
        <v>0</v>
      </c>
      <c r="Q212" s="17">
        <f>_xlfn.XLOOKUP($B212,'[1]Dec-24'!$A:$A,'[1]Dec-24'!$H:$H,0)</f>
        <v>0</v>
      </c>
      <c r="R212" s="17">
        <f>_xlfn.XLOOKUP($B212,'[1]Jan-25'!$A:$A,'[1]Jan-25'!$H:$H,0)</f>
        <v>0</v>
      </c>
      <c r="S212" s="17">
        <f>_xlfn.XLOOKUP($B212,'[1]Feb-25'!$A:$A,'[1]Feb-25'!$H:$H,0)</f>
        <v>0</v>
      </c>
      <c r="T212" s="17">
        <f>_xlfn.XLOOKUP($B212,'[1]Mar-25'!$A:$A,'[1]Mar-25'!$H:$H,0)</f>
        <v>0</v>
      </c>
      <c r="U212" s="17">
        <f>_xlfn.XLOOKUP($B212,'[1]Apr-25'!$A:$A,'[1]Apr-25'!$H:$H,0)</f>
        <v>0</v>
      </c>
      <c r="V212" s="17">
        <f>_xlfn.XLOOKUP($B212,'[1]May-25'!$A:$A,'[1]May-25'!$H:$H,0)</f>
        <v>0</v>
      </c>
      <c r="W212" s="17">
        <f>_xlfn.XLOOKUP($B212,'[1]Jun-25'!$A:$A,'[1]Jun-25'!$H:$H,0)</f>
        <v>0</v>
      </c>
      <c r="X212" s="17">
        <f>_xlfn.XLOOKUP($B212,'[1]Jul-25'!$A:$A,'[1]Jul-25'!$H:$H,0)</f>
        <v>0</v>
      </c>
      <c r="Y212" s="17">
        <f>_xlfn.XLOOKUP($B212,'[1]Aug-25'!$A:$A,'[1]Aug-25'!$H:$H,0)</f>
        <v>0</v>
      </c>
      <c r="Z212" s="17">
        <f>_xlfn.XLOOKUP($B212,'[1]Sep-25'!$A:$A,'[1]Sep-25'!$H:$H,0)</f>
        <v>0</v>
      </c>
      <c r="AA212" s="17">
        <f>_xlfn.XLOOKUP($B212,'[1]Oct-25'!$A:$A,'[1]Oct-25'!$H:$H,0)</f>
        <v>0</v>
      </c>
      <c r="AB212" s="17">
        <f>_xlfn.XLOOKUP($B212,'[1]Nov-25'!$A:$A,'[1]Nov-25'!$H:$H,0)</f>
        <v>0</v>
      </c>
      <c r="AC212" s="17">
        <f>_xlfn.XLOOKUP($B212,'[1]Dec-25'!$A:$A,'[1]Dec-25'!$H:$H,0)</f>
        <v>0</v>
      </c>
      <c r="AD212" s="17">
        <f>_xlfn.XLOOKUP($B212,'[1]Jan-26'!$A:$A,'[1]Jan-26'!$H:$H,0)</f>
        <v>0</v>
      </c>
      <c r="AE212" s="17">
        <f>_xlfn.XLOOKUP($B212,'[1]Feb-26'!$A:$A,'[1]Feb-26'!$H:$H,0)</f>
        <v>0</v>
      </c>
      <c r="AF212" s="17">
        <f>_xlfn.XLOOKUP($B212,'[1]Mar-26'!$A:$A,'[1]Mar-26'!$H:$H,0)</f>
        <v>0</v>
      </c>
      <c r="AG212" s="17">
        <f>_xlfn.XLOOKUP($B212,'[1]Apr-26'!$A:$A,'[1]Apr-26'!$H:$H,0)</f>
        <v>0</v>
      </c>
    </row>
    <row r="213" spans="1:33" x14ac:dyDescent="0.2">
      <c r="A213" s="58">
        <v>19002</v>
      </c>
      <c r="B213" s="56" t="str">
        <f t="shared" si="9"/>
        <v>19002</v>
      </c>
      <c r="C213" s="57" t="s">
        <v>422</v>
      </c>
      <c r="D213" s="57" t="s">
        <v>303</v>
      </c>
      <c r="E213" s="44" t="s">
        <v>425</v>
      </c>
      <c r="F213" s="17">
        <f>_xlfn.XLOOKUP($B213,'[1]Jan-24'!$A:$A,'[1]Jan-24'!$H:$H,0)</f>
        <v>0</v>
      </c>
      <c r="G213" s="17">
        <f>_xlfn.XLOOKUP($B213,'[1]Feb-24'!$A:$A,'[1]Feb-24'!$H:$H,0)</f>
        <v>0</v>
      </c>
      <c r="H213" s="17">
        <f>_xlfn.XLOOKUP($B213,'[1]Mar-24'!$A:$A,'[1]Mar-24'!$H:$H,0)</f>
        <v>0</v>
      </c>
      <c r="I213" s="17">
        <f>_xlfn.XLOOKUP($B213,'[1]Apr-24'!$A:$A,'[1]Apr-24'!$H:$H,0)</f>
        <v>0</v>
      </c>
      <c r="J213" s="17">
        <f>_xlfn.XLOOKUP($B213,'[1]May-24'!$A:$A,'[1]May-24'!$H:$H,0)</f>
        <v>0</v>
      </c>
      <c r="K213" s="17">
        <f>_xlfn.XLOOKUP($B213,'[1]Jun-24'!$A:$A,'[1]Jun-24'!$H:$H,0)</f>
        <v>0</v>
      </c>
      <c r="L213" s="17">
        <f>_xlfn.XLOOKUP($B213,'[1]Jul-24'!$A:$A,'[1]Jul-24'!$H:$H,0)</f>
        <v>0</v>
      </c>
      <c r="M213" s="17">
        <f>_xlfn.XLOOKUP($B213,'[1]Aug-24'!$A:$A,'[1]Aug-24'!$H:$H,0)</f>
        <v>0</v>
      </c>
      <c r="N213" s="17">
        <f>_xlfn.XLOOKUP($B213,'[1]Sep-24'!$A:$A,'[1]Sep-24'!$H:$H,0)</f>
        <v>0</v>
      </c>
      <c r="O213" s="17">
        <f>_xlfn.XLOOKUP($B213,'[1]Oct-24'!$A:$A,'[1]Oct-24'!$H:$H,0)</f>
        <v>0</v>
      </c>
      <c r="P213" s="17">
        <f>_xlfn.XLOOKUP($B213,'[1]Nov-24'!$A:$A,'[1]Nov-24'!$H:$H,0)</f>
        <v>0</v>
      </c>
      <c r="Q213" s="17">
        <f>_xlfn.XLOOKUP($B213,'[1]Dec-24'!$A:$A,'[1]Dec-24'!$H:$H,0)</f>
        <v>0</v>
      </c>
      <c r="R213" s="17">
        <f>_xlfn.XLOOKUP($B213,'[1]Jan-25'!$A:$A,'[1]Jan-25'!$H:$H,0)</f>
        <v>0</v>
      </c>
      <c r="S213" s="17">
        <f>_xlfn.XLOOKUP($B213,'[1]Feb-25'!$A:$A,'[1]Feb-25'!$H:$H,0)</f>
        <v>0</v>
      </c>
      <c r="T213" s="17">
        <f>_xlfn.XLOOKUP($B213,'[1]Mar-25'!$A:$A,'[1]Mar-25'!$H:$H,0)</f>
        <v>0</v>
      </c>
      <c r="U213" s="17">
        <f>_xlfn.XLOOKUP($B213,'[1]Apr-25'!$A:$A,'[1]Apr-25'!$H:$H,0)</f>
        <v>0</v>
      </c>
      <c r="V213" s="17">
        <f>_xlfn.XLOOKUP($B213,'[1]May-25'!$A:$A,'[1]May-25'!$H:$H,0)</f>
        <v>0</v>
      </c>
      <c r="W213" s="17">
        <f>_xlfn.XLOOKUP($B213,'[1]Jun-25'!$A:$A,'[1]Jun-25'!$H:$H,0)</f>
        <v>0</v>
      </c>
      <c r="X213" s="17">
        <f>_xlfn.XLOOKUP($B213,'[1]Jul-25'!$A:$A,'[1]Jul-25'!$H:$H,0)</f>
        <v>0</v>
      </c>
      <c r="Y213" s="17">
        <f>_xlfn.XLOOKUP($B213,'[1]Aug-25'!$A:$A,'[1]Aug-25'!$H:$H,0)</f>
        <v>0</v>
      </c>
      <c r="Z213" s="17">
        <f>_xlfn.XLOOKUP($B213,'[1]Sep-25'!$A:$A,'[1]Sep-25'!$H:$H,0)</f>
        <v>0</v>
      </c>
      <c r="AA213" s="17">
        <f>_xlfn.XLOOKUP($B213,'[1]Oct-25'!$A:$A,'[1]Oct-25'!$H:$H,0)</f>
        <v>0</v>
      </c>
      <c r="AB213" s="17">
        <f>_xlfn.XLOOKUP($B213,'[1]Nov-25'!$A:$A,'[1]Nov-25'!$H:$H,0)</f>
        <v>0</v>
      </c>
      <c r="AC213" s="17">
        <f>_xlfn.XLOOKUP($B213,'[1]Dec-25'!$A:$A,'[1]Dec-25'!$H:$H,0)</f>
        <v>0</v>
      </c>
      <c r="AD213" s="17">
        <f>_xlfn.XLOOKUP($B213,'[1]Jan-26'!$A:$A,'[1]Jan-26'!$H:$H,0)</f>
        <v>0</v>
      </c>
      <c r="AE213" s="17">
        <f>_xlfn.XLOOKUP($B213,'[1]Feb-26'!$A:$A,'[1]Feb-26'!$H:$H,0)</f>
        <v>0</v>
      </c>
      <c r="AF213" s="17">
        <f>_xlfn.XLOOKUP($B213,'[1]Mar-26'!$A:$A,'[1]Mar-26'!$H:$H,0)</f>
        <v>0</v>
      </c>
      <c r="AG213" s="17">
        <f>_xlfn.XLOOKUP($B213,'[1]Apr-26'!$A:$A,'[1]Apr-26'!$H:$H,0)</f>
        <v>0</v>
      </c>
    </row>
    <row r="214" spans="1:33" x14ac:dyDescent="0.2">
      <c r="A214" s="58">
        <v>19003</v>
      </c>
      <c r="B214" s="56" t="str">
        <f t="shared" si="9"/>
        <v>19003</v>
      </c>
      <c r="C214" s="57" t="s">
        <v>302</v>
      </c>
      <c r="D214" s="57" t="s">
        <v>303</v>
      </c>
      <c r="E214" s="44" t="s">
        <v>426</v>
      </c>
      <c r="F214" s="17">
        <f>_xlfn.XLOOKUP($B214,'[1]Jan-24'!$A:$A,'[1]Jan-24'!$H:$H,0)</f>
        <v>0</v>
      </c>
      <c r="G214" s="17">
        <f>_xlfn.XLOOKUP($B214,'[1]Feb-24'!$A:$A,'[1]Feb-24'!$H:$H,0)</f>
        <v>0</v>
      </c>
      <c r="H214" s="17">
        <f>_xlfn.XLOOKUP($B214,'[1]Mar-24'!$A:$A,'[1]Mar-24'!$H:$H,0)</f>
        <v>0</v>
      </c>
      <c r="I214" s="17">
        <f>_xlfn.XLOOKUP($B214,'[1]Apr-24'!$A:$A,'[1]Apr-24'!$H:$H,0)</f>
        <v>0</v>
      </c>
      <c r="J214" s="17">
        <f>_xlfn.XLOOKUP($B214,'[1]May-24'!$A:$A,'[1]May-24'!$H:$H,0)</f>
        <v>0</v>
      </c>
      <c r="K214" s="17">
        <f>_xlfn.XLOOKUP($B214,'[1]Jun-24'!$A:$A,'[1]Jun-24'!$H:$H,0)</f>
        <v>0</v>
      </c>
      <c r="L214" s="17">
        <f>_xlfn.XLOOKUP($B214,'[1]Jul-24'!$A:$A,'[1]Jul-24'!$H:$H,0)</f>
        <v>0</v>
      </c>
      <c r="M214" s="17">
        <f>_xlfn.XLOOKUP($B214,'[1]Aug-24'!$A:$A,'[1]Aug-24'!$H:$H,0)</f>
        <v>0</v>
      </c>
      <c r="N214" s="17">
        <f>_xlfn.XLOOKUP($B214,'[1]Sep-24'!$A:$A,'[1]Sep-24'!$H:$H,0)</f>
        <v>0</v>
      </c>
      <c r="O214" s="17">
        <f>_xlfn.XLOOKUP($B214,'[1]Oct-24'!$A:$A,'[1]Oct-24'!$H:$H,0)</f>
        <v>0</v>
      </c>
      <c r="P214" s="17">
        <f>_xlfn.XLOOKUP($B214,'[1]Nov-24'!$A:$A,'[1]Nov-24'!$H:$H,0)</f>
        <v>0</v>
      </c>
      <c r="Q214" s="17">
        <f>_xlfn.XLOOKUP($B214,'[1]Dec-24'!$A:$A,'[1]Dec-24'!$H:$H,0)</f>
        <v>0</v>
      </c>
      <c r="R214" s="17">
        <f>_xlfn.XLOOKUP($B214,'[1]Jan-25'!$A:$A,'[1]Jan-25'!$H:$H,0)</f>
        <v>0</v>
      </c>
      <c r="S214" s="17">
        <f>_xlfn.XLOOKUP($B214,'[1]Feb-25'!$A:$A,'[1]Feb-25'!$H:$H,0)</f>
        <v>0</v>
      </c>
      <c r="T214" s="17">
        <f>_xlfn.XLOOKUP($B214,'[1]Mar-25'!$A:$A,'[1]Mar-25'!$H:$H,0)</f>
        <v>0</v>
      </c>
      <c r="U214" s="17">
        <f>_xlfn.XLOOKUP($B214,'[1]Apr-25'!$A:$A,'[1]Apr-25'!$H:$H,0)</f>
        <v>0</v>
      </c>
      <c r="V214" s="17">
        <f>_xlfn.XLOOKUP($B214,'[1]May-25'!$A:$A,'[1]May-25'!$H:$H,0)</f>
        <v>0</v>
      </c>
      <c r="W214" s="17">
        <f>_xlfn.XLOOKUP($B214,'[1]Jun-25'!$A:$A,'[1]Jun-25'!$H:$H,0)</f>
        <v>0</v>
      </c>
      <c r="X214" s="17">
        <f>_xlfn.XLOOKUP($B214,'[1]Jul-25'!$A:$A,'[1]Jul-25'!$H:$H,0)</f>
        <v>0</v>
      </c>
      <c r="Y214" s="17">
        <f>_xlfn.XLOOKUP($B214,'[1]Aug-25'!$A:$A,'[1]Aug-25'!$H:$H,0)</f>
        <v>0</v>
      </c>
      <c r="Z214" s="17">
        <f>_xlfn.XLOOKUP($B214,'[1]Sep-25'!$A:$A,'[1]Sep-25'!$H:$H,0)</f>
        <v>0</v>
      </c>
      <c r="AA214" s="17">
        <f>_xlfn.XLOOKUP($B214,'[1]Oct-25'!$A:$A,'[1]Oct-25'!$H:$H,0)</f>
        <v>0</v>
      </c>
      <c r="AB214" s="17">
        <f>_xlfn.XLOOKUP($B214,'[1]Nov-25'!$A:$A,'[1]Nov-25'!$H:$H,0)</f>
        <v>0</v>
      </c>
      <c r="AC214" s="17">
        <f>_xlfn.XLOOKUP($B214,'[1]Dec-25'!$A:$A,'[1]Dec-25'!$H:$H,0)</f>
        <v>0</v>
      </c>
      <c r="AD214" s="17">
        <f>_xlfn.XLOOKUP($B214,'[1]Jan-26'!$A:$A,'[1]Jan-26'!$H:$H,0)</f>
        <v>0</v>
      </c>
      <c r="AE214" s="17">
        <f>_xlfn.XLOOKUP($B214,'[1]Feb-26'!$A:$A,'[1]Feb-26'!$H:$H,0)</f>
        <v>0</v>
      </c>
      <c r="AF214" s="17">
        <f>_xlfn.XLOOKUP($B214,'[1]Mar-26'!$A:$A,'[1]Mar-26'!$H:$H,0)</f>
        <v>0</v>
      </c>
      <c r="AG214" s="17">
        <f>_xlfn.XLOOKUP($B214,'[1]Apr-26'!$A:$A,'[1]Apr-26'!$H:$H,0)</f>
        <v>0</v>
      </c>
    </row>
    <row r="215" spans="1:33" x14ac:dyDescent="0.2">
      <c r="A215" s="58">
        <v>19004</v>
      </c>
      <c r="B215" s="56" t="str">
        <f t="shared" si="9"/>
        <v>19004</v>
      </c>
      <c r="C215" s="57" t="s">
        <v>371</v>
      </c>
      <c r="D215" s="57" t="s">
        <v>303</v>
      </c>
      <c r="E215" s="44" t="s">
        <v>230</v>
      </c>
      <c r="F215" s="17">
        <f>_xlfn.XLOOKUP($B215,'[1]Jan-24'!$A:$A,'[1]Jan-24'!$H:$H,0)</f>
        <v>17413421.199999999</v>
      </c>
      <c r="G215" s="17">
        <f>_xlfn.XLOOKUP($B215,'[1]Feb-24'!$A:$A,'[1]Feb-24'!$H:$H,0)</f>
        <v>13333191.279999999</v>
      </c>
      <c r="H215" s="17">
        <f>_xlfn.XLOOKUP($B215,'[1]Mar-24'!$A:$A,'[1]Mar-24'!$H:$H,0)</f>
        <v>12613421.199999999</v>
      </c>
      <c r="I215" s="17">
        <f>_xlfn.XLOOKUP($B215,'[1]Apr-24'!$A:$A,'[1]Apr-24'!$H:$H,0)</f>
        <v>12636079.560000001</v>
      </c>
      <c r="J215" s="17">
        <f>_xlfn.XLOOKUP($B215,'[1]May-24'!$A:$A,'[1]May-24'!$H:$H,0)</f>
        <v>12636079.560000001</v>
      </c>
      <c r="K215" s="17">
        <f>_xlfn.XLOOKUP($B215,'[1]Jun-24'!$A:$A,'[1]Jun-24'!$H:$H,0)</f>
        <v>12636079.560000001</v>
      </c>
      <c r="L215" s="17">
        <f>_xlfn.XLOOKUP($B215,'[1]Jul-24'!$A:$A,'[1]Jul-24'!$H:$H,0)</f>
        <v>13173579.560000001</v>
      </c>
      <c r="M215" s="17">
        <f>_xlfn.XLOOKUP($B215,'[1]Aug-24'!$A:$A,'[1]Aug-24'!$H:$H,0)</f>
        <v>17500454.559999999</v>
      </c>
      <c r="N215" s="17">
        <f>_xlfn.XLOOKUP($B215,'[1]Sep-24'!$A:$A,'[1]Sep-24'!$H:$H,0)</f>
        <v>17545454.559999999</v>
      </c>
      <c r="O215" s="17">
        <f>_xlfn.XLOOKUP($B215,'[1]Oct-24'!$A:$A,'[1]Oct-24'!$H:$H,0)</f>
        <v>17545454.559999999</v>
      </c>
      <c r="P215" s="17">
        <f>_xlfn.XLOOKUP($B215,'[1]Nov-24'!$A:$A,'[1]Nov-24'!$H:$H,0)</f>
        <v>17545454.559999999</v>
      </c>
      <c r="Q215" s="17">
        <f>_xlfn.XLOOKUP($B215,'[1]Dec-24'!$A:$A,'[1]Dec-24'!$H:$H,0)</f>
        <v>2523980.39</v>
      </c>
      <c r="R215" s="17">
        <f>_xlfn.XLOOKUP($B215,'[1]Jan-25'!$A:$A,'[1]Jan-25'!$H:$H,0)</f>
        <v>2523980.39</v>
      </c>
      <c r="S215" s="17">
        <f>_xlfn.XLOOKUP($B215,'[1]Feb-25'!$A:$A,'[1]Feb-25'!$H:$H,0)</f>
        <v>2523980.39</v>
      </c>
      <c r="T215" s="17">
        <f>_xlfn.XLOOKUP($B215,'[1]Mar-25'!$A:$A,'[1]Mar-25'!$H:$H,0)</f>
        <v>2523980.39</v>
      </c>
      <c r="U215" s="17">
        <f>_xlfn.XLOOKUP($B215,'[1]Apr-25'!$A:$A,'[1]Apr-25'!$H:$H,0)</f>
        <v>2523980.39</v>
      </c>
      <c r="V215" s="17">
        <f>_xlfn.XLOOKUP($B215,'[1]May-25'!$A:$A,'[1]May-25'!$H:$H,0)</f>
        <v>2523980.39</v>
      </c>
      <c r="W215" s="17">
        <f>_xlfn.XLOOKUP($B215,'[1]Jun-25'!$A:$A,'[1]Jun-25'!$H:$H,0)</f>
        <v>2523980.39</v>
      </c>
      <c r="X215" s="17">
        <f>_xlfn.XLOOKUP($B215,'[1]Jul-25'!$A:$A,'[1]Jul-25'!$H:$H,0)</f>
        <v>2523980.39</v>
      </c>
      <c r="Y215" s="17">
        <f>_xlfn.XLOOKUP($B215,'[1]Aug-25'!$A:$A,'[1]Aug-25'!$H:$H,0)</f>
        <v>0</v>
      </c>
      <c r="Z215" s="17">
        <f>_xlfn.XLOOKUP($B215,'[1]Sep-25'!$A:$A,'[1]Sep-25'!$H:$H,0)</f>
        <v>0</v>
      </c>
      <c r="AA215" s="17">
        <f>_xlfn.XLOOKUP($B215,'[1]Oct-25'!$A:$A,'[1]Oct-25'!$H:$H,0)</f>
        <v>0</v>
      </c>
      <c r="AB215" s="17">
        <f>_xlfn.XLOOKUP($B215,'[1]Nov-25'!$A:$A,'[1]Nov-25'!$H:$H,0)</f>
        <v>0</v>
      </c>
      <c r="AC215" s="17">
        <f>_xlfn.XLOOKUP($B215,'[1]Dec-25'!$A:$A,'[1]Dec-25'!$H:$H,0)</f>
        <v>0</v>
      </c>
      <c r="AD215" s="17">
        <f>_xlfn.XLOOKUP($B215,'[1]Jan-26'!$A:$A,'[1]Jan-26'!$H:$H,0)</f>
        <v>0</v>
      </c>
      <c r="AE215" s="17">
        <f>_xlfn.XLOOKUP($B215,'[1]Feb-26'!$A:$A,'[1]Feb-26'!$H:$H,0)</f>
        <v>0</v>
      </c>
      <c r="AF215" s="17">
        <f>_xlfn.XLOOKUP($B215,'[1]Mar-26'!$A:$A,'[1]Mar-26'!$H:$H,0)</f>
        <v>0</v>
      </c>
      <c r="AG215" s="17">
        <f>_xlfn.XLOOKUP($B215,'[1]Apr-26'!$A:$A,'[1]Apr-26'!$H:$H,0)</f>
        <v>0</v>
      </c>
    </row>
    <row r="216" spans="1:33" x14ac:dyDescent="0.2">
      <c r="A216" s="58">
        <v>19005</v>
      </c>
      <c r="B216" s="56" t="str">
        <f t="shared" si="9"/>
        <v>19005</v>
      </c>
      <c r="C216" s="57" t="s">
        <v>302</v>
      </c>
      <c r="D216" s="57" t="s">
        <v>303</v>
      </c>
      <c r="E216" s="44" t="s">
        <v>427</v>
      </c>
      <c r="F216" s="17">
        <f>_xlfn.XLOOKUP($B216,'[1]Jan-24'!$A:$A,'[1]Jan-24'!$H:$H,0)</f>
        <v>0</v>
      </c>
      <c r="G216" s="17">
        <f>_xlfn.XLOOKUP($B216,'[1]Feb-24'!$A:$A,'[1]Feb-24'!$H:$H,0)</f>
        <v>0</v>
      </c>
      <c r="H216" s="17">
        <f>_xlfn.XLOOKUP($B216,'[1]Mar-24'!$A:$A,'[1]Mar-24'!$H:$H,0)</f>
        <v>0</v>
      </c>
      <c r="I216" s="17">
        <f>_xlfn.XLOOKUP($B216,'[1]Apr-24'!$A:$A,'[1]Apr-24'!$H:$H,0)</f>
        <v>0</v>
      </c>
      <c r="J216" s="17">
        <f>_xlfn.XLOOKUP($B216,'[1]May-24'!$A:$A,'[1]May-24'!$H:$H,0)</f>
        <v>0</v>
      </c>
      <c r="K216" s="17">
        <f>_xlfn.XLOOKUP($B216,'[1]Jun-24'!$A:$A,'[1]Jun-24'!$H:$H,0)</f>
        <v>0</v>
      </c>
      <c r="L216" s="17">
        <f>_xlfn.XLOOKUP($B216,'[1]Jul-24'!$A:$A,'[1]Jul-24'!$H:$H,0)</f>
        <v>0</v>
      </c>
      <c r="M216" s="17">
        <f>_xlfn.XLOOKUP($B216,'[1]Aug-24'!$A:$A,'[1]Aug-24'!$H:$H,0)</f>
        <v>0</v>
      </c>
      <c r="N216" s="17">
        <f>_xlfn.XLOOKUP($B216,'[1]Sep-24'!$A:$A,'[1]Sep-24'!$H:$H,0)</f>
        <v>0</v>
      </c>
      <c r="O216" s="17">
        <f>_xlfn.XLOOKUP($B216,'[1]Oct-24'!$A:$A,'[1]Oct-24'!$H:$H,0)</f>
        <v>0</v>
      </c>
      <c r="P216" s="17">
        <f>_xlfn.XLOOKUP($B216,'[1]Nov-24'!$A:$A,'[1]Nov-24'!$H:$H,0)</f>
        <v>0</v>
      </c>
      <c r="Q216" s="17">
        <f>_xlfn.XLOOKUP($B216,'[1]Dec-24'!$A:$A,'[1]Dec-24'!$H:$H,0)</f>
        <v>0</v>
      </c>
      <c r="R216" s="17">
        <f>_xlfn.XLOOKUP($B216,'[1]Jan-25'!$A:$A,'[1]Jan-25'!$H:$H,0)</f>
        <v>0</v>
      </c>
      <c r="S216" s="17">
        <f>_xlfn.XLOOKUP($B216,'[1]Feb-25'!$A:$A,'[1]Feb-25'!$H:$H,0)</f>
        <v>0</v>
      </c>
      <c r="T216" s="17">
        <f>_xlfn.XLOOKUP($B216,'[1]Mar-25'!$A:$A,'[1]Mar-25'!$H:$H,0)</f>
        <v>0</v>
      </c>
      <c r="U216" s="17">
        <f>_xlfn.XLOOKUP($B216,'[1]Apr-25'!$A:$A,'[1]Apr-25'!$H:$H,0)</f>
        <v>0</v>
      </c>
      <c r="V216" s="17">
        <f>_xlfn.XLOOKUP($B216,'[1]May-25'!$A:$A,'[1]May-25'!$H:$H,0)</f>
        <v>0</v>
      </c>
      <c r="W216" s="17">
        <f>_xlfn.XLOOKUP($B216,'[1]Jun-25'!$A:$A,'[1]Jun-25'!$H:$H,0)</f>
        <v>0</v>
      </c>
      <c r="X216" s="17">
        <f>_xlfn.XLOOKUP($B216,'[1]Jul-25'!$A:$A,'[1]Jul-25'!$H:$H,0)</f>
        <v>0</v>
      </c>
      <c r="Y216" s="17">
        <f>_xlfn.XLOOKUP($B216,'[1]Aug-25'!$A:$A,'[1]Aug-25'!$H:$H,0)</f>
        <v>0</v>
      </c>
      <c r="Z216" s="17">
        <f>_xlfn.XLOOKUP($B216,'[1]Sep-25'!$A:$A,'[1]Sep-25'!$H:$H,0)</f>
        <v>0</v>
      </c>
      <c r="AA216" s="17">
        <f>_xlfn.XLOOKUP($B216,'[1]Oct-25'!$A:$A,'[1]Oct-25'!$H:$H,0)</f>
        <v>0</v>
      </c>
      <c r="AB216" s="17">
        <f>_xlfn.XLOOKUP($B216,'[1]Nov-25'!$A:$A,'[1]Nov-25'!$H:$H,0)</f>
        <v>0</v>
      </c>
      <c r="AC216" s="17">
        <f>_xlfn.XLOOKUP($B216,'[1]Dec-25'!$A:$A,'[1]Dec-25'!$H:$H,0)</f>
        <v>0</v>
      </c>
      <c r="AD216" s="17">
        <f>_xlfn.XLOOKUP($B216,'[1]Jan-26'!$A:$A,'[1]Jan-26'!$H:$H,0)</f>
        <v>0</v>
      </c>
      <c r="AE216" s="17">
        <f>_xlfn.XLOOKUP($B216,'[1]Feb-26'!$A:$A,'[1]Feb-26'!$H:$H,0)</f>
        <v>0</v>
      </c>
      <c r="AF216" s="17">
        <f>_xlfn.XLOOKUP($B216,'[1]Mar-26'!$A:$A,'[1]Mar-26'!$H:$H,0)</f>
        <v>0</v>
      </c>
      <c r="AG216" s="17">
        <f>_xlfn.XLOOKUP($B216,'[1]Apr-26'!$A:$A,'[1]Apr-26'!$H:$H,0)</f>
        <v>0</v>
      </c>
    </row>
    <row r="217" spans="1:33" x14ac:dyDescent="0.2">
      <c r="A217" s="58">
        <v>19006</v>
      </c>
      <c r="B217" s="56" t="str">
        <f t="shared" si="9"/>
        <v>19006</v>
      </c>
      <c r="C217" s="57" t="s">
        <v>302</v>
      </c>
      <c r="D217" s="57" t="s">
        <v>303</v>
      </c>
      <c r="E217" s="44" t="s">
        <v>192</v>
      </c>
      <c r="F217" s="17">
        <f>_xlfn.XLOOKUP($B217,'[1]Jan-24'!$A:$A,'[1]Jan-24'!$H:$H,0)</f>
        <v>142575</v>
      </c>
      <c r="G217" s="17">
        <f>_xlfn.XLOOKUP($B217,'[1]Feb-24'!$A:$A,'[1]Feb-24'!$H:$H,0)</f>
        <v>611775</v>
      </c>
      <c r="H217" s="17">
        <f>_xlfn.XLOOKUP($B217,'[1]Mar-24'!$A:$A,'[1]Mar-24'!$H:$H,0)</f>
        <v>622380</v>
      </c>
      <c r="I217" s="17">
        <f>_xlfn.XLOOKUP($B217,'[1]Apr-24'!$A:$A,'[1]Apr-24'!$H:$H,0)</f>
        <v>555514.69999999995</v>
      </c>
      <c r="J217" s="17">
        <f>_xlfn.XLOOKUP($B217,'[1]May-24'!$A:$A,'[1]May-24'!$H:$H,0)</f>
        <v>1561885.21</v>
      </c>
      <c r="K217" s="17">
        <f>_xlfn.XLOOKUP($B217,'[1]Jun-24'!$A:$A,'[1]Jun-24'!$H:$H,0)</f>
        <v>2393769.14</v>
      </c>
      <c r="L217" s="17">
        <f>_xlfn.XLOOKUP($B217,'[1]Jul-24'!$A:$A,'[1]Jul-24'!$H:$H,0)</f>
        <v>1444233.77</v>
      </c>
      <c r="M217" s="17">
        <f>_xlfn.XLOOKUP($B217,'[1]Aug-24'!$A:$A,'[1]Aug-24'!$H:$H,0)</f>
        <v>1336870.9099999999</v>
      </c>
      <c r="N217" s="17">
        <f>_xlfn.XLOOKUP($B217,'[1]Sep-24'!$A:$A,'[1]Sep-24'!$H:$H,0)</f>
        <v>355279.74</v>
      </c>
      <c r="O217" s="17">
        <f>_xlfn.XLOOKUP($B217,'[1]Oct-24'!$A:$A,'[1]Oct-24'!$H:$H,0)</f>
        <v>-55068.32</v>
      </c>
      <c r="P217" s="17">
        <f>_xlfn.XLOOKUP($B217,'[1]Nov-24'!$A:$A,'[1]Nov-24'!$H:$H,0)</f>
        <v>-56393.31</v>
      </c>
      <c r="Q217" s="17">
        <f>_xlfn.XLOOKUP($B217,'[1]Dec-24'!$A:$A,'[1]Dec-24'!$H:$H,0)</f>
        <v>25676.880000000001</v>
      </c>
      <c r="R217" s="17">
        <f>_xlfn.XLOOKUP($B217,'[1]Jan-25'!$A:$A,'[1]Jan-25'!$H:$H,0)</f>
        <v>207486.44</v>
      </c>
      <c r="S217" s="17">
        <f>_xlfn.XLOOKUP($B217,'[1]Feb-25'!$A:$A,'[1]Feb-25'!$H:$H,0)</f>
        <v>202154.96</v>
      </c>
      <c r="T217" s="17">
        <f>_xlfn.XLOOKUP($B217,'[1]Mar-25'!$A:$A,'[1]Mar-25'!$H:$H,0)</f>
        <v>26530.43</v>
      </c>
      <c r="U217" s="17">
        <f>_xlfn.XLOOKUP($B217,'[1]Apr-25'!$A:$A,'[1]Apr-25'!$H:$H,0)</f>
        <v>1174833.46</v>
      </c>
      <c r="V217" s="17">
        <f>_xlfn.XLOOKUP($B217,'[1]May-25'!$A:$A,'[1]May-25'!$H:$H,0)</f>
        <v>2978551.14</v>
      </c>
      <c r="W217" s="17">
        <f>_xlfn.XLOOKUP($B217,'[1]Jun-25'!$A:$A,'[1]Jun-25'!$H:$H,0)</f>
        <v>2902456.11</v>
      </c>
      <c r="X217" s="17">
        <f>_xlfn.XLOOKUP($B217,'[1]Jul-25'!$A:$A,'[1]Jul-25'!$H:$H,0)</f>
        <v>2051097.67</v>
      </c>
      <c r="Y217" s="17">
        <f>_xlfn.XLOOKUP($B217,'[1]Aug-25'!$A:$A,'[1]Aug-25'!$H:$H,0)</f>
        <v>2072503.43</v>
      </c>
      <c r="Z217" s="17">
        <f>_xlfn.XLOOKUP($B217,'[1]Sep-25'!$A:$A,'[1]Sep-25'!$H:$H,0)</f>
        <v>1985333.15</v>
      </c>
      <c r="AA217" s="17">
        <f>_xlfn.XLOOKUP($B217,'[1]Oct-25'!$A:$A,'[1]Oct-25'!$H:$H,0)</f>
        <v>0</v>
      </c>
      <c r="AB217" s="17">
        <f>_xlfn.XLOOKUP($B217,'[1]Nov-25'!$A:$A,'[1]Nov-25'!$H:$H,0)</f>
        <v>0</v>
      </c>
      <c r="AC217" s="17">
        <f>_xlfn.XLOOKUP($B217,'[1]Dec-25'!$A:$A,'[1]Dec-25'!$H:$H,0)</f>
        <v>0</v>
      </c>
      <c r="AD217" s="17">
        <f>_xlfn.XLOOKUP($B217,'[1]Jan-26'!$A:$A,'[1]Jan-26'!$H:$H,0)</f>
        <v>0</v>
      </c>
      <c r="AE217" s="17">
        <f>_xlfn.XLOOKUP($B217,'[1]Feb-26'!$A:$A,'[1]Feb-26'!$H:$H,0)</f>
        <v>0</v>
      </c>
      <c r="AF217" s="17">
        <f>_xlfn.XLOOKUP($B217,'[1]Mar-26'!$A:$A,'[1]Mar-26'!$H:$H,0)</f>
        <v>0</v>
      </c>
      <c r="AG217" s="17">
        <f>_xlfn.XLOOKUP($B217,'[1]Apr-26'!$A:$A,'[1]Apr-26'!$H:$H,0)</f>
        <v>137455</v>
      </c>
    </row>
    <row r="218" spans="1:33" x14ac:dyDescent="0.2">
      <c r="A218" s="58">
        <v>19007</v>
      </c>
      <c r="B218" s="56" t="str">
        <f t="shared" si="9"/>
        <v>19007</v>
      </c>
      <c r="C218" s="57" t="s">
        <v>302</v>
      </c>
      <c r="D218" s="57" t="s">
        <v>303</v>
      </c>
      <c r="E218" s="44" t="s">
        <v>193</v>
      </c>
      <c r="F218" s="17">
        <f>_xlfn.XLOOKUP($B218,'[1]Jan-24'!$A:$A,'[1]Jan-24'!$H:$H,0)</f>
        <v>0</v>
      </c>
      <c r="G218" s="17">
        <f>_xlfn.XLOOKUP($B218,'[1]Feb-24'!$A:$A,'[1]Feb-24'!$H:$H,0)</f>
        <v>0</v>
      </c>
      <c r="H218" s="17">
        <f>_xlfn.XLOOKUP($B218,'[1]Mar-24'!$A:$A,'[1]Mar-24'!$H:$H,0)</f>
        <v>0</v>
      </c>
      <c r="I218" s="17">
        <f>_xlfn.XLOOKUP($B218,'[1]Apr-24'!$A:$A,'[1]Apr-24'!$H:$H,0)</f>
        <v>0</v>
      </c>
      <c r="J218" s="17">
        <f>_xlfn.XLOOKUP($B218,'[1]May-24'!$A:$A,'[1]May-24'!$H:$H,0)</f>
        <v>3922344185.9299998</v>
      </c>
      <c r="K218" s="17">
        <f>_xlfn.XLOOKUP($B218,'[1]Jun-24'!$A:$A,'[1]Jun-24'!$H:$H,0)</f>
        <v>4428487269.9300003</v>
      </c>
      <c r="L218" s="17">
        <f>_xlfn.XLOOKUP($B218,'[1]Jul-24'!$A:$A,'[1]Jul-24'!$H:$H,0)</f>
        <v>4728660856.4200001</v>
      </c>
      <c r="M218" s="17">
        <f>_xlfn.XLOOKUP($B218,'[1]Aug-24'!$A:$A,'[1]Aug-24'!$H:$H,0)</f>
        <v>5565814629.9200001</v>
      </c>
      <c r="N218" s="17">
        <f>_xlfn.XLOOKUP($B218,'[1]Sep-24'!$A:$A,'[1]Sep-24'!$H:$H,0)</f>
        <v>5873852910.0799999</v>
      </c>
      <c r="O218" s="17">
        <f>_xlfn.XLOOKUP($B218,'[1]Oct-24'!$A:$A,'[1]Oct-24'!$H:$H,0)</f>
        <v>5860667243.1800003</v>
      </c>
      <c r="P218" s="17">
        <f>_xlfn.XLOOKUP($B218,'[1]Nov-24'!$A:$A,'[1]Nov-24'!$H:$H,0)</f>
        <v>5799974303.1400003</v>
      </c>
      <c r="Q218" s="17">
        <f>_xlfn.XLOOKUP($B218,'[1]Dec-24'!$A:$A,'[1]Dec-24'!$H:$H,0)</f>
        <v>5275410725.1000004</v>
      </c>
      <c r="R218" s="17">
        <f>_xlfn.XLOOKUP($B218,'[1]Jan-25'!$A:$A,'[1]Jan-25'!$H:$H,0)</f>
        <v>4790487113.6099997</v>
      </c>
      <c r="S218" s="17">
        <f>_xlfn.XLOOKUP($B218,'[1]Feb-25'!$A:$A,'[1]Feb-25'!$H:$H,0)</f>
        <v>3671032305.3699999</v>
      </c>
      <c r="T218" s="17">
        <f>_xlfn.XLOOKUP($B218,'[1]Mar-25'!$A:$A,'[1]Mar-25'!$H:$H,0)</f>
        <v>3453453321.8099999</v>
      </c>
      <c r="U218" s="17">
        <f>_xlfn.XLOOKUP($B218,'[1]Apr-25'!$A:$A,'[1]Apr-25'!$H:$H,0)</f>
        <v>3964436312.2800002</v>
      </c>
      <c r="V218" s="17">
        <f>_xlfn.XLOOKUP($B218,'[1]May-25'!$A:$A,'[1]May-25'!$H:$H,0)</f>
        <v>3948747884.3699999</v>
      </c>
      <c r="W218" s="17">
        <f>_xlfn.XLOOKUP($B218,'[1]Jun-25'!$A:$A,'[1]Jun-25'!$H:$H,0)</f>
        <v>3507712736.9499998</v>
      </c>
      <c r="X218" s="17">
        <f>_xlfn.XLOOKUP($B218,'[1]Jul-25'!$A:$A,'[1]Jul-25'!$H:$H,0)</f>
        <v>2918717986.8499999</v>
      </c>
      <c r="Y218" s="17">
        <f>_xlfn.XLOOKUP($B218,'[1]Aug-25'!$A:$A,'[1]Aug-25'!$H:$H,0)</f>
        <v>2963297188.27</v>
      </c>
      <c r="Z218" s="17">
        <f>_xlfn.XLOOKUP($B218,'[1]Sep-25'!$A:$A,'[1]Sep-25'!$H:$H,0)</f>
        <v>1690403830.4100001</v>
      </c>
      <c r="AA218" s="17">
        <f>_xlfn.XLOOKUP($B218,'[1]Oct-25'!$A:$A,'[1]Oct-25'!$H:$H,0)</f>
        <v>2424086685.0999999</v>
      </c>
      <c r="AB218" s="17">
        <f>_xlfn.XLOOKUP($B218,'[1]Nov-25'!$A:$A,'[1]Nov-25'!$H:$H,0)</f>
        <v>2133598880.9400001</v>
      </c>
      <c r="AC218" s="17">
        <f>_xlfn.XLOOKUP($B218,'[1]Dec-25'!$A:$A,'[1]Dec-25'!$H:$H,0)</f>
        <v>1324564914.54</v>
      </c>
      <c r="AD218" s="17">
        <f>_xlfn.XLOOKUP($B218,'[1]Jan-26'!$A:$A,'[1]Jan-26'!$H:$H,0)</f>
        <v>1921410970.8900001</v>
      </c>
      <c r="AE218" s="17">
        <f>_xlfn.XLOOKUP($B218,'[1]Feb-26'!$A:$A,'[1]Feb-26'!$H:$H,0)</f>
        <v>1045035989.16</v>
      </c>
      <c r="AF218" s="17">
        <f>_xlfn.XLOOKUP($B218,'[1]Mar-26'!$A:$A,'[1]Mar-26'!$H:$H,0)</f>
        <v>1853886160.78</v>
      </c>
      <c r="AG218" s="17">
        <f>_xlfn.XLOOKUP($B218,'[1]Apr-26'!$A:$A,'[1]Apr-26'!$H:$H,0)</f>
        <v>1899833787.6600001</v>
      </c>
    </row>
    <row r="219" spans="1:33" x14ac:dyDescent="0.2">
      <c r="A219" s="58">
        <v>20000</v>
      </c>
      <c r="B219" s="56" t="str">
        <f t="shared" si="9"/>
        <v>20000</v>
      </c>
      <c r="C219" s="57" t="s">
        <v>428</v>
      </c>
      <c r="D219" s="57" t="s">
        <v>429</v>
      </c>
      <c r="E219" s="44" t="s">
        <v>269</v>
      </c>
      <c r="F219" s="17">
        <f>_xlfn.XLOOKUP($B219,'[1]Jan-24'!$A:$A,'[1]Jan-24'!$H:$H,0)</f>
        <v>-213303760.16</v>
      </c>
      <c r="G219" s="17">
        <f>_xlfn.XLOOKUP($B219,'[1]Feb-24'!$A:$A,'[1]Feb-24'!$H:$H,0)</f>
        <v>-219885386.40000001</v>
      </c>
      <c r="H219" s="17">
        <f>_xlfn.XLOOKUP($B219,'[1]Mar-24'!$A:$A,'[1]Mar-24'!$H:$H,0)</f>
        <v>-224973727.99000001</v>
      </c>
      <c r="I219" s="17">
        <f>_xlfn.XLOOKUP($B219,'[1]Apr-24'!$A:$A,'[1]Apr-24'!$H:$H,0)</f>
        <v>-229703505.91</v>
      </c>
      <c r="J219" s="17">
        <f>_xlfn.XLOOKUP($B219,'[1]May-24'!$A:$A,'[1]May-24'!$H:$H,0)</f>
        <v>-314562051.89999998</v>
      </c>
      <c r="K219" s="17">
        <f>_xlfn.XLOOKUP($B219,'[1]Jun-24'!$A:$A,'[1]Jun-24'!$H:$H,0)</f>
        <v>-320884662.89999998</v>
      </c>
      <c r="L219" s="17">
        <f>_xlfn.XLOOKUP($B219,'[1]Jul-24'!$A:$A,'[1]Jul-24'!$H:$H,0)</f>
        <v>-327445108.08999997</v>
      </c>
      <c r="M219" s="17">
        <f>_xlfn.XLOOKUP($B219,'[1]Aug-24'!$A:$A,'[1]Aug-24'!$H:$H,0)</f>
        <v>-310606338.44</v>
      </c>
      <c r="N219" s="17">
        <f>_xlfn.XLOOKUP($B219,'[1]Sep-24'!$A:$A,'[1]Sep-24'!$H:$H,0)</f>
        <v>-232966649.52000001</v>
      </c>
      <c r="O219" s="17">
        <f>_xlfn.XLOOKUP($B219,'[1]Oct-24'!$A:$A,'[1]Oct-24'!$H:$H,0)</f>
        <v>-212871447.09</v>
      </c>
      <c r="P219" s="17">
        <f>_xlfn.XLOOKUP($B219,'[1]Nov-24'!$A:$A,'[1]Nov-24'!$H:$H,0)</f>
        <v>-323810595.66000003</v>
      </c>
      <c r="Q219" s="17">
        <f>_xlfn.XLOOKUP($B219,'[1]Dec-24'!$A:$A,'[1]Dec-24'!$H:$H,0)</f>
        <v>-1001385513.49</v>
      </c>
      <c r="R219" s="17">
        <f>_xlfn.XLOOKUP($B219,'[1]Jan-25'!$A:$A,'[1]Jan-25'!$H:$H,0)</f>
        <v>-994702210.21000004</v>
      </c>
      <c r="S219" s="17">
        <f>_xlfn.XLOOKUP($B219,'[1]Feb-25'!$A:$A,'[1]Feb-25'!$H:$H,0)</f>
        <v>-1003978508.96</v>
      </c>
      <c r="T219" s="17">
        <f>_xlfn.XLOOKUP($B219,'[1]Mar-25'!$A:$A,'[1]Mar-25'!$H:$H,0)</f>
        <v>-1002973102.46</v>
      </c>
      <c r="U219" s="17">
        <f>_xlfn.XLOOKUP($B219,'[1]Apr-25'!$A:$A,'[1]Apr-25'!$H:$H,0)</f>
        <v>-521161207.25</v>
      </c>
      <c r="V219" s="17">
        <f>_xlfn.XLOOKUP($B219,'[1]May-25'!$A:$A,'[1]May-25'!$H:$H,0)</f>
        <v>-507767066.56999999</v>
      </c>
      <c r="W219" s="17">
        <f>_xlfn.XLOOKUP($B219,'[1]Jun-25'!$A:$A,'[1]Jun-25'!$H:$H,0)</f>
        <v>-501220322.13</v>
      </c>
      <c r="X219" s="17">
        <f>_xlfn.XLOOKUP($B219,'[1]Jul-25'!$A:$A,'[1]Jul-25'!$H:$H,0)</f>
        <v>-307270565.01999998</v>
      </c>
      <c r="Y219" s="17">
        <f>_xlfn.XLOOKUP($B219,'[1]Aug-25'!$A:$A,'[1]Aug-25'!$H:$H,0)</f>
        <v>-299402771.14999998</v>
      </c>
      <c r="Z219" s="17">
        <f>_xlfn.XLOOKUP($B219,'[1]Sep-25'!$A:$A,'[1]Sep-25'!$H:$H,0)</f>
        <v>-286059984.99000001</v>
      </c>
      <c r="AA219" s="17">
        <f>_xlfn.XLOOKUP($B219,'[1]Oct-25'!$A:$A,'[1]Oct-25'!$H:$H,0)</f>
        <v>-287170482.99000001</v>
      </c>
      <c r="AB219" s="17">
        <f>_xlfn.XLOOKUP($B219,'[1]Nov-25'!$A:$A,'[1]Nov-25'!$H:$H,0)</f>
        <v>-269867827.79000002</v>
      </c>
      <c r="AC219" s="17">
        <f>_xlfn.XLOOKUP($B219,'[1]Dec-25'!$A:$A,'[1]Dec-25'!$H:$H,0)</f>
        <v>-248309641.41999999</v>
      </c>
      <c r="AD219" s="17">
        <f>_xlfn.XLOOKUP($B219,'[1]Jan-26'!$A:$A,'[1]Jan-26'!$H:$H,0)</f>
        <v>-328877586.88999999</v>
      </c>
      <c r="AE219" s="17">
        <f>_xlfn.XLOOKUP($B219,'[1]Feb-26'!$A:$A,'[1]Feb-26'!$H:$H,0)</f>
        <v>-327753736.88999999</v>
      </c>
      <c r="AF219" s="17">
        <f>_xlfn.XLOOKUP($B219,'[1]Mar-26'!$A:$A,'[1]Mar-26'!$H:$H,0)</f>
        <v>-395664675.01999998</v>
      </c>
      <c r="AG219" s="17">
        <f>_xlfn.XLOOKUP($B219,'[1]Apr-26'!$A:$A,'[1]Apr-26'!$H:$H,0)</f>
        <v>-246729530.19</v>
      </c>
    </row>
    <row r="220" spans="1:33" x14ac:dyDescent="0.2">
      <c r="A220" s="58">
        <v>20005</v>
      </c>
      <c r="B220" s="56" t="str">
        <f t="shared" si="9"/>
        <v>20005</v>
      </c>
      <c r="C220" s="57" t="s">
        <v>428</v>
      </c>
      <c r="D220" s="57" t="s">
        <v>429</v>
      </c>
      <c r="E220" s="44" t="s">
        <v>270</v>
      </c>
      <c r="F220" s="17">
        <f>_xlfn.XLOOKUP($B220,'[1]Jan-24'!$A:$A,'[1]Jan-24'!$H:$H,0)</f>
        <v>-100461606.02</v>
      </c>
      <c r="G220" s="17">
        <f>_xlfn.XLOOKUP($B220,'[1]Feb-24'!$A:$A,'[1]Feb-24'!$H:$H,0)</f>
        <v>-106463862.45</v>
      </c>
      <c r="H220" s="17">
        <f>_xlfn.XLOOKUP($B220,'[1]Mar-24'!$A:$A,'[1]Mar-24'!$H:$H,0)</f>
        <v>-113813512.45</v>
      </c>
      <c r="I220" s="17">
        <f>_xlfn.XLOOKUP($B220,'[1]Apr-24'!$A:$A,'[1]Apr-24'!$H:$H,0)</f>
        <v>-68116494.099999994</v>
      </c>
      <c r="J220" s="17">
        <f>_xlfn.XLOOKUP($B220,'[1]May-24'!$A:$A,'[1]May-24'!$H:$H,0)</f>
        <v>-82829237.75</v>
      </c>
      <c r="K220" s="17">
        <f>_xlfn.XLOOKUP($B220,'[1]Jun-24'!$A:$A,'[1]Jun-24'!$H:$H,0)</f>
        <v>-116572241.95999999</v>
      </c>
      <c r="L220" s="17">
        <f>_xlfn.XLOOKUP($B220,'[1]Jul-24'!$A:$A,'[1]Jul-24'!$H:$H,0)</f>
        <v>-182961464.19999999</v>
      </c>
      <c r="M220" s="17">
        <f>_xlfn.XLOOKUP($B220,'[1]Aug-24'!$A:$A,'[1]Aug-24'!$H:$H,0)</f>
        <v>-195445996.47999999</v>
      </c>
      <c r="N220" s="17">
        <f>_xlfn.XLOOKUP($B220,'[1]Sep-24'!$A:$A,'[1]Sep-24'!$H:$H,0)</f>
        <v>-101816876.84</v>
      </c>
      <c r="O220" s="17">
        <f>_xlfn.XLOOKUP($B220,'[1]Oct-24'!$A:$A,'[1]Oct-24'!$H:$H,0)</f>
        <v>-144789337.31999999</v>
      </c>
      <c r="P220" s="17">
        <f>_xlfn.XLOOKUP($B220,'[1]Nov-24'!$A:$A,'[1]Nov-24'!$H:$H,0)</f>
        <v>-134053192.75</v>
      </c>
      <c r="Q220" s="17">
        <f>_xlfn.XLOOKUP($B220,'[1]Dec-24'!$A:$A,'[1]Dec-24'!$H:$H,0)</f>
        <v>-144614995.56</v>
      </c>
      <c r="R220" s="17">
        <f>_xlfn.XLOOKUP($B220,'[1]Jan-25'!$A:$A,'[1]Jan-25'!$H:$H,0)</f>
        <v>-158195839.31999999</v>
      </c>
      <c r="S220" s="17">
        <f>_xlfn.XLOOKUP($B220,'[1]Feb-25'!$A:$A,'[1]Feb-25'!$H:$H,0)</f>
        <v>-172597444.47</v>
      </c>
      <c r="T220" s="17">
        <f>_xlfn.XLOOKUP($B220,'[1]Mar-25'!$A:$A,'[1]Mar-25'!$H:$H,0)</f>
        <v>-165742753.87</v>
      </c>
      <c r="U220" s="17">
        <f>_xlfn.XLOOKUP($B220,'[1]Apr-25'!$A:$A,'[1]Apr-25'!$H:$H,0)</f>
        <v>-317175916.07999998</v>
      </c>
      <c r="V220" s="17">
        <f>_xlfn.XLOOKUP($B220,'[1]May-25'!$A:$A,'[1]May-25'!$H:$H,0)</f>
        <v>-98661026.959999993</v>
      </c>
      <c r="W220" s="17">
        <f>_xlfn.XLOOKUP($B220,'[1]Jun-25'!$A:$A,'[1]Jun-25'!$H:$H,0)</f>
        <v>-82347565.890000001</v>
      </c>
      <c r="X220" s="17">
        <f>_xlfn.XLOOKUP($B220,'[1]Jul-25'!$A:$A,'[1]Jul-25'!$H:$H,0)</f>
        <v>-88115437.049999997</v>
      </c>
      <c r="Y220" s="17">
        <f>_xlfn.XLOOKUP($B220,'[1]Aug-25'!$A:$A,'[1]Aug-25'!$H:$H,0)</f>
        <v>-96057910.640000001</v>
      </c>
      <c r="Z220" s="17">
        <f>_xlfn.XLOOKUP($B220,'[1]Sep-25'!$A:$A,'[1]Sep-25'!$H:$H,0)</f>
        <v>-78974384.680000007</v>
      </c>
      <c r="AA220" s="17">
        <f>_xlfn.XLOOKUP($B220,'[1]Oct-25'!$A:$A,'[1]Oct-25'!$H:$H,0)</f>
        <v>-95827344</v>
      </c>
      <c r="AB220" s="17">
        <f>_xlfn.XLOOKUP($B220,'[1]Nov-25'!$A:$A,'[1]Nov-25'!$H:$H,0)</f>
        <v>-81524551.150000006</v>
      </c>
      <c r="AC220" s="17">
        <f>_xlfn.XLOOKUP($B220,'[1]Dec-25'!$A:$A,'[1]Dec-25'!$H:$H,0)</f>
        <v>-78288587.409999996</v>
      </c>
      <c r="AD220" s="17">
        <f>_xlfn.XLOOKUP($B220,'[1]Jan-26'!$A:$A,'[1]Jan-26'!$H:$H,0)</f>
        <v>-81225092.019999996</v>
      </c>
      <c r="AE220" s="17">
        <f>_xlfn.XLOOKUP($B220,'[1]Feb-26'!$A:$A,'[1]Feb-26'!$H:$H,0)</f>
        <v>-80168716.980000004</v>
      </c>
      <c r="AF220" s="17">
        <f>_xlfn.XLOOKUP($B220,'[1]Mar-26'!$A:$A,'[1]Mar-26'!$H:$H,0)</f>
        <v>-90008052.430000007</v>
      </c>
      <c r="AG220" s="17">
        <f>_xlfn.XLOOKUP($B220,'[1]Apr-26'!$A:$A,'[1]Apr-26'!$H:$H,0)</f>
        <v>-102000038.65000001</v>
      </c>
    </row>
    <row r="221" spans="1:33" x14ac:dyDescent="0.2">
      <c r="A221" s="58">
        <v>20010</v>
      </c>
      <c r="B221" s="56" t="str">
        <f t="shared" si="9"/>
        <v>20010</v>
      </c>
      <c r="C221" s="57" t="s">
        <v>430</v>
      </c>
      <c r="D221" s="57" t="s">
        <v>429</v>
      </c>
      <c r="E221" s="44" t="s">
        <v>431</v>
      </c>
      <c r="F221" s="17">
        <f>_xlfn.XLOOKUP($B221,'[1]Jan-24'!$A:$A,'[1]Jan-24'!$H:$H,0)</f>
        <v>-8062500</v>
      </c>
      <c r="G221" s="17">
        <f>_xlfn.XLOOKUP($B221,'[1]Feb-24'!$A:$A,'[1]Feb-24'!$H:$H,0)</f>
        <v>-8062500</v>
      </c>
      <c r="H221" s="17">
        <f>_xlfn.XLOOKUP($B221,'[1]Mar-24'!$A:$A,'[1]Mar-24'!$H:$H,0)</f>
        <v>-8062500</v>
      </c>
      <c r="I221" s="17">
        <f>_xlfn.XLOOKUP($B221,'[1]Apr-24'!$A:$A,'[1]Apr-24'!$H:$H,0)</f>
        <v>0</v>
      </c>
      <c r="J221" s="17">
        <f>_xlfn.XLOOKUP($B221,'[1]May-24'!$A:$A,'[1]May-24'!$H:$H,0)</f>
        <v>0</v>
      </c>
      <c r="K221" s="17">
        <f>_xlfn.XLOOKUP($B221,'[1]Jun-24'!$A:$A,'[1]Jun-24'!$H:$H,0)</f>
        <v>0</v>
      </c>
      <c r="L221" s="17">
        <f>_xlfn.XLOOKUP($B221,'[1]Jul-24'!$A:$A,'[1]Jul-24'!$H:$H,0)</f>
        <v>0</v>
      </c>
      <c r="M221" s="17">
        <f>_xlfn.XLOOKUP($B221,'[1]Aug-24'!$A:$A,'[1]Aug-24'!$H:$H,0)</f>
        <v>0</v>
      </c>
      <c r="N221" s="17">
        <f>_xlfn.XLOOKUP($B221,'[1]Sep-24'!$A:$A,'[1]Sep-24'!$H:$H,0)</f>
        <v>0</v>
      </c>
      <c r="O221" s="17">
        <f>_xlfn.XLOOKUP($B221,'[1]Oct-24'!$A:$A,'[1]Oct-24'!$H:$H,0)</f>
        <v>0</v>
      </c>
      <c r="P221" s="17">
        <f>_xlfn.XLOOKUP($B221,'[1]Nov-24'!$A:$A,'[1]Nov-24'!$H:$H,0)</f>
        <v>0</v>
      </c>
      <c r="Q221" s="17">
        <f>_xlfn.XLOOKUP($B221,'[1]Dec-24'!$A:$A,'[1]Dec-24'!$H:$H,0)</f>
        <v>-9675000</v>
      </c>
      <c r="R221" s="17">
        <f>_xlfn.XLOOKUP($B221,'[1]Jan-25'!$A:$A,'[1]Jan-25'!$H:$H,0)</f>
        <v>-9675000</v>
      </c>
      <c r="S221" s="17">
        <f>_xlfn.XLOOKUP($B221,'[1]Feb-25'!$A:$A,'[1]Feb-25'!$H:$H,0)</f>
        <v>-9675000</v>
      </c>
      <c r="T221" s="17">
        <f>_xlfn.XLOOKUP($B221,'[1]Mar-25'!$A:$A,'[1]Mar-25'!$H:$H,0)</f>
        <v>-9675000</v>
      </c>
      <c r="U221" s="17">
        <f>_xlfn.XLOOKUP($B221,'[1]Apr-25'!$A:$A,'[1]Apr-25'!$H:$H,0)</f>
        <v>-9675000</v>
      </c>
      <c r="V221" s="17">
        <f>_xlfn.XLOOKUP($B221,'[1]May-25'!$A:$A,'[1]May-25'!$H:$H,0)</f>
        <v>0</v>
      </c>
      <c r="W221" s="17">
        <f>_xlfn.XLOOKUP($B221,'[1]Jun-25'!$A:$A,'[1]Jun-25'!$H:$H,0)</f>
        <v>0</v>
      </c>
      <c r="X221" s="17">
        <f>_xlfn.XLOOKUP($B221,'[1]Jul-25'!$A:$A,'[1]Jul-25'!$H:$H,0)</f>
        <v>0</v>
      </c>
      <c r="Y221" s="17">
        <f>_xlfn.XLOOKUP($B221,'[1]Aug-25'!$A:$A,'[1]Aug-25'!$H:$H,0)</f>
        <v>0</v>
      </c>
      <c r="Z221" s="17">
        <f>_xlfn.XLOOKUP($B221,'[1]Sep-25'!$A:$A,'[1]Sep-25'!$H:$H,0)</f>
        <v>0</v>
      </c>
      <c r="AA221" s="17">
        <f>_xlfn.XLOOKUP($B221,'[1]Oct-25'!$A:$A,'[1]Oct-25'!$H:$H,0)</f>
        <v>0</v>
      </c>
      <c r="AB221" s="17">
        <f>_xlfn.XLOOKUP($B221,'[1]Nov-25'!$A:$A,'[1]Nov-25'!$H:$H,0)</f>
        <v>0</v>
      </c>
      <c r="AC221" s="17">
        <f>_xlfn.XLOOKUP($B221,'[1]Dec-25'!$A:$A,'[1]Dec-25'!$H:$H,0)</f>
        <v>0</v>
      </c>
      <c r="AD221" s="17">
        <f>_xlfn.XLOOKUP($B221,'[1]Jan-26'!$A:$A,'[1]Jan-26'!$H:$H,0)</f>
        <v>-9675000</v>
      </c>
      <c r="AE221" s="17">
        <f>_xlfn.XLOOKUP($B221,'[1]Feb-26'!$A:$A,'[1]Feb-26'!$H:$H,0)</f>
        <v>-9675000</v>
      </c>
      <c r="AF221" s="17">
        <f>_xlfn.XLOOKUP($B221,'[1]Mar-26'!$A:$A,'[1]Mar-26'!$H:$H,0)</f>
        <v>-9675000</v>
      </c>
      <c r="AG221" s="17">
        <f>_xlfn.XLOOKUP($B221,'[1]Apr-26'!$A:$A,'[1]Apr-26'!$H:$H,0)</f>
        <v>-9675000</v>
      </c>
    </row>
    <row r="222" spans="1:33" x14ac:dyDescent="0.2">
      <c r="A222" s="58">
        <v>20100</v>
      </c>
      <c r="B222" s="56" t="str">
        <f t="shared" si="9"/>
        <v>20100</v>
      </c>
      <c r="C222" s="57" t="s">
        <v>430</v>
      </c>
      <c r="D222" s="57" t="s">
        <v>429</v>
      </c>
      <c r="E222" s="44" t="s">
        <v>432</v>
      </c>
      <c r="F222" s="17">
        <f>_xlfn.XLOOKUP($B222,'[1]Jan-24'!$A:$A,'[1]Jan-24'!$H:$H,0)</f>
        <v>0</v>
      </c>
      <c r="G222" s="17">
        <f>_xlfn.XLOOKUP($B222,'[1]Feb-24'!$A:$A,'[1]Feb-24'!$H:$H,0)</f>
        <v>0</v>
      </c>
      <c r="H222" s="17">
        <f>_xlfn.XLOOKUP($B222,'[1]Mar-24'!$A:$A,'[1]Mar-24'!$H:$H,0)</f>
        <v>0</v>
      </c>
      <c r="I222" s="17">
        <f>_xlfn.XLOOKUP($B222,'[1]Apr-24'!$A:$A,'[1]Apr-24'!$H:$H,0)</f>
        <v>0</v>
      </c>
      <c r="J222" s="17">
        <f>_xlfn.XLOOKUP($B222,'[1]May-24'!$A:$A,'[1]May-24'!$H:$H,0)</f>
        <v>0</v>
      </c>
      <c r="K222" s="17">
        <f>_xlfn.XLOOKUP($B222,'[1]Jun-24'!$A:$A,'[1]Jun-24'!$H:$H,0)</f>
        <v>0</v>
      </c>
      <c r="L222" s="17">
        <f>_xlfn.XLOOKUP($B222,'[1]Jul-24'!$A:$A,'[1]Jul-24'!$H:$H,0)</f>
        <v>0</v>
      </c>
      <c r="M222" s="17">
        <f>_xlfn.XLOOKUP($B222,'[1]Aug-24'!$A:$A,'[1]Aug-24'!$H:$H,0)</f>
        <v>0</v>
      </c>
      <c r="N222" s="17">
        <f>_xlfn.XLOOKUP($B222,'[1]Sep-24'!$A:$A,'[1]Sep-24'!$H:$H,0)</f>
        <v>0</v>
      </c>
      <c r="O222" s="17">
        <f>_xlfn.XLOOKUP($B222,'[1]Oct-24'!$A:$A,'[1]Oct-24'!$H:$H,0)</f>
        <v>0</v>
      </c>
      <c r="P222" s="17">
        <f>_xlfn.XLOOKUP($B222,'[1]Nov-24'!$A:$A,'[1]Nov-24'!$H:$H,0)</f>
        <v>0</v>
      </c>
      <c r="Q222" s="17">
        <f>_xlfn.XLOOKUP($B222,'[1]Dec-24'!$A:$A,'[1]Dec-24'!$H:$H,0)</f>
        <v>0</v>
      </c>
      <c r="R222" s="17">
        <f>_xlfn.XLOOKUP($B222,'[1]Jan-25'!$A:$A,'[1]Jan-25'!$H:$H,0)</f>
        <v>0</v>
      </c>
      <c r="S222" s="17">
        <f>_xlfn.XLOOKUP($B222,'[1]Feb-25'!$A:$A,'[1]Feb-25'!$H:$H,0)</f>
        <v>0</v>
      </c>
      <c r="T222" s="17">
        <f>_xlfn.XLOOKUP($B222,'[1]Mar-25'!$A:$A,'[1]Mar-25'!$H:$H,0)</f>
        <v>0</v>
      </c>
      <c r="U222" s="17">
        <f>_xlfn.XLOOKUP($B222,'[1]Apr-25'!$A:$A,'[1]Apr-25'!$H:$H,0)</f>
        <v>0</v>
      </c>
      <c r="V222" s="17">
        <f>_xlfn.XLOOKUP($B222,'[1]May-25'!$A:$A,'[1]May-25'!$H:$H,0)</f>
        <v>0</v>
      </c>
      <c r="W222" s="17">
        <f>_xlfn.XLOOKUP($B222,'[1]Jun-25'!$A:$A,'[1]Jun-25'!$H:$H,0)</f>
        <v>0</v>
      </c>
      <c r="X222" s="17">
        <f>_xlfn.XLOOKUP($B222,'[1]Jul-25'!$A:$A,'[1]Jul-25'!$H:$H,0)</f>
        <v>0</v>
      </c>
      <c r="Y222" s="17">
        <f>_xlfn.XLOOKUP($B222,'[1]Aug-25'!$A:$A,'[1]Aug-25'!$H:$H,0)</f>
        <v>0</v>
      </c>
      <c r="Z222" s="17">
        <f>_xlfn.XLOOKUP($B222,'[1]Sep-25'!$A:$A,'[1]Sep-25'!$H:$H,0)</f>
        <v>0</v>
      </c>
      <c r="AA222" s="17">
        <f>_xlfn.XLOOKUP($B222,'[1]Oct-25'!$A:$A,'[1]Oct-25'!$H:$H,0)</f>
        <v>0</v>
      </c>
      <c r="AB222" s="17">
        <f>_xlfn.XLOOKUP($B222,'[1]Nov-25'!$A:$A,'[1]Nov-25'!$H:$H,0)</f>
        <v>0</v>
      </c>
      <c r="AC222" s="17">
        <f>_xlfn.XLOOKUP($B222,'[1]Dec-25'!$A:$A,'[1]Dec-25'!$H:$H,0)</f>
        <v>0</v>
      </c>
      <c r="AD222" s="17">
        <f>_xlfn.XLOOKUP($B222,'[1]Jan-26'!$A:$A,'[1]Jan-26'!$H:$H,0)</f>
        <v>0</v>
      </c>
      <c r="AE222" s="17">
        <f>_xlfn.XLOOKUP($B222,'[1]Feb-26'!$A:$A,'[1]Feb-26'!$H:$H,0)</f>
        <v>0</v>
      </c>
      <c r="AF222" s="17">
        <f>_xlfn.XLOOKUP($B222,'[1]Mar-26'!$A:$A,'[1]Mar-26'!$H:$H,0)</f>
        <v>0</v>
      </c>
      <c r="AG222" s="17">
        <f>_xlfn.XLOOKUP($B222,'[1]Apr-26'!$A:$A,'[1]Apr-26'!$H:$H,0)</f>
        <v>0</v>
      </c>
    </row>
    <row r="223" spans="1:33" x14ac:dyDescent="0.2">
      <c r="A223" s="58">
        <v>20200</v>
      </c>
      <c r="B223" s="56" t="str">
        <f t="shared" si="9"/>
        <v>20200</v>
      </c>
      <c r="C223" s="57" t="s">
        <v>430</v>
      </c>
      <c r="D223" s="57" t="s">
        <v>429</v>
      </c>
      <c r="E223" s="44" t="s">
        <v>433</v>
      </c>
      <c r="F223" s="17">
        <f>_xlfn.XLOOKUP($B223,'[1]Jan-24'!$A:$A,'[1]Jan-24'!$H:$H,0)</f>
        <v>0</v>
      </c>
      <c r="G223" s="17">
        <f>_xlfn.XLOOKUP($B223,'[1]Feb-24'!$A:$A,'[1]Feb-24'!$H:$H,0)</f>
        <v>0</v>
      </c>
      <c r="H223" s="17">
        <f>_xlfn.XLOOKUP($B223,'[1]Mar-24'!$A:$A,'[1]Mar-24'!$H:$H,0)</f>
        <v>0</v>
      </c>
      <c r="I223" s="17">
        <f>_xlfn.XLOOKUP($B223,'[1]Apr-24'!$A:$A,'[1]Apr-24'!$H:$H,0)</f>
        <v>0</v>
      </c>
      <c r="J223" s="17">
        <f>_xlfn.XLOOKUP($B223,'[1]May-24'!$A:$A,'[1]May-24'!$H:$H,0)</f>
        <v>0</v>
      </c>
      <c r="K223" s="17">
        <f>_xlfn.XLOOKUP($B223,'[1]Jun-24'!$A:$A,'[1]Jun-24'!$H:$H,0)</f>
        <v>0</v>
      </c>
      <c r="L223" s="17">
        <f>_xlfn.XLOOKUP($B223,'[1]Jul-24'!$A:$A,'[1]Jul-24'!$H:$H,0)</f>
        <v>0</v>
      </c>
      <c r="M223" s="17">
        <f>_xlfn.XLOOKUP($B223,'[1]Aug-24'!$A:$A,'[1]Aug-24'!$H:$H,0)</f>
        <v>0</v>
      </c>
      <c r="N223" s="17">
        <f>_xlfn.XLOOKUP($B223,'[1]Sep-24'!$A:$A,'[1]Sep-24'!$H:$H,0)</f>
        <v>0</v>
      </c>
      <c r="O223" s="17">
        <f>_xlfn.XLOOKUP($B223,'[1]Oct-24'!$A:$A,'[1]Oct-24'!$H:$H,0)</f>
        <v>0</v>
      </c>
      <c r="P223" s="17">
        <f>_xlfn.XLOOKUP($B223,'[1]Nov-24'!$A:$A,'[1]Nov-24'!$H:$H,0)</f>
        <v>0</v>
      </c>
      <c r="Q223" s="17">
        <f>_xlfn.XLOOKUP($B223,'[1]Dec-24'!$A:$A,'[1]Dec-24'!$H:$H,0)</f>
        <v>0</v>
      </c>
      <c r="R223" s="17">
        <f>_xlfn.XLOOKUP($B223,'[1]Jan-25'!$A:$A,'[1]Jan-25'!$H:$H,0)</f>
        <v>0</v>
      </c>
      <c r="S223" s="17">
        <f>_xlfn.XLOOKUP($B223,'[1]Feb-25'!$A:$A,'[1]Feb-25'!$H:$H,0)</f>
        <v>0</v>
      </c>
      <c r="T223" s="17">
        <f>_xlfn.XLOOKUP($B223,'[1]Mar-25'!$A:$A,'[1]Mar-25'!$H:$H,0)</f>
        <v>0</v>
      </c>
      <c r="U223" s="17">
        <f>_xlfn.XLOOKUP($B223,'[1]Apr-25'!$A:$A,'[1]Apr-25'!$H:$H,0)</f>
        <v>0</v>
      </c>
      <c r="V223" s="17">
        <f>_xlfn.XLOOKUP($B223,'[1]May-25'!$A:$A,'[1]May-25'!$H:$H,0)</f>
        <v>0</v>
      </c>
      <c r="W223" s="17">
        <f>_xlfn.XLOOKUP($B223,'[1]Jun-25'!$A:$A,'[1]Jun-25'!$H:$H,0)</f>
        <v>0</v>
      </c>
      <c r="X223" s="17">
        <f>_xlfn.XLOOKUP($B223,'[1]Jul-25'!$A:$A,'[1]Jul-25'!$H:$H,0)</f>
        <v>0</v>
      </c>
      <c r="Y223" s="17">
        <f>_xlfn.XLOOKUP($B223,'[1]Aug-25'!$A:$A,'[1]Aug-25'!$H:$H,0)</f>
        <v>0</v>
      </c>
      <c r="Z223" s="17">
        <f>_xlfn.XLOOKUP($B223,'[1]Sep-25'!$A:$A,'[1]Sep-25'!$H:$H,0)</f>
        <v>0</v>
      </c>
      <c r="AA223" s="17">
        <f>_xlfn.XLOOKUP($B223,'[1]Oct-25'!$A:$A,'[1]Oct-25'!$H:$H,0)</f>
        <v>0</v>
      </c>
      <c r="AB223" s="17">
        <f>_xlfn.XLOOKUP($B223,'[1]Nov-25'!$A:$A,'[1]Nov-25'!$H:$H,0)</f>
        <v>0</v>
      </c>
      <c r="AC223" s="17">
        <f>_xlfn.XLOOKUP($B223,'[1]Dec-25'!$A:$A,'[1]Dec-25'!$H:$H,0)</f>
        <v>0</v>
      </c>
      <c r="AD223" s="17">
        <f>_xlfn.XLOOKUP($B223,'[1]Jan-26'!$A:$A,'[1]Jan-26'!$H:$H,0)</f>
        <v>0</v>
      </c>
      <c r="AE223" s="17">
        <f>_xlfn.XLOOKUP($B223,'[1]Feb-26'!$A:$A,'[1]Feb-26'!$H:$H,0)</f>
        <v>0</v>
      </c>
      <c r="AF223" s="17">
        <f>_xlfn.XLOOKUP($B223,'[1]Mar-26'!$A:$A,'[1]Mar-26'!$H:$H,0)</f>
        <v>0</v>
      </c>
      <c r="AG223" s="17">
        <f>_xlfn.XLOOKUP($B223,'[1]Apr-26'!$A:$A,'[1]Apr-26'!$H:$H,0)</f>
        <v>0</v>
      </c>
    </row>
    <row r="224" spans="1:33" x14ac:dyDescent="0.2">
      <c r="A224" s="58">
        <v>20500</v>
      </c>
      <c r="B224" s="56" t="str">
        <f t="shared" si="9"/>
        <v>20500</v>
      </c>
      <c r="C224" s="57" t="s">
        <v>430</v>
      </c>
      <c r="D224" s="57" t="s">
        <v>429</v>
      </c>
      <c r="E224" s="44" t="s">
        <v>434</v>
      </c>
      <c r="F224" s="17">
        <f>_xlfn.XLOOKUP($B224,'[1]Jan-24'!$A:$A,'[1]Jan-24'!$H:$H,0)</f>
        <v>0</v>
      </c>
      <c r="G224" s="17">
        <f>_xlfn.XLOOKUP($B224,'[1]Feb-24'!$A:$A,'[1]Feb-24'!$H:$H,0)</f>
        <v>0</v>
      </c>
      <c r="H224" s="17">
        <f>_xlfn.XLOOKUP($B224,'[1]Mar-24'!$A:$A,'[1]Mar-24'!$H:$H,0)</f>
        <v>0</v>
      </c>
      <c r="I224" s="17">
        <f>_xlfn.XLOOKUP($B224,'[1]Apr-24'!$A:$A,'[1]Apr-24'!$H:$H,0)</f>
        <v>0</v>
      </c>
      <c r="J224" s="17">
        <f>_xlfn.XLOOKUP($B224,'[1]May-24'!$A:$A,'[1]May-24'!$H:$H,0)</f>
        <v>0</v>
      </c>
      <c r="K224" s="17">
        <f>_xlfn.XLOOKUP($B224,'[1]Jun-24'!$A:$A,'[1]Jun-24'!$H:$H,0)</f>
        <v>0</v>
      </c>
      <c r="L224" s="17">
        <f>_xlfn.XLOOKUP($B224,'[1]Jul-24'!$A:$A,'[1]Jul-24'!$H:$H,0)</f>
        <v>0</v>
      </c>
      <c r="M224" s="17">
        <f>_xlfn.XLOOKUP($B224,'[1]Aug-24'!$A:$A,'[1]Aug-24'!$H:$H,0)</f>
        <v>0</v>
      </c>
      <c r="N224" s="17">
        <f>_xlfn.XLOOKUP($B224,'[1]Sep-24'!$A:$A,'[1]Sep-24'!$H:$H,0)</f>
        <v>0</v>
      </c>
      <c r="O224" s="17">
        <f>_xlfn.XLOOKUP($B224,'[1]Oct-24'!$A:$A,'[1]Oct-24'!$H:$H,0)</f>
        <v>0</v>
      </c>
      <c r="P224" s="17">
        <f>_xlfn.XLOOKUP($B224,'[1]Nov-24'!$A:$A,'[1]Nov-24'!$H:$H,0)</f>
        <v>0</v>
      </c>
      <c r="Q224" s="17">
        <f>_xlfn.XLOOKUP($B224,'[1]Dec-24'!$A:$A,'[1]Dec-24'!$H:$H,0)</f>
        <v>0</v>
      </c>
      <c r="R224" s="17">
        <f>_xlfn.XLOOKUP($B224,'[1]Jan-25'!$A:$A,'[1]Jan-25'!$H:$H,0)</f>
        <v>0</v>
      </c>
      <c r="S224" s="17">
        <f>_xlfn.XLOOKUP($B224,'[1]Feb-25'!$A:$A,'[1]Feb-25'!$H:$H,0)</f>
        <v>0</v>
      </c>
      <c r="T224" s="17">
        <f>_xlfn.XLOOKUP($B224,'[1]Mar-25'!$A:$A,'[1]Mar-25'!$H:$H,0)</f>
        <v>0</v>
      </c>
      <c r="U224" s="17">
        <f>_xlfn.XLOOKUP($B224,'[1]Apr-25'!$A:$A,'[1]Apr-25'!$H:$H,0)</f>
        <v>0</v>
      </c>
      <c r="V224" s="17">
        <f>_xlfn.XLOOKUP($B224,'[1]May-25'!$A:$A,'[1]May-25'!$H:$H,0)</f>
        <v>0</v>
      </c>
      <c r="W224" s="17">
        <f>_xlfn.XLOOKUP($B224,'[1]Jun-25'!$A:$A,'[1]Jun-25'!$H:$H,0)</f>
        <v>0</v>
      </c>
      <c r="X224" s="17">
        <f>_xlfn.XLOOKUP($B224,'[1]Jul-25'!$A:$A,'[1]Jul-25'!$H:$H,0)</f>
        <v>0</v>
      </c>
      <c r="Y224" s="17">
        <f>_xlfn.XLOOKUP($B224,'[1]Aug-25'!$A:$A,'[1]Aug-25'!$H:$H,0)</f>
        <v>0</v>
      </c>
      <c r="Z224" s="17">
        <f>_xlfn.XLOOKUP($B224,'[1]Sep-25'!$A:$A,'[1]Sep-25'!$H:$H,0)</f>
        <v>0</v>
      </c>
      <c r="AA224" s="17">
        <f>_xlfn.XLOOKUP($B224,'[1]Oct-25'!$A:$A,'[1]Oct-25'!$H:$H,0)</f>
        <v>0</v>
      </c>
      <c r="AB224" s="17">
        <f>_xlfn.XLOOKUP($B224,'[1]Nov-25'!$A:$A,'[1]Nov-25'!$H:$H,0)</f>
        <v>0</v>
      </c>
      <c r="AC224" s="17">
        <f>_xlfn.XLOOKUP($B224,'[1]Dec-25'!$A:$A,'[1]Dec-25'!$H:$H,0)</f>
        <v>0</v>
      </c>
      <c r="AD224" s="17">
        <f>_xlfn.XLOOKUP($B224,'[1]Jan-26'!$A:$A,'[1]Jan-26'!$H:$H,0)</f>
        <v>0</v>
      </c>
      <c r="AE224" s="17">
        <f>_xlfn.XLOOKUP($B224,'[1]Feb-26'!$A:$A,'[1]Feb-26'!$H:$H,0)</f>
        <v>0</v>
      </c>
      <c r="AF224" s="17">
        <f>_xlfn.XLOOKUP($B224,'[1]Mar-26'!$A:$A,'[1]Mar-26'!$H:$H,0)</f>
        <v>0</v>
      </c>
      <c r="AG224" s="17">
        <f>_xlfn.XLOOKUP($B224,'[1]Apr-26'!$A:$A,'[1]Apr-26'!$H:$H,0)</f>
        <v>0</v>
      </c>
    </row>
    <row r="225" spans="1:33" x14ac:dyDescent="0.2">
      <c r="A225" s="58">
        <v>22000</v>
      </c>
      <c r="B225" s="56" t="str">
        <f t="shared" si="9"/>
        <v>22000</v>
      </c>
      <c r="C225" s="57" t="s">
        <v>430</v>
      </c>
      <c r="D225" s="57" t="s">
        <v>429</v>
      </c>
      <c r="E225" s="44" t="s">
        <v>435</v>
      </c>
      <c r="F225" s="17">
        <f>_xlfn.XLOOKUP($B225,'[1]Jan-24'!$A:$A,'[1]Jan-24'!$H:$H,0)</f>
        <v>0</v>
      </c>
      <c r="G225" s="17">
        <f>_xlfn.XLOOKUP($B225,'[1]Feb-24'!$A:$A,'[1]Feb-24'!$H:$H,0)</f>
        <v>0</v>
      </c>
      <c r="H225" s="17">
        <f>_xlfn.XLOOKUP($B225,'[1]Mar-24'!$A:$A,'[1]Mar-24'!$H:$H,0)</f>
        <v>0</v>
      </c>
      <c r="I225" s="17">
        <f>_xlfn.XLOOKUP($B225,'[1]Apr-24'!$A:$A,'[1]Apr-24'!$H:$H,0)</f>
        <v>0</v>
      </c>
      <c r="J225" s="17">
        <f>_xlfn.XLOOKUP($B225,'[1]May-24'!$A:$A,'[1]May-24'!$H:$H,0)</f>
        <v>0</v>
      </c>
      <c r="K225" s="17">
        <f>_xlfn.XLOOKUP($B225,'[1]Jun-24'!$A:$A,'[1]Jun-24'!$H:$H,0)</f>
        <v>0</v>
      </c>
      <c r="L225" s="17">
        <f>_xlfn.XLOOKUP($B225,'[1]Jul-24'!$A:$A,'[1]Jul-24'!$H:$H,0)</f>
        <v>0</v>
      </c>
      <c r="M225" s="17">
        <f>_xlfn.XLOOKUP($B225,'[1]Aug-24'!$A:$A,'[1]Aug-24'!$H:$H,0)</f>
        <v>0</v>
      </c>
      <c r="N225" s="17">
        <f>_xlfn.XLOOKUP($B225,'[1]Sep-24'!$A:$A,'[1]Sep-24'!$H:$H,0)</f>
        <v>0</v>
      </c>
      <c r="O225" s="17">
        <f>_xlfn.XLOOKUP($B225,'[1]Oct-24'!$A:$A,'[1]Oct-24'!$H:$H,0)</f>
        <v>0</v>
      </c>
      <c r="P225" s="17">
        <f>_xlfn.XLOOKUP($B225,'[1]Nov-24'!$A:$A,'[1]Nov-24'!$H:$H,0)</f>
        <v>0</v>
      </c>
      <c r="Q225" s="17">
        <f>_xlfn.XLOOKUP($B225,'[1]Dec-24'!$A:$A,'[1]Dec-24'!$H:$H,0)</f>
        <v>0</v>
      </c>
      <c r="R225" s="17">
        <f>_xlfn.XLOOKUP($B225,'[1]Jan-25'!$A:$A,'[1]Jan-25'!$H:$H,0)</f>
        <v>0</v>
      </c>
      <c r="S225" s="17">
        <f>_xlfn.XLOOKUP($B225,'[1]Feb-25'!$A:$A,'[1]Feb-25'!$H:$H,0)</f>
        <v>0</v>
      </c>
      <c r="T225" s="17">
        <f>_xlfn.XLOOKUP($B225,'[1]Mar-25'!$A:$A,'[1]Mar-25'!$H:$H,0)</f>
        <v>0</v>
      </c>
      <c r="U225" s="17">
        <f>_xlfn.XLOOKUP($B225,'[1]Apr-25'!$A:$A,'[1]Apr-25'!$H:$H,0)</f>
        <v>0</v>
      </c>
      <c r="V225" s="17">
        <f>_xlfn.XLOOKUP($B225,'[1]May-25'!$A:$A,'[1]May-25'!$H:$H,0)</f>
        <v>0</v>
      </c>
      <c r="W225" s="17">
        <f>_xlfn.XLOOKUP($B225,'[1]Jun-25'!$A:$A,'[1]Jun-25'!$H:$H,0)</f>
        <v>0</v>
      </c>
      <c r="X225" s="17">
        <f>_xlfn.XLOOKUP($B225,'[1]Jul-25'!$A:$A,'[1]Jul-25'!$H:$H,0)</f>
        <v>0</v>
      </c>
      <c r="Y225" s="17">
        <f>_xlfn.XLOOKUP($B225,'[1]Aug-25'!$A:$A,'[1]Aug-25'!$H:$H,0)</f>
        <v>0</v>
      </c>
      <c r="Z225" s="17">
        <f>_xlfn.XLOOKUP($B225,'[1]Sep-25'!$A:$A,'[1]Sep-25'!$H:$H,0)</f>
        <v>0</v>
      </c>
      <c r="AA225" s="17">
        <f>_xlfn.XLOOKUP($B225,'[1]Oct-25'!$A:$A,'[1]Oct-25'!$H:$H,0)</f>
        <v>0</v>
      </c>
      <c r="AB225" s="17">
        <f>_xlfn.XLOOKUP($B225,'[1]Nov-25'!$A:$A,'[1]Nov-25'!$H:$H,0)</f>
        <v>0</v>
      </c>
      <c r="AC225" s="17">
        <f>_xlfn.XLOOKUP($B225,'[1]Dec-25'!$A:$A,'[1]Dec-25'!$H:$H,0)</f>
        <v>0</v>
      </c>
      <c r="AD225" s="17">
        <f>_xlfn.XLOOKUP($B225,'[1]Jan-26'!$A:$A,'[1]Jan-26'!$H:$H,0)</f>
        <v>0</v>
      </c>
      <c r="AE225" s="17">
        <f>_xlfn.XLOOKUP($B225,'[1]Feb-26'!$A:$A,'[1]Feb-26'!$H:$H,0)</f>
        <v>0</v>
      </c>
      <c r="AF225" s="17">
        <f>_xlfn.XLOOKUP($B225,'[1]Mar-26'!$A:$A,'[1]Mar-26'!$H:$H,0)</f>
        <v>0</v>
      </c>
      <c r="AG225" s="17">
        <f>_xlfn.XLOOKUP($B225,'[1]Apr-26'!$A:$A,'[1]Apr-26'!$H:$H,0)</f>
        <v>0</v>
      </c>
    </row>
    <row r="226" spans="1:33" x14ac:dyDescent="0.2">
      <c r="A226" s="58">
        <v>22100</v>
      </c>
      <c r="B226" s="56" t="str">
        <f t="shared" si="9"/>
        <v>22100</v>
      </c>
      <c r="C226" s="57" t="s">
        <v>430</v>
      </c>
      <c r="D226" s="57" t="s">
        <v>429</v>
      </c>
      <c r="E226" s="44" t="s">
        <v>279</v>
      </c>
      <c r="F226" s="17">
        <f>_xlfn.XLOOKUP($B226,'[1]Jan-24'!$A:$A,'[1]Jan-24'!$H:$H,0)</f>
        <v>-9172426</v>
      </c>
      <c r="G226" s="17">
        <f>_xlfn.XLOOKUP($B226,'[1]Feb-24'!$A:$A,'[1]Feb-24'!$H:$H,0)</f>
        <v>-9236488</v>
      </c>
      <c r="H226" s="17">
        <f>_xlfn.XLOOKUP($B226,'[1]Mar-24'!$A:$A,'[1]Mar-24'!$H:$H,0)</f>
        <v>-23056820.52</v>
      </c>
      <c r="I226" s="17">
        <f>_xlfn.XLOOKUP($B226,'[1]Apr-24'!$A:$A,'[1]Apr-24'!$H:$H,0)</f>
        <v>-17991166.440000001</v>
      </c>
      <c r="J226" s="17">
        <f>_xlfn.XLOOKUP($B226,'[1]May-24'!$A:$A,'[1]May-24'!$H:$H,0)</f>
        <v>-23838672.649999999</v>
      </c>
      <c r="K226" s="17">
        <f>_xlfn.XLOOKUP($B226,'[1]Jun-24'!$A:$A,'[1]Jun-24'!$H:$H,0)</f>
        <v>-19873278.309999999</v>
      </c>
      <c r="L226" s="17">
        <f>_xlfn.XLOOKUP($B226,'[1]Jul-24'!$A:$A,'[1]Jul-24'!$H:$H,0)</f>
        <v>-20203615.719999999</v>
      </c>
      <c r="M226" s="17">
        <f>_xlfn.XLOOKUP($B226,'[1]Aug-24'!$A:$A,'[1]Aug-24'!$H:$H,0)</f>
        <v>-17131959.149999999</v>
      </c>
      <c r="N226" s="17">
        <f>_xlfn.XLOOKUP($B226,'[1]Sep-24'!$A:$A,'[1]Sep-24'!$H:$H,0)</f>
        <v>-17551121.600000001</v>
      </c>
      <c r="O226" s="17">
        <f>_xlfn.XLOOKUP($B226,'[1]Oct-24'!$A:$A,'[1]Oct-24'!$H:$H,0)</f>
        <v>-17946503.23</v>
      </c>
      <c r="P226" s="17">
        <f>_xlfn.XLOOKUP($B226,'[1]Nov-24'!$A:$A,'[1]Nov-24'!$H:$H,0)</f>
        <v>-17885310.16</v>
      </c>
      <c r="Q226" s="17">
        <f>_xlfn.XLOOKUP($B226,'[1]Dec-24'!$A:$A,'[1]Dec-24'!$H:$H,0)</f>
        <v>-12431023.34</v>
      </c>
      <c r="R226" s="17">
        <f>_xlfn.XLOOKUP($B226,'[1]Jan-25'!$A:$A,'[1]Jan-25'!$H:$H,0)</f>
        <v>-9532546.3200000003</v>
      </c>
      <c r="S226" s="17">
        <f>_xlfn.XLOOKUP($B226,'[1]Feb-25'!$A:$A,'[1]Feb-25'!$H:$H,0)</f>
        <v>-9532546.3200000003</v>
      </c>
      <c r="T226" s="17">
        <f>_xlfn.XLOOKUP($B226,'[1]Mar-25'!$A:$A,'[1]Mar-25'!$H:$H,0)</f>
        <v>-10901526.369999999</v>
      </c>
      <c r="U226" s="17">
        <f>_xlfn.XLOOKUP($B226,'[1]Apr-25'!$A:$A,'[1]Apr-25'!$H:$H,0)</f>
        <v>-10083768.369999999</v>
      </c>
      <c r="V226" s="17">
        <f>_xlfn.XLOOKUP($B226,'[1]May-25'!$A:$A,'[1]May-25'!$H:$H,0)</f>
        <v>-10003693.369999999</v>
      </c>
      <c r="W226" s="17">
        <f>_xlfn.XLOOKUP($B226,'[1]Jun-25'!$A:$A,'[1]Jun-25'!$H:$H,0)</f>
        <v>-9971942.3699999992</v>
      </c>
      <c r="X226" s="17">
        <f>_xlfn.XLOOKUP($B226,'[1]Jul-25'!$A:$A,'[1]Jul-25'!$H:$H,0)</f>
        <v>-9971942.3699999992</v>
      </c>
      <c r="Y226" s="17">
        <f>_xlfn.XLOOKUP($B226,'[1]Aug-25'!$A:$A,'[1]Aug-25'!$H:$H,0)</f>
        <v>-9971942.3699999992</v>
      </c>
      <c r="Z226" s="17">
        <f>_xlfn.XLOOKUP($B226,'[1]Sep-25'!$A:$A,'[1]Sep-25'!$H:$H,0)</f>
        <v>-8876353.4199999999</v>
      </c>
      <c r="AA226" s="17">
        <f>_xlfn.XLOOKUP($B226,'[1]Oct-25'!$A:$A,'[1]Oct-25'!$H:$H,0)</f>
        <v>-8876353.4199999999</v>
      </c>
      <c r="AB226" s="17">
        <f>_xlfn.XLOOKUP($B226,'[1]Nov-25'!$A:$A,'[1]Nov-25'!$H:$H,0)</f>
        <v>-8876353.4199999999</v>
      </c>
      <c r="AC226" s="17">
        <f>_xlfn.XLOOKUP($B226,'[1]Dec-25'!$A:$A,'[1]Dec-25'!$H:$H,0)</f>
        <v>-8876353.4199999999</v>
      </c>
      <c r="AD226" s="17">
        <f>_xlfn.XLOOKUP($B226,'[1]Jan-26'!$A:$A,'[1]Jan-26'!$H:$H,0)</f>
        <v>-8876353.4199999999</v>
      </c>
      <c r="AE226" s="17">
        <f>_xlfn.XLOOKUP($B226,'[1]Feb-26'!$A:$A,'[1]Feb-26'!$H:$H,0)</f>
        <v>-8876353.4199999999</v>
      </c>
      <c r="AF226" s="17">
        <f>_xlfn.XLOOKUP($B226,'[1]Mar-26'!$A:$A,'[1]Mar-26'!$H:$H,0)</f>
        <v>-8876353.4199999999</v>
      </c>
      <c r="AG226" s="17">
        <f>_xlfn.XLOOKUP($B226,'[1]Apr-26'!$A:$A,'[1]Apr-26'!$H:$H,0)</f>
        <v>-8876353.4199999999</v>
      </c>
    </row>
    <row r="227" spans="1:33" x14ac:dyDescent="0.2">
      <c r="A227" s="58">
        <v>22150</v>
      </c>
      <c r="B227" s="56" t="str">
        <f t="shared" si="9"/>
        <v>22150</v>
      </c>
      <c r="C227" s="57" t="s">
        <v>430</v>
      </c>
      <c r="D227" s="57" t="s">
        <v>429</v>
      </c>
      <c r="E227" s="44" t="s">
        <v>436</v>
      </c>
      <c r="F227" s="17">
        <f>_xlfn.XLOOKUP($B227,'[1]Jan-24'!$A:$A,'[1]Jan-24'!$H:$H,0)</f>
        <v>0</v>
      </c>
      <c r="G227" s="17">
        <f>_xlfn.XLOOKUP($B227,'[1]Feb-24'!$A:$A,'[1]Feb-24'!$H:$H,0)</f>
        <v>-70000000</v>
      </c>
      <c r="H227" s="17">
        <f>_xlfn.XLOOKUP($B227,'[1]Mar-24'!$A:$A,'[1]Mar-24'!$H:$H,0)</f>
        <v>0</v>
      </c>
      <c r="I227" s="17">
        <f>_xlfn.XLOOKUP($B227,'[1]Apr-24'!$A:$A,'[1]Apr-24'!$H:$H,0)</f>
        <v>0</v>
      </c>
      <c r="J227" s="17">
        <f>_xlfn.XLOOKUP($B227,'[1]May-24'!$A:$A,'[1]May-24'!$H:$H,0)</f>
        <v>0</v>
      </c>
      <c r="K227" s="17">
        <f>_xlfn.XLOOKUP($B227,'[1]Jun-24'!$A:$A,'[1]Jun-24'!$H:$H,0)</f>
        <v>0</v>
      </c>
      <c r="L227" s="17">
        <f>_xlfn.XLOOKUP($B227,'[1]Jul-24'!$A:$A,'[1]Jul-24'!$H:$H,0)</f>
        <v>0</v>
      </c>
      <c r="M227" s="17">
        <f>_xlfn.XLOOKUP($B227,'[1]Aug-24'!$A:$A,'[1]Aug-24'!$H:$H,0)</f>
        <v>0</v>
      </c>
      <c r="N227" s="17">
        <f>_xlfn.XLOOKUP($B227,'[1]Sep-24'!$A:$A,'[1]Sep-24'!$H:$H,0)</f>
        <v>0</v>
      </c>
      <c r="O227" s="17">
        <f>_xlfn.XLOOKUP($B227,'[1]Oct-24'!$A:$A,'[1]Oct-24'!$H:$H,0)</f>
        <v>0</v>
      </c>
      <c r="P227" s="17">
        <f>_xlfn.XLOOKUP($B227,'[1]Nov-24'!$A:$A,'[1]Nov-24'!$H:$H,0)</f>
        <v>0</v>
      </c>
      <c r="Q227" s="17">
        <f>_xlfn.XLOOKUP($B227,'[1]Dec-24'!$A:$A,'[1]Dec-24'!$H:$H,0)</f>
        <v>0</v>
      </c>
      <c r="R227" s="17">
        <f>_xlfn.XLOOKUP($B227,'[1]Jan-25'!$A:$A,'[1]Jan-25'!$H:$H,0)</f>
        <v>0</v>
      </c>
      <c r="S227" s="17">
        <f>_xlfn.XLOOKUP($B227,'[1]Feb-25'!$A:$A,'[1]Feb-25'!$H:$H,0)</f>
        <v>0</v>
      </c>
      <c r="T227" s="17">
        <f>_xlfn.XLOOKUP($B227,'[1]Mar-25'!$A:$A,'[1]Mar-25'!$H:$H,0)</f>
        <v>0</v>
      </c>
      <c r="U227" s="17">
        <f>_xlfn.XLOOKUP($B227,'[1]Apr-25'!$A:$A,'[1]Apr-25'!$H:$H,0)</f>
        <v>0</v>
      </c>
      <c r="V227" s="17">
        <f>_xlfn.XLOOKUP($B227,'[1]May-25'!$A:$A,'[1]May-25'!$H:$H,0)</f>
        <v>0</v>
      </c>
      <c r="W227" s="17">
        <f>_xlfn.XLOOKUP($B227,'[1]Jun-25'!$A:$A,'[1]Jun-25'!$H:$H,0)</f>
        <v>0</v>
      </c>
      <c r="X227" s="17">
        <f>_xlfn.XLOOKUP($B227,'[1]Jul-25'!$A:$A,'[1]Jul-25'!$H:$H,0)</f>
        <v>0</v>
      </c>
      <c r="Y227" s="17">
        <f>_xlfn.XLOOKUP($B227,'[1]Aug-25'!$A:$A,'[1]Aug-25'!$H:$H,0)</f>
        <v>0</v>
      </c>
      <c r="Z227" s="17">
        <f>_xlfn.XLOOKUP($B227,'[1]Sep-25'!$A:$A,'[1]Sep-25'!$H:$H,0)</f>
        <v>0</v>
      </c>
      <c r="AA227" s="17">
        <f>_xlfn.XLOOKUP($B227,'[1]Oct-25'!$A:$A,'[1]Oct-25'!$H:$H,0)</f>
        <v>0</v>
      </c>
      <c r="AB227" s="17">
        <f>_xlfn.XLOOKUP($B227,'[1]Nov-25'!$A:$A,'[1]Nov-25'!$H:$H,0)</f>
        <v>0</v>
      </c>
      <c r="AC227" s="17">
        <f>_xlfn.XLOOKUP($B227,'[1]Dec-25'!$A:$A,'[1]Dec-25'!$H:$H,0)</f>
        <v>0</v>
      </c>
      <c r="AD227" s="17">
        <f>_xlfn.XLOOKUP($B227,'[1]Jan-26'!$A:$A,'[1]Jan-26'!$H:$H,0)</f>
        <v>0</v>
      </c>
      <c r="AE227" s="17">
        <f>_xlfn.XLOOKUP($B227,'[1]Feb-26'!$A:$A,'[1]Feb-26'!$H:$H,0)</f>
        <v>0</v>
      </c>
      <c r="AF227" s="17">
        <f>_xlfn.XLOOKUP($B227,'[1]Mar-26'!$A:$A,'[1]Mar-26'!$H:$H,0)</f>
        <v>0</v>
      </c>
      <c r="AG227" s="17">
        <f>_xlfn.XLOOKUP($B227,'[1]Apr-26'!$A:$A,'[1]Apr-26'!$H:$H,0)</f>
        <v>0</v>
      </c>
    </row>
    <row r="228" spans="1:33" x14ac:dyDescent="0.2">
      <c r="A228" s="58">
        <v>22200</v>
      </c>
      <c r="B228" s="56" t="str">
        <f t="shared" si="9"/>
        <v>22200</v>
      </c>
      <c r="C228" s="57" t="s">
        <v>430</v>
      </c>
      <c r="D228" s="57" t="s">
        <v>429</v>
      </c>
      <c r="E228" s="44" t="s">
        <v>437</v>
      </c>
      <c r="F228" s="17">
        <f>_xlfn.XLOOKUP($B228,'[1]Jan-24'!$A:$A,'[1]Jan-24'!$H:$H,0)</f>
        <v>0</v>
      </c>
      <c r="G228" s="17">
        <f>_xlfn.XLOOKUP($B228,'[1]Feb-24'!$A:$A,'[1]Feb-24'!$H:$H,0)</f>
        <v>0</v>
      </c>
      <c r="H228" s="17">
        <f>_xlfn.XLOOKUP($B228,'[1]Mar-24'!$A:$A,'[1]Mar-24'!$H:$H,0)</f>
        <v>0</v>
      </c>
      <c r="I228" s="17">
        <f>_xlfn.XLOOKUP($B228,'[1]Apr-24'!$A:$A,'[1]Apr-24'!$H:$H,0)</f>
        <v>0</v>
      </c>
      <c r="J228" s="17">
        <f>_xlfn.XLOOKUP($B228,'[1]May-24'!$A:$A,'[1]May-24'!$H:$H,0)</f>
        <v>0</v>
      </c>
      <c r="K228" s="17">
        <f>_xlfn.XLOOKUP($B228,'[1]Jun-24'!$A:$A,'[1]Jun-24'!$H:$H,0)</f>
        <v>0</v>
      </c>
      <c r="L228" s="17">
        <f>_xlfn.XLOOKUP($B228,'[1]Jul-24'!$A:$A,'[1]Jul-24'!$H:$H,0)</f>
        <v>0</v>
      </c>
      <c r="M228" s="17">
        <f>_xlfn.XLOOKUP($B228,'[1]Aug-24'!$A:$A,'[1]Aug-24'!$H:$H,0)</f>
        <v>0</v>
      </c>
      <c r="N228" s="17">
        <f>_xlfn.XLOOKUP($B228,'[1]Sep-24'!$A:$A,'[1]Sep-24'!$H:$H,0)</f>
        <v>0</v>
      </c>
      <c r="O228" s="17">
        <f>_xlfn.XLOOKUP($B228,'[1]Oct-24'!$A:$A,'[1]Oct-24'!$H:$H,0)</f>
        <v>0</v>
      </c>
      <c r="P228" s="17">
        <f>_xlfn.XLOOKUP($B228,'[1]Nov-24'!$A:$A,'[1]Nov-24'!$H:$H,0)</f>
        <v>0</v>
      </c>
      <c r="Q228" s="17">
        <f>_xlfn.XLOOKUP($B228,'[1]Dec-24'!$A:$A,'[1]Dec-24'!$H:$H,0)</f>
        <v>0</v>
      </c>
      <c r="R228" s="17">
        <f>_xlfn.XLOOKUP($B228,'[1]Jan-25'!$A:$A,'[1]Jan-25'!$H:$H,0)</f>
        <v>0</v>
      </c>
      <c r="S228" s="17">
        <f>_xlfn.XLOOKUP($B228,'[1]Feb-25'!$A:$A,'[1]Feb-25'!$H:$H,0)</f>
        <v>0</v>
      </c>
      <c r="T228" s="17">
        <f>_xlfn.XLOOKUP($B228,'[1]Mar-25'!$A:$A,'[1]Mar-25'!$H:$H,0)</f>
        <v>0</v>
      </c>
      <c r="U228" s="17">
        <f>_xlfn.XLOOKUP($B228,'[1]Apr-25'!$A:$A,'[1]Apr-25'!$H:$H,0)</f>
        <v>0</v>
      </c>
      <c r="V228" s="17">
        <f>_xlfn.XLOOKUP($B228,'[1]May-25'!$A:$A,'[1]May-25'!$H:$H,0)</f>
        <v>0</v>
      </c>
      <c r="W228" s="17">
        <f>_xlfn.XLOOKUP($B228,'[1]Jun-25'!$A:$A,'[1]Jun-25'!$H:$H,0)</f>
        <v>0</v>
      </c>
      <c r="X228" s="17">
        <f>_xlfn.XLOOKUP($B228,'[1]Jul-25'!$A:$A,'[1]Jul-25'!$H:$H,0)</f>
        <v>0</v>
      </c>
      <c r="Y228" s="17">
        <f>_xlfn.XLOOKUP($B228,'[1]Aug-25'!$A:$A,'[1]Aug-25'!$H:$H,0)</f>
        <v>0</v>
      </c>
      <c r="Z228" s="17">
        <f>_xlfn.XLOOKUP($B228,'[1]Sep-25'!$A:$A,'[1]Sep-25'!$H:$H,0)</f>
        <v>0</v>
      </c>
      <c r="AA228" s="17">
        <f>_xlfn.XLOOKUP($B228,'[1]Oct-25'!$A:$A,'[1]Oct-25'!$H:$H,0)</f>
        <v>0</v>
      </c>
      <c r="AB228" s="17">
        <f>_xlfn.XLOOKUP($B228,'[1]Nov-25'!$A:$A,'[1]Nov-25'!$H:$H,0)</f>
        <v>0</v>
      </c>
      <c r="AC228" s="17">
        <f>_xlfn.XLOOKUP($B228,'[1]Dec-25'!$A:$A,'[1]Dec-25'!$H:$H,0)</f>
        <v>0</v>
      </c>
      <c r="AD228" s="17">
        <f>_xlfn.XLOOKUP($B228,'[1]Jan-26'!$A:$A,'[1]Jan-26'!$H:$H,0)</f>
        <v>0</v>
      </c>
      <c r="AE228" s="17">
        <f>_xlfn.XLOOKUP($B228,'[1]Feb-26'!$A:$A,'[1]Feb-26'!$H:$H,0)</f>
        <v>0</v>
      </c>
      <c r="AF228" s="17">
        <f>_xlfn.XLOOKUP($B228,'[1]Mar-26'!$A:$A,'[1]Mar-26'!$H:$H,0)</f>
        <v>0</v>
      </c>
      <c r="AG228" s="17">
        <f>_xlfn.XLOOKUP($B228,'[1]Apr-26'!$A:$A,'[1]Apr-26'!$H:$H,0)</f>
        <v>0</v>
      </c>
    </row>
    <row r="229" spans="1:33" x14ac:dyDescent="0.2">
      <c r="A229" s="58">
        <v>23000</v>
      </c>
      <c r="B229" s="56" t="str">
        <f t="shared" si="9"/>
        <v>23000</v>
      </c>
      <c r="C229" s="57" t="s">
        <v>430</v>
      </c>
      <c r="D229" s="57" t="s">
        <v>429</v>
      </c>
      <c r="E229" s="44" t="s">
        <v>280</v>
      </c>
      <c r="F229" s="17">
        <f>_xlfn.XLOOKUP($B229,'[1]Jan-24'!$A:$A,'[1]Jan-24'!$H:$H,0)</f>
        <v>-57775129.310000002</v>
      </c>
      <c r="G229" s="17">
        <f>_xlfn.XLOOKUP($B229,'[1]Feb-24'!$A:$A,'[1]Feb-24'!$H:$H,0)</f>
        <v>-40427908.810000002</v>
      </c>
      <c r="H229" s="17">
        <f>_xlfn.XLOOKUP($B229,'[1]Mar-24'!$A:$A,'[1]Mar-24'!$H:$H,0)</f>
        <v>-350423908.81</v>
      </c>
      <c r="I229" s="17">
        <f>_xlfn.XLOOKUP($B229,'[1]Apr-24'!$A:$A,'[1]Apr-24'!$H:$H,0)</f>
        <v>-350294175.48000002</v>
      </c>
      <c r="J229" s="17">
        <f>_xlfn.XLOOKUP($B229,'[1]May-24'!$A:$A,'[1]May-24'!$H:$H,0)</f>
        <v>-324004242.14999998</v>
      </c>
      <c r="K229" s="17">
        <f>_xlfn.XLOOKUP($B229,'[1]Jun-24'!$A:$A,'[1]Jun-24'!$H:$H,0)</f>
        <v>-1282902598.3299999</v>
      </c>
      <c r="L229" s="17">
        <f>_xlfn.XLOOKUP($B229,'[1]Jul-24'!$A:$A,'[1]Jul-24'!$H:$H,0)</f>
        <v>-810365241.47000003</v>
      </c>
      <c r="M229" s="17">
        <f>_xlfn.XLOOKUP($B229,'[1]Aug-24'!$A:$A,'[1]Aug-24'!$H:$H,0)</f>
        <v>-1132028799.1600001</v>
      </c>
      <c r="N229" s="17">
        <f>_xlfn.XLOOKUP($B229,'[1]Sep-24'!$A:$A,'[1]Sep-24'!$H:$H,0)</f>
        <v>-1054298715.83</v>
      </c>
      <c r="O229" s="17">
        <f>_xlfn.XLOOKUP($B229,'[1]Oct-24'!$A:$A,'[1]Oct-24'!$H:$H,0)</f>
        <v>-1006902332.5</v>
      </c>
      <c r="P229" s="17">
        <f>_xlfn.XLOOKUP($B229,'[1]Nov-24'!$A:$A,'[1]Nov-24'!$H:$H,0)</f>
        <v>-1032628983.76</v>
      </c>
      <c r="Q229" s="17">
        <f>_xlfn.XLOOKUP($B229,'[1]Dec-24'!$A:$A,'[1]Dec-24'!$H:$H,0)</f>
        <v>-899922289.13999999</v>
      </c>
      <c r="R229" s="17">
        <f>_xlfn.XLOOKUP($B229,'[1]Jan-25'!$A:$A,'[1]Jan-25'!$H:$H,0)</f>
        <v>-807420216.13</v>
      </c>
      <c r="S229" s="17">
        <f>_xlfn.XLOOKUP($B229,'[1]Feb-25'!$A:$A,'[1]Feb-25'!$H:$H,0)</f>
        <v>-714918143.12</v>
      </c>
      <c r="T229" s="17">
        <f>_xlfn.XLOOKUP($B229,'[1]Mar-25'!$A:$A,'[1]Mar-25'!$H:$H,0)</f>
        <v>-851665674.53999996</v>
      </c>
      <c r="U229" s="17">
        <f>_xlfn.XLOOKUP($B229,'[1]Apr-25'!$A:$A,'[1]Apr-25'!$H:$H,0)</f>
        <v>-784884837.62</v>
      </c>
      <c r="V229" s="17">
        <f>_xlfn.XLOOKUP($B229,'[1]May-25'!$A:$A,'[1]May-25'!$H:$H,0)</f>
        <v>-743937000.70000005</v>
      </c>
      <c r="W229" s="17">
        <f>_xlfn.XLOOKUP($B229,'[1]Jun-25'!$A:$A,'[1]Jun-25'!$H:$H,0)</f>
        <v>-938717163.78999996</v>
      </c>
      <c r="X229" s="17">
        <f>_xlfn.XLOOKUP($B229,'[1]Jul-25'!$A:$A,'[1]Jul-25'!$H:$H,0)</f>
        <v>-1018360826.87</v>
      </c>
      <c r="Y229" s="17">
        <f>_xlfn.XLOOKUP($B229,'[1]Aug-25'!$A:$A,'[1]Aug-25'!$H:$H,0)</f>
        <v>-1366636146.78</v>
      </c>
      <c r="Z229" s="17">
        <f>_xlfn.XLOOKUP($B229,'[1]Sep-25'!$A:$A,'[1]Sep-25'!$H:$H,0)</f>
        <v>-1400902599.9400001</v>
      </c>
      <c r="AA229" s="17">
        <f>_xlfn.XLOOKUP($B229,'[1]Oct-25'!$A:$A,'[1]Oct-25'!$H:$H,0)</f>
        <v>-1271621439.04</v>
      </c>
      <c r="AB229" s="17">
        <f>_xlfn.XLOOKUP($B229,'[1]Nov-25'!$A:$A,'[1]Nov-25'!$H:$H,0)</f>
        <v>-1142340278.1400001</v>
      </c>
      <c r="AC229" s="17">
        <f>_xlfn.XLOOKUP($B229,'[1]Dec-25'!$A:$A,'[1]Dec-25'!$H:$H,0)</f>
        <v>-974479561.48000002</v>
      </c>
      <c r="AD229" s="17">
        <f>_xlfn.XLOOKUP($B229,'[1]Jan-26'!$A:$A,'[1]Jan-26'!$H:$H,0)</f>
        <v>-845198400.58000004</v>
      </c>
      <c r="AE229" s="17">
        <f>_xlfn.XLOOKUP($B229,'[1]Feb-26'!$A:$A,'[1]Feb-26'!$H:$H,0)</f>
        <v>-845259739.67999995</v>
      </c>
      <c r="AF229" s="17">
        <f>_xlfn.XLOOKUP($B229,'[1]Mar-26'!$A:$A,'[1]Mar-26'!$H:$H,0)</f>
        <v>-892462024.82000005</v>
      </c>
      <c r="AG229" s="17">
        <f>_xlfn.XLOOKUP($B229,'[1]Apr-26'!$A:$A,'[1]Apr-26'!$H:$H,0)</f>
        <v>-687058338.92999995</v>
      </c>
    </row>
    <row r="230" spans="1:33" x14ac:dyDescent="0.2">
      <c r="A230" s="58">
        <v>23001</v>
      </c>
      <c r="B230" s="56" t="str">
        <f t="shared" si="9"/>
        <v>23001</v>
      </c>
      <c r="C230" s="57" t="s">
        <v>430</v>
      </c>
      <c r="D230" s="57" t="s">
        <v>429</v>
      </c>
      <c r="E230" s="44" t="s">
        <v>281</v>
      </c>
      <c r="F230" s="17">
        <f>_xlfn.XLOOKUP($B230,'[1]Jan-24'!$A:$A,'[1]Jan-24'!$H:$H,0)</f>
        <v>0</v>
      </c>
      <c r="G230" s="17">
        <f>_xlfn.XLOOKUP($B230,'[1]Feb-24'!$A:$A,'[1]Feb-24'!$H:$H,0)</f>
        <v>0</v>
      </c>
      <c r="H230" s="17">
        <f>_xlfn.XLOOKUP($B230,'[1]Mar-24'!$A:$A,'[1]Mar-24'!$H:$H,0)</f>
        <v>-836265</v>
      </c>
      <c r="I230" s="17">
        <f>_xlfn.XLOOKUP($B230,'[1]Apr-24'!$A:$A,'[1]Apr-24'!$H:$H,0)</f>
        <v>-1144603</v>
      </c>
      <c r="J230" s="17">
        <f>_xlfn.XLOOKUP($B230,'[1]May-24'!$A:$A,'[1]May-24'!$H:$H,0)</f>
        <v>-1144603</v>
      </c>
      <c r="K230" s="17">
        <f>_xlfn.XLOOKUP($B230,'[1]Jun-24'!$A:$A,'[1]Jun-24'!$H:$H,0)</f>
        <v>-1144603</v>
      </c>
      <c r="L230" s="17">
        <f>_xlfn.XLOOKUP($B230,'[1]Jul-24'!$A:$A,'[1]Jul-24'!$H:$H,0)</f>
        <v>-1144603</v>
      </c>
      <c r="M230" s="17">
        <f>_xlfn.XLOOKUP($B230,'[1]Aug-24'!$A:$A,'[1]Aug-24'!$H:$H,0)</f>
        <v>59891429</v>
      </c>
      <c r="N230" s="17">
        <f>_xlfn.XLOOKUP($B230,'[1]Sep-24'!$A:$A,'[1]Sep-24'!$H:$H,0)</f>
        <v>59891429</v>
      </c>
      <c r="O230" s="17">
        <f>_xlfn.XLOOKUP($B230,'[1]Oct-24'!$A:$A,'[1]Oct-24'!$H:$H,0)</f>
        <v>59891429</v>
      </c>
      <c r="P230" s="17">
        <f>_xlfn.XLOOKUP($B230,'[1]Nov-24'!$A:$A,'[1]Nov-24'!$H:$H,0)</f>
        <v>59891429</v>
      </c>
      <c r="Q230" s="17">
        <f>_xlfn.XLOOKUP($B230,'[1]Dec-24'!$A:$A,'[1]Dec-24'!$H:$H,0)</f>
        <v>59891429</v>
      </c>
      <c r="R230" s="17">
        <f>_xlfn.XLOOKUP($B230,'[1]Jan-25'!$A:$A,'[1]Jan-25'!$H:$H,0)</f>
        <v>59891429</v>
      </c>
      <c r="S230" s="17">
        <f>_xlfn.XLOOKUP($B230,'[1]Feb-25'!$A:$A,'[1]Feb-25'!$H:$H,0)</f>
        <v>59891429</v>
      </c>
      <c r="T230" s="17">
        <f>_xlfn.XLOOKUP($B230,'[1]Mar-25'!$A:$A,'[1]Mar-25'!$H:$H,0)</f>
        <v>59891429</v>
      </c>
      <c r="U230" s="17">
        <f>_xlfn.XLOOKUP($B230,'[1]Apr-25'!$A:$A,'[1]Apr-25'!$H:$H,0)</f>
        <v>59891429</v>
      </c>
      <c r="V230" s="17">
        <f>_xlfn.XLOOKUP($B230,'[1]May-25'!$A:$A,'[1]May-25'!$H:$H,0)</f>
        <v>59891429</v>
      </c>
      <c r="W230" s="17">
        <f>_xlfn.XLOOKUP($B230,'[1]Jun-25'!$A:$A,'[1]Jun-25'!$H:$H,0)</f>
        <v>59891429</v>
      </c>
      <c r="X230" s="17">
        <f>_xlfn.XLOOKUP($B230,'[1]Jul-25'!$A:$A,'[1]Jul-25'!$H:$H,0)</f>
        <v>-56105693.5</v>
      </c>
      <c r="Y230" s="17">
        <f>_xlfn.XLOOKUP($B230,'[1]Aug-25'!$A:$A,'[1]Aug-25'!$H:$H,0)</f>
        <v>-36877803.119999997</v>
      </c>
      <c r="Z230" s="17">
        <f>_xlfn.XLOOKUP($B230,'[1]Sep-25'!$A:$A,'[1]Sep-25'!$H:$H,0)</f>
        <v>-18331038.280000001</v>
      </c>
      <c r="AA230" s="17">
        <f>_xlfn.XLOOKUP($B230,'[1]Oct-25'!$A:$A,'[1]Oct-25'!$H:$H,0)</f>
        <v>-212398.79</v>
      </c>
      <c r="AB230" s="17">
        <f>_xlfn.XLOOKUP($B230,'[1]Nov-25'!$A:$A,'[1]Nov-25'!$H:$H,0)</f>
        <v>17878240.68</v>
      </c>
      <c r="AC230" s="17">
        <f>_xlfn.XLOOKUP($B230,'[1]Dec-25'!$A:$A,'[1]Dec-25'!$H:$H,0)</f>
        <v>35999005.18</v>
      </c>
      <c r="AD230" s="17">
        <f>_xlfn.XLOOKUP($B230,'[1]Jan-26'!$A:$A,'[1]Jan-26'!$H:$H,0)</f>
        <v>1030820.56</v>
      </c>
      <c r="AE230" s="17">
        <f>_xlfn.XLOOKUP($B230,'[1]Feb-26'!$A:$A,'[1]Feb-26'!$H:$H,0)</f>
        <v>17873572.030000001</v>
      </c>
      <c r="AF230" s="17">
        <f>_xlfn.XLOOKUP($B230,'[1]Mar-26'!$A:$A,'[1]Mar-26'!$H:$H,0)</f>
        <v>-16976161.66</v>
      </c>
      <c r="AG230" s="17">
        <f>_xlfn.XLOOKUP($B230,'[1]Apr-26'!$A:$A,'[1]Apr-26'!$H:$H,0)</f>
        <v>-73569221.030000001</v>
      </c>
    </row>
    <row r="231" spans="1:33" x14ac:dyDescent="0.2">
      <c r="A231" s="58">
        <v>23005</v>
      </c>
      <c r="B231" s="56" t="str">
        <f t="shared" si="9"/>
        <v>23005</v>
      </c>
      <c r="C231" s="57" t="s">
        <v>430</v>
      </c>
      <c r="D231" s="57" t="s">
        <v>429</v>
      </c>
      <c r="E231" s="44" t="s">
        <v>438</v>
      </c>
      <c r="F231" s="17">
        <f>_xlfn.XLOOKUP($B231,'[1]Jan-24'!$A:$A,'[1]Jan-24'!$H:$H,0)</f>
        <v>0</v>
      </c>
      <c r="G231" s="17">
        <f>_xlfn.XLOOKUP($B231,'[1]Feb-24'!$A:$A,'[1]Feb-24'!$H:$H,0)</f>
        <v>0</v>
      </c>
      <c r="H231" s="17">
        <f>_xlfn.XLOOKUP($B231,'[1]Mar-24'!$A:$A,'[1]Mar-24'!$H:$H,0)</f>
        <v>0</v>
      </c>
      <c r="I231" s="17">
        <f>_xlfn.XLOOKUP($B231,'[1]Apr-24'!$A:$A,'[1]Apr-24'!$H:$H,0)</f>
        <v>0</v>
      </c>
      <c r="J231" s="17">
        <f>_xlfn.XLOOKUP($B231,'[1]May-24'!$A:$A,'[1]May-24'!$H:$H,0)</f>
        <v>0</v>
      </c>
      <c r="K231" s="17">
        <f>_xlfn.XLOOKUP($B231,'[1]Jun-24'!$A:$A,'[1]Jun-24'!$H:$H,0)</f>
        <v>0</v>
      </c>
      <c r="L231" s="17">
        <f>_xlfn.XLOOKUP($B231,'[1]Jul-24'!$A:$A,'[1]Jul-24'!$H:$H,0)</f>
        <v>0</v>
      </c>
      <c r="M231" s="17">
        <f>_xlfn.XLOOKUP($B231,'[1]Aug-24'!$A:$A,'[1]Aug-24'!$H:$H,0)</f>
        <v>0</v>
      </c>
      <c r="N231" s="17">
        <f>_xlfn.XLOOKUP($B231,'[1]Sep-24'!$A:$A,'[1]Sep-24'!$H:$H,0)</f>
        <v>0</v>
      </c>
      <c r="O231" s="17">
        <f>_xlfn.XLOOKUP($B231,'[1]Oct-24'!$A:$A,'[1]Oct-24'!$H:$H,0)</f>
        <v>0</v>
      </c>
      <c r="P231" s="17">
        <f>_xlfn.XLOOKUP($B231,'[1]Nov-24'!$A:$A,'[1]Nov-24'!$H:$H,0)</f>
        <v>0</v>
      </c>
      <c r="Q231" s="17">
        <f>_xlfn.XLOOKUP($B231,'[1]Dec-24'!$A:$A,'[1]Dec-24'!$H:$H,0)</f>
        <v>0</v>
      </c>
      <c r="R231" s="17">
        <f>_xlfn.XLOOKUP($B231,'[1]Jan-25'!$A:$A,'[1]Jan-25'!$H:$H,0)</f>
        <v>0</v>
      </c>
      <c r="S231" s="17">
        <f>_xlfn.XLOOKUP($B231,'[1]Feb-25'!$A:$A,'[1]Feb-25'!$H:$H,0)</f>
        <v>0</v>
      </c>
      <c r="T231" s="17">
        <f>_xlfn.XLOOKUP($B231,'[1]Mar-25'!$A:$A,'[1]Mar-25'!$H:$H,0)</f>
        <v>0</v>
      </c>
      <c r="U231" s="17">
        <f>_xlfn.XLOOKUP($B231,'[1]Apr-25'!$A:$A,'[1]Apr-25'!$H:$H,0)</f>
        <v>0</v>
      </c>
      <c r="V231" s="17">
        <f>_xlfn.XLOOKUP($B231,'[1]May-25'!$A:$A,'[1]May-25'!$H:$H,0)</f>
        <v>0</v>
      </c>
      <c r="W231" s="17">
        <f>_xlfn.XLOOKUP($B231,'[1]Jun-25'!$A:$A,'[1]Jun-25'!$H:$H,0)</f>
        <v>0</v>
      </c>
      <c r="X231" s="17">
        <f>_xlfn.XLOOKUP($B231,'[1]Jul-25'!$A:$A,'[1]Jul-25'!$H:$H,0)</f>
        <v>0</v>
      </c>
      <c r="Y231" s="17">
        <f>_xlfn.XLOOKUP($B231,'[1]Aug-25'!$A:$A,'[1]Aug-25'!$H:$H,0)</f>
        <v>0</v>
      </c>
      <c r="Z231" s="17">
        <f>_xlfn.XLOOKUP($B231,'[1]Sep-25'!$A:$A,'[1]Sep-25'!$H:$H,0)</f>
        <v>0</v>
      </c>
      <c r="AA231" s="17">
        <f>_xlfn.XLOOKUP($B231,'[1]Oct-25'!$A:$A,'[1]Oct-25'!$H:$H,0)</f>
        <v>0</v>
      </c>
      <c r="AB231" s="17">
        <f>_xlfn.XLOOKUP($B231,'[1]Nov-25'!$A:$A,'[1]Nov-25'!$H:$H,0)</f>
        <v>0</v>
      </c>
      <c r="AC231" s="17">
        <f>_xlfn.XLOOKUP($B231,'[1]Dec-25'!$A:$A,'[1]Dec-25'!$H:$H,0)</f>
        <v>0</v>
      </c>
      <c r="AD231" s="17">
        <f>_xlfn.XLOOKUP($B231,'[1]Jan-26'!$A:$A,'[1]Jan-26'!$H:$H,0)</f>
        <v>0</v>
      </c>
      <c r="AE231" s="17">
        <f>_xlfn.XLOOKUP($B231,'[1]Feb-26'!$A:$A,'[1]Feb-26'!$H:$H,0)</f>
        <v>0</v>
      </c>
      <c r="AF231" s="17">
        <f>_xlfn.XLOOKUP($B231,'[1]Mar-26'!$A:$A,'[1]Mar-26'!$H:$H,0)</f>
        <v>0</v>
      </c>
      <c r="AG231" s="17">
        <f>_xlfn.XLOOKUP($B231,'[1]Apr-26'!$A:$A,'[1]Apr-26'!$H:$H,0)</f>
        <v>0</v>
      </c>
    </row>
    <row r="232" spans="1:33" x14ac:dyDescent="0.2">
      <c r="A232" s="58">
        <v>23010</v>
      </c>
      <c r="B232" s="56" t="str">
        <f t="shared" si="9"/>
        <v>23010</v>
      </c>
      <c r="C232" s="57" t="s">
        <v>430</v>
      </c>
      <c r="D232" s="57" t="s">
        <v>429</v>
      </c>
      <c r="E232" s="44" t="s">
        <v>282</v>
      </c>
      <c r="F232" s="17">
        <f>_xlfn.XLOOKUP($B232,'[1]Jan-24'!$A:$A,'[1]Jan-24'!$H:$H,0)</f>
        <v>-434560973.00999999</v>
      </c>
      <c r="G232" s="17">
        <f>_xlfn.XLOOKUP($B232,'[1]Feb-24'!$A:$A,'[1]Feb-24'!$H:$H,0)</f>
        <v>-509779171.24000001</v>
      </c>
      <c r="H232" s="17">
        <f>_xlfn.XLOOKUP($B232,'[1]Mar-24'!$A:$A,'[1]Mar-24'!$H:$H,0)</f>
        <v>-557472502.13999999</v>
      </c>
      <c r="I232" s="17">
        <f>_xlfn.XLOOKUP($B232,'[1]Apr-24'!$A:$A,'[1]Apr-24'!$H:$H,0)</f>
        <v>-339844684.17000002</v>
      </c>
      <c r="J232" s="17">
        <f>_xlfn.XLOOKUP($B232,'[1]May-24'!$A:$A,'[1]May-24'!$H:$H,0)</f>
        <v>-202849536.34999999</v>
      </c>
      <c r="K232" s="17">
        <f>_xlfn.XLOOKUP($B232,'[1]Jun-24'!$A:$A,'[1]Jun-24'!$H:$H,0)</f>
        <v>-157816851.53</v>
      </c>
      <c r="L232" s="17">
        <f>_xlfn.XLOOKUP($B232,'[1]Jul-24'!$A:$A,'[1]Jul-24'!$H:$H,0)</f>
        <v>-83727601.939999998</v>
      </c>
      <c r="M232" s="17">
        <f>_xlfn.XLOOKUP($B232,'[1]Aug-24'!$A:$A,'[1]Aug-24'!$H:$H,0)</f>
        <v>-17837909.359999999</v>
      </c>
      <c r="N232" s="17">
        <f>_xlfn.XLOOKUP($B232,'[1]Sep-24'!$A:$A,'[1]Sep-24'!$H:$H,0)</f>
        <v>-17861670.030000001</v>
      </c>
      <c r="O232" s="17">
        <f>_xlfn.XLOOKUP($B232,'[1]Oct-24'!$A:$A,'[1]Oct-24'!$H:$H,0)</f>
        <v>-14287736.699999999</v>
      </c>
      <c r="P232" s="17">
        <f>_xlfn.XLOOKUP($B232,'[1]Nov-24'!$A:$A,'[1]Nov-24'!$H:$H,0)</f>
        <v>-17731807.949999999</v>
      </c>
      <c r="Q232" s="17">
        <f>_xlfn.XLOOKUP($B232,'[1]Dec-24'!$A:$A,'[1]Dec-24'!$H:$H,0)</f>
        <v>-129874666.54000001</v>
      </c>
      <c r="R232" s="17">
        <f>_xlfn.XLOOKUP($B232,'[1]Jan-25'!$A:$A,'[1]Jan-25'!$H:$H,0)</f>
        <v>-133690656.90000001</v>
      </c>
      <c r="S232" s="17">
        <f>_xlfn.XLOOKUP($B232,'[1]Feb-25'!$A:$A,'[1]Feb-25'!$H:$H,0)</f>
        <v>-144613719.93000001</v>
      </c>
      <c r="T232" s="17">
        <f>_xlfn.XLOOKUP($B232,'[1]Mar-25'!$A:$A,'[1]Mar-25'!$H:$H,0)</f>
        <v>-150966493.72</v>
      </c>
      <c r="U232" s="17">
        <f>_xlfn.XLOOKUP($B232,'[1]Apr-25'!$A:$A,'[1]Apr-25'!$H:$H,0)</f>
        <v>-64654437.07</v>
      </c>
      <c r="V232" s="17">
        <f>_xlfn.XLOOKUP($B232,'[1]May-25'!$A:$A,'[1]May-25'!$H:$H,0)</f>
        <v>-43823349.979999997</v>
      </c>
      <c r="W232" s="17">
        <f>_xlfn.XLOOKUP($B232,'[1]Jun-25'!$A:$A,'[1]Jun-25'!$H:$H,0)</f>
        <v>-48391445.700000003</v>
      </c>
      <c r="X232" s="17">
        <f>_xlfn.XLOOKUP($B232,'[1]Jul-25'!$A:$A,'[1]Jul-25'!$H:$H,0)</f>
        <v>-36265643.18</v>
      </c>
      <c r="Y232" s="17">
        <f>_xlfn.XLOOKUP($B232,'[1]Aug-25'!$A:$A,'[1]Aug-25'!$H:$H,0)</f>
        <v>-53856868.990000002</v>
      </c>
      <c r="Z232" s="17">
        <f>_xlfn.XLOOKUP($B232,'[1]Sep-25'!$A:$A,'[1]Sep-25'!$H:$H,0)</f>
        <v>-44746140.770000003</v>
      </c>
      <c r="AA232" s="17">
        <f>_xlfn.XLOOKUP($B232,'[1]Oct-25'!$A:$A,'[1]Oct-25'!$H:$H,0)</f>
        <v>-56676797.030000001</v>
      </c>
      <c r="AB232" s="17">
        <f>_xlfn.XLOOKUP($B232,'[1]Nov-25'!$A:$A,'[1]Nov-25'!$H:$H,0)</f>
        <v>-46250689.159999996</v>
      </c>
      <c r="AC232" s="17">
        <f>_xlfn.XLOOKUP($B232,'[1]Dec-25'!$A:$A,'[1]Dec-25'!$H:$H,0)</f>
        <v>-215496932.31999999</v>
      </c>
      <c r="AD232" s="17">
        <f>_xlfn.XLOOKUP($B232,'[1]Jan-26'!$A:$A,'[1]Jan-26'!$H:$H,0)</f>
        <v>-226229912.94</v>
      </c>
      <c r="AE232" s="17">
        <f>_xlfn.XLOOKUP($B232,'[1]Feb-26'!$A:$A,'[1]Feb-26'!$H:$H,0)</f>
        <v>-245825486.12</v>
      </c>
      <c r="AF232" s="17">
        <f>_xlfn.XLOOKUP($B232,'[1]Mar-26'!$A:$A,'[1]Mar-26'!$H:$H,0)</f>
        <v>-253046912.61000001</v>
      </c>
      <c r="AG232" s="17">
        <f>_xlfn.XLOOKUP($B232,'[1]Apr-26'!$A:$A,'[1]Apr-26'!$H:$H,0)</f>
        <v>-211959155.53</v>
      </c>
    </row>
    <row r="233" spans="1:33" x14ac:dyDescent="0.2">
      <c r="A233" s="58">
        <v>23015</v>
      </c>
      <c r="B233" s="56" t="str">
        <f t="shared" si="9"/>
        <v>23015</v>
      </c>
      <c r="C233" s="57" t="s">
        <v>430</v>
      </c>
      <c r="D233" s="57" t="s">
        <v>429</v>
      </c>
      <c r="E233" s="44" t="s">
        <v>283</v>
      </c>
      <c r="F233" s="17">
        <f>_xlfn.XLOOKUP($B233,'[1]Jan-24'!$A:$A,'[1]Jan-24'!$H:$H,0)</f>
        <v>-3244946.07</v>
      </c>
      <c r="G233" s="17">
        <f>_xlfn.XLOOKUP($B233,'[1]Feb-24'!$A:$A,'[1]Feb-24'!$H:$H,0)</f>
        <v>-4426546.07</v>
      </c>
      <c r="H233" s="17">
        <f>_xlfn.XLOOKUP($B233,'[1]Mar-24'!$A:$A,'[1]Mar-24'!$H:$H,0)</f>
        <v>-3244946.07</v>
      </c>
      <c r="I233" s="17">
        <f>_xlfn.XLOOKUP($B233,'[1]Apr-24'!$A:$A,'[1]Apr-24'!$H:$H,0)</f>
        <v>-2673399.54</v>
      </c>
      <c r="J233" s="17">
        <f>_xlfn.XLOOKUP($B233,'[1]May-24'!$A:$A,'[1]May-24'!$H:$H,0)</f>
        <v>-325160.32000000001</v>
      </c>
      <c r="K233" s="17">
        <f>_xlfn.XLOOKUP($B233,'[1]Jun-24'!$A:$A,'[1]Jun-24'!$H:$H,0)</f>
        <v>-2667206.1</v>
      </c>
      <c r="L233" s="17">
        <f>_xlfn.XLOOKUP($B233,'[1]Jul-24'!$A:$A,'[1]Jul-24'!$H:$H,0)</f>
        <v>-6293413.7199999997</v>
      </c>
      <c r="M233" s="17">
        <f>_xlfn.XLOOKUP($B233,'[1]Aug-24'!$A:$A,'[1]Aug-24'!$H:$H,0)</f>
        <v>-2119872.2400000002</v>
      </c>
      <c r="N233" s="17">
        <f>_xlfn.XLOOKUP($B233,'[1]Sep-24'!$A:$A,'[1]Sep-24'!$H:$H,0)</f>
        <v>-1155210.1000000001</v>
      </c>
      <c r="O233" s="17">
        <f>_xlfn.XLOOKUP($B233,'[1]Oct-24'!$A:$A,'[1]Oct-24'!$H:$H,0)</f>
        <v>-5142585.67</v>
      </c>
      <c r="P233" s="17">
        <f>_xlfn.XLOOKUP($B233,'[1]Nov-24'!$A:$A,'[1]Nov-24'!$H:$H,0)</f>
        <v>-303429.21999999997</v>
      </c>
      <c r="Q233" s="17">
        <f>_xlfn.XLOOKUP($B233,'[1]Dec-24'!$A:$A,'[1]Dec-24'!$H:$H,0)</f>
        <v>0.25</v>
      </c>
      <c r="R233" s="17">
        <f>_xlfn.XLOOKUP($B233,'[1]Jan-25'!$A:$A,'[1]Jan-25'!$H:$H,0)</f>
        <v>-4197162.9000000004</v>
      </c>
      <c r="S233" s="17">
        <f>_xlfn.XLOOKUP($B233,'[1]Feb-25'!$A:$A,'[1]Feb-25'!$H:$H,0)</f>
        <v>-1014999.75</v>
      </c>
      <c r="T233" s="17">
        <f>_xlfn.XLOOKUP($B233,'[1]Mar-25'!$A:$A,'[1]Mar-25'!$H:$H,0)</f>
        <v>-1964082.78</v>
      </c>
      <c r="U233" s="17">
        <f>_xlfn.XLOOKUP($B233,'[1]Apr-25'!$A:$A,'[1]Apr-25'!$H:$H,0)</f>
        <v>-5032987.4800000004</v>
      </c>
      <c r="V233" s="17">
        <f>_xlfn.XLOOKUP($B233,'[1]May-25'!$A:$A,'[1]May-25'!$H:$H,0)</f>
        <v>-728899.5</v>
      </c>
      <c r="W233" s="17">
        <f>_xlfn.XLOOKUP($B233,'[1]Jun-25'!$A:$A,'[1]Jun-25'!$H:$H,0)</f>
        <v>-3180259.95</v>
      </c>
      <c r="X233" s="17">
        <f>_xlfn.XLOOKUP($B233,'[1]Jul-25'!$A:$A,'[1]Jul-25'!$H:$H,0)</f>
        <v>-810417.46</v>
      </c>
      <c r="Y233" s="17">
        <f>_xlfn.XLOOKUP($B233,'[1]Aug-25'!$A:$A,'[1]Aug-25'!$H:$H,0)</f>
        <v>-710482.61</v>
      </c>
      <c r="Z233" s="17">
        <f>_xlfn.XLOOKUP($B233,'[1]Sep-25'!$A:$A,'[1]Sep-25'!$H:$H,0)</f>
        <v>-2071695.74</v>
      </c>
      <c r="AA233" s="17">
        <f>_xlfn.XLOOKUP($B233,'[1]Oct-25'!$A:$A,'[1]Oct-25'!$H:$H,0)</f>
        <v>0.25</v>
      </c>
      <c r="AB233" s="17">
        <f>_xlfn.XLOOKUP($B233,'[1]Nov-25'!$A:$A,'[1]Nov-25'!$H:$H,0)</f>
        <v>-141375.29999999999</v>
      </c>
      <c r="AC233" s="17">
        <f>_xlfn.XLOOKUP($B233,'[1]Dec-25'!$A:$A,'[1]Dec-25'!$H:$H,0)</f>
        <v>-4286209.79</v>
      </c>
      <c r="AD233" s="17">
        <f>_xlfn.XLOOKUP($B233,'[1]Jan-26'!$A:$A,'[1]Jan-26'!$H:$H,0)</f>
        <v>-1120945.1599999999</v>
      </c>
      <c r="AE233" s="17">
        <f>_xlfn.XLOOKUP($B233,'[1]Feb-26'!$A:$A,'[1]Feb-26'!$H:$H,0)</f>
        <v>-4895555.88</v>
      </c>
      <c r="AF233" s="17">
        <f>_xlfn.XLOOKUP($B233,'[1]Mar-26'!$A:$A,'[1]Mar-26'!$H:$H,0)</f>
        <v>-518042.67</v>
      </c>
      <c r="AG233" s="17">
        <f>_xlfn.XLOOKUP($B233,'[1]Apr-26'!$A:$A,'[1]Apr-26'!$H:$H,0)</f>
        <v>0.25</v>
      </c>
    </row>
    <row r="234" spans="1:33" x14ac:dyDescent="0.2">
      <c r="A234" s="58">
        <v>23020</v>
      </c>
      <c r="B234" s="56" t="str">
        <f t="shared" si="9"/>
        <v>23020</v>
      </c>
      <c r="C234" s="57" t="s">
        <v>430</v>
      </c>
      <c r="D234" s="57" t="s">
        <v>429</v>
      </c>
      <c r="E234" s="44" t="s">
        <v>439</v>
      </c>
      <c r="F234" s="17">
        <f>_xlfn.XLOOKUP($B234,'[1]Jan-24'!$A:$A,'[1]Jan-24'!$H:$H,0)</f>
        <v>0</v>
      </c>
      <c r="G234" s="17">
        <f>_xlfn.XLOOKUP($B234,'[1]Feb-24'!$A:$A,'[1]Feb-24'!$H:$H,0)</f>
        <v>0</v>
      </c>
      <c r="H234" s="17">
        <f>_xlfn.XLOOKUP($B234,'[1]Mar-24'!$A:$A,'[1]Mar-24'!$H:$H,0)</f>
        <v>0</v>
      </c>
      <c r="I234" s="17">
        <f>_xlfn.XLOOKUP($B234,'[1]Apr-24'!$A:$A,'[1]Apr-24'!$H:$H,0)</f>
        <v>0</v>
      </c>
      <c r="J234" s="17">
        <f>_xlfn.XLOOKUP($B234,'[1]May-24'!$A:$A,'[1]May-24'!$H:$H,0)</f>
        <v>0</v>
      </c>
      <c r="K234" s="17">
        <f>_xlfn.XLOOKUP($B234,'[1]Jun-24'!$A:$A,'[1]Jun-24'!$H:$H,0)</f>
        <v>0</v>
      </c>
      <c r="L234" s="17">
        <f>_xlfn.XLOOKUP($B234,'[1]Jul-24'!$A:$A,'[1]Jul-24'!$H:$H,0)</f>
        <v>0</v>
      </c>
      <c r="M234" s="17">
        <f>_xlfn.XLOOKUP($B234,'[1]Aug-24'!$A:$A,'[1]Aug-24'!$H:$H,0)</f>
        <v>0</v>
      </c>
      <c r="N234" s="17">
        <f>_xlfn.XLOOKUP($B234,'[1]Sep-24'!$A:$A,'[1]Sep-24'!$H:$H,0)</f>
        <v>0</v>
      </c>
      <c r="O234" s="17">
        <f>_xlfn.XLOOKUP($B234,'[1]Oct-24'!$A:$A,'[1]Oct-24'!$H:$H,0)</f>
        <v>0</v>
      </c>
      <c r="P234" s="17">
        <f>_xlfn.XLOOKUP($B234,'[1]Nov-24'!$A:$A,'[1]Nov-24'!$H:$H,0)</f>
        <v>0</v>
      </c>
      <c r="Q234" s="17">
        <f>_xlfn.XLOOKUP($B234,'[1]Dec-24'!$A:$A,'[1]Dec-24'!$H:$H,0)</f>
        <v>0</v>
      </c>
      <c r="R234" s="17">
        <f>_xlfn.XLOOKUP($B234,'[1]Jan-25'!$A:$A,'[1]Jan-25'!$H:$H,0)</f>
        <v>0</v>
      </c>
      <c r="S234" s="17">
        <f>_xlfn.XLOOKUP($B234,'[1]Feb-25'!$A:$A,'[1]Feb-25'!$H:$H,0)</f>
        <v>0</v>
      </c>
      <c r="T234" s="17">
        <f>_xlfn.XLOOKUP($B234,'[1]Mar-25'!$A:$A,'[1]Mar-25'!$H:$H,0)</f>
        <v>0</v>
      </c>
      <c r="U234" s="17">
        <f>_xlfn.XLOOKUP($B234,'[1]Apr-25'!$A:$A,'[1]Apr-25'!$H:$H,0)</f>
        <v>0</v>
      </c>
      <c r="V234" s="17">
        <f>_xlfn.XLOOKUP($B234,'[1]May-25'!$A:$A,'[1]May-25'!$H:$H,0)</f>
        <v>0</v>
      </c>
      <c r="W234" s="17">
        <f>_xlfn.XLOOKUP($B234,'[1]Jun-25'!$A:$A,'[1]Jun-25'!$H:$H,0)</f>
        <v>0</v>
      </c>
      <c r="X234" s="17">
        <f>_xlfn.XLOOKUP($B234,'[1]Jul-25'!$A:$A,'[1]Jul-25'!$H:$H,0)</f>
        <v>0</v>
      </c>
      <c r="Y234" s="17">
        <f>_xlfn.XLOOKUP($B234,'[1]Aug-25'!$A:$A,'[1]Aug-25'!$H:$H,0)</f>
        <v>0</v>
      </c>
      <c r="Z234" s="17">
        <f>_xlfn.XLOOKUP($B234,'[1]Sep-25'!$A:$A,'[1]Sep-25'!$H:$H,0)</f>
        <v>0</v>
      </c>
      <c r="AA234" s="17">
        <f>_xlfn.XLOOKUP($B234,'[1]Oct-25'!$A:$A,'[1]Oct-25'!$H:$H,0)</f>
        <v>0</v>
      </c>
      <c r="AB234" s="17">
        <f>_xlfn.XLOOKUP($B234,'[1]Nov-25'!$A:$A,'[1]Nov-25'!$H:$H,0)</f>
        <v>0</v>
      </c>
      <c r="AC234" s="17">
        <f>_xlfn.XLOOKUP($B234,'[1]Dec-25'!$A:$A,'[1]Dec-25'!$H:$H,0)</f>
        <v>0</v>
      </c>
      <c r="AD234" s="17">
        <f>_xlfn.XLOOKUP($B234,'[1]Jan-26'!$A:$A,'[1]Jan-26'!$H:$H,0)</f>
        <v>0</v>
      </c>
      <c r="AE234" s="17">
        <f>_xlfn.XLOOKUP($B234,'[1]Feb-26'!$A:$A,'[1]Feb-26'!$H:$H,0)</f>
        <v>0</v>
      </c>
      <c r="AF234" s="17">
        <f>_xlfn.XLOOKUP($B234,'[1]Mar-26'!$A:$A,'[1]Mar-26'!$H:$H,0)</f>
        <v>0</v>
      </c>
      <c r="AG234" s="17">
        <f>_xlfn.XLOOKUP($B234,'[1]Apr-26'!$A:$A,'[1]Apr-26'!$H:$H,0)</f>
        <v>0</v>
      </c>
    </row>
    <row r="235" spans="1:33" x14ac:dyDescent="0.2">
      <c r="A235" s="58">
        <v>23025</v>
      </c>
      <c r="B235" s="56" t="str">
        <f t="shared" si="9"/>
        <v>23025</v>
      </c>
      <c r="C235" s="57" t="s">
        <v>430</v>
      </c>
      <c r="D235" s="57" t="s">
        <v>429</v>
      </c>
      <c r="E235" s="44" t="s">
        <v>440</v>
      </c>
      <c r="F235" s="17">
        <f>_xlfn.XLOOKUP($B235,'[1]Jan-24'!$A:$A,'[1]Jan-24'!$H:$H,0)</f>
        <v>0</v>
      </c>
      <c r="G235" s="17">
        <f>_xlfn.XLOOKUP($B235,'[1]Feb-24'!$A:$A,'[1]Feb-24'!$H:$H,0)</f>
        <v>0</v>
      </c>
      <c r="H235" s="17">
        <f>_xlfn.XLOOKUP($B235,'[1]Mar-24'!$A:$A,'[1]Mar-24'!$H:$H,0)</f>
        <v>0</v>
      </c>
      <c r="I235" s="17">
        <f>_xlfn.XLOOKUP($B235,'[1]Apr-24'!$A:$A,'[1]Apr-24'!$H:$H,0)</f>
        <v>0</v>
      </c>
      <c r="J235" s="17">
        <f>_xlfn.XLOOKUP($B235,'[1]May-24'!$A:$A,'[1]May-24'!$H:$H,0)</f>
        <v>0</v>
      </c>
      <c r="K235" s="17">
        <f>_xlfn.XLOOKUP($B235,'[1]Jun-24'!$A:$A,'[1]Jun-24'!$H:$H,0)</f>
        <v>0</v>
      </c>
      <c r="L235" s="17">
        <f>_xlfn.XLOOKUP($B235,'[1]Jul-24'!$A:$A,'[1]Jul-24'!$H:$H,0)</f>
        <v>0</v>
      </c>
      <c r="M235" s="17">
        <f>_xlfn.XLOOKUP($B235,'[1]Aug-24'!$A:$A,'[1]Aug-24'!$H:$H,0)</f>
        <v>0</v>
      </c>
      <c r="N235" s="17">
        <f>_xlfn.XLOOKUP($B235,'[1]Sep-24'!$A:$A,'[1]Sep-24'!$H:$H,0)</f>
        <v>0</v>
      </c>
      <c r="O235" s="17">
        <f>_xlfn.XLOOKUP($B235,'[1]Oct-24'!$A:$A,'[1]Oct-24'!$H:$H,0)</f>
        <v>0</v>
      </c>
      <c r="P235" s="17">
        <f>_xlfn.XLOOKUP($B235,'[1]Nov-24'!$A:$A,'[1]Nov-24'!$H:$H,0)</f>
        <v>0</v>
      </c>
      <c r="Q235" s="17">
        <f>_xlfn.XLOOKUP($B235,'[1]Dec-24'!$A:$A,'[1]Dec-24'!$H:$H,0)</f>
        <v>0</v>
      </c>
      <c r="R235" s="17">
        <f>_xlfn.XLOOKUP($B235,'[1]Jan-25'!$A:$A,'[1]Jan-25'!$H:$H,0)</f>
        <v>0</v>
      </c>
      <c r="S235" s="17">
        <f>_xlfn.XLOOKUP($B235,'[1]Feb-25'!$A:$A,'[1]Feb-25'!$H:$H,0)</f>
        <v>0</v>
      </c>
      <c r="T235" s="17">
        <f>_xlfn.XLOOKUP($B235,'[1]Mar-25'!$A:$A,'[1]Mar-25'!$H:$H,0)</f>
        <v>0</v>
      </c>
      <c r="U235" s="17">
        <f>_xlfn.XLOOKUP($B235,'[1]Apr-25'!$A:$A,'[1]Apr-25'!$H:$H,0)</f>
        <v>0</v>
      </c>
      <c r="V235" s="17">
        <f>_xlfn.XLOOKUP($B235,'[1]May-25'!$A:$A,'[1]May-25'!$H:$H,0)</f>
        <v>0</v>
      </c>
      <c r="W235" s="17">
        <f>_xlfn.XLOOKUP($B235,'[1]Jun-25'!$A:$A,'[1]Jun-25'!$H:$H,0)</f>
        <v>0</v>
      </c>
      <c r="X235" s="17">
        <f>_xlfn.XLOOKUP($B235,'[1]Jul-25'!$A:$A,'[1]Jul-25'!$H:$H,0)</f>
        <v>0</v>
      </c>
      <c r="Y235" s="17">
        <f>_xlfn.XLOOKUP($B235,'[1]Aug-25'!$A:$A,'[1]Aug-25'!$H:$H,0)</f>
        <v>0</v>
      </c>
      <c r="Z235" s="17">
        <f>_xlfn.XLOOKUP($B235,'[1]Sep-25'!$A:$A,'[1]Sep-25'!$H:$H,0)</f>
        <v>0</v>
      </c>
      <c r="AA235" s="17">
        <f>_xlfn.XLOOKUP($B235,'[1]Oct-25'!$A:$A,'[1]Oct-25'!$H:$H,0)</f>
        <v>0</v>
      </c>
      <c r="AB235" s="17">
        <f>_xlfn.XLOOKUP($B235,'[1]Nov-25'!$A:$A,'[1]Nov-25'!$H:$H,0)</f>
        <v>0</v>
      </c>
      <c r="AC235" s="17">
        <f>_xlfn.XLOOKUP($B235,'[1]Dec-25'!$A:$A,'[1]Dec-25'!$H:$H,0)</f>
        <v>0</v>
      </c>
      <c r="AD235" s="17">
        <f>_xlfn.XLOOKUP($B235,'[1]Jan-26'!$A:$A,'[1]Jan-26'!$H:$H,0)</f>
        <v>0</v>
      </c>
      <c r="AE235" s="17">
        <f>_xlfn.XLOOKUP($B235,'[1]Feb-26'!$A:$A,'[1]Feb-26'!$H:$H,0)</f>
        <v>0</v>
      </c>
      <c r="AF235" s="17">
        <f>_xlfn.XLOOKUP($B235,'[1]Mar-26'!$A:$A,'[1]Mar-26'!$H:$H,0)</f>
        <v>0</v>
      </c>
      <c r="AG235" s="17">
        <f>_xlfn.XLOOKUP($B235,'[1]Apr-26'!$A:$A,'[1]Apr-26'!$H:$H,0)</f>
        <v>0</v>
      </c>
    </row>
    <row r="236" spans="1:33" x14ac:dyDescent="0.2">
      <c r="A236" s="58">
        <v>23030</v>
      </c>
      <c r="B236" s="56" t="str">
        <f t="shared" si="9"/>
        <v>23030</v>
      </c>
      <c r="C236" s="57" t="s">
        <v>441</v>
      </c>
      <c r="D236" s="57" t="s">
        <v>429</v>
      </c>
      <c r="E236" s="44" t="s">
        <v>272</v>
      </c>
      <c r="F236" s="17">
        <f>_xlfn.XLOOKUP($B236,'[1]Jan-24'!$A:$A,'[1]Jan-24'!$H:$H,0)</f>
        <v>0</v>
      </c>
      <c r="G236" s="17">
        <f>_xlfn.XLOOKUP($B236,'[1]Feb-24'!$A:$A,'[1]Feb-24'!$H:$H,0)</f>
        <v>0</v>
      </c>
      <c r="H236" s="17">
        <f>_xlfn.XLOOKUP($B236,'[1]Mar-24'!$A:$A,'[1]Mar-24'!$H:$H,0)</f>
        <v>0</v>
      </c>
      <c r="I236" s="17">
        <f>_xlfn.XLOOKUP($B236,'[1]Apr-24'!$A:$A,'[1]Apr-24'!$H:$H,0)</f>
        <v>0</v>
      </c>
      <c r="J236" s="17">
        <f>_xlfn.XLOOKUP($B236,'[1]May-24'!$A:$A,'[1]May-24'!$H:$H,0)</f>
        <v>0</v>
      </c>
      <c r="K236" s="17">
        <f>_xlfn.XLOOKUP($B236,'[1]Jun-24'!$A:$A,'[1]Jun-24'!$H:$H,0)</f>
        <v>0</v>
      </c>
      <c r="L236" s="17">
        <f>_xlfn.XLOOKUP($B236,'[1]Jul-24'!$A:$A,'[1]Jul-24'!$H:$H,0)</f>
        <v>0</v>
      </c>
      <c r="M236" s="17">
        <f>_xlfn.XLOOKUP($B236,'[1]Aug-24'!$A:$A,'[1]Aug-24'!$H:$H,0)</f>
        <v>0</v>
      </c>
      <c r="N236" s="17">
        <f>_xlfn.XLOOKUP($B236,'[1]Sep-24'!$A:$A,'[1]Sep-24'!$H:$H,0)</f>
        <v>0</v>
      </c>
      <c r="O236" s="17">
        <f>_xlfn.XLOOKUP($B236,'[1]Oct-24'!$A:$A,'[1]Oct-24'!$H:$H,0)</f>
        <v>0</v>
      </c>
      <c r="P236" s="17">
        <f>_xlfn.XLOOKUP($B236,'[1]Nov-24'!$A:$A,'[1]Nov-24'!$H:$H,0)</f>
        <v>0</v>
      </c>
      <c r="Q236" s="17">
        <f>_xlfn.XLOOKUP($B236,'[1]Dec-24'!$A:$A,'[1]Dec-24'!$H:$H,0)</f>
        <v>-2279773</v>
      </c>
      <c r="R236" s="17">
        <f>_xlfn.XLOOKUP($B236,'[1]Jan-25'!$A:$A,'[1]Jan-25'!$H:$H,0)</f>
        <v>-2279773</v>
      </c>
      <c r="S236" s="17">
        <f>_xlfn.XLOOKUP($B236,'[1]Feb-25'!$A:$A,'[1]Feb-25'!$H:$H,0)</f>
        <v>-2279773</v>
      </c>
      <c r="T236" s="17">
        <f>_xlfn.XLOOKUP($B236,'[1]Mar-25'!$A:$A,'[1]Mar-25'!$H:$H,0)</f>
        <v>-2279773</v>
      </c>
      <c r="U236" s="17">
        <f>_xlfn.XLOOKUP($B236,'[1]Apr-25'!$A:$A,'[1]Apr-25'!$H:$H,0)</f>
        <v>-2279773</v>
      </c>
      <c r="V236" s="17">
        <f>_xlfn.XLOOKUP($B236,'[1]May-25'!$A:$A,'[1]May-25'!$H:$H,0)</f>
        <v>-2279773</v>
      </c>
      <c r="W236" s="17">
        <f>_xlfn.XLOOKUP($B236,'[1]Jun-25'!$A:$A,'[1]Jun-25'!$H:$H,0)</f>
        <v>-543255.56000000006</v>
      </c>
      <c r="X236" s="17">
        <f>_xlfn.XLOOKUP($B236,'[1]Jul-25'!$A:$A,'[1]Jul-25'!$H:$H,0)</f>
        <v>-543255.56000000006</v>
      </c>
      <c r="Y236" s="17">
        <f>_xlfn.XLOOKUP($B236,'[1]Aug-25'!$A:$A,'[1]Aug-25'!$H:$H,0)</f>
        <v>0</v>
      </c>
      <c r="Z236" s="17">
        <f>_xlfn.XLOOKUP($B236,'[1]Sep-25'!$A:$A,'[1]Sep-25'!$H:$H,0)</f>
        <v>0</v>
      </c>
      <c r="AA236" s="17">
        <f>_xlfn.XLOOKUP($B236,'[1]Oct-25'!$A:$A,'[1]Oct-25'!$H:$H,0)</f>
        <v>0</v>
      </c>
      <c r="AB236" s="17">
        <f>_xlfn.XLOOKUP($B236,'[1]Nov-25'!$A:$A,'[1]Nov-25'!$H:$H,0)</f>
        <v>0</v>
      </c>
      <c r="AC236" s="17">
        <f>_xlfn.XLOOKUP($B236,'[1]Dec-25'!$A:$A,'[1]Dec-25'!$H:$H,0)</f>
        <v>0</v>
      </c>
      <c r="AD236" s="17">
        <f>_xlfn.XLOOKUP($B236,'[1]Jan-26'!$A:$A,'[1]Jan-26'!$H:$H,0)</f>
        <v>0</v>
      </c>
      <c r="AE236" s="17">
        <f>_xlfn.XLOOKUP($B236,'[1]Feb-26'!$A:$A,'[1]Feb-26'!$H:$H,0)</f>
        <v>0</v>
      </c>
      <c r="AF236" s="17">
        <f>_xlfn.XLOOKUP($B236,'[1]Mar-26'!$A:$A,'[1]Mar-26'!$H:$H,0)</f>
        <v>0</v>
      </c>
      <c r="AG236" s="17">
        <f>_xlfn.XLOOKUP($B236,'[1]Apr-26'!$A:$A,'[1]Apr-26'!$H:$H,0)</f>
        <v>0</v>
      </c>
    </row>
    <row r="237" spans="1:33" x14ac:dyDescent="0.2">
      <c r="A237" s="58">
        <v>23035</v>
      </c>
      <c r="B237" s="56" t="str">
        <f t="shared" si="9"/>
        <v>23035</v>
      </c>
      <c r="C237" s="57" t="s">
        <v>430</v>
      </c>
      <c r="D237" s="57" t="s">
        <v>429</v>
      </c>
      <c r="E237" s="44" t="s">
        <v>442</v>
      </c>
      <c r="F237" s="17">
        <f>_xlfn.XLOOKUP($B237,'[1]Jan-24'!$A:$A,'[1]Jan-24'!$H:$H,0)</f>
        <v>0</v>
      </c>
      <c r="G237" s="17">
        <f>_xlfn.XLOOKUP($B237,'[1]Feb-24'!$A:$A,'[1]Feb-24'!$H:$H,0)</f>
        <v>0</v>
      </c>
      <c r="H237" s="17">
        <f>_xlfn.XLOOKUP($B237,'[1]Mar-24'!$A:$A,'[1]Mar-24'!$H:$H,0)</f>
        <v>0</v>
      </c>
      <c r="I237" s="17">
        <f>_xlfn.XLOOKUP($B237,'[1]Apr-24'!$A:$A,'[1]Apr-24'!$H:$H,0)</f>
        <v>0</v>
      </c>
      <c r="J237" s="17">
        <f>_xlfn.XLOOKUP($B237,'[1]May-24'!$A:$A,'[1]May-24'!$H:$H,0)</f>
        <v>0</v>
      </c>
      <c r="K237" s="17">
        <f>_xlfn.XLOOKUP($B237,'[1]Jun-24'!$A:$A,'[1]Jun-24'!$H:$H,0)</f>
        <v>0</v>
      </c>
      <c r="L237" s="17">
        <f>_xlfn.XLOOKUP($B237,'[1]Jul-24'!$A:$A,'[1]Jul-24'!$H:$H,0)</f>
        <v>0</v>
      </c>
      <c r="M237" s="17">
        <f>_xlfn.XLOOKUP($B237,'[1]Aug-24'!$A:$A,'[1]Aug-24'!$H:$H,0)</f>
        <v>0</v>
      </c>
      <c r="N237" s="17">
        <f>_xlfn.XLOOKUP($B237,'[1]Sep-24'!$A:$A,'[1]Sep-24'!$H:$H,0)</f>
        <v>0</v>
      </c>
      <c r="O237" s="17">
        <f>_xlfn.XLOOKUP($B237,'[1]Oct-24'!$A:$A,'[1]Oct-24'!$H:$H,0)</f>
        <v>0</v>
      </c>
      <c r="P237" s="17">
        <f>_xlfn.XLOOKUP($B237,'[1]Nov-24'!$A:$A,'[1]Nov-24'!$H:$H,0)</f>
        <v>0</v>
      </c>
      <c r="Q237" s="17">
        <f>_xlfn.XLOOKUP($B237,'[1]Dec-24'!$A:$A,'[1]Dec-24'!$H:$H,0)</f>
        <v>0</v>
      </c>
      <c r="R237" s="17">
        <f>_xlfn.XLOOKUP($B237,'[1]Jan-25'!$A:$A,'[1]Jan-25'!$H:$H,0)</f>
        <v>0</v>
      </c>
      <c r="S237" s="17">
        <f>_xlfn.XLOOKUP($B237,'[1]Feb-25'!$A:$A,'[1]Feb-25'!$H:$H,0)</f>
        <v>0</v>
      </c>
      <c r="T237" s="17">
        <f>_xlfn.XLOOKUP($B237,'[1]Mar-25'!$A:$A,'[1]Mar-25'!$H:$H,0)</f>
        <v>0</v>
      </c>
      <c r="U237" s="17">
        <f>_xlfn.XLOOKUP($B237,'[1]Apr-25'!$A:$A,'[1]Apr-25'!$H:$H,0)</f>
        <v>0</v>
      </c>
      <c r="V237" s="17">
        <f>_xlfn.XLOOKUP($B237,'[1]May-25'!$A:$A,'[1]May-25'!$H:$H,0)</f>
        <v>0</v>
      </c>
      <c r="W237" s="17">
        <f>_xlfn.XLOOKUP($B237,'[1]Jun-25'!$A:$A,'[1]Jun-25'!$H:$H,0)</f>
        <v>0</v>
      </c>
      <c r="X237" s="17">
        <f>_xlfn.XLOOKUP($B237,'[1]Jul-25'!$A:$A,'[1]Jul-25'!$H:$H,0)</f>
        <v>0</v>
      </c>
      <c r="Y237" s="17">
        <f>_xlfn.XLOOKUP($B237,'[1]Aug-25'!$A:$A,'[1]Aug-25'!$H:$H,0)</f>
        <v>0</v>
      </c>
      <c r="Z237" s="17">
        <f>_xlfn.XLOOKUP($B237,'[1]Sep-25'!$A:$A,'[1]Sep-25'!$H:$H,0)</f>
        <v>0</v>
      </c>
      <c r="AA237" s="17">
        <f>_xlfn.XLOOKUP($B237,'[1]Oct-25'!$A:$A,'[1]Oct-25'!$H:$H,0)</f>
        <v>0</v>
      </c>
      <c r="AB237" s="17">
        <f>_xlfn.XLOOKUP($B237,'[1]Nov-25'!$A:$A,'[1]Nov-25'!$H:$H,0)</f>
        <v>0</v>
      </c>
      <c r="AC237" s="17">
        <f>_xlfn.XLOOKUP($B237,'[1]Dec-25'!$A:$A,'[1]Dec-25'!$H:$H,0)</f>
        <v>0</v>
      </c>
      <c r="AD237" s="17">
        <f>_xlfn.XLOOKUP($B237,'[1]Jan-26'!$A:$A,'[1]Jan-26'!$H:$H,0)</f>
        <v>0</v>
      </c>
      <c r="AE237" s="17">
        <f>_xlfn.XLOOKUP($B237,'[1]Feb-26'!$A:$A,'[1]Feb-26'!$H:$H,0)</f>
        <v>0</v>
      </c>
      <c r="AF237" s="17">
        <f>_xlfn.XLOOKUP($B237,'[1]Mar-26'!$A:$A,'[1]Mar-26'!$H:$H,0)</f>
        <v>0</v>
      </c>
      <c r="AG237" s="17">
        <f>_xlfn.XLOOKUP($B237,'[1]Apr-26'!$A:$A,'[1]Apr-26'!$H:$H,0)</f>
        <v>0</v>
      </c>
    </row>
    <row r="238" spans="1:33" x14ac:dyDescent="0.2">
      <c r="A238" s="58">
        <v>23040</v>
      </c>
      <c r="B238" s="56" t="str">
        <f t="shared" si="9"/>
        <v>23040</v>
      </c>
      <c r="C238" s="57" t="s">
        <v>430</v>
      </c>
      <c r="D238" s="57" t="s">
        <v>429</v>
      </c>
      <c r="E238" s="44" t="s">
        <v>284</v>
      </c>
      <c r="F238" s="17">
        <f>_xlfn.XLOOKUP($B238,'[1]Jan-24'!$A:$A,'[1]Jan-24'!$H:$H,0)</f>
        <v>-7399009.7199999997</v>
      </c>
      <c r="G238" s="17">
        <f>_xlfn.XLOOKUP($B238,'[1]Feb-24'!$A:$A,'[1]Feb-24'!$H:$H,0)</f>
        <v>-7090363.4699999997</v>
      </c>
      <c r="H238" s="17">
        <f>_xlfn.XLOOKUP($B238,'[1]Mar-24'!$A:$A,'[1]Mar-24'!$H:$H,0)</f>
        <v>-6489129.0300000003</v>
      </c>
      <c r="I238" s="17">
        <f>_xlfn.XLOOKUP($B238,'[1]Apr-24'!$A:$A,'[1]Apr-24'!$H:$H,0)</f>
        <v>-7552807.9500000002</v>
      </c>
      <c r="J238" s="17">
        <f>_xlfn.XLOOKUP($B238,'[1]May-24'!$A:$A,'[1]May-24'!$H:$H,0)</f>
        <v>-8070219.2699999996</v>
      </c>
      <c r="K238" s="17">
        <f>_xlfn.XLOOKUP($B238,'[1]Jun-24'!$A:$A,'[1]Jun-24'!$H:$H,0)</f>
        <v>-8217297.2199999997</v>
      </c>
      <c r="L238" s="17">
        <f>_xlfn.XLOOKUP($B238,'[1]Jul-24'!$A:$A,'[1]Jul-24'!$H:$H,0)</f>
        <v>-7961484.4400000004</v>
      </c>
      <c r="M238" s="17">
        <f>_xlfn.XLOOKUP($B238,'[1]Aug-24'!$A:$A,'[1]Aug-24'!$H:$H,0)</f>
        <v>-8395548.3300000001</v>
      </c>
      <c r="N238" s="17">
        <f>_xlfn.XLOOKUP($B238,'[1]Sep-24'!$A:$A,'[1]Sep-24'!$H:$H,0)</f>
        <v>-7687749.0599999996</v>
      </c>
      <c r="O238" s="17">
        <f>_xlfn.XLOOKUP($B238,'[1]Oct-24'!$A:$A,'[1]Oct-24'!$H:$H,0)</f>
        <v>-7715568.3300000001</v>
      </c>
      <c r="P238" s="17">
        <f>_xlfn.XLOOKUP($B238,'[1]Nov-24'!$A:$A,'[1]Nov-24'!$H:$H,0)</f>
        <v>-7908412.5499999998</v>
      </c>
      <c r="Q238" s="17">
        <f>_xlfn.XLOOKUP($B238,'[1]Dec-24'!$A:$A,'[1]Dec-24'!$H:$H,0)</f>
        <v>-7219553.4400000004</v>
      </c>
      <c r="R238" s="17">
        <f>_xlfn.XLOOKUP($B238,'[1]Jan-25'!$A:$A,'[1]Jan-25'!$H:$H,0)</f>
        <v>-7297612.6100000003</v>
      </c>
      <c r="S238" s="17">
        <f>_xlfn.XLOOKUP($B238,'[1]Feb-25'!$A:$A,'[1]Feb-25'!$H:$H,0)</f>
        <v>-7677361.6600000001</v>
      </c>
      <c r="T238" s="17">
        <f>_xlfn.XLOOKUP($B238,'[1]Mar-25'!$A:$A,'[1]Mar-25'!$H:$H,0)</f>
        <v>-7603160.5999999996</v>
      </c>
      <c r="U238" s="17">
        <f>_xlfn.XLOOKUP($B238,'[1]Apr-25'!$A:$A,'[1]Apr-25'!$H:$H,0)</f>
        <v>-7432710.1100000003</v>
      </c>
      <c r="V238" s="17">
        <f>_xlfn.XLOOKUP($B238,'[1]May-25'!$A:$A,'[1]May-25'!$H:$H,0)</f>
        <v>-14563198.42</v>
      </c>
      <c r="W238" s="17">
        <f>_xlfn.XLOOKUP($B238,'[1]Jun-25'!$A:$A,'[1]Jun-25'!$H:$H,0)</f>
        <v>-17197577.84</v>
      </c>
      <c r="X238" s="17">
        <f>_xlfn.XLOOKUP($B238,'[1]Jul-25'!$A:$A,'[1]Jul-25'!$H:$H,0)</f>
        <v>-24487233.399999999</v>
      </c>
      <c r="Y238" s="17">
        <f>_xlfn.XLOOKUP($B238,'[1]Aug-25'!$A:$A,'[1]Aug-25'!$H:$H,0)</f>
        <v>-32201965.390000001</v>
      </c>
      <c r="Z238" s="17">
        <f>_xlfn.XLOOKUP($B238,'[1]Sep-25'!$A:$A,'[1]Sep-25'!$H:$H,0)</f>
        <v>-8293821.5800000001</v>
      </c>
      <c r="AA238" s="17">
        <f>_xlfn.XLOOKUP($B238,'[1]Oct-25'!$A:$A,'[1]Oct-25'!$H:$H,0)</f>
        <v>-8777176.3599999994</v>
      </c>
      <c r="AB238" s="17">
        <f>_xlfn.XLOOKUP($B238,'[1]Nov-25'!$A:$A,'[1]Nov-25'!$H:$H,0)</f>
        <v>-8039479.04</v>
      </c>
      <c r="AC238" s="17">
        <f>_xlfn.XLOOKUP($B238,'[1]Dec-25'!$A:$A,'[1]Dec-25'!$H:$H,0)</f>
        <v>-8057496.0800000001</v>
      </c>
      <c r="AD238" s="17">
        <f>_xlfn.XLOOKUP($B238,'[1]Jan-26'!$A:$A,'[1]Jan-26'!$H:$H,0)</f>
        <v>-12298560.84</v>
      </c>
      <c r="AE238" s="17">
        <f>_xlfn.XLOOKUP($B238,'[1]Feb-26'!$A:$A,'[1]Feb-26'!$H:$H,0)</f>
        <v>-24134155.350000001</v>
      </c>
      <c r="AF238" s="17">
        <f>_xlfn.XLOOKUP($B238,'[1]Mar-26'!$A:$A,'[1]Mar-26'!$H:$H,0)</f>
        <v>-12572609.68</v>
      </c>
      <c r="AG238" s="17">
        <f>_xlfn.XLOOKUP($B238,'[1]Apr-26'!$A:$A,'[1]Apr-26'!$H:$H,0)</f>
        <v>-12184831.960000001</v>
      </c>
    </row>
    <row r="239" spans="1:33" x14ac:dyDescent="0.2">
      <c r="A239" s="58">
        <v>23045</v>
      </c>
      <c r="B239" s="56" t="str">
        <f t="shared" si="9"/>
        <v>23045</v>
      </c>
      <c r="C239" s="57" t="s">
        <v>430</v>
      </c>
      <c r="D239" s="57" t="s">
        <v>429</v>
      </c>
      <c r="E239" s="44" t="s">
        <v>443</v>
      </c>
      <c r="F239" s="17">
        <f>_xlfn.XLOOKUP($B239,'[1]Jan-24'!$A:$A,'[1]Jan-24'!$H:$H,0)</f>
        <v>0</v>
      </c>
      <c r="G239" s="17">
        <f>_xlfn.XLOOKUP($B239,'[1]Feb-24'!$A:$A,'[1]Feb-24'!$H:$H,0)</f>
        <v>0</v>
      </c>
      <c r="H239" s="17">
        <f>_xlfn.XLOOKUP($B239,'[1]Mar-24'!$A:$A,'[1]Mar-24'!$H:$H,0)</f>
        <v>0</v>
      </c>
      <c r="I239" s="17">
        <f>_xlfn.XLOOKUP($B239,'[1]Apr-24'!$A:$A,'[1]Apr-24'!$H:$H,0)</f>
        <v>0</v>
      </c>
      <c r="J239" s="17">
        <f>_xlfn.XLOOKUP($B239,'[1]May-24'!$A:$A,'[1]May-24'!$H:$H,0)</f>
        <v>0</v>
      </c>
      <c r="K239" s="17">
        <f>_xlfn.XLOOKUP($B239,'[1]Jun-24'!$A:$A,'[1]Jun-24'!$H:$H,0)</f>
        <v>0</v>
      </c>
      <c r="L239" s="17">
        <f>_xlfn.XLOOKUP($B239,'[1]Jul-24'!$A:$A,'[1]Jul-24'!$H:$H,0)</f>
        <v>0</v>
      </c>
      <c r="M239" s="17">
        <f>_xlfn.XLOOKUP($B239,'[1]Aug-24'!$A:$A,'[1]Aug-24'!$H:$H,0)</f>
        <v>0</v>
      </c>
      <c r="N239" s="17">
        <f>_xlfn.XLOOKUP($B239,'[1]Sep-24'!$A:$A,'[1]Sep-24'!$H:$H,0)</f>
        <v>0</v>
      </c>
      <c r="O239" s="17">
        <f>_xlfn.XLOOKUP($B239,'[1]Oct-24'!$A:$A,'[1]Oct-24'!$H:$H,0)</f>
        <v>0</v>
      </c>
      <c r="P239" s="17">
        <f>_xlfn.XLOOKUP($B239,'[1]Nov-24'!$A:$A,'[1]Nov-24'!$H:$H,0)</f>
        <v>0</v>
      </c>
      <c r="Q239" s="17">
        <f>_xlfn.XLOOKUP($B239,'[1]Dec-24'!$A:$A,'[1]Dec-24'!$H:$H,0)</f>
        <v>0</v>
      </c>
      <c r="R239" s="17">
        <f>_xlfn.XLOOKUP($B239,'[1]Jan-25'!$A:$A,'[1]Jan-25'!$H:$H,0)</f>
        <v>0</v>
      </c>
      <c r="S239" s="17">
        <f>_xlfn.XLOOKUP($B239,'[1]Feb-25'!$A:$A,'[1]Feb-25'!$H:$H,0)</f>
        <v>0</v>
      </c>
      <c r="T239" s="17">
        <f>_xlfn.XLOOKUP($B239,'[1]Mar-25'!$A:$A,'[1]Mar-25'!$H:$H,0)</f>
        <v>0</v>
      </c>
      <c r="U239" s="17">
        <f>_xlfn.XLOOKUP($B239,'[1]Apr-25'!$A:$A,'[1]Apr-25'!$H:$H,0)</f>
        <v>0</v>
      </c>
      <c r="V239" s="17">
        <f>_xlfn.XLOOKUP($B239,'[1]May-25'!$A:$A,'[1]May-25'!$H:$H,0)</f>
        <v>0</v>
      </c>
      <c r="W239" s="17">
        <f>_xlfn.XLOOKUP($B239,'[1]Jun-25'!$A:$A,'[1]Jun-25'!$H:$H,0)</f>
        <v>0</v>
      </c>
      <c r="X239" s="17">
        <f>_xlfn.XLOOKUP($B239,'[1]Jul-25'!$A:$A,'[1]Jul-25'!$H:$H,0)</f>
        <v>0</v>
      </c>
      <c r="Y239" s="17">
        <f>_xlfn.XLOOKUP($B239,'[1]Aug-25'!$A:$A,'[1]Aug-25'!$H:$H,0)</f>
        <v>0</v>
      </c>
      <c r="Z239" s="17">
        <f>_xlfn.XLOOKUP($B239,'[1]Sep-25'!$A:$A,'[1]Sep-25'!$H:$H,0)</f>
        <v>0</v>
      </c>
      <c r="AA239" s="17">
        <f>_xlfn.XLOOKUP($B239,'[1]Oct-25'!$A:$A,'[1]Oct-25'!$H:$H,0)</f>
        <v>0</v>
      </c>
      <c r="AB239" s="17">
        <f>_xlfn.XLOOKUP($B239,'[1]Nov-25'!$A:$A,'[1]Nov-25'!$H:$H,0)</f>
        <v>0</v>
      </c>
      <c r="AC239" s="17">
        <f>_xlfn.XLOOKUP($B239,'[1]Dec-25'!$A:$A,'[1]Dec-25'!$H:$H,0)</f>
        <v>0</v>
      </c>
      <c r="AD239" s="17">
        <f>_xlfn.XLOOKUP($B239,'[1]Jan-26'!$A:$A,'[1]Jan-26'!$H:$H,0)</f>
        <v>0</v>
      </c>
      <c r="AE239" s="17">
        <f>_xlfn.XLOOKUP($B239,'[1]Feb-26'!$A:$A,'[1]Feb-26'!$H:$H,0)</f>
        <v>0</v>
      </c>
      <c r="AF239" s="17">
        <f>_xlfn.XLOOKUP($B239,'[1]Mar-26'!$A:$A,'[1]Mar-26'!$H:$H,0)</f>
        <v>0</v>
      </c>
      <c r="AG239" s="17">
        <f>_xlfn.XLOOKUP($B239,'[1]Apr-26'!$A:$A,'[1]Apr-26'!$H:$H,0)</f>
        <v>0</v>
      </c>
    </row>
    <row r="240" spans="1:33" x14ac:dyDescent="0.2">
      <c r="A240" s="58">
        <v>23100</v>
      </c>
      <c r="B240" s="56" t="str">
        <f t="shared" si="9"/>
        <v>23100</v>
      </c>
      <c r="C240" s="57" t="s">
        <v>430</v>
      </c>
      <c r="D240" s="57" t="s">
        <v>429</v>
      </c>
      <c r="E240" s="44" t="s">
        <v>444</v>
      </c>
      <c r="F240" s="17">
        <f>_xlfn.XLOOKUP($B240,'[1]Jan-24'!$A:$A,'[1]Jan-24'!$H:$H,0)</f>
        <v>0</v>
      </c>
      <c r="G240" s="17">
        <f>_xlfn.XLOOKUP($B240,'[1]Feb-24'!$A:$A,'[1]Feb-24'!$H:$H,0)</f>
        <v>0</v>
      </c>
      <c r="H240" s="17">
        <f>_xlfn.XLOOKUP($B240,'[1]Mar-24'!$A:$A,'[1]Mar-24'!$H:$H,0)</f>
        <v>0</v>
      </c>
      <c r="I240" s="17">
        <f>_xlfn.XLOOKUP($B240,'[1]Apr-24'!$A:$A,'[1]Apr-24'!$H:$H,0)</f>
        <v>0</v>
      </c>
      <c r="J240" s="17">
        <f>_xlfn.XLOOKUP($B240,'[1]May-24'!$A:$A,'[1]May-24'!$H:$H,0)</f>
        <v>0</v>
      </c>
      <c r="K240" s="17">
        <f>_xlfn.XLOOKUP($B240,'[1]Jun-24'!$A:$A,'[1]Jun-24'!$H:$H,0)</f>
        <v>0</v>
      </c>
      <c r="L240" s="17">
        <f>_xlfn.XLOOKUP($B240,'[1]Jul-24'!$A:$A,'[1]Jul-24'!$H:$H,0)</f>
        <v>0</v>
      </c>
      <c r="M240" s="17">
        <f>_xlfn.XLOOKUP($B240,'[1]Aug-24'!$A:$A,'[1]Aug-24'!$H:$H,0)</f>
        <v>0</v>
      </c>
      <c r="N240" s="17">
        <f>_xlfn.XLOOKUP($B240,'[1]Sep-24'!$A:$A,'[1]Sep-24'!$H:$H,0)</f>
        <v>0</v>
      </c>
      <c r="O240" s="17">
        <f>_xlfn.XLOOKUP($B240,'[1]Oct-24'!$A:$A,'[1]Oct-24'!$H:$H,0)</f>
        <v>0</v>
      </c>
      <c r="P240" s="17">
        <f>_xlfn.XLOOKUP($B240,'[1]Nov-24'!$A:$A,'[1]Nov-24'!$H:$H,0)</f>
        <v>0</v>
      </c>
      <c r="Q240" s="17">
        <f>_xlfn.XLOOKUP($B240,'[1]Dec-24'!$A:$A,'[1]Dec-24'!$H:$H,0)</f>
        <v>0</v>
      </c>
      <c r="R240" s="17">
        <f>_xlfn.XLOOKUP($B240,'[1]Jan-25'!$A:$A,'[1]Jan-25'!$H:$H,0)</f>
        <v>0</v>
      </c>
      <c r="S240" s="17">
        <f>_xlfn.XLOOKUP($B240,'[1]Feb-25'!$A:$A,'[1]Feb-25'!$H:$H,0)</f>
        <v>0</v>
      </c>
      <c r="T240" s="17">
        <f>_xlfn.XLOOKUP($B240,'[1]Mar-25'!$A:$A,'[1]Mar-25'!$H:$H,0)</f>
        <v>0</v>
      </c>
      <c r="U240" s="17">
        <f>_xlfn.XLOOKUP($B240,'[1]Apr-25'!$A:$A,'[1]Apr-25'!$H:$H,0)</f>
        <v>0</v>
      </c>
      <c r="V240" s="17">
        <f>_xlfn.XLOOKUP($B240,'[1]May-25'!$A:$A,'[1]May-25'!$H:$H,0)</f>
        <v>0</v>
      </c>
      <c r="W240" s="17">
        <f>_xlfn.XLOOKUP($B240,'[1]Jun-25'!$A:$A,'[1]Jun-25'!$H:$H,0)</f>
        <v>0</v>
      </c>
      <c r="X240" s="17">
        <f>_xlfn.XLOOKUP($B240,'[1]Jul-25'!$A:$A,'[1]Jul-25'!$H:$H,0)</f>
        <v>0</v>
      </c>
      <c r="Y240" s="17">
        <f>_xlfn.XLOOKUP($B240,'[1]Aug-25'!$A:$A,'[1]Aug-25'!$H:$H,0)</f>
        <v>0</v>
      </c>
      <c r="Z240" s="17">
        <f>_xlfn.XLOOKUP($B240,'[1]Sep-25'!$A:$A,'[1]Sep-25'!$H:$H,0)</f>
        <v>0</v>
      </c>
      <c r="AA240" s="17">
        <f>_xlfn.XLOOKUP($B240,'[1]Oct-25'!$A:$A,'[1]Oct-25'!$H:$H,0)</f>
        <v>0</v>
      </c>
      <c r="AB240" s="17">
        <f>_xlfn.XLOOKUP($B240,'[1]Nov-25'!$A:$A,'[1]Nov-25'!$H:$H,0)</f>
        <v>0</v>
      </c>
      <c r="AC240" s="17">
        <f>_xlfn.XLOOKUP($B240,'[1]Dec-25'!$A:$A,'[1]Dec-25'!$H:$H,0)</f>
        <v>0</v>
      </c>
      <c r="AD240" s="17">
        <f>_xlfn.XLOOKUP($B240,'[1]Jan-26'!$A:$A,'[1]Jan-26'!$H:$H,0)</f>
        <v>0</v>
      </c>
      <c r="AE240" s="17">
        <f>_xlfn.XLOOKUP($B240,'[1]Feb-26'!$A:$A,'[1]Feb-26'!$H:$H,0)</f>
        <v>0</v>
      </c>
      <c r="AF240" s="17">
        <f>_xlfn.XLOOKUP($B240,'[1]Mar-26'!$A:$A,'[1]Mar-26'!$H:$H,0)</f>
        <v>0</v>
      </c>
      <c r="AG240" s="17">
        <f>_xlfn.XLOOKUP($B240,'[1]Apr-26'!$A:$A,'[1]Apr-26'!$H:$H,0)</f>
        <v>0</v>
      </c>
    </row>
    <row r="241" spans="1:33" x14ac:dyDescent="0.2">
      <c r="A241" s="58">
        <v>23150</v>
      </c>
      <c r="B241" s="56" t="str">
        <f t="shared" si="9"/>
        <v>23150</v>
      </c>
      <c r="C241" s="57" t="s">
        <v>430</v>
      </c>
      <c r="D241" s="57" t="s">
        <v>429</v>
      </c>
      <c r="E241" s="44" t="s">
        <v>445</v>
      </c>
      <c r="F241" s="17">
        <f>_xlfn.XLOOKUP($B241,'[1]Jan-24'!$A:$A,'[1]Jan-24'!$H:$H,0)</f>
        <v>0</v>
      </c>
      <c r="G241" s="17">
        <f>_xlfn.XLOOKUP($B241,'[1]Feb-24'!$A:$A,'[1]Feb-24'!$H:$H,0)</f>
        <v>0</v>
      </c>
      <c r="H241" s="17">
        <f>_xlfn.XLOOKUP($B241,'[1]Mar-24'!$A:$A,'[1]Mar-24'!$H:$H,0)</f>
        <v>0</v>
      </c>
      <c r="I241" s="17">
        <f>_xlfn.XLOOKUP($B241,'[1]Apr-24'!$A:$A,'[1]Apr-24'!$H:$H,0)</f>
        <v>0</v>
      </c>
      <c r="J241" s="17">
        <f>_xlfn.XLOOKUP($B241,'[1]May-24'!$A:$A,'[1]May-24'!$H:$H,0)</f>
        <v>0</v>
      </c>
      <c r="K241" s="17">
        <f>_xlfn.XLOOKUP($B241,'[1]Jun-24'!$A:$A,'[1]Jun-24'!$H:$H,0)</f>
        <v>0</v>
      </c>
      <c r="L241" s="17">
        <f>_xlfn.XLOOKUP($B241,'[1]Jul-24'!$A:$A,'[1]Jul-24'!$H:$H,0)</f>
        <v>0</v>
      </c>
      <c r="M241" s="17">
        <f>_xlfn.XLOOKUP($B241,'[1]Aug-24'!$A:$A,'[1]Aug-24'!$H:$H,0)</f>
        <v>0</v>
      </c>
      <c r="N241" s="17">
        <f>_xlfn.XLOOKUP($B241,'[1]Sep-24'!$A:$A,'[1]Sep-24'!$H:$H,0)</f>
        <v>0</v>
      </c>
      <c r="O241" s="17">
        <f>_xlfn.XLOOKUP($B241,'[1]Oct-24'!$A:$A,'[1]Oct-24'!$H:$H,0)</f>
        <v>0</v>
      </c>
      <c r="P241" s="17">
        <f>_xlfn.XLOOKUP($B241,'[1]Nov-24'!$A:$A,'[1]Nov-24'!$H:$H,0)</f>
        <v>0</v>
      </c>
      <c r="Q241" s="17">
        <f>_xlfn.XLOOKUP($B241,'[1]Dec-24'!$A:$A,'[1]Dec-24'!$H:$H,0)</f>
        <v>0</v>
      </c>
      <c r="R241" s="17">
        <f>_xlfn.XLOOKUP($B241,'[1]Jan-25'!$A:$A,'[1]Jan-25'!$H:$H,0)</f>
        <v>0</v>
      </c>
      <c r="S241" s="17">
        <f>_xlfn.XLOOKUP($B241,'[1]Feb-25'!$A:$A,'[1]Feb-25'!$H:$H,0)</f>
        <v>0</v>
      </c>
      <c r="T241" s="17">
        <f>_xlfn.XLOOKUP($B241,'[1]Mar-25'!$A:$A,'[1]Mar-25'!$H:$H,0)</f>
        <v>0</v>
      </c>
      <c r="U241" s="17">
        <f>_xlfn.XLOOKUP($B241,'[1]Apr-25'!$A:$A,'[1]Apr-25'!$H:$H,0)</f>
        <v>0</v>
      </c>
      <c r="V241" s="17">
        <f>_xlfn.XLOOKUP($B241,'[1]May-25'!$A:$A,'[1]May-25'!$H:$H,0)</f>
        <v>0</v>
      </c>
      <c r="W241" s="17">
        <f>_xlfn.XLOOKUP($B241,'[1]Jun-25'!$A:$A,'[1]Jun-25'!$H:$H,0)</f>
        <v>0</v>
      </c>
      <c r="X241" s="17">
        <f>_xlfn.XLOOKUP($B241,'[1]Jul-25'!$A:$A,'[1]Jul-25'!$H:$H,0)</f>
        <v>0</v>
      </c>
      <c r="Y241" s="17">
        <f>_xlfn.XLOOKUP($B241,'[1]Aug-25'!$A:$A,'[1]Aug-25'!$H:$H,0)</f>
        <v>0</v>
      </c>
      <c r="Z241" s="17">
        <f>_xlfn.XLOOKUP($B241,'[1]Sep-25'!$A:$A,'[1]Sep-25'!$H:$H,0)</f>
        <v>0</v>
      </c>
      <c r="AA241" s="17">
        <f>_xlfn.XLOOKUP($B241,'[1]Oct-25'!$A:$A,'[1]Oct-25'!$H:$H,0)</f>
        <v>0</v>
      </c>
      <c r="AB241" s="17">
        <f>_xlfn.XLOOKUP($B241,'[1]Nov-25'!$A:$A,'[1]Nov-25'!$H:$H,0)</f>
        <v>0</v>
      </c>
      <c r="AC241" s="17">
        <f>_xlfn.XLOOKUP($B241,'[1]Dec-25'!$A:$A,'[1]Dec-25'!$H:$H,0)</f>
        <v>0</v>
      </c>
      <c r="AD241" s="17">
        <f>_xlfn.XLOOKUP($B241,'[1]Jan-26'!$A:$A,'[1]Jan-26'!$H:$H,0)</f>
        <v>0</v>
      </c>
      <c r="AE241" s="17">
        <f>_xlfn.XLOOKUP($B241,'[1]Feb-26'!$A:$A,'[1]Feb-26'!$H:$H,0)</f>
        <v>0</v>
      </c>
      <c r="AF241" s="17">
        <f>_xlfn.XLOOKUP($B241,'[1]Mar-26'!$A:$A,'[1]Mar-26'!$H:$H,0)</f>
        <v>0</v>
      </c>
      <c r="AG241" s="17">
        <f>_xlfn.XLOOKUP($B241,'[1]Apr-26'!$A:$A,'[1]Apr-26'!$H:$H,0)</f>
        <v>0</v>
      </c>
    </row>
    <row r="242" spans="1:33" x14ac:dyDescent="0.2">
      <c r="A242" s="406">
        <v>23416</v>
      </c>
      <c r="B242" s="407" t="str">
        <f t="shared" si="9"/>
        <v>23416</v>
      </c>
      <c r="C242" s="408" t="s">
        <v>430</v>
      </c>
      <c r="D242" s="408" t="s">
        <v>429</v>
      </c>
      <c r="E242" s="409" t="s">
        <v>1712</v>
      </c>
      <c r="F242" s="17">
        <f>_xlfn.XLOOKUP($B242,'[1]Jan-24'!$A:$A,'[1]Jan-24'!$H:$H,0)</f>
        <v>0</v>
      </c>
      <c r="G242" s="17">
        <f>_xlfn.XLOOKUP($B242,'[1]Feb-24'!$A:$A,'[1]Feb-24'!$H:$H,0)</f>
        <v>0</v>
      </c>
      <c r="H242" s="17">
        <f>_xlfn.XLOOKUP($B242,'[1]Mar-24'!$A:$A,'[1]Mar-24'!$H:$H,0)</f>
        <v>0</v>
      </c>
      <c r="I242" s="17">
        <f>_xlfn.XLOOKUP($B242,'[1]Apr-24'!$A:$A,'[1]Apr-24'!$H:$H,0)</f>
        <v>0</v>
      </c>
      <c r="J242" s="17">
        <f>_xlfn.XLOOKUP($B242,'[1]May-24'!$A:$A,'[1]May-24'!$H:$H,0)</f>
        <v>0</v>
      </c>
      <c r="K242" s="17">
        <f>_xlfn.XLOOKUP($B242,'[1]Jun-24'!$A:$A,'[1]Jun-24'!$H:$H,0)</f>
        <v>0</v>
      </c>
      <c r="L242" s="17">
        <f>_xlfn.XLOOKUP($B242,'[1]Jul-24'!$A:$A,'[1]Jul-24'!$H:$H,0)</f>
        <v>0</v>
      </c>
      <c r="M242" s="17">
        <f>_xlfn.XLOOKUP($B242,'[1]Aug-24'!$A:$A,'[1]Aug-24'!$H:$H,0)</f>
        <v>0</v>
      </c>
      <c r="N242" s="17">
        <f>_xlfn.XLOOKUP($B242,'[1]Sep-24'!$A:$A,'[1]Sep-24'!$H:$H,0)</f>
        <v>0</v>
      </c>
      <c r="O242" s="17">
        <f>_xlfn.XLOOKUP($B242,'[1]Oct-24'!$A:$A,'[1]Oct-24'!$H:$H,0)</f>
        <v>0</v>
      </c>
      <c r="P242" s="17">
        <f>_xlfn.XLOOKUP($B242,'[1]Nov-24'!$A:$A,'[1]Nov-24'!$H:$H,0)</f>
        <v>0</v>
      </c>
      <c r="Q242" s="17">
        <f>_xlfn.XLOOKUP($B242,'[1]Dec-24'!$A:$A,'[1]Dec-24'!$H:$H,0)</f>
        <v>0</v>
      </c>
      <c r="R242" s="17">
        <f>_xlfn.XLOOKUP($B242,'[1]Jan-25'!$A:$A,'[1]Jan-25'!$H:$H,0)</f>
        <v>0</v>
      </c>
      <c r="S242" s="17">
        <f>_xlfn.XLOOKUP($B242,'[1]Feb-25'!$A:$A,'[1]Feb-25'!$H:$H,0)</f>
        <v>0</v>
      </c>
      <c r="T242" s="17">
        <f>_xlfn.XLOOKUP($B242,'[1]Mar-25'!$A:$A,'[1]Mar-25'!$H:$H,0)</f>
        <v>0</v>
      </c>
      <c r="U242" s="17">
        <f>_xlfn.XLOOKUP($B242,'[1]Apr-25'!$A:$A,'[1]Apr-25'!$H:$H,0)</f>
        <v>0</v>
      </c>
      <c r="V242" s="17">
        <f>_xlfn.XLOOKUP($B242,'[1]May-25'!$A:$A,'[1]May-25'!$H:$H,0)</f>
        <v>0</v>
      </c>
      <c r="W242" s="17">
        <f>_xlfn.XLOOKUP($B242,'[1]Jun-25'!$A:$A,'[1]Jun-25'!$H:$H,0)</f>
        <v>0</v>
      </c>
      <c r="X242" s="17">
        <f>_xlfn.XLOOKUP($B242,'[1]Jul-25'!$A:$A,'[1]Jul-25'!$H:$H,0)</f>
        <v>0</v>
      </c>
      <c r="Y242" s="17">
        <f>_xlfn.XLOOKUP($B242,'[1]Aug-25'!$A:$A,'[1]Aug-25'!$H:$H,0)</f>
        <v>0</v>
      </c>
      <c r="Z242" s="17">
        <f>_xlfn.XLOOKUP($B242,'[1]Sep-25'!$A:$A,'[1]Sep-25'!$H:$H,0)</f>
        <v>0</v>
      </c>
      <c r="AA242" s="17">
        <f>_xlfn.XLOOKUP($B242,'[1]Oct-25'!$A:$A,'[1]Oct-25'!$H:$H,0)</f>
        <v>0</v>
      </c>
      <c r="AB242" s="17">
        <f>_xlfn.XLOOKUP($B242,'[1]Nov-25'!$A:$A,'[1]Nov-25'!$H:$H,0)</f>
        <v>0</v>
      </c>
      <c r="AC242" s="17">
        <f>_xlfn.XLOOKUP($B242,'[1]Dec-25'!$A:$A,'[1]Dec-25'!$H:$H,0)</f>
        <v>0</v>
      </c>
      <c r="AD242" s="17">
        <f>_xlfn.XLOOKUP($B242,'[1]Jan-26'!$A:$A,'[1]Jan-26'!$H:$H,0)</f>
        <v>0</v>
      </c>
      <c r="AE242" s="17">
        <f>_xlfn.XLOOKUP($B242,'[1]Feb-26'!$A:$A,'[1]Feb-26'!$H:$H,0)</f>
        <v>0</v>
      </c>
      <c r="AF242" s="17">
        <f>_xlfn.XLOOKUP($B242,'[1]Mar-26'!$A:$A,'[1]Mar-26'!$H:$H,0)</f>
        <v>-63550</v>
      </c>
      <c r="AG242" s="17">
        <f>_xlfn.XLOOKUP($B242,'[1]Apr-26'!$A:$A,'[1]Apr-26'!$H:$H,0)</f>
        <v>-63550</v>
      </c>
    </row>
    <row r="243" spans="1:33" x14ac:dyDescent="0.2">
      <c r="A243" s="58">
        <v>23400</v>
      </c>
      <c r="B243" s="56" t="str">
        <f t="shared" si="9"/>
        <v>23400</v>
      </c>
      <c r="C243" s="57" t="s">
        <v>441</v>
      </c>
      <c r="D243" s="57" t="s">
        <v>429</v>
      </c>
      <c r="E243" s="44" t="s">
        <v>273</v>
      </c>
      <c r="F243" s="17">
        <f>_xlfn.XLOOKUP($B243,'[1]Jan-24'!$A:$A,'[1]Jan-24'!$H:$H,0)</f>
        <v>-1083677157.23</v>
      </c>
      <c r="G243" s="17">
        <f>_xlfn.XLOOKUP($B243,'[1]Feb-24'!$A:$A,'[1]Feb-24'!$H:$H,0)</f>
        <v>-1114267774.3499999</v>
      </c>
      <c r="H243" s="17">
        <f>_xlfn.XLOOKUP($B243,'[1]Mar-24'!$A:$A,'[1]Mar-24'!$H:$H,0)</f>
        <v>-1159833578.1300001</v>
      </c>
      <c r="I243" s="17">
        <f>_xlfn.XLOOKUP($B243,'[1]Apr-24'!$A:$A,'[1]Apr-24'!$H:$H,0)</f>
        <v>-1189869093.3599999</v>
      </c>
      <c r="J243" s="17">
        <f>_xlfn.XLOOKUP($B243,'[1]May-24'!$A:$A,'[1]May-24'!$H:$H,0)</f>
        <v>-1199779647.73</v>
      </c>
      <c r="K243" s="17">
        <f>_xlfn.XLOOKUP($B243,'[1]Jun-24'!$A:$A,'[1]Jun-24'!$H:$H,0)</f>
        <v>-1202388053.4000001</v>
      </c>
      <c r="L243" s="17">
        <f>_xlfn.XLOOKUP($B243,'[1]Jul-24'!$A:$A,'[1]Jul-24'!$H:$H,0)</f>
        <v>-1207790976.79</v>
      </c>
      <c r="M243" s="17">
        <f>_xlfn.XLOOKUP($B243,'[1]Aug-24'!$A:$A,'[1]Aug-24'!$H:$H,0)</f>
        <v>-1216571078.72</v>
      </c>
      <c r="N243" s="17">
        <f>_xlfn.XLOOKUP($B243,'[1]Sep-24'!$A:$A,'[1]Sep-24'!$H:$H,0)</f>
        <v>-1228931211.1400001</v>
      </c>
      <c r="O243" s="17">
        <f>_xlfn.XLOOKUP($B243,'[1]Oct-24'!$A:$A,'[1]Oct-24'!$H:$H,0)</f>
        <v>-1242372803.8699999</v>
      </c>
      <c r="P243" s="17">
        <f>_xlfn.XLOOKUP($B243,'[1]Nov-24'!$A:$A,'[1]Nov-24'!$H:$H,0)</f>
        <v>-1260083885.29</v>
      </c>
      <c r="Q243" s="17">
        <f>_xlfn.XLOOKUP($B243,'[1]Dec-24'!$A:$A,'[1]Dec-24'!$H:$H,0)</f>
        <v>-1354903224.05</v>
      </c>
      <c r="R243" s="17">
        <f>_xlfn.XLOOKUP($B243,'[1]Jan-25'!$A:$A,'[1]Jan-25'!$H:$H,0)</f>
        <v>-1368569108.46</v>
      </c>
      <c r="S243" s="17">
        <f>_xlfn.XLOOKUP($B243,'[1]Feb-25'!$A:$A,'[1]Feb-25'!$H:$H,0)</f>
        <v>-1370776678.4300001</v>
      </c>
      <c r="T243" s="17">
        <f>_xlfn.XLOOKUP($B243,'[1]Mar-25'!$A:$A,'[1]Mar-25'!$H:$H,0)</f>
        <v>-1360025902.1199999</v>
      </c>
      <c r="U243" s="17">
        <f>_xlfn.XLOOKUP($B243,'[1]Apr-25'!$A:$A,'[1]Apr-25'!$H:$H,0)</f>
        <v>-1362846941.22</v>
      </c>
      <c r="V243" s="17">
        <f>_xlfn.XLOOKUP($B243,'[1]May-25'!$A:$A,'[1]May-25'!$H:$H,0)</f>
        <v>-1359660219.1300001</v>
      </c>
      <c r="W243" s="17">
        <f>_xlfn.XLOOKUP($B243,'[1]Jun-25'!$A:$A,'[1]Jun-25'!$H:$H,0)</f>
        <v>-1355594394.27</v>
      </c>
      <c r="X243" s="17">
        <f>_xlfn.XLOOKUP($B243,'[1]Jul-25'!$A:$A,'[1]Jul-25'!$H:$H,0)</f>
        <v>-1355308197.6700001</v>
      </c>
      <c r="Y243" s="17">
        <f>_xlfn.XLOOKUP($B243,'[1]Aug-25'!$A:$A,'[1]Aug-25'!$H:$H,0)</f>
        <v>-1355438992.5599999</v>
      </c>
      <c r="Z243" s="17">
        <f>_xlfn.XLOOKUP($B243,'[1]Sep-25'!$A:$A,'[1]Sep-25'!$H:$H,0)</f>
        <v>-1372919292.0599999</v>
      </c>
      <c r="AA243" s="17">
        <f>_xlfn.XLOOKUP($B243,'[1]Oct-25'!$A:$A,'[1]Oct-25'!$H:$H,0)</f>
        <v>-1392325178.8800001</v>
      </c>
      <c r="AB243" s="17">
        <f>_xlfn.XLOOKUP($B243,'[1]Nov-25'!$A:$A,'[1]Nov-25'!$H:$H,0)</f>
        <v>-1370820450.97</v>
      </c>
      <c r="AC243" s="17">
        <f>_xlfn.XLOOKUP($B243,'[1]Dec-25'!$A:$A,'[1]Dec-25'!$H:$H,0)</f>
        <v>-21165517.609999999</v>
      </c>
      <c r="AD243" s="17">
        <f>_xlfn.XLOOKUP($B243,'[1]Jan-26'!$A:$A,'[1]Jan-26'!$H:$H,0)</f>
        <v>-49738940.270000003</v>
      </c>
      <c r="AE243" s="17">
        <f>_xlfn.XLOOKUP($B243,'[1]Feb-26'!$A:$A,'[1]Feb-26'!$H:$H,0)</f>
        <v>-78371661.859999999</v>
      </c>
      <c r="AF243" s="17">
        <f>_xlfn.XLOOKUP($B243,'[1]Mar-26'!$A:$A,'[1]Mar-26'!$H:$H,0)</f>
        <v>-68827400.769999996</v>
      </c>
      <c r="AG243" s="17">
        <f>_xlfn.XLOOKUP($B243,'[1]Apr-26'!$A:$A,'[1]Apr-26'!$H:$H,0)</f>
        <v>-39095932.030000001</v>
      </c>
    </row>
    <row r="244" spans="1:33" x14ac:dyDescent="0.2">
      <c r="A244" s="58">
        <v>23405</v>
      </c>
      <c r="B244" s="56" t="str">
        <f t="shared" si="9"/>
        <v>23405</v>
      </c>
      <c r="C244" s="57" t="s">
        <v>441</v>
      </c>
      <c r="D244" s="57" t="s">
        <v>429</v>
      </c>
      <c r="E244" s="44" t="s">
        <v>274</v>
      </c>
      <c r="F244" s="17">
        <f>_xlfn.XLOOKUP($B244,'[1]Jan-24'!$A:$A,'[1]Jan-24'!$H:$H,0)</f>
        <v>846695382.23000002</v>
      </c>
      <c r="G244" s="17">
        <f>_xlfn.XLOOKUP($B244,'[1]Feb-24'!$A:$A,'[1]Feb-24'!$H:$H,0)</f>
        <v>850244876.08000004</v>
      </c>
      <c r="H244" s="17">
        <f>_xlfn.XLOOKUP($B244,'[1]Mar-24'!$A:$A,'[1]Mar-24'!$H:$H,0)</f>
        <v>852339098.12</v>
      </c>
      <c r="I244" s="17">
        <f>_xlfn.XLOOKUP($B244,'[1]Apr-24'!$A:$A,'[1]Apr-24'!$H:$H,0)</f>
        <v>860110120.57000005</v>
      </c>
      <c r="J244" s="17">
        <f>_xlfn.XLOOKUP($B244,'[1]May-24'!$A:$A,'[1]May-24'!$H:$H,0)</f>
        <v>863093628.28999996</v>
      </c>
      <c r="K244" s="17">
        <f>_xlfn.XLOOKUP($B244,'[1]Jun-24'!$A:$A,'[1]Jun-24'!$H:$H,0)</f>
        <v>868584948.69000006</v>
      </c>
      <c r="L244" s="17">
        <f>_xlfn.XLOOKUP($B244,'[1]Jul-24'!$A:$A,'[1]Jul-24'!$H:$H,0)</f>
        <v>871193354.36000001</v>
      </c>
      <c r="M244" s="17">
        <f>_xlfn.XLOOKUP($B244,'[1]Aug-24'!$A:$A,'[1]Aug-24'!$H:$H,0)</f>
        <v>874003719.42999995</v>
      </c>
      <c r="N244" s="17">
        <f>_xlfn.XLOOKUP($B244,'[1]Sep-24'!$A:$A,'[1]Sep-24'!$H:$H,0)</f>
        <v>888478816.38999999</v>
      </c>
      <c r="O244" s="17">
        <f>_xlfn.XLOOKUP($B244,'[1]Oct-24'!$A:$A,'[1]Oct-24'!$H:$H,0)</f>
        <v>892291131.38</v>
      </c>
      <c r="P244" s="17">
        <f>_xlfn.XLOOKUP($B244,'[1]Nov-24'!$A:$A,'[1]Nov-24'!$H:$H,0)</f>
        <v>896953973.75999999</v>
      </c>
      <c r="Q244" s="17">
        <f>_xlfn.XLOOKUP($B244,'[1]Dec-24'!$A:$A,'[1]Dec-24'!$H:$H,0)</f>
        <v>904471947.03999996</v>
      </c>
      <c r="R244" s="17">
        <f>_xlfn.XLOOKUP($B244,'[1]Jan-25'!$A:$A,'[1]Jan-25'!$H:$H,0)</f>
        <v>904471947.03999996</v>
      </c>
      <c r="S244" s="17">
        <f>_xlfn.XLOOKUP($B244,'[1]Feb-25'!$A:$A,'[1]Feb-25'!$H:$H,0)</f>
        <v>904471947.03999996</v>
      </c>
      <c r="T244" s="17">
        <f>_xlfn.XLOOKUP($B244,'[1]Mar-25'!$A:$A,'[1]Mar-25'!$H:$H,0)</f>
        <v>904471947.03999996</v>
      </c>
      <c r="U244" s="17">
        <f>_xlfn.XLOOKUP($B244,'[1]Apr-25'!$A:$A,'[1]Apr-25'!$H:$H,0)</f>
        <v>904471947.03999996</v>
      </c>
      <c r="V244" s="17">
        <f>_xlfn.XLOOKUP($B244,'[1]May-25'!$A:$A,'[1]May-25'!$H:$H,0)</f>
        <v>904471947.03999996</v>
      </c>
      <c r="W244" s="17">
        <f>_xlfn.XLOOKUP($B244,'[1]Jun-25'!$A:$A,'[1]Jun-25'!$H:$H,0)</f>
        <v>904471947.03999996</v>
      </c>
      <c r="X244" s="17">
        <f>_xlfn.XLOOKUP($B244,'[1]Jul-25'!$A:$A,'[1]Jul-25'!$H:$H,0)</f>
        <v>904471947.03999996</v>
      </c>
      <c r="Y244" s="17">
        <f>_xlfn.XLOOKUP($B244,'[1]Aug-25'!$A:$A,'[1]Aug-25'!$H:$H,0)</f>
        <v>904471947.03999996</v>
      </c>
      <c r="Z244" s="17">
        <f>_xlfn.XLOOKUP($B244,'[1]Sep-25'!$A:$A,'[1]Sep-25'!$H:$H,0)</f>
        <v>904471947.03999996</v>
      </c>
      <c r="AA244" s="17">
        <f>_xlfn.XLOOKUP($B244,'[1]Oct-25'!$A:$A,'[1]Oct-25'!$H:$H,0)</f>
        <v>904471947.03999996</v>
      </c>
      <c r="AB244" s="17">
        <f>_xlfn.XLOOKUP($B244,'[1]Nov-25'!$A:$A,'[1]Nov-25'!$H:$H,0)</f>
        <v>904471947.03999996</v>
      </c>
      <c r="AC244" s="17">
        <f>_xlfn.XLOOKUP($B244,'[1]Dec-25'!$A:$A,'[1]Dec-25'!$H:$H,0)</f>
        <v>0</v>
      </c>
      <c r="AD244" s="17">
        <f>_xlfn.XLOOKUP($B244,'[1]Jan-26'!$A:$A,'[1]Jan-26'!$H:$H,0)</f>
        <v>0</v>
      </c>
      <c r="AE244" s="17">
        <f>_xlfn.XLOOKUP($B244,'[1]Feb-26'!$A:$A,'[1]Feb-26'!$H:$H,0)</f>
        <v>0</v>
      </c>
      <c r="AF244" s="17">
        <f>_xlfn.XLOOKUP($B244,'[1]Mar-26'!$A:$A,'[1]Mar-26'!$H:$H,0)</f>
        <v>0</v>
      </c>
      <c r="AG244" s="17">
        <f>_xlfn.XLOOKUP($B244,'[1]Apr-26'!$A:$A,'[1]Apr-26'!$H:$H,0)</f>
        <v>0</v>
      </c>
    </row>
    <row r="245" spans="1:33" x14ac:dyDescent="0.2">
      <c r="A245" s="58">
        <v>23410</v>
      </c>
      <c r="B245" s="56" t="str">
        <f t="shared" si="9"/>
        <v>23410</v>
      </c>
      <c r="C245" s="57" t="s">
        <v>441</v>
      </c>
      <c r="D245" s="57" t="s">
        <v>429</v>
      </c>
      <c r="E245" s="44" t="s">
        <v>275</v>
      </c>
      <c r="F245" s="17">
        <f>_xlfn.XLOOKUP($B245,'[1]Jan-24'!$A:$A,'[1]Jan-24'!$H:$H,0)</f>
        <v>51599186.399999999</v>
      </c>
      <c r="G245" s="17">
        <f>_xlfn.XLOOKUP($B245,'[1]Feb-24'!$A:$A,'[1]Feb-24'!$H:$H,0)</f>
        <v>51599186.399999999</v>
      </c>
      <c r="H245" s="17">
        <f>_xlfn.XLOOKUP($B245,'[1]Mar-24'!$A:$A,'[1]Mar-24'!$H:$H,0)</f>
        <v>51599186.399999999</v>
      </c>
      <c r="I245" s="17">
        <f>_xlfn.XLOOKUP($B245,'[1]Apr-24'!$A:$A,'[1]Apr-24'!$H:$H,0)</f>
        <v>51599186.399999999</v>
      </c>
      <c r="J245" s="17">
        <f>_xlfn.XLOOKUP($B245,'[1]May-24'!$A:$A,'[1]May-24'!$H:$H,0)</f>
        <v>51599186.399999999</v>
      </c>
      <c r="K245" s="17">
        <f>_xlfn.XLOOKUP($B245,'[1]Jun-24'!$A:$A,'[1]Jun-24'!$H:$H,0)</f>
        <v>51599186.399999999</v>
      </c>
      <c r="L245" s="17">
        <f>_xlfn.XLOOKUP($B245,'[1]Jul-24'!$A:$A,'[1]Jul-24'!$H:$H,0)</f>
        <v>51599186.399999999</v>
      </c>
      <c r="M245" s="17">
        <f>_xlfn.XLOOKUP($B245,'[1]Aug-24'!$A:$A,'[1]Aug-24'!$H:$H,0)</f>
        <v>51599186.399999999</v>
      </c>
      <c r="N245" s="17">
        <f>_xlfn.XLOOKUP($B245,'[1]Sep-24'!$A:$A,'[1]Sep-24'!$H:$H,0)</f>
        <v>51599186.399999999</v>
      </c>
      <c r="O245" s="17">
        <f>_xlfn.XLOOKUP($B245,'[1]Oct-24'!$A:$A,'[1]Oct-24'!$H:$H,0)</f>
        <v>51599186.399999999</v>
      </c>
      <c r="P245" s="17">
        <f>_xlfn.XLOOKUP($B245,'[1]Nov-24'!$A:$A,'[1]Nov-24'!$H:$H,0)</f>
        <v>51599186.399999999</v>
      </c>
      <c r="Q245" s="17">
        <f>_xlfn.XLOOKUP($B245,'[1]Dec-24'!$A:$A,'[1]Dec-24'!$H:$H,0)</f>
        <v>51599186.399999999</v>
      </c>
      <c r="R245" s="17">
        <f>_xlfn.XLOOKUP($B245,'[1]Jan-25'!$A:$A,'[1]Jan-25'!$H:$H,0)</f>
        <v>51599186.399999999</v>
      </c>
      <c r="S245" s="17">
        <f>_xlfn.XLOOKUP($B245,'[1]Feb-25'!$A:$A,'[1]Feb-25'!$H:$H,0)</f>
        <v>51599186.399999999</v>
      </c>
      <c r="T245" s="17">
        <f>_xlfn.XLOOKUP($B245,'[1]Mar-25'!$A:$A,'[1]Mar-25'!$H:$H,0)</f>
        <v>51599186.399999999</v>
      </c>
      <c r="U245" s="17">
        <f>_xlfn.XLOOKUP($B245,'[1]Apr-25'!$A:$A,'[1]Apr-25'!$H:$H,0)</f>
        <v>51599186.399999999</v>
      </c>
      <c r="V245" s="17">
        <f>_xlfn.XLOOKUP($B245,'[1]May-25'!$A:$A,'[1]May-25'!$H:$H,0)</f>
        <v>51599186.399999999</v>
      </c>
      <c r="W245" s="17">
        <f>_xlfn.XLOOKUP($B245,'[1]Jun-25'!$A:$A,'[1]Jun-25'!$H:$H,0)</f>
        <v>51599186.399999999</v>
      </c>
      <c r="X245" s="17">
        <f>_xlfn.XLOOKUP($B245,'[1]Jul-25'!$A:$A,'[1]Jul-25'!$H:$H,0)</f>
        <v>51599186.399999999</v>
      </c>
      <c r="Y245" s="17">
        <f>_xlfn.XLOOKUP($B245,'[1]Aug-25'!$A:$A,'[1]Aug-25'!$H:$H,0)</f>
        <v>51599186.399999999</v>
      </c>
      <c r="Z245" s="17">
        <f>_xlfn.XLOOKUP($B245,'[1]Sep-25'!$A:$A,'[1]Sep-25'!$H:$H,0)</f>
        <v>51599186.399999999</v>
      </c>
      <c r="AA245" s="17">
        <f>_xlfn.XLOOKUP($B245,'[1]Oct-25'!$A:$A,'[1]Oct-25'!$H:$H,0)</f>
        <v>51599186.399999999</v>
      </c>
      <c r="AB245" s="17">
        <f>_xlfn.XLOOKUP($B245,'[1]Nov-25'!$A:$A,'[1]Nov-25'!$H:$H,0)</f>
        <v>51599186.399999999</v>
      </c>
      <c r="AC245" s="17">
        <f>_xlfn.XLOOKUP($B245,'[1]Dec-25'!$A:$A,'[1]Dec-25'!$H:$H,0)</f>
        <v>0</v>
      </c>
      <c r="AD245" s="17">
        <f>_xlfn.XLOOKUP($B245,'[1]Jan-26'!$A:$A,'[1]Jan-26'!$H:$H,0)</f>
        <v>0</v>
      </c>
      <c r="AE245" s="17">
        <f>_xlfn.XLOOKUP($B245,'[1]Feb-26'!$A:$A,'[1]Feb-26'!$H:$H,0)</f>
        <v>0</v>
      </c>
      <c r="AF245" s="17">
        <f>_xlfn.XLOOKUP($B245,'[1]Mar-26'!$A:$A,'[1]Mar-26'!$H:$H,0)</f>
        <v>0</v>
      </c>
      <c r="AG245" s="17">
        <f>_xlfn.XLOOKUP($B245,'[1]Apr-26'!$A:$A,'[1]Apr-26'!$H:$H,0)</f>
        <v>0</v>
      </c>
    </row>
    <row r="246" spans="1:33" x14ac:dyDescent="0.2">
      <c r="A246" s="58">
        <v>23415</v>
      </c>
      <c r="B246" s="56" t="str">
        <f t="shared" si="9"/>
        <v>23415</v>
      </c>
      <c r="C246" s="57" t="s">
        <v>441</v>
      </c>
      <c r="D246" s="57" t="s">
        <v>429</v>
      </c>
      <c r="E246" s="44" t="s">
        <v>446</v>
      </c>
      <c r="F246" s="17">
        <f>_xlfn.XLOOKUP($B246,'[1]Jan-24'!$A:$A,'[1]Jan-24'!$H:$H,0)</f>
        <v>0</v>
      </c>
      <c r="G246" s="17">
        <f>_xlfn.XLOOKUP($B246,'[1]Feb-24'!$A:$A,'[1]Feb-24'!$H:$H,0)</f>
        <v>0</v>
      </c>
      <c r="H246" s="17">
        <f>_xlfn.XLOOKUP($B246,'[1]Mar-24'!$A:$A,'[1]Mar-24'!$H:$H,0)</f>
        <v>0</v>
      </c>
      <c r="I246" s="17">
        <f>_xlfn.XLOOKUP($B246,'[1]Apr-24'!$A:$A,'[1]Apr-24'!$H:$H,0)</f>
        <v>0</v>
      </c>
      <c r="J246" s="17">
        <f>_xlfn.XLOOKUP($B246,'[1]May-24'!$A:$A,'[1]May-24'!$H:$H,0)</f>
        <v>0</v>
      </c>
      <c r="K246" s="17">
        <f>_xlfn.XLOOKUP($B246,'[1]Jun-24'!$A:$A,'[1]Jun-24'!$H:$H,0)</f>
        <v>0</v>
      </c>
      <c r="L246" s="17">
        <f>_xlfn.XLOOKUP($B246,'[1]Jul-24'!$A:$A,'[1]Jul-24'!$H:$H,0)</f>
        <v>0</v>
      </c>
      <c r="M246" s="17">
        <f>_xlfn.XLOOKUP($B246,'[1]Aug-24'!$A:$A,'[1]Aug-24'!$H:$H,0)</f>
        <v>0</v>
      </c>
      <c r="N246" s="17">
        <f>_xlfn.XLOOKUP($B246,'[1]Sep-24'!$A:$A,'[1]Sep-24'!$H:$H,0)</f>
        <v>0</v>
      </c>
      <c r="O246" s="17">
        <f>_xlfn.XLOOKUP($B246,'[1]Oct-24'!$A:$A,'[1]Oct-24'!$H:$H,0)</f>
        <v>0</v>
      </c>
      <c r="P246" s="17">
        <f>_xlfn.XLOOKUP($B246,'[1]Nov-24'!$A:$A,'[1]Nov-24'!$H:$H,0)</f>
        <v>0</v>
      </c>
      <c r="Q246" s="17">
        <f>_xlfn.XLOOKUP($B246,'[1]Dec-24'!$A:$A,'[1]Dec-24'!$H:$H,0)</f>
        <v>0</v>
      </c>
      <c r="R246" s="17">
        <f>_xlfn.XLOOKUP($B246,'[1]Jan-25'!$A:$A,'[1]Jan-25'!$H:$H,0)</f>
        <v>0</v>
      </c>
      <c r="S246" s="17">
        <f>_xlfn.XLOOKUP($B246,'[1]Feb-25'!$A:$A,'[1]Feb-25'!$H:$H,0)</f>
        <v>0</v>
      </c>
      <c r="T246" s="17">
        <f>_xlfn.XLOOKUP($B246,'[1]Mar-25'!$A:$A,'[1]Mar-25'!$H:$H,0)</f>
        <v>0</v>
      </c>
      <c r="U246" s="17">
        <f>_xlfn.XLOOKUP($B246,'[1]Apr-25'!$A:$A,'[1]Apr-25'!$H:$H,0)</f>
        <v>0</v>
      </c>
      <c r="V246" s="17">
        <f>_xlfn.XLOOKUP($B246,'[1]May-25'!$A:$A,'[1]May-25'!$H:$H,0)</f>
        <v>0</v>
      </c>
      <c r="W246" s="17">
        <f>_xlfn.XLOOKUP($B246,'[1]Jun-25'!$A:$A,'[1]Jun-25'!$H:$H,0)</f>
        <v>0</v>
      </c>
      <c r="X246" s="17">
        <f>_xlfn.XLOOKUP($B246,'[1]Jul-25'!$A:$A,'[1]Jul-25'!$H:$H,0)</f>
        <v>0</v>
      </c>
      <c r="Y246" s="17">
        <f>_xlfn.XLOOKUP($B246,'[1]Aug-25'!$A:$A,'[1]Aug-25'!$H:$H,0)</f>
        <v>0</v>
      </c>
      <c r="Z246" s="17">
        <f>_xlfn.XLOOKUP($B246,'[1]Sep-25'!$A:$A,'[1]Sep-25'!$H:$H,0)</f>
        <v>0</v>
      </c>
      <c r="AA246" s="17">
        <f>_xlfn.XLOOKUP($B246,'[1]Oct-25'!$A:$A,'[1]Oct-25'!$H:$H,0)</f>
        <v>0</v>
      </c>
      <c r="AB246" s="17">
        <f>_xlfn.XLOOKUP($B246,'[1]Nov-25'!$A:$A,'[1]Nov-25'!$H:$H,0)</f>
        <v>0</v>
      </c>
      <c r="AC246" s="17">
        <f>_xlfn.XLOOKUP($B246,'[1]Dec-25'!$A:$A,'[1]Dec-25'!$H:$H,0)</f>
        <v>0</v>
      </c>
      <c r="AD246" s="17">
        <f>_xlfn.XLOOKUP($B246,'[1]Jan-26'!$A:$A,'[1]Jan-26'!$H:$H,0)</f>
        <v>0</v>
      </c>
      <c r="AE246" s="17">
        <f>_xlfn.XLOOKUP($B246,'[1]Feb-26'!$A:$A,'[1]Feb-26'!$H:$H,0)</f>
        <v>0</v>
      </c>
      <c r="AF246" s="17">
        <f>_xlfn.XLOOKUP($B246,'[1]Mar-26'!$A:$A,'[1]Mar-26'!$H:$H,0)</f>
        <v>0</v>
      </c>
      <c r="AG246" s="17">
        <f>_xlfn.XLOOKUP($B246,'[1]Apr-26'!$A:$A,'[1]Apr-26'!$H:$H,0)</f>
        <v>0</v>
      </c>
    </row>
    <row r="247" spans="1:33" x14ac:dyDescent="0.2">
      <c r="A247" s="58">
        <v>23420</v>
      </c>
      <c r="B247" s="56" t="str">
        <f t="shared" si="9"/>
        <v>23420</v>
      </c>
      <c r="C247" s="57" t="s">
        <v>441</v>
      </c>
      <c r="D247" s="57" t="s">
        <v>429</v>
      </c>
      <c r="E247" s="44" t="s">
        <v>276</v>
      </c>
      <c r="F247" s="17">
        <f>_xlfn.XLOOKUP($B247,'[1]Jan-24'!$A:$A,'[1]Jan-24'!$H:$H,0)</f>
        <v>-24656424.949999999</v>
      </c>
      <c r="G247" s="17">
        <f>_xlfn.XLOOKUP($B247,'[1]Feb-24'!$A:$A,'[1]Feb-24'!$H:$H,0)</f>
        <v>-26503892.969999999</v>
      </c>
      <c r="H247" s="17">
        <f>_xlfn.XLOOKUP($B247,'[1]Mar-24'!$A:$A,'[1]Mar-24'!$H:$H,0)</f>
        <v>-29230063.510000002</v>
      </c>
      <c r="I247" s="17">
        <f>_xlfn.XLOOKUP($B247,'[1]Apr-24'!$A:$A,'[1]Apr-24'!$H:$H,0)</f>
        <v>-27580219.899999999</v>
      </c>
      <c r="J247" s="17">
        <f>_xlfn.XLOOKUP($B247,'[1]May-24'!$A:$A,'[1]May-24'!$H:$H,0)</f>
        <v>-27208044.449999999</v>
      </c>
      <c r="K247" s="17">
        <f>_xlfn.XLOOKUP($B247,'[1]Jun-24'!$A:$A,'[1]Jun-24'!$H:$H,0)</f>
        <v>-15966732.1</v>
      </c>
      <c r="L247" s="17">
        <f>_xlfn.XLOOKUP($B247,'[1]Jul-24'!$A:$A,'[1]Jul-24'!$H:$H,0)</f>
        <v>-14289067.630000001</v>
      </c>
      <c r="M247" s="17">
        <f>_xlfn.XLOOKUP($B247,'[1]Aug-24'!$A:$A,'[1]Aug-24'!$H:$H,0)</f>
        <v>-20859053.420000002</v>
      </c>
      <c r="N247" s="17">
        <f>_xlfn.XLOOKUP($B247,'[1]Sep-24'!$A:$A,'[1]Sep-24'!$H:$H,0)</f>
        <v>-19288075.890000001</v>
      </c>
      <c r="O247" s="17">
        <f>_xlfn.XLOOKUP($B247,'[1]Oct-24'!$A:$A,'[1]Oct-24'!$H:$H,0)</f>
        <v>-21159696.27</v>
      </c>
      <c r="P247" s="17">
        <f>_xlfn.XLOOKUP($B247,'[1]Nov-24'!$A:$A,'[1]Nov-24'!$H:$H,0)</f>
        <v>-17876959.370000001</v>
      </c>
      <c r="Q247" s="17">
        <f>_xlfn.XLOOKUP($B247,'[1]Dec-24'!$A:$A,'[1]Dec-24'!$H:$H,0)</f>
        <v>-14586581.59</v>
      </c>
      <c r="R247" s="17">
        <f>_xlfn.XLOOKUP($B247,'[1]Jan-25'!$A:$A,'[1]Jan-25'!$H:$H,0)</f>
        <v>-16976483.43</v>
      </c>
      <c r="S247" s="17">
        <f>_xlfn.XLOOKUP($B247,'[1]Feb-25'!$A:$A,'[1]Feb-25'!$H:$H,0)</f>
        <v>-13350037.970000001</v>
      </c>
      <c r="T247" s="17">
        <f>_xlfn.XLOOKUP($B247,'[1]Mar-25'!$A:$A,'[1]Mar-25'!$H:$H,0)</f>
        <v>-13681656.539999999</v>
      </c>
      <c r="U247" s="17">
        <f>_xlfn.XLOOKUP($B247,'[1]Apr-25'!$A:$A,'[1]Apr-25'!$H:$H,0)</f>
        <v>-18422747.75</v>
      </c>
      <c r="V247" s="17">
        <f>_xlfn.XLOOKUP($B247,'[1]May-25'!$A:$A,'[1]May-25'!$H:$H,0)</f>
        <v>-16550886.119999999</v>
      </c>
      <c r="W247" s="17">
        <f>_xlfn.XLOOKUP($B247,'[1]Jun-25'!$A:$A,'[1]Jun-25'!$H:$H,0)</f>
        <v>-13633099.58</v>
      </c>
      <c r="X247" s="17">
        <f>_xlfn.XLOOKUP($B247,'[1]Jul-25'!$A:$A,'[1]Jul-25'!$H:$H,0)</f>
        <v>-14895007.130000001</v>
      </c>
      <c r="Y247" s="17">
        <f>_xlfn.XLOOKUP($B247,'[1]Aug-25'!$A:$A,'[1]Aug-25'!$H:$H,0)</f>
        <v>-16034130.26</v>
      </c>
      <c r="Z247" s="17">
        <f>_xlfn.XLOOKUP($B247,'[1]Sep-25'!$A:$A,'[1]Sep-25'!$H:$H,0)</f>
        <v>-22639432.449999999</v>
      </c>
      <c r="AA247" s="17">
        <f>_xlfn.XLOOKUP($B247,'[1]Oct-25'!$A:$A,'[1]Oct-25'!$H:$H,0)</f>
        <v>-13394759.960000001</v>
      </c>
      <c r="AB247" s="17">
        <f>_xlfn.XLOOKUP($B247,'[1]Nov-25'!$A:$A,'[1]Nov-25'!$H:$H,0)</f>
        <v>-18356285</v>
      </c>
      <c r="AC247" s="17">
        <f>_xlfn.XLOOKUP($B247,'[1]Dec-25'!$A:$A,'[1]Dec-25'!$H:$H,0)</f>
        <v>-9322145.2899999991</v>
      </c>
      <c r="AD247" s="17">
        <f>_xlfn.XLOOKUP($B247,'[1]Jan-26'!$A:$A,'[1]Jan-26'!$H:$H,0)</f>
        <v>-10423262.890000001</v>
      </c>
      <c r="AE247" s="17">
        <f>_xlfn.XLOOKUP($B247,'[1]Feb-26'!$A:$A,'[1]Feb-26'!$H:$H,0)</f>
        <v>-11597206.380000001</v>
      </c>
      <c r="AF247" s="17">
        <f>_xlfn.XLOOKUP($B247,'[1]Mar-26'!$A:$A,'[1]Mar-26'!$H:$H,0)</f>
        <v>-14017248.880000001</v>
      </c>
      <c r="AG247" s="17">
        <f>_xlfn.XLOOKUP($B247,'[1]Apr-26'!$A:$A,'[1]Apr-26'!$H:$H,0)</f>
        <v>-22431779.449999999</v>
      </c>
    </row>
    <row r="248" spans="1:33" x14ac:dyDescent="0.2">
      <c r="A248" s="58">
        <v>23425</v>
      </c>
      <c r="B248" s="56" t="str">
        <f t="shared" si="9"/>
        <v>23425</v>
      </c>
      <c r="C248" s="57" t="s">
        <v>447</v>
      </c>
      <c r="D248" s="57" t="s">
        <v>429</v>
      </c>
      <c r="E248" s="44" t="s">
        <v>266</v>
      </c>
      <c r="F248" s="17">
        <f>_xlfn.XLOOKUP($B248,'[1]Jan-24'!$A:$A,'[1]Jan-24'!$H:$H,0)</f>
        <v>-42242924.219999999</v>
      </c>
      <c r="G248" s="17">
        <f>_xlfn.XLOOKUP($B248,'[1]Feb-24'!$A:$A,'[1]Feb-24'!$H:$H,0)</f>
        <v>-42242924.219999999</v>
      </c>
      <c r="H248" s="17">
        <f>_xlfn.XLOOKUP($B248,'[1]Mar-24'!$A:$A,'[1]Mar-24'!$H:$H,0)</f>
        <v>-42242924.219999999</v>
      </c>
      <c r="I248" s="17">
        <f>_xlfn.XLOOKUP($B248,'[1]Apr-24'!$A:$A,'[1]Apr-24'!$H:$H,0)</f>
        <v>-42242924.219999999</v>
      </c>
      <c r="J248" s="17">
        <f>_xlfn.XLOOKUP($B248,'[1]May-24'!$A:$A,'[1]May-24'!$H:$H,0)</f>
        <v>-42242924.219999999</v>
      </c>
      <c r="K248" s="17">
        <f>_xlfn.XLOOKUP($B248,'[1]Jun-24'!$A:$A,'[1]Jun-24'!$H:$H,0)</f>
        <v>-42242924.219999999</v>
      </c>
      <c r="L248" s="17">
        <f>_xlfn.XLOOKUP($B248,'[1]Jul-24'!$A:$A,'[1]Jul-24'!$H:$H,0)</f>
        <v>-42242924.219999999</v>
      </c>
      <c r="M248" s="17">
        <f>_xlfn.XLOOKUP($B248,'[1]Aug-24'!$A:$A,'[1]Aug-24'!$H:$H,0)</f>
        <v>-42242924.219999999</v>
      </c>
      <c r="N248" s="17">
        <f>_xlfn.XLOOKUP($B248,'[1]Sep-24'!$A:$A,'[1]Sep-24'!$H:$H,0)</f>
        <v>-42242924.219999999</v>
      </c>
      <c r="O248" s="17">
        <f>_xlfn.XLOOKUP($B248,'[1]Oct-24'!$A:$A,'[1]Oct-24'!$H:$H,0)</f>
        <v>-42242924.219999999</v>
      </c>
      <c r="P248" s="17">
        <f>_xlfn.XLOOKUP($B248,'[1]Nov-24'!$A:$A,'[1]Nov-24'!$H:$H,0)</f>
        <v>-42242924.219999999</v>
      </c>
      <c r="Q248" s="17">
        <f>_xlfn.XLOOKUP($B248,'[1]Dec-24'!$A:$A,'[1]Dec-24'!$H:$H,0)</f>
        <v>-32949171.219999999</v>
      </c>
      <c r="R248" s="17">
        <f>_xlfn.XLOOKUP($B248,'[1]Jan-25'!$A:$A,'[1]Jan-25'!$H:$H,0)</f>
        <v>-32949171.219999999</v>
      </c>
      <c r="S248" s="17">
        <f>_xlfn.XLOOKUP($B248,'[1]Feb-25'!$A:$A,'[1]Feb-25'!$H:$H,0)</f>
        <v>-32949171.219999999</v>
      </c>
      <c r="T248" s="17">
        <f>_xlfn.XLOOKUP($B248,'[1]Mar-25'!$A:$A,'[1]Mar-25'!$H:$H,0)</f>
        <v>-32949171.219999999</v>
      </c>
      <c r="U248" s="17">
        <f>_xlfn.XLOOKUP($B248,'[1]Apr-25'!$A:$A,'[1]Apr-25'!$H:$H,0)</f>
        <v>-32949171.219999999</v>
      </c>
      <c r="V248" s="17">
        <f>_xlfn.XLOOKUP($B248,'[1]May-25'!$A:$A,'[1]May-25'!$H:$H,0)</f>
        <v>-32949171.219999999</v>
      </c>
      <c r="W248" s="17">
        <f>_xlfn.XLOOKUP($B248,'[1]Jun-25'!$A:$A,'[1]Jun-25'!$H:$H,0)</f>
        <v>-32949171.219999999</v>
      </c>
      <c r="X248" s="17">
        <f>_xlfn.XLOOKUP($B248,'[1]Jul-25'!$A:$A,'[1]Jul-25'!$H:$H,0)</f>
        <v>-32949171.219999999</v>
      </c>
      <c r="Y248" s="17">
        <f>_xlfn.XLOOKUP($B248,'[1]Aug-25'!$A:$A,'[1]Aug-25'!$H:$H,0)</f>
        <v>-32949171.219999999</v>
      </c>
      <c r="Z248" s="17">
        <f>_xlfn.XLOOKUP($B248,'[1]Sep-25'!$A:$A,'[1]Sep-25'!$H:$H,0)</f>
        <v>-32949171.219999999</v>
      </c>
      <c r="AA248" s="17">
        <f>_xlfn.XLOOKUP($B248,'[1]Oct-25'!$A:$A,'[1]Oct-25'!$H:$H,0)</f>
        <v>-32949171.219999999</v>
      </c>
      <c r="AB248" s="17">
        <f>_xlfn.XLOOKUP($B248,'[1]Nov-25'!$A:$A,'[1]Nov-25'!$H:$H,0)</f>
        <v>-32949171.219999999</v>
      </c>
      <c r="AC248" s="17">
        <f>_xlfn.XLOOKUP($B248,'[1]Dec-25'!$A:$A,'[1]Dec-25'!$H:$H,0)</f>
        <v>-32949171.219999999</v>
      </c>
      <c r="AD248" s="17">
        <f>_xlfn.XLOOKUP($B248,'[1]Jan-26'!$A:$A,'[1]Jan-26'!$H:$H,0)</f>
        <v>-21499460.77</v>
      </c>
      <c r="AE248" s="17">
        <f>_xlfn.XLOOKUP($B248,'[1]Feb-26'!$A:$A,'[1]Feb-26'!$H:$H,0)</f>
        <v>-21499460.77</v>
      </c>
      <c r="AF248" s="17">
        <f>_xlfn.XLOOKUP($B248,'[1]Mar-26'!$A:$A,'[1]Mar-26'!$H:$H,0)</f>
        <v>-21499460.77</v>
      </c>
      <c r="AG248" s="17">
        <f>_xlfn.XLOOKUP($B248,'[1]Apr-26'!$A:$A,'[1]Apr-26'!$H:$H,0)</f>
        <v>-21499460.77</v>
      </c>
    </row>
    <row r="249" spans="1:33" x14ac:dyDescent="0.2">
      <c r="A249" s="58">
        <v>23889</v>
      </c>
      <c r="B249" s="56" t="str">
        <f t="shared" si="9"/>
        <v>23889</v>
      </c>
      <c r="C249" s="57" t="s">
        <v>430</v>
      </c>
      <c r="D249" s="57" t="s">
        <v>429</v>
      </c>
      <c r="E249" s="44" t="s">
        <v>448</v>
      </c>
      <c r="F249" s="17">
        <f>_xlfn.XLOOKUP($B249,'[1]Jan-24'!$A:$A,'[1]Jan-24'!$H:$H,0)</f>
        <v>0</v>
      </c>
      <c r="G249" s="17">
        <f>_xlfn.XLOOKUP($B249,'[1]Feb-24'!$A:$A,'[1]Feb-24'!$H:$H,0)</f>
        <v>0</v>
      </c>
      <c r="H249" s="17">
        <f>_xlfn.XLOOKUP($B249,'[1]Mar-24'!$A:$A,'[1]Mar-24'!$H:$H,0)</f>
        <v>0</v>
      </c>
      <c r="I249" s="17">
        <f>_xlfn.XLOOKUP($B249,'[1]Apr-24'!$A:$A,'[1]Apr-24'!$H:$H,0)</f>
        <v>0</v>
      </c>
      <c r="J249" s="17">
        <f>_xlfn.XLOOKUP($B249,'[1]May-24'!$A:$A,'[1]May-24'!$H:$H,0)</f>
        <v>0</v>
      </c>
      <c r="K249" s="17">
        <f>_xlfn.XLOOKUP($B249,'[1]Jun-24'!$A:$A,'[1]Jun-24'!$H:$H,0)</f>
        <v>0</v>
      </c>
      <c r="L249" s="17">
        <f>_xlfn.XLOOKUP($B249,'[1]Jul-24'!$A:$A,'[1]Jul-24'!$H:$H,0)</f>
        <v>0</v>
      </c>
      <c r="M249" s="17">
        <f>_xlfn.XLOOKUP($B249,'[1]Aug-24'!$A:$A,'[1]Aug-24'!$H:$H,0)</f>
        <v>0</v>
      </c>
      <c r="N249" s="17">
        <f>_xlfn.XLOOKUP($B249,'[1]Sep-24'!$A:$A,'[1]Sep-24'!$H:$H,0)</f>
        <v>0</v>
      </c>
      <c r="O249" s="17">
        <f>_xlfn.XLOOKUP($B249,'[1]Oct-24'!$A:$A,'[1]Oct-24'!$H:$H,0)</f>
        <v>0</v>
      </c>
      <c r="P249" s="17">
        <f>_xlfn.XLOOKUP($B249,'[1]Nov-24'!$A:$A,'[1]Nov-24'!$H:$H,0)</f>
        <v>0</v>
      </c>
      <c r="Q249" s="17">
        <f>_xlfn.XLOOKUP($B249,'[1]Dec-24'!$A:$A,'[1]Dec-24'!$H:$H,0)</f>
        <v>0</v>
      </c>
      <c r="R249" s="17">
        <f>_xlfn.XLOOKUP($B249,'[1]Jan-25'!$A:$A,'[1]Jan-25'!$H:$H,0)</f>
        <v>0</v>
      </c>
      <c r="S249" s="17">
        <f>_xlfn.XLOOKUP($B249,'[1]Feb-25'!$A:$A,'[1]Feb-25'!$H:$H,0)</f>
        <v>0</v>
      </c>
      <c r="T249" s="17">
        <f>_xlfn.XLOOKUP($B249,'[1]Mar-25'!$A:$A,'[1]Mar-25'!$H:$H,0)</f>
        <v>0</v>
      </c>
      <c r="U249" s="17">
        <f>_xlfn.XLOOKUP($B249,'[1]Apr-25'!$A:$A,'[1]Apr-25'!$H:$H,0)</f>
        <v>0</v>
      </c>
      <c r="V249" s="17">
        <f>_xlfn.XLOOKUP($B249,'[1]May-25'!$A:$A,'[1]May-25'!$H:$H,0)</f>
        <v>0</v>
      </c>
      <c r="W249" s="17">
        <f>_xlfn.XLOOKUP($B249,'[1]Jun-25'!$A:$A,'[1]Jun-25'!$H:$H,0)</f>
        <v>0</v>
      </c>
      <c r="X249" s="17">
        <f>_xlfn.XLOOKUP($B249,'[1]Jul-25'!$A:$A,'[1]Jul-25'!$H:$H,0)</f>
        <v>0</v>
      </c>
      <c r="Y249" s="17">
        <f>_xlfn.XLOOKUP($B249,'[1]Aug-25'!$A:$A,'[1]Aug-25'!$H:$H,0)</f>
        <v>0</v>
      </c>
      <c r="Z249" s="17">
        <f>_xlfn.XLOOKUP($B249,'[1]Sep-25'!$A:$A,'[1]Sep-25'!$H:$H,0)</f>
        <v>0</v>
      </c>
      <c r="AA249" s="17">
        <f>_xlfn.XLOOKUP($B249,'[1]Oct-25'!$A:$A,'[1]Oct-25'!$H:$H,0)</f>
        <v>0</v>
      </c>
      <c r="AB249" s="17">
        <f>_xlfn.XLOOKUP($B249,'[1]Nov-25'!$A:$A,'[1]Nov-25'!$H:$H,0)</f>
        <v>0</v>
      </c>
      <c r="AC249" s="17">
        <f>_xlfn.XLOOKUP($B249,'[1]Dec-25'!$A:$A,'[1]Dec-25'!$H:$H,0)</f>
        <v>0</v>
      </c>
      <c r="AD249" s="17">
        <f>_xlfn.XLOOKUP($B249,'[1]Jan-26'!$A:$A,'[1]Jan-26'!$H:$H,0)</f>
        <v>0</v>
      </c>
      <c r="AE249" s="17">
        <f>_xlfn.XLOOKUP($B249,'[1]Feb-26'!$A:$A,'[1]Feb-26'!$H:$H,0)</f>
        <v>0</v>
      </c>
      <c r="AF249" s="17">
        <f>_xlfn.XLOOKUP($B249,'[1]Mar-26'!$A:$A,'[1]Mar-26'!$H:$H,0)</f>
        <v>0</v>
      </c>
      <c r="AG249" s="17">
        <f>_xlfn.XLOOKUP($B249,'[1]Apr-26'!$A:$A,'[1]Apr-26'!$H:$H,0)</f>
        <v>0</v>
      </c>
    </row>
    <row r="250" spans="1:33" x14ac:dyDescent="0.2">
      <c r="A250" s="58">
        <v>24010</v>
      </c>
      <c r="B250" s="56" t="str">
        <f t="shared" si="9"/>
        <v>24010</v>
      </c>
      <c r="C250" s="57" t="s">
        <v>430</v>
      </c>
      <c r="D250" s="57" t="s">
        <v>429</v>
      </c>
      <c r="E250" s="44" t="s">
        <v>285</v>
      </c>
      <c r="F250" s="17">
        <f>_xlfn.XLOOKUP($B250,'[1]Jan-24'!$A:$A,'[1]Jan-24'!$H:$H,0)</f>
        <v>-6790298.5</v>
      </c>
      <c r="G250" s="17">
        <f>_xlfn.XLOOKUP($B250,'[1]Feb-24'!$A:$A,'[1]Feb-24'!$H:$H,0)</f>
        <v>-6584544.0999999996</v>
      </c>
      <c r="H250" s="17">
        <f>_xlfn.XLOOKUP($B250,'[1]Mar-24'!$A:$A,'[1]Mar-24'!$H:$H,0)</f>
        <v>-6703904.4000000004</v>
      </c>
      <c r="I250" s="17">
        <f>_xlfn.XLOOKUP($B250,'[1]Apr-24'!$A:$A,'[1]Apr-24'!$H:$H,0)</f>
        <v>-11317697.810000001</v>
      </c>
      <c r="J250" s="17">
        <f>_xlfn.XLOOKUP($B250,'[1]May-24'!$A:$A,'[1]May-24'!$H:$H,0)</f>
        <v>-13235148.48</v>
      </c>
      <c r="K250" s="17">
        <f>_xlfn.XLOOKUP($B250,'[1]Jun-24'!$A:$A,'[1]Jun-24'!$H:$H,0)</f>
        <v>-15062002.779999999</v>
      </c>
      <c r="L250" s="17">
        <f>_xlfn.XLOOKUP($B250,'[1]Jul-24'!$A:$A,'[1]Jul-24'!$H:$H,0)</f>
        <v>-15603399.59</v>
      </c>
      <c r="M250" s="17">
        <f>_xlfn.XLOOKUP($B250,'[1]Aug-24'!$A:$A,'[1]Aug-24'!$H:$H,0)</f>
        <v>-17092795.960000001</v>
      </c>
      <c r="N250" s="17">
        <f>_xlfn.XLOOKUP($B250,'[1]Sep-24'!$A:$A,'[1]Sep-24'!$H:$H,0)</f>
        <v>-17767763.57</v>
      </c>
      <c r="O250" s="17">
        <f>_xlfn.XLOOKUP($B250,'[1]Oct-24'!$A:$A,'[1]Oct-24'!$H:$H,0)</f>
        <v>-18552668.059999999</v>
      </c>
      <c r="P250" s="17">
        <f>_xlfn.XLOOKUP($B250,'[1]Nov-24'!$A:$A,'[1]Nov-24'!$H:$H,0)</f>
        <v>-19623310.859999999</v>
      </c>
      <c r="Q250" s="17">
        <f>_xlfn.XLOOKUP($B250,'[1]Dec-24'!$A:$A,'[1]Dec-24'!$H:$H,0)</f>
        <v>-21842868.859999999</v>
      </c>
      <c r="R250" s="17">
        <f>_xlfn.XLOOKUP($B250,'[1]Jan-25'!$A:$A,'[1]Jan-25'!$H:$H,0)</f>
        <v>-18133337.170000002</v>
      </c>
      <c r="S250" s="17">
        <f>_xlfn.XLOOKUP($B250,'[1]Feb-25'!$A:$A,'[1]Feb-25'!$H:$H,0)</f>
        <v>-19257076.100000001</v>
      </c>
      <c r="T250" s="17">
        <f>_xlfn.XLOOKUP($B250,'[1]Mar-25'!$A:$A,'[1]Mar-25'!$H:$H,0)</f>
        <v>-19486878.539999999</v>
      </c>
      <c r="U250" s="17">
        <f>_xlfn.XLOOKUP($B250,'[1]Apr-25'!$A:$A,'[1]Apr-25'!$H:$H,0)</f>
        <v>-19570107.699999999</v>
      </c>
      <c r="V250" s="17">
        <f>_xlfn.XLOOKUP($B250,'[1]May-25'!$A:$A,'[1]May-25'!$H:$H,0)</f>
        <v>-32342720.780000001</v>
      </c>
      <c r="W250" s="17">
        <f>_xlfn.XLOOKUP($B250,'[1]Jun-25'!$A:$A,'[1]Jun-25'!$H:$H,0)</f>
        <v>-32495106.550000001</v>
      </c>
      <c r="X250" s="17">
        <f>_xlfn.XLOOKUP($B250,'[1]Jul-25'!$A:$A,'[1]Jul-25'!$H:$H,0)</f>
        <v>-21527840.510000002</v>
      </c>
      <c r="Y250" s="17">
        <f>_xlfn.XLOOKUP($B250,'[1]Aug-25'!$A:$A,'[1]Aug-25'!$H:$H,0)</f>
        <v>-22695115.68</v>
      </c>
      <c r="Z250" s="17">
        <f>_xlfn.XLOOKUP($B250,'[1]Sep-25'!$A:$A,'[1]Sep-25'!$H:$H,0)</f>
        <v>-23695194.949999999</v>
      </c>
      <c r="AA250" s="17">
        <f>_xlfn.XLOOKUP($B250,'[1]Oct-25'!$A:$A,'[1]Oct-25'!$H:$H,0)</f>
        <v>-24918602.050000001</v>
      </c>
      <c r="AB250" s="17">
        <f>_xlfn.XLOOKUP($B250,'[1]Nov-25'!$A:$A,'[1]Nov-25'!$H:$H,0)</f>
        <v>-23450689.16</v>
      </c>
      <c r="AC250" s="17">
        <f>_xlfn.XLOOKUP($B250,'[1]Dec-25'!$A:$A,'[1]Dec-25'!$H:$H,0)</f>
        <v>-21976111.07</v>
      </c>
      <c r="AD250" s="17">
        <f>_xlfn.XLOOKUP($B250,'[1]Jan-26'!$A:$A,'[1]Jan-26'!$H:$H,0)</f>
        <v>-25388819.920000002</v>
      </c>
      <c r="AE250" s="17">
        <f>_xlfn.XLOOKUP($B250,'[1]Feb-26'!$A:$A,'[1]Feb-26'!$H:$H,0)</f>
        <v>-25141844.809999999</v>
      </c>
      <c r="AF250" s="17">
        <f>_xlfn.XLOOKUP($B250,'[1]Mar-26'!$A:$A,'[1]Mar-26'!$H:$H,0)</f>
        <v>-25607417.210000001</v>
      </c>
      <c r="AG250" s="17">
        <f>_xlfn.XLOOKUP($B250,'[1]Apr-26'!$A:$A,'[1]Apr-26'!$H:$H,0)</f>
        <v>-25683258.129999999</v>
      </c>
    </row>
    <row r="251" spans="1:33" x14ac:dyDescent="0.2">
      <c r="A251" s="58">
        <v>24020</v>
      </c>
      <c r="B251" s="56" t="str">
        <f t="shared" si="9"/>
        <v>24020</v>
      </c>
      <c r="C251" s="57" t="s">
        <v>441</v>
      </c>
      <c r="D251" s="57" t="s">
        <v>429</v>
      </c>
      <c r="E251" s="44" t="s">
        <v>449</v>
      </c>
      <c r="F251" s="17">
        <f>_xlfn.XLOOKUP($B251,'[1]Jan-24'!$A:$A,'[1]Jan-24'!$H:$H,0)</f>
        <v>0</v>
      </c>
      <c r="G251" s="17">
        <f>_xlfn.XLOOKUP($B251,'[1]Feb-24'!$A:$A,'[1]Feb-24'!$H:$H,0)</f>
        <v>0</v>
      </c>
      <c r="H251" s="17">
        <f>_xlfn.XLOOKUP($B251,'[1]Mar-24'!$A:$A,'[1]Mar-24'!$H:$H,0)</f>
        <v>0</v>
      </c>
      <c r="I251" s="17">
        <f>_xlfn.XLOOKUP($B251,'[1]Apr-24'!$A:$A,'[1]Apr-24'!$H:$H,0)</f>
        <v>0</v>
      </c>
      <c r="J251" s="17">
        <f>_xlfn.XLOOKUP($B251,'[1]May-24'!$A:$A,'[1]May-24'!$H:$H,0)</f>
        <v>0</v>
      </c>
      <c r="K251" s="17">
        <f>_xlfn.XLOOKUP($B251,'[1]Jun-24'!$A:$A,'[1]Jun-24'!$H:$H,0)</f>
        <v>0</v>
      </c>
      <c r="L251" s="17">
        <f>_xlfn.XLOOKUP($B251,'[1]Jul-24'!$A:$A,'[1]Jul-24'!$H:$H,0)</f>
        <v>0</v>
      </c>
      <c r="M251" s="17">
        <f>_xlfn.XLOOKUP($B251,'[1]Aug-24'!$A:$A,'[1]Aug-24'!$H:$H,0)</f>
        <v>0</v>
      </c>
      <c r="N251" s="17">
        <f>_xlfn.XLOOKUP($B251,'[1]Sep-24'!$A:$A,'[1]Sep-24'!$H:$H,0)</f>
        <v>0</v>
      </c>
      <c r="O251" s="17">
        <f>_xlfn.XLOOKUP($B251,'[1]Oct-24'!$A:$A,'[1]Oct-24'!$H:$H,0)</f>
        <v>0</v>
      </c>
      <c r="P251" s="17">
        <f>_xlfn.XLOOKUP($B251,'[1]Nov-24'!$A:$A,'[1]Nov-24'!$H:$H,0)</f>
        <v>0</v>
      </c>
      <c r="Q251" s="17">
        <f>_xlfn.XLOOKUP($B251,'[1]Dec-24'!$A:$A,'[1]Dec-24'!$H:$H,0)</f>
        <v>0</v>
      </c>
      <c r="R251" s="17">
        <f>_xlfn.XLOOKUP($B251,'[1]Jan-25'!$A:$A,'[1]Jan-25'!$H:$H,0)</f>
        <v>0</v>
      </c>
      <c r="S251" s="17">
        <f>_xlfn.XLOOKUP($B251,'[1]Feb-25'!$A:$A,'[1]Feb-25'!$H:$H,0)</f>
        <v>0</v>
      </c>
      <c r="T251" s="17">
        <f>_xlfn.XLOOKUP($B251,'[1]Mar-25'!$A:$A,'[1]Mar-25'!$H:$H,0)</f>
        <v>0</v>
      </c>
      <c r="U251" s="17">
        <f>_xlfn.XLOOKUP($B251,'[1]Apr-25'!$A:$A,'[1]Apr-25'!$H:$H,0)</f>
        <v>0</v>
      </c>
      <c r="V251" s="17">
        <f>_xlfn.XLOOKUP($B251,'[1]May-25'!$A:$A,'[1]May-25'!$H:$H,0)</f>
        <v>0</v>
      </c>
      <c r="W251" s="17">
        <f>_xlfn.XLOOKUP($B251,'[1]Jun-25'!$A:$A,'[1]Jun-25'!$H:$H,0)</f>
        <v>0</v>
      </c>
      <c r="X251" s="17">
        <f>_xlfn.XLOOKUP($B251,'[1]Jul-25'!$A:$A,'[1]Jul-25'!$H:$H,0)</f>
        <v>0</v>
      </c>
      <c r="Y251" s="17">
        <f>_xlfn.XLOOKUP($B251,'[1]Aug-25'!$A:$A,'[1]Aug-25'!$H:$H,0)</f>
        <v>0</v>
      </c>
      <c r="Z251" s="17">
        <f>_xlfn.XLOOKUP($B251,'[1]Sep-25'!$A:$A,'[1]Sep-25'!$H:$H,0)</f>
        <v>0</v>
      </c>
      <c r="AA251" s="17">
        <f>_xlfn.XLOOKUP($B251,'[1]Oct-25'!$A:$A,'[1]Oct-25'!$H:$H,0)</f>
        <v>0</v>
      </c>
      <c r="AB251" s="17">
        <f>_xlfn.XLOOKUP($B251,'[1]Nov-25'!$A:$A,'[1]Nov-25'!$H:$H,0)</f>
        <v>0</v>
      </c>
      <c r="AC251" s="17">
        <f>_xlfn.XLOOKUP($B251,'[1]Dec-25'!$A:$A,'[1]Dec-25'!$H:$H,0)</f>
        <v>0</v>
      </c>
      <c r="AD251" s="17">
        <f>_xlfn.XLOOKUP($B251,'[1]Jan-26'!$A:$A,'[1]Jan-26'!$H:$H,0)</f>
        <v>0</v>
      </c>
      <c r="AE251" s="17">
        <f>_xlfn.XLOOKUP($B251,'[1]Feb-26'!$A:$A,'[1]Feb-26'!$H:$H,0)</f>
        <v>0</v>
      </c>
      <c r="AF251" s="17">
        <f>_xlfn.XLOOKUP($B251,'[1]Mar-26'!$A:$A,'[1]Mar-26'!$H:$H,0)</f>
        <v>0</v>
      </c>
      <c r="AG251" s="17">
        <f>_xlfn.XLOOKUP($B251,'[1]Apr-26'!$A:$A,'[1]Apr-26'!$H:$H,0)</f>
        <v>0</v>
      </c>
    </row>
    <row r="252" spans="1:33" x14ac:dyDescent="0.2">
      <c r="A252" s="58">
        <v>24030</v>
      </c>
      <c r="B252" s="56" t="str">
        <f t="shared" si="9"/>
        <v>24030</v>
      </c>
      <c r="C252" s="57" t="s">
        <v>441</v>
      </c>
      <c r="D252" s="57" t="s">
        <v>429</v>
      </c>
      <c r="E252" s="44" t="s">
        <v>450</v>
      </c>
      <c r="F252" s="17">
        <f>_xlfn.XLOOKUP($B252,'[1]Jan-24'!$A:$A,'[1]Jan-24'!$H:$H,0)</f>
        <v>0</v>
      </c>
      <c r="G252" s="17">
        <f>_xlfn.XLOOKUP($B252,'[1]Feb-24'!$A:$A,'[1]Feb-24'!$H:$H,0)</f>
        <v>0</v>
      </c>
      <c r="H252" s="17">
        <f>_xlfn.XLOOKUP($B252,'[1]Mar-24'!$A:$A,'[1]Mar-24'!$H:$H,0)</f>
        <v>0</v>
      </c>
      <c r="I252" s="17">
        <f>_xlfn.XLOOKUP($B252,'[1]Apr-24'!$A:$A,'[1]Apr-24'!$H:$H,0)</f>
        <v>0</v>
      </c>
      <c r="J252" s="17">
        <f>_xlfn.XLOOKUP($B252,'[1]May-24'!$A:$A,'[1]May-24'!$H:$H,0)</f>
        <v>0</v>
      </c>
      <c r="K252" s="17">
        <f>_xlfn.XLOOKUP($B252,'[1]Jun-24'!$A:$A,'[1]Jun-24'!$H:$H,0)</f>
        <v>0</v>
      </c>
      <c r="L252" s="17">
        <f>_xlfn.XLOOKUP($B252,'[1]Jul-24'!$A:$A,'[1]Jul-24'!$H:$H,0)</f>
        <v>0</v>
      </c>
      <c r="M252" s="17">
        <f>_xlfn.XLOOKUP($B252,'[1]Aug-24'!$A:$A,'[1]Aug-24'!$H:$H,0)</f>
        <v>0</v>
      </c>
      <c r="N252" s="17">
        <f>_xlfn.XLOOKUP($B252,'[1]Sep-24'!$A:$A,'[1]Sep-24'!$H:$H,0)</f>
        <v>0</v>
      </c>
      <c r="O252" s="17">
        <f>_xlfn.XLOOKUP($B252,'[1]Oct-24'!$A:$A,'[1]Oct-24'!$H:$H,0)</f>
        <v>0</v>
      </c>
      <c r="P252" s="17">
        <f>_xlfn.XLOOKUP($B252,'[1]Nov-24'!$A:$A,'[1]Nov-24'!$H:$H,0)</f>
        <v>0</v>
      </c>
      <c r="Q252" s="17">
        <f>_xlfn.XLOOKUP($B252,'[1]Dec-24'!$A:$A,'[1]Dec-24'!$H:$H,0)</f>
        <v>0</v>
      </c>
      <c r="R252" s="17">
        <f>_xlfn.XLOOKUP($B252,'[1]Jan-25'!$A:$A,'[1]Jan-25'!$H:$H,0)</f>
        <v>0</v>
      </c>
      <c r="S252" s="17">
        <f>_xlfn.XLOOKUP($B252,'[1]Feb-25'!$A:$A,'[1]Feb-25'!$H:$H,0)</f>
        <v>0</v>
      </c>
      <c r="T252" s="17">
        <f>_xlfn.XLOOKUP($B252,'[1]Mar-25'!$A:$A,'[1]Mar-25'!$H:$H,0)</f>
        <v>0</v>
      </c>
      <c r="U252" s="17">
        <f>_xlfn.XLOOKUP($B252,'[1]Apr-25'!$A:$A,'[1]Apr-25'!$H:$H,0)</f>
        <v>0</v>
      </c>
      <c r="V252" s="17">
        <f>_xlfn.XLOOKUP($B252,'[1]May-25'!$A:$A,'[1]May-25'!$H:$H,0)</f>
        <v>0</v>
      </c>
      <c r="W252" s="17">
        <f>_xlfn.XLOOKUP($B252,'[1]Jun-25'!$A:$A,'[1]Jun-25'!$H:$H,0)</f>
        <v>0</v>
      </c>
      <c r="X252" s="17">
        <f>_xlfn.XLOOKUP($B252,'[1]Jul-25'!$A:$A,'[1]Jul-25'!$H:$H,0)</f>
        <v>0</v>
      </c>
      <c r="Y252" s="17">
        <f>_xlfn.XLOOKUP($B252,'[1]Aug-25'!$A:$A,'[1]Aug-25'!$H:$H,0)</f>
        <v>0</v>
      </c>
      <c r="Z252" s="17">
        <f>_xlfn.XLOOKUP($B252,'[1]Sep-25'!$A:$A,'[1]Sep-25'!$H:$H,0)</f>
        <v>0</v>
      </c>
      <c r="AA252" s="17">
        <f>_xlfn.XLOOKUP($B252,'[1]Oct-25'!$A:$A,'[1]Oct-25'!$H:$H,0)</f>
        <v>0</v>
      </c>
      <c r="AB252" s="17">
        <f>_xlfn.XLOOKUP($B252,'[1]Nov-25'!$A:$A,'[1]Nov-25'!$H:$H,0)</f>
        <v>0</v>
      </c>
      <c r="AC252" s="17">
        <f>_xlfn.XLOOKUP($B252,'[1]Dec-25'!$A:$A,'[1]Dec-25'!$H:$H,0)</f>
        <v>0</v>
      </c>
      <c r="AD252" s="17">
        <f>_xlfn.XLOOKUP($B252,'[1]Jan-26'!$A:$A,'[1]Jan-26'!$H:$H,0)</f>
        <v>0</v>
      </c>
      <c r="AE252" s="17">
        <f>_xlfn.XLOOKUP($B252,'[1]Feb-26'!$A:$A,'[1]Feb-26'!$H:$H,0)</f>
        <v>0</v>
      </c>
      <c r="AF252" s="17">
        <f>_xlfn.XLOOKUP($B252,'[1]Mar-26'!$A:$A,'[1]Mar-26'!$H:$H,0)</f>
        <v>0</v>
      </c>
      <c r="AG252" s="17">
        <f>_xlfn.XLOOKUP($B252,'[1]Apr-26'!$A:$A,'[1]Apr-26'!$H:$H,0)</f>
        <v>0</v>
      </c>
    </row>
    <row r="253" spans="1:33" x14ac:dyDescent="0.2">
      <c r="A253" s="58">
        <v>24040</v>
      </c>
      <c r="B253" s="56" t="str">
        <f t="shared" si="9"/>
        <v>24040</v>
      </c>
      <c r="C253" s="57" t="s">
        <v>441</v>
      </c>
      <c r="D253" s="57" t="s">
        <v>429</v>
      </c>
      <c r="E253" s="44" t="s">
        <v>451</v>
      </c>
      <c r="F253" s="17">
        <f>_xlfn.XLOOKUP($B253,'[1]Jan-24'!$A:$A,'[1]Jan-24'!$H:$H,0)</f>
        <v>0</v>
      </c>
      <c r="G253" s="17">
        <f>_xlfn.XLOOKUP($B253,'[1]Feb-24'!$A:$A,'[1]Feb-24'!$H:$H,0)</f>
        <v>0</v>
      </c>
      <c r="H253" s="17">
        <f>_xlfn.XLOOKUP($B253,'[1]Mar-24'!$A:$A,'[1]Mar-24'!$H:$H,0)</f>
        <v>0</v>
      </c>
      <c r="I253" s="17">
        <f>_xlfn.XLOOKUP($B253,'[1]Apr-24'!$A:$A,'[1]Apr-24'!$H:$H,0)</f>
        <v>0</v>
      </c>
      <c r="J253" s="17">
        <f>_xlfn.XLOOKUP($B253,'[1]May-24'!$A:$A,'[1]May-24'!$H:$H,0)</f>
        <v>0</v>
      </c>
      <c r="K253" s="17">
        <f>_xlfn.XLOOKUP($B253,'[1]Jun-24'!$A:$A,'[1]Jun-24'!$H:$H,0)</f>
        <v>0</v>
      </c>
      <c r="L253" s="17">
        <f>_xlfn.XLOOKUP($B253,'[1]Jul-24'!$A:$A,'[1]Jul-24'!$H:$H,0)</f>
        <v>0</v>
      </c>
      <c r="M253" s="17">
        <f>_xlfn.XLOOKUP($B253,'[1]Aug-24'!$A:$A,'[1]Aug-24'!$H:$H,0)</f>
        <v>0</v>
      </c>
      <c r="N253" s="17">
        <f>_xlfn.XLOOKUP($B253,'[1]Sep-24'!$A:$A,'[1]Sep-24'!$H:$H,0)</f>
        <v>0</v>
      </c>
      <c r="O253" s="17">
        <f>_xlfn.XLOOKUP($B253,'[1]Oct-24'!$A:$A,'[1]Oct-24'!$H:$H,0)</f>
        <v>0</v>
      </c>
      <c r="P253" s="17">
        <f>_xlfn.XLOOKUP($B253,'[1]Nov-24'!$A:$A,'[1]Nov-24'!$H:$H,0)</f>
        <v>0</v>
      </c>
      <c r="Q253" s="17">
        <f>_xlfn.XLOOKUP($B253,'[1]Dec-24'!$A:$A,'[1]Dec-24'!$H:$H,0)</f>
        <v>0</v>
      </c>
      <c r="R253" s="17">
        <f>_xlfn.XLOOKUP($B253,'[1]Jan-25'!$A:$A,'[1]Jan-25'!$H:$H,0)</f>
        <v>0</v>
      </c>
      <c r="S253" s="17">
        <f>_xlfn.XLOOKUP($B253,'[1]Feb-25'!$A:$A,'[1]Feb-25'!$H:$H,0)</f>
        <v>0</v>
      </c>
      <c r="T253" s="17">
        <f>_xlfn.XLOOKUP($B253,'[1]Mar-25'!$A:$A,'[1]Mar-25'!$H:$H,0)</f>
        <v>0</v>
      </c>
      <c r="U253" s="17">
        <f>_xlfn.XLOOKUP($B253,'[1]Apr-25'!$A:$A,'[1]Apr-25'!$H:$H,0)</f>
        <v>0</v>
      </c>
      <c r="V253" s="17">
        <f>_xlfn.XLOOKUP($B253,'[1]May-25'!$A:$A,'[1]May-25'!$H:$H,0)</f>
        <v>0</v>
      </c>
      <c r="W253" s="17">
        <f>_xlfn.XLOOKUP($B253,'[1]Jun-25'!$A:$A,'[1]Jun-25'!$H:$H,0)</f>
        <v>0</v>
      </c>
      <c r="X253" s="17">
        <f>_xlfn.XLOOKUP($B253,'[1]Jul-25'!$A:$A,'[1]Jul-25'!$H:$H,0)</f>
        <v>0</v>
      </c>
      <c r="Y253" s="17">
        <f>_xlfn.XLOOKUP($B253,'[1]Aug-25'!$A:$A,'[1]Aug-25'!$H:$H,0)</f>
        <v>0</v>
      </c>
      <c r="Z253" s="17">
        <f>_xlfn.XLOOKUP($B253,'[1]Sep-25'!$A:$A,'[1]Sep-25'!$H:$H,0)</f>
        <v>0</v>
      </c>
      <c r="AA253" s="17">
        <f>_xlfn.XLOOKUP($B253,'[1]Oct-25'!$A:$A,'[1]Oct-25'!$H:$H,0)</f>
        <v>0</v>
      </c>
      <c r="AB253" s="17">
        <f>_xlfn.XLOOKUP($B253,'[1]Nov-25'!$A:$A,'[1]Nov-25'!$H:$H,0)</f>
        <v>0</v>
      </c>
      <c r="AC253" s="17">
        <f>_xlfn.XLOOKUP($B253,'[1]Dec-25'!$A:$A,'[1]Dec-25'!$H:$H,0)</f>
        <v>0</v>
      </c>
      <c r="AD253" s="17">
        <f>_xlfn.XLOOKUP($B253,'[1]Jan-26'!$A:$A,'[1]Jan-26'!$H:$H,0)</f>
        <v>0</v>
      </c>
      <c r="AE253" s="17">
        <f>_xlfn.XLOOKUP($B253,'[1]Feb-26'!$A:$A,'[1]Feb-26'!$H:$H,0)</f>
        <v>0</v>
      </c>
      <c r="AF253" s="17">
        <f>_xlfn.XLOOKUP($B253,'[1]Mar-26'!$A:$A,'[1]Mar-26'!$H:$H,0)</f>
        <v>0</v>
      </c>
      <c r="AG253" s="17">
        <f>_xlfn.XLOOKUP($B253,'[1]Apr-26'!$A:$A,'[1]Apr-26'!$H:$H,0)</f>
        <v>0</v>
      </c>
    </row>
    <row r="254" spans="1:33" x14ac:dyDescent="0.2">
      <c r="A254" s="58">
        <v>24050</v>
      </c>
      <c r="B254" s="56" t="str">
        <f t="shared" si="9"/>
        <v>24050</v>
      </c>
      <c r="C254" s="57" t="s">
        <v>441</v>
      </c>
      <c r="D254" s="57" t="s">
        <v>429</v>
      </c>
      <c r="E254" s="44" t="s">
        <v>452</v>
      </c>
      <c r="F254" s="17">
        <f>_xlfn.XLOOKUP($B254,'[1]Jan-24'!$A:$A,'[1]Jan-24'!$H:$H,0)</f>
        <v>0</v>
      </c>
      <c r="G254" s="17">
        <f>_xlfn.XLOOKUP($B254,'[1]Feb-24'!$A:$A,'[1]Feb-24'!$H:$H,0)</f>
        <v>0</v>
      </c>
      <c r="H254" s="17">
        <f>_xlfn.XLOOKUP($B254,'[1]Mar-24'!$A:$A,'[1]Mar-24'!$H:$H,0)</f>
        <v>0</v>
      </c>
      <c r="I254" s="17">
        <f>_xlfn.XLOOKUP($B254,'[1]Apr-24'!$A:$A,'[1]Apr-24'!$H:$H,0)</f>
        <v>0</v>
      </c>
      <c r="J254" s="17">
        <f>_xlfn.XLOOKUP($B254,'[1]May-24'!$A:$A,'[1]May-24'!$H:$H,0)</f>
        <v>0</v>
      </c>
      <c r="K254" s="17">
        <f>_xlfn.XLOOKUP($B254,'[1]Jun-24'!$A:$A,'[1]Jun-24'!$H:$H,0)</f>
        <v>0</v>
      </c>
      <c r="L254" s="17">
        <f>_xlfn.XLOOKUP($B254,'[1]Jul-24'!$A:$A,'[1]Jul-24'!$H:$H,0)</f>
        <v>0</v>
      </c>
      <c r="M254" s="17">
        <f>_xlfn.XLOOKUP($B254,'[1]Aug-24'!$A:$A,'[1]Aug-24'!$H:$H,0)</f>
        <v>0</v>
      </c>
      <c r="N254" s="17">
        <f>_xlfn.XLOOKUP($B254,'[1]Sep-24'!$A:$A,'[1]Sep-24'!$H:$H,0)</f>
        <v>0</v>
      </c>
      <c r="O254" s="17">
        <f>_xlfn.XLOOKUP($B254,'[1]Oct-24'!$A:$A,'[1]Oct-24'!$H:$H,0)</f>
        <v>0</v>
      </c>
      <c r="P254" s="17">
        <f>_xlfn.XLOOKUP($B254,'[1]Nov-24'!$A:$A,'[1]Nov-24'!$H:$H,0)</f>
        <v>0</v>
      </c>
      <c r="Q254" s="17">
        <f>_xlfn.XLOOKUP($B254,'[1]Dec-24'!$A:$A,'[1]Dec-24'!$H:$H,0)</f>
        <v>0</v>
      </c>
      <c r="R254" s="17">
        <f>_xlfn.XLOOKUP($B254,'[1]Jan-25'!$A:$A,'[1]Jan-25'!$H:$H,0)</f>
        <v>0</v>
      </c>
      <c r="S254" s="17">
        <f>_xlfn.XLOOKUP($B254,'[1]Feb-25'!$A:$A,'[1]Feb-25'!$H:$H,0)</f>
        <v>0</v>
      </c>
      <c r="T254" s="17">
        <f>_xlfn.XLOOKUP($B254,'[1]Mar-25'!$A:$A,'[1]Mar-25'!$H:$H,0)</f>
        <v>0</v>
      </c>
      <c r="U254" s="17">
        <f>_xlfn.XLOOKUP($B254,'[1]Apr-25'!$A:$A,'[1]Apr-25'!$H:$H,0)</f>
        <v>0</v>
      </c>
      <c r="V254" s="17">
        <f>_xlfn.XLOOKUP($B254,'[1]May-25'!$A:$A,'[1]May-25'!$H:$H,0)</f>
        <v>0</v>
      </c>
      <c r="W254" s="17">
        <f>_xlfn.XLOOKUP($B254,'[1]Jun-25'!$A:$A,'[1]Jun-25'!$H:$H,0)</f>
        <v>0</v>
      </c>
      <c r="X254" s="17">
        <f>_xlfn.XLOOKUP($B254,'[1]Jul-25'!$A:$A,'[1]Jul-25'!$H:$H,0)</f>
        <v>0</v>
      </c>
      <c r="Y254" s="17">
        <f>_xlfn.XLOOKUP($B254,'[1]Aug-25'!$A:$A,'[1]Aug-25'!$H:$H,0)</f>
        <v>0</v>
      </c>
      <c r="Z254" s="17">
        <f>_xlfn.XLOOKUP($B254,'[1]Sep-25'!$A:$A,'[1]Sep-25'!$H:$H,0)</f>
        <v>0</v>
      </c>
      <c r="AA254" s="17">
        <f>_xlfn.XLOOKUP($B254,'[1]Oct-25'!$A:$A,'[1]Oct-25'!$H:$H,0)</f>
        <v>0</v>
      </c>
      <c r="AB254" s="17">
        <f>_xlfn.XLOOKUP($B254,'[1]Nov-25'!$A:$A,'[1]Nov-25'!$H:$H,0)</f>
        <v>0</v>
      </c>
      <c r="AC254" s="17">
        <f>_xlfn.XLOOKUP($B254,'[1]Dec-25'!$A:$A,'[1]Dec-25'!$H:$H,0)</f>
        <v>0</v>
      </c>
      <c r="AD254" s="17">
        <f>_xlfn.XLOOKUP($B254,'[1]Jan-26'!$A:$A,'[1]Jan-26'!$H:$H,0)</f>
        <v>0</v>
      </c>
      <c r="AE254" s="17">
        <f>_xlfn.XLOOKUP($B254,'[1]Feb-26'!$A:$A,'[1]Feb-26'!$H:$H,0)</f>
        <v>0</v>
      </c>
      <c r="AF254" s="17">
        <f>_xlfn.XLOOKUP($B254,'[1]Mar-26'!$A:$A,'[1]Mar-26'!$H:$H,0)</f>
        <v>0</v>
      </c>
      <c r="AG254" s="17">
        <f>_xlfn.XLOOKUP($B254,'[1]Apr-26'!$A:$A,'[1]Apr-26'!$H:$H,0)</f>
        <v>0</v>
      </c>
    </row>
    <row r="255" spans="1:33" x14ac:dyDescent="0.2">
      <c r="A255" s="58">
        <v>24100</v>
      </c>
      <c r="B255" s="56" t="str">
        <f t="shared" si="9"/>
        <v>24100</v>
      </c>
      <c r="C255" s="57" t="s">
        <v>441</v>
      </c>
      <c r="D255" s="57" t="s">
        <v>429</v>
      </c>
      <c r="E255" s="44" t="s">
        <v>277</v>
      </c>
      <c r="F255" s="17">
        <f>_xlfn.XLOOKUP($B255,'[1]Jan-24'!$A:$A,'[1]Jan-24'!$H:$H,0)</f>
        <v>-13578387</v>
      </c>
      <c r="G255" s="17">
        <f>_xlfn.XLOOKUP($B255,'[1]Feb-24'!$A:$A,'[1]Feb-24'!$H:$H,0)</f>
        <v>-13578387</v>
      </c>
      <c r="H255" s="17">
        <f>_xlfn.XLOOKUP($B255,'[1]Mar-24'!$A:$A,'[1]Mar-24'!$H:$H,0)</f>
        <v>0.35</v>
      </c>
      <c r="I255" s="17">
        <f>_xlfn.XLOOKUP($B255,'[1]Apr-24'!$A:$A,'[1]Apr-24'!$H:$H,0)</f>
        <v>0.35</v>
      </c>
      <c r="J255" s="17">
        <f>_xlfn.XLOOKUP($B255,'[1]May-24'!$A:$A,'[1]May-24'!$H:$H,0)</f>
        <v>0.35</v>
      </c>
      <c r="K255" s="17">
        <f>_xlfn.XLOOKUP($B255,'[1]Jun-24'!$A:$A,'[1]Jun-24'!$H:$H,0)</f>
        <v>0.35</v>
      </c>
      <c r="L255" s="17">
        <f>_xlfn.XLOOKUP($B255,'[1]Jul-24'!$A:$A,'[1]Jul-24'!$H:$H,0)</f>
        <v>0.35</v>
      </c>
      <c r="M255" s="17">
        <f>_xlfn.XLOOKUP($B255,'[1]Aug-24'!$A:$A,'[1]Aug-24'!$H:$H,0)</f>
        <v>0.35</v>
      </c>
      <c r="N255" s="17">
        <f>_xlfn.XLOOKUP($B255,'[1]Sep-24'!$A:$A,'[1]Sep-24'!$H:$H,0)</f>
        <v>0.35</v>
      </c>
      <c r="O255" s="17">
        <f>_xlfn.XLOOKUP($B255,'[1]Oct-24'!$A:$A,'[1]Oct-24'!$H:$H,0)</f>
        <v>0.35</v>
      </c>
      <c r="P255" s="17">
        <f>_xlfn.XLOOKUP($B255,'[1]Nov-24'!$A:$A,'[1]Nov-24'!$H:$H,0)</f>
        <v>0.35</v>
      </c>
      <c r="Q255" s="17">
        <f>_xlfn.XLOOKUP($B255,'[1]Dec-24'!$A:$A,'[1]Dec-24'!$H:$H,0)</f>
        <v>-24264109.649999999</v>
      </c>
      <c r="R255" s="17">
        <f>_xlfn.XLOOKUP($B255,'[1]Jan-25'!$A:$A,'[1]Jan-25'!$H:$H,0)</f>
        <v>-24264109.649999999</v>
      </c>
      <c r="S255" s="17">
        <f>_xlfn.XLOOKUP($B255,'[1]Feb-25'!$A:$A,'[1]Feb-25'!$H:$H,0)</f>
        <v>-24264109.649999999</v>
      </c>
      <c r="T255" s="17">
        <f>_xlfn.XLOOKUP($B255,'[1]Mar-25'!$A:$A,'[1]Mar-25'!$H:$H,0)</f>
        <v>-24264109.649999999</v>
      </c>
      <c r="U255" s="17">
        <f>_xlfn.XLOOKUP($B255,'[1]Apr-25'!$A:$A,'[1]Apr-25'!$H:$H,0)</f>
        <v>-24264109.649999999</v>
      </c>
      <c r="V255" s="17">
        <f>_xlfn.XLOOKUP($B255,'[1]May-25'!$A:$A,'[1]May-25'!$H:$H,0)</f>
        <v>-24264109.649999999</v>
      </c>
      <c r="W255" s="17">
        <f>_xlfn.XLOOKUP($B255,'[1]Jun-25'!$A:$A,'[1]Jun-25'!$H:$H,0)</f>
        <v>-23952196.75</v>
      </c>
      <c r="X255" s="17">
        <f>_xlfn.XLOOKUP($B255,'[1]Jul-25'!$A:$A,'[1]Jul-25'!$H:$H,0)</f>
        <v>-23952196.75</v>
      </c>
      <c r="Y255" s="17">
        <f>_xlfn.XLOOKUP($B255,'[1]Aug-25'!$A:$A,'[1]Aug-25'!$H:$H,0)</f>
        <v>0.35</v>
      </c>
      <c r="Z255" s="17">
        <f>_xlfn.XLOOKUP($B255,'[1]Sep-25'!$A:$A,'[1]Sep-25'!$H:$H,0)</f>
        <v>0.35</v>
      </c>
      <c r="AA255" s="17">
        <f>_xlfn.XLOOKUP($B255,'[1]Oct-25'!$A:$A,'[1]Oct-25'!$H:$H,0)</f>
        <v>0.35</v>
      </c>
      <c r="AB255" s="17">
        <f>_xlfn.XLOOKUP($B255,'[1]Nov-25'!$A:$A,'[1]Nov-25'!$H:$H,0)</f>
        <v>0.35</v>
      </c>
      <c r="AC255" s="17">
        <f>_xlfn.XLOOKUP($B255,'[1]Dec-25'!$A:$A,'[1]Dec-25'!$H:$H,0)</f>
        <v>0.35</v>
      </c>
      <c r="AD255" s="17">
        <f>_xlfn.XLOOKUP($B255,'[1]Jan-26'!$A:$A,'[1]Jan-26'!$H:$H,0)</f>
        <v>-17752977.66</v>
      </c>
      <c r="AE255" s="17">
        <f>_xlfn.XLOOKUP($B255,'[1]Feb-26'!$A:$A,'[1]Feb-26'!$H:$H,0)</f>
        <v>-17752977.66</v>
      </c>
      <c r="AF255" s="17">
        <f>_xlfn.XLOOKUP($B255,'[1]Mar-26'!$A:$A,'[1]Mar-26'!$H:$H,0)</f>
        <v>-17752977.66</v>
      </c>
      <c r="AG255" s="17">
        <f>_xlfn.XLOOKUP($B255,'[1]Apr-26'!$A:$A,'[1]Apr-26'!$H:$H,0)</f>
        <v>-17752977.66</v>
      </c>
    </row>
    <row r="256" spans="1:33" x14ac:dyDescent="0.2">
      <c r="A256" s="58">
        <v>24500</v>
      </c>
      <c r="B256" s="56" t="str">
        <f t="shared" si="9"/>
        <v>24500</v>
      </c>
      <c r="C256" s="57" t="s">
        <v>430</v>
      </c>
      <c r="D256" s="57" t="s">
        <v>429</v>
      </c>
      <c r="E256" s="44" t="s">
        <v>453</v>
      </c>
      <c r="F256" s="17">
        <f>_xlfn.XLOOKUP($B256,'[1]Jan-24'!$A:$A,'[1]Jan-24'!$H:$H,0)</f>
        <v>0</v>
      </c>
      <c r="G256" s="17">
        <f>_xlfn.XLOOKUP($B256,'[1]Feb-24'!$A:$A,'[1]Feb-24'!$H:$H,0)</f>
        <v>0</v>
      </c>
      <c r="H256" s="17">
        <f>_xlfn.XLOOKUP($B256,'[1]Mar-24'!$A:$A,'[1]Mar-24'!$H:$H,0)</f>
        <v>0</v>
      </c>
      <c r="I256" s="17">
        <f>_xlfn.XLOOKUP($B256,'[1]Apr-24'!$A:$A,'[1]Apr-24'!$H:$H,0)</f>
        <v>0</v>
      </c>
      <c r="J256" s="17">
        <f>_xlfn.XLOOKUP($B256,'[1]May-24'!$A:$A,'[1]May-24'!$H:$H,0)</f>
        <v>0</v>
      </c>
      <c r="K256" s="17">
        <f>_xlfn.XLOOKUP($B256,'[1]Jun-24'!$A:$A,'[1]Jun-24'!$H:$H,0)</f>
        <v>0</v>
      </c>
      <c r="L256" s="17">
        <f>_xlfn.XLOOKUP($B256,'[1]Jul-24'!$A:$A,'[1]Jul-24'!$H:$H,0)</f>
        <v>0</v>
      </c>
      <c r="M256" s="17">
        <f>_xlfn.XLOOKUP($B256,'[1]Aug-24'!$A:$A,'[1]Aug-24'!$H:$H,0)</f>
        <v>0</v>
      </c>
      <c r="N256" s="17">
        <f>_xlfn.XLOOKUP($B256,'[1]Sep-24'!$A:$A,'[1]Sep-24'!$H:$H,0)</f>
        <v>0</v>
      </c>
      <c r="O256" s="17">
        <f>_xlfn.XLOOKUP($B256,'[1]Oct-24'!$A:$A,'[1]Oct-24'!$H:$H,0)</f>
        <v>0</v>
      </c>
      <c r="P256" s="17">
        <f>_xlfn.XLOOKUP($B256,'[1]Nov-24'!$A:$A,'[1]Nov-24'!$H:$H,0)</f>
        <v>0</v>
      </c>
      <c r="Q256" s="17">
        <f>_xlfn.XLOOKUP($B256,'[1]Dec-24'!$A:$A,'[1]Dec-24'!$H:$H,0)</f>
        <v>0</v>
      </c>
      <c r="R256" s="17">
        <f>_xlfn.XLOOKUP($B256,'[1]Jan-25'!$A:$A,'[1]Jan-25'!$H:$H,0)</f>
        <v>0</v>
      </c>
      <c r="S256" s="17">
        <f>_xlfn.XLOOKUP($B256,'[1]Feb-25'!$A:$A,'[1]Feb-25'!$H:$H,0)</f>
        <v>0</v>
      </c>
      <c r="T256" s="17">
        <f>_xlfn.XLOOKUP($B256,'[1]Mar-25'!$A:$A,'[1]Mar-25'!$H:$H,0)</f>
        <v>0</v>
      </c>
      <c r="U256" s="17">
        <f>_xlfn.XLOOKUP($B256,'[1]Apr-25'!$A:$A,'[1]Apr-25'!$H:$H,0)</f>
        <v>0</v>
      </c>
      <c r="V256" s="17">
        <f>_xlfn.XLOOKUP($B256,'[1]May-25'!$A:$A,'[1]May-25'!$H:$H,0)</f>
        <v>0</v>
      </c>
      <c r="W256" s="17">
        <f>_xlfn.XLOOKUP($B256,'[1]Jun-25'!$A:$A,'[1]Jun-25'!$H:$H,0)</f>
        <v>0</v>
      </c>
      <c r="X256" s="17">
        <f>_xlfn.XLOOKUP($B256,'[1]Jul-25'!$A:$A,'[1]Jul-25'!$H:$H,0)</f>
        <v>0</v>
      </c>
      <c r="Y256" s="17">
        <f>_xlfn.XLOOKUP($B256,'[1]Aug-25'!$A:$A,'[1]Aug-25'!$H:$H,0)</f>
        <v>0</v>
      </c>
      <c r="Z256" s="17">
        <f>_xlfn.XLOOKUP($B256,'[1]Sep-25'!$A:$A,'[1]Sep-25'!$H:$H,0)</f>
        <v>0</v>
      </c>
      <c r="AA256" s="17">
        <f>_xlfn.XLOOKUP($B256,'[1]Oct-25'!$A:$A,'[1]Oct-25'!$H:$H,0)</f>
        <v>0</v>
      </c>
      <c r="AB256" s="17">
        <f>_xlfn.XLOOKUP($B256,'[1]Nov-25'!$A:$A,'[1]Nov-25'!$H:$H,0)</f>
        <v>0</v>
      </c>
      <c r="AC256" s="17">
        <f>_xlfn.XLOOKUP($B256,'[1]Dec-25'!$A:$A,'[1]Dec-25'!$H:$H,0)</f>
        <v>0</v>
      </c>
      <c r="AD256" s="17">
        <f>_xlfn.XLOOKUP($B256,'[1]Jan-26'!$A:$A,'[1]Jan-26'!$H:$H,0)</f>
        <v>0</v>
      </c>
      <c r="AE256" s="17">
        <f>_xlfn.XLOOKUP($B256,'[1]Feb-26'!$A:$A,'[1]Feb-26'!$H:$H,0)</f>
        <v>0</v>
      </c>
      <c r="AF256" s="17">
        <f>_xlfn.XLOOKUP($B256,'[1]Mar-26'!$A:$A,'[1]Mar-26'!$H:$H,0)</f>
        <v>0</v>
      </c>
      <c r="AG256" s="17">
        <f>_xlfn.XLOOKUP($B256,'[1]Apr-26'!$A:$A,'[1]Apr-26'!$H:$H,0)</f>
        <v>0</v>
      </c>
    </row>
    <row r="257" spans="1:33" x14ac:dyDescent="0.2">
      <c r="A257" s="58">
        <v>25000</v>
      </c>
      <c r="B257" s="56" t="str">
        <f t="shared" si="9"/>
        <v>25000</v>
      </c>
      <c r="C257" s="57" t="s">
        <v>454</v>
      </c>
      <c r="D257" s="57" t="s">
        <v>429</v>
      </c>
      <c r="E257" s="44" t="s">
        <v>455</v>
      </c>
      <c r="F257" s="17">
        <f>_xlfn.XLOOKUP($B257,'[1]Jan-24'!$A:$A,'[1]Jan-24'!$H:$H,0)</f>
        <v>0</v>
      </c>
      <c r="G257" s="17">
        <f>_xlfn.XLOOKUP($B257,'[1]Feb-24'!$A:$A,'[1]Feb-24'!$H:$H,0)</f>
        <v>0</v>
      </c>
      <c r="H257" s="17">
        <f>_xlfn.XLOOKUP($B257,'[1]Mar-24'!$A:$A,'[1]Mar-24'!$H:$H,0)</f>
        <v>0</v>
      </c>
      <c r="I257" s="17">
        <f>_xlfn.XLOOKUP($B257,'[1]Apr-24'!$A:$A,'[1]Apr-24'!$H:$H,0)</f>
        <v>0</v>
      </c>
      <c r="J257" s="17">
        <f>_xlfn.XLOOKUP($B257,'[1]May-24'!$A:$A,'[1]May-24'!$H:$H,0)</f>
        <v>0</v>
      </c>
      <c r="K257" s="17">
        <f>_xlfn.XLOOKUP($B257,'[1]Jun-24'!$A:$A,'[1]Jun-24'!$H:$H,0)</f>
        <v>0</v>
      </c>
      <c r="L257" s="17">
        <f>_xlfn.XLOOKUP($B257,'[1]Jul-24'!$A:$A,'[1]Jul-24'!$H:$H,0)</f>
        <v>0</v>
      </c>
      <c r="M257" s="17">
        <f>_xlfn.XLOOKUP($B257,'[1]Aug-24'!$A:$A,'[1]Aug-24'!$H:$H,0)</f>
        <v>0</v>
      </c>
      <c r="N257" s="17">
        <f>_xlfn.XLOOKUP($B257,'[1]Sep-24'!$A:$A,'[1]Sep-24'!$H:$H,0)</f>
        <v>0</v>
      </c>
      <c r="O257" s="17">
        <f>_xlfn.XLOOKUP($B257,'[1]Oct-24'!$A:$A,'[1]Oct-24'!$H:$H,0)</f>
        <v>0</v>
      </c>
      <c r="P257" s="17">
        <f>_xlfn.XLOOKUP($B257,'[1]Nov-24'!$A:$A,'[1]Nov-24'!$H:$H,0)</f>
        <v>0</v>
      </c>
      <c r="Q257" s="17">
        <f>_xlfn.XLOOKUP($B257,'[1]Dec-24'!$A:$A,'[1]Dec-24'!$H:$H,0)</f>
        <v>0</v>
      </c>
      <c r="R257" s="17">
        <f>_xlfn.XLOOKUP($B257,'[1]Jan-25'!$A:$A,'[1]Jan-25'!$H:$H,0)</f>
        <v>0</v>
      </c>
      <c r="S257" s="17">
        <f>_xlfn.XLOOKUP($B257,'[1]Feb-25'!$A:$A,'[1]Feb-25'!$H:$H,0)</f>
        <v>0</v>
      </c>
      <c r="T257" s="17">
        <f>_xlfn.XLOOKUP($B257,'[1]Mar-25'!$A:$A,'[1]Mar-25'!$H:$H,0)</f>
        <v>0</v>
      </c>
      <c r="U257" s="17">
        <f>_xlfn.XLOOKUP($B257,'[1]Apr-25'!$A:$A,'[1]Apr-25'!$H:$H,0)</f>
        <v>0</v>
      </c>
      <c r="V257" s="17">
        <f>_xlfn.XLOOKUP($B257,'[1]May-25'!$A:$A,'[1]May-25'!$H:$H,0)</f>
        <v>0</v>
      </c>
      <c r="W257" s="17">
        <f>_xlfn.XLOOKUP($B257,'[1]Jun-25'!$A:$A,'[1]Jun-25'!$H:$H,0)</f>
        <v>0</v>
      </c>
      <c r="X257" s="17">
        <f>_xlfn.XLOOKUP($B257,'[1]Jul-25'!$A:$A,'[1]Jul-25'!$H:$H,0)</f>
        <v>0</v>
      </c>
      <c r="Y257" s="17">
        <f>_xlfn.XLOOKUP($B257,'[1]Aug-25'!$A:$A,'[1]Aug-25'!$H:$H,0)</f>
        <v>0</v>
      </c>
      <c r="Z257" s="17">
        <f>_xlfn.XLOOKUP($B257,'[1]Sep-25'!$A:$A,'[1]Sep-25'!$H:$H,0)</f>
        <v>0</v>
      </c>
      <c r="AA257" s="17">
        <f>_xlfn.XLOOKUP($B257,'[1]Oct-25'!$A:$A,'[1]Oct-25'!$H:$H,0)</f>
        <v>0</v>
      </c>
      <c r="AB257" s="17">
        <f>_xlfn.XLOOKUP($B257,'[1]Nov-25'!$A:$A,'[1]Nov-25'!$H:$H,0)</f>
        <v>0</v>
      </c>
      <c r="AC257" s="17">
        <f>_xlfn.XLOOKUP($B257,'[1]Dec-25'!$A:$A,'[1]Dec-25'!$H:$H,0)</f>
        <v>0</v>
      </c>
      <c r="AD257" s="17">
        <f>_xlfn.XLOOKUP($B257,'[1]Jan-26'!$A:$A,'[1]Jan-26'!$H:$H,0)</f>
        <v>0</v>
      </c>
      <c r="AE257" s="17">
        <f>_xlfn.XLOOKUP($B257,'[1]Feb-26'!$A:$A,'[1]Feb-26'!$H:$H,0)</f>
        <v>0</v>
      </c>
      <c r="AF257" s="17">
        <f>_xlfn.XLOOKUP($B257,'[1]Mar-26'!$A:$A,'[1]Mar-26'!$H:$H,0)</f>
        <v>0</v>
      </c>
      <c r="AG257" s="17">
        <f>_xlfn.XLOOKUP($B257,'[1]Apr-26'!$A:$A,'[1]Apr-26'!$H:$H,0)</f>
        <v>0</v>
      </c>
    </row>
    <row r="258" spans="1:33" x14ac:dyDescent="0.2">
      <c r="A258" s="58">
        <v>25100</v>
      </c>
      <c r="B258" s="56" t="str">
        <f t="shared" si="9"/>
        <v>25100</v>
      </c>
      <c r="C258" s="57" t="s">
        <v>454</v>
      </c>
      <c r="D258" s="57" t="s">
        <v>429</v>
      </c>
      <c r="E258" s="44" t="s">
        <v>456</v>
      </c>
      <c r="F258" s="17">
        <f>_xlfn.XLOOKUP($B258,'[1]Jan-24'!$A:$A,'[1]Jan-24'!$H:$H,0)</f>
        <v>0</v>
      </c>
      <c r="G258" s="17">
        <f>_xlfn.XLOOKUP($B258,'[1]Feb-24'!$A:$A,'[1]Feb-24'!$H:$H,0)</f>
        <v>0</v>
      </c>
      <c r="H258" s="17">
        <f>_xlfn.XLOOKUP($B258,'[1]Mar-24'!$A:$A,'[1]Mar-24'!$H:$H,0)</f>
        <v>0</v>
      </c>
      <c r="I258" s="17">
        <f>_xlfn.XLOOKUP($B258,'[1]Apr-24'!$A:$A,'[1]Apr-24'!$H:$H,0)</f>
        <v>0</v>
      </c>
      <c r="J258" s="17">
        <f>_xlfn.XLOOKUP($B258,'[1]May-24'!$A:$A,'[1]May-24'!$H:$H,0)</f>
        <v>0</v>
      </c>
      <c r="K258" s="17">
        <f>_xlfn.XLOOKUP($B258,'[1]Jun-24'!$A:$A,'[1]Jun-24'!$H:$H,0)</f>
        <v>0</v>
      </c>
      <c r="L258" s="17">
        <f>_xlfn.XLOOKUP($B258,'[1]Jul-24'!$A:$A,'[1]Jul-24'!$H:$H,0)</f>
        <v>0</v>
      </c>
      <c r="M258" s="17">
        <f>_xlfn.XLOOKUP($B258,'[1]Aug-24'!$A:$A,'[1]Aug-24'!$H:$H,0)</f>
        <v>0</v>
      </c>
      <c r="N258" s="17">
        <f>_xlfn.XLOOKUP($B258,'[1]Sep-24'!$A:$A,'[1]Sep-24'!$H:$H,0)</f>
        <v>0</v>
      </c>
      <c r="O258" s="17">
        <f>_xlfn.XLOOKUP($B258,'[1]Oct-24'!$A:$A,'[1]Oct-24'!$H:$H,0)</f>
        <v>0</v>
      </c>
      <c r="P258" s="17">
        <f>_xlfn.XLOOKUP($B258,'[1]Nov-24'!$A:$A,'[1]Nov-24'!$H:$H,0)</f>
        <v>0</v>
      </c>
      <c r="Q258" s="17">
        <f>_xlfn.XLOOKUP($B258,'[1]Dec-24'!$A:$A,'[1]Dec-24'!$H:$H,0)</f>
        <v>0</v>
      </c>
      <c r="R258" s="17">
        <f>_xlfn.XLOOKUP($B258,'[1]Jan-25'!$A:$A,'[1]Jan-25'!$H:$H,0)</f>
        <v>0</v>
      </c>
      <c r="S258" s="17">
        <f>_xlfn.XLOOKUP($B258,'[1]Feb-25'!$A:$A,'[1]Feb-25'!$H:$H,0)</f>
        <v>0</v>
      </c>
      <c r="T258" s="17">
        <f>_xlfn.XLOOKUP($B258,'[1]Mar-25'!$A:$A,'[1]Mar-25'!$H:$H,0)</f>
        <v>0</v>
      </c>
      <c r="U258" s="17">
        <f>_xlfn.XLOOKUP($B258,'[1]Apr-25'!$A:$A,'[1]Apr-25'!$H:$H,0)</f>
        <v>0</v>
      </c>
      <c r="V258" s="17">
        <f>_xlfn.XLOOKUP($B258,'[1]May-25'!$A:$A,'[1]May-25'!$H:$H,0)</f>
        <v>0</v>
      </c>
      <c r="W258" s="17">
        <f>_xlfn.XLOOKUP($B258,'[1]Jun-25'!$A:$A,'[1]Jun-25'!$H:$H,0)</f>
        <v>0</v>
      </c>
      <c r="X258" s="17">
        <f>_xlfn.XLOOKUP($B258,'[1]Jul-25'!$A:$A,'[1]Jul-25'!$H:$H,0)</f>
        <v>0</v>
      </c>
      <c r="Y258" s="17">
        <f>_xlfn.XLOOKUP($B258,'[1]Aug-25'!$A:$A,'[1]Aug-25'!$H:$H,0)</f>
        <v>0</v>
      </c>
      <c r="Z258" s="17">
        <f>_xlfn.XLOOKUP($B258,'[1]Sep-25'!$A:$A,'[1]Sep-25'!$H:$H,0)</f>
        <v>0</v>
      </c>
      <c r="AA258" s="17">
        <f>_xlfn.XLOOKUP($B258,'[1]Oct-25'!$A:$A,'[1]Oct-25'!$H:$H,0)</f>
        <v>0</v>
      </c>
      <c r="AB258" s="17">
        <f>_xlfn.XLOOKUP($B258,'[1]Nov-25'!$A:$A,'[1]Nov-25'!$H:$H,0)</f>
        <v>0</v>
      </c>
      <c r="AC258" s="17">
        <f>_xlfn.XLOOKUP($B258,'[1]Dec-25'!$A:$A,'[1]Dec-25'!$H:$H,0)</f>
        <v>0</v>
      </c>
      <c r="AD258" s="17">
        <f>_xlfn.XLOOKUP($B258,'[1]Jan-26'!$A:$A,'[1]Jan-26'!$H:$H,0)</f>
        <v>0</v>
      </c>
      <c r="AE258" s="17">
        <f>_xlfn.XLOOKUP($B258,'[1]Feb-26'!$A:$A,'[1]Feb-26'!$H:$H,0)</f>
        <v>0</v>
      </c>
      <c r="AF258" s="17">
        <f>_xlfn.XLOOKUP($B258,'[1]Mar-26'!$A:$A,'[1]Mar-26'!$H:$H,0)</f>
        <v>0</v>
      </c>
      <c r="AG258" s="17">
        <f>_xlfn.XLOOKUP($B258,'[1]Apr-26'!$A:$A,'[1]Apr-26'!$H:$H,0)</f>
        <v>0</v>
      </c>
    </row>
    <row r="259" spans="1:33" x14ac:dyDescent="0.2">
      <c r="A259" s="58">
        <v>26000</v>
      </c>
      <c r="B259" s="56" t="str">
        <f t="shared" si="9"/>
        <v>26000</v>
      </c>
      <c r="C259" s="57" t="s">
        <v>457</v>
      </c>
      <c r="D259" s="57" t="s">
        <v>429</v>
      </c>
      <c r="E259" s="44" t="s">
        <v>458</v>
      </c>
      <c r="F259" s="17">
        <f>_xlfn.XLOOKUP($B259,'[1]Jan-24'!$A:$A,'[1]Jan-24'!$H:$H,0)</f>
        <v>0</v>
      </c>
      <c r="G259" s="17">
        <f>_xlfn.XLOOKUP($B259,'[1]Feb-24'!$A:$A,'[1]Feb-24'!$H:$H,0)</f>
        <v>0</v>
      </c>
      <c r="H259" s="17">
        <f>_xlfn.XLOOKUP($B259,'[1]Mar-24'!$A:$A,'[1]Mar-24'!$H:$H,0)</f>
        <v>0</v>
      </c>
      <c r="I259" s="17">
        <f>_xlfn.XLOOKUP($B259,'[1]Apr-24'!$A:$A,'[1]Apr-24'!$H:$H,0)</f>
        <v>0</v>
      </c>
      <c r="J259" s="17">
        <f>_xlfn.XLOOKUP($B259,'[1]May-24'!$A:$A,'[1]May-24'!$H:$H,0)</f>
        <v>0</v>
      </c>
      <c r="K259" s="17">
        <f>_xlfn.XLOOKUP($B259,'[1]Jun-24'!$A:$A,'[1]Jun-24'!$H:$H,0)</f>
        <v>0</v>
      </c>
      <c r="L259" s="17">
        <f>_xlfn.XLOOKUP($B259,'[1]Jul-24'!$A:$A,'[1]Jul-24'!$H:$H,0)</f>
        <v>0</v>
      </c>
      <c r="M259" s="17">
        <f>_xlfn.XLOOKUP($B259,'[1]Aug-24'!$A:$A,'[1]Aug-24'!$H:$H,0)</f>
        <v>0</v>
      </c>
      <c r="N259" s="17">
        <f>_xlfn.XLOOKUP($B259,'[1]Sep-24'!$A:$A,'[1]Sep-24'!$H:$H,0)</f>
        <v>0</v>
      </c>
      <c r="O259" s="17">
        <f>_xlfn.XLOOKUP($B259,'[1]Oct-24'!$A:$A,'[1]Oct-24'!$H:$H,0)</f>
        <v>0</v>
      </c>
      <c r="P259" s="17">
        <f>_xlfn.XLOOKUP($B259,'[1]Nov-24'!$A:$A,'[1]Nov-24'!$H:$H,0)</f>
        <v>0</v>
      </c>
      <c r="Q259" s="17">
        <f>_xlfn.XLOOKUP($B259,'[1]Dec-24'!$A:$A,'[1]Dec-24'!$H:$H,0)</f>
        <v>0</v>
      </c>
      <c r="R259" s="17">
        <f>_xlfn.XLOOKUP($B259,'[1]Jan-25'!$A:$A,'[1]Jan-25'!$H:$H,0)</f>
        <v>0</v>
      </c>
      <c r="S259" s="17">
        <f>_xlfn.XLOOKUP($B259,'[1]Feb-25'!$A:$A,'[1]Feb-25'!$H:$H,0)</f>
        <v>0</v>
      </c>
      <c r="T259" s="17">
        <f>_xlfn.XLOOKUP($B259,'[1]Mar-25'!$A:$A,'[1]Mar-25'!$H:$H,0)</f>
        <v>0</v>
      </c>
      <c r="U259" s="17">
        <f>_xlfn.XLOOKUP($B259,'[1]Apr-25'!$A:$A,'[1]Apr-25'!$H:$H,0)</f>
        <v>0</v>
      </c>
      <c r="V259" s="17">
        <f>_xlfn.XLOOKUP($B259,'[1]May-25'!$A:$A,'[1]May-25'!$H:$H,0)</f>
        <v>0</v>
      </c>
      <c r="W259" s="17">
        <f>_xlfn.XLOOKUP($B259,'[1]Jun-25'!$A:$A,'[1]Jun-25'!$H:$H,0)</f>
        <v>0</v>
      </c>
      <c r="X259" s="17">
        <f>_xlfn.XLOOKUP($B259,'[1]Jul-25'!$A:$A,'[1]Jul-25'!$H:$H,0)</f>
        <v>0</v>
      </c>
      <c r="Y259" s="17">
        <f>_xlfn.XLOOKUP($B259,'[1]Aug-25'!$A:$A,'[1]Aug-25'!$H:$H,0)</f>
        <v>0</v>
      </c>
      <c r="Z259" s="17">
        <f>_xlfn.XLOOKUP($B259,'[1]Sep-25'!$A:$A,'[1]Sep-25'!$H:$H,0)</f>
        <v>0</v>
      </c>
      <c r="AA259" s="17">
        <f>_xlfn.XLOOKUP($B259,'[1]Oct-25'!$A:$A,'[1]Oct-25'!$H:$H,0)</f>
        <v>0</v>
      </c>
      <c r="AB259" s="17">
        <f>_xlfn.XLOOKUP($B259,'[1]Nov-25'!$A:$A,'[1]Nov-25'!$H:$H,0)</f>
        <v>0</v>
      </c>
      <c r="AC259" s="17">
        <f>_xlfn.XLOOKUP($B259,'[1]Dec-25'!$A:$A,'[1]Dec-25'!$H:$H,0)</f>
        <v>0</v>
      </c>
      <c r="AD259" s="17">
        <f>_xlfn.XLOOKUP($B259,'[1]Jan-26'!$A:$A,'[1]Jan-26'!$H:$H,0)</f>
        <v>0</v>
      </c>
      <c r="AE259" s="17">
        <f>_xlfn.XLOOKUP($B259,'[1]Feb-26'!$A:$A,'[1]Feb-26'!$H:$H,0)</f>
        <v>0</v>
      </c>
      <c r="AF259" s="17">
        <f>_xlfn.XLOOKUP($B259,'[1]Mar-26'!$A:$A,'[1]Mar-26'!$H:$H,0)</f>
        <v>0</v>
      </c>
      <c r="AG259" s="17">
        <f>_xlfn.XLOOKUP($B259,'[1]Apr-26'!$A:$A,'[1]Apr-26'!$H:$H,0)</f>
        <v>0</v>
      </c>
    </row>
    <row r="260" spans="1:33" x14ac:dyDescent="0.2">
      <c r="A260" s="58">
        <v>26001</v>
      </c>
      <c r="B260" s="56" t="str">
        <f t="shared" si="9"/>
        <v>26001</v>
      </c>
      <c r="C260" s="57" t="s">
        <v>457</v>
      </c>
      <c r="D260" s="57" t="s">
        <v>429</v>
      </c>
      <c r="E260" s="44" t="s">
        <v>459</v>
      </c>
      <c r="F260" s="17">
        <f>_xlfn.XLOOKUP($B260,'[1]Jan-24'!$A:$A,'[1]Jan-24'!$H:$H,0)</f>
        <v>0</v>
      </c>
      <c r="G260" s="17">
        <f>_xlfn.XLOOKUP($B260,'[1]Feb-24'!$A:$A,'[1]Feb-24'!$H:$H,0)</f>
        <v>0</v>
      </c>
      <c r="H260" s="17">
        <f>_xlfn.XLOOKUP($B260,'[1]Mar-24'!$A:$A,'[1]Mar-24'!$H:$H,0)</f>
        <v>0</v>
      </c>
      <c r="I260" s="17">
        <f>_xlfn.XLOOKUP($B260,'[1]Apr-24'!$A:$A,'[1]Apr-24'!$H:$H,0)</f>
        <v>0</v>
      </c>
      <c r="J260" s="17">
        <f>_xlfn.XLOOKUP($B260,'[1]May-24'!$A:$A,'[1]May-24'!$H:$H,0)</f>
        <v>0</v>
      </c>
      <c r="K260" s="17">
        <f>_xlfn.XLOOKUP($B260,'[1]Jun-24'!$A:$A,'[1]Jun-24'!$H:$H,0)</f>
        <v>0</v>
      </c>
      <c r="L260" s="17">
        <f>_xlfn.XLOOKUP($B260,'[1]Jul-24'!$A:$A,'[1]Jul-24'!$H:$H,0)</f>
        <v>0</v>
      </c>
      <c r="M260" s="17">
        <f>_xlfn.XLOOKUP($B260,'[1]Aug-24'!$A:$A,'[1]Aug-24'!$H:$H,0)</f>
        <v>0</v>
      </c>
      <c r="N260" s="17">
        <f>_xlfn.XLOOKUP($B260,'[1]Sep-24'!$A:$A,'[1]Sep-24'!$H:$H,0)</f>
        <v>0</v>
      </c>
      <c r="O260" s="17">
        <f>_xlfn.XLOOKUP($B260,'[1]Oct-24'!$A:$A,'[1]Oct-24'!$H:$H,0)</f>
        <v>0</v>
      </c>
      <c r="P260" s="17">
        <f>_xlfn.XLOOKUP($B260,'[1]Nov-24'!$A:$A,'[1]Nov-24'!$H:$H,0)</f>
        <v>0</v>
      </c>
      <c r="Q260" s="17">
        <f>_xlfn.XLOOKUP($B260,'[1]Dec-24'!$A:$A,'[1]Dec-24'!$H:$H,0)</f>
        <v>0</v>
      </c>
      <c r="R260" s="17">
        <f>_xlfn.XLOOKUP($B260,'[1]Jan-25'!$A:$A,'[1]Jan-25'!$H:$H,0)</f>
        <v>0</v>
      </c>
      <c r="S260" s="17">
        <f>_xlfn.XLOOKUP($B260,'[1]Feb-25'!$A:$A,'[1]Feb-25'!$H:$H,0)</f>
        <v>0</v>
      </c>
      <c r="T260" s="17">
        <f>_xlfn.XLOOKUP($B260,'[1]Mar-25'!$A:$A,'[1]Mar-25'!$H:$H,0)</f>
        <v>0</v>
      </c>
      <c r="U260" s="17">
        <f>_xlfn.XLOOKUP($B260,'[1]Apr-25'!$A:$A,'[1]Apr-25'!$H:$H,0)</f>
        <v>0</v>
      </c>
      <c r="V260" s="17">
        <f>_xlfn.XLOOKUP($B260,'[1]May-25'!$A:$A,'[1]May-25'!$H:$H,0)</f>
        <v>0</v>
      </c>
      <c r="W260" s="17">
        <f>_xlfn.XLOOKUP($B260,'[1]Jun-25'!$A:$A,'[1]Jun-25'!$H:$H,0)</f>
        <v>0</v>
      </c>
      <c r="X260" s="17">
        <f>_xlfn.XLOOKUP($B260,'[1]Jul-25'!$A:$A,'[1]Jul-25'!$H:$H,0)</f>
        <v>0</v>
      </c>
      <c r="Y260" s="17">
        <f>_xlfn.XLOOKUP($B260,'[1]Aug-25'!$A:$A,'[1]Aug-25'!$H:$H,0)</f>
        <v>0</v>
      </c>
      <c r="Z260" s="17">
        <f>_xlfn.XLOOKUP($B260,'[1]Sep-25'!$A:$A,'[1]Sep-25'!$H:$H,0)</f>
        <v>0</v>
      </c>
      <c r="AA260" s="17">
        <f>_xlfn.XLOOKUP($B260,'[1]Oct-25'!$A:$A,'[1]Oct-25'!$H:$H,0)</f>
        <v>0</v>
      </c>
      <c r="AB260" s="17">
        <f>_xlfn.XLOOKUP($B260,'[1]Nov-25'!$A:$A,'[1]Nov-25'!$H:$H,0)</f>
        <v>0</v>
      </c>
      <c r="AC260" s="17">
        <f>_xlfn.XLOOKUP($B260,'[1]Dec-25'!$A:$A,'[1]Dec-25'!$H:$H,0)</f>
        <v>0</v>
      </c>
      <c r="AD260" s="17">
        <f>_xlfn.XLOOKUP($B260,'[1]Jan-26'!$A:$A,'[1]Jan-26'!$H:$H,0)</f>
        <v>0</v>
      </c>
      <c r="AE260" s="17">
        <f>_xlfn.XLOOKUP($B260,'[1]Feb-26'!$A:$A,'[1]Feb-26'!$H:$H,0)</f>
        <v>0</v>
      </c>
      <c r="AF260" s="17">
        <f>_xlfn.XLOOKUP($B260,'[1]Mar-26'!$A:$A,'[1]Mar-26'!$H:$H,0)</f>
        <v>0</v>
      </c>
      <c r="AG260" s="17">
        <f>_xlfn.XLOOKUP($B260,'[1]Apr-26'!$A:$A,'[1]Apr-26'!$H:$H,0)</f>
        <v>0</v>
      </c>
    </row>
    <row r="261" spans="1:33" x14ac:dyDescent="0.2">
      <c r="A261" s="58">
        <v>26002</v>
      </c>
      <c r="B261" s="56" t="str">
        <f t="shared" si="9"/>
        <v>26002</v>
      </c>
      <c r="C261" s="57" t="s">
        <v>457</v>
      </c>
      <c r="D261" s="57" t="s">
        <v>429</v>
      </c>
      <c r="E261" s="44" t="s">
        <v>460</v>
      </c>
      <c r="F261" s="17">
        <f>_xlfn.XLOOKUP($B261,'[1]Jan-24'!$A:$A,'[1]Jan-24'!$H:$H,0)</f>
        <v>0</v>
      </c>
      <c r="G261" s="17">
        <f>_xlfn.XLOOKUP($B261,'[1]Feb-24'!$A:$A,'[1]Feb-24'!$H:$H,0)</f>
        <v>0</v>
      </c>
      <c r="H261" s="17">
        <f>_xlfn.XLOOKUP($B261,'[1]Mar-24'!$A:$A,'[1]Mar-24'!$H:$H,0)</f>
        <v>0</v>
      </c>
      <c r="I261" s="17">
        <f>_xlfn.XLOOKUP($B261,'[1]Apr-24'!$A:$A,'[1]Apr-24'!$H:$H,0)</f>
        <v>0</v>
      </c>
      <c r="J261" s="17">
        <f>_xlfn.XLOOKUP($B261,'[1]May-24'!$A:$A,'[1]May-24'!$H:$H,0)</f>
        <v>0</v>
      </c>
      <c r="K261" s="17">
        <f>_xlfn.XLOOKUP($B261,'[1]Jun-24'!$A:$A,'[1]Jun-24'!$H:$H,0)</f>
        <v>0</v>
      </c>
      <c r="L261" s="17">
        <f>_xlfn.XLOOKUP($B261,'[1]Jul-24'!$A:$A,'[1]Jul-24'!$H:$H,0)</f>
        <v>0</v>
      </c>
      <c r="M261" s="17">
        <f>_xlfn.XLOOKUP($B261,'[1]Aug-24'!$A:$A,'[1]Aug-24'!$H:$H,0)</f>
        <v>0</v>
      </c>
      <c r="N261" s="17">
        <f>_xlfn.XLOOKUP($B261,'[1]Sep-24'!$A:$A,'[1]Sep-24'!$H:$H,0)</f>
        <v>0</v>
      </c>
      <c r="O261" s="17">
        <f>_xlfn.XLOOKUP($B261,'[1]Oct-24'!$A:$A,'[1]Oct-24'!$H:$H,0)</f>
        <v>0</v>
      </c>
      <c r="P261" s="17">
        <f>_xlfn.XLOOKUP($B261,'[1]Nov-24'!$A:$A,'[1]Nov-24'!$H:$H,0)</f>
        <v>0</v>
      </c>
      <c r="Q261" s="17">
        <f>_xlfn.XLOOKUP($B261,'[1]Dec-24'!$A:$A,'[1]Dec-24'!$H:$H,0)</f>
        <v>0</v>
      </c>
      <c r="R261" s="17">
        <f>_xlfn.XLOOKUP($B261,'[1]Jan-25'!$A:$A,'[1]Jan-25'!$H:$H,0)</f>
        <v>0</v>
      </c>
      <c r="S261" s="17">
        <f>_xlfn.XLOOKUP($B261,'[1]Feb-25'!$A:$A,'[1]Feb-25'!$H:$H,0)</f>
        <v>0</v>
      </c>
      <c r="T261" s="17">
        <f>_xlfn.XLOOKUP($B261,'[1]Mar-25'!$A:$A,'[1]Mar-25'!$H:$H,0)</f>
        <v>0</v>
      </c>
      <c r="U261" s="17">
        <f>_xlfn.XLOOKUP($B261,'[1]Apr-25'!$A:$A,'[1]Apr-25'!$H:$H,0)</f>
        <v>0</v>
      </c>
      <c r="V261" s="17">
        <f>_xlfn.XLOOKUP($B261,'[1]May-25'!$A:$A,'[1]May-25'!$H:$H,0)</f>
        <v>0</v>
      </c>
      <c r="W261" s="17">
        <f>_xlfn.XLOOKUP($B261,'[1]Jun-25'!$A:$A,'[1]Jun-25'!$H:$H,0)</f>
        <v>0</v>
      </c>
      <c r="X261" s="17">
        <f>_xlfn.XLOOKUP($B261,'[1]Jul-25'!$A:$A,'[1]Jul-25'!$H:$H,0)</f>
        <v>0</v>
      </c>
      <c r="Y261" s="17">
        <f>_xlfn.XLOOKUP($B261,'[1]Aug-25'!$A:$A,'[1]Aug-25'!$H:$H,0)</f>
        <v>0</v>
      </c>
      <c r="Z261" s="17">
        <f>_xlfn.XLOOKUP($B261,'[1]Sep-25'!$A:$A,'[1]Sep-25'!$H:$H,0)</f>
        <v>0</v>
      </c>
      <c r="AA261" s="17">
        <f>_xlfn.XLOOKUP($B261,'[1]Oct-25'!$A:$A,'[1]Oct-25'!$H:$H,0)</f>
        <v>0</v>
      </c>
      <c r="AB261" s="17">
        <f>_xlfn.XLOOKUP($B261,'[1]Nov-25'!$A:$A,'[1]Nov-25'!$H:$H,0)</f>
        <v>0</v>
      </c>
      <c r="AC261" s="17">
        <f>_xlfn.XLOOKUP($B261,'[1]Dec-25'!$A:$A,'[1]Dec-25'!$H:$H,0)</f>
        <v>0</v>
      </c>
      <c r="AD261" s="17">
        <f>_xlfn.XLOOKUP($B261,'[1]Jan-26'!$A:$A,'[1]Jan-26'!$H:$H,0)</f>
        <v>0</v>
      </c>
      <c r="AE261" s="17">
        <f>_xlfn.XLOOKUP($B261,'[1]Feb-26'!$A:$A,'[1]Feb-26'!$H:$H,0)</f>
        <v>0</v>
      </c>
      <c r="AF261" s="17">
        <f>_xlfn.XLOOKUP($B261,'[1]Mar-26'!$A:$A,'[1]Mar-26'!$H:$H,0)</f>
        <v>0</v>
      </c>
      <c r="AG261" s="17">
        <f>_xlfn.XLOOKUP($B261,'[1]Apr-26'!$A:$A,'[1]Apr-26'!$H:$H,0)</f>
        <v>0</v>
      </c>
    </row>
    <row r="262" spans="1:33" x14ac:dyDescent="0.2">
      <c r="A262" s="58">
        <v>27001</v>
      </c>
      <c r="B262" s="56" t="str">
        <f t="shared" si="9"/>
        <v>27001</v>
      </c>
      <c r="C262" s="57" t="s">
        <v>430</v>
      </c>
      <c r="D262" s="57" t="s">
        <v>429</v>
      </c>
      <c r="E262" s="44" t="s">
        <v>461</v>
      </c>
      <c r="F262" s="17">
        <f>_xlfn.XLOOKUP($B262,'[1]Jan-24'!$A:$A,'[1]Jan-24'!$H:$H,0)</f>
        <v>0</v>
      </c>
      <c r="G262" s="17">
        <f>_xlfn.XLOOKUP($B262,'[1]Feb-24'!$A:$A,'[1]Feb-24'!$H:$H,0)</f>
        <v>0</v>
      </c>
      <c r="H262" s="17">
        <f>_xlfn.XLOOKUP($B262,'[1]Mar-24'!$A:$A,'[1]Mar-24'!$H:$H,0)</f>
        <v>0</v>
      </c>
      <c r="I262" s="17">
        <f>_xlfn.XLOOKUP($B262,'[1]Apr-24'!$A:$A,'[1]Apr-24'!$H:$H,0)</f>
        <v>0</v>
      </c>
      <c r="J262" s="17">
        <f>_xlfn.XLOOKUP($B262,'[1]May-24'!$A:$A,'[1]May-24'!$H:$H,0)</f>
        <v>0</v>
      </c>
      <c r="K262" s="17">
        <f>_xlfn.XLOOKUP($B262,'[1]Jun-24'!$A:$A,'[1]Jun-24'!$H:$H,0)</f>
        <v>0</v>
      </c>
      <c r="L262" s="17">
        <f>_xlfn.XLOOKUP($B262,'[1]Jul-24'!$A:$A,'[1]Jul-24'!$H:$H,0)</f>
        <v>0</v>
      </c>
      <c r="M262" s="17">
        <f>_xlfn.XLOOKUP($B262,'[1]Aug-24'!$A:$A,'[1]Aug-24'!$H:$H,0)</f>
        <v>0</v>
      </c>
      <c r="N262" s="17">
        <f>_xlfn.XLOOKUP($B262,'[1]Sep-24'!$A:$A,'[1]Sep-24'!$H:$H,0)</f>
        <v>0</v>
      </c>
      <c r="O262" s="17">
        <f>_xlfn.XLOOKUP($B262,'[1]Oct-24'!$A:$A,'[1]Oct-24'!$H:$H,0)</f>
        <v>0</v>
      </c>
      <c r="P262" s="17">
        <f>_xlfn.XLOOKUP($B262,'[1]Nov-24'!$A:$A,'[1]Nov-24'!$H:$H,0)</f>
        <v>0</v>
      </c>
      <c r="Q262" s="17">
        <f>_xlfn.XLOOKUP($B262,'[1]Dec-24'!$A:$A,'[1]Dec-24'!$H:$H,0)</f>
        <v>0</v>
      </c>
      <c r="R262" s="17">
        <f>_xlfn.XLOOKUP($B262,'[1]Jan-25'!$A:$A,'[1]Jan-25'!$H:$H,0)</f>
        <v>0</v>
      </c>
      <c r="S262" s="17">
        <f>_xlfn.XLOOKUP($B262,'[1]Feb-25'!$A:$A,'[1]Feb-25'!$H:$H,0)</f>
        <v>0</v>
      </c>
      <c r="T262" s="17">
        <f>_xlfn.XLOOKUP($B262,'[1]Mar-25'!$A:$A,'[1]Mar-25'!$H:$H,0)</f>
        <v>0</v>
      </c>
      <c r="U262" s="17">
        <f>_xlfn.XLOOKUP($B262,'[1]Apr-25'!$A:$A,'[1]Apr-25'!$H:$H,0)</f>
        <v>0</v>
      </c>
      <c r="V262" s="17">
        <f>_xlfn.XLOOKUP($B262,'[1]May-25'!$A:$A,'[1]May-25'!$H:$H,0)</f>
        <v>0</v>
      </c>
      <c r="W262" s="17">
        <f>_xlfn.XLOOKUP($B262,'[1]Jun-25'!$A:$A,'[1]Jun-25'!$H:$H,0)</f>
        <v>0</v>
      </c>
      <c r="X262" s="17">
        <f>_xlfn.XLOOKUP($B262,'[1]Jul-25'!$A:$A,'[1]Jul-25'!$H:$H,0)</f>
        <v>0</v>
      </c>
      <c r="Y262" s="17">
        <f>_xlfn.XLOOKUP($B262,'[1]Aug-25'!$A:$A,'[1]Aug-25'!$H:$H,0)</f>
        <v>0</v>
      </c>
      <c r="Z262" s="17">
        <f>_xlfn.XLOOKUP($B262,'[1]Sep-25'!$A:$A,'[1]Sep-25'!$H:$H,0)</f>
        <v>0</v>
      </c>
      <c r="AA262" s="17">
        <f>_xlfn.XLOOKUP($B262,'[1]Oct-25'!$A:$A,'[1]Oct-25'!$H:$H,0)</f>
        <v>0</v>
      </c>
      <c r="AB262" s="17">
        <f>_xlfn.XLOOKUP($B262,'[1]Nov-25'!$A:$A,'[1]Nov-25'!$H:$H,0)</f>
        <v>0</v>
      </c>
      <c r="AC262" s="17">
        <f>_xlfn.XLOOKUP($B262,'[1]Dec-25'!$A:$A,'[1]Dec-25'!$H:$H,0)</f>
        <v>0</v>
      </c>
      <c r="AD262" s="17">
        <f>_xlfn.XLOOKUP($B262,'[1]Jan-26'!$A:$A,'[1]Jan-26'!$H:$H,0)</f>
        <v>0</v>
      </c>
      <c r="AE262" s="17">
        <f>_xlfn.XLOOKUP($B262,'[1]Feb-26'!$A:$A,'[1]Feb-26'!$H:$H,0)</f>
        <v>0</v>
      </c>
      <c r="AF262" s="17">
        <f>_xlfn.XLOOKUP($B262,'[1]Mar-26'!$A:$A,'[1]Mar-26'!$H:$H,0)</f>
        <v>0</v>
      </c>
      <c r="AG262" s="17">
        <f>_xlfn.XLOOKUP($B262,'[1]Apr-26'!$A:$A,'[1]Apr-26'!$H:$H,0)</f>
        <v>0</v>
      </c>
    </row>
    <row r="263" spans="1:33" x14ac:dyDescent="0.2">
      <c r="A263" s="58">
        <v>30000</v>
      </c>
      <c r="B263" s="56" t="str">
        <f t="shared" si="9"/>
        <v>30000</v>
      </c>
      <c r="C263" s="57" t="s">
        <v>462</v>
      </c>
      <c r="D263" s="57" t="s">
        <v>429</v>
      </c>
      <c r="E263" s="44" t="s">
        <v>463</v>
      </c>
      <c r="F263" s="17">
        <f>_xlfn.XLOOKUP($B263,'[1]Jan-24'!$A:$A,'[1]Jan-24'!$H:$H,0)</f>
        <v>0</v>
      </c>
      <c r="G263" s="17">
        <f>_xlfn.XLOOKUP($B263,'[1]Feb-24'!$A:$A,'[1]Feb-24'!$H:$H,0)</f>
        <v>0</v>
      </c>
      <c r="H263" s="17">
        <f>_xlfn.XLOOKUP($B263,'[1]Mar-24'!$A:$A,'[1]Mar-24'!$H:$H,0)</f>
        <v>0</v>
      </c>
      <c r="I263" s="17">
        <f>_xlfn.XLOOKUP($B263,'[1]Apr-24'!$A:$A,'[1]Apr-24'!$H:$H,0)</f>
        <v>0</v>
      </c>
      <c r="J263" s="17">
        <f>_xlfn.XLOOKUP($B263,'[1]May-24'!$A:$A,'[1]May-24'!$H:$H,0)</f>
        <v>0</v>
      </c>
      <c r="K263" s="17">
        <f>_xlfn.XLOOKUP($B263,'[1]Jun-24'!$A:$A,'[1]Jun-24'!$H:$H,0)</f>
        <v>0</v>
      </c>
      <c r="L263" s="17">
        <f>_xlfn.XLOOKUP($B263,'[1]Jul-24'!$A:$A,'[1]Jul-24'!$H:$H,0)</f>
        <v>0</v>
      </c>
      <c r="M263" s="17">
        <f>_xlfn.XLOOKUP($B263,'[1]Aug-24'!$A:$A,'[1]Aug-24'!$H:$H,0)</f>
        <v>0</v>
      </c>
      <c r="N263" s="17">
        <f>_xlfn.XLOOKUP($B263,'[1]Sep-24'!$A:$A,'[1]Sep-24'!$H:$H,0)</f>
        <v>0</v>
      </c>
      <c r="O263" s="17">
        <f>_xlfn.XLOOKUP($B263,'[1]Oct-24'!$A:$A,'[1]Oct-24'!$H:$H,0)</f>
        <v>0</v>
      </c>
      <c r="P263" s="17">
        <f>_xlfn.XLOOKUP($B263,'[1]Nov-24'!$A:$A,'[1]Nov-24'!$H:$H,0)</f>
        <v>0</v>
      </c>
      <c r="Q263" s="17">
        <f>_xlfn.XLOOKUP($B263,'[1]Dec-24'!$A:$A,'[1]Dec-24'!$H:$H,0)</f>
        <v>0</v>
      </c>
      <c r="R263" s="17">
        <f>_xlfn.XLOOKUP($B263,'[1]Jan-25'!$A:$A,'[1]Jan-25'!$H:$H,0)</f>
        <v>0</v>
      </c>
      <c r="S263" s="17">
        <f>_xlfn.XLOOKUP($B263,'[1]Feb-25'!$A:$A,'[1]Feb-25'!$H:$H,0)</f>
        <v>0</v>
      </c>
      <c r="T263" s="17">
        <f>_xlfn.XLOOKUP($B263,'[1]Mar-25'!$A:$A,'[1]Mar-25'!$H:$H,0)</f>
        <v>0</v>
      </c>
      <c r="U263" s="17">
        <f>_xlfn.XLOOKUP($B263,'[1]Apr-25'!$A:$A,'[1]Apr-25'!$H:$H,0)</f>
        <v>0</v>
      </c>
      <c r="V263" s="17">
        <f>_xlfn.XLOOKUP($B263,'[1]May-25'!$A:$A,'[1]May-25'!$H:$H,0)</f>
        <v>0</v>
      </c>
      <c r="W263" s="17">
        <f>_xlfn.XLOOKUP($B263,'[1]Jun-25'!$A:$A,'[1]Jun-25'!$H:$H,0)</f>
        <v>0</v>
      </c>
      <c r="X263" s="17">
        <f>_xlfn.XLOOKUP($B263,'[1]Jul-25'!$A:$A,'[1]Jul-25'!$H:$H,0)</f>
        <v>0</v>
      </c>
      <c r="Y263" s="17">
        <f>_xlfn.XLOOKUP($B263,'[1]Aug-25'!$A:$A,'[1]Aug-25'!$H:$H,0)</f>
        <v>0</v>
      </c>
      <c r="Z263" s="17">
        <f>_xlfn.XLOOKUP($B263,'[1]Sep-25'!$A:$A,'[1]Sep-25'!$H:$H,0)</f>
        <v>0</v>
      </c>
      <c r="AA263" s="17">
        <f>_xlfn.XLOOKUP($B263,'[1]Oct-25'!$A:$A,'[1]Oct-25'!$H:$H,0)</f>
        <v>0</v>
      </c>
      <c r="AB263" s="17">
        <f>_xlfn.XLOOKUP($B263,'[1]Nov-25'!$A:$A,'[1]Nov-25'!$H:$H,0)</f>
        <v>0</v>
      </c>
      <c r="AC263" s="17">
        <f>_xlfn.XLOOKUP($B263,'[1]Dec-25'!$A:$A,'[1]Dec-25'!$H:$H,0)</f>
        <v>0</v>
      </c>
      <c r="AD263" s="17">
        <f>_xlfn.XLOOKUP($B263,'[1]Jan-26'!$A:$A,'[1]Jan-26'!$H:$H,0)</f>
        <v>0</v>
      </c>
      <c r="AE263" s="17">
        <f>_xlfn.XLOOKUP($B263,'[1]Feb-26'!$A:$A,'[1]Feb-26'!$H:$H,0)</f>
        <v>0</v>
      </c>
      <c r="AF263" s="17">
        <f>_xlfn.XLOOKUP($B263,'[1]Mar-26'!$A:$A,'[1]Mar-26'!$H:$H,0)</f>
        <v>0</v>
      </c>
      <c r="AG263" s="17">
        <f>_xlfn.XLOOKUP($B263,'[1]Apr-26'!$A:$A,'[1]Apr-26'!$H:$H,0)</f>
        <v>0</v>
      </c>
    </row>
    <row r="264" spans="1:33" x14ac:dyDescent="0.2">
      <c r="A264" s="58">
        <v>30005</v>
      </c>
      <c r="B264" s="56" t="str">
        <f t="shared" si="9"/>
        <v>30005</v>
      </c>
      <c r="C264" s="57" t="s">
        <v>287</v>
      </c>
      <c r="D264" s="57" t="s">
        <v>429</v>
      </c>
      <c r="E264" s="44" t="s">
        <v>288</v>
      </c>
      <c r="F264" s="17">
        <f>_xlfn.XLOOKUP($B264,'[1]Jan-24'!$A:$A,'[1]Jan-24'!$H:$H,0)</f>
        <v>96238158.140000001</v>
      </c>
      <c r="G264" s="17">
        <f>_xlfn.XLOOKUP($B264,'[1]Feb-24'!$A:$A,'[1]Feb-24'!$H:$H,0)</f>
        <v>96238158.140000001</v>
      </c>
      <c r="H264" s="17">
        <f>_xlfn.XLOOKUP($B264,'[1]Mar-24'!$A:$A,'[1]Mar-24'!$H:$H,0)</f>
        <v>96238158.140000001</v>
      </c>
      <c r="I264" s="17">
        <f>_xlfn.XLOOKUP($B264,'[1]Apr-24'!$A:$A,'[1]Apr-24'!$H:$H,0)</f>
        <v>96238158.140000001</v>
      </c>
      <c r="J264" s="17">
        <f>_xlfn.XLOOKUP($B264,'[1]May-24'!$A:$A,'[1]May-24'!$H:$H,0)</f>
        <v>96238158.140000001</v>
      </c>
      <c r="K264" s="17">
        <f>_xlfn.XLOOKUP($B264,'[1]Jun-24'!$A:$A,'[1]Jun-24'!$H:$H,0)</f>
        <v>96238158.140000001</v>
      </c>
      <c r="L264" s="17">
        <f>_xlfn.XLOOKUP($B264,'[1]Jul-24'!$A:$A,'[1]Jul-24'!$H:$H,0)</f>
        <v>96238158.140000001</v>
      </c>
      <c r="M264" s="17">
        <f>_xlfn.XLOOKUP($B264,'[1]Aug-24'!$A:$A,'[1]Aug-24'!$H:$H,0)</f>
        <v>96238158.140000001</v>
      </c>
      <c r="N264" s="17">
        <f>_xlfn.XLOOKUP($B264,'[1]Sep-24'!$A:$A,'[1]Sep-24'!$H:$H,0)</f>
        <v>96238158.140000001</v>
      </c>
      <c r="O264" s="17">
        <f>_xlfn.XLOOKUP($B264,'[1]Oct-24'!$A:$A,'[1]Oct-24'!$H:$H,0)</f>
        <v>96238158.140000001</v>
      </c>
      <c r="P264" s="17">
        <f>_xlfn.XLOOKUP($B264,'[1]Nov-24'!$A:$A,'[1]Nov-24'!$H:$H,0)</f>
        <v>96238158.140000001</v>
      </c>
      <c r="Q264" s="17">
        <f>_xlfn.XLOOKUP($B264,'[1]Dec-24'!$A:$A,'[1]Dec-24'!$H:$H,0)</f>
        <v>96238158.140000001</v>
      </c>
      <c r="R264" s="17">
        <f>_xlfn.XLOOKUP($B264,'[1]Jan-25'!$A:$A,'[1]Jan-25'!$H:$H,0)</f>
        <v>96238158.140000001</v>
      </c>
      <c r="S264" s="17">
        <f>_xlfn.XLOOKUP($B264,'[1]Feb-25'!$A:$A,'[1]Feb-25'!$H:$H,0)</f>
        <v>96238158.140000001</v>
      </c>
      <c r="T264" s="17">
        <f>_xlfn.XLOOKUP($B264,'[1]Mar-25'!$A:$A,'[1]Mar-25'!$H:$H,0)</f>
        <v>96238158.140000001</v>
      </c>
      <c r="U264" s="17">
        <f>_xlfn.XLOOKUP($B264,'[1]Apr-25'!$A:$A,'[1]Apr-25'!$H:$H,0)</f>
        <v>96238158.140000001</v>
      </c>
      <c r="V264" s="17">
        <f>_xlfn.XLOOKUP($B264,'[1]May-25'!$A:$A,'[1]May-25'!$H:$H,0)</f>
        <v>96238158.140000001</v>
      </c>
      <c r="W264" s="17">
        <f>_xlfn.XLOOKUP($B264,'[1]Jun-25'!$A:$A,'[1]Jun-25'!$H:$H,0)</f>
        <v>96238158.140000001</v>
      </c>
      <c r="X264" s="17">
        <f>_xlfn.XLOOKUP($B264,'[1]Jul-25'!$A:$A,'[1]Jul-25'!$H:$H,0)</f>
        <v>96238158.140000001</v>
      </c>
      <c r="Y264" s="17">
        <f>_xlfn.XLOOKUP($B264,'[1]Aug-25'!$A:$A,'[1]Aug-25'!$H:$H,0)</f>
        <v>96238158.140000001</v>
      </c>
      <c r="Z264" s="17">
        <f>_xlfn.XLOOKUP($B264,'[1]Sep-25'!$A:$A,'[1]Sep-25'!$H:$H,0)</f>
        <v>96238158.140000001</v>
      </c>
      <c r="AA264" s="17">
        <f>_xlfn.XLOOKUP($B264,'[1]Oct-25'!$A:$A,'[1]Oct-25'!$H:$H,0)</f>
        <v>96238158.140000001</v>
      </c>
      <c r="AB264" s="17">
        <f>_xlfn.XLOOKUP($B264,'[1]Nov-25'!$A:$A,'[1]Nov-25'!$H:$H,0)</f>
        <v>96238158.140000001</v>
      </c>
      <c r="AC264" s="17">
        <f>_xlfn.XLOOKUP($B264,'[1]Dec-25'!$A:$A,'[1]Dec-25'!$H:$H,0)</f>
        <v>96238158.140000001</v>
      </c>
      <c r="AD264" s="17">
        <f>_xlfn.XLOOKUP($B264,'[1]Jan-26'!$A:$A,'[1]Jan-26'!$H:$H,0)</f>
        <v>96238158.140000001</v>
      </c>
      <c r="AE264" s="17">
        <f>_xlfn.XLOOKUP($B264,'[1]Feb-26'!$A:$A,'[1]Feb-26'!$H:$H,0)</f>
        <v>96238158.140000001</v>
      </c>
      <c r="AF264" s="17">
        <f>_xlfn.XLOOKUP($B264,'[1]Mar-26'!$A:$A,'[1]Mar-26'!$H:$H,0)</f>
        <v>96238158.140000001</v>
      </c>
      <c r="AG264" s="17">
        <f>_xlfn.XLOOKUP($B264,'[1]Apr-26'!$A:$A,'[1]Apr-26'!$H:$H,0)</f>
        <v>96238158.140000001</v>
      </c>
    </row>
    <row r="265" spans="1:33" x14ac:dyDescent="0.2">
      <c r="A265" s="58">
        <v>30010</v>
      </c>
      <c r="B265" s="56" t="str">
        <f t="shared" si="9"/>
        <v>30010</v>
      </c>
      <c r="C265" s="57" t="s">
        <v>287</v>
      </c>
      <c r="D265" s="57" t="s">
        <v>429</v>
      </c>
      <c r="E265" s="44" t="s">
        <v>464</v>
      </c>
      <c r="F265" s="17">
        <f>_xlfn.XLOOKUP($B265,'[1]Jan-24'!$A:$A,'[1]Jan-24'!$H:$H,0)</f>
        <v>0</v>
      </c>
      <c r="G265" s="17">
        <f>_xlfn.XLOOKUP($B265,'[1]Feb-24'!$A:$A,'[1]Feb-24'!$H:$H,0)</f>
        <v>0</v>
      </c>
      <c r="H265" s="17">
        <f>_xlfn.XLOOKUP($B265,'[1]Mar-24'!$A:$A,'[1]Mar-24'!$H:$H,0)</f>
        <v>0</v>
      </c>
      <c r="I265" s="17">
        <f>_xlfn.XLOOKUP($B265,'[1]Apr-24'!$A:$A,'[1]Apr-24'!$H:$H,0)</f>
        <v>0</v>
      </c>
      <c r="J265" s="17">
        <f>_xlfn.XLOOKUP($B265,'[1]May-24'!$A:$A,'[1]May-24'!$H:$H,0)</f>
        <v>0</v>
      </c>
      <c r="K265" s="17">
        <f>_xlfn.XLOOKUP($B265,'[1]Jun-24'!$A:$A,'[1]Jun-24'!$H:$H,0)</f>
        <v>0</v>
      </c>
      <c r="L265" s="17">
        <f>_xlfn.XLOOKUP($B265,'[1]Jul-24'!$A:$A,'[1]Jul-24'!$H:$H,0)</f>
        <v>0</v>
      </c>
      <c r="M265" s="17">
        <f>_xlfn.XLOOKUP($B265,'[1]Aug-24'!$A:$A,'[1]Aug-24'!$H:$H,0)</f>
        <v>0</v>
      </c>
      <c r="N265" s="17">
        <f>_xlfn.XLOOKUP($B265,'[1]Sep-24'!$A:$A,'[1]Sep-24'!$H:$H,0)</f>
        <v>0</v>
      </c>
      <c r="O265" s="17">
        <f>_xlfn.XLOOKUP($B265,'[1]Oct-24'!$A:$A,'[1]Oct-24'!$H:$H,0)</f>
        <v>0</v>
      </c>
      <c r="P265" s="17">
        <f>_xlfn.XLOOKUP($B265,'[1]Nov-24'!$A:$A,'[1]Nov-24'!$H:$H,0)</f>
        <v>0</v>
      </c>
      <c r="Q265" s="17">
        <f>_xlfn.XLOOKUP($B265,'[1]Dec-24'!$A:$A,'[1]Dec-24'!$H:$H,0)</f>
        <v>0</v>
      </c>
      <c r="R265" s="17">
        <f>_xlfn.XLOOKUP($B265,'[1]Jan-25'!$A:$A,'[1]Jan-25'!$H:$H,0)</f>
        <v>0</v>
      </c>
      <c r="S265" s="17">
        <f>_xlfn.XLOOKUP($B265,'[1]Feb-25'!$A:$A,'[1]Feb-25'!$H:$H,0)</f>
        <v>0</v>
      </c>
      <c r="T265" s="17">
        <f>_xlfn.XLOOKUP($B265,'[1]Mar-25'!$A:$A,'[1]Mar-25'!$H:$H,0)</f>
        <v>0</v>
      </c>
      <c r="U265" s="17">
        <f>_xlfn.XLOOKUP($B265,'[1]Apr-25'!$A:$A,'[1]Apr-25'!$H:$H,0)</f>
        <v>0</v>
      </c>
      <c r="V265" s="17">
        <f>_xlfn.XLOOKUP($B265,'[1]May-25'!$A:$A,'[1]May-25'!$H:$H,0)</f>
        <v>0</v>
      </c>
      <c r="W265" s="17">
        <f>_xlfn.XLOOKUP($B265,'[1]Jun-25'!$A:$A,'[1]Jun-25'!$H:$H,0)</f>
        <v>0</v>
      </c>
      <c r="X265" s="17">
        <f>_xlfn.XLOOKUP($B265,'[1]Jul-25'!$A:$A,'[1]Jul-25'!$H:$H,0)</f>
        <v>0</v>
      </c>
      <c r="Y265" s="17">
        <f>_xlfn.XLOOKUP($B265,'[1]Aug-25'!$A:$A,'[1]Aug-25'!$H:$H,0)</f>
        <v>0</v>
      </c>
      <c r="Z265" s="17">
        <f>_xlfn.XLOOKUP($B265,'[1]Sep-25'!$A:$A,'[1]Sep-25'!$H:$H,0)</f>
        <v>0</v>
      </c>
      <c r="AA265" s="17">
        <f>_xlfn.XLOOKUP($B265,'[1]Oct-25'!$A:$A,'[1]Oct-25'!$H:$H,0)</f>
        <v>0</v>
      </c>
      <c r="AB265" s="17">
        <f>_xlfn.XLOOKUP($B265,'[1]Nov-25'!$A:$A,'[1]Nov-25'!$H:$H,0)</f>
        <v>0</v>
      </c>
      <c r="AC265" s="17">
        <f>_xlfn.XLOOKUP($B265,'[1]Dec-25'!$A:$A,'[1]Dec-25'!$H:$H,0)</f>
        <v>0</v>
      </c>
      <c r="AD265" s="17">
        <f>_xlfn.XLOOKUP($B265,'[1]Jan-26'!$A:$A,'[1]Jan-26'!$H:$H,0)</f>
        <v>0</v>
      </c>
      <c r="AE265" s="17">
        <f>_xlfn.XLOOKUP($B265,'[1]Feb-26'!$A:$A,'[1]Feb-26'!$H:$H,0)</f>
        <v>0</v>
      </c>
      <c r="AF265" s="17">
        <f>_xlfn.XLOOKUP($B265,'[1]Mar-26'!$A:$A,'[1]Mar-26'!$H:$H,0)</f>
        <v>0</v>
      </c>
      <c r="AG265" s="17">
        <f>_xlfn.XLOOKUP($B265,'[1]Apr-26'!$A:$A,'[1]Apr-26'!$H:$H,0)</f>
        <v>0</v>
      </c>
    </row>
    <row r="266" spans="1:33" x14ac:dyDescent="0.2">
      <c r="A266" s="58">
        <v>30015</v>
      </c>
      <c r="B266" s="56" t="str">
        <f t="shared" si="9"/>
        <v>30015</v>
      </c>
      <c r="C266" s="57" t="s">
        <v>287</v>
      </c>
      <c r="D266" s="57" t="s">
        <v>429</v>
      </c>
      <c r="E266" s="44" t="s">
        <v>465</v>
      </c>
      <c r="F266" s="17">
        <f>_xlfn.XLOOKUP($B266,'[1]Jan-24'!$A:$A,'[1]Jan-24'!$H:$H,0)</f>
        <v>0</v>
      </c>
      <c r="G266" s="17">
        <f>_xlfn.XLOOKUP($B266,'[1]Feb-24'!$A:$A,'[1]Feb-24'!$H:$H,0)</f>
        <v>0</v>
      </c>
      <c r="H266" s="17">
        <f>_xlfn.XLOOKUP($B266,'[1]Mar-24'!$A:$A,'[1]Mar-24'!$H:$H,0)</f>
        <v>0</v>
      </c>
      <c r="I266" s="17">
        <f>_xlfn.XLOOKUP($B266,'[1]Apr-24'!$A:$A,'[1]Apr-24'!$H:$H,0)</f>
        <v>0</v>
      </c>
      <c r="J266" s="17">
        <f>_xlfn.XLOOKUP($B266,'[1]May-24'!$A:$A,'[1]May-24'!$H:$H,0)</f>
        <v>0</v>
      </c>
      <c r="K266" s="17">
        <f>_xlfn.XLOOKUP($B266,'[1]Jun-24'!$A:$A,'[1]Jun-24'!$H:$H,0)</f>
        <v>0</v>
      </c>
      <c r="L266" s="17">
        <f>_xlfn.XLOOKUP($B266,'[1]Jul-24'!$A:$A,'[1]Jul-24'!$H:$H,0)</f>
        <v>0</v>
      </c>
      <c r="M266" s="17">
        <f>_xlfn.XLOOKUP($B266,'[1]Aug-24'!$A:$A,'[1]Aug-24'!$H:$H,0)</f>
        <v>0</v>
      </c>
      <c r="N266" s="17">
        <f>_xlfn.XLOOKUP($B266,'[1]Sep-24'!$A:$A,'[1]Sep-24'!$H:$H,0)</f>
        <v>0</v>
      </c>
      <c r="O266" s="17">
        <f>_xlfn.XLOOKUP($B266,'[1]Oct-24'!$A:$A,'[1]Oct-24'!$H:$H,0)</f>
        <v>0</v>
      </c>
      <c r="P266" s="17">
        <f>_xlfn.XLOOKUP($B266,'[1]Nov-24'!$A:$A,'[1]Nov-24'!$H:$H,0)</f>
        <v>0</v>
      </c>
      <c r="Q266" s="17">
        <f>_xlfn.XLOOKUP($B266,'[1]Dec-24'!$A:$A,'[1]Dec-24'!$H:$H,0)</f>
        <v>0</v>
      </c>
      <c r="R266" s="17">
        <f>_xlfn.XLOOKUP($B266,'[1]Jan-25'!$A:$A,'[1]Jan-25'!$H:$H,0)</f>
        <v>0</v>
      </c>
      <c r="S266" s="17">
        <f>_xlfn.XLOOKUP($B266,'[1]Feb-25'!$A:$A,'[1]Feb-25'!$H:$H,0)</f>
        <v>0</v>
      </c>
      <c r="T266" s="17">
        <f>_xlfn.XLOOKUP($B266,'[1]Mar-25'!$A:$A,'[1]Mar-25'!$H:$H,0)</f>
        <v>0</v>
      </c>
      <c r="U266" s="17">
        <f>_xlfn.XLOOKUP($B266,'[1]Apr-25'!$A:$A,'[1]Apr-25'!$H:$H,0)</f>
        <v>0</v>
      </c>
      <c r="V266" s="17">
        <f>_xlfn.XLOOKUP($B266,'[1]May-25'!$A:$A,'[1]May-25'!$H:$H,0)</f>
        <v>0</v>
      </c>
      <c r="W266" s="17">
        <f>_xlfn.XLOOKUP($B266,'[1]Jun-25'!$A:$A,'[1]Jun-25'!$H:$H,0)</f>
        <v>0</v>
      </c>
      <c r="X266" s="17">
        <f>_xlfn.XLOOKUP($B266,'[1]Jul-25'!$A:$A,'[1]Jul-25'!$H:$H,0)</f>
        <v>0</v>
      </c>
      <c r="Y266" s="17">
        <f>_xlfn.XLOOKUP($B266,'[1]Aug-25'!$A:$A,'[1]Aug-25'!$H:$H,0)</f>
        <v>0</v>
      </c>
      <c r="Z266" s="17">
        <f>_xlfn.XLOOKUP($B266,'[1]Sep-25'!$A:$A,'[1]Sep-25'!$H:$H,0)</f>
        <v>0</v>
      </c>
      <c r="AA266" s="17">
        <f>_xlfn.XLOOKUP($B266,'[1]Oct-25'!$A:$A,'[1]Oct-25'!$H:$H,0)</f>
        <v>0</v>
      </c>
      <c r="AB266" s="17">
        <f>_xlfn.XLOOKUP($B266,'[1]Nov-25'!$A:$A,'[1]Nov-25'!$H:$H,0)</f>
        <v>0</v>
      </c>
      <c r="AC266" s="17">
        <f>_xlfn.XLOOKUP($B266,'[1]Dec-25'!$A:$A,'[1]Dec-25'!$H:$H,0)</f>
        <v>0</v>
      </c>
      <c r="AD266" s="17">
        <f>_xlfn.XLOOKUP($B266,'[1]Jan-26'!$A:$A,'[1]Jan-26'!$H:$H,0)</f>
        <v>0</v>
      </c>
      <c r="AE266" s="17">
        <f>_xlfn.XLOOKUP($B266,'[1]Feb-26'!$A:$A,'[1]Feb-26'!$H:$H,0)</f>
        <v>0</v>
      </c>
      <c r="AF266" s="17">
        <f>_xlfn.XLOOKUP($B266,'[1]Mar-26'!$A:$A,'[1]Mar-26'!$H:$H,0)</f>
        <v>0</v>
      </c>
      <c r="AG266" s="17">
        <f>_xlfn.XLOOKUP($B266,'[1]Apr-26'!$A:$A,'[1]Apr-26'!$H:$H,0)</f>
        <v>0</v>
      </c>
    </row>
    <row r="267" spans="1:33" x14ac:dyDescent="0.2">
      <c r="A267" s="58">
        <v>30020</v>
      </c>
      <c r="B267" s="56" t="str">
        <f t="shared" si="9"/>
        <v>30020</v>
      </c>
      <c r="C267" s="57" t="s">
        <v>287</v>
      </c>
      <c r="D267" s="57" t="s">
        <v>429</v>
      </c>
      <c r="E267" s="44" t="s">
        <v>466</v>
      </c>
      <c r="F267" s="17">
        <f>_xlfn.XLOOKUP($B267,'[1]Jan-24'!$A:$A,'[1]Jan-24'!$H:$H,0)</f>
        <v>0</v>
      </c>
      <c r="G267" s="17">
        <f>_xlfn.XLOOKUP($B267,'[1]Feb-24'!$A:$A,'[1]Feb-24'!$H:$H,0)</f>
        <v>0</v>
      </c>
      <c r="H267" s="17">
        <f>_xlfn.XLOOKUP($B267,'[1]Mar-24'!$A:$A,'[1]Mar-24'!$H:$H,0)</f>
        <v>0</v>
      </c>
      <c r="I267" s="17">
        <f>_xlfn.XLOOKUP($B267,'[1]Apr-24'!$A:$A,'[1]Apr-24'!$H:$H,0)</f>
        <v>0</v>
      </c>
      <c r="J267" s="17">
        <f>_xlfn.XLOOKUP($B267,'[1]May-24'!$A:$A,'[1]May-24'!$H:$H,0)</f>
        <v>0</v>
      </c>
      <c r="K267" s="17">
        <f>_xlfn.XLOOKUP($B267,'[1]Jun-24'!$A:$A,'[1]Jun-24'!$H:$H,0)</f>
        <v>0</v>
      </c>
      <c r="L267" s="17">
        <f>_xlfn.XLOOKUP($B267,'[1]Jul-24'!$A:$A,'[1]Jul-24'!$H:$H,0)</f>
        <v>0</v>
      </c>
      <c r="M267" s="17">
        <f>_xlfn.XLOOKUP($B267,'[1]Aug-24'!$A:$A,'[1]Aug-24'!$H:$H,0)</f>
        <v>0</v>
      </c>
      <c r="N267" s="17">
        <f>_xlfn.XLOOKUP($B267,'[1]Sep-24'!$A:$A,'[1]Sep-24'!$H:$H,0)</f>
        <v>0</v>
      </c>
      <c r="O267" s="17">
        <f>_xlfn.XLOOKUP($B267,'[1]Oct-24'!$A:$A,'[1]Oct-24'!$H:$H,0)</f>
        <v>0</v>
      </c>
      <c r="P267" s="17">
        <f>_xlfn.XLOOKUP($B267,'[1]Nov-24'!$A:$A,'[1]Nov-24'!$H:$H,0)</f>
        <v>0</v>
      </c>
      <c r="Q267" s="17">
        <f>_xlfn.XLOOKUP($B267,'[1]Dec-24'!$A:$A,'[1]Dec-24'!$H:$H,0)</f>
        <v>0</v>
      </c>
      <c r="R267" s="17">
        <f>_xlfn.XLOOKUP($B267,'[1]Jan-25'!$A:$A,'[1]Jan-25'!$H:$H,0)</f>
        <v>0</v>
      </c>
      <c r="S267" s="17">
        <f>_xlfn.XLOOKUP($B267,'[1]Feb-25'!$A:$A,'[1]Feb-25'!$H:$H,0)</f>
        <v>0</v>
      </c>
      <c r="T267" s="17">
        <f>_xlfn.XLOOKUP($B267,'[1]Mar-25'!$A:$A,'[1]Mar-25'!$H:$H,0)</f>
        <v>0</v>
      </c>
      <c r="U267" s="17">
        <f>_xlfn.XLOOKUP($B267,'[1]Apr-25'!$A:$A,'[1]Apr-25'!$H:$H,0)</f>
        <v>0</v>
      </c>
      <c r="V267" s="17">
        <f>_xlfn.XLOOKUP($B267,'[1]May-25'!$A:$A,'[1]May-25'!$H:$H,0)</f>
        <v>0</v>
      </c>
      <c r="W267" s="17">
        <f>_xlfn.XLOOKUP($B267,'[1]Jun-25'!$A:$A,'[1]Jun-25'!$H:$H,0)</f>
        <v>0</v>
      </c>
      <c r="X267" s="17">
        <f>_xlfn.XLOOKUP($B267,'[1]Jul-25'!$A:$A,'[1]Jul-25'!$H:$H,0)</f>
        <v>0</v>
      </c>
      <c r="Y267" s="17">
        <f>_xlfn.XLOOKUP($B267,'[1]Aug-25'!$A:$A,'[1]Aug-25'!$H:$H,0)</f>
        <v>0</v>
      </c>
      <c r="Z267" s="17">
        <f>_xlfn.XLOOKUP($B267,'[1]Sep-25'!$A:$A,'[1]Sep-25'!$H:$H,0)</f>
        <v>0</v>
      </c>
      <c r="AA267" s="17">
        <f>_xlfn.XLOOKUP($B267,'[1]Oct-25'!$A:$A,'[1]Oct-25'!$H:$H,0)</f>
        <v>0</v>
      </c>
      <c r="AB267" s="17">
        <f>_xlfn.XLOOKUP($B267,'[1]Nov-25'!$A:$A,'[1]Nov-25'!$H:$H,0)</f>
        <v>0</v>
      </c>
      <c r="AC267" s="17">
        <f>_xlfn.XLOOKUP($B267,'[1]Dec-25'!$A:$A,'[1]Dec-25'!$H:$H,0)</f>
        <v>0</v>
      </c>
      <c r="AD267" s="17">
        <f>_xlfn.XLOOKUP($B267,'[1]Jan-26'!$A:$A,'[1]Jan-26'!$H:$H,0)</f>
        <v>0</v>
      </c>
      <c r="AE267" s="17">
        <f>_xlfn.XLOOKUP($B267,'[1]Feb-26'!$A:$A,'[1]Feb-26'!$H:$H,0)</f>
        <v>0</v>
      </c>
      <c r="AF267" s="17">
        <f>_xlfn.XLOOKUP($B267,'[1]Mar-26'!$A:$A,'[1]Mar-26'!$H:$H,0)</f>
        <v>0</v>
      </c>
      <c r="AG267" s="17">
        <f>_xlfn.XLOOKUP($B267,'[1]Apr-26'!$A:$A,'[1]Apr-26'!$H:$H,0)</f>
        <v>0</v>
      </c>
    </row>
    <row r="268" spans="1:33" x14ac:dyDescent="0.2">
      <c r="A268" s="58">
        <v>30025</v>
      </c>
      <c r="B268" s="56" t="str">
        <f t="shared" ref="B268:B332" si="10">TEXT(A268,"00000")</f>
        <v>30025</v>
      </c>
      <c r="C268" s="57" t="s">
        <v>287</v>
      </c>
      <c r="D268" s="57" t="s">
        <v>429</v>
      </c>
      <c r="E268" s="44" t="s">
        <v>467</v>
      </c>
      <c r="F268" s="17">
        <f>_xlfn.XLOOKUP($B268,'[1]Jan-24'!$A:$A,'[1]Jan-24'!$H:$H,0)</f>
        <v>0</v>
      </c>
      <c r="G268" s="17">
        <f>_xlfn.XLOOKUP($B268,'[1]Feb-24'!$A:$A,'[1]Feb-24'!$H:$H,0)</f>
        <v>0</v>
      </c>
      <c r="H268" s="17">
        <f>_xlfn.XLOOKUP($B268,'[1]Mar-24'!$A:$A,'[1]Mar-24'!$H:$H,0)</f>
        <v>0</v>
      </c>
      <c r="I268" s="17">
        <f>_xlfn.XLOOKUP($B268,'[1]Apr-24'!$A:$A,'[1]Apr-24'!$H:$H,0)</f>
        <v>0</v>
      </c>
      <c r="J268" s="17">
        <f>_xlfn.XLOOKUP($B268,'[1]May-24'!$A:$A,'[1]May-24'!$H:$H,0)</f>
        <v>0</v>
      </c>
      <c r="K268" s="17">
        <f>_xlfn.XLOOKUP($B268,'[1]Jun-24'!$A:$A,'[1]Jun-24'!$H:$H,0)</f>
        <v>0</v>
      </c>
      <c r="L268" s="17">
        <f>_xlfn.XLOOKUP($B268,'[1]Jul-24'!$A:$A,'[1]Jul-24'!$H:$H,0)</f>
        <v>0</v>
      </c>
      <c r="M268" s="17">
        <f>_xlfn.XLOOKUP($B268,'[1]Aug-24'!$A:$A,'[1]Aug-24'!$H:$H,0)</f>
        <v>0</v>
      </c>
      <c r="N268" s="17">
        <f>_xlfn.XLOOKUP($B268,'[1]Sep-24'!$A:$A,'[1]Sep-24'!$H:$H,0)</f>
        <v>0</v>
      </c>
      <c r="O268" s="17">
        <f>_xlfn.XLOOKUP($B268,'[1]Oct-24'!$A:$A,'[1]Oct-24'!$H:$H,0)</f>
        <v>0</v>
      </c>
      <c r="P268" s="17">
        <f>_xlfn.XLOOKUP($B268,'[1]Nov-24'!$A:$A,'[1]Nov-24'!$H:$H,0)</f>
        <v>0</v>
      </c>
      <c r="Q268" s="17">
        <f>_xlfn.XLOOKUP($B268,'[1]Dec-24'!$A:$A,'[1]Dec-24'!$H:$H,0)</f>
        <v>0</v>
      </c>
      <c r="R268" s="17">
        <f>_xlfn.XLOOKUP($B268,'[1]Jan-25'!$A:$A,'[1]Jan-25'!$H:$H,0)</f>
        <v>0</v>
      </c>
      <c r="S268" s="17">
        <f>_xlfn.XLOOKUP($B268,'[1]Feb-25'!$A:$A,'[1]Feb-25'!$H:$H,0)</f>
        <v>0</v>
      </c>
      <c r="T268" s="17">
        <f>_xlfn.XLOOKUP($B268,'[1]Mar-25'!$A:$A,'[1]Mar-25'!$H:$H,0)</f>
        <v>0</v>
      </c>
      <c r="U268" s="17">
        <f>_xlfn.XLOOKUP($B268,'[1]Apr-25'!$A:$A,'[1]Apr-25'!$H:$H,0)</f>
        <v>0</v>
      </c>
      <c r="V268" s="17">
        <f>_xlfn.XLOOKUP($B268,'[1]May-25'!$A:$A,'[1]May-25'!$H:$H,0)</f>
        <v>0</v>
      </c>
      <c r="W268" s="17">
        <f>_xlfn.XLOOKUP($B268,'[1]Jun-25'!$A:$A,'[1]Jun-25'!$H:$H,0)</f>
        <v>0</v>
      </c>
      <c r="X268" s="17">
        <f>_xlfn.XLOOKUP($B268,'[1]Jul-25'!$A:$A,'[1]Jul-25'!$H:$H,0)</f>
        <v>0</v>
      </c>
      <c r="Y268" s="17">
        <f>_xlfn.XLOOKUP($B268,'[1]Aug-25'!$A:$A,'[1]Aug-25'!$H:$H,0)</f>
        <v>0</v>
      </c>
      <c r="Z268" s="17">
        <f>_xlfn.XLOOKUP($B268,'[1]Sep-25'!$A:$A,'[1]Sep-25'!$H:$H,0)</f>
        <v>0</v>
      </c>
      <c r="AA268" s="17">
        <f>_xlfn.XLOOKUP($B268,'[1]Oct-25'!$A:$A,'[1]Oct-25'!$H:$H,0)</f>
        <v>0</v>
      </c>
      <c r="AB268" s="17">
        <f>_xlfn.XLOOKUP($B268,'[1]Nov-25'!$A:$A,'[1]Nov-25'!$H:$H,0)</f>
        <v>0</v>
      </c>
      <c r="AC268" s="17">
        <f>_xlfn.XLOOKUP($B268,'[1]Dec-25'!$A:$A,'[1]Dec-25'!$H:$H,0)</f>
        <v>0</v>
      </c>
      <c r="AD268" s="17">
        <f>_xlfn.XLOOKUP($B268,'[1]Jan-26'!$A:$A,'[1]Jan-26'!$H:$H,0)</f>
        <v>0</v>
      </c>
      <c r="AE268" s="17">
        <f>_xlfn.XLOOKUP($B268,'[1]Feb-26'!$A:$A,'[1]Feb-26'!$H:$H,0)</f>
        <v>0</v>
      </c>
      <c r="AF268" s="17">
        <f>_xlfn.XLOOKUP($B268,'[1]Mar-26'!$A:$A,'[1]Mar-26'!$H:$H,0)</f>
        <v>0</v>
      </c>
      <c r="AG268" s="17">
        <f>_xlfn.XLOOKUP($B268,'[1]Apr-26'!$A:$A,'[1]Apr-26'!$H:$H,0)</f>
        <v>0</v>
      </c>
    </row>
    <row r="269" spans="1:33" x14ac:dyDescent="0.2">
      <c r="A269" s="58">
        <v>30030</v>
      </c>
      <c r="B269" s="56" t="str">
        <f t="shared" si="10"/>
        <v>30030</v>
      </c>
      <c r="C269" s="57" t="s">
        <v>287</v>
      </c>
      <c r="D269" s="57" t="s">
        <v>429</v>
      </c>
      <c r="E269" s="44" t="s">
        <v>468</v>
      </c>
      <c r="F269" s="17">
        <f>_xlfn.XLOOKUP($B269,'[1]Jan-24'!$A:$A,'[1]Jan-24'!$H:$H,0)</f>
        <v>0</v>
      </c>
      <c r="G269" s="17">
        <f>_xlfn.XLOOKUP($B269,'[1]Feb-24'!$A:$A,'[1]Feb-24'!$H:$H,0)</f>
        <v>0</v>
      </c>
      <c r="H269" s="17">
        <f>_xlfn.XLOOKUP($B269,'[1]Mar-24'!$A:$A,'[1]Mar-24'!$H:$H,0)</f>
        <v>0</v>
      </c>
      <c r="I269" s="17">
        <f>_xlfn.XLOOKUP($B269,'[1]Apr-24'!$A:$A,'[1]Apr-24'!$H:$H,0)</f>
        <v>0</v>
      </c>
      <c r="J269" s="17">
        <f>_xlfn.XLOOKUP($B269,'[1]May-24'!$A:$A,'[1]May-24'!$H:$H,0)</f>
        <v>0</v>
      </c>
      <c r="K269" s="17">
        <f>_xlfn.XLOOKUP($B269,'[1]Jun-24'!$A:$A,'[1]Jun-24'!$H:$H,0)</f>
        <v>0</v>
      </c>
      <c r="L269" s="17">
        <f>_xlfn.XLOOKUP($B269,'[1]Jul-24'!$A:$A,'[1]Jul-24'!$H:$H,0)</f>
        <v>0</v>
      </c>
      <c r="M269" s="17">
        <f>_xlfn.XLOOKUP($B269,'[1]Aug-24'!$A:$A,'[1]Aug-24'!$H:$H,0)</f>
        <v>0</v>
      </c>
      <c r="N269" s="17">
        <f>_xlfn.XLOOKUP($B269,'[1]Sep-24'!$A:$A,'[1]Sep-24'!$H:$H,0)</f>
        <v>0</v>
      </c>
      <c r="O269" s="17">
        <f>_xlfn.XLOOKUP($B269,'[1]Oct-24'!$A:$A,'[1]Oct-24'!$H:$H,0)</f>
        <v>0</v>
      </c>
      <c r="P269" s="17">
        <f>_xlfn.XLOOKUP($B269,'[1]Nov-24'!$A:$A,'[1]Nov-24'!$H:$H,0)</f>
        <v>0</v>
      </c>
      <c r="Q269" s="17">
        <f>_xlfn.XLOOKUP($B269,'[1]Dec-24'!$A:$A,'[1]Dec-24'!$H:$H,0)</f>
        <v>0</v>
      </c>
      <c r="R269" s="17">
        <f>_xlfn.XLOOKUP($B269,'[1]Jan-25'!$A:$A,'[1]Jan-25'!$H:$H,0)</f>
        <v>0</v>
      </c>
      <c r="S269" s="17">
        <f>_xlfn.XLOOKUP($B269,'[1]Feb-25'!$A:$A,'[1]Feb-25'!$H:$H,0)</f>
        <v>0</v>
      </c>
      <c r="T269" s="17">
        <f>_xlfn.XLOOKUP($B269,'[1]Mar-25'!$A:$A,'[1]Mar-25'!$H:$H,0)</f>
        <v>0</v>
      </c>
      <c r="U269" s="17">
        <f>_xlfn.XLOOKUP($B269,'[1]Apr-25'!$A:$A,'[1]Apr-25'!$H:$H,0)</f>
        <v>0</v>
      </c>
      <c r="V269" s="17">
        <f>_xlfn.XLOOKUP($B269,'[1]May-25'!$A:$A,'[1]May-25'!$H:$H,0)</f>
        <v>0</v>
      </c>
      <c r="W269" s="17">
        <f>_xlfn.XLOOKUP($B269,'[1]Jun-25'!$A:$A,'[1]Jun-25'!$H:$H,0)</f>
        <v>0</v>
      </c>
      <c r="X269" s="17">
        <f>_xlfn.XLOOKUP($B269,'[1]Jul-25'!$A:$A,'[1]Jul-25'!$H:$H,0)</f>
        <v>0</v>
      </c>
      <c r="Y269" s="17">
        <f>_xlfn.XLOOKUP($B269,'[1]Aug-25'!$A:$A,'[1]Aug-25'!$H:$H,0)</f>
        <v>0</v>
      </c>
      <c r="Z269" s="17">
        <f>_xlfn.XLOOKUP($B269,'[1]Sep-25'!$A:$A,'[1]Sep-25'!$H:$H,0)</f>
        <v>0</v>
      </c>
      <c r="AA269" s="17">
        <f>_xlfn.XLOOKUP($B269,'[1]Oct-25'!$A:$A,'[1]Oct-25'!$H:$H,0)</f>
        <v>0</v>
      </c>
      <c r="AB269" s="17">
        <f>_xlfn.XLOOKUP($B269,'[1]Nov-25'!$A:$A,'[1]Nov-25'!$H:$H,0)</f>
        <v>0</v>
      </c>
      <c r="AC269" s="17">
        <f>_xlfn.XLOOKUP($B269,'[1]Dec-25'!$A:$A,'[1]Dec-25'!$H:$H,0)</f>
        <v>0</v>
      </c>
      <c r="AD269" s="17">
        <f>_xlfn.XLOOKUP($B269,'[1]Jan-26'!$A:$A,'[1]Jan-26'!$H:$H,0)</f>
        <v>0</v>
      </c>
      <c r="AE269" s="17">
        <f>_xlfn.XLOOKUP($B269,'[1]Feb-26'!$A:$A,'[1]Feb-26'!$H:$H,0)</f>
        <v>0</v>
      </c>
      <c r="AF269" s="17">
        <f>_xlfn.XLOOKUP($B269,'[1]Mar-26'!$A:$A,'[1]Mar-26'!$H:$H,0)</f>
        <v>0</v>
      </c>
      <c r="AG269" s="17">
        <f>_xlfn.XLOOKUP($B269,'[1]Apr-26'!$A:$A,'[1]Apr-26'!$H:$H,0)</f>
        <v>0</v>
      </c>
    </row>
    <row r="270" spans="1:33" x14ac:dyDescent="0.2">
      <c r="A270" s="58">
        <v>30035</v>
      </c>
      <c r="B270" s="56" t="str">
        <f t="shared" si="10"/>
        <v>30035</v>
      </c>
      <c r="C270" s="57" t="s">
        <v>462</v>
      </c>
      <c r="D270" s="57" t="s">
        <v>429</v>
      </c>
      <c r="E270" s="44" t="s">
        <v>294</v>
      </c>
      <c r="F270" s="17">
        <f>_xlfn.XLOOKUP($B270,'[1]Jan-24'!$A:$A,'[1]Jan-24'!$H:$H,0)</f>
        <v>101787277.34999999</v>
      </c>
      <c r="G270" s="17">
        <f>_xlfn.XLOOKUP($B270,'[1]Feb-24'!$A:$A,'[1]Feb-24'!$H:$H,0)</f>
        <v>101787277.34999999</v>
      </c>
      <c r="H270" s="17">
        <f>_xlfn.XLOOKUP($B270,'[1]Mar-24'!$A:$A,'[1]Mar-24'!$H:$H,0)</f>
        <v>101787277.34999999</v>
      </c>
      <c r="I270" s="17">
        <f>_xlfn.XLOOKUP($B270,'[1]Apr-24'!$A:$A,'[1]Apr-24'!$H:$H,0)</f>
        <v>101787277.34999999</v>
      </c>
      <c r="J270" s="17">
        <f>_xlfn.XLOOKUP($B270,'[1]May-24'!$A:$A,'[1]May-24'!$H:$H,0)</f>
        <v>101787277.34999999</v>
      </c>
      <c r="K270" s="17">
        <f>_xlfn.XLOOKUP($B270,'[1]Jun-24'!$A:$A,'[1]Jun-24'!$H:$H,0)</f>
        <v>101787277.34999999</v>
      </c>
      <c r="L270" s="17">
        <f>_xlfn.XLOOKUP($B270,'[1]Jul-24'!$A:$A,'[1]Jul-24'!$H:$H,0)</f>
        <v>101787277.34999999</v>
      </c>
      <c r="M270" s="17">
        <f>_xlfn.XLOOKUP($B270,'[1]Aug-24'!$A:$A,'[1]Aug-24'!$H:$H,0)</f>
        <v>101787277.34999999</v>
      </c>
      <c r="N270" s="17">
        <f>_xlfn.XLOOKUP($B270,'[1]Sep-24'!$A:$A,'[1]Sep-24'!$H:$H,0)</f>
        <v>101787277.34999999</v>
      </c>
      <c r="O270" s="17">
        <f>_xlfn.XLOOKUP($B270,'[1]Oct-24'!$A:$A,'[1]Oct-24'!$H:$H,0)</f>
        <v>101787277.34999999</v>
      </c>
      <c r="P270" s="17">
        <f>_xlfn.XLOOKUP($B270,'[1]Nov-24'!$A:$A,'[1]Nov-24'!$H:$H,0)</f>
        <v>101787277.34999999</v>
      </c>
      <c r="Q270" s="17">
        <f>_xlfn.XLOOKUP($B270,'[1]Dec-24'!$A:$A,'[1]Dec-24'!$H:$H,0)</f>
        <v>101787277.34999999</v>
      </c>
      <c r="R270" s="17">
        <f>_xlfn.XLOOKUP($B270,'[1]Jan-25'!$A:$A,'[1]Jan-25'!$H:$H,0)</f>
        <v>101787277.34999999</v>
      </c>
      <c r="S270" s="17">
        <f>_xlfn.XLOOKUP($B270,'[1]Feb-25'!$A:$A,'[1]Feb-25'!$H:$H,0)</f>
        <v>101787277.34999999</v>
      </c>
      <c r="T270" s="17">
        <f>_xlfn.XLOOKUP($B270,'[1]Mar-25'!$A:$A,'[1]Mar-25'!$H:$H,0)</f>
        <v>101787277.34999999</v>
      </c>
      <c r="U270" s="17">
        <f>_xlfn.XLOOKUP($B270,'[1]Apr-25'!$A:$A,'[1]Apr-25'!$H:$H,0)</f>
        <v>101787277.34999999</v>
      </c>
      <c r="V270" s="17">
        <f>_xlfn.XLOOKUP($B270,'[1]May-25'!$A:$A,'[1]May-25'!$H:$H,0)</f>
        <v>101787277.34999999</v>
      </c>
      <c r="W270" s="17">
        <f>_xlfn.XLOOKUP($B270,'[1]Jun-25'!$A:$A,'[1]Jun-25'!$H:$H,0)</f>
        <v>101787277.34999999</v>
      </c>
      <c r="X270" s="17">
        <f>_xlfn.XLOOKUP($B270,'[1]Jul-25'!$A:$A,'[1]Jul-25'!$H:$H,0)</f>
        <v>101787277.34999999</v>
      </c>
      <c r="Y270" s="17">
        <f>_xlfn.XLOOKUP($B270,'[1]Aug-25'!$A:$A,'[1]Aug-25'!$H:$H,0)</f>
        <v>101787277.34999999</v>
      </c>
      <c r="Z270" s="17">
        <f>_xlfn.XLOOKUP($B270,'[1]Sep-25'!$A:$A,'[1]Sep-25'!$H:$H,0)</f>
        <v>101787277.34999999</v>
      </c>
      <c r="AA270" s="17">
        <f>_xlfn.XLOOKUP($B270,'[1]Oct-25'!$A:$A,'[1]Oct-25'!$H:$H,0)</f>
        <v>101787277.34999999</v>
      </c>
      <c r="AB270" s="17">
        <f>_xlfn.XLOOKUP($B270,'[1]Nov-25'!$A:$A,'[1]Nov-25'!$H:$H,0)</f>
        <v>101787277.34999999</v>
      </c>
      <c r="AC270" s="17">
        <f>_xlfn.XLOOKUP($B270,'[1]Dec-25'!$A:$A,'[1]Dec-25'!$H:$H,0)</f>
        <v>101787277.34999999</v>
      </c>
      <c r="AD270" s="17">
        <f>_xlfn.XLOOKUP($B270,'[1]Jan-26'!$A:$A,'[1]Jan-26'!$H:$H,0)</f>
        <v>98964248.609999999</v>
      </c>
      <c r="AE270" s="17">
        <f>_xlfn.XLOOKUP($B270,'[1]Feb-26'!$A:$A,'[1]Feb-26'!$H:$H,0)</f>
        <v>98964248.609999999</v>
      </c>
      <c r="AF270" s="17">
        <f>_xlfn.XLOOKUP($B270,'[1]Mar-26'!$A:$A,'[1]Mar-26'!$H:$H,0)</f>
        <v>98964248.609999999</v>
      </c>
      <c r="AG270" s="17">
        <f>_xlfn.XLOOKUP($B270,'[1]Apr-26'!$A:$A,'[1]Apr-26'!$H:$H,0)</f>
        <v>98964248.609999999</v>
      </c>
    </row>
    <row r="271" spans="1:33" x14ac:dyDescent="0.2">
      <c r="A271" s="58">
        <v>30040</v>
      </c>
      <c r="B271" s="56" t="str">
        <f t="shared" si="10"/>
        <v>30040</v>
      </c>
      <c r="C271" s="57" t="s">
        <v>287</v>
      </c>
      <c r="D271" s="57" t="s">
        <v>429</v>
      </c>
      <c r="E271" s="44" t="s">
        <v>289</v>
      </c>
      <c r="F271" s="17">
        <f>_xlfn.XLOOKUP($B271,'[1]Jan-24'!$A:$A,'[1]Jan-24'!$H:$H,0)</f>
        <v>-100000000</v>
      </c>
      <c r="G271" s="17">
        <f>_xlfn.XLOOKUP($B271,'[1]Feb-24'!$A:$A,'[1]Feb-24'!$H:$H,0)</f>
        <v>-100000000</v>
      </c>
      <c r="H271" s="17">
        <f>_xlfn.XLOOKUP($B271,'[1]Mar-24'!$A:$A,'[1]Mar-24'!$H:$H,0)</f>
        <v>-107359858</v>
      </c>
      <c r="I271" s="17">
        <f>_xlfn.XLOOKUP($B271,'[1]Apr-24'!$A:$A,'[1]Apr-24'!$H:$H,0)</f>
        <v>-107359858</v>
      </c>
      <c r="J271" s="17">
        <f>_xlfn.XLOOKUP($B271,'[1]May-24'!$A:$A,'[1]May-24'!$H:$H,0)</f>
        <v>-107359858</v>
      </c>
      <c r="K271" s="17">
        <f>_xlfn.XLOOKUP($B271,'[1]Jun-24'!$A:$A,'[1]Jun-24'!$H:$H,0)</f>
        <v>-107359858</v>
      </c>
      <c r="L271" s="17">
        <f>_xlfn.XLOOKUP($B271,'[1]Jul-24'!$A:$A,'[1]Jul-24'!$H:$H,0)</f>
        <v>-107359858</v>
      </c>
      <c r="M271" s="17">
        <f>_xlfn.XLOOKUP($B271,'[1]Aug-24'!$A:$A,'[1]Aug-24'!$H:$H,0)</f>
        <v>-107359858</v>
      </c>
      <c r="N271" s="17">
        <f>_xlfn.XLOOKUP($B271,'[1]Sep-24'!$A:$A,'[1]Sep-24'!$H:$H,0)</f>
        <v>-107359858</v>
      </c>
      <c r="O271" s="17">
        <f>_xlfn.XLOOKUP($B271,'[1]Oct-24'!$A:$A,'[1]Oct-24'!$H:$H,0)</f>
        <v>-107359858</v>
      </c>
      <c r="P271" s="17">
        <f>_xlfn.XLOOKUP($B271,'[1]Nov-24'!$A:$A,'[1]Nov-24'!$H:$H,0)</f>
        <v>-107359858</v>
      </c>
      <c r="Q271" s="17">
        <f>_xlfn.XLOOKUP($B271,'[1]Dec-24'!$A:$A,'[1]Dec-24'!$H:$H,0)</f>
        <v>-107359858</v>
      </c>
      <c r="R271" s="17">
        <f>_xlfn.XLOOKUP($B271,'[1]Jan-25'!$A:$A,'[1]Jan-25'!$H:$H,0)</f>
        <v>-107359858</v>
      </c>
      <c r="S271" s="17">
        <f>_xlfn.XLOOKUP($B271,'[1]Feb-25'!$A:$A,'[1]Feb-25'!$H:$H,0)</f>
        <v>-107359858</v>
      </c>
      <c r="T271" s="17">
        <f>_xlfn.XLOOKUP($B271,'[1]Mar-25'!$A:$A,'[1]Mar-25'!$H:$H,0)</f>
        <v>-107359858</v>
      </c>
      <c r="U271" s="17">
        <f>_xlfn.XLOOKUP($B271,'[1]Apr-25'!$A:$A,'[1]Apr-25'!$H:$H,0)</f>
        <v>-107359858</v>
      </c>
      <c r="V271" s="17">
        <f>_xlfn.XLOOKUP($B271,'[1]May-25'!$A:$A,'[1]May-25'!$H:$H,0)</f>
        <v>-107359858</v>
      </c>
      <c r="W271" s="17">
        <f>_xlfn.XLOOKUP($B271,'[1]Jun-25'!$A:$A,'[1]Jun-25'!$H:$H,0)</f>
        <v>-107359858</v>
      </c>
      <c r="X271" s="17">
        <f>_xlfn.XLOOKUP($B271,'[1]Jul-25'!$A:$A,'[1]Jul-25'!$H:$H,0)</f>
        <v>-107359858</v>
      </c>
      <c r="Y271" s="17">
        <f>_xlfn.XLOOKUP($B271,'[1]Aug-25'!$A:$A,'[1]Aug-25'!$H:$H,0)</f>
        <v>-107359858</v>
      </c>
      <c r="Z271" s="17">
        <f>_xlfn.XLOOKUP($B271,'[1]Sep-25'!$A:$A,'[1]Sep-25'!$H:$H,0)</f>
        <v>-107359858</v>
      </c>
      <c r="AA271" s="17">
        <f>_xlfn.XLOOKUP($B271,'[1]Oct-25'!$A:$A,'[1]Oct-25'!$H:$H,0)</f>
        <v>-107359858</v>
      </c>
      <c r="AB271" s="17">
        <f>_xlfn.XLOOKUP($B271,'[1]Nov-25'!$A:$A,'[1]Nov-25'!$H:$H,0)</f>
        <v>-107359858</v>
      </c>
      <c r="AC271" s="17">
        <f>_xlfn.XLOOKUP($B271,'[1]Dec-25'!$A:$A,'[1]Dec-25'!$H:$H,0)</f>
        <v>-107359858</v>
      </c>
      <c r="AD271" s="17">
        <f>_xlfn.XLOOKUP($B271,'[1]Jan-26'!$A:$A,'[1]Jan-26'!$H:$H,0)</f>
        <v>-107359858</v>
      </c>
      <c r="AE271" s="17">
        <f>_xlfn.XLOOKUP($B271,'[1]Feb-26'!$A:$A,'[1]Feb-26'!$H:$H,0)</f>
        <v>-107359858</v>
      </c>
      <c r="AF271" s="17">
        <f>_xlfn.XLOOKUP($B271,'[1]Mar-26'!$A:$A,'[1]Mar-26'!$H:$H,0)</f>
        <v>-107359858</v>
      </c>
      <c r="AG271" s="17">
        <f>_xlfn.XLOOKUP($B271,'[1]Apr-26'!$A:$A,'[1]Apr-26'!$H:$H,0)</f>
        <v>-107359858</v>
      </c>
    </row>
    <row r="272" spans="1:33" x14ac:dyDescent="0.2">
      <c r="A272" s="58">
        <v>30042</v>
      </c>
      <c r="B272" s="56" t="str">
        <f t="shared" si="10"/>
        <v>30042</v>
      </c>
      <c r="C272" s="57" t="s">
        <v>287</v>
      </c>
      <c r="D272" s="57" t="s">
        <v>429</v>
      </c>
      <c r="E272" s="44" t="s">
        <v>290</v>
      </c>
      <c r="F272" s="17">
        <f>_xlfn.XLOOKUP($B272,'[1]Jan-24'!$A:$A,'[1]Jan-24'!$H:$H,0)</f>
        <v>0</v>
      </c>
      <c r="G272" s="17">
        <f>_xlfn.XLOOKUP($B272,'[1]Feb-24'!$A:$A,'[1]Feb-24'!$H:$H,0)</f>
        <v>0</v>
      </c>
      <c r="H272" s="17">
        <f>_xlfn.XLOOKUP($B272,'[1]Mar-24'!$A:$A,'[1]Mar-24'!$H:$H,0)</f>
        <v>-7359858</v>
      </c>
      <c r="I272" s="17">
        <f>_xlfn.XLOOKUP($B272,'[1]Apr-24'!$A:$A,'[1]Apr-24'!$H:$H,0)</f>
        <v>-7359858</v>
      </c>
      <c r="J272" s="17">
        <f>_xlfn.XLOOKUP($B272,'[1]May-24'!$A:$A,'[1]May-24'!$H:$H,0)</f>
        <v>-7359858</v>
      </c>
      <c r="K272" s="17">
        <f>_xlfn.XLOOKUP($B272,'[1]Jun-24'!$A:$A,'[1]Jun-24'!$H:$H,0)</f>
        <v>-7359858</v>
      </c>
      <c r="L272" s="17">
        <f>_xlfn.XLOOKUP($B272,'[1]Jul-24'!$A:$A,'[1]Jul-24'!$H:$H,0)</f>
        <v>-7359858</v>
      </c>
      <c r="M272" s="17">
        <f>_xlfn.XLOOKUP($B272,'[1]Aug-24'!$A:$A,'[1]Aug-24'!$H:$H,0)</f>
        <v>-7359858</v>
      </c>
      <c r="N272" s="17">
        <f>_xlfn.XLOOKUP($B272,'[1]Sep-24'!$A:$A,'[1]Sep-24'!$H:$H,0)</f>
        <v>-7359858</v>
      </c>
      <c r="O272" s="17">
        <f>_xlfn.XLOOKUP($B272,'[1]Oct-24'!$A:$A,'[1]Oct-24'!$H:$H,0)</f>
        <v>-7359858</v>
      </c>
      <c r="P272" s="17">
        <f>_xlfn.XLOOKUP($B272,'[1]Nov-24'!$A:$A,'[1]Nov-24'!$H:$H,0)</f>
        <v>-7359858</v>
      </c>
      <c r="Q272" s="17">
        <f>_xlfn.XLOOKUP($B272,'[1]Dec-24'!$A:$A,'[1]Dec-24'!$H:$H,0)</f>
        <v>-7359858</v>
      </c>
      <c r="R272" s="17">
        <f>_xlfn.XLOOKUP($B272,'[1]Jan-25'!$A:$A,'[1]Jan-25'!$H:$H,0)</f>
        <v>-7359858</v>
      </c>
      <c r="S272" s="17">
        <f>_xlfn.XLOOKUP($B272,'[1]Feb-25'!$A:$A,'[1]Feb-25'!$H:$H,0)</f>
        <v>-7359858</v>
      </c>
      <c r="T272" s="17">
        <f>_xlfn.XLOOKUP($B272,'[1]Mar-25'!$A:$A,'[1]Mar-25'!$H:$H,0)</f>
        <v>-7359858</v>
      </c>
      <c r="U272" s="17">
        <f>_xlfn.XLOOKUP($B272,'[1]Apr-25'!$A:$A,'[1]Apr-25'!$H:$H,0)</f>
        <v>-7359858</v>
      </c>
      <c r="V272" s="17">
        <f>_xlfn.XLOOKUP($B272,'[1]May-25'!$A:$A,'[1]May-25'!$H:$H,0)</f>
        <v>-7359858</v>
      </c>
      <c r="W272" s="17">
        <f>_xlfn.XLOOKUP($B272,'[1]Jun-25'!$A:$A,'[1]Jun-25'!$H:$H,0)</f>
        <v>-7359858</v>
      </c>
      <c r="X272" s="17">
        <f>_xlfn.XLOOKUP($B272,'[1]Jul-25'!$A:$A,'[1]Jul-25'!$H:$H,0)</f>
        <v>-7359858</v>
      </c>
      <c r="Y272" s="17">
        <f>_xlfn.XLOOKUP($B272,'[1]Aug-25'!$A:$A,'[1]Aug-25'!$H:$H,0)</f>
        <v>-7359858</v>
      </c>
      <c r="Z272" s="17">
        <f>_xlfn.XLOOKUP($B272,'[1]Sep-25'!$A:$A,'[1]Sep-25'!$H:$H,0)</f>
        <v>-7359858</v>
      </c>
      <c r="AA272" s="17">
        <f>_xlfn.XLOOKUP($B272,'[1]Oct-25'!$A:$A,'[1]Oct-25'!$H:$H,0)</f>
        <v>-7359858</v>
      </c>
      <c r="AB272" s="17">
        <f>_xlfn.XLOOKUP($B272,'[1]Nov-25'!$A:$A,'[1]Nov-25'!$H:$H,0)</f>
        <v>-7359858</v>
      </c>
      <c r="AC272" s="17">
        <f>_xlfn.XLOOKUP($B272,'[1]Dec-25'!$A:$A,'[1]Dec-25'!$H:$H,0)</f>
        <v>-7359858</v>
      </c>
      <c r="AD272" s="17">
        <f>_xlfn.XLOOKUP($B272,'[1]Jan-26'!$A:$A,'[1]Jan-26'!$H:$H,0)</f>
        <v>-7359858</v>
      </c>
      <c r="AE272" s="17">
        <f>_xlfn.XLOOKUP($B272,'[1]Feb-26'!$A:$A,'[1]Feb-26'!$H:$H,0)</f>
        <v>-7359858</v>
      </c>
      <c r="AF272" s="17">
        <f>_xlfn.XLOOKUP($B272,'[1]Mar-26'!$A:$A,'[1]Mar-26'!$H:$H,0)</f>
        <v>-7359858</v>
      </c>
      <c r="AG272" s="17">
        <f>_xlfn.XLOOKUP($B272,'[1]Apr-26'!$A:$A,'[1]Apr-26'!$H:$H,0)</f>
        <v>-7359858</v>
      </c>
    </row>
    <row r="273" spans="1:33" x14ac:dyDescent="0.2">
      <c r="A273" s="58">
        <v>30043</v>
      </c>
      <c r="B273" s="56" t="str">
        <f t="shared" si="10"/>
        <v>30043</v>
      </c>
      <c r="C273" s="57" t="s">
        <v>287</v>
      </c>
      <c r="D273" s="57" t="s">
        <v>429</v>
      </c>
      <c r="E273" s="44" t="s">
        <v>291</v>
      </c>
      <c r="F273" s="17">
        <f>_xlfn.XLOOKUP($B273,'[1]Jan-24'!$A:$A,'[1]Jan-24'!$H:$H,0)</f>
        <v>0</v>
      </c>
      <c r="G273" s="17">
        <f>_xlfn.XLOOKUP($B273,'[1]Feb-24'!$A:$A,'[1]Feb-24'!$H:$H,0)</f>
        <v>0</v>
      </c>
      <c r="H273" s="17">
        <f>_xlfn.XLOOKUP($B273,'[1]Mar-24'!$A:$A,'[1]Mar-24'!$H:$H,0)</f>
        <v>-114247251.5</v>
      </c>
      <c r="I273" s="17">
        <f>_xlfn.XLOOKUP($B273,'[1]Apr-24'!$A:$A,'[1]Apr-24'!$H:$H,0)</f>
        <v>-114297251.5</v>
      </c>
      <c r="J273" s="17">
        <f>_xlfn.XLOOKUP($B273,'[1]May-24'!$A:$A,'[1]May-24'!$H:$H,0)</f>
        <v>-114297251.5</v>
      </c>
      <c r="K273" s="17">
        <f>_xlfn.XLOOKUP($B273,'[1]Jun-24'!$A:$A,'[1]Jun-24'!$H:$H,0)</f>
        <v>-114297251.5</v>
      </c>
      <c r="L273" s="17">
        <f>_xlfn.XLOOKUP($B273,'[1]Jul-24'!$A:$A,'[1]Jul-24'!$H:$H,0)</f>
        <v>-114297251.5</v>
      </c>
      <c r="M273" s="17">
        <f>_xlfn.XLOOKUP($B273,'[1]Aug-24'!$A:$A,'[1]Aug-24'!$H:$H,0)</f>
        <v>-114297251.5</v>
      </c>
      <c r="N273" s="17">
        <f>_xlfn.XLOOKUP($B273,'[1]Sep-24'!$A:$A,'[1]Sep-24'!$H:$H,0)</f>
        <v>-114297251.5</v>
      </c>
      <c r="O273" s="17">
        <f>_xlfn.XLOOKUP($B273,'[1]Oct-24'!$A:$A,'[1]Oct-24'!$H:$H,0)</f>
        <v>-114297251.5</v>
      </c>
      <c r="P273" s="17">
        <f>_xlfn.XLOOKUP($B273,'[1]Nov-24'!$A:$A,'[1]Nov-24'!$H:$H,0)</f>
        <v>-114297251.5</v>
      </c>
      <c r="Q273" s="17">
        <f>_xlfn.XLOOKUP($B273,'[1]Dec-24'!$A:$A,'[1]Dec-24'!$H:$H,0)</f>
        <v>-114297251.5</v>
      </c>
      <c r="R273" s="17">
        <f>_xlfn.XLOOKUP($B273,'[1]Jan-25'!$A:$A,'[1]Jan-25'!$H:$H,0)</f>
        <v>-114297251.5</v>
      </c>
      <c r="S273" s="17">
        <f>_xlfn.XLOOKUP($B273,'[1]Feb-25'!$A:$A,'[1]Feb-25'!$H:$H,0)</f>
        <v>-114297251.5</v>
      </c>
      <c r="T273" s="17">
        <f>_xlfn.XLOOKUP($B273,'[1]Mar-25'!$A:$A,'[1]Mar-25'!$H:$H,0)</f>
        <v>-114297251.5</v>
      </c>
      <c r="U273" s="17">
        <f>_xlfn.XLOOKUP($B273,'[1]Apr-25'!$A:$A,'[1]Apr-25'!$H:$H,0)</f>
        <v>-114297251.5</v>
      </c>
      <c r="V273" s="17">
        <f>_xlfn.XLOOKUP($B273,'[1]May-25'!$A:$A,'[1]May-25'!$H:$H,0)</f>
        <v>-114297251.5</v>
      </c>
      <c r="W273" s="17">
        <f>_xlfn.XLOOKUP($B273,'[1]Jun-25'!$A:$A,'[1]Jun-25'!$H:$H,0)</f>
        <v>-114297251.5</v>
      </c>
      <c r="X273" s="17">
        <f>_xlfn.XLOOKUP($B273,'[1]Jul-25'!$A:$A,'[1]Jul-25'!$H:$H,0)</f>
        <v>-114297251.5</v>
      </c>
      <c r="Y273" s="17">
        <f>_xlfn.XLOOKUP($B273,'[1]Aug-25'!$A:$A,'[1]Aug-25'!$H:$H,0)</f>
        <v>-114297251.5</v>
      </c>
      <c r="Z273" s="17">
        <f>_xlfn.XLOOKUP($B273,'[1]Sep-25'!$A:$A,'[1]Sep-25'!$H:$H,0)</f>
        <v>-114297251.5</v>
      </c>
      <c r="AA273" s="17">
        <f>_xlfn.XLOOKUP($B273,'[1]Oct-25'!$A:$A,'[1]Oct-25'!$H:$H,0)</f>
        <v>-114297251.5</v>
      </c>
      <c r="AB273" s="17">
        <f>_xlfn.XLOOKUP($B273,'[1]Nov-25'!$A:$A,'[1]Nov-25'!$H:$H,0)</f>
        <v>-114297251.5</v>
      </c>
      <c r="AC273" s="17">
        <f>_xlfn.XLOOKUP($B273,'[1]Dec-25'!$A:$A,'[1]Dec-25'!$H:$H,0)</f>
        <v>-114297251.5</v>
      </c>
      <c r="AD273" s="17">
        <f>_xlfn.XLOOKUP($B273,'[1]Jan-26'!$A:$A,'[1]Jan-26'!$H:$H,0)</f>
        <v>-114297251.5</v>
      </c>
      <c r="AE273" s="17">
        <f>_xlfn.XLOOKUP($B273,'[1]Feb-26'!$A:$A,'[1]Feb-26'!$H:$H,0)</f>
        <v>-114297251.5</v>
      </c>
      <c r="AF273" s="17">
        <f>_xlfn.XLOOKUP($B273,'[1]Mar-26'!$A:$A,'[1]Mar-26'!$H:$H,0)</f>
        <v>-114297251.5</v>
      </c>
      <c r="AG273" s="17">
        <f>_xlfn.XLOOKUP($B273,'[1]Apr-26'!$A:$A,'[1]Apr-26'!$H:$H,0)</f>
        <v>-114297251.5</v>
      </c>
    </row>
    <row r="274" spans="1:33" x14ac:dyDescent="0.2">
      <c r="A274" s="58">
        <v>30044</v>
      </c>
      <c r="B274" s="56" t="str">
        <f t="shared" si="10"/>
        <v>30044</v>
      </c>
      <c r="C274" s="57" t="s">
        <v>287</v>
      </c>
      <c r="D274" s="57" t="s">
        <v>429</v>
      </c>
      <c r="E274" s="44" t="s">
        <v>292</v>
      </c>
      <c r="F274" s="17">
        <f>_xlfn.XLOOKUP($B274,'[1]Jan-24'!$A:$A,'[1]Jan-24'!$H:$H,0)</f>
        <v>0</v>
      </c>
      <c r="G274" s="17">
        <f>_xlfn.XLOOKUP($B274,'[1]Feb-24'!$A:$A,'[1]Feb-24'!$H:$H,0)</f>
        <v>0</v>
      </c>
      <c r="H274" s="17">
        <f>_xlfn.XLOOKUP($B274,'[1]Mar-24'!$A:$A,'[1]Mar-24'!$H:$H,0)</f>
        <v>-6600000000</v>
      </c>
      <c r="I274" s="17">
        <f>_xlfn.XLOOKUP($B274,'[1]Apr-24'!$A:$A,'[1]Apr-24'!$H:$H,0)</f>
        <v>-5855534400</v>
      </c>
      <c r="J274" s="17">
        <f>_xlfn.XLOOKUP($B274,'[1]May-24'!$A:$A,'[1]May-24'!$H:$H,0)</f>
        <v>-5997402600</v>
      </c>
      <c r="K274" s="17">
        <f>_xlfn.XLOOKUP($B274,'[1]Jun-24'!$A:$A,'[1]Jun-24'!$H:$H,0)</f>
        <v>-6722949600</v>
      </c>
      <c r="L274" s="17">
        <f>_xlfn.XLOOKUP($B274,'[1]Jul-24'!$A:$A,'[1]Jul-24'!$H:$H,0)</f>
        <v>-7132742400</v>
      </c>
      <c r="M274" s="17">
        <f>_xlfn.XLOOKUP($B274,'[1]Aug-24'!$A:$A,'[1]Aug-24'!$H:$H,0)</f>
        <v>-6964857000</v>
      </c>
      <c r="N274" s="17">
        <f>_xlfn.XLOOKUP($B274,'[1]Sep-24'!$A:$A,'[1]Sep-24'!$H:$H,0)</f>
        <v>-7305752400</v>
      </c>
      <c r="O274" s="17">
        <f>_xlfn.XLOOKUP($B274,'[1]Oct-24'!$A:$A,'[1]Oct-24'!$H:$H,0)</f>
        <v>-7197829200</v>
      </c>
      <c r="P274" s="17">
        <f>_xlfn.XLOOKUP($B274,'[1]Nov-24'!$A:$A,'[1]Nov-24'!$H:$H,0)</f>
        <v>-7371014400</v>
      </c>
      <c r="Q274" s="17">
        <f>_xlfn.XLOOKUP($B274,'[1]Dec-24'!$A:$A,'[1]Dec-24'!$H:$H,0)</f>
        <v>-6573262400</v>
      </c>
      <c r="R274" s="17">
        <f>_xlfn.XLOOKUP($B274,'[1]Jan-25'!$A:$A,'[1]Jan-25'!$H:$H,0)</f>
        <v>-6533054000</v>
      </c>
      <c r="S274" s="17">
        <f>_xlfn.XLOOKUP($B274,'[1]Feb-25'!$A:$A,'[1]Feb-25'!$H:$H,0)</f>
        <v>-6360000200</v>
      </c>
      <c r="T274" s="17">
        <f>_xlfn.XLOOKUP($B274,'[1]Mar-25'!$A:$A,'[1]Mar-25'!$H:$H,0)</f>
        <v>-6360000200</v>
      </c>
      <c r="U274" s="17">
        <f>_xlfn.XLOOKUP($B274,'[1]Apr-25'!$A:$A,'[1]Apr-25'!$H:$H,0)</f>
        <v>-6360000200</v>
      </c>
      <c r="V274" s="17">
        <f>_xlfn.XLOOKUP($B274,'[1]May-25'!$A:$A,'[1]May-25'!$H:$H,0)</f>
        <v>-6360000200</v>
      </c>
      <c r="W274" s="17">
        <f>_xlfn.XLOOKUP($B274,'[1]Jun-25'!$A:$A,'[1]Jun-25'!$H:$H,0)</f>
        <v>-6360000200</v>
      </c>
      <c r="X274" s="17">
        <f>_xlfn.XLOOKUP($B274,'[1]Jul-25'!$A:$A,'[1]Jul-25'!$H:$H,0)</f>
        <v>-6360000200</v>
      </c>
      <c r="Y274" s="17">
        <f>_xlfn.XLOOKUP($B274,'[1]Aug-25'!$A:$A,'[1]Aug-25'!$H:$H,0)</f>
        <v>-6360000200</v>
      </c>
      <c r="Z274" s="17">
        <f>_xlfn.XLOOKUP($B274,'[1]Sep-25'!$A:$A,'[1]Sep-25'!$H:$H,0)</f>
        <v>-6360000200</v>
      </c>
      <c r="AA274" s="17">
        <f>_xlfn.XLOOKUP($B274,'[1]Oct-25'!$A:$A,'[1]Oct-25'!$H:$H,0)</f>
        <v>-6360000200</v>
      </c>
      <c r="AB274" s="17">
        <f>_xlfn.XLOOKUP($B274,'[1]Nov-25'!$A:$A,'[1]Nov-25'!$H:$H,0)</f>
        <v>-6360000200</v>
      </c>
      <c r="AC274" s="17">
        <f>_xlfn.XLOOKUP($B274,'[1]Dec-25'!$A:$A,'[1]Dec-25'!$H:$H,0)</f>
        <v>-6573262400</v>
      </c>
      <c r="AD274" s="17">
        <f>_xlfn.XLOOKUP($B274,'[1]Jan-26'!$A:$A,'[1]Jan-26'!$H:$H,0)</f>
        <v>-6573262400</v>
      </c>
      <c r="AE274" s="17">
        <f>_xlfn.XLOOKUP($B274,'[1]Feb-26'!$A:$A,'[1]Feb-26'!$H:$H,0)</f>
        <v>-6573262400</v>
      </c>
      <c r="AF274" s="17">
        <f>_xlfn.XLOOKUP($B274,'[1]Mar-26'!$A:$A,'[1]Mar-26'!$H:$H,0)</f>
        <v>-6573262400</v>
      </c>
      <c r="AG274" s="17">
        <f>_xlfn.XLOOKUP($B274,'[1]Apr-26'!$A:$A,'[1]Apr-26'!$H:$H,0)</f>
        <v>-6573262400</v>
      </c>
    </row>
    <row r="275" spans="1:33" x14ac:dyDescent="0.2">
      <c r="A275" s="58">
        <v>30100</v>
      </c>
      <c r="B275" s="56" t="str">
        <f t="shared" si="10"/>
        <v>30100</v>
      </c>
      <c r="C275" s="57" t="s">
        <v>287</v>
      </c>
      <c r="D275" s="57" t="s">
        <v>429</v>
      </c>
      <c r="E275" s="44" t="s">
        <v>469</v>
      </c>
      <c r="F275" s="17">
        <f>_xlfn.XLOOKUP($B275,'[1]Jan-24'!$A:$A,'[1]Jan-24'!$H:$H,0)</f>
        <v>0</v>
      </c>
      <c r="G275" s="17">
        <f>_xlfn.XLOOKUP($B275,'[1]Feb-24'!$A:$A,'[1]Feb-24'!$H:$H,0)</f>
        <v>0</v>
      </c>
      <c r="H275" s="17">
        <f>_xlfn.XLOOKUP($B275,'[1]Mar-24'!$A:$A,'[1]Mar-24'!$H:$H,0)</f>
        <v>0</v>
      </c>
      <c r="I275" s="17">
        <f>_xlfn.XLOOKUP($B275,'[1]Apr-24'!$A:$A,'[1]Apr-24'!$H:$H,0)</f>
        <v>0</v>
      </c>
      <c r="J275" s="17">
        <f>_xlfn.XLOOKUP($B275,'[1]May-24'!$A:$A,'[1]May-24'!$H:$H,0)</f>
        <v>0</v>
      </c>
      <c r="K275" s="17">
        <f>_xlfn.XLOOKUP($B275,'[1]Jun-24'!$A:$A,'[1]Jun-24'!$H:$H,0)</f>
        <v>0</v>
      </c>
      <c r="L275" s="17">
        <f>_xlfn.XLOOKUP($B275,'[1]Jul-24'!$A:$A,'[1]Jul-24'!$H:$H,0)</f>
        <v>0</v>
      </c>
      <c r="M275" s="17">
        <f>_xlfn.XLOOKUP($B275,'[1]Aug-24'!$A:$A,'[1]Aug-24'!$H:$H,0)</f>
        <v>0</v>
      </c>
      <c r="N275" s="17">
        <f>_xlfn.XLOOKUP($B275,'[1]Sep-24'!$A:$A,'[1]Sep-24'!$H:$H,0)</f>
        <v>0</v>
      </c>
      <c r="O275" s="17">
        <f>_xlfn.XLOOKUP($B275,'[1]Oct-24'!$A:$A,'[1]Oct-24'!$H:$H,0)</f>
        <v>0</v>
      </c>
      <c r="P275" s="17">
        <f>_xlfn.XLOOKUP($B275,'[1]Nov-24'!$A:$A,'[1]Nov-24'!$H:$H,0)</f>
        <v>0</v>
      </c>
      <c r="Q275" s="17">
        <f>_xlfn.XLOOKUP($B275,'[1]Dec-24'!$A:$A,'[1]Dec-24'!$H:$H,0)</f>
        <v>0</v>
      </c>
      <c r="R275" s="17">
        <f>_xlfn.XLOOKUP($B275,'[1]Jan-25'!$A:$A,'[1]Jan-25'!$H:$H,0)</f>
        <v>0</v>
      </c>
      <c r="S275" s="17">
        <f>_xlfn.XLOOKUP($B275,'[1]Feb-25'!$A:$A,'[1]Feb-25'!$H:$H,0)</f>
        <v>0</v>
      </c>
      <c r="T275" s="17">
        <f>_xlfn.XLOOKUP($B275,'[1]Mar-25'!$A:$A,'[1]Mar-25'!$H:$H,0)</f>
        <v>0</v>
      </c>
      <c r="U275" s="17">
        <f>_xlfn.XLOOKUP($B275,'[1]Apr-25'!$A:$A,'[1]Apr-25'!$H:$H,0)</f>
        <v>0</v>
      </c>
      <c r="V275" s="17">
        <f>_xlfn.XLOOKUP($B275,'[1]May-25'!$A:$A,'[1]May-25'!$H:$H,0)</f>
        <v>0</v>
      </c>
      <c r="W275" s="17">
        <f>_xlfn.XLOOKUP($B275,'[1]Jun-25'!$A:$A,'[1]Jun-25'!$H:$H,0)</f>
        <v>0</v>
      </c>
      <c r="X275" s="17">
        <f>_xlfn.XLOOKUP($B275,'[1]Jul-25'!$A:$A,'[1]Jul-25'!$H:$H,0)</f>
        <v>0</v>
      </c>
      <c r="Y275" s="17">
        <f>_xlfn.XLOOKUP($B275,'[1]Aug-25'!$A:$A,'[1]Aug-25'!$H:$H,0)</f>
        <v>0</v>
      </c>
      <c r="Z275" s="17">
        <f>_xlfn.XLOOKUP($B275,'[1]Sep-25'!$A:$A,'[1]Sep-25'!$H:$H,0)</f>
        <v>0</v>
      </c>
      <c r="AA275" s="17">
        <f>_xlfn.XLOOKUP($B275,'[1]Oct-25'!$A:$A,'[1]Oct-25'!$H:$H,0)</f>
        <v>0</v>
      </c>
      <c r="AB275" s="17">
        <f>_xlfn.XLOOKUP($B275,'[1]Nov-25'!$A:$A,'[1]Nov-25'!$H:$H,0)</f>
        <v>0</v>
      </c>
      <c r="AC275" s="17">
        <f>_xlfn.XLOOKUP($B275,'[1]Dec-25'!$A:$A,'[1]Dec-25'!$H:$H,0)</f>
        <v>0</v>
      </c>
      <c r="AD275" s="17">
        <f>_xlfn.XLOOKUP($B275,'[1]Jan-26'!$A:$A,'[1]Jan-26'!$H:$H,0)</f>
        <v>0</v>
      </c>
      <c r="AE275" s="17">
        <f>_xlfn.XLOOKUP($B275,'[1]Feb-26'!$A:$A,'[1]Feb-26'!$H:$H,0)</f>
        <v>0</v>
      </c>
      <c r="AF275" s="17">
        <f>_xlfn.XLOOKUP($B275,'[1]Mar-26'!$A:$A,'[1]Mar-26'!$H:$H,0)</f>
        <v>0</v>
      </c>
      <c r="AG275" s="17">
        <f>_xlfn.XLOOKUP($B275,'[1]Apr-26'!$A:$A,'[1]Apr-26'!$H:$H,0)</f>
        <v>0</v>
      </c>
    </row>
    <row r="276" spans="1:33" x14ac:dyDescent="0.2">
      <c r="A276" s="58">
        <v>32000</v>
      </c>
      <c r="B276" s="56" t="str">
        <f t="shared" si="10"/>
        <v>32000</v>
      </c>
      <c r="C276" s="57" t="s">
        <v>462</v>
      </c>
      <c r="D276" s="57" t="s">
        <v>429</v>
      </c>
      <c r="E276" s="44" t="s">
        <v>63</v>
      </c>
      <c r="F276" s="17">
        <f>_xlfn.XLOOKUP($B276,'[1]Jan-24'!$A:$A,'[1]Jan-24'!$H:$H,0)</f>
        <v>-1111090970.6300001</v>
      </c>
      <c r="G276" s="17">
        <f>_xlfn.XLOOKUP($B276,'[1]Feb-24'!$A:$A,'[1]Feb-24'!$H:$H,0)</f>
        <v>-1111090970.6300001</v>
      </c>
      <c r="H276" s="17">
        <f>_xlfn.XLOOKUP($B276,'[1]Mar-24'!$A:$A,'[1]Mar-24'!$H:$H,0)</f>
        <v>-1111090970.6300001</v>
      </c>
      <c r="I276" s="17">
        <f>_xlfn.XLOOKUP($B276,'[1]Apr-24'!$A:$A,'[1]Apr-24'!$H:$H,0)</f>
        <v>-1111090970.6300001</v>
      </c>
      <c r="J276" s="17">
        <f>_xlfn.XLOOKUP($B276,'[1]May-24'!$A:$A,'[1]May-24'!$H:$H,0)</f>
        <v>-1111090970.6300001</v>
      </c>
      <c r="K276" s="17">
        <f>_xlfn.XLOOKUP($B276,'[1]Jun-24'!$A:$A,'[1]Jun-24'!$H:$H,0)</f>
        <v>-1111090970.6300001</v>
      </c>
      <c r="L276" s="17">
        <f>_xlfn.XLOOKUP($B276,'[1]Jul-24'!$A:$A,'[1]Jul-24'!$H:$H,0)</f>
        <v>-1111090970.6300001</v>
      </c>
      <c r="M276" s="17">
        <f>_xlfn.XLOOKUP($B276,'[1]Aug-24'!$A:$A,'[1]Aug-24'!$H:$H,0)</f>
        <v>-1111090970.6300001</v>
      </c>
      <c r="N276" s="17">
        <f>_xlfn.XLOOKUP($B276,'[1]Sep-24'!$A:$A,'[1]Sep-24'!$H:$H,0)</f>
        <v>-1111090970.6300001</v>
      </c>
      <c r="O276" s="17">
        <f>_xlfn.XLOOKUP($B276,'[1]Oct-24'!$A:$A,'[1]Oct-24'!$H:$H,0)</f>
        <v>-1111090970.6300001</v>
      </c>
      <c r="P276" s="17">
        <f>_xlfn.XLOOKUP($B276,'[1]Nov-24'!$A:$A,'[1]Nov-24'!$H:$H,0)</f>
        <v>-1111090970.6300001</v>
      </c>
      <c r="Q276" s="17">
        <f>_xlfn.XLOOKUP($B276,'[1]Dec-24'!$A:$A,'[1]Dec-24'!$H:$H,0)</f>
        <v>-1111090970.6300001</v>
      </c>
      <c r="R276" s="17">
        <f>_xlfn.XLOOKUP($B276,'[1]Jan-25'!$A:$A,'[1]Jan-25'!$H:$H,0)</f>
        <v>-1118694724.28</v>
      </c>
      <c r="S276" s="17">
        <f>_xlfn.XLOOKUP($B276,'[1]Feb-25'!$A:$A,'[1]Feb-25'!$H:$H,0)</f>
        <v>-1118694724.28</v>
      </c>
      <c r="T276" s="17">
        <f>_xlfn.XLOOKUP($B276,'[1]Mar-25'!$A:$A,'[1]Mar-25'!$H:$H,0)</f>
        <v>-1118694724.28</v>
      </c>
      <c r="U276" s="17">
        <f>_xlfn.XLOOKUP($B276,'[1]Apr-25'!$A:$A,'[1]Apr-25'!$H:$H,0)</f>
        <v>-1118694724.28</v>
      </c>
      <c r="V276" s="17">
        <f>_xlfn.XLOOKUP($B276,'[1]May-25'!$A:$A,'[1]May-25'!$H:$H,0)</f>
        <v>-1118694724.28</v>
      </c>
      <c r="W276" s="17">
        <f>_xlfn.XLOOKUP($B276,'[1]Jun-25'!$A:$A,'[1]Jun-25'!$H:$H,0)</f>
        <v>-1118694724.28</v>
      </c>
      <c r="X276" s="17">
        <f>_xlfn.XLOOKUP($B276,'[1]Jul-25'!$A:$A,'[1]Jul-25'!$H:$H,0)</f>
        <v>-1118694724.28</v>
      </c>
      <c r="Y276" s="17">
        <f>_xlfn.XLOOKUP($B276,'[1]Aug-25'!$A:$A,'[1]Aug-25'!$H:$H,0)</f>
        <v>-1121517753.3699999</v>
      </c>
      <c r="Z276" s="17">
        <f>_xlfn.XLOOKUP($B276,'[1]Sep-25'!$A:$A,'[1]Sep-25'!$H:$H,0)</f>
        <v>-1121517753.3699999</v>
      </c>
      <c r="AA276" s="17">
        <f>_xlfn.XLOOKUP($B276,'[1]Oct-25'!$A:$A,'[1]Oct-25'!$H:$H,0)</f>
        <v>-1121517753.3699999</v>
      </c>
      <c r="AB276" s="17">
        <f>_xlfn.XLOOKUP($B276,'[1]Nov-25'!$A:$A,'[1]Nov-25'!$H:$H,0)</f>
        <v>-1121517753.3699999</v>
      </c>
      <c r="AC276" s="17">
        <f>_xlfn.XLOOKUP($B276,'[1]Dec-25'!$A:$A,'[1]Dec-25'!$H:$H,0)</f>
        <v>-1121517753.3699999</v>
      </c>
      <c r="AD276" s="17">
        <f>_xlfn.XLOOKUP($B276,'[1]Jan-26'!$A:$A,'[1]Jan-26'!$H:$H,0)</f>
        <v>628329247.54999995</v>
      </c>
      <c r="AE276" s="17">
        <f>_xlfn.XLOOKUP($B276,'[1]Feb-26'!$A:$A,'[1]Feb-26'!$H:$H,0)</f>
        <v>628329247.54999995</v>
      </c>
      <c r="AF276" s="17">
        <f>_xlfn.XLOOKUP($B276,'[1]Mar-26'!$A:$A,'[1]Mar-26'!$H:$H,0)</f>
        <v>628329247.54999995</v>
      </c>
      <c r="AG276" s="17">
        <f>_xlfn.XLOOKUP($B276,'[1]Apr-26'!$A:$A,'[1]Apr-26'!$H:$H,0)</f>
        <v>628329247.54999995</v>
      </c>
    </row>
    <row r="277" spans="1:33" x14ac:dyDescent="0.2">
      <c r="A277" s="58">
        <v>33000</v>
      </c>
      <c r="B277" s="56" t="str">
        <f t="shared" si="10"/>
        <v>33000</v>
      </c>
      <c r="C277" s="57" t="s">
        <v>470</v>
      </c>
      <c r="D277" s="57" t="s">
        <v>429</v>
      </c>
      <c r="E277" s="44" t="s">
        <v>295</v>
      </c>
      <c r="F277" s="17">
        <f>_xlfn.XLOOKUP($B277,'[1]Jan-24'!$A:$A,'[1]Jan-24'!$H:$H,0)</f>
        <v>0</v>
      </c>
      <c r="G277" s="17">
        <f>_xlfn.XLOOKUP($B277,'[1]Feb-24'!$A:$A,'[1]Feb-24'!$H:$H,0)</f>
        <v>0</v>
      </c>
      <c r="H277" s="17">
        <f>_xlfn.XLOOKUP($B277,'[1]Mar-24'!$A:$A,'[1]Mar-24'!$H:$H,0)</f>
        <v>0</v>
      </c>
      <c r="I277" s="17">
        <f>_xlfn.XLOOKUP($B277,'[1]Apr-24'!$A:$A,'[1]Apr-24'!$H:$H,0)</f>
        <v>0</v>
      </c>
      <c r="J277" s="17">
        <f>_xlfn.XLOOKUP($B277,'[1]May-24'!$A:$A,'[1]May-24'!$H:$H,0)</f>
        <v>0</v>
      </c>
      <c r="K277" s="17">
        <f>_xlfn.XLOOKUP($B277,'[1]Jun-24'!$A:$A,'[1]Jun-24'!$H:$H,0)</f>
        <v>0</v>
      </c>
      <c r="L277" s="17">
        <f>_xlfn.XLOOKUP($B277,'[1]Jul-24'!$A:$A,'[1]Jul-24'!$H:$H,0)</f>
        <v>0</v>
      </c>
      <c r="M277" s="17">
        <f>_xlfn.XLOOKUP($B277,'[1]Aug-24'!$A:$A,'[1]Aug-24'!$H:$H,0)</f>
        <v>0</v>
      </c>
      <c r="N277" s="17">
        <f>_xlfn.XLOOKUP($B277,'[1]Sep-24'!$A:$A,'[1]Sep-24'!$H:$H,0)</f>
        <v>0</v>
      </c>
      <c r="O277" s="17">
        <f>_xlfn.XLOOKUP($B277,'[1]Oct-24'!$A:$A,'[1]Oct-24'!$H:$H,0)</f>
        <v>0</v>
      </c>
      <c r="P277" s="17">
        <f>_xlfn.XLOOKUP($B277,'[1]Nov-24'!$A:$A,'[1]Nov-24'!$H:$H,0)</f>
        <v>0</v>
      </c>
      <c r="Q277" s="17">
        <f>_xlfn.XLOOKUP($B277,'[1]Dec-24'!$A:$A,'[1]Dec-24'!$H:$H,0)</f>
        <v>0</v>
      </c>
      <c r="R277" s="17">
        <f>_xlfn.XLOOKUP($B277,'[1]Jan-25'!$A:$A,'[1]Jan-25'!$H:$H,0)</f>
        <v>0</v>
      </c>
      <c r="S277" s="17">
        <f>_xlfn.XLOOKUP($B277,'[1]Feb-25'!$A:$A,'[1]Feb-25'!$H:$H,0)</f>
        <v>0</v>
      </c>
      <c r="T277" s="17">
        <f>_xlfn.XLOOKUP($B277,'[1]Mar-25'!$A:$A,'[1]Mar-25'!$H:$H,0)</f>
        <v>0</v>
      </c>
      <c r="U277" s="17">
        <f>_xlfn.XLOOKUP($B277,'[1]Apr-25'!$A:$A,'[1]Apr-25'!$H:$H,0)</f>
        <v>0</v>
      </c>
      <c r="V277" s="17">
        <f>_xlfn.XLOOKUP($B277,'[1]May-25'!$A:$A,'[1]May-25'!$H:$H,0)</f>
        <v>0</v>
      </c>
      <c r="W277" s="17">
        <f>_xlfn.XLOOKUP($B277,'[1]Jun-25'!$A:$A,'[1]Jun-25'!$H:$H,0)</f>
        <v>0</v>
      </c>
      <c r="X277" s="17">
        <f>_xlfn.XLOOKUP($B277,'[1]Jul-25'!$A:$A,'[1]Jul-25'!$H:$H,0)</f>
        <v>0</v>
      </c>
      <c r="Y277" s="17">
        <f>_xlfn.XLOOKUP($B277,'[1]Aug-25'!$A:$A,'[1]Aug-25'!$H:$H,0)</f>
        <v>0</v>
      </c>
      <c r="Z277" s="17">
        <f>_xlfn.XLOOKUP($B277,'[1]Sep-25'!$A:$A,'[1]Sep-25'!$H:$H,0)</f>
        <v>0</v>
      </c>
      <c r="AA277" s="17">
        <f>_xlfn.XLOOKUP($B277,'[1]Oct-25'!$A:$A,'[1]Oct-25'!$H:$H,0)</f>
        <v>0</v>
      </c>
      <c r="AB277" s="17">
        <f>_xlfn.XLOOKUP($B277,'[1]Nov-25'!$A:$A,'[1]Nov-25'!$H:$H,0)</f>
        <v>0</v>
      </c>
      <c r="AC277" s="17">
        <f>_xlfn.XLOOKUP($B277,'[1]Dec-25'!$A:$A,'[1]Dec-25'!$H:$H,0)</f>
        <v>0</v>
      </c>
      <c r="AD277" s="17">
        <f>_xlfn.XLOOKUP($B277,'[1]Jan-26'!$A:$A,'[1]Jan-26'!$H:$H,0)</f>
        <v>0</v>
      </c>
      <c r="AE277" s="17">
        <f>_xlfn.XLOOKUP($B277,'[1]Feb-26'!$A:$A,'[1]Feb-26'!$H:$H,0)</f>
        <v>0</v>
      </c>
      <c r="AF277" s="17">
        <f>_xlfn.XLOOKUP($B277,'[1]Mar-26'!$A:$A,'[1]Mar-26'!$H:$H,0)</f>
        <v>0</v>
      </c>
      <c r="AG277" s="17">
        <f>_xlfn.XLOOKUP($B277,'[1]Apr-26'!$A:$A,'[1]Apr-26'!$H:$H,0)</f>
        <v>0</v>
      </c>
    </row>
    <row r="278" spans="1:33" x14ac:dyDescent="0.2">
      <c r="A278" s="58">
        <v>40000</v>
      </c>
      <c r="B278" s="56" t="str">
        <f t="shared" si="10"/>
        <v>40000</v>
      </c>
      <c r="C278" s="57" t="s">
        <v>471</v>
      </c>
      <c r="D278" s="57" t="s">
        <v>369</v>
      </c>
      <c r="E278" s="44" t="s">
        <v>472</v>
      </c>
      <c r="F278" s="17">
        <f>_xlfn.XLOOKUP($B278,'[1]Jan-24'!$A:$A,'[1]Jan-24'!$H:$H,0)</f>
        <v>0</v>
      </c>
      <c r="G278" s="17">
        <f>_xlfn.XLOOKUP($B278,'[1]Feb-24'!$A:$A,'[1]Feb-24'!$H:$H,0)</f>
        <v>0</v>
      </c>
      <c r="H278" s="17">
        <f>_xlfn.XLOOKUP($B278,'[1]Mar-24'!$A:$A,'[1]Mar-24'!$H:$H,0)</f>
        <v>0</v>
      </c>
      <c r="I278" s="17">
        <f>_xlfn.XLOOKUP($B278,'[1]Apr-24'!$A:$A,'[1]Apr-24'!$H:$H,0)</f>
        <v>0</v>
      </c>
      <c r="J278" s="17">
        <f>_xlfn.XLOOKUP($B278,'[1]May-24'!$A:$A,'[1]May-24'!$H:$H,0)</f>
        <v>0</v>
      </c>
      <c r="K278" s="17">
        <f>_xlfn.XLOOKUP($B278,'[1]Jun-24'!$A:$A,'[1]Jun-24'!$H:$H,0)</f>
        <v>0</v>
      </c>
      <c r="L278" s="17">
        <f>_xlfn.XLOOKUP($B278,'[1]Jul-24'!$A:$A,'[1]Jul-24'!$H:$H,0)</f>
        <v>0</v>
      </c>
      <c r="M278" s="17">
        <f>_xlfn.XLOOKUP($B278,'[1]Aug-24'!$A:$A,'[1]Aug-24'!$H:$H,0)</f>
        <v>0</v>
      </c>
      <c r="N278" s="17">
        <f>_xlfn.XLOOKUP($B278,'[1]Sep-24'!$A:$A,'[1]Sep-24'!$H:$H,0)</f>
        <v>0</v>
      </c>
      <c r="O278" s="17">
        <f>_xlfn.XLOOKUP($B278,'[1]Oct-24'!$A:$A,'[1]Oct-24'!$H:$H,0)</f>
        <v>0</v>
      </c>
      <c r="P278" s="17">
        <f>_xlfn.XLOOKUP($B278,'[1]Nov-24'!$A:$A,'[1]Nov-24'!$H:$H,0)</f>
        <v>0</v>
      </c>
      <c r="Q278" s="17">
        <f>_xlfn.XLOOKUP($B278,'[1]Dec-24'!$A:$A,'[1]Dec-24'!$H:$H,0)</f>
        <v>0</v>
      </c>
      <c r="R278" s="17">
        <f>_xlfn.XLOOKUP($B278,'[1]Jan-25'!$A:$A,'[1]Jan-25'!$H:$H,0)</f>
        <v>0</v>
      </c>
      <c r="S278" s="17">
        <f>_xlfn.XLOOKUP($B278,'[1]Feb-25'!$A:$A,'[1]Feb-25'!$H:$H,0)</f>
        <v>0</v>
      </c>
      <c r="T278" s="17">
        <f>_xlfn.XLOOKUP($B278,'[1]Mar-25'!$A:$A,'[1]Mar-25'!$H:$H,0)</f>
        <v>0</v>
      </c>
      <c r="U278" s="17">
        <f>_xlfn.XLOOKUP($B278,'[1]Apr-25'!$A:$A,'[1]Apr-25'!$H:$H,0)</f>
        <v>0</v>
      </c>
      <c r="V278" s="17">
        <f>_xlfn.XLOOKUP($B278,'[1]May-25'!$A:$A,'[1]May-25'!$H:$H,0)</f>
        <v>0</v>
      </c>
      <c r="W278" s="17">
        <f>_xlfn.XLOOKUP($B278,'[1]Jun-25'!$A:$A,'[1]Jun-25'!$H:$H,0)</f>
        <v>0</v>
      </c>
      <c r="X278" s="17">
        <f>_xlfn.XLOOKUP($B278,'[1]Jul-25'!$A:$A,'[1]Jul-25'!$H:$H,0)</f>
        <v>0</v>
      </c>
      <c r="Y278" s="17">
        <f>_xlfn.XLOOKUP($B278,'[1]Aug-25'!$A:$A,'[1]Aug-25'!$H:$H,0)</f>
        <v>0</v>
      </c>
      <c r="Z278" s="17">
        <f>_xlfn.XLOOKUP($B278,'[1]Sep-25'!$A:$A,'[1]Sep-25'!$H:$H,0)</f>
        <v>0</v>
      </c>
      <c r="AA278" s="17">
        <f>_xlfn.XLOOKUP($B278,'[1]Oct-25'!$A:$A,'[1]Oct-25'!$H:$H,0)</f>
        <v>0</v>
      </c>
      <c r="AB278" s="17">
        <f>_xlfn.XLOOKUP($B278,'[1]Nov-25'!$A:$A,'[1]Nov-25'!$H:$H,0)</f>
        <v>0</v>
      </c>
      <c r="AC278" s="17">
        <f>_xlfn.XLOOKUP($B278,'[1]Dec-25'!$A:$A,'[1]Dec-25'!$H:$H,0)</f>
        <v>0</v>
      </c>
      <c r="AD278" s="17">
        <f>_xlfn.XLOOKUP($B278,'[1]Jan-26'!$A:$A,'[1]Jan-26'!$H:$H,0)</f>
        <v>0</v>
      </c>
      <c r="AE278" s="17">
        <f>_xlfn.XLOOKUP($B278,'[1]Feb-26'!$A:$A,'[1]Feb-26'!$H:$H,0)</f>
        <v>0</v>
      </c>
      <c r="AF278" s="17">
        <f>_xlfn.XLOOKUP($B278,'[1]Mar-26'!$A:$A,'[1]Mar-26'!$H:$H,0)</f>
        <v>0</v>
      </c>
      <c r="AG278" s="17">
        <f>_xlfn.XLOOKUP($B278,'[1]Apr-26'!$A:$A,'[1]Apr-26'!$H:$H,0)</f>
        <v>0</v>
      </c>
    </row>
    <row r="279" spans="1:33" x14ac:dyDescent="0.2">
      <c r="A279" s="58">
        <v>40005</v>
      </c>
      <c r="B279" s="56" t="str">
        <f t="shared" si="10"/>
        <v>40005</v>
      </c>
      <c r="C279" s="57" t="s">
        <v>471</v>
      </c>
      <c r="D279" s="57" t="s">
        <v>369</v>
      </c>
      <c r="E279" s="44" t="s">
        <v>473</v>
      </c>
      <c r="F279" s="17">
        <f>_xlfn.XLOOKUP($B279,'[1]Jan-24'!$A:$A,'[1]Jan-24'!$H:$H,0)</f>
        <v>0</v>
      </c>
      <c r="G279" s="17">
        <f>_xlfn.XLOOKUP($B279,'[1]Feb-24'!$A:$A,'[1]Feb-24'!$H:$H,0)</f>
        <v>0</v>
      </c>
      <c r="H279" s="17">
        <f>_xlfn.XLOOKUP($B279,'[1]Mar-24'!$A:$A,'[1]Mar-24'!$H:$H,0)</f>
        <v>0</v>
      </c>
      <c r="I279" s="17">
        <f>_xlfn.XLOOKUP($B279,'[1]Apr-24'!$A:$A,'[1]Apr-24'!$H:$H,0)</f>
        <v>0</v>
      </c>
      <c r="J279" s="17">
        <f>_xlfn.XLOOKUP($B279,'[1]May-24'!$A:$A,'[1]May-24'!$H:$H,0)</f>
        <v>0</v>
      </c>
      <c r="K279" s="17">
        <f>_xlfn.XLOOKUP($B279,'[1]Jun-24'!$A:$A,'[1]Jun-24'!$H:$H,0)</f>
        <v>0</v>
      </c>
      <c r="L279" s="17">
        <f>_xlfn.XLOOKUP($B279,'[1]Jul-24'!$A:$A,'[1]Jul-24'!$H:$H,0)</f>
        <v>0</v>
      </c>
      <c r="M279" s="17">
        <f>_xlfn.XLOOKUP($B279,'[1]Aug-24'!$A:$A,'[1]Aug-24'!$H:$H,0)</f>
        <v>0</v>
      </c>
      <c r="N279" s="17">
        <f>_xlfn.XLOOKUP($B279,'[1]Sep-24'!$A:$A,'[1]Sep-24'!$H:$H,0)</f>
        <v>0</v>
      </c>
      <c r="O279" s="17">
        <f>_xlfn.XLOOKUP($B279,'[1]Oct-24'!$A:$A,'[1]Oct-24'!$H:$H,0)</f>
        <v>0</v>
      </c>
      <c r="P279" s="17">
        <f>_xlfn.XLOOKUP($B279,'[1]Nov-24'!$A:$A,'[1]Nov-24'!$H:$H,0)</f>
        <v>0</v>
      </c>
      <c r="Q279" s="17">
        <f>_xlfn.XLOOKUP($B279,'[1]Dec-24'!$A:$A,'[1]Dec-24'!$H:$H,0)</f>
        <v>0</v>
      </c>
      <c r="R279" s="17">
        <f>_xlfn.XLOOKUP($B279,'[1]Jan-25'!$A:$A,'[1]Jan-25'!$H:$H,0)</f>
        <v>0</v>
      </c>
      <c r="S279" s="17">
        <f>_xlfn.XLOOKUP($B279,'[1]Feb-25'!$A:$A,'[1]Feb-25'!$H:$H,0)</f>
        <v>0</v>
      </c>
      <c r="T279" s="17">
        <f>_xlfn.XLOOKUP($B279,'[1]Mar-25'!$A:$A,'[1]Mar-25'!$H:$H,0)</f>
        <v>0</v>
      </c>
      <c r="U279" s="17">
        <f>_xlfn.XLOOKUP($B279,'[1]Apr-25'!$A:$A,'[1]Apr-25'!$H:$H,0)</f>
        <v>0</v>
      </c>
      <c r="V279" s="17">
        <f>_xlfn.XLOOKUP($B279,'[1]May-25'!$A:$A,'[1]May-25'!$H:$H,0)</f>
        <v>0</v>
      </c>
      <c r="W279" s="17">
        <f>_xlfn.XLOOKUP($B279,'[1]Jun-25'!$A:$A,'[1]Jun-25'!$H:$H,0)</f>
        <v>0</v>
      </c>
      <c r="X279" s="17">
        <f>_xlfn.XLOOKUP($B279,'[1]Jul-25'!$A:$A,'[1]Jul-25'!$H:$H,0)</f>
        <v>0</v>
      </c>
      <c r="Y279" s="17">
        <f>_xlfn.XLOOKUP($B279,'[1]Aug-25'!$A:$A,'[1]Aug-25'!$H:$H,0)</f>
        <v>0</v>
      </c>
      <c r="Z279" s="17">
        <f>_xlfn.XLOOKUP($B279,'[1]Sep-25'!$A:$A,'[1]Sep-25'!$H:$H,0)</f>
        <v>0</v>
      </c>
      <c r="AA279" s="17">
        <f>_xlfn.XLOOKUP($B279,'[1]Oct-25'!$A:$A,'[1]Oct-25'!$H:$H,0)</f>
        <v>0</v>
      </c>
      <c r="AB279" s="17">
        <f>_xlfn.XLOOKUP($B279,'[1]Nov-25'!$A:$A,'[1]Nov-25'!$H:$H,0)</f>
        <v>0</v>
      </c>
      <c r="AC279" s="17">
        <f>_xlfn.XLOOKUP($B279,'[1]Dec-25'!$A:$A,'[1]Dec-25'!$H:$H,0)</f>
        <v>0</v>
      </c>
      <c r="AD279" s="17">
        <f>_xlfn.XLOOKUP($B279,'[1]Jan-26'!$A:$A,'[1]Jan-26'!$H:$H,0)</f>
        <v>0</v>
      </c>
      <c r="AE279" s="17">
        <f>_xlfn.XLOOKUP($B279,'[1]Feb-26'!$A:$A,'[1]Feb-26'!$H:$H,0)</f>
        <v>0</v>
      </c>
      <c r="AF279" s="17">
        <f>_xlfn.XLOOKUP($B279,'[1]Mar-26'!$A:$A,'[1]Mar-26'!$H:$H,0)</f>
        <v>0</v>
      </c>
      <c r="AG279" s="17">
        <f>_xlfn.XLOOKUP($B279,'[1]Apr-26'!$A:$A,'[1]Apr-26'!$H:$H,0)</f>
        <v>0</v>
      </c>
    </row>
    <row r="280" spans="1:33" x14ac:dyDescent="0.2">
      <c r="A280" s="58">
        <v>40010</v>
      </c>
      <c r="B280" s="56" t="str">
        <f t="shared" si="10"/>
        <v>40010</v>
      </c>
      <c r="C280" s="57" t="s">
        <v>471</v>
      </c>
      <c r="D280" s="57" t="s">
        <v>369</v>
      </c>
      <c r="E280" s="44" t="s">
        <v>474</v>
      </c>
      <c r="F280" s="17">
        <f>_xlfn.XLOOKUP($B280,'[1]Jan-24'!$A:$A,'[1]Jan-24'!$H:$H,0)</f>
        <v>0</v>
      </c>
      <c r="G280" s="17">
        <f>_xlfn.XLOOKUP($B280,'[1]Feb-24'!$A:$A,'[1]Feb-24'!$H:$H,0)</f>
        <v>0</v>
      </c>
      <c r="H280" s="17">
        <f>_xlfn.XLOOKUP($B280,'[1]Mar-24'!$A:$A,'[1]Mar-24'!$H:$H,0)</f>
        <v>0</v>
      </c>
      <c r="I280" s="17">
        <f>_xlfn.XLOOKUP($B280,'[1]Apr-24'!$A:$A,'[1]Apr-24'!$H:$H,0)</f>
        <v>0</v>
      </c>
      <c r="J280" s="17">
        <f>_xlfn.XLOOKUP($B280,'[1]May-24'!$A:$A,'[1]May-24'!$H:$H,0)</f>
        <v>0</v>
      </c>
      <c r="K280" s="17">
        <f>_xlfn.XLOOKUP($B280,'[1]Jun-24'!$A:$A,'[1]Jun-24'!$H:$H,0)</f>
        <v>0</v>
      </c>
      <c r="L280" s="17">
        <f>_xlfn.XLOOKUP($B280,'[1]Jul-24'!$A:$A,'[1]Jul-24'!$H:$H,0)</f>
        <v>0</v>
      </c>
      <c r="M280" s="17">
        <f>_xlfn.XLOOKUP($B280,'[1]Aug-24'!$A:$A,'[1]Aug-24'!$H:$H,0)</f>
        <v>0</v>
      </c>
      <c r="N280" s="17">
        <f>_xlfn.XLOOKUP($B280,'[1]Sep-24'!$A:$A,'[1]Sep-24'!$H:$H,0)</f>
        <v>0</v>
      </c>
      <c r="O280" s="17">
        <f>_xlfn.XLOOKUP($B280,'[1]Oct-24'!$A:$A,'[1]Oct-24'!$H:$H,0)</f>
        <v>0</v>
      </c>
      <c r="P280" s="17">
        <f>_xlfn.XLOOKUP($B280,'[1]Nov-24'!$A:$A,'[1]Nov-24'!$H:$H,0)</f>
        <v>0</v>
      </c>
      <c r="Q280" s="17">
        <f>_xlfn.XLOOKUP($B280,'[1]Dec-24'!$A:$A,'[1]Dec-24'!$H:$H,0)</f>
        <v>0</v>
      </c>
      <c r="R280" s="17">
        <f>_xlfn.XLOOKUP($B280,'[1]Jan-25'!$A:$A,'[1]Jan-25'!$H:$H,0)</f>
        <v>0</v>
      </c>
      <c r="S280" s="17">
        <f>_xlfn.XLOOKUP($B280,'[1]Feb-25'!$A:$A,'[1]Feb-25'!$H:$H,0)</f>
        <v>0</v>
      </c>
      <c r="T280" s="17">
        <f>_xlfn.XLOOKUP($B280,'[1]Mar-25'!$A:$A,'[1]Mar-25'!$H:$H,0)</f>
        <v>0</v>
      </c>
      <c r="U280" s="17">
        <f>_xlfn.XLOOKUP($B280,'[1]Apr-25'!$A:$A,'[1]Apr-25'!$H:$H,0)</f>
        <v>0</v>
      </c>
      <c r="V280" s="17">
        <f>_xlfn.XLOOKUP($B280,'[1]May-25'!$A:$A,'[1]May-25'!$H:$H,0)</f>
        <v>0</v>
      </c>
      <c r="W280" s="17">
        <f>_xlfn.XLOOKUP($B280,'[1]Jun-25'!$A:$A,'[1]Jun-25'!$H:$H,0)</f>
        <v>0</v>
      </c>
      <c r="X280" s="17">
        <f>_xlfn.XLOOKUP($B280,'[1]Jul-25'!$A:$A,'[1]Jul-25'!$H:$H,0)</f>
        <v>0</v>
      </c>
      <c r="Y280" s="17">
        <f>_xlfn.XLOOKUP($B280,'[1]Aug-25'!$A:$A,'[1]Aug-25'!$H:$H,0)</f>
        <v>0</v>
      </c>
      <c r="Z280" s="17">
        <f>_xlfn.XLOOKUP($B280,'[1]Sep-25'!$A:$A,'[1]Sep-25'!$H:$H,0)</f>
        <v>0</v>
      </c>
      <c r="AA280" s="17">
        <f>_xlfn.XLOOKUP($B280,'[1]Oct-25'!$A:$A,'[1]Oct-25'!$H:$H,0)</f>
        <v>0</v>
      </c>
      <c r="AB280" s="17">
        <f>_xlfn.XLOOKUP($B280,'[1]Nov-25'!$A:$A,'[1]Nov-25'!$H:$H,0)</f>
        <v>0</v>
      </c>
      <c r="AC280" s="17">
        <f>_xlfn.XLOOKUP($B280,'[1]Dec-25'!$A:$A,'[1]Dec-25'!$H:$H,0)</f>
        <v>0</v>
      </c>
      <c r="AD280" s="17">
        <f>_xlfn.XLOOKUP($B280,'[1]Jan-26'!$A:$A,'[1]Jan-26'!$H:$H,0)</f>
        <v>0</v>
      </c>
      <c r="AE280" s="17">
        <f>_xlfn.XLOOKUP($B280,'[1]Feb-26'!$A:$A,'[1]Feb-26'!$H:$H,0)</f>
        <v>0</v>
      </c>
      <c r="AF280" s="17">
        <f>_xlfn.XLOOKUP($B280,'[1]Mar-26'!$A:$A,'[1]Mar-26'!$H:$H,0)</f>
        <v>0</v>
      </c>
      <c r="AG280" s="17">
        <f>_xlfn.XLOOKUP($B280,'[1]Apr-26'!$A:$A,'[1]Apr-26'!$H:$H,0)</f>
        <v>0</v>
      </c>
    </row>
    <row r="281" spans="1:33" x14ac:dyDescent="0.2">
      <c r="A281" s="58">
        <v>40015</v>
      </c>
      <c r="B281" s="56" t="str">
        <f t="shared" si="10"/>
        <v>40015</v>
      </c>
      <c r="C281" s="57" t="s">
        <v>471</v>
      </c>
      <c r="D281" s="57" t="s">
        <v>369</v>
      </c>
      <c r="E281" s="44" t="s">
        <v>93</v>
      </c>
      <c r="F281" s="17">
        <f>_xlfn.XLOOKUP($B281,'[1]Jan-24'!$A:$A,'[1]Jan-24'!$H:$H,0)</f>
        <v>-1638139.53</v>
      </c>
      <c r="G281" s="17">
        <f>_xlfn.XLOOKUP($B281,'[1]Feb-24'!$A:$A,'[1]Feb-24'!$H:$H,0)</f>
        <v>-8048186.0499999998</v>
      </c>
      <c r="H281" s="17">
        <f>_xlfn.XLOOKUP($B281,'[1]Mar-24'!$A:$A,'[1]Mar-24'!$H:$H,0)</f>
        <v>-5571348.8399999999</v>
      </c>
      <c r="I281" s="17">
        <f>_xlfn.XLOOKUP($B281,'[1]Apr-24'!$A:$A,'[1]Apr-24'!$H:$H,0)</f>
        <v>-14634418.6</v>
      </c>
      <c r="J281" s="17">
        <f>_xlfn.XLOOKUP($B281,'[1]May-24'!$A:$A,'[1]May-24'!$H:$H,0)</f>
        <v>-34558697.670000002</v>
      </c>
      <c r="K281" s="17">
        <f>_xlfn.XLOOKUP($B281,'[1]Jun-24'!$A:$A,'[1]Jun-24'!$H:$H,0)</f>
        <v>-16373953.49</v>
      </c>
      <c r="L281" s="17">
        <f>_xlfn.XLOOKUP($B281,'[1]Jul-24'!$A:$A,'[1]Jul-24'!$H:$H,0)</f>
        <v>-21312372.09</v>
      </c>
      <c r="M281" s="17">
        <f>_xlfn.XLOOKUP($B281,'[1]Aug-24'!$A:$A,'[1]Aug-24'!$H:$H,0)</f>
        <v>-7687813.9500000002</v>
      </c>
      <c r="N281" s="17">
        <f>_xlfn.XLOOKUP($B281,'[1]Sep-24'!$A:$A,'[1]Sep-24'!$H:$H,0)</f>
        <v>-2009488.37</v>
      </c>
      <c r="O281" s="17">
        <f>_xlfn.XLOOKUP($B281,'[1]Oct-24'!$A:$A,'[1]Oct-24'!$H:$H,0)</f>
        <v>-3087069.77</v>
      </c>
      <c r="P281" s="17">
        <f>_xlfn.XLOOKUP($B281,'[1]Nov-24'!$A:$A,'[1]Nov-24'!$H:$H,0)</f>
        <v>-5157906.9800000004</v>
      </c>
      <c r="Q281" s="17">
        <f>_xlfn.XLOOKUP($B281,'[1]Dec-24'!$A:$A,'[1]Dec-24'!$H:$H,0)</f>
        <v>-2742883.72</v>
      </c>
      <c r="R281" s="17">
        <f>_xlfn.XLOOKUP($B281,'[1]Jan-25'!$A:$A,'[1]Jan-25'!$H:$H,0)</f>
        <v>0</v>
      </c>
      <c r="S281" s="17">
        <f>_xlfn.XLOOKUP($B281,'[1]Feb-25'!$A:$A,'[1]Feb-25'!$H:$H,0)</f>
        <v>0</v>
      </c>
      <c r="T281" s="17">
        <f>_xlfn.XLOOKUP($B281,'[1]Mar-25'!$A:$A,'[1]Mar-25'!$H:$H,0)</f>
        <v>0</v>
      </c>
      <c r="U281" s="17">
        <f>_xlfn.XLOOKUP($B281,'[1]Apr-25'!$A:$A,'[1]Apr-25'!$H:$H,0)</f>
        <v>0</v>
      </c>
      <c r="V281" s="17">
        <f>_xlfn.XLOOKUP($B281,'[1]May-25'!$A:$A,'[1]May-25'!$H:$H,0)</f>
        <v>0</v>
      </c>
      <c r="W281" s="17">
        <f>_xlfn.XLOOKUP($B281,'[1]Jun-25'!$A:$A,'[1]Jun-25'!$H:$H,0)</f>
        <v>0</v>
      </c>
      <c r="X281" s="17">
        <f>_xlfn.XLOOKUP($B281,'[1]Jul-25'!$A:$A,'[1]Jul-25'!$H:$H,0)</f>
        <v>0</v>
      </c>
      <c r="Y281" s="17">
        <f>_xlfn.XLOOKUP($B281,'[1]Aug-25'!$A:$A,'[1]Aug-25'!$H:$H,0)</f>
        <v>0</v>
      </c>
      <c r="Z281" s="17">
        <f>_xlfn.XLOOKUP($B281,'[1]Sep-25'!$A:$A,'[1]Sep-25'!$H:$H,0)</f>
        <v>0</v>
      </c>
      <c r="AA281" s="17">
        <f>_xlfn.XLOOKUP($B281,'[1]Oct-25'!$A:$A,'[1]Oct-25'!$H:$H,0)</f>
        <v>0</v>
      </c>
      <c r="AB281" s="17">
        <f>_xlfn.XLOOKUP($B281,'[1]Nov-25'!$A:$A,'[1]Nov-25'!$H:$H,0)</f>
        <v>0</v>
      </c>
      <c r="AC281" s="17">
        <f>_xlfn.XLOOKUP($B281,'[1]Dec-25'!$A:$A,'[1]Dec-25'!$H:$H,0)</f>
        <v>0</v>
      </c>
      <c r="AD281" s="17">
        <f>_xlfn.XLOOKUP($B281,'[1]Jan-26'!$A:$A,'[1]Jan-26'!$H:$H,0)</f>
        <v>0</v>
      </c>
      <c r="AE281" s="17">
        <f>_xlfn.XLOOKUP($B281,'[1]Feb-26'!$A:$A,'[1]Feb-26'!$H:$H,0)</f>
        <v>0</v>
      </c>
      <c r="AF281" s="17">
        <f>_xlfn.XLOOKUP($B281,'[1]Mar-26'!$A:$A,'[1]Mar-26'!$H:$H,0)</f>
        <v>0</v>
      </c>
      <c r="AG281" s="17">
        <f>_xlfn.XLOOKUP($B281,'[1]Apr-26'!$A:$A,'[1]Apr-26'!$H:$H,0)</f>
        <v>0</v>
      </c>
    </row>
    <row r="282" spans="1:33" x14ac:dyDescent="0.2">
      <c r="A282" s="58">
        <v>40020</v>
      </c>
      <c r="B282" s="56" t="str">
        <f t="shared" si="10"/>
        <v>40020</v>
      </c>
      <c r="C282" s="57" t="s">
        <v>471</v>
      </c>
      <c r="D282" s="57" t="s">
        <v>369</v>
      </c>
      <c r="E282" s="44" t="s">
        <v>94</v>
      </c>
      <c r="F282" s="17">
        <f>_xlfn.XLOOKUP($B282,'[1]Jan-24'!$A:$A,'[1]Jan-24'!$H:$H,0)</f>
        <v>0</v>
      </c>
      <c r="G282" s="17">
        <f>_xlfn.XLOOKUP($B282,'[1]Feb-24'!$A:$A,'[1]Feb-24'!$H:$H,0)</f>
        <v>0</v>
      </c>
      <c r="H282" s="17">
        <f>_xlfn.XLOOKUP($B282,'[1]Mar-24'!$A:$A,'[1]Mar-24'!$H:$H,0)</f>
        <v>0</v>
      </c>
      <c r="I282" s="17">
        <f>_xlfn.XLOOKUP($B282,'[1]Apr-24'!$A:$A,'[1]Apr-24'!$H:$H,0)</f>
        <v>-293333.33</v>
      </c>
      <c r="J282" s="17">
        <f>_xlfn.XLOOKUP($B282,'[1]May-24'!$A:$A,'[1]May-24'!$H:$H,0)</f>
        <v>-293333.33</v>
      </c>
      <c r="K282" s="17">
        <f>_xlfn.XLOOKUP($B282,'[1]Jun-24'!$A:$A,'[1]Jun-24'!$H:$H,0)</f>
        <v>-293333.33</v>
      </c>
      <c r="L282" s="17">
        <f>_xlfn.XLOOKUP($B282,'[1]Jul-24'!$A:$A,'[1]Jul-24'!$H:$H,0)</f>
        <v>-293333.33</v>
      </c>
      <c r="M282" s="17">
        <f>_xlfn.XLOOKUP($B282,'[1]Aug-24'!$A:$A,'[1]Aug-24'!$H:$H,0)</f>
        <v>-76424296.590000004</v>
      </c>
      <c r="N282" s="17">
        <f>_xlfn.XLOOKUP($B282,'[1]Sep-24'!$A:$A,'[1]Sep-24'!$H:$H,0)</f>
        <v>-293333.33</v>
      </c>
      <c r="O282" s="17">
        <f>_xlfn.XLOOKUP($B282,'[1]Oct-24'!$A:$A,'[1]Oct-24'!$H:$H,0)</f>
        <v>-293333.33</v>
      </c>
      <c r="P282" s="17">
        <f>_xlfn.XLOOKUP($B282,'[1]Nov-24'!$A:$A,'[1]Nov-24'!$H:$H,0)</f>
        <v>-293333.33</v>
      </c>
      <c r="Q282" s="17">
        <f>_xlfn.XLOOKUP($B282,'[1]Dec-24'!$A:$A,'[1]Dec-24'!$H:$H,0)</f>
        <v>-330542.63</v>
      </c>
      <c r="R282" s="17">
        <f>_xlfn.XLOOKUP($B282,'[1]Jan-25'!$A:$A,'[1]Jan-25'!$H:$H,0)</f>
        <v>-293333.33</v>
      </c>
      <c r="S282" s="17">
        <f>_xlfn.XLOOKUP($B282,'[1]Feb-25'!$A:$A,'[1]Feb-25'!$H:$H,0)</f>
        <v>-307333.32999999996</v>
      </c>
      <c r="T282" s="17">
        <f>_xlfn.XLOOKUP($B282,'[1]Mar-25'!$A:$A,'[1]Mar-25'!$H:$H,0)</f>
        <v>-293333.33</v>
      </c>
      <c r="U282" s="17">
        <f>_xlfn.XLOOKUP($B282,'[1]Apr-25'!$A:$A,'[1]Apr-25'!$H:$H,0)</f>
        <v>0</v>
      </c>
      <c r="V282" s="17">
        <f>_xlfn.XLOOKUP($B282,'[1]May-25'!$A:$A,'[1]May-25'!$H:$H,0)</f>
        <v>0</v>
      </c>
      <c r="W282" s="17">
        <f>_xlfn.XLOOKUP($B282,'[1]Jun-25'!$A:$A,'[1]Jun-25'!$H:$H,0)</f>
        <v>0</v>
      </c>
      <c r="X282" s="17">
        <f>_xlfn.XLOOKUP($B282,'[1]Jul-25'!$A:$A,'[1]Jul-25'!$H:$H,0)</f>
        <v>0</v>
      </c>
      <c r="Y282" s="17">
        <f>_xlfn.XLOOKUP($B282,'[1]Aug-25'!$A:$A,'[1]Aug-25'!$H:$H,0)</f>
        <v>0</v>
      </c>
      <c r="Z282" s="17">
        <f>_xlfn.XLOOKUP($B282,'[1]Sep-25'!$A:$A,'[1]Sep-25'!$H:$H,0)</f>
        <v>0</v>
      </c>
      <c r="AA282" s="17">
        <f>_xlfn.XLOOKUP($B282,'[1]Oct-25'!$A:$A,'[1]Oct-25'!$H:$H,0)</f>
        <v>0</v>
      </c>
      <c r="AB282" s="17">
        <f>_xlfn.XLOOKUP($B282,'[1]Nov-25'!$A:$A,'[1]Nov-25'!$H:$H,0)</f>
        <v>0</v>
      </c>
      <c r="AC282" s="17">
        <f>_xlfn.XLOOKUP($B282,'[1]Dec-25'!$A:$A,'[1]Dec-25'!$H:$H,0)</f>
        <v>0</v>
      </c>
      <c r="AD282" s="17">
        <f>_xlfn.XLOOKUP($B282,'[1]Jan-26'!$A:$A,'[1]Jan-26'!$H:$H,0)</f>
        <v>0</v>
      </c>
      <c r="AE282" s="17">
        <f>_xlfn.XLOOKUP($B282,'[1]Feb-26'!$A:$A,'[1]Feb-26'!$H:$H,0)</f>
        <v>0</v>
      </c>
      <c r="AF282" s="17">
        <f>_xlfn.XLOOKUP($B282,'[1]Mar-26'!$A:$A,'[1]Mar-26'!$H:$H,0)</f>
        <v>0</v>
      </c>
      <c r="AG282" s="17">
        <f>_xlfn.XLOOKUP($B282,'[1]Apr-26'!$A:$A,'[1]Apr-26'!$H:$H,0)</f>
        <v>0</v>
      </c>
    </row>
    <row r="283" spans="1:33" x14ac:dyDescent="0.2">
      <c r="A283" s="58">
        <v>40025</v>
      </c>
      <c r="B283" s="56" t="str">
        <f t="shared" si="10"/>
        <v>40025</v>
      </c>
      <c r="C283" s="57" t="s">
        <v>471</v>
      </c>
      <c r="D283" s="57" t="s">
        <v>369</v>
      </c>
      <c r="E283" s="44" t="s">
        <v>95</v>
      </c>
      <c r="F283" s="17">
        <f>_xlfn.XLOOKUP($B283,'[1]Jan-24'!$A:$A,'[1]Jan-24'!$H:$H,0)</f>
        <v>-40971906.979999997</v>
      </c>
      <c r="G283" s="17">
        <f>_xlfn.XLOOKUP($B283,'[1]Feb-24'!$A:$A,'[1]Feb-24'!$H:$H,0)</f>
        <v>-576744.18999999994</v>
      </c>
      <c r="H283" s="17">
        <f>_xlfn.XLOOKUP($B283,'[1]Mar-24'!$A:$A,'[1]Mar-24'!$H:$H,0)</f>
        <v>-10669767.439999999</v>
      </c>
      <c r="I283" s="17">
        <f>_xlfn.XLOOKUP($B283,'[1]Apr-24'!$A:$A,'[1]Apr-24'!$H:$H,0)</f>
        <v>-11660399.26</v>
      </c>
      <c r="J283" s="17">
        <f>_xlfn.XLOOKUP($B283,'[1]May-24'!$A:$A,'[1]May-24'!$H:$H,0)</f>
        <v>-99960637.040000007</v>
      </c>
      <c r="K283" s="17">
        <f>_xlfn.XLOOKUP($B283,'[1]Jun-24'!$A:$A,'[1]Jun-24'!$H:$H,0)</f>
        <v>-32270245.579999998</v>
      </c>
      <c r="L283" s="17">
        <f>_xlfn.XLOOKUP($B283,'[1]Jul-24'!$A:$A,'[1]Jul-24'!$H:$H,0)</f>
        <v>-35637651.159999996</v>
      </c>
      <c r="M283" s="17">
        <f>_xlfn.XLOOKUP($B283,'[1]Aug-24'!$A:$A,'[1]Aug-24'!$H:$H,0)</f>
        <v>-33619046.509999998</v>
      </c>
      <c r="N283" s="17">
        <f>_xlfn.XLOOKUP($B283,'[1]Sep-24'!$A:$A,'[1]Sep-24'!$H:$H,0)</f>
        <v>-36214395.350000001</v>
      </c>
      <c r="O283" s="17">
        <f>_xlfn.XLOOKUP($B283,'[1]Oct-24'!$A:$A,'[1]Oct-24'!$H:$H,0)</f>
        <v>-46595790.700000003</v>
      </c>
      <c r="P283" s="17">
        <f>_xlfn.XLOOKUP($B283,'[1]Nov-24'!$A:$A,'[1]Nov-24'!$H:$H,0)</f>
        <v>-66297576.75</v>
      </c>
      <c r="Q283" s="17">
        <f>_xlfn.XLOOKUP($B283,'[1]Dec-24'!$A:$A,'[1]Dec-24'!$H:$H,0)</f>
        <v>-454533790.82999992</v>
      </c>
      <c r="R283" s="17">
        <f>_xlfn.XLOOKUP($B283,'[1]Jan-25'!$A:$A,'[1]Jan-25'!$H:$H,0)</f>
        <v>0</v>
      </c>
      <c r="S283" s="17">
        <f>_xlfn.XLOOKUP($B283,'[1]Feb-25'!$A:$A,'[1]Feb-25'!$H:$H,0)</f>
        <v>0</v>
      </c>
      <c r="T283" s="17">
        <f>_xlfn.XLOOKUP($B283,'[1]Mar-25'!$A:$A,'[1]Mar-25'!$H:$H,0)</f>
        <v>0</v>
      </c>
      <c r="U283" s="17">
        <f>_xlfn.XLOOKUP($B283,'[1]Apr-25'!$A:$A,'[1]Apr-25'!$H:$H,0)</f>
        <v>0</v>
      </c>
      <c r="V283" s="17">
        <f>_xlfn.XLOOKUP($B283,'[1]May-25'!$A:$A,'[1]May-25'!$H:$H,0)</f>
        <v>0</v>
      </c>
      <c r="W283" s="17">
        <f>_xlfn.XLOOKUP($B283,'[1]Jun-25'!$A:$A,'[1]Jun-25'!$H:$H,0)</f>
        <v>0</v>
      </c>
      <c r="X283" s="17">
        <f>_xlfn.XLOOKUP($B283,'[1]Jul-25'!$A:$A,'[1]Jul-25'!$H:$H,0)</f>
        <v>0</v>
      </c>
      <c r="Y283" s="17">
        <f>_xlfn.XLOOKUP($B283,'[1]Aug-25'!$A:$A,'[1]Aug-25'!$H:$H,0)</f>
        <v>0</v>
      </c>
      <c r="Z283" s="17">
        <f>_xlfn.XLOOKUP($B283,'[1]Sep-25'!$A:$A,'[1]Sep-25'!$H:$H,0)</f>
        <v>0</v>
      </c>
      <c r="AA283" s="17">
        <f>_xlfn.XLOOKUP($B283,'[1]Oct-25'!$A:$A,'[1]Oct-25'!$H:$H,0)</f>
        <v>0</v>
      </c>
      <c r="AB283" s="17">
        <f>_xlfn.XLOOKUP($B283,'[1]Nov-25'!$A:$A,'[1]Nov-25'!$H:$H,0)</f>
        <v>0</v>
      </c>
      <c r="AC283" s="17">
        <f>_xlfn.XLOOKUP($B283,'[1]Dec-25'!$A:$A,'[1]Dec-25'!$H:$H,0)</f>
        <v>0</v>
      </c>
      <c r="AD283" s="17">
        <f>_xlfn.XLOOKUP($B283,'[1]Jan-26'!$A:$A,'[1]Jan-26'!$H:$H,0)</f>
        <v>0</v>
      </c>
      <c r="AE283" s="17">
        <f>_xlfn.XLOOKUP($B283,'[1]Feb-26'!$A:$A,'[1]Feb-26'!$H:$H,0)</f>
        <v>0</v>
      </c>
      <c r="AF283" s="17">
        <f>_xlfn.XLOOKUP($B283,'[1]Mar-26'!$A:$A,'[1]Mar-26'!$H:$H,0)</f>
        <v>0</v>
      </c>
      <c r="AG283" s="17">
        <f>_xlfn.XLOOKUP($B283,'[1]Apr-26'!$A:$A,'[1]Apr-26'!$H:$H,0)</f>
        <v>0</v>
      </c>
    </row>
    <row r="284" spans="1:33" x14ac:dyDescent="0.2">
      <c r="A284" s="58">
        <v>40030</v>
      </c>
      <c r="B284" s="56" t="str">
        <f t="shared" si="10"/>
        <v>40030</v>
      </c>
      <c r="C284" s="57" t="s">
        <v>471</v>
      </c>
      <c r="D284" s="57" t="s">
        <v>369</v>
      </c>
      <c r="E284" s="44" t="s">
        <v>475</v>
      </c>
      <c r="F284" s="17">
        <f>_xlfn.XLOOKUP($B284,'[1]Jan-24'!$A:$A,'[1]Jan-24'!$H:$H,0)</f>
        <v>0</v>
      </c>
      <c r="G284" s="17">
        <f>_xlfn.XLOOKUP($B284,'[1]Feb-24'!$A:$A,'[1]Feb-24'!$H:$H,0)</f>
        <v>0</v>
      </c>
      <c r="H284" s="17">
        <f>_xlfn.XLOOKUP($B284,'[1]Mar-24'!$A:$A,'[1]Mar-24'!$H:$H,0)</f>
        <v>0</v>
      </c>
      <c r="I284" s="17">
        <f>_xlfn.XLOOKUP($B284,'[1]Apr-24'!$A:$A,'[1]Apr-24'!$H:$H,0)</f>
        <v>0</v>
      </c>
      <c r="J284" s="17">
        <f>_xlfn.XLOOKUP($B284,'[1]May-24'!$A:$A,'[1]May-24'!$H:$H,0)</f>
        <v>0</v>
      </c>
      <c r="K284" s="17">
        <f>_xlfn.XLOOKUP($B284,'[1]Jun-24'!$A:$A,'[1]Jun-24'!$H:$H,0)</f>
        <v>0</v>
      </c>
      <c r="L284" s="17">
        <f>_xlfn.XLOOKUP($B284,'[1]Jul-24'!$A:$A,'[1]Jul-24'!$H:$H,0)</f>
        <v>0</v>
      </c>
      <c r="M284" s="17">
        <f>_xlfn.XLOOKUP($B284,'[1]Aug-24'!$A:$A,'[1]Aug-24'!$H:$H,0)</f>
        <v>0</v>
      </c>
      <c r="N284" s="17">
        <f>_xlfn.XLOOKUP($B284,'[1]Sep-24'!$A:$A,'[1]Sep-24'!$H:$H,0)</f>
        <v>0</v>
      </c>
      <c r="O284" s="17">
        <f>_xlfn.XLOOKUP($B284,'[1]Oct-24'!$A:$A,'[1]Oct-24'!$H:$H,0)</f>
        <v>0</v>
      </c>
      <c r="P284" s="17">
        <f>_xlfn.XLOOKUP($B284,'[1]Nov-24'!$A:$A,'[1]Nov-24'!$H:$H,0)</f>
        <v>0</v>
      </c>
      <c r="Q284" s="17">
        <f>_xlfn.XLOOKUP($B284,'[1]Dec-24'!$A:$A,'[1]Dec-24'!$H:$H,0)</f>
        <v>0</v>
      </c>
      <c r="R284" s="17">
        <f>_xlfn.XLOOKUP($B284,'[1]Jan-25'!$A:$A,'[1]Jan-25'!$H:$H,0)</f>
        <v>0</v>
      </c>
      <c r="S284" s="17">
        <f>_xlfn.XLOOKUP($B284,'[1]Feb-25'!$A:$A,'[1]Feb-25'!$H:$H,0)</f>
        <v>0</v>
      </c>
      <c r="T284" s="17">
        <f>_xlfn.XLOOKUP($B284,'[1]Mar-25'!$A:$A,'[1]Mar-25'!$H:$H,0)</f>
        <v>0</v>
      </c>
      <c r="U284" s="17">
        <f>_xlfn.XLOOKUP($B284,'[1]Apr-25'!$A:$A,'[1]Apr-25'!$H:$H,0)</f>
        <v>0</v>
      </c>
      <c r="V284" s="17">
        <f>_xlfn.XLOOKUP($B284,'[1]May-25'!$A:$A,'[1]May-25'!$H:$H,0)</f>
        <v>0</v>
      </c>
      <c r="W284" s="17">
        <f>_xlfn.XLOOKUP($B284,'[1]Jun-25'!$A:$A,'[1]Jun-25'!$H:$H,0)</f>
        <v>0</v>
      </c>
      <c r="X284" s="17">
        <f>_xlfn.XLOOKUP($B284,'[1]Jul-25'!$A:$A,'[1]Jul-25'!$H:$H,0)</f>
        <v>0</v>
      </c>
      <c r="Y284" s="17">
        <f>_xlfn.XLOOKUP($B284,'[1]Aug-25'!$A:$A,'[1]Aug-25'!$H:$H,0)</f>
        <v>0</v>
      </c>
      <c r="Z284" s="17">
        <f>_xlfn.XLOOKUP($B284,'[1]Sep-25'!$A:$A,'[1]Sep-25'!$H:$H,0)</f>
        <v>0</v>
      </c>
      <c r="AA284" s="17">
        <f>_xlfn.XLOOKUP($B284,'[1]Oct-25'!$A:$A,'[1]Oct-25'!$H:$H,0)</f>
        <v>0</v>
      </c>
      <c r="AB284" s="17">
        <f>_xlfn.XLOOKUP($B284,'[1]Nov-25'!$A:$A,'[1]Nov-25'!$H:$H,0)</f>
        <v>0</v>
      </c>
      <c r="AC284" s="17">
        <f>_xlfn.XLOOKUP($B284,'[1]Dec-25'!$A:$A,'[1]Dec-25'!$H:$H,0)</f>
        <v>0</v>
      </c>
      <c r="AD284" s="17">
        <f>_xlfn.XLOOKUP($B284,'[1]Jan-26'!$A:$A,'[1]Jan-26'!$H:$H,0)</f>
        <v>0</v>
      </c>
      <c r="AE284" s="17">
        <f>_xlfn.XLOOKUP($B284,'[1]Feb-26'!$A:$A,'[1]Feb-26'!$H:$H,0)</f>
        <v>0</v>
      </c>
      <c r="AF284" s="17">
        <f>_xlfn.XLOOKUP($B284,'[1]Mar-26'!$A:$A,'[1]Mar-26'!$H:$H,0)</f>
        <v>0</v>
      </c>
      <c r="AG284" s="17">
        <f>_xlfn.XLOOKUP($B284,'[1]Apr-26'!$A:$A,'[1]Apr-26'!$H:$H,0)</f>
        <v>0</v>
      </c>
    </row>
    <row r="285" spans="1:33" x14ac:dyDescent="0.2">
      <c r="A285" s="58">
        <v>40035</v>
      </c>
      <c r="B285" s="56" t="str">
        <f t="shared" si="10"/>
        <v>40035</v>
      </c>
      <c r="C285" s="57" t="s">
        <v>471</v>
      </c>
      <c r="D285" s="57" t="s">
        <v>369</v>
      </c>
      <c r="E285" s="44" t="s">
        <v>476</v>
      </c>
      <c r="F285" s="17">
        <f>_xlfn.XLOOKUP($B285,'[1]Jan-24'!$A:$A,'[1]Jan-24'!$H:$H,0)</f>
        <v>0</v>
      </c>
      <c r="G285" s="17">
        <f>_xlfn.XLOOKUP($B285,'[1]Feb-24'!$A:$A,'[1]Feb-24'!$H:$H,0)</f>
        <v>0</v>
      </c>
      <c r="H285" s="17">
        <f>_xlfn.XLOOKUP($B285,'[1]Mar-24'!$A:$A,'[1]Mar-24'!$H:$H,0)</f>
        <v>0</v>
      </c>
      <c r="I285" s="17">
        <f>_xlfn.XLOOKUP($B285,'[1]Apr-24'!$A:$A,'[1]Apr-24'!$H:$H,0)</f>
        <v>0</v>
      </c>
      <c r="J285" s="17">
        <f>_xlfn.XLOOKUP($B285,'[1]May-24'!$A:$A,'[1]May-24'!$H:$H,0)</f>
        <v>0</v>
      </c>
      <c r="K285" s="17">
        <f>_xlfn.XLOOKUP($B285,'[1]Jun-24'!$A:$A,'[1]Jun-24'!$H:$H,0)</f>
        <v>0</v>
      </c>
      <c r="L285" s="17">
        <f>_xlfn.XLOOKUP($B285,'[1]Jul-24'!$A:$A,'[1]Jul-24'!$H:$H,0)</f>
        <v>0</v>
      </c>
      <c r="M285" s="17">
        <f>_xlfn.XLOOKUP($B285,'[1]Aug-24'!$A:$A,'[1]Aug-24'!$H:$H,0)</f>
        <v>0</v>
      </c>
      <c r="N285" s="17">
        <f>_xlfn.XLOOKUP($B285,'[1]Sep-24'!$A:$A,'[1]Sep-24'!$H:$H,0)</f>
        <v>0</v>
      </c>
      <c r="O285" s="17">
        <f>_xlfn.XLOOKUP($B285,'[1]Oct-24'!$A:$A,'[1]Oct-24'!$H:$H,0)</f>
        <v>0</v>
      </c>
      <c r="P285" s="17">
        <f>_xlfn.XLOOKUP($B285,'[1]Nov-24'!$A:$A,'[1]Nov-24'!$H:$H,0)</f>
        <v>0</v>
      </c>
      <c r="Q285" s="17">
        <f>_xlfn.XLOOKUP($B285,'[1]Dec-24'!$A:$A,'[1]Dec-24'!$H:$H,0)</f>
        <v>0</v>
      </c>
      <c r="R285" s="17">
        <f>_xlfn.XLOOKUP($B285,'[1]Jan-25'!$A:$A,'[1]Jan-25'!$H:$H,0)</f>
        <v>0</v>
      </c>
      <c r="S285" s="17">
        <f>_xlfn.XLOOKUP($B285,'[1]Feb-25'!$A:$A,'[1]Feb-25'!$H:$H,0)</f>
        <v>0</v>
      </c>
      <c r="T285" s="17">
        <f>_xlfn.XLOOKUP($B285,'[1]Mar-25'!$A:$A,'[1]Mar-25'!$H:$H,0)</f>
        <v>0</v>
      </c>
      <c r="U285" s="17">
        <f>_xlfn.XLOOKUP($B285,'[1]Apr-25'!$A:$A,'[1]Apr-25'!$H:$H,0)</f>
        <v>0</v>
      </c>
      <c r="V285" s="17">
        <f>_xlfn.XLOOKUP($B285,'[1]May-25'!$A:$A,'[1]May-25'!$H:$H,0)</f>
        <v>0</v>
      </c>
      <c r="W285" s="17">
        <f>_xlfn.XLOOKUP($B285,'[1]Jun-25'!$A:$A,'[1]Jun-25'!$H:$H,0)</f>
        <v>0</v>
      </c>
      <c r="X285" s="17">
        <f>_xlfn.XLOOKUP($B285,'[1]Jul-25'!$A:$A,'[1]Jul-25'!$H:$H,0)</f>
        <v>0</v>
      </c>
      <c r="Y285" s="17">
        <f>_xlfn.XLOOKUP($B285,'[1]Aug-25'!$A:$A,'[1]Aug-25'!$H:$H,0)</f>
        <v>0</v>
      </c>
      <c r="Z285" s="17">
        <f>_xlfn.XLOOKUP($B285,'[1]Sep-25'!$A:$A,'[1]Sep-25'!$H:$H,0)</f>
        <v>0</v>
      </c>
      <c r="AA285" s="17">
        <f>_xlfn.XLOOKUP($B285,'[1]Oct-25'!$A:$A,'[1]Oct-25'!$H:$H,0)</f>
        <v>0</v>
      </c>
      <c r="AB285" s="17">
        <f>_xlfn.XLOOKUP($B285,'[1]Nov-25'!$A:$A,'[1]Nov-25'!$H:$H,0)</f>
        <v>0</v>
      </c>
      <c r="AC285" s="17">
        <f>_xlfn.XLOOKUP($B285,'[1]Dec-25'!$A:$A,'[1]Dec-25'!$H:$H,0)</f>
        <v>0</v>
      </c>
      <c r="AD285" s="17">
        <f>_xlfn.XLOOKUP($B285,'[1]Jan-26'!$A:$A,'[1]Jan-26'!$H:$H,0)</f>
        <v>0</v>
      </c>
      <c r="AE285" s="17">
        <f>_xlfn.XLOOKUP($B285,'[1]Feb-26'!$A:$A,'[1]Feb-26'!$H:$H,0)</f>
        <v>0</v>
      </c>
      <c r="AF285" s="17">
        <f>_xlfn.XLOOKUP($B285,'[1]Mar-26'!$A:$A,'[1]Mar-26'!$H:$H,0)</f>
        <v>0</v>
      </c>
      <c r="AG285" s="17">
        <f>_xlfn.XLOOKUP($B285,'[1]Apr-26'!$A:$A,'[1]Apr-26'!$H:$H,0)</f>
        <v>0</v>
      </c>
    </row>
    <row r="286" spans="1:33" x14ac:dyDescent="0.2">
      <c r="A286" s="58">
        <v>40040</v>
      </c>
      <c r="B286" s="56" t="str">
        <f t="shared" si="10"/>
        <v>40040</v>
      </c>
      <c r="C286" s="57" t="s">
        <v>477</v>
      </c>
      <c r="D286" s="57" t="s">
        <v>369</v>
      </c>
      <c r="E286" s="44" t="s">
        <v>478</v>
      </c>
      <c r="F286" s="17">
        <f>_xlfn.XLOOKUP($B286,'[1]Jan-24'!$A:$A,'[1]Jan-24'!$H:$H,0)</f>
        <v>0</v>
      </c>
      <c r="G286" s="17">
        <f>_xlfn.XLOOKUP($B286,'[1]Feb-24'!$A:$A,'[1]Feb-24'!$H:$H,0)</f>
        <v>0</v>
      </c>
      <c r="H286" s="17">
        <f>_xlfn.XLOOKUP($B286,'[1]Mar-24'!$A:$A,'[1]Mar-24'!$H:$H,0)</f>
        <v>0</v>
      </c>
      <c r="I286" s="17">
        <f>_xlfn.XLOOKUP($B286,'[1]Apr-24'!$A:$A,'[1]Apr-24'!$H:$H,0)</f>
        <v>0</v>
      </c>
      <c r="J286" s="17">
        <f>_xlfn.XLOOKUP($B286,'[1]May-24'!$A:$A,'[1]May-24'!$H:$H,0)</f>
        <v>0</v>
      </c>
      <c r="K286" s="17">
        <f>_xlfn.XLOOKUP($B286,'[1]Jun-24'!$A:$A,'[1]Jun-24'!$H:$H,0)</f>
        <v>0</v>
      </c>
      <c r="L286" s="17">
        <f>_xlfn.XLOOKUP($B286,'[1]Jul-24'!$A:$A,'[1]Jul-24'!$H:$H,0)</f>
        <v>0</v>
      </c>
      <c r="M286" s="17">
        <f>_xlfn.XLOOKUP($B286,'[1]Aug-24'!$A:$A,'[1]Aug-24'!$H:$H,0)</f>
        <v>0</v>
      </c>
      <c r="N286" s="17">
        <f>_xlfn.XLOOKUP($B286,'[1]Sep-24'!$A:$A,'[1]Sep-24'!$H:$H,0)</f>
        <v>0</v>
      </c>
      <c r="O286" s="17">
        <f>_xlfn.XLOOKUP($B286,'[1]Oct-24'!$A:$A,'[1]Oct-24'!$H:$H,0)</f>
        <v>0</v>
      </c>
      <c r="P286" s="17">
        <f>_xlfn.XLOOKUP($B286,'[1]Nov-24'!$A:$A,'[1]Nov-24'!$H:$H,0)</f>
        <v>0</v>
      </c>
      <c r="Q286" s="17">
        <f>_xlfn.XLOOKUP($B286,'[1]Dec-24'!$A:$A,'[1]Dec-24'!$H:$H,0)</f>
        <v>0</v>
      </c>
      <c r="R286" s="17">
        <f>_xlfn.XLOOKUP($B286,'[1]Jan-25'!$A:$A,'[1]Jan-25'!$H:$H,0)</f>
        <v>0</v>
      </c>
      <c r="S286" s="17">
        <f>_xlfn.XLOOKUP($B286,'[1]Feb-25'!$A:$A,'[1]Feb-25'!$H:$H,0)</f>
        <v>0</v>
      </c>
      <c r="T286" s="17">
        <f>_xlfn.XLOOKUP($B286,'[1]Mar-25'!$A:$A,'[1]Mar-25'!$H:$H,0)</f>
        <v>0</v>
      </c>
      <c r="U286" s="17">
        <f>_xlfn.XLOOKUP($B286,'[1]Apr-25'!$A:$A,'[1]Apr-25'!$H:$H,0)</f>
        <v>0</v>
      </c>
      <c r="V286" s="17">
        <f>_xlfn.XLOOKUP($B286,'[1]May-25'!$A:$A,'[1]May-25'!$H:$H,0)</f>
        <v>0</v>
      </c>
      <c r="W286" s="17">
        <f>_xlfn.XLOOKUP($B286,'[1]Jun-25'!$A:$A,'[1]Jun-25'!$H:$H,0)</f>
        <v>0</v>
      </c>
      <c r="X286" s="17">
        <f>_xlfn.XLOOKUP($B286,'[1]Jul-25'!$A:$A,'[1]Jul-25'!$H:$H,0)</f>
        <v>0</v>
      </c>
      <c r="Y286" s="17">
        <f>_xlfn.XLOOKUP($B286,'[1]Aug-25'!$A:$A,'[1]Aug-25'!$H:$H,0)</f>
        <v>0</v>
      </c>
      <c r="Z286" s="17">
        <f>_xlfn.XLOOKUP($B286,'[1]Sep-25'!$A:$A,'[1]Sep-25'!$H:$H,0)</f>
        <v>0</v>
      </c>
      <c r="AA286" s="17">
        <f>_xlfn.XLOOKUP($B286,'[1]Oct-25'!$A:$A,'[1]Oct-25'!$H:$H,0)</f>
        <v>0</v>
      </c>
      <c r="AB286" s="17">
        <f>_xlfn.XLOOKUP($B286,'[1]Nov-25'!$A:$A,'[1]Nov-25'!$H:$H,0)</f>
        <v>0</v>
      </c>
      <c r="AC286" s="17">
        <f>_xlfn.XLOOKUP($B286,'[1]Dec-25'!$A:$A,'[1]Dec-25'!$H:$H,0)</f>
        <v>0</v>
      </c>
      <c r="AD286" s="17">
        <f>_xlfn.XLOOKUP($B286,'[1]Jan-26'!$A:$A,'[1]Jan-26'!$H:$H,0)</f>
        <v>0</v>
      </c>
      <c r="AE286" s="17">
        <f>_xlfn.XLOOKUP($B286,'[1]Feb-26'!$A:$A,'[1]Feb-26'!$H:$H,0)</f>
        <v>0</v>
      </c>
      <c r="AF286" s="17">
        <f>_xlfn.XLOOKUP($B286,'[1]Mar-26'!$A:$A,'[1]Mar-26'!$H:$H,0)</f>
        <v>0</v>
      </c>
      <c r="AG286" s="17">
        <f>_xlfn.XLOOKUP($B286,'[1]Apr-26'!$A:$A,'[1]Apr-26'!$H:$H,0)</f>
        <v>0</v>
      </c>
    </row>
    <row r="287" spans="1:33" x14ac:dyDescent="0.2">
      <c r="A287" s="58">
        <v>40045</v>
      </c>
      <c r="B287" s="56" t="str">
        <f t="shared" si="10"/>
        <v>40045</v>
      </c>
      <c r="C287" s="57" t="s">
        <v>471</v>
      </c>
      <c r="D287" s="57" t="s">
        <v>369</v>
      </c>
      <c r="E287" s="44" t="s">
        <v>479</v>
      </c>
      <c r="F287" s="17">
        <f>_xlfn.XLOOKUP($B287,'[1]Jan-24'!$A:$A,'[1]Jan-24'!$H:$H,0)</f>
        <v>0</v>
      </c>
      <c r="G287" s="17">
        <f>_xlfn.XLOOKUP($B287,'[1]Feb-24'!$A:$A,'[1]Feb-24'!$H:$H,0)</f>
        <v>0</v>
      </c>
      <c r="H287" s="17">
        <f>_xlfn.XLOOKUP($B287,'[1]Mar-24'!$A:$A,'[1]Mar-24'!$H:$H,0)</f>
        <v>0</v>
      </c>
      <c r="I287" s="17">
        <f>_xlfn.XLOOKUP($B287,'[1]Apr-24'!$A:$A,'[1]Apr-24'!$H:$H,0)</f>
        <v>0</v>
      </c>
      <c r="J287" s="17">
        <f>_xlfn.XLOOKUP($B287,'[1]May-24'!$A:$A,'[1]May-24'!$H:$H,0)</f>
        <v>0</v>
      </c>
      <c r="K287" s="17">
        <f>_xlfn.XLOOKUP($B287,'[1]Jun-24'!$A:$A,'[1]Jun-24'!$H:$H,0)</f>
        <v>0</v>
      </c>
      <c r="L287" s="17">
        <f>_xlfn.XLOOKUP($B287,'[1]Jul-24'!$A:$A,'[1]Jul-24'!$H:$H,0)</f>
        <v>0</v>
      </c>
      <c r="M287" s="17">
        <f>_xlfn.XLOOKUP($B287,'[1]Aug-24'!$A:$A,'[1]Aug-24'!$H:$H,0)</f>
        <v>0</v>
      </c>
      <c r="N287" s="17">
        <f>_xlfn.XLOOKUP($B287,'[1]Sep-24'!$A:$A,'[1]Sep-24'!$H:$H,0)</f>
        <v>0</v>
      </c>
      <c r="O287" s="17">
        <f>_xlfn.XLOOKUP($B287,'[1]Oct-24'!$A:$A,'[1]Oct-24'!$H:$H,0)</f>
        <v>0</v>
      </c>
      <c r="P287" s="17">
        <f>_xlfn.XLOOKUP($B287,'[1]Nov-24'!$A:$A,'[1]Nov-24'!$H:$H,0)</f>
        <v>0</v>
      </c>
      <c r="Q287" s="17">
        <f>_xlfn.XLOOKUP($B287,'[1]Dec-24'!$A:$A,'[1]Dec-24'!$H:$H,0)</f>
        <v>0</v>
      </c>
      <c r="R287" s="17">
        <f>_xlfn.XLOOKUP($B287,'[1]Jan-25'!$A:$A,'[1]Jan-25'!$H:$H,0)</f>
        <v>0</v>
      </c>
      <c r="S287" s="17">
        <f>_xlfn.XLOOKUP($B287,'[1]Feb-25'!$A:$A,'[1]Feb-25'!$H:$H,0)</f>
        <v>0</v>
      </c>
      <c r="T287" s="17">
        <f>_xlfn.XLOOKUP($B287,'[1]Mar-25'!$A:$A,'[1]Mar-25'!$H:$H,0)</f>
        <v>0</v>
      </c>
      <c r="U287" s="17">
        <f>_xlfn.XLOOKUP($B287,'[1]Apr-25'!$A:$A,'[1]Apr-25'!$H:$H,0)</f>
        <v>0</v>
      </c>
      <c r="V287" s="17">
        <f>_xlfn.XLOOKUP($B287,'[1]May-25'!$A:$A,'[1]May-25'!$H:$H,0)</f>
        <v>0</v>
      </c>
      <c r="W287" s="17">
        <f>_xlfn.XLOOKUP($B287,'[1]Jun-25'!$A:$A,'[1]Jun-25'!$H:$H,0)</f>
        <v>0</v>
      </c>
      <c r="X287" s="17">
        <f>_xlfn.XLOOKUP($B287,'[1]Jul-25'!$A:$A,'[1]Jul-25'!$H:$H,0)</f>
        <v>0</v>
      </c>
      <c r="Y287" s="17">
        <f>_xlfn.XLOOKUP($B287,'[1]Aug-25'!$A:$A,'[1]Aug-25'!$H:$H,0)</f>
        <v>0</v>
      </c>
      <c r="Z287" s="17">
        <f>_xlfn.XLOOKUP($B287,'[1]Sep-25'!$A:$A,'[1]Sep-25'!$H:$H,0)</f>
        <v>0</v>
      </c>
      <c r="AA287" s="17">
        <f>_xlfn.XLOOKUP($B287,'[1]Oct-25'!$A:$A,'[1]Oct-25'!$H:$H,0)</f>
        <v>0</v>
      </c>
      <c r="AB287" s="17">
        <f>_xlfn.XLOOKUP($B287,'[1]Nov-25'!$A:$A,'[1]Nov-25'!$H:$H,0)</f>
        <v>0</v>
      </c>
      <c r="AC287" s="17">
        <f>_xlfn.XLOOKUP($B287,'[1]Dec-25'!$A:$A,'[1]Dec-25'!$H:$H,0)</f>
        <v>0</v>
      </c>
      <c r="AD287" s="17">
        <f>_xlfn.XLOOKUP($B287,'[1]Jan-26'!$A:$A,'[1]Jan-26'!$H:$H,0)</f>
        <v>0</v>
      </c>
      <c r="AE287" s="17">
        <f>_xlfn.XLOOKUP($B287,'[1]Feb-26'!$A:$A,'[1]Feb-26'!$H:$H,0)</f>
        <v>0</v>
      </c>
      <c r="AF287" s="17">
        <f>_xlfn.XLOOKUP($B287,'[1]Mar-26'!$A:$A,'[1]Mar-26'!$H:$H,0)</f>
        <v>0</v>
      </c>
      <c r="AG287" s="17">
        <f>_xlfn.XLOOKUP($B287,'[1]Apr-26'!$A:$A,'[1]Apr-26'!$H:$H,0)</f>
        <v>0</v>
      </c>
    </row>
    <row r="288" spans="1:33" x14ac:dyDescent="0.2">
      <c r="A288" s="58">
        <v>40050</v>
      </c>
      <c r="B288" s="56" t="str">
        <f t="shared" si="10"/>
        <v>40050</v>
      </c>
      <c r="C288" s="57" t="s">
        <v>471</v>
      </c>
      <c r="D288" s="57" t="s">
        <v>369</v>
      </c>
      <c r="E288" s="44" t="s">
        <v>480</v>
      </c>
      <c r="F288" s="17">
        <f>_xlfn.XLOOKUP($B288,'[1]Jan-24'!$A:$A,'[1]Jan-24'!$H:$H,0)</f>
        <v>0</v>
      </c>
      <c r="G288" s="17">
        <f>_xlfn.XLOOKUP($B288,'[1]Feb-24'!$A:$A,'[1]Feb-24'!$H:$H,0)</f>
        <v>0</v>
      </c>
      <c r="H288" s="17">
        <f>_xlfn.XLOOKUP($B288,'[1]Mar-24'!$A:$A,'[1]Mar-24'!$H:$H,0)</f>
        <v>0</v>
      </c>
      <c r="I288" s="17">
        <f>_xlfn.XLOOKUP($B288,'[1]Apr-24'!$A:$A,'[1]Apr-24'!$H:$H,0)</f>
        <v>0</v>
      </c>
      <c r="J288" s="17">
        <f>_xlfn.XLOOKUP($B288,'[1]May-24'!$A:$A,'[1]May-24'!$H:$H,0)</f>
        <v>0</v>
      </c>
      <c r="K288" s="17">
        <f>_xlfn.XLOOKUP($B288,'[1]Jun-24'!$A:$A,'[1]Jun-24'!$H:$H,0)</f>
        <v>0</v>
      </c>
      <c r="L288" s="17">
        <f>_xlfn.XLOOKUP($B288,'[1]Jul-24'!$A:$A,'[1]Jul-24'!$H:$H,0)</f>
        <v>0</v>
      </c>
      <c r="M288" s="17">
        <f>_xlfn.XLOOKUP($B288,'[1]Aug-24'!$A:$A,'[1]Aug-24'!$H:$H,0)</f>
        <v>0</v>
      </c>
      <c r="N288" s="17">
        <f>_xlfn.XLOOKUP($B288,'[1]Sep-24'!$A:$A,'[1]Sep-24'!$H:$H,0)</f>
        <v>0</v>
      </c>
      <c r="O288" s="17">
        <f>_xlfn.XLOOKUP($B288,'[1]Oct-24'!$A:$A,'[1]Oct-24'!$H:$H,0)</f>
        <v>0</v>
      </c>
      <c r="P288" s="17">
        <f>_xlfn.XLOOKUP($B288,'[1]Nov-24'!$A:$A,'[1]Nov-24'!$H:$H,0)</f>
        <v>0</v>
      </c>
      <c r="Q288" s="17">
        <f>_xlfn.XLOOKUP($B288,'[1]Dec-24'!$A:$A,'[1]Dec-24'!$H:$H,0)</f>
        <v>0</v>
      </c>
      <c r="R288" s="17">
        <f>_xlfn.XLOOKUP($B288,'[1]Jan-25'!$A:$A,'[1]Jan-25'!$H:$H,0)</f>
        <v>0</v>
      </c>
      <c r="S288" s="17">
        <f>_xlfn.XLOOKUP($B288,'[1]Feb-25'!$A:$A,'[1]Feb-25'!$H:$H,0)</f>
        <v>0</v>
      </c>
      <c r="T288" s="17">
        <f>_xlfn.XLOOKUP($B288,'[1]Mar-25'!$A:$A,'[1]Mar-25'!$H:$H,0)</f>
        <v>0</v>
      </c>
      <c r="U288" s="17">
        <f>_xlfn.XLOOKUP($B288,'[1]Apr-25'!$A:$A,'[1]Apr-25'!$H:$H,0)</f>
        <v>0</v>
      </c>
      <c r="V288" s="17">
        <f>_xlfn.XLOOKUP($B288,'[1]May-25'!$A:$A,'[1]May-25'!$H:$H,0)</f>
        <v>0</v>
      </c>
      <c r="W288" s="17">
        <f>_xlfn.XLOOKUP($B288,'[1]Jun-25'!$A:$A,'[1]Jun-25'!$H:$H,0)</f>
        <v>0</v>
      </c>
      <c r="X288" s="17">
        <f>_xlfn.XLOOKUP($B288,'[1]Jul-25'!$A:$A,'[1]Jul-25'!$H:$H,0)</f>
        <v>0</v>
      </c>
      <c r="Y288" s="17">
        <f>_xlfn.XLOOKUP($B288,'[1]Aug-25'!$A:$A,'[1]Aug-25'!$H:$H,0)</f>
        <v>0</v>
      </c>
      <c r="Z288" s="17">
        <f>_xlfn.XLOOKUP($B288,'[1]Sep-25'!$A:$A,'[1]Sep-25'!$H:$H,0)</f>
        <v>0</v>
      </c>
      <c r="AA288" s="17">
        <f>_xlfn.XLOOKUP($B288,'[1]Oct-25'!$A:$A,'[1]Oct-25'!$H:$H,0)</f>
        <v>0</v>
      </c>
      <c r="AB288" s="17">
        <f>_xlfn.XLOOKUP($B288,'[1]Nov-25'!$A:$A,'[1]Nov-25'!$H:$H,0)</f>
        <v>0</v>
      </c>
      <c r="AC288" s="17">
        <f>_xlfn.XLOOKUP($B288,'[1]Dec-25'!$A:$A,'[1]Dec-25'!$H:$H,0)</f>
        <v>0</v>
      </c>
      <c r="AD288" s="17">
        <f>_xlfn.XLOOKUP($B288,'[1]Jan-26'!$A:$A,'[1]Jan-26'!$H:$H,0)</f>
        <v>0</v>
      </c>
      <c r="AE288" s="17">
        <f>_xlfn.XLOOKUP($B288,'[1]Feb-26'!$A:$A,'[1]Feb-26'!$H:$H,0)</f>
        <v>0</v>
      </c>
      <c r="AF288" s="17">
        <f>_xlfn.XLOOKUP($B288,'[1]Mar-26'!$A:$A,'[1]Mar-26'!$H:$H,0)</f>
        <v>0</v>
      </c>
      <c r="AG288" s="17">
        <f>_xlfn.XLOOKUP($B288,'[1]Apr-26'!$A:$A,'[1]Apr-26'!$H:$H,0)</f>
        <v>0</v>
      </c>
    </row>
    <row r="289" spans="1:33" x14ac:dyDescent="0.2">
      <c r="A289" s="58">
        <v>40051</v>
      </c>
      <c r="B289" s="56" t="str">
        <f t="shared" si="10"/>
        <v>40051</v>
      </c>
      <c r="C289" s="57" t="s">
        <v>471</v>
      </c>
      <c r="D289" s="57" t="s">
        <v>369</v>
      </c>
      <c r="E289" s="44" t="s">
        <v>481</v>
      </c>
      <c r="F289" s="17">
        <f>_xlfn.XLOOKUP($B289,'[1]Jan-24'!$A:$A,'[1]Jan-24'!$H:$H,0)</f>
        <v>0</v>
      </c>
      <c r="G289" s="17">
        <f>_xlfn.XLOOKUP($B289,'[1]Feb-24'!$A:$A,'[1]Feb-24'!$H:$H,0)</f>
        <v>0</v>
      </c>
      <c r="H289" s="17">
        <f>_xlfn.XLOOKUP($B289,'[1]Mar-24'!$A:$A,'[1]Mar-24'!$H:$H,0)</f>
        <v>0</v>
      </c>
      <c r="I289" s="17">
        <f>_xlfn.XLOOKUP($B289,'[1]Apr-24'!$A:$A,'[1]Apr-24'!$H:$H,0)</f>
        <v>0</v>
      </c>
      <c r="J289" s="17">
        <f>_xlfn.XLOOKUP($B289,'[1]May-24'!$A:$A,'[1]May-24'!$H:$H,0)</f>
        <v>0</v>
      </c>
      <c r="K289" s="17">
        <f>_xlfn.XLOOKUP($B289,'[1]Jun-24'!$A:$A,'[1]Jun-24'!$H:$H,0)</f>
        <v>0</v>
      </c>
      <c r="L289" s="17">
        <f>_xlfn.XLOOKUP($B289,'[1]Jul-24'!$A:$A,'[1]Jul-24'!$H:$H,0)</f>
        <v>0</v>
      </c>
      <c r="M289" s="17">
        <f>_xlfn.XLOOKUP($B289,'[1]Aug-24'!$A:$A,'[1]Aug-24'!$H:$H,0)</f>
        <v>0</v>
      </c>
      <c r="N289" s="17">
        <f>_xlfn.XLOOKUP($B289,'[1]Sep-24'!$A:$A,'[1]Sep-24'!$H:$H,0)</f>
        <v>0</v>
      </c>
      <c r="O289" s="17">
        <f>_xlfn.XLOOKUP($B289,'[1]Oct-24'!$A:$A,'[1]Oct-24'!$H:$H,0)</f>
        <v>0</v>
      </c>
      <c r="P289" s="17">
        <f>_xlfn.XLOOKUP($B289,'[1]Nov-24'!$A:$A,'[1]Nov-24'!$H:$H,0)</f>
        <v>0</v>
      </c>
      <c r="Q289" s="17">
        <f>_xlfn.XLOOKUP($B289,'[1]Dec-24'!$A:$A,'[1]Dec-24'!$H:$H,0)</f>
        <v>0</v>
      </c>
      <c r="R289" s="17">
        <f>_xlfn.XLOOKUP($B289,'[1]Jan-25'!$A:$A,'[1]Jan-25'!$H:$H,0)</f>
        <v>0</v>
      </c>
      <c r="S289" s="17">
        <f>_xlfn.XLOOKUP($B289,'[1]Feb-25'!$A:$A,'[1]Feb-25'!$H:$H,0)</f>
        <v>0</v>
      </c>
      <c r="T289" s="17">
        <f>_xlfn.XLOOKUP($B289,'[1]Mar-25'!$A:$A,'[1]Mar-25'!$H:$H,0)</f>
        <v>0</v>
      </c>
      <c r="U289" s="17">
        <f>_xlfn.XLOOKUP($B289,'[1]Apr-25'!$A:$A,'[1]Apr-25'!$H:$H,0)</f>
        <v>0</v>
      </c>
      <c r="V289" s="17">
        <f>_xlfn.XLOOKUP($B289,'[1]May-25'!$A:$A,'[1]May-25'!$H:$H,0)</f>
        <v>0</v>
      </c>
      <c r="W289" s="17">
        <f>_xlfn.XLOOKUP($B289,'[1]Jun-25'!$A:$A,'[1]Jun-25'!$H:$H,0)</f>
        <v>0</v>
      </c>
      <c r="X289" s="17">
        <f>_xlfn.XLOOKUP($B289,'[1]Jul-25'!$A:$A,'[1]Jul-25'!$H:$H,0)</f>
        <v>0</v>
      </c>
      <c r="Y289" s="17">
        <f>_xlfn.XLOOKUP($B289,'[1]Aug-25'!$A:$A,'[1]Aug-25'!$H:$H,0)</f>
        <v>0</v>
      </c>
      <c r="Z289" s="17">
        <f>_xlfn.XLOOKUP($B289,'[1]Sep-25'!$A:$A,'[1]Sep-25'!$H:$H,0)</f>
        <v>0</v>
      </c>
      <c r="AA289" s="17">
        <f>_xlfn.XLOOKUP($B289,'[1]Oct-25'!$A:$A,'[1]Oct-25'!$H:$H,0)</f>
        <v>0</v>
      </c>
      <c r="AB289" s="17">
        <f>_xlfn.XLOOKUP($B289,'[1]Nov-25'!$A:$A,'[1]Nov-25'!$H:$H,0)</f>
        <v>0</v>
      </c>
      <c r="AC289" s="17">
        <f>_xlfn.XLOOKUP($B289,'[1]Dec-25'!$A:$A,'[1]Dec-25'!$H:$H,0)</f>
        <v>0</v>
      </c>
      <c r="AD289" s="17">
        <f>_xlfn.XLOOKUP($B289,'[1]Jan-26'!$A:$A,'[1]Jan-26'!$H:$H,0)</f>
        <v>0</v>
      </c>
      <c r="AE289" s="17">
        <f>_xlfn.XLOOKUP($B289,'[1]Feb-26'!$A:$A,'[1]Feb-26'!$H:$H,0)</f>
        <v>0</v>
      </c>
      <c r="AF289" s="17">
        <f>_xlfn.XLOOKUP($B289,'[1]Mar-26'!$A:$A,'[1]Mar-26'!$H:$H,0)</f>
        <v>0</v>
      </c>
      <c r="AG289" s="17">
        <f>_xlfn.XLOOKUP($B289,'[1]Apr-26'!$A:$A,'[1]Apr-26'!$H:$H,0)</f>
        <v>0</v>
      </c>
    </row>
    <row r="290" spans="1:33" x14ac:dyDescent="0.2">
      <c r="A290" s="58">
        <v>40055</v>
      </c>
      <c r="B290" s="56" t="str">
        <f t="shared" si="10"/>
        <v>40055</v>
      </c>
      <c r="C290" s="57" t="s">
        <v>471</v>
      </c>
      <c r="D290" s="57" t="s">
        <v>369</v>
      </c>
      <c r="E290" s="44" t="s">
        <v>96</v>
      </c>
      <c r="F290" s="17">
        <f>_xlfn.XLOOKUP($B290,'[1]Jan-24'!$A:$A,'[1]Jan-24'!$H:$H,0)</f>
        <v>-7240716.3899999997</v>
      </c>
      <c r="G290" s="17">
        <f>_xlfn.XLOOKUP($B290,'[1]Feb-24'!$A:$A,'[1]Feb-24'!$H:$H,0)</f>
        <v>-8561147.3900000006</v>
      </c>
      <c r="H290" s="17">
        <f>_xlfn.XLOOKUP($B290,'[1]Mar-24'!$A:$A,'[1]Mar-24'!$H:$H,0)</f>
        <v>-7273948.0199999996</v>
      </c>
      <c r="I290" s="17">
        <f>_xlfn.XLOOKUP($B290,'[1]Apr-24'!$A:$A,'[1]Apr-24'!$H:$H,0)</f>
        <v>-5904259.1900000004</v>
      </c>
      <c r="J290" s="17">
        <f>_xlfn.XLOOKUP($B290,'[1]May-24'!$A:$A,'[1]May-24'!$H:$H,0)</f>
        <v>-7946784.0599999996</v>
      </c>
      <c r="K290" s="17">
        <f>_xlfn.XLOOKUP($B290,'[1]Jun-24'!$A:$A,'[1]Jun-24'!$H:$H,0)</f>
        <v>-6488596.6699999999</v>
      </c>
      <c r="L290" s="17">
        <f>_xlfn.XLOOKUP($B290,'[1]Jul-24'!$A:$A,'[1]Jul-24'!$H:$H,0)</f>
        <v>-7402596.0499999998</v>
      </c>
      <c r="M290" s="17">
        <f>_xlfn.XLOOKUP($B290,'[1]Aug-24'!$A:$A,'[1]Aug-24'!$H:$H,0)</f>
        <v>-7739593.3700000001</v>
      </c>
      <c r="N290" s="17">
        <f>_xlfn.XLOOKUP($B290,'[1]Sep-24'!$A:$A,'[1]Sep-24'!$H:$H,0)</f>
        <v>-9238597.2200000007</v>
      </c>
      <c r="O290" s="17">
        <f>_xlfn.XLOOKUP($B290,'[1]Oct-24'!$A:$A,'[1]Oct-24'!$H:$H,0)</f>
        <v>-9648401.0999999996</v>
      </c>
      <c r="P290" s="17">
        <f>_xlfn.XLOOKUP($B290,'[1]Nov-24'!$A:$A,'[1]Nov-24'!$H:$H,0)</f>
        <v>-8255267.0800000001</v>
      </c>
      <c r="Q290" s="17">
        <f>_xlfn.XLOOKUP($B290,'[1]Dec-24'!$A:$A,'[1]Dec-24'!$H:$H,0)</f>
        <v>-7644705.3499999996</v>
      </c>
      <c r="R290" s="17">
        <f>_xlfn.XLOOKUP($B290,'[1]Jan-25'!$A:$A,'[1]Jan-25'!$H:$H,0)</f>
        <v>0</v>
      </c>
      <c r="S290" s="17">
        <f>_xlfn.XLOOKUP($B290,'[1]Feb-25'!$A:$A,'[1]Feb-25'!$H:$H,0)</f>
        <v>0</v>
      </c>
      <c r="T290" s="17">
        <f>_xlfn.XLOOKUP($B290,'[1]Mar-25'!$A:$A,'[1]Mar-25'!$H:$H,0)</f>
        <v>0</v>
      </c>
      <c r="U290" s="17">
        <f>_xlfn.XLOOKUP($B290,'[1]Apr-25'!$A:$A,'[1]Apr-25'!$H:$H,0)</f>
        <v>0</v>
      </c>
      <c r="V290" s="17">
        <f>_xlfn.XLOOKUP($B290,'[1]May-25'!$A:$A,'[1]May-25'!$H:$H,0)</f>
        <v>0</v>
      </c>
      <c r="W290" s="17">
        <f>_xlfn.XLOOKUP($B290,'[1]Jun-25'!$A:$A,'[1]Jun-25'!$H:$H,0)</f>
        <v>0</v>
      </c>
      <c r="X290" s="17">
        <f>_xlfn.XLOOKUP($B290,'[1]Jul-25'!$A:$A,'[1]Jul-25'!$H:$H,0)</f>
        <v>0</v>
      </c>
      <c r="Y290" s="17">
        <f>_xlfn.XLOOKUP($B290,'[1]Aug-25'!$A:$A,'[1]Aug-25'!$H:$H,0)</f>
        <v>0</v>
      </c>
      <c r="Z290" s="17">
        <f>_xlfn.XLOOKUP($B290,'[1]Sep-25'!$A:$A,'[1]Sep-25'!$H:$H,0)</f>
        <v>0</v>
      </c>
      <c r="AA290" s="17">
        <f>_xlfn.XLOOKUP($B290,'[1]Oct-25'!$A:$A,'[1]Oct-25'!$H:$H,0)</f>
        <v>0</v>
      </c>
      <c r="AB290" s="17">
        <f>_xlfn.XLOOKUP($B290,'[1]Nov-25'!$A:$A,'[1]Nov-25'!$H:$H,0)</f>
        <v>0</v>
      </c>
      <c r="AC290" s="17">
        <f>_xlfn.XLOOKUP($B290,'[1]Dec-25'!$A:$A,'[1]Dec-25'!$H:$H,0)</f>
        <v>0</v>
      </c>
      <c r="AD290" s="17">
        <f>_xlfn.XLOOKUP($B290,'[1]Jan-26'!$A:$A,'[1]Jan-26'!$H:$H,0)</f>
        <v>0</v>
      </c>
      <c r="AE290" s="17">
        <f>_xlfn.XLOOKUP($B290,'[1]Feb-26'!$A:$A,'[1]Feb-26'!$H:$H,0)</f>
        <v>0</v>
      </c>
      <c r="AF290" s="17">
        <f>_xlfn.XLOOKUP($B290,'[1]Mar-26'!$A:$A,'[1]Mar-26'!$H:$H,0)</f>
        <v>0</v>
      </c>
      <c r="AG290" s="17">
        <f>_xlfn.XLOOKUP($B290,'[1]Apr-26'!$A:$A,'[1]Apr-26'!$H:$H,0)</f>
        <v>0</v>
      </c>
    </row>
    <row r="291" spans="1:33" x14ac:dyDescent="0.2">
      <c r="A291" s="58">
        <v>40056</v>
      </c>
      <c r="B291" s="56" t="str">
        <f t="shared" si="10"/>
        <v>40056</v>
      </c>
      <c r="C291" s="57" t="s">
        <v>471</v>
      </c>
      <c r="D291" s="57" t="s">
        <v>369</v>
      </c>
      <c r="E291" s="44" t="s">
        <v>97</v>
      </c>
      <c r="F291" s="17">
        <f>_xlfn.XLOOKUP($B291,'[1]Jan-24'!$A:$A,'[1]Jan-24'!$H:$H,0)</f>
        <v>-318104.65000000002</v>
      </c>
      <c r="G291" s="17">
        <f>_xlfn.XLOOKUP($B291,'[1]Feb-24'!$A:$A,'[1]Feb-24'!$H:$H,0)</f>
        <v>-282511.63</v>
      </c>
      <c r="H291" s="17">
        <f>_xlfn.XLOOKUP($B291,'[1]Mar-24'!$A:$A,'[1]Mar-24'!$H:$H,0)</f>
        <v>0</v>
      </c>
      <c r="I291" s="17">
        <f>_xlfn.XLOOKUP($B291,'[1]Apr-24'!$A:$A,'[1]Apr-24'!$H:$H,0)</f>
        <v>0</v>
      </c>
      <c r="J291" s="17">
        <f>_xlfn.XLOOKUP($B291,'[1]May-24'!$A:$A,'[1]May-24'!$H:$H,0)</f>
        <v>-670465.12</v>
      </c>
      <c r="K291" s="17">
        <f>_xlfn.XLOOKUP($B291,'[1]Jun-24'!$A:$A,'[1]Jun-24'!$H:$H,0)</f>
        <v>-91441.86</v>
      </c>
      <c r="L291" s="17">
        <f>_xlfn.XLOOKUP($B291,'[1]Jul-24'!$A:$A,'[1]Jul-24'!$H:$H,0)</f>
        <v>-93023.26</v>
      </c>
      <c r="M291" s="17">
        <f>_xlfn.XLOOKUP($B291,'[1]Aug-24'!$A:$A,'[1]Aug-24'!$H:$H,0)</f>
        <v>-460883.72</v>
      </c>
      <c r="N291" s="17">
        <f>_xlfn.XLOOKUP($B291,'[1]Sep-24'!$A:$A,'[1]Sep-24'!$H:$H,0)</f>
        <v>-232558.14</v>
      </c>
      <c r="O291" s="17">
        <f>_xlfn.XLOOKUP($B291,'[1]Oct-24'!$A:$A,'[1]Oct-24'!$H:$H,0)</f>
        <v>-186046.51</v>
      </c>
      <c r="P291" s="17">
        <f>_xlfn.XLOOKUP($B291,'[1]Nov-24'!$A:$A,'[1]Nov-24'!$H:$H,0)</f>
        <v>0</v>
      </c>
      <c r="Q291" s="17">
        <f>_xlfn.XLOOKUP($B291,'[1]Dec-24'!$A:$A,'[1]Dec-24'!$H:$H,0)</f>
        <v>-360267.44</v>
      </c>
      <c r="R291" s="17">
        <f>_xlfn.XLOOKUP($B291,'[1]Jan-25'!$A:$A,'[1]Jan-25'!$H:$H,0)</f>
        <v>-277209.3</v>
      </c>
      <c r="S291" s="17">
        <f>_xlfn.XLOOKUP($B291,'[1]Feb-25'!$A:$A,'[1]Feb-25'!$H:$H,0)</f>
        <v>-278279.07</v>
      </c>
      <c r="T291" s="17">
        <f>_xlfn.XLOOKUP($B291,'[1]Mar-25'!$A:$A,'[1]Mar-25'!$H:$H,0)</f>
        <v>-836423.44000000018</v>
      </c>
      <c r="U291" s="17">
        <f>_xlfn.XLOOKUP($B291,'[1]Apr-25'!$A:$A,'[1]Apr-25'!$H:$H,0)</f>
        <v>-279069.77</v>
      </c>
      <c r="V291" s="17">
        <f>_xlfn.XLOOKUP($B291,'[1]May-25'!$A:$A,'[1]May-25'!$H:$H,0)</f>
        <v>0</v>
      </c>
      <c r="W291" s="17">
        <f>_xlfn.XLOOKUP($B291,'[1]Jun-25'!$A:$A,'[1]Jun-25'!$H:$H,0)</f>
        <v>0</v>
      </c>
      <c r="X291" s="17">
        <f>_xlfn.XLOOKUP($B291,'[1]Jul-25'!$A:$A,'[1]Jul-25'!$H:$H,0)</f>
        <v>-45720.93</v>
      </c>
      <c r="Y291" s="17">
        <f>_xlfn.XLOOKUP($B291,'[1]Aug-25'!$A:$A,'[1]Aug-25'!$H:$H,0)</f>
        <v>0</v>
      </c>
      <c r="Z291" s="17">
        <f>_xlfn.XLOOKUP($B291,'[1]Sep-25'!$A:$A,'[1]Sep-25'!$H:$H,0)</f>
        <v>46511.63</v>
      </c>
      <c r="AA291" s="17">
        <f>_xlfn.XLOOKUP($B291,'[1]Oct-25'!$A:$A,'[1]Oct-25'!$H:$H,0)</f>
        <v>0</v>
      </c>
      <c r="AB291" s="17">
        <f>_xlfn.XLOOKUP($B291,'[1]Nov-25'!$A:$A,'[1]Nov-25'!$H:$H,0)</f>
        <v>0</v>
      </c>
      <c r="AC291" s="17">
        <f>_xlfn.XLOOKUP($B291,'[1]Dec-25'!$A:$A,'[1]Dec-25'!$H:$H,0)</f>
        <v>0</v>
      </c>
      <c r="AD291" s="17">
        <f>_xlfn.XLOOKUP($B291,'[1]Jan-26'!$A:$A,'[1]Jan-26'!$H:$H,0)</f>
        <v>0</v>
      </c>
      <c r="AE291" s="17">
        <f>_xlfn.XLOOKUP($B291,'[1]Feb-26'!$A:$A,'[1]Feb-26'!$H:$H,0)</f>
        <v>0</v>
      </c>
      <c r="AF291" s="17">
        <f>_xlfn.XLOOKUP($B291,'[1]Mar-26'!$A:$A,'[1]Mar-26'!$H:$H,0)</f>
        <v>0</v>
      </c>
      <c r="AG291" s="17">
        <f>_xlfn.XLOOKUP($B291,'[1]Apr-26'!$A:$A,'[1]Apr-26'!$H:$H,0)</f>
        <v>0</v>
      </c>
    </row>
    <row r="292" spans="1:33" x14ac:dyDescent="0.2">
      <c r="A292" s="58">
        <v>40060</v>
      </c>
      <c r="B292" s="56" t="str">
        <f t="shared" si="10"/>
        <v>40060</v>
      </c>
      <c r="C292" s="57" t="s">
        <v>471</v>
      </c>
      <c r="D292" s="57" t="s">
        <v>369</v>
      </c>
      <c r="E292" s="44" t="s">
        <v>482</v>
      </c>
      <c r="F292" s="17">
        <f>_xlfn.XLOOKUP($B292,'[1]Jan-24'!$A:$A,'[1]Jan-24'!$H:$H,0)</f>
        <v>0</v>
      </c>
      <c r="G292" s="17">
        <f>_xlfn.XLOOKUP($B292,'[1]Feb-24'!$A:$A,'[1]Feb-24'!$H:$H,0)</f>
        <v>0</v>
      </c>
      <c r="H292" s="17">
        <f>_xlfn.XLOOKUP($B292,'[1]Mar-24'!$A:$A,'[1]Mar-24'!$H:$H,0)</f>
        <v>0</v>
      </c>
      <c r="I292" s="17">
        <f>_xlfn.XLOOKUP($B292,'[1]Apr-24'!$A:$A,'[1]Apr-24'!$H:$H,0)</f>
        <v>0</v>
      </c>
      <c r="J292" s="17">
        <f>_xlfn.XLOOKUP($B292,'[1]May-24'!$A:$A,'[1]May-24'!$H:$H,0)</f>
        <v>0</v>
      </c>
      <c r="K292" s="17">
        <f>_xlfn.XLOOKUP($B292,'[1]Jun-24'!$A:$A,'[1]Jun-24'!$H:$H,0)</f>
        <v>0</v>
      </c>
      <c r="L292" s="17">
        <f>_xlfn.XLOOKUP($B292,'[1]Jul-24'!$A:$A,'[1]Jul-24'!$H:$H,0)</f>
        <v>0</v>
      </c>
      <c r="M292" s="17">
        <f>_xlfn.XLOOKUP($B292,'[1]Aug-24'!$A:$A,'[1]Aug-24'!$H:$H,0)</f>
        <v>0</v>
      </c>
      <c r="N292" s="17">
        <f>_xlfn.XLOOKUP($B292,'[1]Sep-24'!$A:$A,'[1]Sep-24'!$H:$H,0)</f>
        <v>0</v>
      </c>
      <c r="O292" s="17">
        <f>_xlfn.XLOOKUP($B292,'[1]Oct-24'!$A:$A,'[1]Oct-24'!$H:$H,0)</f>
        <v>0</v>
      </c>
      <c r="P292" s="17">
        <f>_xlfn.XLOOKUP($B292,'[1]Nov-24'!$A:$A,'[1]Nov-24'!$H:$H,0)</f>
        <v>0</v>
      </c>
      <c r="Q292" s="17">
        <f>_xlfn.XLOOKUP($B292,'[1]Dec-24'!$A:$A,'[1]Dec-24'!$H:$H,0)</f>
        <v>0</v>
      </c>
      <c r="R292" s="17">
        <f>_xlfn.XLOOKUP($B292,'[1]Jan-25'!$A:$A,'[1]Jan-25'!$H:$H,0)</f>
        <v>0</v>
      </c>
      <c r="S292" s="17">
        <f>_xlfn.XLOOKUP($B292,'[1]Feb-25'!$A:$A,'[1]Feb-25'!$H:$H,0)</f>
        <v>0</v>
      </c>
      <c r="T292" s="17">
        <f>_xlfn.XLOOKUP($B292,'[1]Mar-25'!$A:$A,'[1]Mar-25'!$H:$H,0)</f>
        <v>0</v>
      </c>
      <c r="U292" s="17">
        <f>_xlfn.XLOOKUP($B292,'[1]Apr-25'!$A:$A,'[1]Apr-25'!$H:$H,0)</f>
        <v>0</v>
      </c>
      <c r="V292" s="17">
        <f>_xlfn.XLOOKUP($B292,'[1]May-25'!$A:$A,'[1]May-25'!$H:$H,0)</f>
        <v>0</v>
      </c>
      <c r="W292" s="17">
        <f>_xlfn.XLOOKUP($B292,'[1]Jun-25'!$A:$A,'[1]Jun-25'!$H:$H,0)</f>
        <v>0</v>
      </c>
      <c r="X292" s="17">
        <f>_xlfn.XLOOKUP($B292,'[1]Jul-25'!$A:$A,'[1]Jul-25'!$H:$H,0)</f>
        <v>0</v>
      </c>
      <c r="Y292" s="17">
        <f>_xlfn.XLOOKUP($B292,'[1]Aug-25'!$A:$A,'[1]Aug-25'!$H:$H,0)</f>
        <v>0</v>
      </c>
      <c r="Z292" s="17">
        <f>_xlfn.XLOOKUP($B292,'[1]Sep-25'!$A:$A,'[1]Sep-25'!$H:$H,0)</f>
        <v>0</v>
      </c>
      <c r="AA292" s="17">
        <f>_xlfn.XLOOKUP($B292,'[1]Oct-25'!$A:$A,'[1]Oct-25'!$H:$H,0)</f>
        <v>0</v>
      </c>
      <c r="AB292" s="17">
        <f>_xlfn.XLOOKUP($B292,'[1]Nov-25'!$A:$A,'[1]Nov-25'!$H:$H,0)</f>
        <v>0</v>
      </c>
      <c r="AC292" s="17">
        <f>_xlfn.XLOOKUP($B292,'[1]Dec-25'!$A:$A,'[1]Dec-25'!$H:$H,0)</f>
        <v>0</v>
      </c>
      <c r="AD292" s="17">
        <f>_xlfn.XLOOKUP($B292,'[1]Jan-26'!$A:$A,'[1]Jan-26'!$H:$H,0)</f>
        <v>0</v>
      </c>
      <c r="AE292" s="17">
        <f>_xlfn.XLOOKUP($B292,'[1]Feb-26'!$A:$A,'[1]Feb-26'!$H:$H,0)</f>
        <v>0</v>
      </c>
      <c r="AF292" s="17">
        <f>_xlfn.XLOOKUP($B292,'[1]Mar-26'!$A:$A,'[1]Mar-26'!$H:$H,0)</f>
        <v>0</v>
      </c>
      <c r="AG292" s="17">
        <f>_xlfn.XLOOKUP($B292,'[1]Apr-26'!$A:$A,'[1]Apr-26'!$H:$H,0)</f>
        <v>0</v>
      </c>
    </row>
    <row r="293" spans="1:33" x14ac:dyDescent="0.2">
      <c r="A293" s="58">
        <v>40062</v>
      </c>
      <c r="B293" s="56" t="str">
        <f t="shared" si="10"/>
        <v>40062</v>
      </c>
      <c r="C293" s="57" t="s">
        <v>471</v>
      </c>
      <c r="D293" s="57" t="s">
        <v>369</v>
      </c>
      <c r="E293" s="44" t="s">
        <v>483</v>
      </c>
      <c r="F293" s="17">
        <f>_xlfn.XLOOKUP($B293,'[1]Jan-24'!$A:$A,'[1]Jan-24'!$H:$H,0)</f>
        <v>0</v>
      </c>
      <c r="G293" s="17">
        <f>_xlfn.XLOOKUP($B293,'[1]Feb-24'!$A:$A,'[1]Feb-24'!$H:$H,0)</f>
        <v>0</v>
      </c>
      <c r="H293" s="17">
        <f>_xlfn.XLOOKUP($B293,'[1]Mar-24'!$A:$A,'[1]Mar-24'!$H:$H,0)</f>
        <v>0</v>
      </c>
      <c r="I293" s="17">
        <f>_xlfn.XLOOKUP($B293,'[1]Apr-24'!$A:$A,'[1]Apr-24'!$H:$H,0)</f>
        <v>0</v>
      </c>
      <c r="J293" s="17">
        <f>_xlfn.XLOOKUP($B293,'[1]May-24'!$A:$A,'[1]May-24'!$H:$H,0)</f>
        <v>0</v>
      </c>
      <c r="K293" s="17">
        <f>_xlfn.XLOOKUP($B293,'[1]Jun-24'!$A:$A,'[1]Jun-24'!$H:$H,0)</f>
        <v>0</v>
      </c>
      <c r="L293" s="17">
        <f>_xlfn.XLOOKUP($B293,'[1]Jul-24'!$A:$A,'[1]Jul-24'!$H:$H,0)</f>
        <v>0</v>
      </c>
      <c r="M293" s="17">
        <f>_xlfn.XLOOKUP($B293,'[1]Aug-24'!$A:$A,'[1]Aug-24'!$H:$H,0)</f>
        <v>0</v>
      </c>
      <c r="N293" s="17">
        <f>_xlfn.XLOOKUP($B293,'[1]Sep-24'!$A:$A,'[1]Sep-24'!$H:$H,0)</f>
        <v>0</v>
      </c>
      <c r="O293" s="17">
        <f>_xlfn.XLOOKUP($B293,'[1]Oct-24'!$A:$A,'[1]Oct-24'!$H:$H,0)</f>
        <v>0</v>
      </c>
      <c r="P293" s="17">
        <f>_xlfn.XLOOKUP($B293,'[1]Nov-24'!$A:$A,'[1]Nov-24'!$H:$H,0)</f>
        <v>0</v>
      </c>
      <c r="Q293" s="17">
        <f>_xlfn.XLOOKUP($B293,'[1]Dec-24'!$A:$A,'[1]Dec-24'!$H:$H,0)</f>
        <v>0</v>
      </c>
      <c r="R293" s="17">
        <f>_xlfn.XLOOKUP($B293,'[1]Jan-25'!$A:$A,'[1]Jan-25'!$H:$H,0)</f>
        <v>0</v>
      </c>
      <c r="S293" s="17">
        <f>_xlfn.XLOOKUP($B293,'[1]Feb-25'!$A:$A,'[1]Feb-25'!$H:$H,0)</f>
        <v>0</v>
      </c>
      <c r="T293" s="17">
        <f>_xlfn.XLOOKUP($B293,'[1]Mar-25'!$A:$A,'[1]Mar-25'!$H:$H,0)</f>
        <v>0</v>
      </c>
      <c r="U293" s="17">
        <f>_xlfn.XLOOKUP($B293,'[1]Apr-25'!$A:$A,'[1]Apr-25'!$H:$H,0)</f>
        <v>0</v>
      </c>
      <c r="V293" s="17">
        <f>_xlfn.XLOOKUP($B293,'[1]May-25'!$A:$A,'[1]May-25'!$H:$H,0)</f>
        <v>0</v>
      </c>
      <c r="W293" s="17">
        <f>_xlfn.XLOOKUP($B293,'[1]Jun-25'!$A:$A,'[1]Jun-25'!$H:$H,0)</f>
        <v>0</v>
      </c>
      <c r="X293" s="17">
        <f>_xlfn.XLOOKUP($B293,'[1]Jul-25'!$A:$A,'[1]Jul-25'!$H:$H,0)</f>
        <v>0</v>
      </c>
      <c r="Y293" s="17">
        <f>_xlfn.XLOOKUP($B293,'[1]Aug-25'!$A:$A,'[1]Aug-25'!$H:$H,0)</f>
        <v>0</v>
      </c>
      <c r="Z293" s="17">
        <f>_xlfn.XLOOKUP($B293,'[1]Sep-25'!$A:$A,'[1]Sep-25'!$H:$H,0)</f>
        <v>0</v>
      </c>
      <c r="AA293" s="17">
        <f>_xlfn.XLOOKUP($B293,'[1]Oct-25'!$A:$A,'[1]Oct-25'!$H:$H,0)</f>
        <v>0</v>
      </c>
      <c r="AB293" s="17">
        <f>_xlfn.XLOOKUP($B293,'[1]Nov-25'!$A:$A,'[1]Nov-25'!$H:$H,0)</f>
        <v>0</v>
      </c>
      <c r="AC293" s="17">
        <f>_xlfn.XLOOKUP($B293,'[1]Dec-25'!$A:$A,'[1]Dec-25'!$H:$H,0)</f>
        <v>0</v>
      </c>
      <c r="AD293" s="17">
        <f>_xlfn.XLOOKUP($B293,'[1]Jan-26'!$A:$A,'[1]Jan-26'!$H:$H,0)</f>
        <v>0</v>
      </c>
      <c r="AE293" s="17">
        <f>_xlfn.XLOOKUP($B293,'[1]Feb-26'!$A:$A,'[1]Feb-26'!$H:$H,0)</f>
        <v>0</v>
      </c>
      <c r="AF293" s="17">
        <f>_xlfn.XLOOKUP($B293,'[1]Mar-26'!$A:$A,'[1]Mar-26'!$H:$H,0)</f>
        <v>0</v>
      </c>
      <c r="AG293" s="17">
        <f>_xlfn.XLOOKUP($B293,'[1]Apr-26'!$A:$A,'[1]Apr-26'!$H:$H,0)</f>
        <v>0</v>
      </c>
    </row>
    <row r="294" spans="1:33" x14ac:dyDescent="0.2">
      <c r="A294" s="58">
        <v>40065</v>
      </c>
      <c r="B294" s="56" t="str">
        <f t="shared" si="10"/>
        <v>40065</v>
      </c>
      <c r="C294" s="57" t="s">
        <v>471</v>
      </c>
      <c r="D294" s="57" t="s">
        <v>369</v>
      </c>
      <c r="E294" s="44" t="s">
        <v>484</v>
      </c>
      <c r="F294" s="17">
        <f>_xlfn.XLOOKUP($B294,'[1]Jan-24'!$A:$A,'[1]Jan-24'!$H:$H,0)</f>
        <v>0</v>
      </c>
      <c r="G294" s="17">
        <f>_xlfn.XLOOKUP($B294,'[1]Feb-24'!$A:$A,'[1]Feb-24'!$H:$H,0)</f>
        <v>0</v>
      </c>
      <c r="H294" s="17">
        <f>_xlfn.XLOOKUP($B294,'[1]Mar-24'!$A:$A,'[1]Mar-24'!$H:$H,0)</f>
        <v>0</v>
      </c>
      <c r="I294" s="17">
        <f>_xlfn.XLOOKUP($B294,'[1]Apr-24'!$A:$A,'[1]Apr-24'!$H:$H,0)</f>
        <v>0</v>
      </c>
      <c r="J294" s="17">
        <f>_xlfn.XLOOKUP($B294,'[1]May-24'!$A:$A,'[1]May-24'!$H:$H,0)</f>
        <v>0</v>
      </c>
      <c r="K294" s="17">
        <f>_xlfn.XLOOKUP($B294,'[1]Jun-24'!$A:$A,'[1]Jun-24'!$H:$H,0)</f>
        <v>0</v>
      </c>
      <c r="L294" s="17">
        <f>_xlfn.XLOOKUP($B294,'[1]Jul-24'!$A:$A,'[1]Jul-24'!$H:$H,0)</f>
        <v>0</v>
      </c>
      <c r="M294" s="17">
        <f>_xlfn.XLOOKUP($B294,'[1]Aug-24'!$A:$A,'[1]Aug-24'!$H:$H,0)</f>
        <v>0</v>
      </c>
      <c r="N294" s="17">
        <f>_xlfn.XLOOKUP($B294,'[1]Sep-24'!$A:$A,'[1]Sep-24'!$H:$H,0)</f>
        <v>0</v>
      </c>
      <c r="O294" s="17">
        <f>_xlfn.XLOOKUP($B294,'[1]Oct-24'!$A:$A,'[1]Oct-24'!$H:$H,0)</f>
        <v>0</v>
      </c>
      <c r="P294" s="17">
        <f>_xlfn.XLOOKUP($B294,'[1]Nov-24'!$A:$A,'[1]Nov-24'!$H:$H,0)</f>
        <v>0</v>
      </c>
      <c r="Q294" s="17">
        <f>_xlfn.XLOOKUP($B294,'[1]Dec-24'!$A:$A,'[1]Dec-24'!$H:$H,0)</f>
        <v>0</v>
      </c>
      <c r="R294" s="17">
        <f>_xlfn.XLOOKUP($B294,'[1]Jan-25'!$A:$A,'[1]Jan-25'!$H:$H,0)</f>
        <v>0</v>
      </c>
      <c r="S294" s="17">
        <f>_xlfn.XLOOKUP($B294,'[1]Feb-25'!$A:$A,'[1]Feb-25'!$H:$H,0)</f>
        <v>0</v>
      </c>
      <c r="T294" s="17">
        <f>_xlfn.XLOOKUP($B294,'[1]Mar-25'!$A:$A,'[1]Mar-25'!$H:$H,0)</f>
        <v>0</v>
      </c>
      <c r="U294" s="17">
        <f>_xlfn.XLOOKUP($B294,'[1]Apr-25'!$A:$A,'[1]Apr-25'!$H:$H,0)</f>
        <v>0</v>
      </c>
      <c r="V294" s="17">
        <f>_xlfn.XLOOKUP($B294,'[1]May-25'!$A:$A,'[1]May-25'!$H:$H,0)</f>
        <v>0</v>
      </c>
      <c r="W294" s="17">
        <f>_xlfn.XLOOKUP($B294,'[1]Jun-25'!$A:$A,'[1]Jun-25'!$H:$H,0)</f>
        <v>0</v>
      </c>
      <c r="X294" s="17">
        <f>_xlfn.XLOOKUP($B294,'[1]Jul-25'!$A:$A,'[1]Jul-25'!$H:$H,0)</f>
        <v>0</v>
      </c>
      <c r="Y294" s="17">
        <f>_xlfn.XLOOKUP($B294,'[1]Aug-25'!$A:$A,'[1]Aug-25'!$H:$H,0)</f>
        <v>0</v>
      </c>
      <c r="Z294" s="17">
        <f>_xlfn.XLOOKUP($B294,'[1]Sep-25'!$A:$A,'[1]Sep-25'!$H:$H,0)</f>
        <v>0</v>
      </c>
      <c r="AA294" s="17">
        <f>_xlfn.XLOOKUP($B294,'[1]Oct-25'!$A:$A,'[1]Oct-25'!$H:$H,0)</f>
        <v>0</v>
      </c>
      <c r="AB294" s="17">
        <f>_xlfn.XLOOKUP($B294,'[1]Nov-25'!$A:$A,'[1]Nov-25'!$H:$H,0)</f>
        <v>0</v>
      </c>
      <c r="AC294" s="17">
        <f>_xlfn.XLOOKUP($B294,'[1]Dec-25'!$A:$A,'[1]Dec-25'!$H:$H,0)</f>
        <v>0</v>
      </c>
      <c r="AD294" s="17">
        <f>_xlfn.XLOOKUP($B294,'[1]Jan-26'!$A:$A,'[1]Jan-26'!$H:$H,0)</f>
        <v>0</v>
      </c>
      <c r="AE294" s="17">
        <f>_xlfn.XLOOKUP($B294,'[1]Feb-26'!$A:$A,'[1]Feb-26'!$H:$H,0)</f>
        <v>0</v>
      </c>
      <c r="AF294" s="17">
        <f>_xlfn.XLOOKUP($B294,'[1]Mar-26'!$A:$A,'[1]Mar-26'!$H:$H,0)</f>
        <v>0</v>
      </c>
      <c r="AG294" s="17">
        <f>_xlfn.XLOOKUP($B294,'[1]Apr-26'!$A:$A,'[1]Apr-26'!$H:$H,0)</f>
        <v>0</v>
      </c>
    </row>
    <row r="295" spans="1:33" x14ac:dyDescent="0.2">
      <c r="A295" s="58">
        <v>40070</v>
      </c>
      <c r="B295" s="56" t="str">
        <f t="shared" si="10"/>
        <v>40070</v>
      </c>
      <c r="C295" s="57" t="s">
        <v>471</v>
      </c>
      <c r="D295" s="57" t="s">
        <v>369</v>
      </c>
      <c r="E295" s="44" t="s">
        <v>485</v>
      </c>
      <c r="F295" s="17">
        <f>_xlfn.XLOOKUP($B295,'[1]Jan-24'!$A:$A,'[1]Jan-24'!$H:$H,0)</f>
        <v>0</v>
      </c>
      <c r="G295" s="17">
        <f>_xlfn.XLOOKUP($B295,'[1]Feb-24'!$A:$A,'[1]Feb-24'!$H:$H,0)</f>
        <v>0</v>
      </c>
      <c r="H295" s="17">
        <f>_xlfn.XLOOKUP($B295,'[1]Mar-24'!$A:$A,'[1]Mar-24'!$H:$H,0)</f>
        <v>0</v>
      </c>
      <c r="I295" s="17">
        <f>_xlfn.XLOOKUP($B295,'[1]Apr-24'!$A:$A,'[1]Apr-24'!$H:$H,0)</f>
        <v>0</v>
      </c>
      <c r="J295" s="17">
        <f>_xlfn.XLOOKUP($B295,'[1]May-24'!$A:$A,'[1]May-24'!$H:$H,0)</f>
        <v>0</v>
      </c>
      <c r="K295" s="17">
        <f>_xlfn.XLOOKUP($B295,'[1]Jun-24'!$A:$A,'[1]Jun-24'!$H:$H,0)</f>
        <v>0</v>
      </c>
      <c r="L295" s="17">
        <f>_xlfn.XLOOKUP($B295,'[1]Jul-24'!$A:$A,'[1]Jul-24'!$H:$H,0)</f>
        <v>0</v>
      </c>
      <c r="M295" s="17">
        <f>_xlfn.XLOOKUP($B295,'[1]Aug-24'!$A:$A,'[1]Aug-24'!$H:$H,0)</f>
        <v>0</v>
      </c>
      <c r="N295" s="17">
        <f>_xlfn.XLOOKUP($B295,'[1]Sep-24'!$A:$A,'[1]Sep-24'!$H:$H,0)</f>
        <v>0</v>
      </c>
      <c r="O295" s="17">
        <f>_xlfn.XLOOKUP($B295,'[1]Oct-24'!$A:$A,'[1]Oct-24'!$H:$H,0)</f>
        <v>0</v>
      </c>
      <c r="P295" s="17">
        <f>_xlfn.XLOOKUP($B295,'[1]Nov-24'!$A:$A,'[1]Nov-24'!$H:$H,0)</f>
        <v>0</v>
      </c>
      <c r="Q295" s="17">
        <f>_xlfn.XLOOKUP($B295,'[1]Dec-24'!$A:$A,'[1]Dec-24'!$H:$H,0)</f>
        <v>0</v>
      </c>
      <c r="R295" s="17">
        <f>_xlfn.XLOOKUP($B295,'[1]Jan-25'!$A:$A,'[1]Jan-25'!$H:$H,0)</f>
        <v>0</v>
      </c>
      <c r="S295" s="17">
        <f>_xlfn.XLOOKUP($B295,'[1]Feb-25'!$A:$A,'[1]Feb-25'!$H:$H,0)</f>
        <v>0</v>
      </c>
      <c r="T295" s="17">
        <f>_xlfn.XLOOKUP($B295,'[1]Mar-25'!$A:$A,'[1]Mar-25'!$H:$H,0)</f>
        <v>0</v>
      </c>
      <c r="U295" s="17">
        <f>_xlfn.XLOOKUP($B295,'[1]Apr-25'!$A:$A,'[1]Apr-25'!$H:$H,0)</f>
        <v>0</v>
      </c>
      <c r="V295" s="17">
        <f>_xlfn.XLOOKUP($B295,'[1]May-25'!$A:$A,'[1]May-25'!$H:$H,0)</f>
        <v>0</v>
      </c>
      <c r="W295" s="17">
        <f>_xlfn.XLOOKUP($B295,'[1]Jun-25'!$A:$A,'[1]Jun-25'!$H:$H,0)</f>
        <v>0</v>
      </c>
      <c r="X295" s="17">
        <f>_xlfn.XLOOKUP($B295,'[1]Jul-25'!$A:$A,'[1]Jul-25'!$H:$H,0)</f>
        <v>0</v>
      </c>
      <c r="Y295" s="17">
        <f>_xlfn.XLOOKUP($B295,'[1]Aug-25'!$A:$A,'[1]Aug-25'!$H:$H,0)</f>
        <v>0</v>
      </c>
      <c r="Z295" s="17">
        <f>_xlfn.XLOOKUP($B295,'[1]Sep-25'!$A:$A,'[1]Sep-25'!$H:$H,0)</f>
        <v>0</v>
      </c>
      <c r="AA295" s="17">
        <f>_xlfn.XLOOKUP($B295,'[1]Oct-25'!$A:$A,'[1]Oct-25'!$H:$H,0)</f>
        <v>0</v>
      </c>
      <c r="AB295" s="17">
        <f>_xlfn.XLOOKUP($B295,'[1]Nov-25'!$A:$A,'[1]Nov-25'!$H:$H,0)</f>
        <v>0</v>
      </c>
      <c r="AC295" s="17">
        <f>_xlfn.XLOOKUP($B295,'[1]Dec-25'!$A:$A,'[1]Dec-25'!$H:$H,0)</f>
        <v>0</v>
      </c>
      <c r="AD295" s="17">
        <f>_xlfn.XLOOKUP($B295,'[1]Jan-26'!$A:$A,'[1]Jan-26'!$H:$H,0)</f>
        <v>0</v>
      </c>
      <c r="AE295" s="17">
        <f>_xlfn.XLOOKUP($B295,'[1]Feb-26'!$A:$A,'[1]Feb-26'!$H:$H,0)</f>
        <v>0</v>
      </c>
      <c r="AF295" s="17">
        <f>_xlfn.XLOOKUP($B295,'[1]Mar-26'!$A:$A,'[1]Mar-26'!$H:$H,0)</f>
        <v>0</v>
      </c>
      <c r="AG295" s="17">
        <f>_xlfn.XLOOKUP($B295,'[1]Apr-26'!$A:$A,'[1]Apr-26'!$H:$H,0)</f>
        <v>0</v>
      </c>
    </row>
    <row r="296" spans="1:33" x14ac:dyDescent="0.2">
      <c r="A296" s="58">
        <v>40075</v>
      </c>
      <c r="B296" s="56" t="str">
        <f t="shared" si="10"/>
        <v>40075</v>
      </c>
      <c r="C296" s="57" t="s">
        <v>486</v>
      </c>
      <c r="D296" s="57" t="s">
        <v>369</v>
      </c>
      <c r="E296" s="44" t="s">
        <v>487</v>
      </c>
      <c r="F296" s="17">
        <f>_xlfn.XLOOKUP($B296,'[1]Jan-24'!$A:$A,'[1]Jan-24'!$H:$H,0)</f>
        <v>0</v>
      </c>
      <c r="G296" s="17">
        <f>_xlfn.XLOOKUP($B296,'[1]Feb-24'!$A:$A,'[1]Feb-24'!$H:$H,0)</f>
        <v>0</v>
      </c>
      <c r="H296" s="17">
        <f>_xlfn.XLOOKUP($B296,'[1]Mar-24'!$A:$A,'[1]Mar-24'!$H:$H,0)</f>
        <v>0</v>
      </c>
      <c r="I296" s="17">
        <f>_xlfn.XLOOKUP($B296,'[1]Apr-24'!$A:$A,'[1]Apr-24'!$H:$H,0)</f>
        <v>0</v>
      </c>
      <c r="J296" s="17">
        <f>_xlfn.XLOOKUP($B296,'[1]May-24'!$A:$A,'[1]May-24'!$H:$H,0)</f>
        <v>0</v>
      </c>
      <c r="K296" s="17">
        <f>_xlfn.XLOOKUP($B296,'[1]Jun-24'!$A:$A,'[1]Jun-24'!$H:$H,0)</f>
        <v>0</v>
      </c>
      <c r="L296" s="17">
        <f>_xlfn.XLOOKUP($B296,'[1]Jul-24'!$A:$A,'[1]Jul-24'!$H:$H,0)</f>
        <v>0</v>
      </c>
      <c r="M296" s="17">
        <f>_xlfn.XLOOKUP($B296,'[1]Aug-24'!$A:$A,'[1]Aug-24'!$H:$H,0)</f>
        <v>0</v>
      </c>
      <c r="N296" s="17">
        <f>_xlfn.XLOOKUP($B296,'[1]Sep-24'!$A:$A,'[1]Sep-24'!$H:$H,0)</f>
        <v>0</v>
      </c>
      <c r="O296" s="17">
        <f>_xlfn.XLOOKUP($B296,'[1]Oct-24'!$A:$A,'[1]Oct-24'!$H:$H,0)</f>
        <v>0</v>
      </c>
      <c r="P296" s="17">
        <f>_xlfn.XLOOKUP($B296,'[1]Nov-24'!$A:$A,'[1]Nov-24'!$H:$H,0)</f>
        <v>0</v>
      </c>
      <c r="Q296" s="17">
        <f>_xlfn.XLOOKUP($B296,'[1]Dec-24'!$A:$A,'[1]Dec-24'!$H:$H,0)</f>
        <v>0</v>
      </c>
      <c r="R296" s="17">
        <f>_xlfn.XLOOKUP($B296,'[1]Jan-25'!$A:$A,'[1]Jan-25'!$H:$H,0)</f>
        <v>0</v>
      </c>
      <c r="S296" s="17">
        <f>_xlfn.XLOOKUP($B296,'[1]Feb-25'!$A:$A,'[1]Feb-25'!$H:$H,0)</f>
        <v>0</v>
      </c>
      <c r="T296" s="17">
        <f>_xlfn.XLOOKUP($B296,'[1]Mar-25'!$A:$A,'[1]Mar-25'!$H:$H,0)</f>
        <v>0</v>
      </c>
      <c r="U296" s="17">
        <f>_xlfn.XLOOKUP($B296,'[1]Apr-25'!$A:$A,'[1]Apr-25'!$H:$H,0)</f>
        <v>0</v>
      </c>
      <c r="V296" s="17">
        <f>_xlfn.XLOOKUP($B296,'[1]May-25'!$A:$A,'[1]May-25'!$H:$H,0)</f>
        <v>0</v>
      </c>
      <c r="W296" s="17">
        <f>_xlfn.XLOOKUP($B296,'[1]Jun-25'!$A:$A,'[1]Jun-25'!$H:$H,0)</f>
        <v>0</v>
      </c>
      <c r="X296" s="17">
        <f>_xlfn.XLOOKUP($B296,'[1]Jul-25'!$A:$A,'[1]Jul-25'!$H:$H,0)</f>
        <v>0</v>
      </c>
      <c r="Y296" s="17">
        <f>_xlfn.XLOOKUP($B296,'[1]Aug-25'!$A:$A,'[1]Aug-25'!$H:$H,0)</f>
        <v>0</v>
      </c>
      <c r="Z296" s="17">
        <f>_xlfn.XLOOKUP($B296,'[1]Sep-25'!$A:$A,'[1]Sep-25'!$H:$H,0)</f>
        <v>0</v>
      </c>
      <c r="AA296" s="17">
        <f>_xlfn.XLOOKUP($B296,'[1]Oct-25'!$A:$A,'[1]Oct-25'!$H:$H,0)</f>
        <v>0</v>
      </c>
      <c r="AB296" s="17">
        <f>_xlfn.XLOOKUP($B296,'[1]Nov-25'!$A:$A,'[1]Nov-25'!$H:$H,0)</f>
        <v>0</v>
      </c>
      <c r="AC296" s="17">
        <f>_xlfn.XLOOKUP($B296,'[1]Dec-25'!$A:$A,'[1]Dec-25'!$H:$H,0)</f>
        <v>0</v>
      </c>
      <c r="AD296" s="17">
        <f>_xlfn.XLOOKUP($B296,'[1]Jan-26'!$A:$A,'[1]Jan-26'!$H:$H,0)</f>
        <v>0</v>
      </c>
      <c r="AE296" s="17">
        <f>_xlfn.XLOOKUP($B296,'[1]Feb-26'!$A:$A,'[1]Feb-26'!$H:$H,0)</f>
        <v>0</v>
      </c>
      <c r="AF296" s="17">
        <f>_xlfn.XLOOKUP($B296,'[1]Mar-26'!$A:$A,'[1]Mar-26'!$H:$H,0)</f>
        <v>0</v>
      </c>
      <c r="AG296" s="17">
        <f>_xlfn.XLOOKUP($B296,'[1]Apr-26'!$A:$A,'[1]Apr-26'!$H:$H,0)</f>
        <v>0</v>
      </c>
    </row>
    <row r="297" spans="1:33" x14ac:dyDescent="0.2">
      <c r="A297" s="58">
        <v>40080</v>
      </c>
      <c r="B297" s="56" t="str">
        <f t="shared" si="10"/>
        <v>40080</v>
      </c>
      <c r="C297" s="57" t="s">
        <v>486</v>
      </c>
      <c r="D297" s="57" t="s">
        <v>369</v>
      </c>
      <c r="E297" s="44" t="s">
        <v>488</v>
      </c>
      <c r="F297" s="17">
        <f>_xlfn.XLOOKUP($B297,'[1]Jan-24'!$A:$A,'[1]Jan-24'!$H:$H,0)</f>
        <v>0</v>
      </c>
      <c r="G297" s="17">
        <f>_xlfn.XLOOKUP($B297,'[1]Feb-24'!$A:$A,'[1]Feb-24'!$H:$H,0)</f>
        <v>0</v>
      </c>
      <c r="H297" s="17">
        <f>_xlfn.XLOOKUP($B297,'[1]Mar-24'!$A:$A,'[1]Mar-24'!$H:$H,0)</f>
        <v>0</v>
      </c>
      <c r="I297" s="17">
        <f>_xlfn.XLOOKUP($B297,'[1]Apr-24'!$A:$A,'[1]Apr-24'!$H:$H,0)</f>
        <v>0</v>
      </c>
      <c r="J297" s="17">
        <f>_xlfn.XLOOKUP($B297,'[1]May-24'!$A:$A,'[1]May-24'!$H:$H,0)</f>
        <v>0</v>
      </c>
      <c r="K297" s="17">
        <f>_xlfn.XLOOKUP($B297,'[1]Jun-24'!$A:$A,'[1]Jun-24'!$H:$H,0)</f>
        <v>0</v>
      </c>
      <c r="L297" s="17">
        <f>_xlfn.XLOOKUP($B297,'[1]Jul-24'!$A:$A,'[1]Jul-24'!$H:$H,0)</f>
        <v>0</v>
      </c>
      <c r="M297" s="17">
        <f>_xlfn.XLOOKUP($B297,'[1]Aug-24'!$A:$A,'[1]Aug-24'!$H:$H,0)</f>
        <v>0</v>
      </c>
      <c r="N297" s="17">
        <f>_xlfn.XLOOKUP($B297,'[1]Sep-24'!$A:$A,'[1]Sep-24'!$H:$H,0)</f>
        <v>0</v>
      </c>
      <c r="O297" s="17">
        <f>_xlfn.XLOOKUP($B297,'[1]Oct-24'!$A:$A,'[1]Oct-24'!$H:$H,0)</f>
        <v>0</v>
      </c>
      <c r="P297" s="17">
        <f>_xlfn.XLOOKUP($B297,'[1]Nov-24'!$A:$A,'[1]Nov-24'!$H:$H,0)</f>
        <v>0</v>
      </c>
      <c r="Q297" s="17">
        <f>_xlfn.XLOOKUP($B297,'[1]Dec-24'!$A:$A,'[1]Dec-24'!$H:$H,0)</f>
        <v>0</v>
      </c>
      <c r="R297" s="17">
        <f>_xlfn.XLOOKUP($B297,'[1]Jan-25'!$A:$A,'[1]Jan-25'!$H:$H,0)</f>
        <v>0</v>
      </c>
      <c r="S297" s="17">
        <f>_xlfn.XLOOKUP($B297,'[1]Feb-25'!$A:$A,'[1]Feb-25'!$H:$H,0)</f>
        <v>0</v>
      </c>
      <c r="T297" s="17">
        <f>_xlfn.XLOOKUP($B297,'[1]Mar-25'!$A:$A,'[1]Mar-25'!$H:$H,0)</f>
        <v>0</v>
      </c>
      <c r="U297" s="17">
        <f>_xlfn.XLOOKUP($B297,'[1]Apr-25'!$A:$A,'[1]Apr-25'!$H:$H,0)</f>
        <v>0</v>
      </c>
      <c r="V297" s="17">
        <f>_xlfn.XLOOKUP($B297,'[1]May-25'!$A:$A,'[1]May-25'!$H:$H,0)</f>
        <v>0</v>
      </c>
      <c r="W297" s="17">
        <f>_xlfn.XLOOKUP($B297,'[1]Jun-25'!$A:$A,'[1]Jun-25'!$H:$H,0)</f>
        <v>0</v>
      </c>
      <c r="X297" s="17">
        <f>_xlfn.XLOOKUP($B297,'[1]Jul-25'!$A:$A,'[1]Jul-25'!$H:$H,0)</f>
        <v>0</v>
      </c>
      <c r="Y297" s="17">
        <f>_xlfn.XLOOKUP($B297,'[1]Aug-25'!$A:$A,'[1]Aug-25'!$H:$H,0)</f>
        <v>0</v>
      </c>
      <c r="Z297" s="17">
        <f>_xlfn.XLOOKUP($B297,'[1]Sep-25'!$A:$A,'[1]Sep-25'!$H:$H,0)</f>
        <v>0</v>
      </c>
      <c r="AA297" s="17">
        <f>_xlfn.XLOOKUP($B297,'[1]Oct-25'!$A:$A,'[1]Oct-25'!$H:$H,0)</f>
        <v>0</v>
      </c>
      <c r="AB297" s="17">
        <f>_xlfn.XLOOKUP($B297,'[1]Nov-25'!$A:$A,'[1]Nov-25'!$H:$H,0)</f>
        <v>0</v>
      </c>
      <c r="AC297" s="17">
        <f>_xlfn.XLOOKUP($B297,'[1]Dec-25'!$A:$A,'[1]Dec-25'!$H:$H,0)</f>
        <v>0</v>
      </c>
      <c r="AD297" s="17">
        <f>_xlfn.XLOOKUP($B297,'[1]Jan-26'!$A:$A,'[1]Jan-26'!$H:$H,0)</f>
        <v>0</v>
      </c>
      <c r="AE297" s="17">
        <f>_xlfn.XLOOKUP($B297,'[1]Feb-26'!$A:$A,'[1]Feb-26'!$H:$H,0)</f>
        <v>0</v>
      </c>
      <c r="AF297" s="17">
        <f>_xlfn.XLOOKUP($B297,'[1]Mar-26'!$A:$A,'[1]Mar-26'!$H:$H,0)</f>
        <v>0</v>
      </c>
      <c r="AG297" s="17">
        <f>_xlfn.XLOOKUP($B297,'[1]Apr-26'!$A:$A,'[1]Apr-26'!$H:$H,0)</f>
        <v>0</v>
      </c>
    </row>
    <row r="298" spans="1:33" x14ac:dyDescent="0.2">
      <c r="A298" s="58">
        <v>40085</v>
      </c>
      <c r="B298" s="56" t="str">
        <f t="shared" si="10"/>
        <v>40085</v>
      </c>
      <c r="C298" s="57" t="s">
        <v>486</v>
      </c>
      <c r="D298" s="57" t="s">
        <v>369</v>
      </c>
      <c r="E298" s="44" t="s">
        <v>9</v>
      </c>
      <c r="F298" s="17">
        <f>_xlfn.XLOOKUP($B298,'[1]Jan-24'!$A:$A,'[1]Jan-24'!$H:$H,0)</f>
        <v>-51483.95</v>
      </c>
      <c r="G298" s="17">
        <f>_xlfn.XLOOKUP($B298,'[1]Feb-24'!$A:$A,'[1]Feb-24'!$H:$H,0)</f>
        <v>-28583.589999999851</v>
      </c>
      <c r="H298" s="17">
        <f>_xlfn.XLOOKUP($B298,'[1]Mar-24'!$A:$A,'[1]Mar-24'!$H:$H,0)</f>
        <v>-28583.59</v>
      </c>
      <c r="I298" s="17">
        <f>_xlfn.XLOOKUP($B298,'[1]Apr-24'!$A:$A,'[1]Apr-24'!$H:$H,0)</f>
        <v>-13583.570000000007</v>
      </c>
      <c r="J298" s="17">
        <f>_xlfn.XLOOKUP($B298,'[1]May-24'!$A:$A,'[1]May-24'!$H:$H,0)</f>
        <v>-9917.1300000000047</v>
      </c>
      <c r="K298" s="17">
        <f>_xlfn.XLOOKUP($B298,'[1]Jun-24'!$A:$A,'[1]Jun-24'!$H:$H,0)</f>
        <v>-14167.049999999988</v>
      </c>
      <c r="L298" s="17">
        <f>_xlfn.XLOOKUP($B298,'[1]Jul-24'!$A:$A,'[1]Jul-24'!$H:$H,0)</f>
        <v>-22167.55</v>
      </c>
      <c r="M298" s="17">
        <f>_xlfn.XLOOKUP($B298,'[1]Aug-24'!$A:$A,'[1]Aug-24'!$H:$H,0)</f>
        <v>-19500.47</v>
      </c>
      <c r="N298" s="17">
        <f>_xlfn.XLOOKUP($B298,'[1]Sep-24'!$A:$A,'[1]Sep-24'!$H:$H,0)</f>
        <v>-15000.01</v>
      </c>
      <c r="O298" s="17">
        <f>_xlfn.XLOOKUP($B298,'[1]Oct-24'!$A:$A,'[1]Oct-24'!$H:$H,0)</f>
        <v>-17083.34</v>
      </c>
      <c r="P298" s="17">
        <f>_xlfn.XLOOKUP($B298,'[1]Nov-24'!$A:$A,'[1]Nov-24'!$H:$H,0)</f>
        <v>-12916.67</v>
      </c>
      <c r="Q298" s="17">
        <f>_xlfn.XLOOKUP($B298,'[1]Dec-24'!$A:$A,'[1]Dec-24'!$H:$H,0)</f>
        <v>-1168712.18</v>
      </c>
      <c r="R298" s="17">
        <f>_xlfn.XLOOKUP($B298,'[1]Jan-25'!$A:$A,'[1]Jan-25'!$H:$H,0)</f>
        <v>-255331.68</v>
      </c>
      <c r="S298" s="17">
        <f>_xlfn.XLOOKUP($B298,'[1]Feb-25'!$A:$A,'[1]Feb-25'!$H:$H,0)</f>
        <v>-116831.67</v>
      </c>
      <c r="T298" s="17">
        <f>_xlfn.XLOOKUP($B298,'[1]Mar-25'!$A:$A,'[1]Mar-25'!$H:$H,0)</f>
        <v>-127627.63</v>
      </c>
      <c r="U298" s="17">
        <f>_xlfn.XLOOKUP($B298,'[1]Apr-25'!$A:$A,'[1]Apr-25'!$H:$H,0)</f>
        <v>-147291.04</v>
      </c>
      <c r="V298" s="17">
        <f>_xlfn.XLOOKUP($B298,'[1]May-25'!$A:$A,'[1]May-25'!$H:$H,0)</f>
        <v>-61831.68</v>
      </c>
      <c r="W298" s="17">
        <f>_xlfn.XLOOKUP($B298,'[1]Jun-25'!$A:$A,'[1]Jun-25'!$H:$H,0)</f>
        <v>-178615.67999999999</v>
      </c>
      <c r="X298" s="17">
        <f>_xlfn.XLOOKUP($B298,'[1]Jul-25'!$A:$A,'[1]Jul-25'!$H:$H,0)</f>
        <v>-163978.25</v>
      </c>
      <c r="Y298" s="17">
        <f>_xlfn.XLOOKUP($B298,'[1]Aug-25'!$A:$A,'[1]Aug-25'!$H:$H,0)</f>
        <v>-167074.89000000001</v>
      </c>
      <c r="Z298" s="17">
        <f>_xlfn.XLOOKUP($B298,'[1]Sep-25'!$A:$A,'[1]Sep-25'!$H:$H,0)</f>
        <v>-158016.72</v>
      </c>
      <c r="AA298" s="17">
        <f>_xlfn.XLOOKUP($B298,'[1]Oct-25'!$A:$A,'[1]Oct-25'!$H:$H,0)</f>
        <v>-288654.21000000002</v>
      </c>
      <c r="AB298" s="17">
        <f>_xlfn.XLOOKUP($B298,'[1]Nov-25'!$A:$A,'[1]Nov-25'!$H:$H,0)</f>
        <v>-275219.26</v>
      </c>
      <c r="AC298" s="17">
        <f>_xlfn.XLOOKUP($B298,'[1]Dec-25'!$A:$A,'[1]Dec-25'!$H:$H,0)</f>
        <v>-412327.02</v>
      </c>
      <c r="AD298" s="17">
        <f>_xlfn.XLOOKUP($B298,'[1]Jan-26'!$A:$A,'[1]Jan-26'!$H:$H,0)</f>
        <v>-182607.23</v>
      </c>
      <c r="AE298" s="17">
        <f>_xlfn.XLOOKUP($B298,'[1]Feb-26'!$A:$A,'[1]Feb-26'!$H:$H,0)</f>
        <v>-63750.67</v>
      </c>
      <c r="AF298" s="17">
        <f>_xlfn.XLOOKUP($B298,'[1]Mar-26'!$A:$A,'[1]Mar-26'!$H:$H,0)</f>
        <v>-58776.08</v>
      </c>
      <c r="AG298" s="17">
        <f>_xlfn.XLOOKUP($B298,'[1]Apr-26'!$A:$A,'[1]Apr-26'!$H:$H,0)</f>
        <v>-97500.01</v>
      </c>
    </row>
    <row r="299" spans="1:33" x14ac:dyDescent="0.2">
      <c r="A299" s="58">
        <v>40087</v>
      </c>
      <c r="B299" s="56" t="str">
        <f t="shared" si="10"/>
        <v>40087</v>
      </c>
      <c r="C299" s="57" t="s">
        <v>486</v>
      </c>
      <c r="D299" s="57" t="s">
        <v>369</v>
      </c>
      <c r="E299" s="44" t="s">
        <v>489</v>
      </c>
      <c r="F299" s="17">
        <f>_xlfn.XLOOKUP($B299,'[1]Jan-24'!$A:$A,'[1]Jan-24'!$H:$H,0)</f>
        <v>0</v>
      </c>
      <c r="G299" s="17">
        <f>_xlfn.XLOOKUP($B299,'[1]Feb-24'!$A:$A,'[1]Feb-24'!$H:$H,0)</f>
        <v>0</v>
      </c>
      <c r="H299" s="17">
        <f>_xlfn.XLOOKUP($B299,'[1]Mar-24'!$A:$A,'[1]Mar-24'!$H:$H,0)</f>
        <v>0</v>
      </c>
      <c r="I299" s="17">
        <f>_xlfn.XLOOKUP($B299,'[1]Apr-24'!$A:$A,'[1]Apr-24'!$H:$H,0)</f>
        <v>0</v>
      </c>
      <c r="J299" s="17">
        <f>_xlfn.XLOOKUP($B299,'[1]May-24'!$A:$A,'[1]May-24'!$H:$H,0)</f>
        <v>0</v>
      </c>
      <c r="K299" s="17">
        <f>_xlfn.XLOOKUP($B299,'[1]Jun-24'!$A:$A,'[1]Jun-24'!$H:$H,0)</f>
        <v>0</v>
      </c>
      <c r="L299" s="17">
        <f>_xlfn.XLOOKUP($B299,'[1]Jul-24'!$A:$A,'[1]Jul-24'!$H:$H,0)</f>
        <v>0</v>
      </c>
      <c r="M299" s="17">
        <f>_xlfn.XLOOKUP($B299,'[1]Aug-24'!$A:$A,'[1]Aug-24'!$H:$H,0)</f>
        <v>0</v>
      </c>
      <c r="N299" s="17">
        <f>_xlfn.XLOOKUP($B299,'[1]Sep-24'!$A:$A,'[1]Sep-24'!$H:$H,0)</f>
        <v>0</v>
      </c>
      <c r="O299" s="17">
        <f>_xlfn.XLOOKUP($B299,'[1]Oct-24'!$A:$A,'[1]Oct-24'!$H:$H,0)</f>
        <v>0</v>
      </c>
      <c r="P299" s="17">
        <f>_xlfn.XLOOKUP($B299,'[1]Nov-24'!$A:$A,'[1]Nov-24'!$H:$H,0)</f>
        <v>0</v>
      </c>
      <c r="Q299" s="17">
        <f>_xlfn.XLOOKUP($B299,'[1]Dec-24'!$A:$A,'[1]Dec-24'!$H:$H,0)</f>
        <v>0</v>
      </c>
      <c r="R299" s="17">
        <f>_xlfn.XLOOKUP($B299,'[1]Jan-25'!$A:$A,'[1]Jan-25'!$H:$H,0)</f>
        <v>0</v>
      </c>
      <c r="S299" s="17">
        <f>_xlfn.XLOOKUP($B299,'[1]Feb-25'!$A:$A,'[1]Feb-25'!$H:$H,0)</f>
        <v>0</v>
      </c>
      <c r="T299" s="17">
        <f>_xlfn.XLOOKUP($B299,'[1]Mar-25'!$A:$A,'[1]Mar-25'!$H:$H,0)</f>
        <v>0</v>
      </c>
      <c r="U299" s="17">
        <f>_xlfn.XLOOKUP($B299,'[1]Apr-25'!$A:$A,'[1]Apr-25'!$H:$H,0)</f>
        <v>0</v>
      </c>
      <c r="V299" s="17">
        <f>_xlfn.XLOOKUP($B299,'[1]May-25'!$A:$A,'[1]May-25'!$H:$H,0)</f>
        <v>0</v>
      </c>
      <c r="W299" s="17">
        <f>_xlfn.XLOOKUP($B299,'[1]Jun-25'!$A:$A,'[1]Jun-25'!$H:$H,0)</f>
        <v>0</v>
      </c>
      <c r="X299" s="17">
        <f>_xlfn.XLOOKUP($B299,'[1]Jul-25'!$A:$A,'[1]Jul-25'!$H:$H,0)</f>
        <v>0</v>
      </c>
      <c r="Y299" s="17">
        <f>_xlfn.XLOOKUP($B299,'[1]Aug-25'!$A:$A,'[1]Aug-25'!$H:$H,0)</f>
        <v>0</v>
      </c>
      <c r="Z299" s="17">
        <f>_xlfn.XLOOKUP($B299,'[1]Sep-25'!$A:$A,'[1]Sep-25'!$H:$H,0)</f>
        <v>0</v>
      </c>
      <c r="AA299" s="17">
        <f>_xlfn.XLOOKUP($B299,'[1]Oct-25'!$A:$A,'[1]Oct-25'!$H:$H,0)</f>
        <v>0</v>
      </c>
      <c r="AB299" s="17">
        <f>_xlfn.XLOOKUP($B299,'[1]Nov-25'!$A:$A,'[1]Nov-25'!$H:$H,0)</f>
        <v>0</v>
      </c>
      <c r="AC299" s="17">
        <f>_xlfn.XLOOKUP($B299,'[1]Dec-25'!$A:$A,'[1]Dec-25'!$H:$H,0)</f>
        <v>-30979.89</v>
      </c>
      <c r="AD299" s="17">
        <f>_xlfn.XLOOKUP($B299,'[1]Jan-26'!$A:$A,'[1]Jan-26'!$H:$H,0)</f>
        <v>0</v>
      </c>
      <c r="AE299" s="17">
        <f>_xlfn.XLOOKUP($B299,'[1]Feb-26'!$A:$A,'[1]Feb-26'!$H:$H,0)</f>
        <v>0</v>
      </c>
      <c r="AF299" s="17">
        <f>_xlfn.XLOOKUP($B299,'[1]Mar-26'!$A:$A,'[1]Mar-26'!$H:$H,0)</f>
        <v>0</v>
      </c>
      <c r="AG299" s="17">
        <f>_xlfn.XLOOKUP($B299,'[1]Apr-26'!$A:$A,'[1]Apr-26'!$H:$H,0)</f>
        <v>0</v>
      </c>
    </row>
    <row r="300" spans="1:33" x14ac:dyDescent="0.2">
      <c r="A300" s="58">
        <v>40090</v>
      </c>
      <c r="B300" s="56" t="str">
        <f t="shared" si="10"/>
        <v>40090</v>
      </c>
      <c r="C300" s="57" t="s">
        <v>471</v>
      </c>
      <c r="D300" s="57" t="s">
        <v>369</v>
      </c>
      <c r="E300" s="44" t="s">
        <v>490</v>
      </c>
      <c r="F300" s="17">
        <f>_xlfn.XLOOKUP($B300,'[1]Jan-24'!$A:$A,'[1]Jan-24'!$H:$H,0)</f>
        <v>0</v>
      </c>
      <c r="G300" s="17">
        <f>_xlfn.XLOOKUP($B300,'[1]Feb-24'!$A:$A,'[1]Feb-24'!$H:$H,0)</f>
        <v>0</v>
      </c>
      <c r="H300" s="17">
        <f>_xlfn.XLOOKUP($B300,'[1]Mar-24'!$A:$A,'[1]Mar-24'!$H:$H,0)</f>
        <v>0</v>
      </c>
      <c r="I300" s="17">
        <f>_xlfn.XLOOKUP($B300,'[1]Apr-24'!$A:$A,'[1]Apr-24'!$H:$H,0)</f>
        <v>0</v>
      </c>
      <c r="J300" s="17">
        <f>_xlfn.XLOOKUP($B300,'[1]May-24'!$A:$A,'[1]May-24'!$H:$H,0)</f>
        <v>0</v>
      </c>
      <c r="K300" s="17">
        <f>_xlfn.XLOOKUP($B300,'[1]Jun-24'!$A:$A,'[1]Jun-24'!$H:$H,0)</f>
        <v>0</v>
      </c>
      <c r="L300" s="17">
        <f>_xlfn.XLOOKUP($B300,'[1]Jul-24'!$A:$A,'[1]Jul-24'!$H:$H,0)</f>
        <v>0</v>
      </c>
      <c r="M300" s="17">
        <f>_xlfn.XLOOKUP($B300,'[1]Aug-24'!$A:$A,'[1]Aug-24'!$H:$H,0)</f>
        <v>0</v>
      </c>
      <c r="N300" s="17">
        <f>_xlfn.XLOOKUP($B300,'[1]Sep-24'!$A:$A,'[1]Sep-24'!$H:$H,0)</f>
        <v>0</v>
      </c>
      <c r="O300" s="17">
        <f>_xlfn.XLOOKUP($B300,'[1]Oct-24'!$A:$A,'[1]Oct-24'!$H:$H,0)</f>
        <v>0</v>
      </c>
      <c r="P300" s="17">
        <f>_xlfn.XLOOKUP($B300,'[1]Nov-24'!$A:$A,'[1]Nov-24'!$H:$H,0)</f>
        <v>0</v>
      </c>
      <c r="Q300" s="17">
        <f>_xlfn.XLOOKUP($B300,'[1]Dec-24'!$A:$A,'[1]Dec-24'!$H:$H,0)</f>
        <v>0</v>
      </c>
      <c r="R300" s="17">
        <f>_xlfn.XLOOKUP($B300,'[1]Jan-25'!$A:$A,'[1]Jan-25'!$H:$H,0)</f>
        <v>0</v>
      </c>
      <c r="S300" s="17">
        <f>_xlfn.XLOOKUP($B300,'[1]Feb-25'!$A:$A,'[1]Feb-25'!$H:$H,0)</f>
        <v>0</v>
      </c>
      <c r="T300" s="17">
        <f>_xlfn.XLOOKUP($B300,'[1]Mar-25'!$A:$A,'[1]Mar-25'!$H:$H,0)</f>
        <v>0</v>
      </c>
      <c r="U300" s="17">
        <f>_xlfn.XLOOKUP($B300,'[1]Apr-25'!$A:$A,'[1]Apr-25'!$H:$H,0)</f>
        <v>0</v>
      </c>
      <c r="V300" s="17">
        <f>_xlfn.XLOOKUP($B300,'[1]May-25'!$A:$A,'[1]May-25'!$H:$H,0)</f>
        <v>0</v>
      </c>
      <c r="W300" s="17">
        <f>_xlfn.XLOOKUP($B300,'[1]Jun-25'!$A:$A,'[1]Jun-25'!$H:$H,0)</f>
        <v>0</v>
      </c>
      <c r="X300" s="17">
        <f>_xlfn.XLOOKUP($B300,'[1]Jul-25'!$A:$A,'[1]Jul-25'!$H:$H,0)</f>
        <v>0</v>
      </c>
      <c r="Y300" s="17">
        <f>_xlfn.XLOOKUP($B300,'[1]Aug-25'!$A:$A,'[1]Aug-25'!$H:$H,0)</f>
        <v>0</v>
      </c>
      <c r="Z300" s="17">
        <f>_xlfn.XLOOKUP($B300,'[1]Sep-25'!$A:$A,'[1]Sep-25'!$H:$H,0)</f>
        <v>0</v>
      </c>
      <c r="AA300" s="17">
        <f>_xlfn.XLOOKUP($B300,'[1]Oct-25'!$A:$A,'[1]Oct-25'!$H:$H,0)</f>
        <v>0</v>
      </c>
      <c r="AB300" s="17">
        <f>_xlfn.XLOOKUP($B300,'[1]Nov-25'!$A:$A,'[1]Nov-25'!$H:$H,0)</f>
        <v>0</v>
      </c>
      <c r="AC300" s="17">
        <f>_xlfn.XLOOKUP($B300,'[1]Dec-25'!$A:$A,'[1]Dec-25'!$H:$H,0)</f>
        <v>0</v>
      </c>
      <c r="AD300" s="17">
        <f>_xlfn.XLOOKUP($B300,'[1]Jan-26'!$A:$A,'[1]Jan-26'!$H:$H,0)</f>
        <v>0</v>
      </c>
      <c r="AE300" s="17">
        <f>_xlfn.XLOOKUP($B300,'[1]Feb-26'!$A:$A,'[1]Feb-26'!$H:$H,0)</f>
        <v>0</v>
      </c>
      <c r="AF300" s="17">
        <f>_xlfn.XLOOKUP($B300,'[1]Mar-26'!$A:$A,'[1]Mar-26'!$H:$H,0)</f>
        <v>0</v>
      </c>
      <c r="AG300" s="17">
        <f>_xlfn.XLOOKUP($B300,'[1]Apr-26'!$A:$A,'[1]Apr-26'!$H:$H,0)</f>
        <v>0</v>
      </c>
    </row>
    <row r="301" spans="1:33" x14ac:dyDescent="0.2">
      <c r="A301" s="58">
        <v>40095</v>
      </c>
      <c r="B301" s="56" t="str">
        <f t="shared" si="10"/>
        <v>40095</v>
      </c>
      <c r="C301" s="57" t="s">
        <v>471</v>
      </c>
      <c r="D301" s="57" t="s">
        <v>369</v>
      </c>
      <c r="E301" s="44" t="s">
        <v>491</v>
      </c>
      <c r="F301" s="17">
        <f>_xlfn.XLOOKUP($B301,'[1]Jan-24'!$A:$A,'[1]Jan-24'!$H:$H,0)</f>
        <v>0</v>
      </c>
      <c r="G301" s="17">
        <f>_xlfn.XLOOKUP($B301,'[1]Feb-24'!$A:$A,'[1]Feb-24'!$H:$H,0)</f>
        <v>0</v>
      </c>
      <c r="H301" s="17">
        <f>_xlfn.XLOOKUP($B301,'[1]Mar-24'!$A:$A,'[1]Mar-24'!$H:$H,0)</f>
        <v>0</v>
      </c>
      <c r="I301" s="17">
        <f>_xlfn.XLOOKUP($B301,'[1]Apr-24'!$A:$A,'[1]Apr-24'!$H:$H,0)</f>
        <v>0</v>
      </c>
      <c r="J301" s="17">
        <f>_xlfn.XLOOKUP($B301,'[1]May-24'!$A:$A,'[1]May-24'!$H:$H,0)</f>
        <v>0</v>
      </c>
      <c r="K301" s="17">
        <f>_xlfn.XLOOKUP($B301,'[1]Jun-24'!$A:$A,'[1]Jun-24'!$H:$H,0)</f>
        <v>0</v>
      </c>
      <c r="L301" s="17">
        <f>_xlfn.XLOOKUP($B301,'[1]Jul-24'!$A:$A,'[1]Jul-24'!$H:$H,0)</f>
        <v>0</v>
      </c>
      <c r="M301" s="17">
        <f>_xlfn.XLOOKUP($B301,'[1]Aug-24'!$A:$A,'[1]Aug-24'!$H:$H,0)</f>
        <v>0</v>
      </c>
      <c r="N301" s="17">
        <f>_xlfn.XLOOKUP($B301,'[1]Sep-24'!$A:$A,'[1]Sep-24'!$H:$H,0)</f>
        <v>0</v>
      </c>
      <c r="O301" s="17">
        <f>_xlfn.XLOOKUP($B301,'[1]Oct-24'!$A:$A,'[1]Oct-24'!$H:$H,0)</f>
        <v>0</v>
      </c>
      <c r="P301" s="17">
        <f>_xlfn.XLOOKUP($B301,'[1]Nov-24'!$A:$A,'[1]Nov-24'!$H:$H,0)</f>
        <v>0</v>
      </c>
      <c r="Q301" s="17">
        <f>_xlfn.XLOOKUP($B301,'[1]Dec-24'!$A:$A,'[1]Dec-24'!$H:$H,0)</f>
        <v>0</v>
      </c>
      <c r="R301" s="17">
        <f>_xlfn.XLOOKUP($B301,'[1]Jan-25'!$A:$A,'[1]Jan-25'!$H:$H,0)</f>
        <v>0</v>
      </c>
      <c r="S301" s="17">
        <f>_xlfn.XLOOKUP($B301,'[1]Feb-25'!$A:$A,'[1]Feb-25'!$H:$H,0)</f>
        <v>-303000</v>
      </c>
      <c r="T301" s="17">
        <f>_xlfn.XLOOKUP($B301,'[1]Mar-25'!$A:$A,'[1]Mar-25'!$H:$H,0)</f>
        <v>-6976744.1900000004</v>
      </c>
      <c r="U301" s="17">
        <f>_xlfn.XLOOKUP($B301,'[1]Apr-25'!$A:$A,'[1]Apr-25'!$H:$H,0)</f>
        <v>-8930232.5600000005</v>
      </c>
      <c r="V301" s="17">
        <f>_xlfn.XLOOKUP($B301,'[1]May-25'!$A:$A,'[1]May-25'!$H:$H,0)</f>
        <v>-7534883.7800000003</v>
      </c>
      <c r="W301" s="17">
        <f>_xlfn.XLOOKUP($B301,'[1]Jun-25'!$A:$A,'[1]Jun-25'!$H:$H,0)</f>
        <v>0</v>
      </c>
      <c r="X301" s="17">
        <f>_xlfn.XLOOKUP($B301,'[1]Jul-25'!$A:$A,'[1]Jul-25'!$H:$H,0)</f>
        <v>-14511628.029999999</v>
      </c>
      <c r="Y301" s="17">
        <f>_xlfn.XLOOKUP($B301,'[1]Aug-25'!$A:$A,'[1]Aug-25'!$H:$H,0)</f>
        <v>0</v>
      </c>
      <c r="Z301" s="17">
        <f>_xlfn.XLOOKUP($B301,'[1]Sep-25'!$A:$A,'[1]Sep-25'!$H:$H,0)</f>
        <v>-837209.3</v>
      </c>
      <c r="AA301" s="17">
        <f>_xlfn.XLOOKUP($B301,'[1]Oct-25'!$A:$A,'[1]Oct-25'!$H:$H,0)</f>
        <v>0</v>
      </c>
      <c r="AB301" s="17">
        <f>_xlfn.XLOOKUP($B301,'[1]Nov-25'!$A:$A,'[1]Nov-25'!$H:$H,0)</f>
        <v>-279069.77</v>
      </c>
      <c r="AC301" s="17">
        <f>_xlfn.XLOOKUP($B301,'[1]Dec-25'!$A:$A,'[1]Dec-25'!$H:$H,0)</f>
        <v>-289069.77</v>
      </c>
      <c r="AD301" s="17">
        <f>_xlfn.XLOOKUP($B301,'[1]Jan-26'!$A:$A,'[1]Jan-26'!$H:$H,0)</f>
        <v>-837209.29999999888</v>
      </c>
      <c r="AE301" s="17">
        <f>_xlfn.XLOOKUP($B301,'[1]Feb-26'!$A:$A,'[1]Feb-26'!$H:$H,0)</f>
        <v>-8093023.2599999998</v>
      </c>
      <c r="AF301" s="17">
        <f>_xlfn.XLOOKUP($B301,'[1]Mar-26'!$A:$A,'[1]Mar-26'!$H:$H,0)</f>
        <v>0</v>
      </c>
      <c r="AG301" s="17">
        <f>_xlfn.XLOOKUP($B301,'[1]Apr-26'!$A:$A,'[1]Apr-26'!$H:$H,0)</f>
        <v>-539534.88</v>
      </c>
    </row>
    <row r="302" spans="1:33" x14ac:dyDescent="0.2">
      <c r="A302" s="58">
        <v>40100</v>
      </c>
      <c r="B302" s="56" t="str">
        <f t="shared" si="10"/>
        <v>40100</v>
      </c>
      <c r="C302" s="57" t="s">
        <v>471</v>
      </c>
      <c r="D302" s="57" t="s">
        <v>369</v>
      </c>
      <c r="E302" s="44" t="s">
        <v>492</v>
      </c>
      <c r="F302" s="17">
        <f>_xlfn.XLOOKUP($B302,'[1]Jan-24'!$A:$A,'[1]Jan-24'!$H:$H,0)</f>
        <v>0</v>
      </c>
      <c r="G302" s="17">
        <f>_xlfn.XLOOKUP($B302,'[1]Feb-24'!$A:$A,'[1]Feb-24'!$H:$H,0)</f>
        <v>0</v>
      </c>
      <c r="H302" s="17">
        <f>_xlfn.XLOOKUP($B302,'[1]Mar-24'!$A:$A,'[1]Mar-24'!$H:$H,0)</f>
        <v>0</v>
      </c>
      <c r="I302" s="17">
        <f>_xlfn.XLOOKUP($B302,'[1]Apr-24'!$A:$A,'[1]Apr-24'!$H:$H,0)</f>
        <v>0</v>
      </c>
      <c r="J302" s="17">
        <f>_xlfn.XLOOKUP($B302,'[1]May-24'!$A:$A,'[1]May-24'!$H:$H,0)</f>
        <v>0</v>
      </c>
      <c r="K302" s="17">
        <f>_xlfn.XLOOKUP($B302,'[1]Jun-24'!$A:$A,'[1]Jun-24'!$H:$H,0)</f>
        <v>0</v>
      </c>
      <c r="L302" s="17">
        <f>_xlfn.XLOOKUP($B302,'[1]Jul-24'!$A:$A,'[1]Jul-24'!$H:$H,0)</f>
        <v>0</v>
      </c>
      <c r="M302" s="17">
        <f>_xlfn.XLOOKUP($B302,'[1]Aug-24'!$A:$A,'[1]Aug-24'!$H:$H,0)</f>
        <v>0</v>
      </c>
      <c r="N302" s="17">
        <f>_xlfn.XLOOKUP($B302,'[1]Sep-24'!$A:$A,'[1]Sep-24'!$H:$H,0)</f>
        <v>0</v>
      </c>
      <c r="O302" s="17">
        <f>_xlfn.XLOOKUP($B302,'[1]Oct-24'!$A:$A,'[1]Oct-24'!$H:$H,0)</f>
        <v>0</v>
      </c>
      <c r="P302" s="17">
        <f>_xlfn.XLOOKUP($B302,'[1]Nov-24'!$A:$A,'[1]Nov-24'!$H:$H,0)</f>
        <v>0</v>
      </c>
      <c r="Q302" s="17">
        <f>_xlfn.XLOOKUP($B302,'[1]Dec-24'!$A:$A,'[1]Dec-24'!$H:$H,0)</f>
        <v>0</v>
      </c>
      <c r="R302" s="17">
        <f>_xlfn.XLOOKUP($B302,'[1]Jan-25'!$A:$A,'[1]Jan-25'!$H:$H,0)</f>
        <v>0</v>
      </c>
      <c r="S302" s="17">
        <f>_xlfn.XLOOKUP($B302,'[1]Feb-25'!$A:$A,'[1]Feb-25'!$H:$H,0)</f>
        <v>0</v>
      </c>
      <c r="T302" s="17">
        <f>_xlfn.XLOOKUP($B302,'[1]Mar-25'!$A:$A,'[1]Mar-25'!$H:$H,0)</f>
        <v>0</v>
      </c>
      <c r="U302" s="17">
        <f>_xlfn.XLOOKUP($B302,'[1]Apr-25'!$A:$A,'[1]Apr-25'!$H:$H,0)</f>
        <v>0</v>
      </c>
      <c r="V302" s="17">
        <f>_xlfn.XLOOKUP($B302,'[1]May-25'!$A:$A,'[1]May-25'!$H:$H,0)</f>
        <v>0</v>
      </c>
      <c r="W302" s="17">
        <f>_xlfn.XLOOKUP($B302,'[1]Jun-25'!$A:$A,'[1]Jun-25'!$H:$H,0)</f>
        <v>0</v>
      </c>
      <c r="X302" s="17">
        <f>_xlfn.XLOOKUP($B302,'[1]Jul-25'!$A:$A,'[1]Jul-25'!$H:$H,0)</f>
        <v>0</v>
      </c>
      <c r="Y302" s="17">
        <f>_xlfn.XLOOKUP($B302,'[1]Aug-25'!$A:$A,'[1]Aug-25'!$H:$H,0)</f>
        <v>0</v>
      </c>
      <c r="Z302" s="17">
        <f>_xlfn.XLOOKUP($B302,'[1]Sep-25'!$A:$A,'[1]Sep-25'!$H:$H,0)</f>
        <v>0</v>
      </c>
      <c r="AA302" s="17">
        <f>_xlfn.XLOOKUP($B302,'[1]Oct-25'!$A:$A,'[1]Oct-25'!$H:$H,0)</f>
        <v>0</v>
      </c>
      <c r="AB302" s="17">
        <f>_xlfn.XLOOKUP($B302,'[1]Nov-25'!$A:$A,'[1]Nov-25'!$H:$H,0)</f>
        <v>0</v>
      </c>
      <c r="AC302" s="17">
        <f>_xlfn.XLOOKUP($B302,'[1]Dec-25'!$A:$A,'[1]Dec-25'!$H:$H,0)</f>
        <v>0</v>
      </c>
      <c r="AD302" s="17">
        <f>_xlfn.XLOOKUP($B302,'[1]Jan-26'!$A:$A,'[1]Jan-26'!$H:$H,0)</f>
        <v>0</v>
      </c>
      <c r="AE302" s="17">
        <f>_xlfn.XLOOKUP($B302,'[1]Feb-26'!$A:$A,'[1]Feb-26'!$H:$H,0)</f>
        <v>0</v>
      </c>
      <c r="AF302" s="17">
        <f>_xlfn.XLOOKUP($B302,'[1]Mar-26'!$A:$A,'[1]Mar-26'!$H:$H,0)</f>
        <v>0</v>
      </c>
      <c r="AG302" s="17">
        <f>_xlfn.XLOOKUP($B302,'[1]Apr-26'!$A:$A,'[1]Apr-26'!$H:$H,0)</f>
        <v>0</v>
      </c>
    </row>
    <row r="303" spans="1:33" x14ac:dyDescent="0.2">
      <c r="A303" s="58">
        <v>40105</v>
      </c>
      <c r="B303" s="56" t="str">
        <f t="shared" si="10"/>
        <v>40105</v>
      </c>
      <c r="C303" s="57" t="s">
        <v>471</v>
      </c>
      <c r="D303" s="57" t="s">
        <v>369</v>
      </c>
      <c r="E303" s="44" t="s">
        <v>493</v>
      </c>
      <c r="F303" s="17">
        <f>_xlfn.XLOOKUP($B303,'[1]Jan-24'!$A:$A,'[1]Jan-24'!$H:$H,0)</f>
        <v>0</v>
      </c>
      <c r="G303" s="17">
        <f>_xlfn.XLOOKUP($B303,'[1]Feb-24'!$A:$A,'[1]Feb-24'!$H:$H,0)</f>
        <v>0</v>
      </c>
      <c r="H303" s="17">
        <f>_xlfn.XLOOKUP($B303,'[1]Mar-24'!$A:$A,'[1]Mar-24'!$H:$H,0)</f>
        <v>0</v>
      </c>
      <c r="I303" s="17">
        <f>_xlfn.XLOOKUP($B303,'[1]Apr-24'!$A:$A,'[1]Apr-24'!$H:$H,0)</f>
        <v>0</v>
      </c>
      <c r="J303" s="17">
        <f>_xlfn.XLOOKUP($B303,'[1]May-24'!$A:$A,'[1]May-24'!$H:$H,0)</f>
        <v>0</v>
      </c>
      <c r="K303" s="17">
        <f>_xlfn.XLOOKUP($B303,'[1]Jun-24'!$A:$A,'[1]Jun-24'!$H:$H,0)</f>
        <v>0</v>
      </c>
      <c r="L303" s="17">
        <f>_xlfn.XLOOKUP($B303,'[1]Jul-24'!$A:$A,'[1]Jul-24'!$H:$H,0)</f>
        <v>0</v>
      </c>
      <c r="M303" s="17">
        <f>_xlfn.XLOOKUP($B303,'[1]Aug-24'!$A:$A,'[1]Aug-24'!$H:$H,0)</f>
        <v>0</v>
      </c>
      <c r="N303" s="17">
        <f>_xlfn.XLOOKUP($B303,'[1]Sep-24'!$A:$A,'[1]Sep-24'!$H:$H,0)</f>
        <v>0</v>
      </c>
      <c r="O303" s="17">
        <f>_xlfn.XLOOKUP($B303,'[1]Oct-24'!$A:$A,'[1]Oct-24'!$H:$H,0)</f>
        <v>0</v>
      </c>
      <c r="P303" s="17">
        <f>_xlfn.XLOOKUP($B303,'[1]Nov-24'!$A:$A,'[1]Nov-24'!$H:$H,0)</f>
        <v>0</v>
      </c>
      <c r="Q303" s="17">
        <f>_xlfn.XLOOKUP($B303,'[1]Dec-24'!$A:$A,'[1]Dec-24'!$H:$H,0)</f>
        <v>0</v>
      </c>
      <c r="R303" s="17">
        <f>_xlfn.XLOOKUP($B303,'[1]Jan-25'!$A:$A,'[1]Jan-25'!$H:$H,0)</f>
        <v>0</v>
      </c>
      <c r="S303" s="17">
        <f>_xlfn.XLOOKUP($B303,'[1]Feb-25'!$A:$A,'[1]Feb-25'!$H:$H,0)</f>
        <v>0</v>
      </c>
      <c r="T303" s="17">
        <f>_xlfn.XLOOKUP($B303,'[1]Mar-25'!$A:$A,'[1]Mar-25'!$H:$H,0)</f>
        <v>0</v>
      </c>
      <c r="U303" s="17">
        <f>_xlfn.XLOOKUP($B303,'[1]Apr-25'!$A:$A,'[1]Apr-25'!$H:$H,0)</f>
        <v>0</v>
      </c>
      <c r="V303" s="17">
        <f>_xlfn.XLOOKUP($B303,'[1]May-25'!$A:$A,'[1]May-25'!$H:$H,0)</f>
        <v>0</v>
      </c>
      <c r="W303" s="17">
        <f>_xlfn.XLOOKUP($B303,'[1]Jun-25'!$A:$A,'[1]Jun-25'!$H:$H,0)</f>
        <v>0</v>
      </c>
      <c r="X303" s="17">
        <f>_xlfn.XLOOKUP($B303,'[1]Jul-25'!$A:$A,'[1]Jul-25'!$H:$H,0)</f>
        <v>0</v>
      </c>
      <c r="Y303" s="17">
        <f>_xlfn.XLOOKUP($B303,'[1]Aug-25'!$A:$A,'[1]Aug-25'!$H:$H,0)</f>
        <v>0</v>
      </c>
      <c r="Z303" s="17">
        <f>_xlfn.XLOOKUP($B303,'[1]Sep-25'!$A:$A,'[1]Sep-25'!$H:$H,0)</f>
        <v>0</v>
      </c>
      <c r="AA303" s="17">
        <f>_xlfn.XLOOKUP($B303,'[1]Oct-25'!$A:$A,'[1]Oct-25'!$H:$H,0)</f>
        <v>0</v>
      </c>
      <c r="AB303" s="17">
        <f>_xlfn.XLOOKUP($B303,'[1]Nov-25'!$A:$A,'[1]Nov-25'!$H:$H,0)</f>
        <v>0</v>
      </c>
      <c r="AC303" s="17">
        <f>_xlfn.XLOOKUP($B303,'[1]Dec-25'!$A:$A,'[1]Dec-25'!$H:$H,0)</f>
        <v>0</v>
      </c>
      <c r="AD303" s="17">
        <f>_xlfn.XLOOKUP($B303,'[1]Jan-26'!$A:$A,'[1]Jan-26'!$H:$H,0)</f>
        <v>0</v>
      </c>
      <c r="AE303" s="17">
        <f>_xlfn.XLOOKUP($B303,'[1]Feb-26'!$A:$A,'[1]Feb-26'!$H:$H,0)</f>
        <v>0</v>
      </c>
      <c r="AF303" s="17">
        <f>_xlfn.XLOOKUP($B303,'[1]Mar-26'!$A:$A,'[1]Mar-26'!$H:$H,0)</f>
        <v>0</v>
      </c>
      <c r="AG303" s="17">
        <f>_xlfn.XLOOKUP($B303,'[1]Apr-26'!$A:$A,'[1]Apr-26'!$H:$H,0)</f>
        <v>0</v>
      </c>
    </row>
    <row r="304" spans="1:33" x14ac:dyDescent="0.2">
      <c r="A304" s="58">
        <v>40110</v>
      </c>
      <c r="B304" s="56" t="str">
        <f t="shared" si="10"/>
        <v>40110</v>
      </c>
      <c r="C304" s="57" t="s">
        <v>471</v>
      </c>
      <c r="D304" s="57" t="s">
        <v>369</v>
      </c>
      <c r="E304" s="44" t="s">
        <v>494</v>
      </c>
      <c r="F304" s="17">
        <f>_xlfn.XLOOKUP($B304,'[1]Jan-24'!$A:$A,'[1]Jan-24'!$H:$H,0)</f>
        <v>0</v>
      </c>
      <c r="G304" s="17">
        <f>_xlfn.XLOOKUP($B304,'[1]Feb-24'!$A:$A,'[1]Feb-24'!$H:$H,0)</f>
        <v>0</v>
      </c>
      <c r="H304" s="17">
        <f>_xlfn.XLOOKUP($B304,'[1]Mar-24'!$A:$A,'[1]Mar-24'!$H:$H,0)</f>
        <v>0</v>
      </c>
      <c r="I304" s="17">
        <f>_xlfn.XLOOKUP($B304,'[1]Apr-24'!$A:$A,'[1]Apr-24'!$H:$H,0)</f>
        <v>0</v>
      </c>
      <c r="J304" s="17">
        <f>_xlfn.XLOOKUP($B304,'[1]May-24'!$A:$A,'[1]May-24'!$H:$H,0)</f>
        <v>0</v>
      </c>
      <c r="K304" s="17">
        <f>_xlfn.XLOOKUP($B304,'[1]Jun-24'!$A:$A,'[1]Jun-24'!$H:$H,0)</f>
        <v>0</v>
      </c>
      <c r="L304" s="17">
        <f>_xlfn.XLOOKUP($B304,'[1]Jul-24'!$A:$A,'[1]Jul-24'!$H:$H,0)</f>
        <v>0</v>
      </c>
      <c r="M304" s="17">
        <f>_xlfn.XLOOKUP($B304,'[1]Aug-24'!$A:$A,'[1]Aug-24'!$H:$H,0)</f>
        <v>0</v>
      </c>
      <c r="N304" s="17">
        <f>_xlfn.XLOOKUP($B304,'[1]Sep-24'!$A:$A,'[1]Sep-24'!$H:$H,0)</f>
        <v>0</v>
      </c>
      <c r="O304" s="17">
        <f>_xlfn.XLOOKUP($B304,'[1]Oct-24'!$A:$A,'[1]Oct-24'!$H:$H,0)</f>
        <v>0</v>
      </c>
      <c r="P304" s="17">
        <f>_xlfn.XLOOKUP($B304,'[1]Nov-24'!$A:$A,'[1]Nov-24'!$H:$H,0)</f>
        <v>0</v>
      </c>
      <c r="Q304" s="17">
        <f>_xlfn.XLOOKUP($B304,'[1]Dec-24'!$A:$A,'[1]Dec-24'!$H:$H,0)</f>
        <v>0</v>
      </c>
      <c r="R304" s="17">
        <f>_xlfn.XLOOKUP($B304,'[1]Jan-25'!$A:$A,'[1]Jan-25'!$H:$H,0)</f>
        <v>0</v>
      </c>
      <c r="S304" s="17">
        <f>_xlfn.XLOOKUP($B304,'[1]Feb-25'!$A:$A,'[1]Feb-25'!$H:$H,0)</f>
        <v>0</v>
      </c>
      <c r="T304" s="17">
        <f>_xlfn.XLOOKUP($B304,'[1]Mar-25'!$A:$A,'[1]Mar-25'!$H:$H,0)</f>
        <v>0</v>
      </c>
      <c r="U304" s="17">
        <f>_xlfn.XLOOKUP($B304,'[1]Apr-25'!$A:$A,'[1]Apr-25'!$H:$H,0)</f>
        <v>0</v>
      </c>
      <c r="V304" s="17">
        <f>_xlfn.XLOOKUP($B304,'[1]May-25'!$A:$A,'[1]May-25'!$H:$H,0)</f>
        <v>0</v>
      </c>
      <c r="W304" s="17">
        <f>_xlfn.XLOOKUP($B304,'[1]Jun-25'!$A:$A,'[1]Jun-25'!$H:$H,0)</f>
        <v>0</v>
      </c>
      <c r="X304" s="17">
        <f>_xlfn.XLOOKUP($B304,'[1]Jul-25'!$A:$A,'[1]Jul-25'!$H:$H,0)</f>
        <v>0</v>
      </c>
      <c r="Y304" s="17">
        <f>_xlfn.XLOOKUP($B304,'[1]Aug-25'!$A:$A,'[1]Aug-25'!$H:$H,0)</f>
        <v>0</v>
      </c>
      <c r="Z304" s="17">
        <f>_xlfn.XLOOKUP($B304,'[1]Sep-25'!$A:$A,'[1]Sep-25'!$H:$H,0)</f>
        <v>0</v>
      </c>
      <c r="AA304" s="17">
        <f>_xlfn.XLOOKUP($B304,'[1]Oct-25'!$A:$A,'[1]Oct-25'!$H:$H,0)</f>
        <v>0</v>
      </c>
      <c r="AB304" s="17">
        <f>_xlfn.XLOOKUP($B304,'[1]Nov-25'!$A:$A,'[1]Nov-25'!$H:$H,0)</f>
        <v>0</v>
      </c>
      <c r="AC304" s="17">
        <f>_xlfn.XLOOKUP($B304,'[1]Dec-25'!$A:$A,'[1]Dec-25'!$H:$H,0)</f>
        <v>0</v>
      </c>
      <c r="AD304" s="17">
        <f>_xlfn.XLOOKUP($B304,'[1]Jan-26'!$A:$A,'[1]Jan-26'!$H:$H,0)</f>
        <v>0</v>
      </c>
      <c r="AE304" s="17">
        <f>_xlfn.XLOOKUP($B304,'[1]Feb-26'!$A:$A,'[1]Feb-26'!$H:$H,0)</f>
        <v>0</v>
      </c>
      <c r="AF304" s="17">
        <f>_xlfn.XLOOKUP($B304,'[1]Mar-26'!$A:$A,'[1]Mar-26'!$H:$H,0)</f>
        <v>0</v>
      </c>
      <c r="AG304" s="17">
        <f>_xlfn.XLOOKUP($B304,'[1]Apr-26'!$A:$A,'[1]Apr-26'!$H:$H,0)</f>
        <v>0</v>
      </c>
    </row>
    <row r="305" spans="1:33" x14ac:dyDescent="0.2">
      <c r="A305" s="58">
        <v>40115</v>
      </c>
      <c r="B305" s="56" t="str">
        <f t="shared" si="10"/>
        <v>40115</v>
      </c>
      <c r="C305" s="57" t="s">
        <v>471</v>
      </c>
      <c r="D305" s="57" t="s">
        <v>369</v>
      </c>
      <c r="E305" s="44" t="s">
        <v>495</v>
      </c>
      <c r="F305" s="17">
        <f>_xlfn.XLOOKUP($B305,'[1]Jan-24'!$A:$A,'[1]Jan-24'!$H:$H,0)</f>
        <v>0</v>
      </c>
      <c r="G305" s="17">
        <f>_xlfn.XLOOKUP($B305,'[1]Feb-24'!$A:$A,'[1]Feb-24'!$H:$H,0)</f>
        <v>0</v>
      </c>
      <c r="H305" s="17">
        <f>_xlfn.XLOOKUP($B305,'[1]Mar-24'!$A:$A,'[1]Mar-24'!$H:$H,0)</f>
        <v>0</v>
      </c>
      <c r="I305" s="17">
        <f>_xlfn.XLOOKUP($B305,'[1]Apr-24'!$A:$A,'[1]Apr-24'!$H:$H,0)</f>
        <v>0</v>
      </c>
      <c r="J305" s="17">
        <f>_xlfn.XLOOKUP($B305,'[1]May-24'!$A:$A,'[1]May-24'!$H:$H,0)</f>
        <v>0</v>
      </c>
      <c r="K305" s="17">
        <f>_xlfn.XLOOKUP($B305,'[1]Jun-24'!$A:$A,'[1]Jun-24'!$H:$H,0)</f>
        <v>0</v>
      </c>
      <c r="L305" s="17">
        <f>_xlfn.XLOOKUP($B305,'[1]Jul-24'!$A:$A,'[1]Jul-24'!$H:$H,0)</f>
        <v>0</v>
      </c>
      <c r="M305" s="17">
        <f>_xlfn.XLOOKUP($B305,'[1]Aug-24'!$A:$A,'[1]Aug-24'!$H:$H,0)</f>
        <v>0</v>
      </c>
      <c r="N305" s="17">
        <f>_xlfn.XLOOKUP($B305,'[1]Sep-24'!$A:$A,'[1]Sep-24'!$H:$H,0)</f>
        <v>0</v>
      </c>
      <c r="O305" s="17">
        <f>_xlfn.XLOOKUP($B305,'[1]Oct-24'!$A:$A,'[1]Oct-24'!$H:$H,0)</f>
        <v>0</v>
      </c>
      <c r="P305" s="17">
        <f>_xlfn.XLOOKUP($B305,'[1]Nov-24'!$A:$A,'[1]Nov-24'!$H:$H,0)</f>
        <v>0</v>
      </c>
      <c r="Q305" s="17">
        <f>_xlfn.XLOOKUP($B305,'[1]Dec-24'!$A:$A,'[1]Dec-24'!$H:$H,0)</f>
        <v>0</v>
      </c>
      <c r="R305" s="17">
        <f>_xlfn.XLOOKUP($B305,'[1]Jan-25'!$A:$A,'[1]Jan-25'!$H:$H,0)</f>
        <v>0</v>
      </c>
      <c r="S305" s="17">
        <f>_xlfn.XLOOKUP($B305,'[1]Feb-25'!$A:$A,'[1]Feb-25'!$H:$H,0)</f>
        <v>0</v>
      </c>
      <c r="T305" s="17">
        <f>_xlfn.XLOOKUP($B305,'[1]Mar-25'!$A:$A,'[1]Mar-25'!$H:$H,0)</f>
        <v>0</v>
      </c>
      <c r="U305" s="17">
        <f>_xlfn.XLOOKUP($B305,'[1]Apr-25'!$A:$A,'[1]Apr-25'!$H:$H,0)</f>
        <v>0</v>
      </c>
      <c r="V305" s="17">
        <f>_xlfn.XLOOKUP($B305,'[1]May-25'!$A:$A,'[1]May-25'!$H:$H,0)</f>
        <v>0</v>
      </c>
      <c r="W305" s="17">
        <f>_xlfn.XLOOKUP($B305,'[1]Jun-25'!$A:$A,'[1]Jun-25'!$H:$H,0)</f>
        <v>0</v>
      </c>
      <c r="X305" s="17">
        <f>_xlfn.XLOOKUP($B305,'[1]Jul-25'!$A:$A,'[1]Jul-25'!$H:$H,0)</f>
        <v>0</v>
      </c>
      <c r="Y305" s="17">
        <f>_xlfn.XLOOKUP($B305,'[1]Aug-25'!$A:$A,'[1]Aug-25'!$H:$H,0)</f>
        <v>0</v>
      </c>
      <c r="Z305" s="17">
        <f>_xlfn.XLOOKUP($B305,'[1]Sep-25'!$A:$A,'[1]Sep-25'!$H:$H,0)</f>
        <v>0</v>
      </c>
      <c r="AA305" s="17">
        <f>_xlfn.XLOOKUP($B305,'[1]Oct-25'!$A:$A,'[1]Oct-25'!$H:$H,0)</f>
        <v>0</v>
      </c>
      <c r="AB305" s="17">
        <f>_xlfn.XLOOKUP($B305,'[1]Nov-25'!$A:$A,'[1]Nov-25'!$H:$H,0)</f>
        <v>0</v>
      </c>
      <c r="AC305" s="17">
        <f>_xlfn.XLOOKUP($B305,'[1]Dec-25'!$A:$A,'[1]Dec-25'!$H:$H,0)</f>
        <v>0</v>
      </c>
      <c r="AD305" s="17">
        <f>_xlfn.XLOOKUP($B305,'[1]Jan-26'!$A:$A,'[1]Jan-26'!$H:$H,0)</f>
        <v>0</v>
      </c>
      <c r="AE305" s="17">
        <f>_xlfn.XLOOKUP($B305,'[1]Feb-26'!$A:$A,'[1]Feb-26'!$H:$H,0)</f>
        <v>0</v>
      </c>
      <c r="AF305" s="17">
        <f>_xlfn.XLOOKUP($B305,'[1]Mar-26'!$A:$A,'[1]Mar-26'!$H:$H,0)</f>
        <v>0</v>
      </c>
      <c r="AG305" s="17">
        <f>_xlfn.XLOOKUP($B305,'[1]Apr-26'!$A:$A,'[1]Apr-26'!$H:$H,0)</f>
        <v>0</v>
      </c>
    </row>
    <row r="306" spans="1:33" x14ac:dyDescent="0.2">
      <c r="A306" s="58">
        <v>40120</v>
      </c>
      <c r="B306" s="56" t="str">
        <f t="shared" si="10"/>
        <v>40120</v>
      </c>
      <c r="C306" s="57" t="s">
        <v>471</v>
      </c>
      <c r="D306" s="57" t="s">
        <v>369</v>
      </c>
      <c r="E306" s="44" t="s">
        <v>496</v>
      </c>
      <c r="F306" s="17">
        <f>_xlfn.XLOOKUP($B306,'[1]Jan-24'!$A:$A,'[1]Jan-24'!$H:$H,0)</f>
        <v>0</v>
      </c>
      <c r="G306" s="17">
        <f>_xlfn.XLOOKUP($B306,'[1]Feb-24'!$A:$A,'[1]Feb-24'!$H:$H,0)</f>
        <v>0</v>
      </c>
      <c r="H306" s="17">
        <f>_xlfn.XLOOKUP($B306,'[1]Mar-24'!$A:$A,'[1]Mar-24'!$H:$H,0)</f>
        <v>0</v>
      </c>
      <c r="I306" s="17">
        <f>_xlfn.XLOOKUP($B306,'[1]Apr-24'!$A:$A,'[1]Apr-24'!$H:$H,0)</f>
        <v>0</v>
      </c>
      <c r="J306" s="17">
        <f>_xlfn.XLOOKUP($B306,'[1]May-24'!$A:$A,'[1]May-24'!$H:$H,0)</f>
        <v>0</v>
      </c>
      <c r="K306" s="17">
        <f>_xlfn.XLOOKUP($B306,'[1]Jun-24'!$A:$A,'[1]Jun-24'!$H:$H,0)</f>
        <v>0</v>
      </c>
      <c r="L306" s="17">
        <f>_xlfn.XLOOKUP($B306,'[1]Jul-24'!$A:$A,'[1]Jul-24'!$H:$H,0)</f>
        <v>0</v>
      </c>
      <c r="M306" s="17">
        <f>_xlfn.XLOOKUP($B306,'[1]Aug-24'!$A:$A,'[1]Aug-24'!$H:$H,0)</f>
        <v>0</v>
      </c>
      <c r="N306" s="17">
        <f>_xlfn.XLOOKUP($B306,'[1]Sep-24'!$A:$A,'[1]Sep-24'!$H:$H,0)</f>
        <v>0</v>
      </c>
      <c r="O306" s="17">
        <f>_xlfn.XLOOKUP($B306,'[1]Oct-24'!$A:$A,'[1]Oct-24'!$H:$H,0)</f>
        <v>0</v>
      </c>
      <c r="P306" s="17">
        <f>_xlfn.XLOOKUP($B306,'[1]Nov-24'!$A:$A,'[1]Nov-24'!$H:$H,0)</f>
        <v>0</v>
      </c>
      <c r="Q306" s="17">
        <f>_xlfn.XLOOKUP($B306,'[1]Dec-24'!$A:$A,'[1]Dec-24'!$H:$H,0)</f>
        <v>0</v>
      </c>
      <c r="R306" s="17">
        <f>_xlfn.XLOOKUP($B306,'[1]Jan-25'!$A:$A,'[1]Jan-25'!$H:$H,0)</f>
        <v>0</v>
      </c>
      <c r="S306" s="17">
        <f>_xlfn.XLOOKUP($B306,'[1]Feb-25'!$A:$A,'[1]Feb-25'!$H:$H,0)</f>
        <v>0</v>
      </c>
      <c r="T306" s="17">
        <f>_xlfn.XLOOKUP($B306,'[1]Mar-25'!$A:$A,'[1]Mar-25'!$H:$H,0)</f>
        <v>0</v>
      </c>
      <c r="U306" s="17">
        <f>_xlfn.XLOOKUP($B306,'[1]Apr-25'!$A:$A,'[1]Apr-25'!$H:$H,0)</f>
        <v>0</v>
      </c>
      <c r="V306" s="17">
        <f>_xlfn.XLOOKUP($B306,'[1]May-25'!$A:$A,'[1]May-25'!$H:$H,0)</f>
        <v>0</v>
      </c>
      <c r="W306" s="17">
        <f>_xlfn.XLOOKUP($B306,'[1]Jun-25'!$A:$A,'[1]Jun-25'!$H:$H,0)</f>
        <v>0</v>
      </c>
      <c r="X306" s="17">
        <f>_xlfn.XLOOKUP($B306,'[1]Jul-25'!$A:$A,'[1]Jul-25'!$H:$H,0)</f>
        <v>0</v>
      </c>
      <c r="Y306" s="17">
        <f>_xlfn.XLOOKUP($B306,'[1]Aug-25'!$A:$A,'[1]Aug-25'!$H:$H,0)</f>
        <v>0</v>
      </c>
      <c r="Z306" s="17">
        <f>_xlfn.XLOOKUP($B306,'[1]Sep-25'!$A:$A,'[1]Sep-25'!$H:$H,0)</f>
        <v>0</v>
      </c>
      <c r="AA306" s="17">
        <f>_xlfn.XLOOKUP($B306,'[1]Oct-25'!$A:$A,'[1]Oct-25'!$H:$H,0)</f>
        <v>0</v>
      </c>
      <c r="AB306" s="17">
        <f>_xlfn.XLOOKUP($B306,'[1]Nov-25'!$A:$A,'[1]Nov-25'!$H:$H,0)</f>
        <v>0</v>
      </c>
      <c r="AC306" s="17">
        <f>_xlfn.XLOOKUP($B306,'[1]Dec-25'!$A:$A,'[1]Dec-25'!$H:$H,0)</f>
        <v>0</v>
      </c>
      <c r="AD306" s="17">
        <f>_xlfn.XLOOKUP($B306,'[1]Jan-26'!$A:$A,'[1]Jan-26'!$H:$H,0)</f>
        <v>0</v>
      </c>
      <c r="AE306" s="17">
        <f>_xlfn.XLOOKUP($B306,'[1]Feb-26'!$A:$A,'[1]Feb-26'!$H:$H,0)</f>
        <v>0</v>
      </c>
      <c r="AF306" s="17">
        <f>_xlfn.XLOOKUP($B306,'[1]Mar-26'!$A:$A,'[1]Mar-26'!$H:$H,0)</f>
        <v>0</v>
      </c>
      <c r="AG306" s="17">
        <f>_xlfn.XLOOKUP($B306,'[1]Apr-26'!$A:$A,'[1]Apr-26'!$H:$H,0)</f>
        <v>0</v>
      </c>
    </row>
    <row r="307" spans="1:33" x14ac:dyDescent="0.2">
      <c r="A307" s="58">
        <v>40125</v>
      </c>
      <c r="B307" s="56" t="str">
        <f t="shared" si="10"/>
        <v>40125</v>
      </c>
      <c r="C307" s="57" t="s">
        <v>471</v>
      </c>
      <c r="D307" s="57" t="s">
        <v>369</v>
      </c>
      <c r="E307" s="44" t="s">
        <v>497</v>
      </c>
      <c r="F307" s="17">
        <f>_xlfn.XLOOKUP($B307,'[1]Jan-24'!$A:$A,'[1]Jan-24'!$H:$H,0)</f>
        <v>0</v>
      </c>
      <c r="G307" s="17">
        <f>_xlfn.XLOOKUP($B307,'[1]Feb-24'!$A:$A,'[1]Feb-24'!$H:$H,0)</f>
        <v>0</v>
      </c>
      <c r="H307" s="17">
        <f>_xlfn.XLOOKUP($B307,'[1]Mar-24'!$A:$A,'[1]Mar-24'!$H:$H,0)</f>
        <v>0</v>
      </c>
      <c r="I307" s="17">
        <f>_xlfn.XLOOKUP($B307,'[1]Apr-24'!$A:$A,'[1]Apr-24'!$H:$H,0)</f>
        <v>0</v>
      </c>
      <c r="J307" s="17">
        <f>_xlfn.XLOOKUP($B307,'[1]May-24'!$A:$A,'[1]May-24'!$H:$H,0)</f>
        <v>0</v>
      </c>
      <c r="K307" s="17">
        <f>_xlfn.XLOOKUP($B307,'[1]Jun-24'!$A:$A,'[1]Jun-24'!$H:$H,0)</f>
        <v>0</v>
      </c>
      <c r="L307" s="17">
        <f>_xlfn.XLOOKUP($B307,'[1]Jul-24'!$A:$A,'[1]Jul-24'!$H:$H,0)</f>
        <v>0</v>
      </c>
      <c r="M307" s="17">
        <f>_xlfn.XLOOKUP($B307,'[1]Aug-24'!$A:$A,'[1]Aug-24'!$H:$H,0)</f>
        <v>0</v>
      </c>
      <c r="N307" s="17">
        <f>_xlfn.XLOOKUP($B307,'[1]Sep-24'!$A:$A,'[1]Sep-24'!$H:$H,0)</f>
        <v>0</v>
      </c>
      <c r="O307" s="17">
        <f>_xlfn.XLOOKUP($B307,'[1]Oct-24'!$A:$A,'[1]Oct-24'!$H:$H,0)</f>
        <v>0</v>
      </c>
      <c r="P307" s="17">
        <f>_xlfn.XLOOKUP($B307,'[1]Nov-24'!$A:$A,'[1]Nov-24'!$H:$H,0)</f>
        <v>0</v>
      </c>
      <c r="Q307" s="17">
        <f>_xlfn.XLOOKUP($B307,'[1]Dec-24'!$A:$A,'[1]Dec-24'!$H:$H,0)</f>
        <v>0</v>
      </c>
      <c r="R307" s="17">
        <f>_xlfn.XLOOKUP($B307,'[1]Jan-25'!$A:$A,'[1]Jan-25'!$H:$H,0)</f>
        <v>0</v>
      </c>
      <c r="S307" s="17">
        <f>_xlfn.XLOOKUP($B307,'[1]Feb-25'!$A:$A,'[1]Feb-25'!$H:$H,0)</f>
        <v>0</v>
      </c>
      <c r="T307" s="17">
        <f>_xlfn.XLOOKUP($B307,'[1]Mar-25'!$A:$A,'[1]Mar-25'!$H:$H,0)</f>
        <v>0</v>
      </c>
      <c r="U307" s="17">
        <f>_xlfn.XLOOKUP($B307,'[1]Apr-25'!$A:$A,'[1]Apr-25'!$H:$H,0)</f>
        <v>0</v>
      </c>
      <c r="V307" s="17">
        <f>_xlfn.XLOOKUP($B307,'[1]May-25'!$A:$A,'[1]May-25'!$H:$H,0)</f>
        <v>0</v>
      </c>
      <c r="W307" s="17">
        <f>_xlfn.XLOOKUP($B307,'[1]Jun-25'!$A:$A,'[1]Jun-25'!$H:$H,0)</f>
        <v>0</v>
      </c>
      <c r="X307" s="17">
        <f>_xlfn.XLOOKUP($B307,'[1]Jul-25'!$A:$A,'[1]Jul-25'!$H:$H,0)</f>
        <v>0</v>
      </c>
      <c r="Y307" s="17">
        <f>_xlfn.XLOOKUP($B307,'[1]Aug-25'!$A:$A,'[1]Aug-25'!$H:$H,0)</f>
        <v>0</v>
      </c>
      <c r="Z307" s="17">
        <f>_xlfn.XLOOKUP($B307,'[1]Sep-25'!$A:$A,'[1]Sep-25'!$H:$H,0)</f>
        <v>0</v>
      </c>
      <c r="AA307" s="17">
        <f>_xlfn.XLOOKUP($B307,'[1]Oct-25'!$A:$A,'[1]Oct-25'!$H:$H,0)</f>
        <v>0</v>
      </c>
      <c r="AB307" s="17">
        <f>_xlfn.XLOOKUP($B307,'[1]Nov-25'!$A:$A,'[1]Nov-25'!$H:$H,0)</f>
        <v>0</v>
      </c>
      <c r="AC307" s="17">
        <f>_xlfn.XLOOKUP($B307,'[1]Dec-25'!$A:$A,'[1]Dec-25'!$H:$H,0)</f>
        <v>0</v>
      </c>
      <c r="AD307" s="17">
        <f>_xlfn.XLOOKUP($B307,'[1]Jan-26'!$A:$A,'[1]Jan-26'!$H:$H,0)</f>
        <v>0</v>
      </c>
      <c r="AE307" s="17">
        <f>_xlfn.XLOOKUP($B307,'[1]Feb-26'!$A:$A,'[1]Feb-26'!$H:$H,0)</f>
        <v>0</v>
      </c>
      <c r="AF307" s="17">
        <f>_xlfn.XLOOKUP($B307,'[1]Mar-26'!$A:$A,'[1]Mar-26'!$H:$H,0)</f>
        <v>0</v>
      </c>
      <c r="AG307" s="17">
        <f>_xlfn.XLOOKUP($B307,'[1]Apr-26'!$A:$A,'[1]Apr-26'!$H:$H,0)</f>
        <v>0</v>
      </c>
    </row>
    <row r="308" spans="1:33" x14ac:dyDescent="0.2">
      <c r="A308" s="58">
        <v>40130</v>
      </c>
      <c r="B308" s="56" t="str">
        <f t="shared" si="10"/>
        <v>40130</v>
      </c>
      <c r="C308" s="57" t="s">
        <v>486</v>
      </c>
      <c r="D308" s="57" t="s">
        <v>369</v>
      </c>
      <c r="E308" s="44" t="s">
        <v>498</v>
      </c>
      <c r="F308" s="17">
        <f>_xlfn.XLOOKUP($B308,'[1]Jan-24'!$A:$A,'[1]Jan-24'!$H:$H,0)</f>
        <v>0</v>
      </c>
      <c r="G308" s="17">
        <f>_xlfn.XLOOKUP($B308,'[1]Feb-24'!$A:$A,'[1]Feb-24'!$H:$H,0)</f>
        <v>0</v>
      </c>
      <c r="H308" s="17">
        <f>_xlfn.XLOOKUP($B308,'[1]Mar-24'!$A:$A,'[1]Mar-24'!$H:$H,0)</f>
        <v>0</v>
      </c>
      <c r="I308" s="17">
        <f>_xlfn.XLOOKUP($B308,'[1]Apr-24'!$A:$A,'[1]Apr-24'!$H:$H,0)</f>
        <v>0</v>
      </c>
      <c r="J308" s="17">
        <f>_xlfn.XLOOKUP($B308,'[1]May-24'!$A:$A,'[1]May-24'!$H:$H,0)</f>
        <v>0</v>
      </c>
      <c r="K308" s="17">
        <f>_xlfn.XLOOKUP($B308,'[1]Jun-24'!$A:$A,'[1]Jun-24'!$H:$H,0)</f>
        <v>0</v>
      </c>
      <c r="L308" s="17">
        <f>_xlfn.XLOOKUP($B308,'[1]Jul-24'!$A:$A,'[1]Jul-24'!$H:$H,0)</f>
        <v>0</v>
      </c>
      <c r="M308" s="17">
        <f>_xlfn.XLOOKUP($B308,'[1]Aug-24'!$A:$A,'[1]Aug-24'!$H:$H,0)</f>
        <v>0</v>
      </c>
      <c r="N308" s="17">
        <f>_xlfn.XLOOKUP($B308,'[1]Sep-24'!$A:$A,'[1]Sep-24'!$H:$H,0)</f>
        <v>0</v>
      </c>
      <c r="O308" s="17">
        <f>_xlfn.XLOOKUP($B308,'[1]Oct-24'!$A:$A,'[1]Oct-24'!$H:$H,0)</f>
        <v>0</v>
      </c>
      <c r="P308" s="17">
        <f>_xlfn.XLOOKUP($B308,'[1]Nov-24'!$A:$A,'[1]Nov-24'!$H:$H,0)</f>
        <v>0</v>
      </c>
      <c r="Q308" s="17">
        <f>_xlfn.XLOOKUP($B308,'[1]Dec-24'!$A:$A,'[1]Dec-24'!$H:$H,0)</f>
        <v>0</v>
      </c>
      <c r="R308" s="17">
        <f>_xlfn.XLOOKUP($B308,'[1]Jan-25'!$A:$A,'[1]Jan-25'!$H:$H,0)</f>
        <v>0</v>
      </c>
      <c r="S308" s="17">
        <f>_xlfn.XLOOKUP($B308,'[1]Feb-25'!$A:$A,'[1]Feb-25'!$H:$H,0)</f>
        <v>0</v>
      </c>
      <c r="T308" s="17">
        <f>_xlfn.XLOOKUP($B308,'[1]Mar-25'!$A:$A,'[1]Mar-25'!$H:$H,0)</f>
        <v>0</v>
      </c>
      <c r="U308" s="17">
        <f>_xlfn.XLOOKUP($B308,'[1]Apr-25'!$A:$A,'[1]Apr-25'!$H:$H,0)</f>
        <v>0</v>
      </c>
      <c r="V308" s="17">
        <f>_xlfn.XLOOKUP($B308,'[1]May-25'!$A:$A,'[1]May-25'!$H:$H,0)</f>
        <v>0</v>
      </c>
      <c r="W308" s="17">
        <f>_xlfn.XLOOKUP($B308,'[1]Jun-25'!$A:$A,'[1]Jun-25'!$H:$H,0)</f>
        <v>0</v>
      </c>
      <c r="X308" s="17">
        <f>_xlfn.XLOOKUP($B308,'[1]Jul-25'!$A:$A,'[1]Jul-25'!$H:$H,0)</f>
        <v>0</v>
      </c>
      <c r="Y308" s="17">
        <f>_xlfn.XLOOKUP($B308,'[1]Aug-25'!$A:$A,'[1]Aug-25'!$H:$H,0)</f>
        <v>0</v>
      </c>
      <c r="Z308" s="17">
        <f>_xlfn.XLOOKUP($B308,'[1]Sep-25'!$A:$A,'[1]Sep-25'!$H:$H,0)</f>
        <v>0</v>
      </c>
      <c r="AA308" s="17">
        <f>_xlfn.XLOOKUP($B308,'[1]Oct-25'!$A:$A,'[1]Oct-25'!$H:$H,0)</f>
        <v>0</v>
      </c>
      <c r="AB308" s="17">
        <f>_xlfn.XLOOKUP($B308,'[1]Nov-25'!$A:$A,'[1]Nov-25'!$H:$H,0)</f>
        <v>0</v>
      </c>
      <c r="AC308" s="17">
        <f>_xlfn.XLOOKUP($B308,'[1]Dec-25'!$A:$A,'[1]Dec-25'!$H:$H,0)</f>
        <v>0</v>
      </c>
      <c r="AD308" s="17">
        <f>_xlfn.XLOOKUP($B308,'[1]Jan-26'!$A:$A,'[1]Jan-26'!$H:$H,0)</f>
        <v>0</v>
      </c>
      <c r="AE308" s="17">
        <f>_xlfn.XLOOKUP($B308,'[1]Feb-26'!$A:$A,'[1]Feb-26'!$H:$H,0)</f>
        <v>0</v>
      </c>
      <c r="AF308" s="17">
        <f>_xlfn.XLOOKUP($B308,'[1]Mar-26'!$A:$A,'[1]Mar-26'!$H:$H,0)</f>
        <v>0</v>
      </c>
      <c r="AG308" s="17">
        <f>_xlfn.XLOOKUP($B308,'[1]Apr-26'!$A:$A,'[1]Apr-26'!$H:$H,0)</f>
        <v>0</v>
      </c>
    </row>
    <row r="309" spans="1:33" x14ac:dyDescent="0.2">
      <c r="A309" s="58">
        <v>40135</v>
      </c>
      <c r="B309" s="56" t="str">
        <f t="shared" si="10"/>
        <v>40135</v>
      </c>
      <c r="C309" s="57" t="s">
        <v>486</v>
      </c>
      <c r="D309" s="57" t="s">
        <v>369</v>
      </c>
      <c r="E309" s="44" t="s">
        <v>499</v>
      </c>
      <c r="F309" s="17">
        <f>_xlfn.XLOOKUP($B309,'[1]Jan-24'!$A:$A,'[1]Jan-24'!$H:$H,0)</f>
        <v>0</v>
      </c>
      <c r="G309" s="17">
        <f>_xlfn.XLOOKUP($B309,'[1]Feb-24'!$A:$A,'[1]Feb-24'!$H:$H,0)</f>
        <v>0</v>
      </c>
      <c r="H309" s="17">
        <f>_xlfn.XLOOKUP($B309,'[1]Mar-24'!$A:$A,'[1]Mar-24'!$H:$H,0)</f>
        <v>0</v>
      </c>
      <c r="I309" s="17">
        <f>_xlfn.XLOOKUP($B309,'[1]Apr-24'!$A:$A,'[1]Apr-24'!$H:$H,0)</f>
        <v>0</v>
      </c>
      <c r="J309" s="17">
        <f>_xlfn.XLOOKUP($B309,'[1]May-24'!$A:$A,'[1]May-24'!$H:$H,0)</f>
        <v>0</v>
      </c>
      <c r="K309" s="17">
        <f>_xlfn.XLOOKUP($B309,'[1]Jun-24'!$A:$A,'[1]Jun-24'!$H:$H,0)</f>
        <v>0</v>
      </c>
      <c r="L309" s="17">
        <f>_xlfn.XLOOKUP($B309,'[1]Jul-24'!$A:$A,'[1]Jul-24'!$H:$H,0)</f>
        <v>0</v>
      </c>
      <c r="M309" s="17">
        <f>_xlfn.XLOOKUP($B309,'[1]Aug-24'!$A:$A,'[1]Aug-24'!$H:$H,0)</f>
        <v>0</v>
      </c>
      <c r="N309" s="17">
        <f>_xlfn.XLOOKUP($B309,'[1]Sep-24'!$A:$A,'[1]Sep-24'!$H:$H,0)</f>
        <v>0</v>
      </c>
      <c r="O309" s="17">
        <f>_xlfn.XLOOKUP($B309,'[1]Oct-24'!$A:$A,'[1]Oct-24'!$H:$H,0)</f>
        <v>0</v>
      </c>
      <c r="P309" s="17">
        <f>_xlfn.XLOOKUP($B309,'[1]Nov-24'!$A:$A,'[1]Nov-24'!$H:$H,0)</f>
        <v>0</v>
      </c>
      <c r="Q309" s="17">
        <f>_xlfn.XLOOKUP($B309,'[1]Dec-24'!$A:$A,'[1]Dec-24'!$H:$H,0)</f>
        <v>0</v>
      </c>
      <c r="R309" s="17">
        <f>_xlfn.XLOOKUP($B309,'[1]Jan-25'!$A:$A,'[1]Jan-25'!$H:$H,0)</f>
        <v>0</v>
      </c>
      <c r="S309" s="17">
        <f>_xlfn.XLOOKUP($B309,'[1]Feb-25'!$A:$A,'[1]Feb-25'!$H:$H,0)</f>
        <v>0</v>
      </c>
      <c r="T309" s="17">
        <f>_xlfn.XLOOKUP($B309,'[1]Mar-25'!$A:$A,'[1]Mar-25'!$H:$H,0)</f>
        <v>0</v>
      </c>
      <c r="U309" s="17">
        <f>_xlfn.XLOOKUP($B309,'[1]Apr-25'!$A:$A,'[1]Apr-25'!$H:$H,0)</f>
        <v>0</v>
      </c>
      <c r="V309" s="17">
        <f>_xlfn.XLOOKUP($B309,'[1]May-25'!$A:$A,'[1]May-25'!$H:$H,0)</f>
        <v>0</v>
      </c>
      <c r="W309" s="17">
        <f>_xlfn.XLOOKUP($B309,'[1]Jun-25'!$A:$A,'[1]Jun-25'!$H:$H,0)</f>
        <v>0</v>
      </c>
      <c r="X309" s="17">
        <f>_xlfn.XLOOKUP($B309,'[1]Jul-25'!$A:$A,'[1]Jul-25'!$H:$H,0)</f>
        <v>0</v>
      </c>
      <c r="Y309" s="17">
        <f>_xlfn.XLOOKUP($B309,'[1]Aug-25'!$A:$A,'[1]Aug-25'!$H:$H,0)</f>
        <v>0</v>
      </c>
      <c r="Z309" s="17">
        <f>_xlfn.XLOOKUP($B309,'[1]Sep-25'!$A:$A,'[1]Sep-25'!$H:$H,0)</f>
        <v>0</v>
      </c>
      <c r="AA309" s="17">
        <f>_xlfn.XLOOKUP($B309,'[1]Oct-25'!$A:$A,'[1]Oct-25'!$H:$H,0)</f>
        <v>0</v>
      </c>
      <c r="AB309" s="17">
        <f>_xlfn.XLOOKUP($B309,'[1]Nov-25'!$A:$A,'[1]Nov-25'!$H:$H,0)</f>
        <v>0</v>
      </c>
      <c r="AC309" s="17">
        <f>_xlfn.XLOOKUP($B309,'[1]Dec-25'!$A:$A,'[1]Dec-25'!$H:$H,0)</f>
        <v>0</v>
      </c>
      <c r="AD309" s="17">
        <f>_xlfn.XLOOKUP($B309,'[1]Jan-26'!$A:$A,'[1]Jan-26'!$H:$H,0)</f>
        <v>0</v>
      </c>
      <c r="AE309" s="17">
        <f>_xlfn.XLOOKUP($B309,'[1]Feb-26'!$A:$A,'[1]Feb-26'!$H:$H,0)</f>
        <v>0</v>
      </c>
      <c r="AF309" s="17">
        <f>_xlfn.XLOOKUP($B309,'[1]Mar-26'!$A:$A,'[1]Mar-26'!$H:$H,0)</f>
        <v>0</v>
      </c>
      <c r="AG309" s="17">
        <f>_xlfn.XLOOKUP($B309,'[1]Apr-26'!$A:$A,'[1]Apr-26'!$H:$H,0)</f>
        <v>0</v>
      </c>
    </row>
    <row r="310" spans="1:33" x14ac:dyDescent="0.2">
      <c r="A310" s="58">
        <v>40140</v>
      </c>
      <c r="B310" s="56" t="str">
        <f t="shared" si="10"/>
        <v>40140</v>
      </c>
      <c r="C310" s="57" t="s">
        <v>471</v>
      </c>
      <c r="D310" s="57" t="s">
        <v>369</v>
      </c>
      <c r="E310" s="44" t="s">
        <v>500</v>
      </c>
      <c r="F310" s="17">
        <f>_xlfn.XLOOKUP($B310,'[1]Jan-24'!$A:$A,'[1]Jan-24'!$H:$H,0)</f>
        <v>0</v>
      </c>
      <c r="G310" s="17">
        <f>_xlfn.XLOOKUP($B310,'[1]Feb-24'!$A:$A,'[1]Feb-24'!$H:$H,0)</f>
        <v>0</v>
      </c>
      <c r="H310" s="17">
        <f>_xlfn.XLOOKUP($B310,'[1]Mar-24'!$A:$A,'[1]Mar-24'!$H:$H,0)</f>
        <v>0</v>
      </c>
      <c r="I310" s="17">
        <f>_xlfn.XLOOKUP($B310,'[1]Apr-24'!$A:$A,'[1]Apr-24'!$H:$H,0)</f>
        <v>0</v>
      </c>
      <c r="J310" s="17">
        <f>_xlfn.XLOOKUP($B310,'[1]May-24'!$A:$A,'[1]May-24'!$H:$H,0)</f>
        <v>0</v>
      </c>
      <c r="K310" s="17">
        <f>_xlfn.XLOOKUP($B310,'[1]Jun-24'!$A:$A,'[1]Jun-24'!$H:$H,0)</f>
        <v>0</v>
      </c>
      <c r="L310" s="17">
        <f>_xlfn.XLOOKUP($B310,'[1]Jul-24'!$A:$A,'[1]Jul-24'!$H:$H,0)</f>
        <v>0</v>
      </c>
      <c r="M310" s="17">
        <f>_xlfn.XLOOKUP($B310,'[1]Aug-24'!$A:$A,'[1]Aug-24'!$H:$H,0)</f>
        <v>0</v>
      </c>
      <c r="N310" s="17">
        <f>_xlfn.XLOOKUP($B310,'[1]Sep-24'!$A:$A,'[1]Sep-24'!$H:$H,0)</f>
        <v>0</v>
      </c>
      <c r="O310" s="17">
        <f>_xlfn.XLOOKUP($B310,'[1]Oct-24'!$A:$A,'[1]Oct-24'!$H:$H,0)</f>
        <v>0</v>
      </c>
      <c r="P310" s="17">
        <f>_xlfn.XLOOKUP($B310,'[1]Nov-24'!$A:$A,'[1]Nov-24'!$H:$H,0)</f>
        <v>0</v>
      </c>
      <c r="Q310" s="17">
        <f>_xlfn.XLOOKUP($B310,'[1]Dec-24'!$A:$A,'[1]Dec-24'!$H:$H,0)</f>
        <v>0</v>
      </c>
      <c r="R310" s="17">
        <f>_xlfn.XLOOKUP($B310,'[1]Jan-25'!$A:$A,'[1]Jan-25'!$H:$H,0)</f>
        <v>0</v>
      </c>
      <c r="S310" s="17">
        <f>_xlfn.XLOOKUP($B310,'[1]Feb-25'!$A:$A,'[1]Feb-25'!$H:$H,0)</f>
        <v>0</v>
      </c>
      <c r="T310" s="17">
        <f>_xlfn.XLOOKUP($B310,'[1]Mar-25'!$A:$A,'[1]Mar-25'!$H:$H,0)</f>
        <v>0</v>
      </c>
      <c r="U310" s="17">
        <f>_xlfn.XLOOKUP($B310,'[1]Apr-25'!$A:$A,'[1]Apr-25'!$H:$H,0)</f>
        <v>0</v>
      </c>
      <c r="V310" s="17">
        <f>_xlfn.XLOOKUP($B310,'[1]May-25'!$A:$A,'[1]May-25'!$H:$H,0)</f>
        <v>0</v>
      </c>
      <c r="W310" s="17">
        <f>_xlfn.XLOOKUP($B310,'[1]Jun-25'!$A:$A,'[1]Jun-25'!$H:$H,0)</f>
        <v>0</v>
      </c>
      <c r="X310" s="17">
        <f>_xlfn.XLOOKUP($B310,'[1]Jul-25'!$A:$A,'[1]Jul-25'!$H:$H,0)</f>
        <v>0</v>
      </c>
      <c r="Y310" s="17">
        <f>_xlfn.XLOOKUP($B310,'[1]Aug-25'!$A:$A,'[1]Aug-25'!$H:$H,0)</f>
        <v>0</v>
      </c>
      <c r="Z310" s="17">
        <f>_xlfn.XLOOKUP($B310,'[1]Sep-25'!$A:$A,'[1]Sep-25'!$H:$H,0)</f>
        <v>0</v>
      </c>
      <c r="AA310" s="17">
        <f>_xlfn.XLOOKUP($B310,'[1]Oct-25'!$A:$A,'[1]Oct-25'!$H:$H,0)</f>
        <v>0</v>
      </c>
      <c r="AB310" s="17">
        <f>_xlfn.XLOOKUP($B310,'[1]Nov-25'!$A:$A,'[1]Nov-25'!$H:$H,0)</f>
        <v>0</v>
      </c>
      <c r="AC310" s="17">
        <f>_xlfn.XLOOKUP($B310,'[1]Dec-25'!$A:$A,'[1]Dec-25'!$H:$H,0)</f>
        <v>0</v>
      </c>
      <c r="AD310" s="17">
        <f>_xlfn.XLOOKUP($B310,'[1]Jan-26'!$A:$A,'[1]Jan-26'!$H:$H,0)</f>
        <v>0</v>
      </c>
      <c r="AE310" s="17">
        <f>_xlfn.XLOOKUP($B310,'[1]Feb-26'!$A:$A,'[1]Feb-26'!$H:$H,0)</f>
        <v>0</v>
      </c>
      <c r="AF310" s="17">
        <f>_xlfn.XLOOKUP($B310,'[1]Mar-26'!$A:$A,'[1]Mar-26'!$H:$H,0)</f>
        <v>0</v>
      </c>
      <c r="AG310" s="17">
        <f>_xlfn.XLOOKUP($B310,'[1]Apr-26'!$A:$A,'[1]Apr-26'!$H:$H,0)</f>
        <v>0</v>
      </c>
    </row>
    <row r="311" spans="1:33" x14ac:dyDescent="0.2">
      <c r="A311" s="58">
        <v>40145</v>
      </c>
      <c r="B311" s="56" t="str">
        <f t="shared" si="10"/>
        <v>40145</v>
      </c>
      <c r="C311" s="57" t="s">
        <v>471</v>
      </c>
      <c r="D311" s="57" t="s">
        <v>369</v>
      </c>
      <c r="E311" s="44" t="s">
        <v>501</v>
      </c>
      <c r="F311" s="17">
        <f>_xlfn.XLOOKUP($B311,'[1]Jan-24'!$A:$A,'[1]Jan-24'!$H:$H,0)</f>
        <v>0</v>
      </c>
      <c r="G311" s="17">
        <f>_xlfn.XLOOKUP($B311,'[1]Feb-24'!$A:$A,'[1]Feb-24'!$H:$H,0)</f>
        <v>0</v>
      </c>
      <c r="H311" s="17">
        <f>_xlfn.XLOOKUP($B311,'[1]Mar-24'!$A:$A,'[1]Mar-24'!$H:$H,0)</f>
        <v>0</v>
      </c>
      <c r="I311" s="17">
        <f>_xlfn.XLOOKUP($B311,'[1]Apr-24'!$A:$A,'[1]Apr-24'!$H:$H,0)</f>
        <v>0</v>
      </c>
      <c r="J311" s="17">
        <f>_xlfn.XLOOKUP($B311,'[1]May-24'!$A:$A,'[1]May-24'!$H:$H,0)</f>
        <v>0</v>
      </c>
      <c r="K311" s="17">
        <f>_xlfn.XLOOKUP($B311,'[1]Jun-24'!$A:$A,'[1]Jun-24'!$H:$H,0)</f>
        <v>0</v>
      </c>
      <c r="L311" s="17">
        <f>_xlfn.XLOOKUP($B311,'[1]Jul-24'!$A:$A,'[1]Jul-24'!$H:$H,0)</f>
        <v>0</v>
      </c>
      <c r="M311" s="17">
        <f>_xlfn.XLOOKUP($B311,'[1]Aug-24'!$A:$A,'[1]Aug-24'!$H:$H,0)</f>
        <v>0</v>
      </c>
      <c r="N311" s="17">
        <f>_xlfn.XLOOKUP($B311,'[1]Sep-24'!$A:$A,'[1]Sep-24'!$H:$H,0)</f>
        <v>0</v>
      </c>
      <c r="O311" s="17">
        <f>_xlfn.XLOOKUP($B311,'[1]Oct-24'!$A:$A,'[1]Oct-24'!$H:$H,0)</f>
        <v>0</v>
      </c>
      <c r="P311" s="17">
        <f>_xlfn.XLOOKUP($B311,'[1]Nov-24'!$A:$A,'[1]Nov-24'!$H:$H,0)</f>
        <v>0</v>
      </c>
      <c r="Q311" s="17">
        <f>_xlfn.XLOOKUP($B311,'[1]Dec-24'!$A:$A,'[1]Dec-24'!$H:$H,0)</f>
        <v>0</v>
      </c>
      <c r="R311" s="17">
        <f>_xlfn.XLOOKUP($B311,'[1]Jan-25'!$A:$A,'[1]Jan-25'!$H:$H,0)</f>
        <v>0</v>
      </c>
      <c r="S311" s="17">
        <f>_xlfn.XLOOKUP($B311,'[1]Feb-25'!$A:$A,'[1]Feb-25'!$H:$H,0)</f>
        <v>0</v>
      </c>
      <c r="T311" s="17">
        <f>_xlfn.XLOOKUP($B311,'[1]Mar-25'!$A:$A,'[1]Mar-25'!$H:$H,0)</f>
        <v>0</v>
      </c>
      <c r="U311" s="17">
        <f>_xlfn.XLOOKUP($B311,'[1]Apr-25'!$A:$A,'[1]Apr-25'!$H:$H,0)</f>
        <v>0</v>
      </c>
      <c r="V311" s="17">
        <f>_xlfn.XLOOKUP($B311,'[1]May-25'!$A:$A,'[1]May-25'!$H:$H,0)</f>
        <v>0</v>
      </c>
      <c r="W311" s="17">
        <f>_xlfn.XLOOKUP($B311,'[1]Jun-25'!$A:$A,'[1]Jun-25'!$H:$H,0)</f>
        <v>0</v>
      </c>
      <c r="X311" s="17">
        <f>_xlfn.XLOOKUP($B311,'[1]Jul-25'!$A:$A,'[1]Jul-25'!$H:$H,0)</f>
        <v>0</v>
      </c>
      <c r="Y311" s="17">
        <f>_xlfn.XLOOKUP($B311,'[1]Aug-25'!$A:$A,'[1]Aug-25'!$H:$H,0)</f>
        <v>0</v>
      </c>
      <c r="Z311" s="17">
        <f>_xlfn.XLOOKUP($B311,'[1]Sep-25'!$A:$A,'[1]Sep-25'!$H:$H,0)</f>
        <v>0</v>
      </c>
      <c r="AA311" s="17">
        <f>_xlfn.XLOOKUP($B311,'[1]Oct-25'!$A:$A,'[1]Oct-25'!$H:$H,0)</f>
        <v>0</v>
      </c>
      <c r="AB311" s="17">
        <f>_xlfn.XLOOKUP($B311,'[1]Nov-25'!$A:$A,'[1]Nov-25'!$H:$H,0)</f>
        <v>0</v>
      </c>
      <c r="AC311" s="17">
        <f>_xlfn.XLOOKUP($B311,'[1]Dec-25'!$A:$A,'[1]Dec-25'!$H:$H,0)</f>
        <v>0</v>
      </c>
      <c r="AD311" s="17">
        <f>_xlfn.XLOOKUP($B311,'[1]Jan-26'!$A:$A,'[1]Jan-26'!$H:$H,0)</f>
        <v>0</v>
      </c>
      <c r="AE311" s="17">
        <f>_xlfn.XLOOKUP($B311,'[1]Feb-26'!$A:$A,'[1]Feb-26'!$H:$H,0)</f>
        <v>0</v>
      </c>
      <c r="AF311" s="17">
        <f>_xlfn.XLOOKUP($B311,'[1]Mar-26'!$A:$A,'[1]Mar-26'!$H:$H,0)</f>
        <v>0</v>
      </c>
      <c r="AG311" s="17">
        <f>_xlfn.XLOOKUP($B311,'[1]Apr-26'!$A:$A,'[1]Apr-26'!$H:$H,0)</f>
        <v>0</v>
      </c>
    </row>
    <row r="312" spans="1:33" x14ac:dyDescent="0.2">
      <c r="A312" s="58">
        <v>40150</v>
      </c>
      <c r="B312" s="56" t="str">
        <f t="shared" si="10"/>
        <v>40150</v>
      </c>
      <c r="C312" s="57" t="s">
        <v>471</v>
      </c>
      <c r="D312" s="57" t="s">
        <v>369</v>
      </c>
      <c r="E312" s="44" t="s">
        <v>502</v>
      </c>
      <c r="F312" s="17">
        <f>_xlfn.XLOOKUP($B312,'[1]Jan-24'!$A:$A,'[1]Jan-24'!$H:$H,0)</f>
        <v>0</v>
      </c>
      <c r="G312" s="17">
        <f>_xlfn.XLOOKUP($B312,'[1]Feb-24'!$A:$A,'[1]Feb-24'!$H:$H,0)</f>
        <v>0</v>
      </c>
      <c r="H312" s="17">
        <f>_xlfn.XLOOKUP($B312,'[1]Mar-24'!$A:$A,'[1]Mar-24'!$H:$H,0)</f>
        <v>0</v>
      </c>
      <c r="I312" s="17">
        <f>_xlfn.XLOOKUP($B312,'[1]Apr-24'!$A:$A,'[1]Apr-24'!$H:$H,0)</f>
        <v>0</v>
      </c>
      <c r="J312" s="17">
        <f>_xlfn.XLOOKUP($B312,'[1]May-24'!$A:$A,'[1]May-24'!$H:$H,0)</f>
        <v>0</v>
      </c>
      <c r="K312" s="17">
        <f>_xlfn.XLOOKUP($B312,'[1]Jun-24'!$A:$A,'[1]Jun-24'!$H:$H,0)</f>
        <v>0</v>
      </c>
      <c r="L312" s="17">
        <f>_xlfn.XLOOKUP($B312,'[1]Jul-24'!$A:$A,'[1]Jul-24'!$H:$H,0)</f>
        <v>0</v>
      </c>
      <c r="M312" s="17">
        <f>_xlfn.XLOOKUP($B312,'[1]Aug-24'!$A:$A,'[1]Aug-24'!$H:$H,0)</f>
        <v>0</v>
      </c>
      <c r="N312" s="17">
        <f>_xlfn.XLOOKUP($B312,'[1]Sep-24'!$A:$A,'[1]Sep-24'!$H:$H,0)</f>
        <v>0</v>
      </c>
      <c r="O312" s="17">
        <f>_xlfn.XLOOKUP($B312,'[1]Oct-24'!$A:$A,'[1]Oct-24'!$H:$H,0)</f>
        <v>0</v>
      </c>
      <c r="P312" s="17">
        <f>_xlfn.XLOOKUP($B312,'[1]Nov-24'!$A:$A,'[1]Nov-24'!$H:$H,0)</f>
        <v>0</v>
      </c>
      <c r="Q312" s="17">
        <f>_xlfn.XLOOKUP($B312,'[1]Dec-24'!$A:$A,'[1]Dec-24'!$H:$H,0)</f>
        <v>0</v>
      </c>
      <c r="R312" s="17">
        <f>_xlfn.XLOOKUP($B312,'[1]Jan-25'!$A:$A,'[1]Jan-25'!$H:$H,0)</f>
        <v>0</v>
      </c>
      <c r="S312" s="17">
        <f>_xlfn.XLOOKUP($B312,'[1]Feb-25'!$A:$A,'[1]Feb-25'!$H:$H,0)</f>
        <v>0</v>
      </c>
      <c r="T312" s="17">
        <f>_xlfn.XLOOKUP($B312,'[1]Mar-25'!$A:$A,'[1]Mar-25'!$H:$H,0)</f>
        <v>0</v>
      </c>
      <c r="U312" s="17">
        <f>_xlfn.XLOOKUP($B312,'[1]Apr-25'!$A:$A,'[1]Apr-25'!$H:$H,0)</f>
        <v>0</v>
      </c>
      <c r="V312" s="17">
        <f>_xlfn.XLOOKUP($B312,'[1]May-25'!$A:$A,'[1]May-25'!$H:$H,0)</f>
        <v>0</v>
      </c>
      <c r="W312" s="17">
        <f>_xlfn.XLOOKUP($B312,'[1]Jun-25'!$A:$A,'[1]Jun-25'!$H:$H,0)</f>
        <v>0</v>
      </c>
      <c r="X312" s="17">
        <f>_xlfn.XLOOKUP($B312,'[1]Jul-25'!$A:$A,'[1]Jul-25'!$H:$H,0)</f>
        <v>0</v>
      </c>
      <c r="Y312" s="17">
        <f>_xlfn.XLOOKUP($B312,'[1]Aug-25'!$A:$A,'[1]Aug-25'!$H:$H,0)</f>
        <v>0</v>
      </c>
      <c r="Z312" s="17">
        <f>_xlfn.XLOOKUP($B312,'[1]Sep-25'!$A:$A,'[1]Sep-25'!$H:$H,0)</f>
        <v>0</v>
      </c>
      <c r="AA312" s="17">
        <f>_xlfn.XLOOKUP($B312,'[1]Oct-25'!$A:$A,'[1]Oct-25'!$H:$H,0)</f>
        <v>0</v>
      </c>
      <c r="AB312" s="17">
        <f>_xlfn.XLOOKUP($B312,'[1]Nov-25'!$A:$A,'[1]Nov-25'!$H:$H,0)</f>
        <v>0</v>
      </c>
      <c r="AC312" s="17">
        <f>_xlfn.XLOOKUP($B312,'[1]Dec-25'!$A:$A,'[1]Dec-25'!$H:$H,0)</f>
        <v>0</v>
      </c>
      <c r="AD312" s="17">
        <f>_xlfn.XLOOKUP($B312,'[1]Jan-26'!$A:$A,'[1]Jan-26'!$H:$H,0)</f>
        <v>0</v>
      </c>
      <c r="AE312" s="17">
        <f>_xlfn.XLOOKUP($B312,'[1]Feb-26'!$A:$A,'[1]Feb-26'!$H:$H,0)</f>
        <v>0</v>
      </c>
      <c r="AF312" s="17">
        <f>_xlfn.XLOOKUP($B312,'[1]Mar-26'!$A:$A,'[1]Mar-26'!$H:$H,0)</f>
        <v>0</v>
      </c>
      <c r="AG312" s="17">
        <f>_xlfn.XLOOKUP($B312,'[1]Apr-26'!$A:$A,'[1]Apr-26'!$H:$H,0)</f>
        <v>0</v>
      </c>
    </row>
    <row r="313" spans="1:33" x14ac:dyDescent="0.2">
      <c r="A313" s="58">
        <v>40155</v>
      </c>
      <c r="B313" s="56" t="str">
        <f t="shared" si="10"/>
        <v>40155</v>
      </c>
      <c r="C313" s="57" t="s">
        <v>471</v>
      </c>
      <c r="D313" s="57" t="s">
        <v>369</v>
      </c>
      <c r="E313" s="44" t="s">
        <v>98</v>
      </c>
      <c r="F313" s="17">
        <f>_xlfn.XLOOKUP($B313,'[1]Jan-24'!$A:$A,'[1]Jan-24'!$H:$H,0)</f>
        <v>-64801682.240000002</v>
      </c>
      <c r="G313" s="17">
        <f>_xlfn.XLOOKUP($B313,'[1]Feb-24'!$A:$A,'[1]Feb-24'!$H:$H,0)</f>
        <v>-272395971.13</v>
      </c>
      <c r="H313" s="17">
        <f>_xlfn.XLOOKUP($B313,'[1]Mar-24'!$A:$A,'[1]Mar-24'!$H:$H,0)</f>
        <v>-203769463</v>
      </c>
      <c r="I313" s="17">
        <f>_xlfn.XLOOKUP($B313,'[1]Apr-24'!$A:$A,'[1]Apr-24'!$H:$H,0)</f>
        <v>-187583071.31</v>
      </c>
      <c r="J313" s="17">
        <f>_xlfn.XLOOKUP($B313,'[1]May-24'!$A:$A,'[1]May-24'!$H:$H,0)</f>
        <v>-16202777.220000003</v>
      </c>
      <c r="K313" s="17">
        <f>_xlfn.XLOOKUP($B313,'[1]Jun-24'!$A:$A,'[1]Jun-24'!$H:$H,0)</f>
        <v>-7782409.6200000001</v>
      </c>
      <c r="L313" s="17">
        <f>_xlfn.XLOOKUP($B313,'[1]Jul-24'!$A:$A,'[1]Jul-24'!$H:$H,0)</f>
        <v>-580358.16</v>
      </c>
      <c r="M313" s="17">
        <f>_xlfn.XLOOKUP($B313,'[1]Aug-24'!$A:$A,'[1]Aug-24'!$H:$H,0)</f>
        <v>-58548978.049999997</v>
      </c>
      <c r="N313" s="17">
        <f>_xlfn.XLOOKUP($B313,'[1]Sep-24'!$A:$A,'[1]Sep-24'!$H:$H,0)</f>
        <v>-10393353.07</v>
      </c>
      <c r="O313" s="17">
        <f>_xlfn.XLOOKUP($B313,'[1]Oct-24'!$A:$A,'[1]Oct-24'!$H:$H,0)</f>
        <v>-9199126.2300000004</v>
      </c>
      <c r="P313" s="17">
        <f>_xlfn.XLOOKUP($B313,'[1]Nov-24'!$A:$A,'[1]Nov-24'!$H:$H,0)</f>
        <v>-51922181.310000002</v>
      </c>
      <c r="Q313" s="17">
        <f>_xlfn.XLOOKUP($B313,'[1]Dec-24'!$A:$A,'[1]Dec-24'!$H:$H,0)</f>
        <v>-15612001.41</v>
      </c>
      <c r="R313" s="17">
        <f>_xlfn.XLOOKUP($B313,'[1]Jan-25'!$A:$A,'[1]Jan-25'!$H:$H,0)</f>
        <v>0</v>
      </c>
      <c r="S313" s="17">
        <f>_xlfn.XLOOKUP($B313,'[1]Feb-25'!$A:$A,'[1]Feb-25'!$H:$H,0)</f>
        <v>0</v>
      </c>
      <c r="T313" s="17">
        <f>_xlfn.XLOOKUP($B313,'[1]Mar-25'!$A:$A,'[1]Mar-25'!$H:$H,0)</f>
        <v>0</v>
      </c>
      <c r="U313" s="17">
        <f>_xlfn.XLOOKUP($B313,'[1]Apr-25'!$A:$A,'[1]Apr-25'!$H:$H,0)</f>
        <v>0</v>
      </c>
      <c r="V313" s="17">
        <f>_xlfn.XLOOKUP($B313,'[1]May-25'!$A:$A,'[1]May-25'!$H:$H,0)</f>
        <v>0</v>
      </c>
      <c r="W313" s="17">
        <f>_xlfn.XLOOKUP($B313,'[1]Jun-25'!$A:$A,'[1]Jun-25'!$H:$H,0)</f>
        <v>0</v>
      </c>
      <c r="X313" s="17">
        <f>_xlfn.XLOOKUP($B313,'[1]Jul-25'!$A:$A,'[1]Jul-25'!$H:$H,0)</f>
        <v>0</v>
      </c>
      <c r="Y313" s="17">
        <f>_xlfn.XLOOKUP($B313,'[1]Aug-25'!$A:$A,'[1]Aug-25'!$H:$H,0)</f>
        <v>0</v>
      </c>
      <c r="Z313" s="17">
        <f>_xlfn.XLOOKUP($B313,'[1]Sep-25'!$A:$A,'[1]Sep-25'!$H:$H,0)</f>
        <v>0</v>
      </c>
      <c r="AA313" s="17">
        <f>_xlfn.XLOOKUP($B313,'[1]Oct-25'!$A:$A,'[1]Oct-25'!$H:$H,0)</f>
        <v>0</v>
      </c>
      <c r="AB313" s="17">
        <f>_xlfn.XLOOKUP($B313,'[1]Nov-25'!$A:$A,'[1]Nov-25'!$H:$H,0)</f>
        <v>0</v>
      </c>
      <c r="AC313" s="17">
        <f>_xlfn.XLOOKUP($B313,'[1]Dec-25'!$A:$A,'[1]Dec-25'!$H:$H,0)</f>
        <v>0</v>
      </c>
      <c r="AD313" s="17">
        <f>_xlfn.XLOOKUP($B313,'[1]Jan-26'!$A:$A,'[1]Jan-26'!$H:$H,0)</f>
        <v>0</v>
      </c>
      <c r="AE313" s="17">
        <f>_xlfn.XLOOKUP($B313,'[1]Feb-26'!$A:$A,'[1]Feb-26'!$H:$H,0)</f>
        <v>0</v>
      </c>
      <c r="AF313" s="17">
        <f>_xlfn.XLOOKUP($B313,'[1]Mar-26'!$A:$A,'[1]Mar-26'!$H:$H,0)</f>
        <v>0</v>
      </c>
      <c r="AG313" s="17">
        <f>_xlfn.XLOOKUP($B313,'[1]Apr-26'!$A:$A,'[1]Apr-26'!$H:$H,0)</f>
        <v>0</v>
      </c>
    </row>
    <row r="314" spans="1:33" x14ac:dyDescent="0.2">
      <c r="A314" s="58">
        <v>40160</v>
      </c>
      <c r="B314" s="56" t="str">
        <f t="shared" si="10"/>
        <v>40160</v>
      </c>
      <c r="C314" s="57" t="s">
        <v>471</v>
      </c>
      <c r="D314" s="57" t="s">
        <v>369</v>
      </c>
      <c r="E314" s="44" t="s">
        <v>503</v>
      </c>
      <c r="F314" s="17">
        <f>_xlfn.XLOOKUP($B314,'[1]Jan-24'!$A:$A,'[1]Jan-24'!$H:$H,0)</f>
        <v>0</v>
      </c>
      <c r="G314" s="17">
        <f>_xlfn.XLOOKUP($B314,'[1]Feb-24'!$A:$A,'[1]Feb-24'!$H:$H,0)</f>
        <v>0</v>
      </c>
      <c r="H314" s="17">
        <f>_xlfn.XLOOKUP($B314,'[1]Mar-24'!$A:$A,'[1]Mar-24'!$H:$H,0)</f>
        <v>0</v>
      </c>
      <c r="I314" s="17">
        <f>_xlfn.XLOOKUP($B314,'[1]Apr-24'!$A:$A,'[1]Apr-24'!$H:$H,0)</f>
        <v>0</v>
      </c>
      <c r="J314" s="17">
        <f>_xlfn.XLOOKUP($B314,'[1]May-24'!$A:$A,'[1]May-24'!$H:$H,0)</f>
        <v>0</v>
      </c>
      <c r="K314" s="17">
        <f>_xlfn.XLOOKUP($B314,'[1]Jun-24'!$A:$A,'[1]Jun-24'!$H:$H,0)</f>
        <v>0</v>
      </c>
      <c r="L314" s="17">
        <f>_xlfn.XLOOKUP($B314,'[1]Jul-24'!$A:$A,'[1]Jul-24'!$H:$H,0)</f>
        <v>0</v>
      </c>
      <c r="M314" s="17">
        <f>_xlfn.XLOOKUP($B314,'[1]Aug-24'!$A:$A,'[1]Aug-24'!$H:$H,0)</f>
        <v>0</v>
      </c>
      <c r="N314" s="17">
        <f>_xlfn.XLOOKUP($B314,'[1]Sep-24'!$A:$A,'[1]Sep-24'!$H:$H,0)</f>
        <v>0</v>
      </c>
      <c r="O314" s="17">
        <f>_xlfn.XLOOKUP($B314,'[1]Oct-24'!$A:$A,'[1]Oct-24'!$H:$H,0)</f>
        <v>0</v>
      </c>
      <c r="P314" s="17">
        <f>_xlfn.XLOOKUP($B314,'[1]Nov-24'!$A:$A,'[1]Nov-24'!$H:$H,0)</f>
        <v>0</v>
      </c>
      <c r="Q314" s="17">
        <f>_xlfn.XLOOKUP($B314,'[1]Dec-24'!$A:$A,'[1]Dec-24'!$H:$H,0)</f>
        <v>0</v>
      </c>
      <c r="R314" s="17">
        <f>_xlfn.XLOOKUP($B314,'[1]Jan-25'!$A:$A,'[1]Jan-25'!$H:$H,0)</f>
        <v>0</v>
      </c>
      <c r="S314" s="17">
        <f>_xlfn.XLOOKUP($B314,'[1]Feb-25'!$A:$A,'[1]Feb-25'!$H:$H,0)</f>
        <v>0</v>
      </c>
      <c r="T314" s="17">
        <f>_xlfn.XLOOKUP($B314,'[1]Mar-25'!$A:$A,'[1]Mar-25'!$H:$H,0)</f>
        <v>0</v>
      </c>
      <c r="U314" s="17">
        <f>_xlfn.XLOOKUP($B314,'[1]Apr-25'!$A:$A,'[1]Apr-25'!$H:$H,0)</f>
        <v>0</v>
      </c>
      <c r="V314" s="17">
        <f>_xlfn.XLOOKUP($B314,'[1]May-25'!$A:$A,'[1]May-25'!$H:$H,0)</f>
        <v>0</v>
      </c>
      <c r="W314" s="17">
        <f>_xlfn.XLOOKUP($B314,'[1]Jun-25'!$A:$A,'[1]Jun-25'!$H:$H,0)</f>
        <v>0</v>
      </c>
      <c r="X314" s="17">
        <f>_xlfn.XLOOKUP($B314,'[1]Jul-25'!$A:$A,'[1]Jul-25'!$H:$H,0)</f>
        <v>0</v>
      </c>
      <c r="Y314" s="17">
        <f>_xlfn.XLOOKUP($B314,'[1]Aug-25'!$A:$A,'[1]Aug-25'!$H:$H,0)</f>
        <v>0</v>
      </c>
      <c r="Z314" s="17">
        <f>_xlfn.XLOOKUP($B314,'[1]Sep-25'!$A:$A,'[1]Sep-25'!$H:$H,0)</f>
        <v>0</v>
      </c>
      <c r="AA314" s="17">
        <f>_xlfn.XLOOKUP($B314,'[1]Oct-25'!$A:$A,'[1]Oct-25'!$H:$H,0)</f>
        <v>0</v>
      </c>
      <c r="AB314" s="17">
        <f>_xlfn.XLOOKUP($B314,'[1]Nov-25'!$A:$A,'[1]Nov-25'!$H:$H,0)</f>
        <v>0</v>
      </c>
      <c r="AC314" s="17">
        <f>_xlfn.XLOOKUP($B314,'[1]Dec-25'!$A:$A,'[1]Dec-25'!$H:$H,0)</f>
        <v>0</v>
      </c>
      <c r="AD314" s="17">
        <f>_xlfn.XLOOKUP($B314,'[1]Jan-26'!$A:$A,'[1]Jan-26'!$H:$H,0)</f>
        <v>0</v>
      </c>
      <c r="AE314" s="17">
        <f>_xlfn.XLOOKUP($B314,'[1]Feb-26'!$A:$A,'[1]Feb-26'!$H:$H,0)</f>
        <v>0</v>
      </c>
      <c r="AF314" s="17">
        <f>_xlfn.XLOOKUP($B314,'[1]Mar-26'!$A:$A,'[1]Mar-26'!$H:$H,0)</f>
        <v>0</v>
      </c>
      <c r="AG314" s="17">
        <f>_xlfn.XLOOKUP($B314,'[1]Apr-26'!$A:$A,'[1]Apr-26'!$H:$H,0)</f>
        <v>0</v>
      </c>
    </row>
    <row r="315" spans="1:33" x14ac:dyDescent="0.2">
      <c r="A315" s="58">
        <v>40161</v>
      </c>
      <c r="B315" s="56" t="str">
        <f t="shared" si="10"/>
        <v>40161</v>
      </c>
      <c r="C315" s="57" t="s">
        <v>471</v>
      </c>
      <c r="D315" s="57" t="s">
        <v>369</v>
      </c>
      <c r="E315" s="44" t="s">
        <v>99</v>
      </c>
      <c r="F315" s="17">
        <f>_xlfn.XLOOKUP($B315,'[1]Jan-24'!$A:$A,'[1]Jan-24'!$H:$H,0)</f>
        <v>0</v>
      </c>
      <c r="G315" s="17">
        <f>_xlfn.XLOOKUP($B315,'[1]Feb-24'!$A:$A,'[1]Feb-24'!$H:$H,0)</f>
        <v>0</v>
      </c>
      <c r="H315" s="17">
        <f>_xlfn.XLOOKUP($B315,'[1]Mar-24'!$A:$A,'[1]Mar-24'!$H:$H,0)</f>
        <v>0</v>
      </c>
      <c r="I315" s="17">
        <f>_xlfn.XLOOKUP($B315,'[1]Apr-24'!$A:$A,'[1]Apr-24'!$H:$H,0)</f>
        <v>0</v>
      </c>
      <c r="J315" s="17">
        <f>_xlfn.XLOOKUP($B315,'[1]May-24'!$A:$A,'[1]May-24'!$H:$H,0)</f>
        <v>0</v>
      </c>
      <c r="K315" s="17">
        <f>_xlfn.XLOOKUP($B315,'[1]Jun-24'!$A:$A,'[1]Jun-24'!$H:$H,0)</f>
        <v>0</v>
      </c>
      <c r="L315" s="17">
        <f>_xlfn.XLOOKUP($B315,'[1]Jul-24'!$A:$A,'[1]Jul-24'!$H:$H,0)</f>
        <v>0</v>
      </c>
      <c r="M315" s="17">
        <f>_xlfn.XLOOKUP($B315,'[1]Aug-24'!$A:$A,'[1]Aug-24'!$H:$H,0)</f>
        <v>0</v>
      </c>
      <c r="N315" s="17">
        <f>_xlfn.XLOOKUP($B315,'[1]Sep-24'!$A:$A,'[1]Sep-24'!$H:$H,0)</f>
        <v>0</v>
      </c>
      <c r="O315" s="17">
        <f>_xlfn.XLOOKUP($B315,'[1]Oct-24'!$A:$A,'[1]Oct-24'!$H:$H,0)</f>
        <v>0</v>
      </c>
      <c r="P315" s="17">
        <f>_xlfn.XLOOKUP($B315,'[1]Nov-24'!$A:$A,'[1]Nov-24'!$H:$H,0)</f>
        <v>0</v>
      </c>
      <c r="Q315" s="17">
        <f>_xlfn.XLOOKUP($B315,'[1]Dec-24'!$A:$A,'[1]Dec-24'!$H:$H,0)</f>
        <v>0</v>
      </c>
      <c r="R315" s="17">
        <f>_xlfn.XLOOKUP($B315,'[1]Jan-25'!$A:$A,'[1]Jan-25'!$H:$H,0)</f>
        <v>-85691343.159999996</v>
      </c>
      <c r="S315" s="17">
        <f>_xlfn.XLOOKUP($B315,'[1]Feb-25'!$A:$A,'[1]Feb-25'!$H:$H,0)</f>
        <v>-97435401.840000004</v>
      </c>
      <c r="T315" s="17">
        <f>_xlfn.XLOOKUP($B315,'[1]Mar-25'!$A:$A,'[1]Mar-25'!$H:$H,0)</f>
        <v>-100125370.29000001</v>
      </c>
      <c r="U315" s="17">
        <f>_xlfn.XLOOKUP($B315,'[1]Apr-25'!$A:$A,'[1]Apr-25'!$H:$H,0)</f>
        <v>-144786586.78</v>
      </c>
      <c r="V315" s="17">
        <f>_xlfn.XLOOKUP($B315,'[1]May-25'!$A:$A,'[1]May-25'!$H:$H,0)</f>
        <v>-78252950.219999999</v>
      </c>
      <c r="W315" s="17">
        <f>_xlfn.XLOOKUP($B315,'[1]Jun-25'!$A:$A,'[1]Jun-25'!$H:$H,0)</f>
        <v>-31036614.120000001</v>
      </c>
      <c r="X315" s="17">
        <f>_xlfn.XLOOKUP($B315,'[1]Jul-25'!$A:$A,'[1]Jul-25'!$H:$H,0)</f>
        <v>-59746304.189999998</v>
      </c>
      <c r="Y315" s="17">
        <f>_xlfn.XLOOKUP($B315,'[1]Aug-25'!$A:$A,'[1]Aug-25'!$H:$H,0)</f>
        <v>-43269404.280000001</v>
      </c>
      <c r="Z315" s="17">
        <f>_xlfn.XLOOKUP($B315,'[1]Sep-25'!$A:$A,'[1]Sep-25'!$H:$H,0)</f>
        <v>-196474253.28999999</v>
      </c>
      <c r="AA315" s="17">
        <f>_xlfn.XLOOKUP($B315,'[1]Oct-25'!$A:$A,'[1]Oct-25'!$H:$H,0)</f>
        <v>-508492066.73000002</v>
      </c>
      <c r="AB315" s="17">
        <f>_xlfn.XLOOKUP($B315,'[1]Nov-25'!$A:$A,'[1]Nov-25'!$H:$H,0)</f>
        <v>-109696885.64000002</v>
      </c>
      <c r="AC315" s="17">
        <f>_xlfn.XLOOKUP($B315,'[1]Dec-25'!$A:$A,'[1]Dec-25'!$H:$H,0)</f>
        <v>-95359504.679999992</v>
      </c>
      <c r="AD315" s="17">
        <f>_xlfn.XLOOKUP($B315,'[1]Jan-26'!$A:$A,'[1]Jan-26'!$H:$H,0)</f>
        <v>-509148230.61000001</v>
      </c>
      <c r="AE315" s="17">
        <f>_xlfn.XLOOKUP($B315,'[1]Feb-26'!$A:$A,'[1]Feb-26'!$H:$H,0)</f>
        <v>-587609832.84000003</v>
      </c>
      <c r="AF315" s="17">
        <f>_xlfn.XLOOKUP($B315,'[1]Mar-26'!$A:$A,'[1]Mar-26'!$H:$H,0)</f>
        <v>-370592133.63</v>
      </c>
      <c r="AG315" s="17">
        <f>_xlfn.XLOOKUP($B315,'[1]Apr-26'!$A:$A,'[1]Apr-26'!$H:$H,0)</f>
        <v>-142500282.04000002</v>
      </c>
    </row>
    <row r="316" spans="1:33" x14ac:dyDescent="0.2">
      <c r="A316" s="58">
        <v>40162</v>
      </c>
      <c r="B316" s="56" t="str">
        <f t="shared" si="10"/>
        <v>40162</v>
      </c>
      <c r="C316" s="57" t="s">
        <v>471</v>
      </c>
      <c r="D316" s="57" t="s">
        <v>369</v>
      </c>
      <c r="E316" s="44" t="s">
        <v>100</v>
      </c>
      <c r="F316" s="17">
        <f>_xlfn.XLOOKUP($B316,'[1]Jan-24'!$A:$A,'[1]Jan-24'!$H:$H,0)</f>
        <v>0</v>
      </c>
      <c r="G316" s="17">
        <f>_xlfn.XLOOKUP($B316,'[1]Feb-24'!$A:$A,'[1]Feb-24'!$H:$H,0)</f>
        <v>0</v>
      </c>
      <c r="H316" s="17">
        <f>_xlfn.XLOOKUP($B316,'[1]Mar-24'!$A:$A,'[1]Mar-24'!$H:$H,0)</f>
        <v>0</v>
      </c>
      <c r="I316" s="17">
        <f>_xlfn.XLOOKUP($B316,'[1]Apr-24'!$A:$A,'[1]Apr-24'!$H:$H,0)</f>
        <v>0</v>
      </c>
      <c r="J316" s="17">
        <f>_xlfn.XLOOKUP($B316,'[1]May-24'!$A:$A,'[1]May-24'!$H:$H,0)</f>
        <v>0</v>
      </c>
      <c r="K316" s="17">
        <f>_xlfn.XLOOKUP($B316,'[1]Jun-24'!$A:$A,'[1]Jun-24'!$H:$H,0)</f>
        <v>0</v>
      </c>
      <c r="L316" s="17">
        <f>_xlfn.XLOOKUP($B316,'[1]Jul-24'!$A:$A,'[1]Jul-24'!$H:$H,0)</f>
        <v>0</v>
      </c>
      <c r="M316" s="17">
        <f>_xlfn.XLOOKUP($B316,'[1]Aug-24'!$A:$A,'[1]Aug-24'!$H:$H,0)</f>
        <v>0</v>
      </c>
      <c r="N316" s="17">
        <f>_xlfn.XLOOKUP($B316,'[1]Sep-24'!$A:$A,'[1]Sep-24'!$H:$H,0)</f>
        <v>0</v>
      </c>
      <c r="O316" s="17">
        <f>_xlfn.XLOOKUP($B316,'[1]Oct-24'!$A:$A,'[1]Oct-24'!$H:$H,0)</f>
        <v>0</v>
      </c>
      <c r="P316" s="17">
        <f>_xlfn.XLOOKUP($B316,'[1]Nov-24'!$A:$A,'[1]Nov-24'!$H:$H,0)</f>
        <v>0</v>
      </c>
      <c r="Q316" s="17">
        <f>_xlfn.XLOOKUP($B316,'[1]Dec-24'!$A:$A,'[1]Dec-24'!$H:$H,0)</f>
        <v>0</v>
      </c>
      <c r="R316" s="17">
        <f>_xlfn.XLOOKUP($B316,'[1]Jan-25'!$A:$A,'[1]Jan-25'!$H:$H,0)</f>
        <v>-98724661.549999997</v>
      </c>
      <c r="S316" s="17">
        <f>_xlfn.XLOOKUP($B316,'[1]Feb-25'!$A:$A,'[1]Feb-25'!$H:$H,0)</f>
        <v>-98724661.549999997</v>
      </c>
      <c r="T316" s="17">
        <f>_xlfn.XLOOKUP($B316,'[1]Mar-25'!$A:$A,'[1]Mar-25'!$H:$H,0)</f>
        <v>-113414116.79000001</v>
      </c>
      <c r="U316" s="17">
        <f>_xlfn.XLOOKUP($B316,'[1]Apr-25'!$A:$A,'[1]Apr-25'!$H:$H,0)</f>
        <v>-88704328.430000007</v>
      </c>
      <c r="V316" s="17">
        <f>_xlfn.XLOOKUP($B316,'[1]May-25'!$A:$A,'[1]May-25'!$H:$H,0)</f>
        <v>-88704328.430000007</v>
      </c>
      <c r="W316" s="17">
        <f>_xlfn.XLOOKUP($B316,'[1]Jun-25'!$A:$A,'[1]Jun-25'!$H:$H,0)</f>
        <v>-88704328.430000007</v>
      </c>
      <c r="X316" s="17">
        <f>_xlfn.XLOOKUP($B316,'[1]Jul-25'!$A:$A,'[1]Jul-25'!$H:$H,0)</f>
        <v>-113945656.47999999</v>
      </c>
      <c r="Y316" s="17">
        <f>_xlfn.XLOOKUP($B316,'[1]Aug-25'!$A:$A,'[1]Aug-25'!$H:$H,0)</f>
        <v>-99955995.099999994</v>
      </c>
      <c r="Z316" s="17">
        <f>_xlfn.XLOOKUP($B316,'[1]Sep-25'!$A:$A,'[1]Sep-25'!$H:$H,0)</f>
        <v>-183672892.78</v>
      </c>
      <c r="AA316" s="17">
        <f>_xlfn.XLOOKUP($B316,'[1]Oct-25'!$A:$A,'[1]Oct-25'!$H:$H,0)</f>
        <v>-228666440.90000001</v>
      </c>
      <c r="AB316" s="17">
        <f>_xlfn.XLOOKUP($B316,'[1]Nov-25'!$A:$A,'[1]Nov-25'!$H:$H,0)</f>
        <v>-194540540.38</v>
      </c>
      <c r="AC316" s="17">
        <f>_xlfn.XLOOKUP($B316,'[1]Dec-25'!$A:$A,'[1]Dec-25'!$H:$H,0)</f>
        <v>-164041756.19</v>
      </c>
      <c r="AD316" s="17">
        <f>_xlfn.XLOOKUP($B316,'[1]Jan-26'!$A:$A,'[1]Jan-26'!$H:$H,0)</f>
        <v>-175815249.25999999</v>
      </c>
      <c r="AE316" s="17">
        <f>_xlfn.XLOOKUP($B316,'[1]Feb-26'!$A:$A,'[1]Feb-26'!$H:$H,0)</f>
        <v>-144469368.19</v>
      </c>
      <c r="AF316" s="17">
        <f>_xlfn.XLOOKUP($B316,'[1]Mar-26'!$A:$A,'[1]Mar-26'!$H:$H,0)</f>
        <v>-151509898.69</v>
      </c>
      <c r="AG316" s="17">
        <f>_xlfn.XLOOKUP($B316,'[1]Apr-26'!$A:$A,'[1]Apr-26'!$H:$H,0)</f>
        <v>-203556268.21000001</v>
      </c>
    </row>
    <row r="317" spans="1:33" x14ac:dyDescent="0.2">
      <c r="A317" s="58">
        <v>40163</v>
      </c>
      <c r="B317" s="56" t="str">
        <f t="shared" si="10"/>
        <v>40163</v>
      </c>
      <c r="C317" s="57" t="s">
        <v>471</v>
      </c>
      <c r="D317" s="57" t="s">
        <v>369</v>
      </c>
      <c r="E317" s="44" t="s">
        <v>101</v>
      </c>
      <c r="F317" s="17">
        <f>_xlfn.XLOOKUP($B317,'[1]Jan-24'!$A:$A,'[1]Jan-24'!$H:$H,0)</f>
        <v>0</v>
      </c>
      <c r="G317" s="17">
        <f>_xlfn.XLOOKUP($B317,'[1]Feb-24'!$A:$A,'[1]Feb-24'!$H:$H,0)</f>
        <v>0</v>
      </c>
      <c r="H317" s="17">
        <f>_xlfn.XLOOKUP($B317,'[1]Mar-24'!$A:$A,'[1]Mar-24'!$H:$H,0)</f>
        <v>0</v>
      </c>
      <c r="I317" s="17">
        <f>_xlfn.XLOOKUP($B317,'[1]Apr-24'!$A:$A,'[1]Apr-24'!$H:$H,0)</f>
        <v>0</v>
      </c>
      <c r="J317" s="17">
        <f>_xlfn.XLOOKUP($B317,'[1]May-24'!$A:$A,'[1]May-24'!$H:$H,0)</f>
        <v>0</v>
      </c>
      <c r="K317" s="17">
        <f>_xlfn.XLOOKUP($B317,'[1]Jun-24'!$A:$A,'[1]Jun-24'!$H:$H,0)</f>
        <v>0</v>
      </c>
      <c r="L317" s="17">
        <f>_xlfn.XLOOKUP($B317,'[1]Jul-24'!$A:$A,'[1]Jul-24'!$H:$H,0)</f>
        <v>0</v>
      </c>
      <c r="M317" s="17">
        <f>_xlfn.XLOOKUP($B317,'[1]Aug-24'!$A:$A,'[1]Aug-24'!$H:$H,0)</f>
        <v>0</v>
      </c>
      <c r="N317" s="17">
        <f>_xlfn.XLOOKUP($B317,'[1]Sep-24'!$A:$A,'[1]Sep-24'!$H:$H,0)</f>
        <v>0</v>
      </c>
      <c r="O317" s="17">
        <f>_xlfn.XLOOKUP($B317,'[1]Oct-24'!$A:$A,'[1]Oct-24'!$H:$H,0)</f>
        <v>0</v>
      </c>
      <c r="P317" s="17">
        <f>_xlfn.XLOOKUP($B317,'[1]Nov-24'!$A:$A,'[1]Nov-24'!$H:$H,0)</f>
        <v>0</v>
      </c>
      <c r="Q317" s="17">
        <f>_xlfn.XLOOKUP($B317,'[1]Dec-24'!$A:$A,'[1]Dec-24'!$H:$H,0)</f>
        <v>0</v>
      </c>
      <c r="R317" s="17">
        <f>_xlfn.XLOOKUP($B317,'[1]Jan-25'!$A:$A,'[1]Jan-25'!$H:$H,0)</f>
        <v>-28282066.609999999</v>
      </c>
      <c r="S317" s="17">
        <f>_xlfn.XLOOKUP($B317,'[1]Feb-25'!$A:$A,'[1]Feb-25'!$H:$H,0)</f>
        <v>0</v>
      </c>
      <c r="T317" s="17">
        <f>_xlfn.XLOOKUP($B317,'[1]Mar-25'!$A:$A,'[1]Mar-25'!$H:$H,0)</f>
        <v>-757046.50999999791</v>
      </c>
      <c r="U317" s="17">
        <f>_xlfn.XLOOKUP($B317,'[1]Apr-25'!$A:$A,'[1]Apr-25'!$H:$H,0)</f>
        <v>0</v>
      </c>
      <c r="V317" s="17">
        <f>_xlfn.XLOOKUP($B317,'[1]May-25'!$A:$A,'[1]May-25'!$H:$H,0)</f>
        <v>0</v>
      </c>
      <c r="W317" s="17">
        <f>_xlfn.XLOOKUP($B317,'[1]Jun-25'!$A:$A,'[1]Jun-25'!$H:$H,0)</f>
        <v>0</v>
      </c>
      <c r="X317" s="17">
        <f>_xlfn.XLOOKUP($B317,'[1]Jul-25'!$A:$A,'[1]Jul-25'!$H:$H,0)</f>
        <v>-20915224.899999999</v>
      </c>
      <c r="Y317" s="17">
        <f>_xlfn.XLOOKUP($B317,'[1]Aug-25'!$A:$A,'[1]Aug-25'!$H:$H,0)</f>
        <v>-40763110.369999997</v>
      </c>
      <c r="Z317" s="17">
        <f>_xlfn.XLOOKUP($B317,'[1]Sep-25'!$A:$A,'[1]Sep-25'!$H:$H,0)</f>
        <v>-20258364.849999998</v>
      </c>
      <c r="AA317" s="17">
        <f>_xlfn.XLOOKUP($B317,'[1]Oct-25'!$A:$A,'[1]Oct-25'!$H:$H,0)</f>
        <v>-17665110.609999999</v>
      </c>
      <c r="AB317" s="17">
        <f>_xlfn.XLOOKUP($B317,'[1]Nov-25'!$A:$A,'[1]Nov-25'!$H:$H,0)</f>
        <v>-18090639.48</v>
      </c>
      <c r="AC317" s="17">
        <f>_xlfn.XLOOKUP($B317,'[1]Dec-25'!$A:$A,'[1]Dec-25'!$H:$H,0)</f>
        <v>-52385123.599999994</v>
      </c>
      <c r="AD317" s="17">
        <f>_xlfn.XLOOKUP($B317,'[1]Jan-26'!$A:$A,'[1]Jan-26'!$H:$H,0)</f>
        <v>-27079335.390000001</v>
      </c>
      <c r="AE317" s="17">
        <f>_xlfn.XLOOKUP($B317,'[1]Feb-26'!$A:$A,'[1]Feb-26'!$H:$H,0)</f>
        <v>-16963638.57</v>
      </c>
      <c r="AF317" s="17">
        <f>_xlfn.XLOOKUP($B317,'[1]Mar-26'!$A:$A,'[1]Mar-26'!$H:$H,0)</f>
        <v>-26958203.530000001</v>
      </c>
      <c r="AG317" s="17">
        <f>_xlfn.XLOOKUP($B317,'[1]Apr-26'!$A:$A,'[1]Apr-26'!$H:$H,0)</f>
        <v>2224747.4499999993</v>
      </c>
    </row>
    <row r="318" spans="1:33" x14ac:dyDescent="0.2">
      <c r="A318" s="58">
        <v>40166</v>
      </c>
      <c r="B318" s="56" t="str">
        <f t="shared" si="10"/>
        <v>40166</v>
      </c>
      <c r="C318" s="57" t="s">
        <v>471</v>
      </c>
      <c r="D318" s="57" t="s">
        <v>369</v>
      </c>
      <c r="E318" s="44" t="s">
        <v>504</v>
      </c>
      <c r="F318" s="17">
        <f>_xlfn.XLOOKUP($B318,'[1]Jan-24'!$A:$A,'[1]Jan-24'!$H:$H,0)</f>
        <v>0</v>
      </c>
      <c r="G318" s="17">
        <f>_xlfn.XLOOKUP($B318,'[1]Feb-24'!$A:$A,'[1]Feb-24'!$H:$H,0)</f>
        <v>0</v>
      </c>
      <c r="H318" s="17">
        <f>_xlfn.XLOOKUP($B318,'[1]Mar-24'!$A:$A,'[1]Mar-24'!$H:$H,0)</f>
        <v>0</v>
      </c>
      <c r="I318" s="17">
        <f>_xlfn.XLOOKUP($B318,'[1]Apr-24'!$A:$A,'[1]Apr-24'!$H:$H,0)</f>
        <v>0</v>
      </c>
      <c r="J318" s="17">
        <f>_xlfn.XLOOKUP($B318,'[1]May-24'!$A:$A,'[1]May-24'!$H:$H,0)</f>
        <v>0</v>
      </c>
      <c r="K318" s="17">
        <f>_xlfn.XLOOKUP($B318,'[1]Jun-24'!$A:$A,'[1]Jun-24'!$H:$H,0)</f>
        <v>0</v>
      </c>
      <c r="L318" s="17">
        <f>_xlfn.XLOOKUP($B318,'[1]Jul-24'!$A:$A,'[1]Jul-24'!$H:$H,0)</f>
        <v>0</v>
      </c>
      <c r="M318" s="17">
        <f>_xlfn.XLOOKUP($B318,'[1]Aug-24'!$A:$A,'[1]Aug-24'!$H:$H,0)</f>
        <v>0</v>
      </c>
      <c r="N318" s="17">
        <f>_xlfn.XLOOKUP($B318,'[1]Sep-24'!$A:$A,'[1]Sep-24'!$H:$H,0)</f>
        <v>0</v>
      </c>
      <c r="O318" s="17">
        <f>_xlfn.XLOOKUP($B318,'[1]Oct-24'!$A:$A,'[1]Oct-24'!$H:$H,0)</f>
        <v>0</v>
      </c>
      <c r="P318" s="17">
        <f>_xlfn.XLOOKUP($B318,'[1]Nov-24'!$A:$A,'[1]Nov-24'!$H:$H,0)</f>
        <v>0</v>
      </c>
      <c r="Q318" s="17">
        <f>_xlfn.XLOOKUP($B318,'[1]Dec-24'!$A:$A,'[1]Dec-24'!$H:$H,0)</f>
        <v>0</v>
      </c>
      <c r="R318" s="17">
        <f>_xlfn.XLOOKUP($B318,'[1]Jan-25'!$A:$A,'[1]Jan-25'!$H:$H,0)</f>
        <v>0</v>
      </c>
      <c r="S318" s="17">
        <f>_xlfn.XLOOKUP($B318,'[1]Feb-25'!$A:$A,'[1]Feb-25'!$H:$H,0)</f>
        <v>0</v>
      </c>
      <c r="T318" s="17">
        <f>_xlfn.XLOOKUP($B318,'[1]Mar-25'!$A:$A,'[1]Mar-25'!$H:$H,0)</f>
        <v>0</v>
      </c>
      <c r="U318" s="17">
        <f>_xlfn.XLOOKUP($B318,'[1]Apr-25'!$A:$A,'[1]Apr-25'!$H:$H,0)</f>
        <v>0</v>
      </c>
      <c r="V318" s="17">
        <f>_xlfn.XLOOKUP($B318,'[1]May-25'!$A:$A,'[1]May-25'!$H:$H,0)</f>
        <v>0</v>
      </c>
      <c r="W318" s="17">
        <f>_xlfn.XLOOKUP($B318,'[1]Jun-25'!$A:$A,'[1]Jun-25'!$H:$H,0)</f>
        <v>0</v>
      </c>
      <c r="X318" s="17">
        <f>_xlfn.XLOOKUP($B318,'[1]Jul-25'!$A:$A,'[1]Jul-25'!$H:$H,0)</f>
        <v>0</v>
      </c>
      <c r="Y318" s="17">
        <f>_xlfn.XLOOKUP($B318,'[1]Aug-25'!$A:$A,'[1]Aug-25'!$H:$H,0)</f>
        <v>0</v>
      </c>
      <c r="Z318" s="17">
        <f>_xlfn.XLOOKUP($B318,'[1]Sep-25'!$A:$A,'[1]Sep-25'!$H:$H,0)</f>
        <v>0</v>
      </c>
      <c r="AA318" s="17">
        <f>_xlfn.XLOOKUP($B318,'[1]Oct-25'!$A:$A,'[1]Oct-25'!$H:$H,0)</f>
        <v>-179549.99</v>
      </c>
      <c r="AB318" s="17">
        <f>_xlfn.XLOOKUP($B318,'[1]Nov-25'!$A:$A,'[1]Nov-25'!$H:$H,0)</f>
        <v>-59986.95</v>
      </c>
      <c r="AC318" s="17">
        <f>_xlfn.XLOOKUP($B318,'[1]Dec-25'!$A:$A,'[1]Dec-25'!$H:$H,0)</f>
        <v>-61293.21</v>
      </c>
      <c r="AD318" s="17">
        <f>_xlfn.XLOOKUP($B318,'[1]Jan-26'!$A:$A,'[1]Jan-26'!$H:$H,0)</f>
        <v>-59742.19</v>
      </c>
      <c r="AE318" s="17">
        <f>_xlfn.XLOOKUP($B318,'[1]Feb-26'!$A:$A,'[1]Feb-26'!$H:$H,0)</f>
        <v>-57318.349999999991</v>
      </c>
      <c r="AF318" s="17">
        <f>_xlfn.XLOOKUP($B318,'[1]Mar-26'!$A:$A,'[1]Mar-26'!$H:$H,0)</f>
        <v>-57292.65</v>
      </c>
      <c r="AG318" s="17">
        <f>_xlfn.XLOOKUP($B318,'[1]Apr-26'!$A:$A,'[1]Apr-26'!$H:$H,0)</f>
        <v>-58138.83</v>
      </c>
    </row>
    <row r="319" spans="1:33" x14ac:dyDescent="0.2">
      <c r="A319" s="58">
        <v>40200</v>
      </c>
      <c r="B319" s="56" t="str">
        <f t="shared" si="10"/>
        <v>40200</v>
      </c>
      <c r="C319" s="57" t="s">
        <v>505</v>
      </c>
      <c r="D319" s="57" t="s">
        <v>369</v>
      </c>
      <c r="E319" s="44" t="s">
        <v>506</v>
      </c>
      <c r="F319" s="17">
        <f>_xlfn.XLOOKUP($B319,'[1]Jan-24'!$A:$A,'[1]Jan-24'!$H:$H,0)</f>
        <v>0</v>
      </c>
      <c r="G319" s="17">
        <f>_xlfn.XLOOKUP($B319,'[1]Feb-24'!$A:$A,'[1]Feb-24'!$H:$H,0)</f>
        <v>0</v>
      </c>
      <c r="H319" s="17">
        <f>_xlfn.XLOOKUP($B319,'[1]Mar-24'!$A:$A,'[1]Mar-24'!$H:$H,0)</f>
        <v>0</v>
      </c>
      <c r="I319" s="17">
        <f>_xlfn.XLOOKUP($B319,'[1]Apr-24'!$A:$A,'[1]Apr-24'!$H:$H,0)</f>
        <v>0</v>
      </c>
      <c r="J319" s="17">
        <f>_xlfn.XLOOKUP($B319,'[1]May-24'!$A:$A,'[1]May-24'!$H:$H,0)</f>
        <v>0</v>
      </c>
      <c r="K319" s="17">
        <f>_xlfn.XLOOKUP($B319,'[1]Jun-24'!$A:$A,'[1]Jun-24'!$H:$H,0)</f>
        <v>0</v>
      </c>
      <c r="L319" s="17">
        <f>_xlfn.XLOOKUP($B319,'[1]Jul-24'!$A:$A,'[1]Jul-24'!$H:$H,0)</f>
        <v>0</v>
      </c>
      <c r="M319" s="17">
        <f>_xlfn.XLOOKUP($B319,'[1]Aug-24'!$A:$A,'[1]Aug-24'!$H:$H,0)</f>
        <v>0</v>
      </c>
      <c r="N319" s="17">
        <f>_xlfn.XLOOKUP($B319,'[1]Sep-24'!$A:$A,'[1]Sep-24'!$H:$H,0)</f>
        <v>0</v>
      </c>
      <c r="O319" s="17">
        <f>_xlfn.XLOOKUP($B319,'[1]Oct-24'!$A:$A,'[1]Oct-24'!$H:$H,0)</f>
        <v>0</v>
      </c>
      <c r="P319" s="17">
        <f>_xlfn.XLOOKUP($B319,'[1]Nov-24'!$A:$A,'[1]Nov-24'!$H:$H,0)</f>
        <v>0</v>
      </c>
      <c r="Q319" s="17">
        <f>_xlfn.XLOOKUP($B319,'[1]Dec-24'!$A:$A,'[1]Dec-24'!$H:$H,0)</f>
        <v>0</v>
      </c>
      <c r="R319" s="17">
        <f>_xlfn.XLOOKUP($B319,'[1]Jan-25'!$A:$A,'[1]Jan-25'!$H:$H,0)</f>
        <v>0</v>
      </c>
      <c r="S319" s="17">
        <f>_xlfn.XLOOKUP($B319,'[1]Feb-25'!$A:$A,'[1]Feb-25'!$H:$H,0)</f>
        <v>0</v>
      </c>
      <c r="T319" s="17">
        <f>_xlfn.XLOOKUP($B319,'[1]Mar-25'!$A:$A,'[1]Mar-25'!$H:$H,0)</f>
        <v>0</v>
      </c>
      <c r="U319" s="17">
        <f>_xlfn.XLOOKUP($B319,'[1]Apr-25'!$A:$A,'[1]Apr-25'!$H:$H,0)</f>
        <v>0</v>
      </c>
      <c r="V319" s="17">
        <f>_xlfn.XLOOKUP($B319,'[1]May-25'!$A:$A,'[1]May-25'!$H:$H,0)</f>
        <v>0</v>
      </c>
      <c r="W319" s="17">
        <f>_xlfn.XLOOKUP($B319,'[1]Jun-25'!$A:$A,'[1]Jun-25'!$H:$H,0)</f>
        <v>0</v>
      </c>
      <c r="X319" s="17">
        <f>_xlfn.XLOOKUP($B319,'[1]Jul-25'!$A:$A,'[1]Jul-25'!$H:$H,0)</f>
        <v>0</v>
      </c>
      <c r="Y319" s="17">
        <f>_xlfn.XLOOKUP($B319,'[1]Aug-25'!$A:$A,'[1]Aug-25'!$H:$H,0)</f>
        <v>0</v>
      </c>
      <c r="Z319" s="17">
        <f>_xlfn.XLOOKUP($B319,'[1]Sep-25'!$A:$A,'[1]Sep-25'!$H:$H,0)</f>
        <v>0</v>
      </c>
      <c r="AA319" s="17">
        <f>_xlfn.XLOOKUP($B319,'[1]Oct-25'!$A:$A,'[1]Oct-25'!$H:$H,0)</f>
        <v>0</v>
      </c>
      <c r="AB319" s="17">
        <f>_xlfn.XLOOKUP($B319,'[1]Nov-25'!$A:$A,'[1]Nov-25'!$H:$H,0)</f>
        <v>0</v>
      </c>
      <c r="AC319" s="17">
        <f>_xlfn.XLOOKUP($B319,'[1]Dec-25'!$A:$A,'[1]Dec-25'!$H:$H,0)</f>
        <v>0</v>
      </c>
      <c r="AD319" s="17">
        <f>_xlfn.XLOOKUP($B319,'[1]Jan-26'!$A:$A,'[1]Jan-26'!$H:$H,0)</f>
        <v>0</v>
      </c>
      <c r="AE319" s="17">
        <f>_xlfn.XLOOKUP($B319,'[1]Feb-26'!$A:$A,'[1]Feb-26'!$H:$H,0)</f>
        <v>0</v>
      </c>
      <c r="AF319" s="17">
        <f>_xlfn.XLOOKUP($B319,'[1]Mar-26'!$A:$A,'[1]Mar-26'!$H:$H,0)</f>
        <v>0</v>
      </c>
      <c r="AG319" s="17">
        <f>_xlfn.XLOOKUP($B319,'[1]Apr-26'!$A:$A,'[1]Apr-26'!$H:$H,0)</f>
        <v>0</v>
      </c>
    </row>
    <row r="320" spans="1:33" x14ac:dyDescent="0.2">
      <c r="A320" s="58">
        <v>40205</v>
      </c>
      <c r="B320" s="56" t="str">
        <f t="shared" si="10"/>
        <v>40205</v>
      </c>
      <c r="C320" s="57" t="s">
        <v>471</v>
      </c>
      <c r="D320" s="57" t="s">
        <v>369</v>
      </c>
      <c r="E320" s="44" t="s">
        <v>507</v>
      </c>
      <c r="F320" s="17">
        <f>_xlfn.XLOOKUP($B320,'[1]Jan-24'!$A:$A,'[1]Jan-24'!$H:$H,0)</f>
        <v>0</v>
      </c>
      <c r="G320" s="17">
        <f>_xlfn.XLOOKUP($B320,'[1]Feb-24'!$A:$A,'[1]Feb-24'!$H:$H,0)</f>
        <v>0</v>
      </c>
      <c r="H320" s="17">
        <f>_xlfn.XLOOKUP($B320,'[1]Mar-24'!$A:$A,'[1]Mar-24'!$H:$H,0)</f>
        <v>0</v>
      </c>
      <c r="I320" s="17">
        <f>_xlfn.XLOOKUP($B320,'[1]Apr-24'!$A:$A,'[1]Apr-24'!$H:$H,0)</f>
        <v>0</v>
      </c>
      <c r="J320" s="17">
        <f>_xlfn.XLOOKUP($B320,'[1]May-24'!$A:$A,'[1]May-24'!$H:$H,0)</f>
        <v>0</v>
      </c>
      <c r="K320" s="17">
        <f>_xlfn.XLOOKUP($B320,'[1]Jun-24'!$A:$A,'[1]Jun-24'!$H:$H,0)</f>
        <v>0</v>
      </c>
      <c r="L320" s="17">
        <f>_xlfn.XLOOKUP($B320,'[1]Jul-24'!$A:$A,'[1]Jul-24'!$H:$H,0)</f>
        <v>0</v>
      </c>
      <c r="M320" s="17">
        <f>_xlfn.XLOOKUP($B320,'[1]Aug-24'!$A:$A,'[1]Aug-24'!$H:$H,0)</f>
        <v>0</v>
      </c>
      <c r="N320" s="17">
        <f>_xlfn.XLOOKUP($B320,'[1]Sep-24'!$A:$A,'[1]Sep-24'!$H:$H,0)</f>
        <v>0</v>
      </c>
      <c r="O320" s="17">
        <f>_xlfn.XLOOKUP($B320,'[1]Oct-24'!$A:$A,'[1]Oct-24'!$H:$H,0)</f>
        <v>0</v>
      </c>
      <c r="P320" s="17">
        <f>_xlfn.XLOOKUP($B320,'[1]Nov-24'!$A:$A,'[1]Nov-24'!$H:$H,0)</f>
        <v>0</v>
      </c>
      <c r="Q320" s="17">
        <f>_xlfn.XLOOKUP($B320,'[1]Dec-24'!$A:$A,'[1]Dec-24'!$H:$H,0)</f>
        <v>0</v>
      </c>
      <c r="R320" s="17">
        <f>_xlfn.XLOOKUP($B320,'[1]Jan-25'!$A:$A,'[1]Jan-25'!$H:$H,0)</f>
        <v>0</v>
      </c>
      <c r="S320" s="17">
        <f>_xlfn.XLOOKUP($B320,'[1]Feb-25'!$A:$A,'[1]Feb-25'!$H:$H,0)</f>
        <v>0</v>
      </c>
      <c r="T320" s="17">
        <f>_xlfn.XLOOKUP($B320,'[1]Mar-25'!$A:$A,'[1]Mar-25'!$H:$H,0)</f>
        <v>0</v>
      </c>
      <c r="U320" s="17">
        <f>_xlfn.XLOOKUP($B320,'[1]Apr-25'!$A:$A,'[1]Apr-25'!$H:$H,0)</f>
        <v>0</v>
      </c>
      <c r="V320" s="17">
        <f>_xlfn.XLOOKUP($B320,'[1]May-25'!$A:$A,'[1]May-25'!$H:$H,0)</f>
        <v>0</v>
      </c>
      <c r="W320" s="17">
        <f>_xlfn.XLOOKUP($B320,'[1]Jun-25'!$A:$A,'[1]Jun-25'!$H:$H,0)</f>
        <v>0</v>
      </c>
      <c r="X320" s="17">
        <f>_xlfn.XLOOKUP($B320,'[1]Jul-25'!$A:$A,'[1]Jul-25'!$H:$H,0)</f>
        <v>0</v>
      </c>
      <c r="Y320" s="17">
        <f>_xlfn.XLOOKUP($B320,'[1]Aug-25'!$A:$A,'[1]Aug-25'!$H:$H,0)</f>
        <v>0</v>
      </c>
      <c r="Z320" s="17">
        <f>_xlfn.XLOOKUP($B320,'[1]Sep-25'!$A:$A,'[1]Sep-25'!$H:$H,0)</f>
        <v>0</v>
      </c>
      <c r="AA320" s="17">
        <f>_xlfn.XLOOKUP($B320,'[1]Oct-25'!$A:$A,'[1]Oct-25'!$H:$H,0)</f>
        <v>0</v>
      </c>
      <c r="AB320" s="17">
        <f>_xlfn.XLOOKUP($B320,'[1]Nov-25'!$A:$A,'[1]Nov-25'!$H:$H,0)</f>
        <v>0</v>
      </c>
      <c r="AC320" s="17">
        <f>_xlfn.XLOOKUP($B320,'[1]Dec-25'!$A:$A,'[1]Dec-25'!$H:$H,0)</f>
        <v>0</v>
      </c>
      <c r="AD320" s="17">
        <f>_xlfn.XLOOKUP($B320,'[1]Jan-26'!$A:$A,'[1]Jan-26'!$H:$H,0)</f>
        <v>0</v>
      </c>
      <c r="AE320" s="17">
        <f>_xlfn.XLOOKUP($B320,'[1]Feb-26'!$A:$A,'[1]Feb-26'!$H:$H,0)</f>
        <v>0</v>
      </c>
      <c r="AF320" s="17">
        <f>_xlfn.XLOOKUP($B320,'[1]Mar-26'!$A:$A,'[1]Mar-26'!$H:$H,0)</f>
        <v>0</v>
      </c>
      <c r="AG320" s="17">
        <f>_xlfn.XLOOKUP($B320,'[1]Apr-26'!$A:$A,'[1]Apr-26'!$H:$H,0)</f>
        <v>0</v>
      </c>
    </row>
    <row r="321" spans="1:33" x14ac:dyDescent="0.2">
      <c r="A321" s="58">
        <v>40903</v>
      </c>
      <c r="B321" s="56" t="str">
        <f t="shared" si="10"/>
        <v>40903</v>
      </c>
      <c r="C321" s="57" t="s">
        <v>486</v>
      </c>
      <c r="D321" s="57" t="s">
        <v>369</v>
      </c>
      <c r="E321" s="44" t="s">
        <v>508</v>
      </c>
      <c r="F321" s="17">
        <f>_xlfn.XLOOKUP($B321,'[1]Jan-24'!$A:$A,'[1]Jan-24'!$H:$H,0)</f>
        <v>0</v>
      </c>
      <c r="G321" s="17">
        <f>_xlfn.XLOOKUP($B321,'[1]Feb-24'!$A:$A,'[1]Feb-24'!$H:$H,0)</f>
        <v>0</v>
      </c>
      <c r="H321" s="17">
        <f>_xlfn.XLOOKUP($B321,'[1]Mar-24'!$A:$A,'[1]Mar-24'!$H:$H,0)</f>
        <v>0</v>
      </c>
      <c r="I321" s="17">
        <f>_xlfn.XLOOKUP($B321,'[1]Apr-24'!$A:$A,'[1]Apr-24'!$H:$H,0)</f>
        <v>0</v>
      </c>
      <c r="J321" s="17">
        <f>_xlfn.XLOOKUP($B321,'[1]May-24'!$A:$A,'[1]May-24'!$H:$H,0)</f>
        <v>0</v>
      </c>
      <c r="K321" s="17">
        <f>_xlfn.XLOOKUP($B321,'[1]Jun-24'!$A:$A,'[1]Jun-24'!$H:$H,0)</f>
        <v>0</v>
      </c>
      <c r="L321" s="17">
        <f>_xlfn.XLOOKUP($B321,'[1]Jul-24'!$A:$A,'[1]Jul-24'!$H:$H,0)</f>
        <v>0</v>
      </c>
      <c r="M321" s="17">
        <f>_xlfn.XLOOKUP($B321,'[1]Aug-24'!$A:$A,'[1]Aug-24'!$H:$H,0)</f>
        <v>0</v>
      </c>
      <c r="N321" s="17">
        <f>_xlfn.XLOOKUP($B321,'[1]Sep-24'!$A:$A,'[1]Sep-24'!$H:$H,0)</f>
        <v>0</v>
      </c>
      <c r="O321" s="17">
        <f>_xlfn.XLOOKUP($B321,'[1]Oct-24'!$A:$A,'[1]Oct-24'!$H:$H,0)</f>
        <v>0</v>
      </c>
      <c r="P321" s="17">
        <f>_xlfn.XLOOKUP($B321,'[1]Nov-24'!$A:$A,'[1]Nov-24'!$H:$H,0)</f>
        <v>0</v>
      </c>
      <c r="Q321" s="17">
        <f>_xlfn.XLOOKUP($B321,'[1]Dec-24'!$A:$A,'[1]Dec-24'!$H:$H,0)</f>
        <v>0</v>
      </c>
      <c r="R321" s="17">
        <f>_xlfn.XLOOKUP($B321,'[1]Jan-25'!$A:$A,'[1]Jan-25'!$H:$H,0)</f>
        <v>0</v>
      </c>
      <c r="S321" s="17">
        <f>_xlfn.XLOOKUP($B321,'[1]Feb-25'!$A:$A,'[1]Feb-25'!$H:$H,0)</f>
        <v>0</v>
      </c>
      <c r="T321" s="17">
        <f>_xlfn.XLOOKUP($B321,'[1]Mar-25'!$A:$A,'[1]Mar-25'!$H:$H,0)</f>
        <v>0</v>
      </c>
      <c r="U321" s="17">
        <f>_xlfn.XLOOKUP($B321,'[1]Apr-25'!$A:$A,'[1]Apr-25'!$H:$H,0)</f>
        <v>0</v>
      </c>
      <c r="V321" s="17">
        <f>_xlfn.XLOOKUP($B321,'[1]May-25'!$A:$A,'[1]May-25'!$H:$H,0)</f>
        <v>0</v>
      </c>
      <c r="W321" s="17">
        <f>_xlfn.XLOOKUP($B321,'[1]Jun-25'!$A:$A,'[1]Jun-25'!$H:$H,0)</f>
        <v>0</v>
      </c>
      <c r="X321" s="17">
        <f>_xlfn.XLOOKUP($B321,'[1]Jul-25'!$A:$A,'[1]Jul-25'!$H:$H,0)</f>
        <v>0</v>
      </c>
      <c r="Y321" s="17">
        <f>_xlfn.XLOOKUP($B321,'[1]Aug-25'!$A:$A,'[1]Aug-25'!$H:$H,0)</f>
        <v>0</v>
      </c>
      <c r="Z321" s="17">
        <f>_xlfn.XLOOKUP($B321,'[1]Sep-25'!$A:$A,'[1]Sep-25'!$H:$H,0)</f>
        <v>0</v>
      </c>
      <c r="AA321" s="17">
        <f>_xlfn.XLOOKUP($B321,'[1]Oct-25'!$A:$A,'[1]Oct-25'!$H:$H,0)</f>
        <v>0</v>
      </c>
      <c r="AB321" s="17">
        <f>_xlfn.XLOOKUP($B321,'[1]Nov-25'!$A:$A,'[1]Nov-25'!$H:$H,0)</f>
        <v>0</v>
      </c>
      <c r="AC321" s="17">
        <f>_xlfn.XLOOKUP($B321,'[1]Dec-25'!$A:$A,'[1]Dec-25'!$H:$H,0)</f>
        <v>0</v>
      </c>
      <c r="AD321" s="17">
        <f>_xlfn.XLOOKUP($B321,'[1]Jan-26'!$A:$A,'[1]Jan-26'!$H:$H,0)</f>
        <v>0</v>
      </c>
      <c r="AE321" s="17">
        <f>_xlfn.XLOOKUP($B321,'[1]Feb-26'!$A:$A,'[1]Feb-26'!$H:$H,0)</f>
        <v>0</v>
      </c>
      <c r="AF321" s="17">
        <f>_xlfn.XLOOKUP($B321,'[1]Mar-26'!$A:$A,'[1]Mar-26'!$H:$H,0)</f>
        <v>0</v>
      </c>
      <c r="AG321" s="17">
        <f>_xlfn.XLOOKUP($B321,'[1]Apr-26'!$A:$A,'[1]Apr-26'!$H:$H,0)</f>
        <v>0</v>
      </c>
    </row>
    <row r="322" spans="1:33" x14ac:dyDescent="0.2">
      <c r="A322" s="58">
        <v>40904</v>
      </c>
      <c r="B322" s="56" t="str">
        <f t="shared" si="10"/>
        <v>40904</v>
      </c>
      <c r="C322" s="57" t="s">
        <v>486</v>
      </c>
      <c r="D322" s="57" t="s">
        <v>369</v>
      </c>
      <c r="E322" s="44" t="s">
        <v>509</v>
      </c>
      <c r="F322" s="17">
        <f>_xlfn.XLOOKUP($B322,'[1]Jan-24'!$A:$A,'[1]Jan-24'!$H:$H,0)</f>
        <v>0</v>
      </c>
      <c r="G322" s="17">
        <f>_xlfn.XLOOKUP($B322,'[1]Feb-24'!$A:$A,'[1]Feb-24'!$H:$H,0)</f>
        <v>0</v>
      </c>
      <c r="H322" s="17">
        <f>_xlfn.XLOOKUP($B322,'[1]Mar-24'!$A:$A,'[1]Mar-24'!$H:$H,0)</f>
        <v>0</v>
      </c>
      <c r="I322" s="17">
        <f>_xlfn.XLOOKUP($B322,'[1]Apr-24'!$A:$A,'[1]Apr-24'!$H:$H,0)</f>
        <v>0</v>
      </c>
      <c r="J322" s="17">
        <f>_xlfn.XLOOKUP($B322,'[1]May-24'!$A:$A,'[1]May-24'!$H:$H,0)</f>
        <v>0</v>
      </c>
      <c r="K322" s="17">
        <f>_xlfn.XLOOKUP($B322,'[1]Jun-24'!$A:$A,'[1]Jun-24'!$H:$H,0)</f>
        <v>0</v>
      </c>
      <c r="L322" s="17">
        <f>_xlfn.XLOOKUP($B322,'[1]Jul-24'!$A:$A,'[1]Jul-24'!$H:$H,0)</f>
        <v>0</v>
      </c>
      <c r="M322" s="17">
        <f>_xlfn.XLOOKUP($B322,'[1]Aug-24'!$A:$A,'[1]Aug-24'!$H:$H,0)</f>
        <v>0</v>
      </c>
      <c r="N322" s="17">
        <f>_xlfn.XLOOKUP($B322,'[1]Sep-24'!$A:$A,'[1]Sep-24'!$H:$H,0)</f>
        <v>0</v>
      </c>
      <c r="O322" s="17">
        <f>_xlfn.XLOOKUP($B322,'[1]Oct-24'!$A:$A,'[1]Oct-24'!$H:$H,0)</f>
        <v>0</v>
      </c>
      <c r="P322" s="17">
        <f>_xlfn.XLOOKUP($B322,'[1]Nov-24'!$A:$A,'[1]Nov-24'!$H:$H,0)</f>
        <v>0</v>
      </c>
      <c r="Q322" s="17">
        <f>_xlfn.XLOOKUP($B322,'[1]Dec-24'!$A:$A,'[1]Dec-24'!$H:$H,0)</f>
        <v>0</v>
      </c>
      <c r="R322" s="17">
        <f>_xlfn.XLOOKUP($B322,'[1]Jan-25'!$A:$A,'[1]Jan-25'!$H:$H,0)</f>
        <v>0</v>
      </c>
      <c r="S322" s="17">
        <f>_xlfn.XLOOKUP($B322,'[1]Feb-25'!$A:$A,'[1]Feb-25'!$H:$H,0)</f>
        <v>0</v>
      </c>
      <c r="T322" s="17">
        <f>_xlfn.XLOOKUP($B322,'[1]Mar-25'!$A:$A,'[1]Mar-25'!$H:$H,0)</f>
        <v>0</v>
      </c>
      <c r="U322" s="17">
        <f>_xlfn.XLOOKUP($B322,'[1]Apr-25'!$A:$A,'[1]Apr-25'!$H:$H,0)</f>
        <v>0</v>
      </c>
      <c r="V322" s="17">
        <f>_xlfn.XLOOKUP($B322,'[1]May-25'!$A:$A,'[1]May-25'!$H:$H,0)</f>
        <v>0</v>
      </c>
      <c r="W322" s="17">
        <f>_xlfn.XLOOKUP($B322,'[1]Jun-25'!$A:$A,'[1]Jun-25'!$H:$H,0)</f>
        <v>0</v>
      </c>
      <c r="X322" s="17">
        <f>_xlfn.XLOOKUP($B322,'[1]Jul-25'!$A:$A,'[1]Jul-25'!$H:$H,0)</f>
        <v>0</v>
      </c>
      <c r="Y322" s="17">
        <f>_xlfn.XLOOKUP($B322,'[1]Aug-25'!$A:$A,'[1]Aug-25'!$H:$H,0)</f>
        <v>0</v>
      </c>
      <c r="Z322" s="17">
        <f>_xlfn.XLOOKUP($B322,'[1]Sep-25'!$A:$A,'[1]Sep-25'!$H:$H,0)</f>
        <v>0</v>
      </c>
      <c r="AA322" s="17">
        <f>_xlfn.XLOOKUP($B322,'[1]Oct-25'!$A:$A,'[1]Oct-25'!$H:$H,0)</f>
        <v>0</v>
      </c>
      <c r="AB322" s="17">
        <f>_xlfn.XLOOKUP($B322,'[1]Nov-25'!$A:$A,'[1]Nov-25'!$H:$H,0)</f>
        <v>0</v>
      </c>
      <c r="AC322" s="17">
        <f>_xlfn.XLOOKUP($B322,'[1]Dec-25'!$A:$A,'[1]Dec-25'!$H:$H,0)</f>
        <v>0</v>
      </c>
      <c r="AD322" s="17">
        <f>_xlfn.XLOOKUP($B322,'[1]Jan-26'!$A:$A,'[1]Jan-26'!$H:$H,0)</f>
        <v>0</v>
      </c>
      <c r="AE322" s="17">
        <f>_xlfn.XLOOKUP($B322,'[1]Feb-26'!$A:$A,'[1]Feb-26'!$H:$H,0)</f>
        <v>0</v>
      </c>
      <c r="AF322" s="17">
        <f>_xlfn.XLOOKUP($B322,'[1]Mar-26'!$A:$A,'[1]Mar-26'!$H:$H,0)</f>
        <v>0</v>
      </c>
      <c r="AG322" s="17">
        <f>_xlfn.XLOOKUP($B322,'[1]Apr-26'!$A:$A,'[1]Apr-26'!$H:$H,0)</f>
        <v>0</v>
      </c>
    </row>
    <row r="323" spans="1:33" x14ac:dyDescent="0.2">
      <c r="A323" s="58">
        <v>41000</v>
      </c>
      <c r="B323" s="56" t="str">
        <f t="shared" si="10"/>
        <v>41000</v>
      </c>
      <c r="C323" s="57" t="s">
        <v>471</v>
      </c>
      <c r="D323" s="57" t="s">
        <v>369</v>
      </c>
      <c r="E323" s="44" t="s">
        <v>510</v>
      </c>
      <c r="F323" s="17">
        <f>_xlfn.XLOOKUP($B323,'[1]Jan-24'!$A:$A,'[1]Jan-24'!$H:$H,0)</f>
        <v>0</v>
      </c>
      <c r="G323" s="17">
        <f>_xlfn.XLOOKUP($B323,'[1]Feb-24'!$A:$A,'[1]Feb-24'!$H:$H,0)</f>
        <v>0</v>
      </c>
      <c r="H323" s="17">
        <f>_xlfn.XLOOKUP($B323,'[1]Mar-24'!$A:$A,'[1]Mar-24'!$H:$H,0)</f>
        <v>0</v>
      </c>
      <c r="I323" s="17">
        <f>_xlfn.XLOOKUP($B323,'[1]Apr-24'!$A:$A,'[1]Apr-24'!$H:$H,0)</f>
        <v>0</v>
      </c>
      <c r="J323" s="17">
        <f>_xlfn.XLOOKUP($B323,'[1]May-24'!$A:$A,'[1]May-24'!$H:$H,0)</f>
        <v>0</v>
      </c>
      <c r="K323" s="17">
        <f>_xlfn.XLOOKUP($B323,'[1]Jun-24'!$A:$A,'[1]Jun-24'!$H:$H,0)</f>
        <v>0</v>
      </c>
      <c r="L323" s="17">
        <f>_xlfn.XLOOKUP($B323,'[1]Jul-24'!$A:$A,'[1]Jul-24'!$H:$H,0)</f>
        <v>0</v>
      </c>
      <c r="M323" s="17">
        <f>_xlfn.XLOOKUP($B323,'[1]Aug-24'!$A:$A,'[1]Aug-24'!$H:$H,0)</f>
        <v>0</v>
      </c>
      <c r="N323" s="17">
        <f>_xlfn.XLOOKUP($B323,'[1]Sep-24'!$A:$A,'[1]Sep-24'!$H:$H,0)</f>
        <v>0</v>
      </c>
      <c r="O323" s="17">
        <f>_xlfn.XLOOKUP($B323,'[1]Oct-24'!$A:$A,'[1]Oct-24'!$H:$H,0)</f>
        <v>0</v>
      </c>
      <c r="P323" s="17">
        <f>_xlfn.XLOOKUP($B323,'[1]Nov-24'!$A:$A,'[1]Nov-24'!$H:$H,0)</f>
        <v>0</v>
      </c>
      <c r="Q323" s="17">
        <f>_xlfn.XLOOKUP($B323,'[1]Dec-24'!$A:$A,'[1]Dec-24'!$H:$H,0)</f>
        <v>0</v>
      </c>
      <c r="R323" s="17">
        <f>_xlfn.XLOOKUP($B323,'[1]Jan-25'!$A:$A,'[1]Jan-25'!$H:$H,0)</f>
        <v>0</v>
      </c>
      <c r="S323" s="17">
        <f>_xlfn.XLOOKUP($B323,'[1]Feb-25'!$A:$A,'[1]Feb-25'!$H:$H,0)</f>
        <v>0</v>
      </c>
      <c r="T323" s="17">
        <f>_xlfn.XLOOKUP($B323,'[1]Mar-25'!$A:$A,'[1]Mar-25'!$H:$H,0)</f>
        <v>0</v>
      </c>
      <c r="U323" s="17">
        <f>_xlfn.XLOOKUP($B323,'[1]Apr-25'!$A:$A,'[1]Apr-25'!$H:$H,0)</f>
        <v>0</v>
      </c>
      <c r="V323" s="17">
        <f>_xlfn.XLOOKUP($B323,'[1]May-25'!$A:$A,'[1]May-25'!$H:$H,0)</f>
        <v>0</v>
      </c>
      <c r="W323" s="17">
        <f>_xlfn.XLOOKUP($B323,'[1]Jun-25'!$A:$A,'[1]Jun-25'!$H:$H,0)</f>
        <v>0</v>
      </c>
      <c r="X323" s="17">
        <f>_xlfn.XLOOKUP($B323,'[1]Jul-25'!$A:$A,'[1]Jul-25'!$H:$H,0)</f>
        <v>0</v>
      </c>
      <c r="Y323" s="17">
        <f>_xlfn.XLOOKUP($B323,'[1]Aug-25'!$A:$A,'[1]Aug-25'!$H:$H,0)</f>
        <v>0</v>
      </c>
      <c r="Z323" s="17">
        <f>_xlfn.XLOOKUP($B323,'[1]Sep-25'!$A:$A,'[1]Sep-25'!$H:$H,0)</f>
        <v>0</v>
      </c>
      <c r="AA323" s="17">
        <f>_xlfn.XLOOKUP($B323,'[1]Oct-25'!$A:$A,'[1]Oct-25'!$H:$H,0)</f>
        <v>0</v>
      </c>
      <c r="AB323" s="17">
        <f>_xlfn.XLOOKUP($B323,'[1]Nov-25'!$A:$A,'[1]Nov-25'!$H:$H,0)</f>
        <v>0</v>
      </c>
      <c r="AC323" s="17">
        <f>_xlfn.XLOOKUP($B323,'[1]Dec-25'!$A:$A,'[1]Dec-25'!$H:$H,0)</f>
        <v>0</v>
      </c>
      <c r="AD323" s="17">
        <f>_xlfn.XLOOKUP($B323,'[1]Jan-26'!$A:$A,'[1]Jan-26'!$H:$H,0)</f>
        <v>0</v>
      </c>
      <c r="AE323" s="17">
        <f>_xlfn.XLOOKUP($B323,'[1]Feb-26'!$A:$A,'[1]Feb-26'!$H:$H,0)</f>
        <v>0</v>
      </c>
      <c r="AF323" s="17">
        <f>_xlfn.XLOOKUP($B323,'[1]Mar-26'!$A:$A,'[1]Mar-26'!$H:$H,0)</f>
        <v>0</v>
      </c>
      <c r="AG323" s="17">
        <f>_xlfn.XLOOKUP($B323,'[1]Apr-26'!$A:$A,'[1]Apr-26'!$H:$H,0)</f>
        <v>0</v>
      </c>
    </row>
    <row r="324" spans="1:33" x14ac:dyDescent="0.2">
      <c r="A324" s="58">
        <v>43000</v>
      </c>
      <c r="B324" s="56" t="str">
        <f t="shared" si="10"/>
        <v>43000</v>
      </c>
      <c r="C324" s="57" t="s">
        <v>511</v>
      </c>
      <c r="D324" s="57" t="s">
        <v>369</v>
      </c>
      <c r="E324" s="44" t="s">
        <v>512</v>
      </c>
      <c r="F324" s="17">
        <f>_xlfn.XLOOKUP($B324,'[1]Jan-24'!$A:$A,'[1]Jan-24'!$H:$H,0)</f>
        <v>0</v>
      </c>
      <c r="G324" s="17">
        <f>_xlfn.XLOOKUP($B324,'[1]Feb-24'!$A:$A,'[1]Feb-24'!$H:$H,0)</f>
        <v>0</v>
      </c>
      <c r="H324" s="17">
        <f>_xlfn.XLOOKUP($B324,'[1]Mar-24'!$A:$A,'[1]Mar-24'!$H:$H,0)</f>
        <v>0</v>
      </c>
      <c r="I324" s="17">
        <f>_xlfn.XLOOKUP($B324,'[1]Apr-24'!$A:$A,'[1]Apr-24'!$H:$H,0)</f>
        <v>0</v>
      </c>
      <c r="J324" s="17">
        <f>_xlfn.XLOOKUP($B324,'[1]May-24'!$A:$A,'[1]May-24'!$H:$H,0)</f>
        <v>0</v>
      </c>
      <c r="K324" s="17">
        <f>_xlfn.XLOOKUP($B324,'[1]Jun-24'!$A:$A,'[1]Jun-24'!$H:$H,0)</f>
        <v>0</v>
      </c>
      <c r="L324" s="17">
        <f>_xlfn.XLOOKUP($B324,'[1]Jul-24'!$A:$A,'[1]Jul-24'!$H:$H,0)</f>
        <v>0</v>
      </c>
      <c r="M324" s="17">
        <f>_xlfn.XLOOKUP($B324,'[1]Aug-24'!$A:$A,'[1]Aug-24'!$H:$H,0)</f>
        <v>0</v>
      </c>
      <c r="N324" s="17">
        <f>_xlfn.XLOOKUP($B324,'[1]Sep-24'!$A:$A,'[1]Sep-24'!$H:$H,0)</f>
        <v>0</v>
      </c>
      <c r="O324" s="17">
        <f>_xlfn.XLOOKUP($B324,'[1]Oct-24'!$A:$A,'[1]Oct-24'!$H:$H,0)</f>
        <v>0</v>
      </c>
      <c r="P324" s="17">
        <f>_xlfn.XLOOKUP($B324,'[1]Nov-24'!$A:$A,'[1]Nov-24'!$H:$H,0)</f>
        <v>0</v>
      </c>
      <c r="Q324" s="17">
        <f>_xlfn.XLOOKUP($B324,'[1]Dec-24'!$A:$A,'[1]Dec-24'!$H:$H,0)</f>
        <v>0</v>
      </c>
      <c r="R324" s="17">
        <f>_xlfn.XLOOKUP($B324,'[1]Jan-25'!$A:$A,'[1]Jan-25'!$H:$H,0)</f>
        <v>0</v>
      </c>
      <c r="S324" s="17">
        <f>_xlfn.XLOOKUP($B324,'[1]Feb-25'!$A:$A,'[1]Feb-25'!$H:$H,0)</f>
        <v>0</v>
      </c>
      <c r="T324" s="17">
        <f>_xlfn.XLOOKUP($B324,'[1]Mar-25'!$A:$A,'[1]Mar-25'!$H:$H,0)</f>
        <v>0</v>
      </c>
      <c r="U324" s="17">
        <f>_xlfn.XLOOKUP($B324,'[1]Apr-25'!$A:$A,'[1]Apr-25'!$H:$H,0)</f>
        <v>0</v>
      </c>
      <c r="V324" s="17">
        <f>_xlfn.XLOOKUP($B324,'[1]May-25'!$A:$A,'[1]May-25'!$H:$H,0)</f>
        <v>0</v>
      </c>
      <c r="W324" s="17">
        <f>_xlfn.XLOOKUP($B324,'[1]Jun-25'!$A:$A,'[1]Jun-25'!$H:$H,0)</f>
        <v>0</v>
      </c>
      <c r="X324" s="17">
        <f>_xlfn.XLOOKUP($B324,'[1]Jul-25'!$A:$A,'[1]Jul-25'!$H:$H,0)</f>
        <v>0</v>
      </c>
      <c r="Y324" s="17">
        <f>_xlfn.XLOOKUP($B324,'[1]Aug-25'!$A:$A,'[1]Aug-25'!$H:$H,0)</f>
        <v>0</v>
      </c>
      <c r="Z324" s="17">
        <f>_xlfn.XLOOKUP($B324,'[1]Sep-25'!$A:$A,'[1]Sep-25'!$H:$H,0)</f>
        <v>0</v>
      </c>
      <c r="AA324" s="17">
        <f>_xlfn.XLOOKUP($B324,'[1]Oct-25'!$A:$A,'[1]Oct-25'!$H:$H,0)</f>
        <v>0</v>
      </c>
      <c r="AB324" s="17">
        <f>_xlfn.XLOOKUP($B324,'[1]Nov-25'!$A:$A,'[1]Nov-25'!$H:$H,0)</f>
        <v>0</v>
      </c>
      <c r="AC324" s="17">
        <f>_xlfn.XLOOKUP($B324,'[1]Dec-25'!$A:$A,'[1]Dec-25'!$H:$H,0)</f>
        <v>0</v>
      </c>
      <c r="AD324" s="17">
        <f>_xlfn.XLOOKUP($B324,'[1]Jan-26'!$A:$A,'[1]Jan-26'!$H:$H,0)</f>
        <v>0</v>
      </c>
      <c r="AE324" s="17">
        <f>_xlfn.XLOOKUP($B324,'[1]Feb-26'!$A:$A,'[1]Feb-26'!$H:$H,0)</f>
        <v>0</v>
      </c>
      <c r="AF324" s="17">
        <f>_xlfn.XLOOKUP($B324,'[1]Mar-26'!$A:$A,'[1]Mar-26'!$H:$H,0)</f>
        <v>0</v>
      </c>
      <c r="AG324" s="17">
        <f>_xlfn.XLOOKUP($B324,'[1]Apr-26'!$A:$A,'[1]Apr-26'!$H:$H,0)</f>
        <v>0</v>
      </c>
    </row>
    <row r="325" spans="1:33" x14ac:dyDescent="0.2">
      <c r="A325" s="58">
        <v>45400</v>
      </c>
      <c r="B325" s="56" t="str">
        <f t="shared" si="10"/>
        <v>45400</v>
      </c>
      <c r="C325" s="57" t="s">
        <v>486</v>
      </c>
      <c r="D325" s="57" t="s">
        <v>369</v>
      </c>
      <c r="E325" s="44" t="s">
        <v>513</v>
      </c>
      <c r="F325" s="17">
        <f>_xlfn.XLOOKUP($B325,'[1]Jan-24'!$A:$A,'[1]Jan-24'!$H:$H,0)</f>
        <v>0</v>
      </c>
      <c r="G325" s="17">
        <f>_xlfn.XLOOKUP($B325,'[1]Feb-24'!$A:$A,'[1]Feb-24'!$H:$H,0)</f>
        <v>0</v>
      </c>
      <c r="H325" s="17">
        <f>_xlfn.XLOOKUP($B325,'[1]Mar-24'!$A:$A,'[1]Mar-24'!$H:$H,0)</f>
        <v>0</v>
      </c>
      <c r="I325" s="17">
        <f>_xlfn.XLOOKUP($B325,'[1]Apr-24'!$A:$A,'[1]Apr-24'!$H:$H,0)</f>
        <v>0</v>
      </c>
      <c r="J325" s="17">
        <f>_xlfn.XLOOKUP($B325,'[1]May-24'!$A:$A,'[1]May-24'!$H:$H,0)</f>
        <v>0</v>
      </c>
      <c r="K325" s="17">
        <f>_xlfn.XLOOKUP($B325,'[1]Jun-24'!$A:$A,'[1]Jun-24'!$H:$H,0)</f>
        <v>0</v>
      </c>
      <c r="L325" s="17">
        <f>_xlfn.XLOOKUP($B325,'[1]Jul-24'!$A:$A,'[1]Jul-24'!$H:$H,0)</f>
        <v>0</v>
      </c>
      <c r="M325" s="17">
        <f>_xlfn.XLOOKUP($B325,'[1]Aug-24'!$A:$A,'[1]Aug-24'!$H:$H,0)</f>
        <v>0</v>
      </c>
      <c r="N325" s="17">
        <f>_xlfn.XLOOKUP($B325,'[1]Sep-24'!$A:$A,'[1]Sep-24'!$H:$H,0)</f>
        <v>0</v>
      </c>
      <c r="O325" s="17">
        <f>_xlfn.XLOOKUP($B325,'[1]Oct-24'!$A:$A,'[1]Oct-24'!$H:$H,0)</f>
        <v>0</v>
      </c>
      <c r="P325" s="17">
        <f>_xlfn.XLOOKUP($B325,'[1]Nov-24'!$A:$A,'[1]Nov-24'!$H:$H,0)</f>
        <v>0</v>
      </c>
      <c r="Q325" s="17">
        <f>_xlfn.XLOOKUP($B325,'[1]Dec-24'!$A:$A,'[1]Dec-24'!$H:$H,0)</f>
        <v>0</v>
      </c>
      <c r="R325" s="17">
        <f>_xlfn.XLOOKUP($B325,'[1]Jan-25'!$A:$A,'[1]Jan-25'!$H:$H,0)</f>
        <v>0</v>
      </c>
      <c r="S325" s="17">
        <f>_xlfn.XLOOKUP($B325,'[1]Feb-25'!$A:$A,'[1]Feb-25'!$H:$H,0)</f>
        <v>0</v>
      </c>
      <c r="T325" s="17">
        <f>_xlfn.XLOOKUP($B325,'[1]Mar-25'!$A:$A,'[1]Mar-25'!$H:$H,0)</f>
        <v>0</v>
      </c>
      <c r="U325" s="17">
        <f>_xlfn.XLOOKUP($B325,'[1]Apr-25'!$A:$A,'[1]Apr-25'!$H:$H,0)</f>
        <v>0</v>
      </c>
      <c r="V325" s="17">
        <f>_xlfn.XLOOKUP($B325,'[1]May-25'!$A:$A,'[1]May-25'!$H:$H,0)</f>
        <v>0</v>
      </c>
      <c r="W325" s="17">
        <f>_xlfn.XLOOKUP($B325,'[1]Jun-25'!$A:$A,'[1]Jun-25'!$H:$H,0)</f>
        <v>0</v>
      </c>
      <c r="X325" s="17">
        <f>_xlfn.XLOOKUP($B325,'[1]Jul-25'!$A:$A,'[1]Jul-25'!$H:$H,0)</f>
        <v>0</v>
      </c>
      <c r="Y325" s="17">
        <f>_xlfn.XLOOKUP($B325,'[1]Aug-25'!$A:$A,'[1]Aug-25'!$H:$H,0)</f>
        <v>0</v>
      </c>
      <c r="Z325" s="17">
        <f>_xlfn.XLOOKUP($B325,'[1]Sep-25'!$A:$A,'[1]Sep-25'!$H:$H,0)</f>
        <v>0</v>
      </c>
      <c r="AA325" s="17">
        <f>_xlfn.XLOOKUP($B325,'[1]Oct-25'!$A:$A,'[1]Oct-25'!$H:$H,0)</f>
        <v>0</v>
      </c>
      <c r="AB325" s="17">
        <f>_xlfn.XLOOKUP($B325,'[1]Nov-25'!$A:$A,'[1]Nov-25'!$H:$H,0)</f>
        <v>0</v>
      </c>
      <c r="AC325" s="17">
        <f>_xlfn.XLOOKUP($B325,'[1]Dec-25'!$A:$A,'[1]Dec-25'!$H:$H,0)</f>
        <v>0</v>
      </c>
      <c r="AD325" s="17">
        <f>_xlfn.XLOOKUP($B325,'[1]Jan-26'!$A:$A,'[1]Jan-26'!$H:$H,0)</f>
        <v>0</v>
      </c>
      <c r="AE325" s="17">
        <f>_xlfn.XLOOKUP($B325,'[1]Feb-26'!$A:$A,'[1]Feb-26'!$H:$H,0)</f>
        <v>0</v>
      </c>
      <c r="AF325" s="17">
        <f>_xlfn.XLOOKUP($B325,'[1]Mar-26'!$A:$A,'[1]Mar-26'!$H:$H,0)</f>
        <v>0</v>
      </c>
      <c r="AG325" s="17">
        <f>_xlfn.XLOOKUP($B325,'[1]Apr-26'!$A:$A,'[1]Apr-26'!$H:$H,0)</f>
        <v>0</v>
      </c>
    </row>
    <row r="326" spans="1:33" x14ac:dyDescent="0.2">
      <c r="A326" s="58">
        <v>49000</v>
      </c>
      <c r="B326" s="56" t="str">
        <f t="shared" si="10"/>
        <v>49000</v>
      </c>
      <c r="C326" s="57" t="s">
        <v>486</v>
      </c>
      <c r="D326" s="57" t="s">
        <v>369</v>
      </c>
      <c r="E326" s="44" t="s">
        <v>514</v>
      </c>
      <c r="F326" s="17">
        <f>_xlfn.XLOOKUP($B326,'[1]Jan-24'!$A:$A,'[1]Jan-24'!$H:$H,0)</f>
        <v>0</v>
      </c>
      <c r="G326" s="17">
        <f>_xlfn.XLOOKUP($B326,'[1]Feb-24'!$A:$A,'[1]Feb-24'!$H:$H,0)</f>
        <v>0</v>
      </c>
      <c r="H326" s="17">
        <f>_xlfn.XLOOKUP($B326,'[1]Mar-24'!$A:$A,'[1]Mar-24'!$H:$H,0)</f>
        <v>0</v>
      </c>
      <c r="I326" s="17">
        <f>_xlfn.XLOOKUP($B326,'[1]Apr-24'!$A:$A,'[1]Apr-24'!$H:$H,0)</f>
        <v>0</v>
      </c>
      <c r="J326" s="17">
        <f>_xlfn.XLOOKUP($B326,'[1]May-24'!$A:$A,'[1]May-24'!$H:$H,0)</f>
        <v>0</v>
      </c>
      <c r="K326" s="17">
        <f>_xlfn.XLOOKUP($B326,'[1]Jun-24'!$A:$A,'[1]Jun-24'!$H:$H,0)</f>
        <v>0</v>
      </c>
      <c r="L326" s="17">
        <f>_xlfn.XLOOKUP($B326,'[1]Jul-24'!$A:$A,'[1]Jul-24'!$H:$H,0)</f>
        <v>0</v>
      </c>
      <c r="M326" s="17">
        <f>_xlfn.XLOOKUP($B326,'[1]Aug-24'!$A:$A,'[1]Aug-24'!$H:$H,0)</f>
        <v>0</v>
      </c>
      <c r="N326" s="17">
        <f>_xlfn.XLOOKUP($B326,'[1]Sep-24'!$A:$A,'[1]Sep-24'!$H:$H,0)</f>
        <v>0</v>
      </c>
      <c r="O326" s="17">
        <f>_xlfn.XLOOKUP($B326,'[1]Oct-24'!$A:$A,'[1]Oct-24'!$H:$H,0)</f>
        <v>0</v>
      </c>
      <c r="P326" s="17">
        <f>_xlfn.XLOOKUP($B326,'[1]Nov-24'!$A:$A,'[1]Nov-24'!$H:$H,0)</f>
        <v>0</v>
      </c>
      <c r="Q326" s="17">
        <f>_xlfn.XLOOKUP($B326,'[1]Dec-24'!$A:$A,'[1]Dec-24'!$H:$H,0)</f>
        <v>0</v>
      </c>
      <c r="R326" s="17">
        <f>_xlfn.XLOOKUP($B326,'[1]Jan-25'!$A:$A,'[1]Jan-25'!$H:$H,0)</f>
        <v>0</v>
      </c>
      <c r="S326" s="17">
        <f>_xlfn.XLOOKUP($B326,'[1]Feb-25'!$A:$A,'[1]Feb-25'!$H:$H,0)</f>
        <v>0</v>
      </c>
      <c r="T326" s="17">
        <f>_xlfn.XLOOKUP($B326,'[1]Mar-25'!$A:$A,'[1]Mar-25'!$H:$H,0)</f>
        <v>0</v>
      </c>
      <c r="U326" s="17">
        <f>_xlfn.XLOOKUP($B326,'[1]Apr-25'!$A:$A,'[1]Apr-25'!$H:$H,0)</f>
        <v>0</v>
      </c>
      <c r="V326" s="17">
        <f>_xlfn.XLOOKUP($B326,'[1]May-25'!$A:$A,'[1]May-25'!$H:$H,0)</f>
        <v>0</v>
      </c>
      <c r="W326" s="17">
        <f>_xlfn.XLOOKUP($B326,'[1]Jun-25'!$A:$A,'[1]Jun-25'!$H:$H,0)</f>
        <v>0</v>
      </c>
      <c r="X326" s="17">
        <f>_xlfn.XLOOKUP($B326,'[1]Jul-25'!$A:$A,'[1]Jul-25'!$H:$H,0)</f>
        <v>0</v>
      </c>
      <c r="Y326" s="17">
        <f>_xlfn.XLOOKUP($B326,'[1]Aug-25'!$A:$A,'[1]Aug-25'!$H:$H,0)</f>
        <v>0</v>
      </c>
      <c r="Z326" s="17">
        <f>_xlfn.XLOOKUP($B326,'[1]Sep-25'!$A:$A,'[1]Sep-25'!$H:$H,0)</f>
        <v>0</v>
      </c>
      <c r="AA326" s="17">
        <f>_xlfn.XLOOKUP($B326,'[1]Oct-25'!$A:$A,'[1]Oct-25'!$H:$H,0)</f>
        <v>0</v>
      </c>
      <c r="AB326" s="17">
        <f>_xlfn.XLOOKUP($B326,'[1]Nov-25'!$A:$A,'[1]Nov-25'!$H:$H,0)</f>
        <v>0</v>
      </c>
      <c r="AC326" s="17">
        <f>_xlfn.XLOOKUP($B326,'[1]Dec-25'!$A:$A,'[1]Dec-25'!$H:$H,0)</f>
        <v>0</v>
      </c>
      <c r="AD326" s="17">
        <f>_xlfn.XLOOKUP($B326,'[1]Jan-26'!$A:$A,'[1]Jan-26'!$H:$H,0)</f>
        <v>0</v>
      </c>
      <c r="AE326" s="17">
        <f>_xlfn.XLOOKUP($B326,'[1]Feb-26'!$A:$A,'[1]Feb-26'!$H:$H,0)</f>
        <v>0</v>
      </c>
      <c r="AF326" s="17">
        <f>_xlfn.XLOOKUP($B326,'[1]Mar-26'!$A:$A,'[1]Mar-26'!$H:$H,0)</f>
        <v>0</v>
      </c>
      <c r="AG326" s="17">
        <f>_xlfn.XLOOKUP($B326,'[1]Apr-26'!$A:$A,'[1]Apr-26'!$H:$H,0)</f>
        <v>0</v>
      </c>
    </row>
    <row r="327" spans="1:33" x14ac:dyDescent="0.2">
      <c r="A327" s="58">
        <v>49200</v>
      </c>
      <c r="B327" s="56" t="str">
        <f t="shared" si="10"/>
        <v>49200</v>
      </c>
      <c r="C327" s="57" t="s">
        <v>389</v>
      </c>
      <c r="D327" s="57" t="s">
        <v>387</v>
      </c>
      <c r="E327" s="44" t="s">
        <v>515</v>
      </c>
      <c r="F327" s="17">
        <f>_xlfn.XLOOKUP($B327,'[1]Jan-24'!$A:$A,'[1]Jan-24'!$H:$H,0)</f>
        <v>0</v>
      </c>
      <c r="G327" s="17">
        <f>_xlfn.XLOOKUP($B327,'[1]Feb-24'!$A:$A,'[1]Feb-24'!$H:$H,0)</f>
        <v>0</v>
      </c>
      <c r="H327" s="17">
        <f>_xlfn.XLOOKUP($B327,'[1]Mar-24'!$A:$A,'[1]Mar-24'!$H:$H,0)</f>
        <v>0</v>
      </c>
      <c r="I327" s="17">
        <f>_xlfn.XLOOKUP($B327,'[1]Apr-24'!$A:$A,'[1]Apr-24'!$H:$H,0)</f>
        <v>0</v>
      </c>
      <c r="J327" s="17">
        <f>_xlfn.XLOOKUP($B327,'[1]May-24'!$A:$A,'[1]May-24'!$H:$H,0)</f>
        <v>0</v>
      </c>
      <c r="K327" s="17">
        <f>_xlfn.XLOOKUP($B327,'[1]Jun-24'!$A:$A,'[1]Jun-24'!$H:$H,0)</f>
        <v>0</v>
      </c>
      <c r="L327" s="17">
        <f>_xlfn.XLOOKUP($B327,'[1]Jul-24'!$A:$A,'[1]Jul-24'!$H:$H,0)</f>
        <v>0</v>
      </c>
      <c r="M327" s="17">
        <f>_xlfn.XLOOKUP($B327,'[1]Aug-24'!$A:$A,'[1]Aug-24'!$H:$H,0)</f>
        <v>0</v>
      </c>
      <c r="N327" s="17">
        <f>_xlfn.XLOOKUP($B327,'[1]Sep-24'!$A:$A,'[1]Sep-24'!$H:$H,0)</f>
        <v>0</v>
      </c>
      <c r="O327" s="17">
        <f>_xlfn.XLOOKUP($B327,'[1]Oct-24'!$A:$A,'[1]Oct-24'!$H:$H,0)</f>
        <v>0</v>
      </c>
      <c r="P327" s="17">
        <f>_xlfn.XLOOKUP($B327,'[1]Nov-24'!$A:$A,'[1]Nov-24'!$H:$H,0)</f>
        <v>0</v>
      </c>
      <c r="Q327" s="17">
        <f>_xlfn.XLOOKUP($B327,'[1]Dec-24'!$A:$A,'[1]Dec-24'!$H:$H,0)</f>
        <v>0</v>
      </c>
      <c r="R327" s="17">
        <f>_xlfn.XLOOKUP($B327,'[1]Jan-25'!$A:$A,'[1]Jan-25'!$H:$H,0)</f>
        <v>0</v>
      </c>
      <c r="S327" s="17">
        <f>_xlfn.XLOOKUP($B327,'[1]Feb-25'!$A:$A,'[1]Feb-25'!$H:$H,0)</f>
        <v>0</v>
      </c>
      <c r="T327" s="17">
        <f>_xlfn.XLOOKUP($B327,'[1]Mar-25'!$A:$A,'[1]Mar-25'!$H:$H,0)</f>
        <v>0</v>
      </c>
      <c r="U327" s="17">
        <f>_xlfn.XLOOKUP($B327,'[1]Apr-25'!$A:$A,'[1]Apr-25'!$H:$H,0)</f>
        <v>0</v>
      </c>
      <c r="V327" s="17">
        <f>_xlfn.XLOOKUP($B327,'[1]May-25'!$A:$A,'[1]May-25'!$H:$H,0)</f>
        <v>0</v>
      </c>
      <c r="W327" s="17">
        <f>_xlfn.XLOOKUP($B327,'[1]Jun-25'!$A:$A,'[1]Jun-25'!$H:$H,0)</f>
        <v>0</v>
      </c>
      <c r="X327" s="17">
        <f>_xlfn.XLOOKUP($B327,'[1]Jul-25'!$A:$A,'[1]Jul-25'!$H:$H,0)</f>
        <v>0</v>
      </c>
      <c r="Y327" s="17">
        <f>_xlfn.XLOOKUP($B327,'[1]Aug-25'!$A:$A,'[1]Aug-25'!$H:$H,0)</f>
        <v>0</v>
      </c>
      <c r="Z327" s="17">
        <f>_xlfn.XLOOKUP($B327,'[1]Sep-25'!$A:$A,'[1]Sep-25'!$H:$H,0)</f>
        <v>0</v>
      </c>
      <c r="AA327" s="17">
        <f>_xlfn.XLOOKUP($B327,'[1]Oct-25'!$A:$A,'[1]Oct-25'!$H:$H,0)</f>
        <v>0</v>
      </c>
      <c r="AB327" s="17">
        <f>_xlfn.XLOOKUP($B327,'[1]Nov-25'!$A:$A,'[1]Nov-25'!$H:$H,0)</f>
        <v>0</v>
      </c>
      <c r="AC327" s="17">
        <f>_xlfn.XLOOKUP($B327,'[1]Dec-25'!$A:$A,'[1]Dec-25'!$H:$H,0)</f>
        <v>0</v>
      </c>
      <c r="AD327" s="17">
        <f>_xlfn.XLOOKUP($B327,'[1]Jan-26'!$A:$A,'[1]Jan-26'!$H:$H,0)</f>
        <v>0</v>
      </c>
      <c r="AE327" s="17">
        <f>_xlfn.XLOOKUP($B327,'[1]Feb-26'!$A:$A,'[1]Feb-26'!$H:$H,0)</f>
        <v>0</v>
      </c>
      <c r="AF327" s="17">
        <f>_xlfn.XLOOKUP($B327,'[1]Mar-26'!$A:$A,'[1]Mar-26'!$H:$H,0)</f>
        <v>0</v>
      </c>
      <c r="AG327" s="17">
        <f>_xlfn.XLOOKUP($B327,'[1]Apr-26'!$A:$A,'[1]Apr-26'!$H:$H,0)</f>
        <v>0</v>
      </c>
    </row>
    <row r="328" spans="1:33" x14ac:dyDescent="0.2">
      <c r="A328" s="58">
        <v>49300</v>
      </c>
      <c r="B328" s="56" t="str">
        <f t="shared" si="10"/>
        <v>49300</v>
      </c>
      <c r="C328" s="57" t="s">
        <v>505</v>
      </c>
      <c r="D328" s="57" t="s">
        <v>369</v>
      </c>
      <c r="E328" s="44" t="s">
        <v>122</v>
      </c>
      <c r="F328" s="17">
        <f>_xlfn.XLOOKUP($B328,'[1]Jan-24'!$A:$A,'[1]Jan-24'!$H:$H,0)</f>
        <v>-3390.03</v>
      </c>
      <c r="G328" s="17">
        <f>_xlfn.XLOOKUP($B328,'[1]Feb-24'!$A:$A,'[1]Feb-24'!$H:$H,0)</f>
        <v>-210</v>
      </c>
      <c r="H328" s="17">
        <f>_xlfn.XLOOKUP($B328,'[1]Mar-24'!$A:$A,'[1]Mar-24'!$H:$H,0)</f>
        <v>-7692.0599999999995</v>
      </c>
      <c r="I328" s="17">
        <f>_xlfn.XLOOKUP($B328,'[1]Apr-24'!$A:$A,'[1]Apr-24'!$H:$H,0)</f>
        <v>-295333.44999999995</v>
      </c>
      <c r="J328" s="17">
        <f>_xlfn.XLOOKUP($B328,'[1]May-24'!$A:$A,'[1]May-24'!$H:$H,0)</f>
        <v>-9560463.9799999986</v>
      </c>
      <c r="K328" s="17">
        <f>_xlfn.XLOOKUP($B328,'[1]Jun-24'!$A:$A,'[1]Jun-24'!$H:$H,0)</f>
        <v>-33159523.329999998</v>
      </c>
      <c r="L328" s="17">
        <f>_xlfn.XLOOKUP($B328,'[1]Jul-24'!$A:$A,'[1]Jul-24'!$H:$H,0)</f>
        <v>-31606356.719999999</v>
      </c>
      <c r="M328" s="17">
        <f>_xlfn.XLOOKUP($B328,'[1]Aug-24'!$A:$A,'[1]Aug-24'!$H:$H,0)</f>
        <v>-33132384.52</v>
      </c>
      <c r="N328" s="17">
        <f>_xlfn.XLOOKUP($B328,'[1]Sep-24'!$A:$A,'[1]Sep-24'!$H:$H,0)</f>
        <v>-2826292.9499999993</v>
      </c>
      <c r="O328" s="17">
        <f>_xlfn.XLOOKUP($B328,'[1]Oct-24'!$A:$A,'[1]Oct-24'!$H:$H,0)</f>
        <v>-77470868.230000004</v>
      </c>
      <c r="P328" s="17">
        <f>_xlfn.XLOOKUP($B328,'[1]Nov-24'!$A:$A,'[1]Nov-24'!$H:$H,0)</f>
        <v>-41094615.82</v>
      </c>
      <c r="Q328" s="17">
        <f>_xlfn.XLOOKUP($B328,'[1]Dec-24'!$A:$A,'[1]Dec-24'!$H:$H,0)</f>
        <v>-42263700.829999998</v>
      </c>
      <c r="R328" s="17">
        <f>_xlfn.XLOOKUP($B328,'[1]Jan-25'!$A:$A,'[1]Jan-25'!$H:$H,0)</f>
        <v>-38751472.469999999</v>
      </c>
      <c r="S328" s="17">
        <f>_xlfn.XLOOKUP($B328,'[1]Feb-25'!$A:$A,'[1]Feb-25'!$H:$H,0)</f>
        <v>-31184802.43</v>
      </c>
      <c r="T328" s="17">
        <f>_xlfn.XLOOKUP($B328,'[1]Mar-25'!$A:$A,'[1]Mar-25'!$H:$H,0)</f>
        <v>-28119044.399999999</v>
      </c>
      <c r="U328" s="17">
        <f>_xlfn.XLOOKUP($B328,'[1]Apr-25'!$A:$A,'[1]Apr-25'!$H:$H,0)</f>
        <v>-29552228.469999999</v>
      </c>
      <c r="V328" s="17">
        <f>_xlfn.XLOOKUP($B328,'[1]May-25'!$A:$A,'[1]May-25'!$H:$H,0)</f>
        <v>-23048167.809999999</v>
      </c>
      <c r="W328" s="17">
        <f>_xlfn.XLOOKUP($B328,'[1]Jun-25'!$A:$A,'[1]Jun-25'!$H:$H,0)</f>
        <v>-21322970.579999998</v>
      </c>
      <c r="X328" s="17">
        <f>_xlfn.XLOOKUP($B328,'[1]Jul-25'!$A:$A,'[1]Jul-25'!$H:$H,0)</f>
        <v>-21175915.25</v>
      </c>
      <c r="Y328" s="17">
        <f>_xlfn.XLOOKUP($B328,'[1]Aug-25'!$A:$A,'[1]Aug-25'!$H:$H,0)</f>
        <v>-31763676.260000002</v>
      </c>
      <c r="Z328" s="17">
        <f>_xlfn.XLOOKUP($B328,'[1]Sep-25'!$A:$A,'[1]Sep-25'!$H:$H,0)</f>
        <v>-15462167.050000001</v>
      </c>
      <c r="AA328" s="17">
        <f>_xlfn.XLOOKUP($B328,'[1]Oct-25'!$A:$A,'[1]Oct-25'!$H:$H,0)</f>
        <v>-16242790.119999999</v>
      </c>
      <c r="AB328" s="17">
        <f>_xlfn.XLOOKUP($B328,'[1]Nov-25'!$A:$A,'[1]Nov-25'!$H:$H,0)</f>
        <v>-15914740.76</v>
      </c>
      <c r="AC328" s="17">
        <f>_xlfn.XLOOKUP($B328,'[1]Dec-25'!$A:$A,'[1]Dec-25'!$H:$H,0)</f>
        <v>-134622064.13</v>
      </c>
      <c r="AD328" s="17">
        <f>_xlfn.XLOOKUP($B328,'[1]Jan-26'!$A:$A,'[1]Jan-26'!$H:$H,0)</f>
        <v>-5216928.2</v>
      </c>
      <c r="AE328" s="17">
        <f>_xlfn.XLOOKUP($B328,'[1]Feb-26'!$A:$A,'[1]Feb-26'!$H:$H,0)</f>
        <v>-22252736.030000001</v>
      </c>
      <c r="AF328" s="17">
        <f>_xlfn.XLOOKUP($B328,'[1]Mar-26'!$A:$A,'[1]Mar-26'!$H:$H,0)</f>
        <v>-3703903.61</v>
      </c>
      <c r="AG328" s="17">
        <f>_xlfn.XLOOKUP($B328,'[1]Apr-26'!$A:$A,'[1]Apr-26'!$H:$H,0)</f>
        <v>-63101019.709999993</v>
      </c>
    </row>
    <row r="329" spans="1:33" x14ac:dyDescent="0.2">
      <c r="A329" s="58">
        <v>49305</v>
      </c>
      <c r="B329" s="56" t="str">
        <f t="shared" si="10"/>
        <v>49305</v>
      </c>
      <c r="C329" s="57" t="s">
        <v>486</v>
      </c>
      <c r="D329" s="57" t="s">
        <v>369</v>
      </c>
      <c r="E329" s="44" t="s">
        <v>516</v>
      </c>
      <c r="F329" s="17">
        <f>_xlfn.XLOOKUP($B329,'[1]Jan-24'!$A:$A,'[1]Jan-24'!$H:$H,0)</f>
        <v>0</v>
      </c>
      <c r="G329" s="17">
        <f>_xlfn.XLOOKUP($B329,'[1]Feb-24'!$A:$A,'[1]Feb-24'!$H:$H,0)</f>
        <v>0</v>
      </c>
      <c r="H329" s="17">
        <f>_xlfn.XLOOKUP($B329,'[1]Mar-24'!$A:$A,'[1]Mar-24'!$H:$H,0)</f>
        <v>0</v>
      </c>
      <c r="I329" s="17">
        <f>_xlfn.XLOOKUP($B329,'[1]Apr-24'!$A:$A,'[1]Apr-24'!$H:$H,0)</f>
        <v>0</v>
      </c>
      <c r="J329" s="17">
        <f>_xlfn.XLOOKUP($B329,'[1]May-24'!$A:$A,'[1]May-24'!$H:$H,0)</f>
        <v>0</v>
      </c>
      <c r="K329" s="17">
        <f>_xlfn.XLOOKUP($B329,'[1]Jun-24'!$A:$A,'[1]Jun-24'!$H:$H,0)</f>
        <v>0</v>
      </c>
      <c r="L329" s="17">
        <f>_xlfn.XLOOKUP($B329,'[1]Jul-24'!$A:$A,'[1]Jul-24'!$H:$H,0)</f>
        <v>0</v>
      </c>
      <c r="M329" s="17">
        <f>_xlfn.XLOOKUP($B329,'[1]Aug-24'!$A:$A,'[1]Aug-24'!$H:$H,0)</f>
        <v>0</v>
      </c>
      <c r="N329" s="17">
        <f>_xlfn.XLOOKUP($B329,'[1]Sep-24'!$A:$A,'[1]Sep-24'!$H:$H,0)</f>
        <v>0</v>
      </c>
      <c r="O329" s="17">
        <f>_xlfn.XLOOKUP($B329,'[1]Oct-24'!$A:$A,'[1]Oct-24'!$H:$H,0)</f>
        <v>0</v>
      </c>
      <c r="P329" s="17">
        <f>_xlfn.XLOOKUP($B329,'[1]Nov-24'!$A:$A,'[1]Nov-24'!$H:$H,0)</f>
        <v>0</v>
      </c>
      <c r="Q329" s="17">
        <f>_xlfn.XLOOKUP($B329,'[1]Dec-24'!$A:$A,'[1]Dec-24'!$H:$H,0)</f>
        <v>0</v>
      </c>
      <c r="R329" s="17">
        <f>_xlfn.XLOOKUP($B329,'[1]Jan-25'!$A:$A,'[1]Jan-25'!$H:$H,0)</f>
        <v>0</v>
      </c>
      <c r="S329" s="17">
        <f>_xlfn.XLOOKUP($B329,'[1]Feb-25'!$A:$A,'[1]Feb-25'!$H:$H,0)</f>
        <v>0</v>
      </c>
      <c r="T329" s="17">
        <f>_xlfn.XLOOKUP($B329,'[1]Mar-25'!$A:$A,'[1]Mar-25'!$H:$H,0)</f>
        <v>0</v>
      </c>
      <c r="U329" s="17">
        <f>_xlfn.XLOOKUP($B329,'[1]Apr-25'!$A:$A,'[1]Apr-25'!$H:$H,0)</f>
        <v>0</v>
      </c>
      <c r="V329" s="17">
        <f>_xlfn.XLOOKUP($B329,'[1]May-25'!$A:$A,'[1]May-25'!$H:$H,0)</f>
        <v>0</v>
      </c>
      <c r="W329" s="17">
        <f>_xlfn.XLOOKUP($B329,'[1]Jun-25'!$A:$A,'[1]Jun-25'!$H:$H,0)</f>
        <v>0</v>
      </c>
      <c r="X329" s="17">
        <f>_xlfn.XLOOKUP($B329,'[1]Jul-25'!$A:$A,'[1]Jul-25'!$H:$H,0)</f>
        <v>0</v>
      </c>
      <c r="Y329" s="17">
        <f>_xlfn.XLOOKUP($B329,'[1]Aug-25'!$A:$A,'[1]Aug-25'!$H:$H,0)</f>
        <v>0</v>
      </c>
      <c r="Z329" s="17">
        <f>_xlfn.XLOOKUP($B329,'[1]Sep-25'!$A:$A,'[1]Sep-25'!$H:$H,0)</f>
        <v>0</v>
      </c>
      <c r="AA329" s="17">
        <f>_xlfn.XLOOKUP($B329,'[1]Oct-25'!$A:$A,'[1]Oct-25'!$H:$H,0)</f>
        <v>0</v>
      </c>
      <c r="AB329" s="17">
        <f>_xlfn.XLOOKUP($B329,'[1]Nov-25'!$A:$A,'[1]Nov-25'!$H:$H,0)</f>
        <v>0</v>
      </c>
      <c r="AC329" s="17">
        <f>_xlfn.XLOOKUP($B329,'[1]Dec-25'!$A:$A,'[1]Dec-25'!$H:$H,0)</f>
        <v>0</v>
      </c>
      <c r="AD329" s="17">
        <f>_xlfn.XLOOKUP($B329,'[1]Jan-26'!$A:$A,'[1]Jan-26'!$H:$H,0)</f>
        <v>0</v>
      </c>
      <c r="AE329" s="17">
        <f>_xlfn.XLOOKUP($B329,'[1]Feb-26'!$A:$A,'[1]Feb-26'!$H:$H,0)</f>
        <v>0</v>
      </c>
      <c r="AF329" s="17">
        <f>_xlfn.XLOOKUP($B329,'[1]Mar-26'!$A:$A,'[1]Mar-26'!$H:$H,0)</f>
        <v>0</v>
      </c>
      <c r="AG329" s="17">
        <f>_xlfn.XLOOKUP($B329,'[1]Apr-26'!$A:$A,'[1]Apr-26'!$H:$H,0)</f>
        <v>0</v>
      </c>
    </row>
    <row r="330" spans="1:33" x14ac:dyDescent="0.2">
      <c r="A330" s="406">
        <v>40086</v>
      </c>
      <c r="B330" s="407" t="str">
        <f t="shared" si="10"/>
        <v>40086</v>
      </c>
      <c r="C330" s="408" t="s">
        <v>486</v>
      </c>
      <c r="D330" s="408" t="s">
        <v>369</v>
      </c>
      <c r="E330" s="410" t="s">
        <v>1713</v>
      </c>
      <c r="F330" s="17">
        <f>_xlfn.XLOOKUP($B330,'[1]Jan-24'!$A:$A,'[1]Jan-24'!$H:$H,0)</f>
        <v>0</v>
      </c>
      <c r="G330" s="17">
        <f>_xlfn.XLOOKUP($B330,'[1]Feb-24'!$A:$A,'[1]Feb-24'!$H:$H,0)</f>
        <v>0</v>
      </c>
      <c r="H330" s="17">
        <f>_xlfn.XLOOKUP($B330,'[1]Mar-24'!$A:$A,'[1]Mar-24'!$H:$H,0)</f>
        <v>0</v>
      </c>
      <c r="I330" s="17">
        <f>_xlfn.XLOOKUP($B330,'[1]Apr-24'!$A:$A,'[1]Apr-24'!$H:$H,0)</f>
        <v>0</v>
      </c>
      <c r="J330" s="17">
        <f>_xlfn.XLOOKUP($B330,'[1]May-24'!$A:$A,'[1]May-24'!$H:$H,0)</f>
        <v>0</v>
      </c>
      <c r="K330" s="17">
        <f>_xlfn.XLOOKUP($B330,'[1]Jun-24'!$A:$A,'[1]Jun-24'!$H:$H,0)</f>
        <v>0</v>
      </c>
      <c r="L330" s="17">
        <f>_xlfn.XLOOKUP($B330,'[1]Jul-24'!$A:$A,'[1]Jul-24'!$H:$H,0)</f>
        <v>0</v>
      </c>
      <c r="M330" s="17">
        <f>_xlfn.XLOOKUP($B330,'[1]Aug-24'!$A:$A,'[1]Aug-24'!$H:$H,0)</f>
        <v>0</v>
      </c>
      <c r="N330" s="17">
        <f>_xlfn.XLOOKUP($B330,'[1]Sep-24'!$A:$A,'[1]Sep-24'!$H:$H,0)</f>
        <v>0</v>
      </c>
      <c r="O330" s="17">
        <f>_xlfn.XLOOKUP($B330,'[1]Oct-24'!$A:$A,'[1]Oct-24'!$H:$H,0)</f>
        <v>0</v>
      </c>
      <c r="P330" s="17">
        <f>_xlfn.XLOOKUP($B330,'[1]Nov-24'!$A:$A,'[1]Nov-24'!$H:$H,0)</f>
        <v>0</v>
      </c>
      <c r="Q330" s="17">
        <f>_xlfn.XLOOKUP($B330,'[1]Dec-24'!$A:$A,'[1]Dec-24'!$H:$H,0)</f>
        <v>0</v>
      </c>
      <c r="R330" s="17">
        <f>_xlfn.XLOOKUP($B330,'[1]Jan-25'!$A:$A,'[1]Jan-25'!$H:$H,0)</f>
        <v>0</v>
      </c>
      <c r="S330" s="17">
        <f>_xlfn.XLOOKUP($B330,'[1]Feb-25'!$A:$A,'[1]Feb-25'!$H:$H,0)</f>
        <v>0</v>
      </c>
      <c r="T330" s="17">
        <f>_xlfn.XLOOKUP($B330,'[1]Mar-25'!$A:$A,'[1]Mar-25'!$H:$H,0)</f>
        <v>0</v>
      </c>
      <c r="U330" s="17">
        <f>_xlfn.XLOOKUP($B330,'[1]Apr-25'!$A:$A,'[1]Apr-25'!$H:$H,0)</f>
        <v>0</v>
      </c>
      <c r="V330" s="17">
        <f>_xlfn.XLOOKUP($B330,'[1]May-25'!$A:$A,'[1]May-25'!$H:$H,0)</f>
        <v>0</v>
      </c>
      <c r="W330" s="17">
        <f>_xlfn.XLOOKUP($B330,'[1]Jun-25'!$A:$A,'[1]Jun-25'!$H:$H,0)</f>
        <v>0</v>
      </c>
      <c r="X330" s="17">
        <f>_xlfn.XLOOKUP($B330,'[1]Jul-25'!$A:$A,'[1]Jul-25'!$H:$H,0)</f>
        <v>0</v>
      </c>
      <c r="Y330" s="17">
        <f>_xlfn.XLOOKUP($B330,'[1]Aug-25'!$A:$A,'[1]Aug-25'!$H:$H,0)</f>
        <v>0</v>
      </c>
      <c r="Z330" s="17">
        <f>_xlfn.XLOOKUP($B330,'[1]Sep-25'!$A:$A,'[1]Sep-25'!$H:$H,0)</f>
        <v>0</v>
      </c>
      <c r="AA330" s="17">
        <f>_xlfn.XLOOKUP($B330,'[1]Oct-25'!$A:$A,'[1]Oct-25'!$H:$H,0)</f>
        <v>0</v>
      </c>
      <c r="AB330" s="17">
        <f>_xlfn.XLOOKUP($B330,'[1]Nov-25'!$A:$A,'[1]Nov-25'!$H:$H,0)</f>
        <v>0</v>
      </c>
      <c r="AC330" s="17">
        <f>_xlfn.XLOOKUP($B330,'[1]Dec-25'!$A:$A,'[1]Dec-25'!$H:$H,0)</f>
        <v>0</v>
      </c>
      <c r="AD330" s="17">
        <f>_xlfn.XLOOKUP($B330,'[1]Jan-26'!$A:$A,'[1]Jan-26'!$H:$H,0)</f>
        <v>0</v>
      </c>
      <c r="AE330" s="17">
        <f>_xlfn.XLOOKUP($B330,'[1]Feb-26'!$A:$A,'[1]Feb-26'!$H:$H,0)</f>
        <v>0</v>
      </c>
      <c r="AF330" s="17">
        <f>_xlfn.XLOOKUP($B330,'[1]Mar-26'!$A:$A,'[1]Mar-26'!$H:$H,0)</f>
        <v>22240712.84</v>
      </c>
      <c r="AG330" s="17">
        <f>_xlfn.XLOOKUP($B330,'[1]Apr-26'!$A:$A,'[1]Apr-26'!$H:$H,0)</f>
        <v>0</v>
      </c>
    </row>
    <row r="331" spans="1:33" x14ac:dyDescent="0.2">
      <c r="A331" s="58">
        <v>49400</v>
      </c>
      <c r="B331" s="56" t="str">
        <f t="shared" si="10"/>
        <v>49400</v>
      </c>
      <c r="C331" s="57" t="s">
        <v>486</v>
      </c>
      <c r="D331" s="57" t="s">
        <v>369</v>
      </c>
      <c r="E331" s="44" t="s">
        <v>9</v>
      </c>
      <c r="F331" s="17">
        <f>_xlfn.XLOOKUP($B331,'[1]Jan-24'!$A:$A,'[1]Jan-24'!$H:$H,0)</f>
        <v>0</v>
      </c>
      <c r="G331" s="17">
        <f>_xlfn.XLOOKUP($B331,'[1]Feb-24'!$A:$A,'[1]Feb-24'!$H:$H,0)</f>
        <v>0</v>
      </c>
      <c r="H331" s="17">
        <f>_xlfn.XLOOKUP($B331,'[1]Mar-24'!$A:$A,'[1]Mar-24'!$H:$H,0)</f>
        <v>0</v>
      </c>
      <c r="I331" s="17">
        <f>_xlfn.XLOOKUP($B331,'[1]Apr-24'!$A:$A,'[1]Apr-24'!$H:$H,0)</f>
        <v>0</v>
      </c>
      <c r="J331" s="17">
        <f>_xlfn.XLOOKUP($B331,'[1]May-24'!$A:$A,'[1]May-24'!$H:$H,0)</f>
        <v>0</v>
      </c>
      <c r="K331" s="17">
        <f>_xlfn.XLOOKUP($B331,'[1]Jun-24'!$A:$A,'[1]Jun-24'!$H:$H,0)</f>
        <v>0</v>
      </c>
      <c r="L331" s="17">
        <f>_xlfn.XLOOKUP($B331,'[1]Jul-24'!$A:$A,'[1]Jul-24'!$H:$H,0)</f>
        <v>0</v>
      </c>
      <c r="M331" s="17">
        <f>_xlfn.XLOOKUP($B331,'[1]Aug-24'!$A:$A,'[1]Aug-24'!$H:$H,0)</f>
        <v>0</v>
      </c>
      <c r="N331" s="17">
        <f>_xlfn.XLOOKUP($B331,'[1]Sep-24'!$A:$A,'[1]Sep-24'!$H:$H,0)</f>
        <v>0</v>
      </c>
      <c r="O331" s="17">
        <f>_xlfn.XLOOKUP($B331,'[1]Oct-24'!$A:$A,'[1]Oct-24'!$H:$H,0)</f>
        <v>0</v>
      </c>
      <c r="P331" s="17">
        <f>_xlfn.XLOOKUP($B331,'[1]Nov-24'!$A:$A,'[1]Nov-24'!$H:$H,0)</f>
        <v>0</v>
      </c>
      <c r="Q331" s="17">
        <f>_xlfn.XLOOKUP($B331,'[1]Dec-24'!$A:$A,'[1]Dec-24'!$H:$H,0)</f>
        <v>0</v>
      </c>
      <c r="R331" s="17">
        <f>_xlfn.XLOOKUP($B331,'[1]Jan-25'!$A:$A,'[1]Jan-25'!$H:$H,0)</f>
        <v>0</v>
      </c>
      <c r="S331" s="17">
        <f>_xlfn.XLOOKUP($B331,'[1]Feb-25'!$A:$A,'[1]Feb-25'!$H:$H,0)</f>
        <v>0</v>
      </c>
      <c r="T331" s="17">
        <f>_xlfn.XLOOKUP($B331,'[1]Mar-25'!$A:$A,'[1]Mar-25'!$H:$H,0)</f>
        <v>0</v>
      </c>
      <c r="U331" s="17">
        <f>_xlfn.XLOOKUP($B331,'[1]Apr-25'!$A:$A,'[1]Apr-25'!$H:$H,0)</f>
        <v>0</v>
      </c>
      <c r="V331" s="17">
        <f>_xlfn.XLOOKUP($B331,'[1]May-25'!$A:$A,'[1]May-25'!$H:$H,0)</f>
        <v>0</v>
      </c>
      <c r="W331" s="17">
        <f>_xlfn.XLOOKUP($B331,'[1]Jun-25'!$A:$A,'[1]Jun-25'!$H:$H,0)</f>
        <v>0</v>
      </c>
      <c r="X331" s="17">
        <f>_xlfn.XLOOKUP($B331,'[1]Jul-25'!$A:$A,'[1]Jul-25'!$H:$H,0)</f>
        <v>0</v>
      </c>
      <c r="Y331" s="17">
        <f>_xlfn.XLOOKUP($B331,'[1]Aug-25'!$A:$A,'[1]Aug-25'!$H:$H,0)</f>
        <v>0</v>
      </c>
      <c r="Z331" s="17">
        <f>_xlfn.XLOOKUP($B331,'[1]Sep-25'!$A:$A,'[1]Sep-25'!$H:$H,0)</f>
        <v>0</v>
      </c>
      <c r="AA331" s="17">
        <f>_xlfn.XLOOKUP($B331,'[1]Oct-25'!$A:$A,'[1]Oct-25'!$H:$H,0)</f>
        <v>0</v>
      </c>
      <c r="AB331" s="17">
        <f>_xlfn.XLOOKUP($B331,'[1]Nov-25'!$A:$A,'[1]Nov-25'!$H:$H,0)</f>
        <v>0</v>
      </c>
      <c r="AC331" s="17">
        <f>_xlfn.XLOOKUP($B331,'[1]Dec-25'!$A:$A,'[1]Dec-25'!$H:$H,0)</f>
        <v>0</v>
      </c>
      <c r="AD331" s="17">
        <f>_xlfn.XLOOKUP($B331,'[1]Jan-26'!$A:$A,'[1]Jan-26'!$H:$H,0)</f>
        <v>0</v>
      </c>
      <c r="AE331" s="17">
        <f>_xlfn.XLOOKUP($B331,'[1]Feb-26'!$A:$A,'[1]Feb-26'!$H:$H,0)</f>
        <v>0</v>
      </c>
      <c r="AF331" s="17">
        <f>_xlfn.XLOOKUP($B331,'[1]Mar-26'!$A:$A,'[1]Mar-26'!$H:$H,0)</f>
        <v>0</v>
      </c>
      <c r="AG331" s="17">
        <f>_xlfn.XLOOKUP($B331,'[1]Apr-26'!$A:$A,'[1]Apr-26'!$H:$H,0)</f>
        <v>0</v>
      </c>
    </row>
    <row r="332" spans="1:33" x14ac:dyDescent="0.2">
      <c r="A332" s="58">
        <v>49405</v>
      </c>
      <c r="B332" s="56" t="str">
        <f t="shared" si="10"/>
        <v>49405</v>
      </c>
      <c r="C332" s="57" t="s">
        <v>471</v>
      </c>
      <c r="D332" s="57" t="s">
        <v>369</v>
      </c>
      <c r="E332" s="44" t="s">
        <v>102</v>
      </c>
      <c r="F332" s="17">
        <f>_xlfn.XLOOKUP($B332,'[1]Jan-24'!$A:$A,'[1]Jan-24'!$H:$H,0)</f>
        <v>-60200431.150000006</v>
      </c>
      <c r="G332" s="17">
        <f>_xlfn.XLOOKUP($B332,'[1]Feb-24'!$A:$A,'[1]Feb-24'!$H:$H,0)</f>
        <v>-228624829.49000001</v>
      </c>
      <c r="H332" s="17">
        <f>_xlfn.XLOOKUP($B332,'[1]Mar-24'!$A:$A,'[1]Mar-24'!$H:$H,0)</f>
        <v>-299729715</v>
      </c>
      <c r="I332" s="17">
        <f>_xlfn.XLOOKUP($B332,'[1]Apr-24'!$A:$A,'[1]Apr-24'!$H:$H,0)</f>
        <v>-321764374.33999997</v>
      </c>
      <c r="J332" s="17">
        <f>_xlfn.XLOOKUP($B332,'[1]May-24'!$A:$A,'[1]May-24'!$H:$H,0)</f>
        <v>-47095107.030000001</v>
      </c>
      <c r="K332" s="17">
        <f>_xlfn.XLOOKUP($B332,'[1]Jun-24'!$A:$A,'[1]Jun-24'!$H:$H,0)</f>
        <v>-156139964.66000003</v>
      </c>
      <c r="L332" s="17">
        <f>_xlfn.XLOOKUP($B332,'[1]Jul-24'!$A:$A,'[1]Jul-24'!$H:$H,0)</f>
        <v>-148519491.08000001</v>
      </c>
      <c r="M332" s="17">
        <f>_xlfn.XLOOKUP($B332,'[1]Aug-24'!$A:$A,'[1]Aug-24'!$H:$H,0)</f>
        <v>-128723830.66000001</v>
      </c>
      <c r="N332" s="17">
        <f>_xlfn.XLOOKUP($B332,'[1]Sep-24'!$A:$A,'[1]Sep-24'!$H:$H,0)</f>
        <v>-63438498.210000008</v>
      </c>
      <c r="O332" s="17">
        <f>_xlfn.XLOOKUP($B332,'[1]Oct-24'!$A:$A,'[1]Oct-24'!$H:$H,0)</f>
        <v>-104367954.59</v>
      </c>
      <c r="P332" s="17">
        <f>_xlfn.XLOOKUP($B332,'[1]Nov-24'!$A:$A,'[1]Nov-24'!$H:$H,0)</f>
        <v>-95065629.00999999</v>
      </c>
      <c r="Q332" s="17">
        <f>_xlfn.XLOOKUP($B332,'[1]Dec-24'!$A:$A,'[1]Dec-24'!$H:$H,0)</f>
        <v>-111033811.51000001</v>
      </c>
      <c r="R332" s="17">
        <f>_xlfn.XLOOKUP($B332,'[1]Jan-25'!$A:$A,'[1]Jan-25'!$H:$H,0)</f>
        <v>0</v>
      </c>
      <c r="S332" s="17">
        <f>_xlfn.XLOOKUP($B332,'[1]Feb-25'!$A:$A,'[1]Feb-25'!$H:$H,0)</f>
        <v>0</v>
      </c>
      <c r="T332" s="17">
        <f>_xlfn.XLOOKUP($B332,'[1]Mar-25'!$A:$A,'[1]Mar-25'!$H:$H,0)</f>
        <v>0</v>
      </c>
      <c r="U332" s="17">
        <f>_xlfn.XLOOKUP($B332,'[1]Apr-25'!$A:$A,'[1]Apr-25'!$H:$H,0)</f>
        <v>0</v>
      </c>
      <c r="V332" s="17">
        <f>_xlfn.XLOOKUP($B332,'[1]May-25'!$A:$A,'[1]May-25'!$H:$H,0)</f>
        <v>0</v>
      </c>
      <c r="W332" s="17">
        <f>_xlfn.XLOOKUP($B332,'[1]Jun-25'!$A:$A,'[1]Jun-25'!$H:$H,0)</f>
        <v>0</v>
      </c>
      <c r="X332" s="17">
        <f>_xlfn.XLOOKUP($B332,'[1]Jul-25'!$A:$A,'[1]Jul-25'!$H:$H,0)</f>
        <v>0</v>
      </c>
      <c r="Y332" s="17">
        <f>_xlfn.XLOOKUP($B332,'[1]Aug-25'!$A:$A,'[1]Aug-25'!$H:$H,0)</f>
        <v>0</v>
      </c>
      <c r="Z332" s="17">
        <f>_xlfn.XLOOKUP($B332,'[1]Sep-25'!$A:$A,'[1]Sep-25'!$H:$H,0)</f>
        <v>0</v>
      </c>
      <c r="AA332" s="17">
        <f>_xlfn.XLOOKUP($B332,'[1]Oct-25'!$A:$A,'[1]Oct-25'!$H:$H,0)</f>
        <v>0</v>
      </c>
      <c r="AB332" s="17">
        <f>_xlfn.XLOOKUP($B332,'[1]Nov-25'!$A:$A,'[1]Nov-25'!$H:$H,0)</f>
        <v>0</v>
      </c>
      <c r="AC332" s="17">
        <f>_xlfn.XLOOKUP($B332,'[1]Dec-25'!$A:$A,'[1]Dec-25'!$H:$H,0)</f>
        <v>0</v>
      </c>
      <c r="AD332" s="17">
        <f>_xlfn.XLOOKUP($B332,'[1]Jan-26'!$A:$A,'[1]Jan-26'!$H:$H,0)</f>
        <v>0</v>
      </c>
      <c r="AE332" s="17">
        <f>_xlfn.XLOOKUP($B332,'[1]Feb-26'!$A:$A,'[1]Feb-26'!$H:$H,0)</f>
        <v>0</v>
      </c>
      <c r="AF332" s="17">
        <f>_xlfn.XLOOKUP($B332,'[1]Mar-26'!$A:$A,'[1]Mar-26'!$H:$H,0)</f>
        <v>0</v>
      </c>
      <c r="AG332" s="17">
        <f>_xlfn.XLOOKUP($B332,'[1]Apr-26'!$A:$A,'[1]Apr-26'!$H:$H,0)</f>
        <v>0</v>
      </c>
    </row>
    <row r="333" spans="1:33" x14ac:dyDescent="0.2">
      <c r="A333" s="58">
        <v>50000</v>
      </c>
      <c r="B333" s="56" t="str">
        <f t="shared" ref="B333:B396" si="11">TEXT(A333,"00000")</f>
        <v>50000</v>
      </c>
      <c r="C333" s="57" t="s">
        <v>517</v>
      </c>
      <c r="D333" s="57" t="s">
        <v>387</v>
      </c>
      <c r="E333" s="44" t="s">
        <v>518</v>
      </c>
      <c r="F333" s="17">
        <f>_xlfn.XLOOKUP($B333,'[1]Jan-24'!$A:$A,'[1]Jan-24'!$H:$H,0)</f>
        <v>0</v>
      </c>
      <c r="G333" s="17">
        <f>_xlfn.XLOOKUP($B333,'[1]Feb-24'!$A:$A,'[1]Feb-24'!$H:$H,0)</f>
        <v>0</v>
      </c>
      <c r="H333" s="17">
        <f>_xlfn.XLOOKUP($B333,'[1]Mar-24'!$A:$A,'[1]Mar-24'!$H:$H,0)</f>
        <v>0</v>
      </c>
      <c r="I333" s="17">
        <f>_xlfn.XLOOKUP($B333,'[1]Apr-24'!$A:$A,'[1]Apr-24'!$H:$H,0)</f>
        <v>0</v>
      </c>
      <c r="J333" s="17">
        <f>_xlfn.XLOOKUP($B333,'[1]May-24'!$A:$A,'[1]May-24'!$H:$H,0)</f>
        <v>0</v>
      </c>
      <c r="K333" s="17">
        <f>_xlfn.XLOOKUP($B333,'[1]Jun-24'!$A:$A,'[1]Jun-24'!$H:$H,0)</f>
        <v>0</v>
      </c>
      <c r="L333" s="17">
        <f>_xlfn.XLOOKUP($B333,'[1]Jul-24'!$A:$A,'[1]Jul-24'!$H:$H,0)</f>
        <v>0</v>
      </c>
      <c r="M333" s="17">
        <f>_xlfn.XLOOKUP($B333,'[1]Aug-24'!$A:$A,'[1]Aug-24'!$H:$H,0)</f>
        <v>46990400</v>
      </c>
      <c r="N333" s="17">
        <f>_xlfn.XLOOKUP($B333,'[1]Sep-24'!$A:$A,'[1]Sep-24'!$H:$H,0)</f>
        <v>-4199040</v>
      </c>
      <c r="O333" s="17">
        <f>_xlfn.XLOOKUP($B333,'[1]Oct-24'!$A:$A,'[1]Oct-24'!$H:$H,0)</f>
        <v>0</v>
      </c>
      <c r="P333" s="17">
        <f>_xlfn.XLOOKUP($B333,'[1]Nov-24'!$A:$A,'[1]Nov-24'!$H:$H,0)</f>
        <v>0</v>
      </c>
      <c r="Q333" s="17">
        <f>_xlfn.XLOOKUP($B333,'[1]Dec-24'!$A:$A,'[1]Dec-24'!$H:$H,0)</f>
        <v>0</v>
      </c>
      <c r="R333" s="17">
        <f>_xlfn.XLOOKUP($B333,'[1]Jan-25'!$A:$A,'[1]Jan-25'!$H:$H,0)</f>
        <v>0</v>
      </c>
      <c r="S333" s="17">
        <f>_xlfn.XLOOKUP($B333,'[1]Feb-25'!$A:$A,'[1]Feb-25'!$H:$H,0)</f>
        <v>0</v>
      </c>
      <c r="T333" s="17">
        <f>_xlfn.XLOOKUP($B333,'[1]Mar-25'!$A:$A,'[1]Mar-25'!$H:$H,0)</f>
        <v>7169412.0099999998</v>
      </c>
      <c r="U333" s="17">
        <f>_xlfn.XLOOKUP($B333,'[1]Apr-25'!$A:$A,'[1]Apr-25'!$H:$H,0)</f>
        <v>8823891.8399999999</v>
      </c>
      <c r="V333" s="17">
        <f>_xlfn.XLOOKUP($B333,'[1]May-25'!$A:$A,'[1]May-25'!$H:$H,0)</f>
        <v>7445158.6200000001</v>
      </c>
      <c r="W333" s="17">
        <f>_xlfn.XLOOKUP($B333,'[1]Jun-25'!$A:$A,'[1]Jun-25'!$H:$H,0)</f>
        <v>0</v>
      </c>
      <c r="X333" s="17">
        <f>_xlfn.XLOOKUP($B333,'[1]Jul-25'!$A:$A,'[1]Jul-25'!$H:$H,0)</f>
        <v>31862818.73</v>
      </c>
      <c r="Y333" s="17">
        <f>_xlfn.XLOOKUP($B333,'[1]Aug-25'!$A:$A,'[1]Aug-25'!$H:$H,0)</f>
        <v>7700000</v>
      </c>
      <c r="Z333" s="17">
        <f>_xlfn.XLOOKUP($B333,'[1]Sep-25'!$A:$A,'[1]Sep-25'!$H:$H,0)</f>
        <v>1315970.4700000002</v>
      </c>
      <c r="AA333" s="17">
        <f>_xlfn.XLOOKUP($B333,'[1]Oct-25'!$A:$A,'[1]Oct-25'!$H:$H,0)</f>
        <v>0</v>
      </c>
      <c r="AB333" s="17">
        <f>_xlfn.XLOOKUP($B333,'[1]Nov-25'!$A:$A,'[1]Nov-25'!$H:$H,0)</f>
        <v>275746.61</v>
      </c>
      <c r="AC333" s="17">
        <f>_xlfn.XLOOKUP($B333,'[1]Dec-25'!$A:$A,'[1]Dec-25'!$H:$H,0)</f>
        <v>51369781.609999999</v>
      </c>
      <c r="AD333" s="17">
        <f>_xlfn.XLOOKUP($B333,'[1]Jan-26'!$A:$A,'[1]Jan-26'!$H:$H,0)</f>
        <v>827239.8599999994</v>
      </c>
      <c r="AE333" s="17">
        <f>_xlfn.XLOOKUP($B333,'[1]Feb-26'!$A:$A,'[1]Feb-26'!$H:$H,0)</f>
        <v>8272398.5999999996</v>
      </c>
      <c r="AF333" s="17">
        <f>_xlfn.XLOOKUP($B333,'[1]Mar-26'!$A:$A,'[1]Mar-26'!$H:$H,0)</f>
        <v>0</v>
      </c>
      <c r="AG333" s="17">
        <f>_xlfn.XLOOKUP($B333,'[1]Apr-26'!$A:$A,'[1]Apr-26'!$H:$H,0)</f>
        <v>551493.24</v>
      </c>
    </row>
    <row r="334" spans="1:33" x14ac:dyDescent="0.2">
      <c r="A334" s="58">
        <v>50005</v>
      </c>
      <c r="B334" s="56" t="str">
        <f t="shared" si="11"/>
        <v>50005</v>
      </c>
      <c r="C334" s="57" t="s">
        <v>517</v>
      </c>
      <c r="D334" s="57" t="s">
        <v>387</v>
      </c>
      <c r="E334" s="44" t="s">
        <v>519</v>
      </c>
      <c r="F334" s="17">
        <f>_xlfn.XLOOKUP($B334,'[1]Jan-24'!$A:$A,'[1]Jan-24'!$H:$H,0)</f>
        <v>0</v>
      </c>
      <c r="G334" s="17">
        <f>_xlfn.XLOOKUP($B334,'[1]Feb-24'!$A:$A,'[1]Feb-24'!$H:$H,0)</f>
        <v>0</v>
      </c>
      <c r="H334" s="17">
        <f>_xlfn.XLOOKUP($B334,'[1]Mar-24'!$A:$A,'[1]Mar-24'!$H:$H,0)</f>
        <v>0</v>
      </c>
      <c r="I334" s="17">
        <f>_xlfn.XLOOKUP($B334,'[1]Apr-24'!$A:$A,'[1]Apr-24'!$H:$H,0)</f>
        <v>0</v>
      </c>
      <c r="J334" s="17">
        <f>_xlfn.XLOOKUP($B334,'[1]May-24'!$A:$A,'[1]May-24'!$H:$H,0)</f>
        <v>0</v>
      </c>
      <c r="K334" s="17">
        <f>_xlfn.XLOOKUP($B334,'[1]Jun-24'!$A:$A,'[1]Jun-24'!$H:$H,0)</f>
        <v>0</v>
      </c>
      <c r="L334" s="17">
        <f>_xlfn.XLOOKUP($B334,'[1]Jul-24'!$A:$A,'[1]Jul-24'!$H:$H,0)</f>
        <v>0</v>
      </c>
      <c r="M334" s="17">
        <f>_xlfn.XLOOKUP($B334,'[1]Aug-24'!$A:$A,'[1]Aug-24'!$H:$H,0)</f>
        <v>0</v>
      </c>
      <c r="N334" s="17">
        <f>_xlfn.XLOOKUP($B334,'[1]Sep-24'!$A:$A,'[1]Sep-24'!$H:$H,0)</f>
        <v>0</v>
      </c>
      <c r="O334" s="17">
        <f>_xlfn.XLOOKUP($B334,'[1]Oct-24'!$A:$A,'[1]Oct-24'!$H:$H,0)</f>
        <v>0</v>
      </c>
      <c r="P334" s="17">
        <f>_xlfn.XLOOKUP($B334,'[1]Nov-24'!$A:$A,'[1]Nov-24'!$H:$H,0)</f>
        <v>0</v>
      </c>
      <c r="Q334" s="17">
        <f>_xlfn.XLOOKUP($B334,'[1]Dec-24'!$A:$A,'[1]Dec-24'!$H:$H,0)</f>
        <v>0</v>
      </c>
      <c r="R334" s="17">
        <f>_xlfn.XLOOKUP($B334,'[1]Jan-25'!$A:$A,'[1]Jan-25'!$H:$H,0)</f>
        <v>0</v>
      </c>
      <c r="S334" s="17">
        <f>_xlfn.XLOOKUP($B334,'[1]Feb-25'!$A:$A,'[1]Feb-25'!$H:$H,0)</f>
        <v>0</v>
      </c>
      <c r="T334" s="17">
        <f>_xlfn.XLOOKUP($B334,'[1]Mar-25'!$A:$A,'[1]Mar-25'!$H:$H,0)</f>
        <v>0</v>
      </c>
      <c r="U334" s="17">
        <f>_xlfn.XLOOKUP($B334,'[1]Apr-25'!$A:$A,'[1]Apr-25'!$H:$H,0)</f>
        <v>0</v>
      </c>
      <c r="V334" s="17">
        <f>_xlfn.XLOOKUP($B334,'[1]May-25'!$A:$A,'[1]May-25'!$H:$H,0)</f>
        <v>0</v>
      </c>
      <c r="W334" s="17">
        <f>_xlfn.XLOOKUP($B334,'[1]Jun-25'!$A:$A,'[1]Jun-25'!$H:$H,0)</f>
        <v>0</v>
      </c>
      <c r="X334" s="17">
        <f>_xlfn.XLOOKUP($B334,'[1]Jul-25'!$A:$A,'[1]Jul-25'!$H:$H,0)</f>
        <v>0</v>
      </c>
      <c r="Y334" s="17">
        <f>_xlfn.XLOOKUP($B334,'[1]Aug-25'!$A:$A,'[1]Aug-25'!$H:$H,0)</f>
        <v>0</v>
      </c>
      <c r="Z334" s="17">
        <f>_xlfn.XLOOKUP($B334,'[1]Sep-25'!$A:$A,'[1]Sep-25'!$H:$H,0)</f>
        <v>0</v>
      </c>
      <c r="AA334" s="17">
        <f>_xlfn.XLOOKUP($B334,'[1]Oct-25'!$A:$A,'[1]Oct-25'!$H:$H,0)</f>
        <v>0</v>
      </c>
      <c r="AB334" s="17">
        <f>_xlfn.XLOOKUP($B334,'[1]Nov-25'!$A:$A,'[1]Nov-25'!$H:$H,0)</f>
        <v>0</v>
      </c>
      <c r="AC334" s="17">
        <f>_xlfn.XLOOKUP($B334,'[1]Dec-25'!$A:$A,'[1]Dec-25'!$H:$H,0)</f>
        <v>0</v>
      </c>
      <c r="AD334" s="17">
        <f>_xlfn.XLOOKUP($B334,'[1]Jan-26'!$A:$A,'[1]Jan-26'!$H:$H,0)</f>
        <v>0</v>
      </c>
      <c r="AE334" s="17">
        <f>_xlfn.XLOOKUP($B334,'[1]Feb-26'!$A:$A,'[1]Feb-26'!$H:$H,0)</f>
        <v>0</v>
      </c>
      <c r="AF334" s="17">
        <f>_xlfn.XLOOKUP($B334,'[1]Mar-26'!$A:$A,'[1]Mar-26'!$H:$H,0)</f>
        <v>0</v>
      </c>
      <c r="AG334" s="17">
        <f>_xlfn.XLOOKUP($B334,'[1]Apr-26'!$A:$A,'[1]Apr-26'!$H:$H,0)</f>
        <v>0</v>
      </c>
    </row>
    <row r="335" spans="1:33" x14ac:dyDescent="0.2">
      <c r="A335" s="58">
        <v>50010</v>
      </c>
      <c r="B335" s="56" t="str">
        <f t="shared" si="11"/>
        <v>50010</v>
      </c>
      <c r="C335" s="57" t="s">
        <v>517</v>
      </c>
      <c r="D335" s="57" t="s">
        <v>387</v>
      </c>
      <c r="E335" s="44" t="s">
        <v>520</v>
      </c>
      <c r="F335" s="17">
        <f>_xlfn.XLOOKUP($B335,'[1]Jan-24'!$A:$A,'[1]Jan-24'!$H:$H,0)</f>
        <v>0</v>
      </c>
      <c r="G335" s="17">
        <f>_xlfn.XLOOKUP($B335,'[1]Feb-24'!$A:$A,'[1]Feb-24'!$H:$H,0)</f>
        <v>0</v>
      </c>
      <c r="H335" s="17">
        <f>_xlfn.XLOOKUP($B335,'[1]Mar-24'!$A:$A,'[1]Mar-24'!$H:$H,0)</f>
        <v>0</v>
      </c>
      <c r="I335" s="17">
        <f>_xlfn.XLOOKUP($B335,'[1]Apr-24'!$A:$A,'[1]Apr-24'!$H:$H,0)</f>
        <v>0</v>
      </c>
      <c r="J335" s="17">
        <f>_xlfn.XLOOKUP($B335,'[1]May-24'!$A:$A,'[1]May-24'!$H:$H,0)</f>
        <v>0</v>
      </c>
      <c r="K335" s="17">
        <f>_xlfn.XLOOKUP($B335,'[1]Jun-24'!$A:$A,'[1]Jun-24'!$H:$H,0)</f>
        <v>0</v>
      </c>
      <c r="L335" s="17">
        <f>_xlfn.XLOOKUP($B335,'[1]Jul-24'!$A:$A,'[1]Jul-24'!$H:$H,0)</f>
        <v>0</v>
      </c>
      <c r="M335" s="17">
        <f>_xlfn.XLOOKUP($B335,'[1]Aug-24'!$A:$A,'[1]Aug-24'!$H:$H,0)</f>
        <v>0</v>
      </c>
      <c r="N335" s="17">
        <f>_xlfn.XLOOKUP($B335,'[1]Sep-24'!$A:$A,'[1]Sep-24'!$H:$H,0)</f>
        <v>0</v>
      </c>
      <c r="O335" s="17">
        <f>_xlfn.XLOOKUP($B335,'[1]Oct-24'!$A:$A,'[1]Oct-24'!$H:$H,0)</f>
        <v>0</v>
      </c>
      <c r="P335" s="17">
        <f>_xlfn.XLOOKUP($B335,'[1]Nov-24'!$A:$A,'[1]Nov-24'!$H:$H,0)</f>
        <v>0</v>
      </c>
      <c r="Q335" s="17">
        <f>_xlfn.XLOOKUP($B335,'[1]Dec-24'!$A:$A,'[1]Dec-24'!$H:$H,0)</f>
        <v>0</v>
      </c>
      <c r="R335" s="17">
        <f>_xlfn.XLOOKUP($B335,'[1]Jan-25'!$A:$A,'[1]Jan-25'!$H:$H,0)</f>
        <v>0</v>
      </c>
      <c r="S335" s="17">
        <f>_xlfn.XLOOKUP($B335,'[1]Feb-25'!$A:$A,'[1]Feb-25'!$H:$H,0)</f>
        <v>0</v>
      </c>
      <c r="T335" s="17">
        <f>_xlfn.XLOOKUP($B335,'[1]Mar-25'!$A:$A,'[1]Mar-25'!$H:$H,0)</f>
        <v>0</v>
      </c>
      <c r="U335" s="17">
        <f>_xlfn.XLOOKUP($B335,'[1]Apr-25'!$A:$A,'[1]Apr-25'!$H:$H,0)</f>
        <v>0</v>
      </c>
      <c r="V335" s="17">
        <f>_xlfn.XLOOKUP($B335,'[1]May-25'!$A:$A,'[1]May-25'!$H:$H,0)</f>
        <v>0</v>
      </c>
      <c r="W335" s="17">
        <f>_xlfn.XLOOKUP($B335,'[1]Jun-25'!$A:$A,'[1]Jun-25'!$H:$H,0)</f>
        <v>0</v>
      </c>
      <c r="X335" s="17">
        <f>_xlfn.XLOOKUP($B335,'[1]Jul-25'!$A:$A,'[1]Jul-25'!$H:$H,0)</f>
        <v>0</v>
      </c>
      <c r="Y335" s="17">
        <f>_xlfn.XLOOKUP($B335,'[1]Aug-25'!$A:$A,'[1]Aug-25'!$H:$H,0)</f>
        <v>0</v>
      </c>
      <c r="Z335" s="17">
        <f>_xlfn.XLOOKUP($B335,'[1]Sep-25'!$A:$A,'[1]Sep-25'!$H:$H,0)</f>
        <v>0</v>
      </c>
      <c r="AA335" s="17">
        <f>_xlfn.XLOOKUP($B335,'[1]Oct-25'!$A:$A,'[1]Oct-25'!$H:$H,0)</f>
        <v>0</v>
      </c>
      <c r="AB335" s="17">
        <f>_xlfn.XLOOKUP($B335,'[1]Nov-25'!$A:$A,'[1]Nov-25'!$H:$H,0)</f>
        <v>0</v>
      </c>
      <c r="AC335" s="17">
        <f>_xlfn.XLOOKUP($B335,'[1]Dec-25'!$A:$A,'[1]Dec-25'!$H:$H,0)</f>
        <v>0</v>
      </c>
      <c r="AD335" s="17">
        <f>_xlfn.XLOOKUP($B335,'[1]Jan-26'!$A:$A,'[1]Jan-26'!$H:$H,0)</f>
        <v>0</v>
      </c>
      <c r="AE335" s="17">
        <f>_xlfn.XLOOKUP($B335,'[1]Feb-26'!$A:$A,'[1]Feb-26'!$H:$H,0)</f>
        <v>0</v>
      </c>
      <c r="AF335" s="17">
        <f>_xlfn.XLOOKUP($B335,'[1]Mar-26'!$A:$A,'[1]Mar-26'!$H:$H,0)</f>
        <v>0</v>
      </c>
      <c r="AG335" s="17">
        <f>_xlfn.XLOOKUP($B335,'[1]Apr-26'!$A:$A,'[1]Apr-26'!$H:$H,0)</f>
        <v>0</v>
      </c>
    </row>
    <row r="336" spans="1:33" x14ac:dyDescent="0.2">
      <c r="A336" s="58">
        <v>50015</v>
      </c>
      <c r="B336" s="56" t="str">
        <f t="shared" si="11"/>
        <v>50015</v>
      </c>
      <c r="C336" s="57" t="s">
        <v>517</v>
      </c>
      <c r="D336" s="57" t="s">
        <v>387</v>
      </c>
      <c r="E336" s="44" t="s">
        <v>521</v>
      </c>
      <c r="F336" s="17">
        <f>_xlfn.XLOOKUP($B336,'[1]Jan-24'!$A:$A,'[1]Jan-24'!$H:$H,0)</f>
        <v>0</v>
      </c>
      <c r="G336" s="17">
        <f>_xlfn.XLOOKUP($B336,'[1]Feb-24'!$A:$A,'[1]Feb-24'!$H:$H,0)</f>
        <v>0</v>
      </c>
      <c r="H336" s="17">
        <f>_xlfn.XLOOKUP($B336,'[1]Mar-24'!$A:$A,'[1]Mar-24'!$H:$H,0)</f>
        <v>0</v>
      </c>
      <c r="I336" s="17">
        <f>_xlfn.XLOOKUP($B336,'[1]Apr-24'!$A:$A,'[1]Apr-24'!$H:$H,0)</f>
        <v>0</v>
      </c>
      <c r="J336" s="17">
        <f>_xlfn.XLOOKUP($B336,'[1]May-24'!$A:$A,'[1]May-24'!$H:$H,0)</f>
        <v>0</v>
      </c>
      <c r="K336" s="17">
        <f>_xlfn.XLOOKUP($B336,'[1]Jun-24'!$A:$A,'[1]Jun-24'!$H:$H,0)</f>
        <v>0</v>
      </c>
      <c r="L336" s="17">
        <f>_xlfn.XLOOKUP($B336,'[1]Jul-24'!$A:$A,'[1]Jul-24'!$H:$H,0)</f>
        <v>0</v>
      </c>
      <c r="M336" s="17">
        <f>_xlfn.XLOOKUP($B336,'[1]Aug-24'!$A:$A,'[1]Aug-24'!$H:$H,0)</f>
        <v>0</v>
      </c>
      <c r="N336" s="17">
        <f>_xlfn.XLOOKUP($B336,'[1]Sep-24'!$A:$A,'[1]Sep-24'!$H:$H,0)</f>
        <v>0</v>
      </c>
      <c r="O336" s="17">
        <f>_xlfn.XLOOKUP($B336,'[1]Oct-24'!$A:$A,'[1]Oct-24'!$H:$H,0)</f>
        <v>0</v>
      </c>
      <c r="P336" s="17">
        <f>_xlfn.XLOOKUP($B336,'[1]Nov-24'!$A:$A,'[1]Nov-24'!$H:$H,0)</f>
        <v>0</v>
      </c>
      <c r="Q336" s="17">
        <f>_xlfn.XLOOKUP($B336,'[1]Dec-24'!$A:$A,'[1]Dec-24'!$H:$H,0)</f>
        <v>0</v>
      </c>
      <c r="R336" s="17">
        <f>_xlfn.XLOOKUP($B336,'[1]Jan-25'!$A:$A,'[1]Jan-25'!$H:$H,0)</f>
        <v>0</v>
      </c>
      <c r="S336" s="17">
        <f>_xlfn.XLOOKUP($B336,'[1]Feb-25'!$A:$A,'[1]Feb-25'!$H:$H,0)</f>
        <v>0</v>
      </c>
      <c r="T336" s="17">
        <f>_xlfn.XLOOKUP($B336,'[1]Mar-25'!$A:$A,'[1]Mar-25'!$H:$H,0)</f>
        <v>0</v>
      </c>
      <c r="U336" s="17">
        <f>_xlfn.XLOOKUP($B336,'[1]Apr-25'!$A:$A,'[1]Apr-25'!$H:$H,0)</f>
        <v>0</v>
      </c>
      <c r="V336" s="17">
        <f>_xlfn.XLOOKUP($B336,'[1]May-25'!$A:$A,'[1]May-25'!$H:$H,0)</f>
        <v>0</v>
      </c>
      <c r="W336" s="17">
        <f>_xlfn.XLOOKUP($B336,'[1]Jun-25'!$A:$A,'[1]Jun-25'!$H:$H,0)</f>
        <v>0</v>
      </c>
      <c r="X336" s="17">
        <f>_xlfn.XLOOKUP($B336,'[1]Jul-25'!$A:$A,'[1]Jul-25'!$H:$H,0)</f>
        <v>0</v>
      </c>
      <c r="Y336" s="17">
        <f>_xlfn.XLOOKUP($B336,'[1]Aug-25'!$A:$A,'[1]Aug-25'!$H:$H,0)</f>
        <v>0</v>
      </c>
      <c r="Z336" s="17">
        <f>_xlfn.XLOOKUP($B336,'[1]Sep-25'!$A:$A,'[1]Sep-25'!$H:$H,0)</f>
        <v>0</v>
      </c>
      <c r="AA336" s="17">
        <f>_xlfn.XLOOKUP($B336,'[1]Oct-25'!$A:$A,'[1]Oct-25'!$H:$H,0)</f>
        <v>0</v>
      </c>
      <c r="AB336" s="17">
        <f>_xlfn.XLOOKUP($B336,'[1]Nov-25'!$A:$A,'[1]Nov-25'!$H:$H,0)</f>
        <v>0</v>
      </c>
      <c r="AC336" s="17">
        <f>_xlfn.XLOOKUP($B336,'[1]Dec-25'!$A:$A,'[1]Dec-25'!$H:$H,0)</f>
        <v>0</v>
      </c>
      <c r="AD336" s="17">
        <f>_xlfn.XLOOKUP($B336,'[1]Jan-26'!$A:$A,'[1]Jan-26'!$H:$H,0)</f>
        <v>0</v>
      </c>
      <c r="AE336" s="17">
        <f>_xlfn.XLOOKUP($B336,'[1]Feb-26'!$A:$A,'[1]Feb-26'!$H:$H,0)</f>
        <v>0</v>
      </c>
      <c r="AF336" s="17">
        <f>_xlfn.XLOOKUP($B336,'[1]Mar-26'!$A:$A,'[1]Mar-26'!$H:$H,0)</f>
        <v>0</v>
      </c>
      <c r="AG336" s="17">
        <f>_xlfn.XLOOKUP($B336,'[1]Apr-26'!$A:$A,'[1]Apr-26'!$H:$H,0)</f>
        <v>0</v>
      </c>
    </row>
    <row r="337" spans="1:33" x14ac:dyDescent="0.2">
      <c r="A337" s="58">
        <v>51000</v>
      </c>
      <c r="B337" s="56" t="str">
        <f t="shared" si="11"/>
        <v>51000</v>
      </c>
      <c r="C337" s="57" t="s">
        <v>517</v>
      </c>
      <c r="D337" s="57" t="s">
        <v>387</v>
      </c>
      <c r="E337" s="44" t="s">
        <v>522</v>
      </c>
      <c r="F337" s="17">
        <f>_xlfn.XLOOKUP($B337,'[1]Jan-24'!$A:$A,'[1]Jan-24'!$H:$H,0)</f>
        <v>0</v>
      </c>
      <c r="G337" s="17">
        <f>_xlfn.XLOOKUP($B337,'[1]Feb-24'!$A:$A,'[1]Feb-24'!$H:$H,0)</f>
        <v>0</v>
      </c>
      <c r="H337" s="17">
        <f>_xlfn.XLOOKUP($B337,'[1]Mar-24'!$A:$A,'[1]Mar-24'!$H:$H,0)</f>
        <v>0</v>
      </c>
      <c r="I337" s="17">
        <f>_xlfn.XLOOKUP($B337,'[1]Apr-24'!$A:$A,'[1]Apr-24'!$H:$H,0)</f>
        <v>0</v>
      </c>
      <c r="J337" s="17">
        <f>_xlfn.XLOOKUP($B337,'[1]May-24'!$A:$A,'[1]May-24'!$H:$H,0)</f>
        <v>0</v>
      </c>
      <c r="K337" s="17">
        <f>_xlfn.XLOOKUP($B337,'[1]Jun-24'!$A:$A,'[1]Jun-24'!$H:$H,0)</f>
        <v>0</v>
      </c>
      <c r="L337" s="17">
        <f>_xlfn.XLOOKUP($B337,'[1]Jul-24'!$A:$A,'[1]Jul-24'!$H:$H,0)</f>
        <v>0</v>
      </c>
      <c r="M337" s="17">
        <f>_xlfn.XLOOKUP($B337,'[1]Aug-24'!$A:$A,'[1]Aug-24'!$H:$H,0)</f>
        <v>0</v>
      </c>
      <c r="N337" s="17">
        <f>_xlfn.XLOOKUP($B337,'[1]Sep-24'!$A:$A,'[1]Sep-24'!$H:$H,0)</f>
        <v>0</v>
      </c>
      <c r="O337" s="17">
        <f>_xlfn.XLOOKUP($B337,'[1]Oct-24'!$A:$A,'[1]Oct-24'!$H:$H,0)</f>
        <v>0</v>
      </c>
      <c r="P337" s="17">
        <f>_xlfn.XLOOKUP($B337,'[1]Nov-24'!$A:$A,'[1]Nov-24'!$H:$H,0)</f>
        <v>0</v>
      </c>
      <c r="Q337" s="17">
        <f>_xlfn.XLOOKUP($B337,'[1]Dec-24'!$A:$A,'[1]Dec-24'!$H:$H,0)</f>
        <v>0</v>
      </c>
      <c r="R337" s="17">
        <f>_xlfn.XLOOKUP($B337,'[1]Jan-25'!$A:$A,'[1]Jan-25'!$H:$H,0)</f>
        <v>0</v>
      </c>
      <c r="S337" s="17">
        <f>_xlfn.XLOOKUP($B337,'[1]Feb-25'!$A:$A,'[1]Feb-25'!$H:$H,0)</f>
        <v>0</v>
      </c>
      <c r="T337" s="17">
        <f>_xlfn.XLOOKUP($B337,'[1]Mar-25'!$A:$A,'[1]Mar-25'!$H:$H,0)</f>
        <v>0</v>
      </c>
      <c r="U337" s="17">
        <f>_xlfn.XLOOKUP($B337,'[1]Apr-25'!$A:$A,'[1]Apr-25'!$H:$H,0)</f>
        <v>0</v>
      </c>
      <c r="V337" s="17">
        <f>_xlfn.XLOOKUP($B337,'[1]May-25'!$A:$A,'[1]May-25'!$H:$H,0)</f>
        <v>0</v>
      </c>
      <c r="W337" s="17">
        <f>_xlfn.XLOOKUP($B337,'[1]Jun-25'!$A:$A,'[1]Jun-25'!$H:$H,0)</f>
        <v>0</v>
      </c>
      <c r="X337" s="17">
        <f>_xlfn.XLOOKUP($B337,'[1]Jul-25'!$A:$A,'[1]Jul-25'!$H:$H,0)</f>
        <v>0</v>
      </c>
      <c r="Y337" s="17">
        <f>_xlfn.XLOOKUP($B337,'[1]Aug-25'!$A:$A,'[1]Aug-25'!$H:$H,0)</f>
        <v>0</v>
      </c>
      <c r="Z337" s="17">
        <f>_xlfn.XLOOKUP($B337,'[1]Sep-25'!$A:$A,'[1]Sep-25'!$H:$H,0)</f>
        <v>0</v>
      </c>
      <c r="AA337" s="17">
        <f>_xlfn.XLOOKUP($B337,'[1]Oct-25'!$A:$A,'[1]Oct-25'!$H:$H,0)</f>
        <v>0</v>
      </c>
      <c r="AB337" s="17">
        <f>_xlfn.XLOOKUP($B337,'[1]Nov-25'!$A:$A,'[1]Nov-25'!$H:$H,0)</f>
        <v>0</v>
      </c>
      <c r="AC337" s="17">
        <f>_xlfn.XLOOKUP($B337,'[1]Dec-25'!$A:$A,'[1]Dec-25'!$H:$H,0)</f>
        <v>0</v>
      </c>
      <c r="AD337" s="17">
        <f>_xlfn.XLOOKUP($B337,'[1]Jan-26'!$A:$A,'[1]Jan-26'!$H:$H,0)</f>
        <v>0</v>
      </c>
      <c r="AE337" s="17">
        <f>_xlfn.XLOOKUP($B337,'[1]Feb-26'!$A:$A,'[1]Feb-26'!$H:$H,0)</f>
        <v>0</v>
      </c>
      <c r="AF337" s="17">
        <f>_xlfn.XLOOKUP($B337,'[1]Mar-26'!$A:$A,'[1]Mar-26'!$H:$H,0)</f>
        <v>0</v>
      </c>
      <c r="AG337" s="17">
        <f>_xlfn.XLOOKUP($B337,'[1]Apr-26'!$A:$A,'[1]Apr-26'!$H:$H,0)</f>
        <v>0</v>
      </c>
    </row>
    <row r="338" spans="1:33" x14ac:dyDescent="0.2">
      <c r="A338" s="58">
        <v>51200</v>
      </c>
      <c r="B338" s="56" t="str">
        <f t="shared" si="11"/>
        <v>51200</v>
      </c>
      <c r="C338" s="57" t="s">
        <v>517</v>
      </c>
      <c r="D338" s="57" t="s">
        <v>387</v>
      </c>
      <c r="E338" s="44" t="s">
        <v>523</v>
      </c>
      <c r="F338" s="17">
        <f>_xlfn.XLOOKUP($B338,'[1]Jan-24'!$A:$A,'[1]Jan-24'!$H:$H,0)</f>
        <v>0</v>
      </c>
      <c r="G338" s="17">
        <f>_xlfn.XLOOKUP($B338,'[1]Feb-24'!$A:$A,'[1]Feb-24'!$H:$H,0)</f>
        <v>0</v>
      </c>
      <c r="H338" s="17">
        <f>_xlfn.XLOOKUP($B338,'[1]Mar-24'!$A:$A,'[1]Mar-24'!$H:$H,0)</f>
        <v>0</v>
      </c>
      <c r="I338" s="17">
        <f>_xlfn.XLOOKUP($B338,'[1]Apr-24'!$A:$A,'[1]Apr-24'!$H:$H,0)</f>
        <v>0</v>
      </c>
      <c r="J338" s="17">
        <f>_xlfn.XLOOKUP($B338,'[1]May-24'!$A:$A,'[1]May-24'!$H:$H,0)</f>
        <v>0</v>
      </c>
      <c r="K338" s="17">
        <f>_xlfn.XLOOKUP($B338,'[1]Jun-24'!$A:$A,'[1]Jun-24'!$H:$H,0)</f>
        <v>0</v>
      </c>
      <c r="L338" s="17">
        <f>_xlfn.XLOOKUP($B338,'[1]Jul-24'!$A:$A,'[1]Jul-24'!$H:$H,0)</f>
        <v>0</v>
      </c>
      <c r="M338" s="17">
        <f>_xlfn.XLOOKUP($B338,'[1]Aug-24'!$A:$A,'[1]Aug-24'!$H:$H,0)</f>
        <v>0</v>
      </c>
      <c r="N338" s="17">
        <f>_xlfn.XLOOKUP($B338,'[1]Sep-24'!$A:$A,'[1]Sep-24'!$H:$H,0)</f>
        <v>0</v>
      </c>
      <c r="O338" s="17">
        <f>_xlfn.XLOOKUP($B338,'[1]Oct-24'!$A:$A,'[1]Oct-24'!$H:$H,0)</f>
        <v>0</v>
      </c>
      <c r="P338" s="17">
        <f>_xlfn.XLOOKUP($B338,'[1]Nov-24'!$A:$A,'[1]Nov-24'!$H:$H,0)</f>
        <v>0</v>
      </c>
      <c r="Q338" s="17">
        <f>_xlfn.XLOOKUP($B338,'[1]Dec-24'!$A:$A,'[1]Dec-24'!$H:$H,0)</f>
        <v>0</v>
      </c>
      <c r="R338" s="17">
        <f>_xlfn.XLOOKUP($B338,'[1]Jan-25'!$A:$A,'[1]Jan-25'!$H:$H,0)</f>
        <v>0</v>
      </c>
      <c r="S338" s="17">
        <f>_xlfn.XLOOKUP($B338,'[1]Feb-25'!$A:$A,'[1]Feb-25'!$H:$H,0)</f>
        <v>0</v>
      </c>
      <c r="T338" s="17">
        <f>_xlfn.XLOOKUP($B338,'[1]Mar-25'!$A:$A,'[1]Mar-25'!$H:$H,0)</f>
        <v>0</v>
      </c>
      <c r="U338" s="17">
        <f>_xlfn.XLOOKUP($B338,'[1]Apr-25'!$A:$A,'[1]Apr-25'!$H:$H,0)</f>
        <v>0</v>
      </c>
      <c r="V338" s="17">
        <f>_xlfn.XLOOKUP($B338,'[1]May-25'!$A:$A,'[1]May-25'!$H:$H,0)</f>
        <v>0</v>
      </c>
      <c r="W338" s="17">
        <f>_xlfn.XLOOKUP($B338,'[1]Jun-25'!$A:$A,'[1]Jun-25'!$H:$H,0)</f>
        <v>0</v>
      </c>
      <c r="X338" s="17">
        <f>_xlfn.XLOOKUP($B338,'[1]Jul-25'!$A:$A,'[1]Jul-25'!$H:$H,0)</f>
        <v>0</v>
      </c>
      <c r="Y338" s="17">
        <f>_xlfn.XLOOKUP($B338,'[1]Aug-25'!$A:$A,'[1]Aug-25'!$H:$H,0)</f>
        <v>0</v>
      </c>
      <c r="Z338" s="17">
        <f>_xlfn.XLOOKUP($B338,'[1]Sep-25'!$A:$A,'[1]Sep-25'!$H:$H,0)</f>
        <v>0</v>
      </c>
      <c r="AA338" s="17">
        <f>_xlfn.XLOOKUP($B338,'[1]Oct-25'!$A:$A,'[1]Oct-25'!$H:$H,0)</f>
        <v>0</v>
      </c>
      <c r="AB338" s="17">
        <f>_xlfn.XLOOKUP($B338,'[1]Nov-25'!$A:$A,'[1]Nov-25'!$H:$H,0)</f>
        <v>0</v>
      </c>
      <c r="AC338" s="17">
        <f>_xlfn.XLOOKUP($B338,'[1]Dec-25'!$A:$A,'[1]Dec-25'!$H:$H,0)</f>
        <v>0</v>
      </c>
      <c r="AD338" s="17">
        <f>_xlfn.XLOOKUP($B338,'[1]Jan-26'!$A:$A,'[1]Jan-26'!$H:$H,0)</f>
        <v>0</v>
      </c>
      <c r="AE338" s="17">
        <f>_xlfn.XLOOKUP($B338,'[1]Feb-26'!$A:$A,'[1]Feb-26'!$H:$H,0)</f>
        <v>0</v>
      </c>
      <c r="AF338" s="17">
        <f>_xlfn.XLOOKUP($B338,'[1]Mar-26'!$A:$A,'[1]Mar-26'!$H:$H,0)</f>
        <v>0</v>
      </c>
      <c r="AG338" s="17">
        <f>_xlfn.XLOOKUP($B338,'[1]Apr-26'!$A:$A,'[1]Apr-26'!$H:$H,0)</f>
        <v>0</v>
      </c>
    </row>
    <row r="339" spans="1:33" x14ac:dyDescent="0.2">
      <c r="A339" s="58">
        <v>51300</v>
      </c>
      <c r="B339" s="56" t="str">
        <f t="shared" si="11"/>
        <v>51300</v>
      </c>
      <c r="C339" s="57" t="s">
        <v>517</v>
      </c>
      <c r="D339" s="57" t="s">
        <v>387</v>
      </c>
      <c r="E339" s="44" t="s">
        <v>524</v>
      </c>
      <c r="F339" s="17">
        <f>_xlfn.XLOOKUP($B339,'[1]Jan-24'!$A:$A,'[1]Jan-24'!$H:$H,0)</f>
        <v>0</v>
      </c>
      <c r="G339" s="17">
        <f>_xlfn.XLOOKUP($B339,'[1]Feb-24'!$A:$A,'[1]Feb-24'!$H:$H,0)</f>
        <v>0</v>
      </c>
      <c r="H339" s="17">
        <f>_xlfn.XLOOKUP($B339,'[1]Mar-24'!$A:$A,'[1]Mar-24'!$H:$H,0)</f>
        <v>0</v>
      </c>
      <c r="I339" s="17">
        <f>_xlfn.XLOOKUP($B339,'[1]Apr-24'!$A:$A,'[1]Apr-24'!$H:$H,0)</f>
        <v>0</v>
      </c>
      <c r="J339" s="17">
        <f>_xlfn.XLOOKUP($B339,'[1]May-24'!$A:$A,'[1]May-24'!$H:$H,0)</f>
        <v>0</v>
      </c>
      <c r="K339" s="17">
        <f>_xlfn.XLOOKUP($B339,'[1]Jun-24'!$A:$A,'[1]Jun-24'!$H:$H,0)</f>
        <v>0</v>
      </c>
      <c r="L339" s="17">
        <f>_xlfn.XLOOKUP($B339,'[1]Jul-24'!$A:$A,'[1]Jul-24'!$H:$H,0)</f>
        <v>0</v>
      </c>
      <c r="M339" s="17">
        <f>_xlfn.XLOOKUP($B339,'[1]Aug-24'!$A:$A,'[1]Aug-24'!$H:$H,0)</f>
        <v>0</v>
      </c>
      <c r="N339" s="17">
        <f>_xlfn.XLOOKUP($B339,'[1]Sep-24'!$A:$A,'[1]Sep-24'!$H:$H,0)</f>
        <v>0</v>
      </c>
      <c r="O339" s="17">
        <f>_xlfn.XLOOKUP($B339,'[1]Oct-24'!$A:$A,'[1]Oct-24'!$H:$H,0)</f>
        <v>0</v>
      </c>
      <c r="P339" s="17">
        <f>_xlfn.XLOOKUP($B339,'[1]Nov-24'!$A:$A,'[1]Nov-24'!$H:$H,0)</f>
        <v>0</v>
      </c>
      <c r="Q339" s="17">
        <f>_xlfn.XLOOKUP($B339,'[1]Dec-24'!$A:$A,'[1]Dec-24'!$H:$H,0)</f>
        <v>0</v>
      </c>
      <c r="R339" s="17">
        <f>_xlfn.XLOOKUP($B339,'[1]Jan-25'!$A:$A,'[1]Jan-25'!$H:$H,0)</f>
        <v>0</v>
      </c>
      <c r="S339" s="17">
        <f>_xlfn.XLOOKUP($B339,'[1]Feb-25'!$A:$A,'[1]Feb-25'!$H:$H,0)</f>
        <v>0</v>
      </c>
      <c r="T339" s="17">
        <f>_xlfn.XLOOKUP($B339,'[1]Mar-25'!$A:$A,'[1]Mar-25'!$H:$H,0)</f>
        <v>0</v>
      </c>
      <c r="U339" s="17">
        <f>_xlfn.XLOOKUP($B339,'[1]Apr-25'!$A:$A,'[1]Apr-25'!$H:$H,0)</f>
        <v>0</v>
      </c>
      <c r="V339" s="17">
        <f>_xlfn.XLOOKUP($B339,'[1]May-25'!$A:$A,'[1]May-25'!$H:$H,0)</f>
        <v>0</v>
      </c>
      <c r="W339" s="17">
        <f>_xlfn.XLOOKUP($B339,'[1]Jun-25'!$A:$A,'[1]Jun-25'!$H:$H,0)</f>
        <v>0</v>
      </c>
      <c r="X339" s="17">
        <f>_xlfn.XLOOKUP($B339,'[1]Jul-25'!$A:$A,'[1]Jul-25'!$H:$H,0)</f>
        <v>0</v>
      </c>
      <c r="Y339" s="17">
        <f>_xlfn.XLOOKUP($B339,'[1]Aug-25'!$A:$A,'[1]Aug-25'!$H:$H,0)</f>
        <v>0</v>
      </c>
      <c r="Z339" s="17">
        <f>_xlfn.XLOOKUP($B339,'[1]Sep-25'!$A:$A,'[1]Sep-25'!$H:$H,0)</f>
        <v>0</v>
      </c>
      <c r="AA339" s="17">
        <f>_xlfn.XLOOKUP($B339,'[1]Oct-25'!$A:$A,'[1]Oct-25'!$H:$H,0)</f>
        <v>0</v>
      </c>
      <c r="AB339" s="17">
        <f>_xlfn.XLOOKUP($B339,'[1]Nov-25'!$A:$A,'[1]Nov-25'!$H:$H,0)</f>
        <v>0</v>
      </c>
      <c r="AC339" s="17">
        <f>_xlfn.XLOOKUP($B339,'[1]Dec-25'!$A:$A,'[1]Dec-25'!$H:$H,0)</f>
        <v>0</v>
      </c>
      <c r="AD339" s="17">
        <f>_xlfn.XLOOKUP($B339,'[1]Jan-26'!$A:$A,'[1]Jan-26'!$H:$H,0)</f>
        <v>0</v>
      </c>
      <c r="AE339" s="17">
        <f>_xlfn.XLOOKUP($B339,'[1]Feb-26'!$A:$A,'[1]Feb-26'!$H:$H,0)</f>
        <v>0</v>
      </c>
      <c r="AF339" s="17">
        <f>_xlfn.XLOOKUP($B339,'[1]Mar-26'!$A:$A,'[1]Mar-26'!$H:$H,0)</f>
        <v>0</v>
      </c>
      <c r="AG339" s="17">
        <f>_xlfn.XLOOKUP($B339,'[1]Apr-26'!$A:$A,'[1]Apr-26'!$H:$H,0)</f>
        <v>0</v>
      </c>
    </row>
    <row r="340" spans="1:33" x14ac:dyDescent="0.2">
      <c r="A340" s="58">
        <v>51400</v>
      </c>
      <c r="B340" s="56" t="str">
        <f t="shared" si="11"/>
        <v>51400</v>
      </c>
      <c r="C340" s="57" t="s">
        <v>517</v>
      </c>
      <c r="D340" s="57" t="s">
        <v>387</v>
      </c>
      <c r="E340" s="44" t="s">
        <v>525</v>
      </c>
      <c r="F340" s="17">
        <f>_xlfn.XLOOKUP($B340,'[1]Jan-24'!$A:$A,'[1]Jan-24'!$H:$H,0)</f>
        <v>0</v>
      </c>
      <c r="G340" s="17">
        <f>_xlfn.XLOOKUP($B340,'[1]Feb-24'!$A:$A,'[1]Feb-24'!$H:$H,0)</f>
        <v>0</v>
      </c>
      <c r="H340" s="17">
        <f>_xlfn.XLOOKUP($B340,'[1]Mar-24'!$A:$A,'[1]Mar-24'!$H:$H,0)</f>
        <v>0</v>
      </c>
      <c r="I340" s="17">
        <f>_xlfn.XLOOKUP($B340,'[1]Apr-24'!$A:$A,'[1]Apr-24'!$H:$H,0)</f>
        <v>0</v>
      </c>
      <c r="J340" s="17">
        <f>_xlfn.XLOOKUP($B340,'[1]May-24'!$A:$A,'[1]May-24'!$H:$H,0)</f>
        <v>0</v>
      </c>
      <c r="K340" s="17">
        <f>_xlfn.XLOOKUP($B340,'[1]Jun-24'!$A:$A,'[1]Jun-24'!$H:$H,0)</f>
        <v>0</v>
      </c>
      <c r="L340" s="17">
        <f>_xlfn.XLOOKUP($B340,'[1]Jul-24'!$A:$A,'[1]Jul-24'!$H:$H,0)</f>
        <v>0</v>
      </c>
      <c r="M340" s="17">
        <f>_xlfn.XLOOKUP($B340,'[1]Aug-24'!$A:$A,'[1]Aug-24'!$H:$H,0)</f>
        <v>0</v>
      </c>
      <c r="N340" s="17">
        <f>_xlfn.XLOOKUP($B340,'[1]Sep-24'!$A:$A,'[1]Sep-24'!$H:$H,0)</f>
        <v>0</v>
      </c>
      <c r="O340" s="17">
        <f>_xlfn.XLOOKUP($B340,'[1]Oct-24'!$A:$A,'[1]Oct-24'!$H:$H,0)</f>
        <v>0</v>
      </c>
      <c r="P340" s="17">
        <f>_xlfn.XLOOKUP($B340,'[1]Nov-24'!$A:$A,'[1]Nov-24'!$H:$H,0)</f>
        <v>0</v>
      </c>
      <c r="Q340" s="17">
        <f>_xlfn.XLOOKUP($B340,'[1]Dec-24'!$A:$A,'[1]Dec-24'!$H:$H,0)</f>
        <v>0</v>
      </c>
      <c r="R340" s="17">
        <f>_xlfn.XLOOKUP($B340,'[1]Jan-25'!$A:$A,'[1]Jan-25'!$H:$H,0)</f>
        <v>0</v>
      </c>
      <c r="S340" s="17">
        <f>_xlfn.XLOOKUP($B340,'[1]Feb-25'!$A:$A,'[1]Feb-25'!$H:$H,0)</f>
        <v>0</v>
      </c>
      <c r="T340" s="17">
        <f>_xlfn.XLOOKUP($B340,'[1]Mar-25'!$A:$A,'[1]Mar-25'!$H:$H,0)</f>
        <v>0</v>
      </c>
      <c r="U340" s="17">
        <f>_xlfn.XLOOKUP($B340,'[1]Apr-25'!$A:$A,'[1]Apr-25'!$H:$H,0)</f>
        <v>0</v>
      </c>
      <c r="V340" s="17">
        <f>_xlfn.XLOOKUP($B340,'[1]May-25'!$A:$A,'[1]May-25'!$H:$H,0)</f>
        <v>0</v>
      </c>
      <c r="W340" s="17">
        <f>_xlfn.XLOOKUP($B340,'[1]Jun-25'!$A:$A,'[1]Jun-25'!$H:$H,0)</f>
        <v>0</v>
      </c>
      <c r="X340" s="17">
        <f>_xlfn.XLOOKUP($B340,'[1]Jul-25'!$A:$A,'[1]Jul-25'!$H:$H,0)</f>
        <v>0</v>
      </c>
      <c r="Y340" s="17">
        <f>_xlfn.XLOOKUP($B340,'[1]Aug-25'!$A:$A,'[1]Aug-25'!$H:$H,0)</f>
        <v>0</v>
      </c>
      <c r="Z340" s="17">
        <f>_xlfn.XLOOKUP($B340,'[1]Sep-25'!$A:$A,'[1]Sep-25'!$H:$H,0)</f>
        <v>0</v>
      </c>
      <c r="AA340" s="17">
        <f>_xlfn.XLOOKUP($B340,'[1]Oct-25'!$A:$A,'[1]Oct-25'!$H:$H,0)</f>
        <v>0</v>
      </c>
      <c r="AB340" s="17">
        <f>_xlfn.XLOOKUP($B340,'[1]Nov-25'!$A:$A,'[1]Nov-25'!$H:$H,0)</f>
        <v>0</v>
      </c>
      <c r="AC340" s="17">
        <f>_xlfn.XLOOKUP($B340,'[1]Dec-25'!$A:$A,'[1]Dec-25'!$H:$H,0)</f>
        <v>0</v>
      </c>
      <c r="AD340" s="17">
        <f>_xlfn.XLOOKUP($B340,'[1]Jan-26'!$A:$A,'[1]Jan-26'!$H:$H,0)</f>
        <v>0</v>
      </c>
      <c r="AE340" s="17">
        <f>_xlfn.XLOOKUP($B340,'[1]Feb-26'!$A:$A,'[1]Feb-26'!$H:$H,0)</f>
        <v>0</v>
      </c>
      <c r="AF340" s="17">
        <f>_xlfn.XLOOKUP($B340,'[1]Mar-26'!$A:$A,'[1]Mar-26'!$H:$H,0)</f>
        <v>0</v>
      </c>
      <c r="AG340" s="17">
        <f>_xlfn.XLOOKUP($B340,'[1]Apr-26'!$A:$A,'[1]Apr-26'!$H:$H,0)</f>
        <v>0</v>
      </c>
    </row>
    <row r="341" spans="1:33" x14ac:dyDescent="0.2">
      <c r="A341" s="58">
        <v>52000</v>
      </c>
      <c r="B341" s="56" t="str">
        <f t="shared" si="11"/>
        <v>52000</v>
      </c>
      <c r="C341" s="57" t="s">
        <v>517</v>
      </c>
      <c r="D341" s="57" t="s">
        <v>387</v>
      </c>
      <c r="E341" s="44" t="s">
        <v>526</v>
      </c>
      <c r="F341" s="17">
        <f>_xlfn.XLOOKUP($B341,'[1]Jan-24'!$A:$A,'[1]Jan-24'!$H:$H,0)</f>
        <v>0</v>
      </c>
      <c r="G341" s="17">
        <f>_xlfn.XLOOKUP($B341,'[1]Feb-24'!$A:$A,'[1]Feb-24'!$H:$H,0)</f>
        <v>0</v>
      </c>
      <c r="H341" s="17">
        <f>_xlfn.XLOOKUP($B341,'[1]Mar-24'!$A:$A,'[1]Mar-24'!$H:$H,0)</f>
        <v>0</v>
      </c>
      <c r="I341" s="17">
        <f>_xlfn.XLOOKUP($B341,'[1]Apr-24'!$A:$A,'[1]Apr-24'!$H:$H,0)</f>
        <v>0</v>
      </c>
      <c r="J341" s="17">
        <f>_xlfn.XLOOKUP($B341,'[1]May-24'!$A:$A,'[1]May-24'!$H:$H,0)</f>
        <v>0</v>
      </c>
      <c r="K341" s="17">
        <f>_xlfn.XLOOKUP($B341,'[1]Jun-24'!$A:$A,'[1]Jun-24'!$H:$H,0)</f>
        <v>0</v>
      </c>
      <c r="L341" s="17">
        <f>_xlfn.XLOOKUP($B341,'[1]Jul-24'!$A:$A,'[1]Jul-24'!$H:$H,0)</f>
        <v>0</v>
      </c>
      <c r="M341" s="17">
        <f>_xlfn.XLOOKUP($B341,'[1]Aug-24'!$A:$A,'[1]Aug-24'!$H:$H,0)</f>
        <v>0</v>
      </c>
      <c r="N341" s="17">
        <f>_xlfn.XLOOKUP($B341,'[1]Sep-24'!$A:$A,'[1]Sep-24'!$H:$H,0)</f>
        <v>0</v>
      </c>
      <c r="O341" s="17">
        <f>_xlfn.XLOOKUP($B341,'[1]Oct-24'!$A:$A,'[1]Oct-24'!$H:$H,0)</f>
        <v>0</v>
      </c>
      <c r="P341" s="17">
        <f>_xlfn.XLOOKUP($B341,'[1]Nov-24'!$A:$A,'[1]Nov-24'!$H:$H,0)</f>
        <v>0</v>
      </c>
      <c r="Q341" s="17">
        <f>_xlfn.XLOOKUP($B341,'[1]Dec-24'!$A:$A,'[1]Dec-24'!$H:$H,0)</f>
        <v>0</v>
      </c>
      <c r="R341" s="17">
        <f>_xlfn.XLOOKUP($B341,'[1]Jan-25'!$A:$A,'[1]Jan-25'!$H:$H,0)</f>
        <v>0</v>
      </c>
      <c r="S341" s="17">
        <f>_xlfn.XLOOKUP($B341,'[1]Feb-25'!$A:$A,'[1]Feb-25'!$H:$H,0)</f>
        <v>0</v>
      </c>
      <c r="T341" s="17">
        <f>_xlfn.XLOOKUP($B341,'[1]Mar-25'!$A:$A,'[1]Mar-25'!$H:$H,0)</f>
        <v>0</v>
      </c>
      <c r="U341" s="17">
        <f>_xlfn.XLOOKUP($B341,'[1]Apr-25'!$A:$A,'[1]Apr-25'!$H:$H,0)</f>
        <v>0</v>
      </c>
      <c r="V341" s="17">
        <f>_xlfn.XLOOKUP($B341,'[1]May-25'!$A:$A,'[1]May-25'!$H:$H,0)</f>
        <v>0</v>
      </c>
      <c r="W341" s="17">
        <f>_xlfn.XLOOKUP($B341,'[1]Jun-25'!$A:$A,'[1]Jun-25'!$H:$H,0)</f>
        <v>0</v>
      </c>
      <c r="X341" s="17">
        <f>_xlfn.XLOOKUP($B341,'[1]Jul-25'!$A:$A,'[1]Jul-25'!$H:$H,0)</f>
        <v>0</v>
      </c>
      <c r="Y341" s="17">
        <f>_xlfn.XLOOKUP($B341,'[1]Aug-25'!$A:$A,'[1]Aug-25'!$H:$H,0)</f>
        <v>0</v>
      </c>
      <c r="Z341" s="17">
        <f>_xlfn.XLOOKUP($B341,'[1]Sep-25'!$A:$A,'[1]Sep-25'!$H:$H,0)</f>
        <v>0</v>
      </c>
      <c r="AA341" s="17">
        <f>_xlfn.XLOOKUP($B341,'[1]Oct-25'!$A:$A,'[1]Oct-25'!$H:$H,0)</f>
        <v>0</v>
      </c>
      <c r="AB341" s="17">
        <f>_xlfn.XLOOKUP($B341,'[1]Nov-25'!$A:$A,'[1]Nov-25'!$H:$H,0)</f>
        <v>0</v>
      </c>
      <c r="AC341" s="17">
        <f>_xlfn.XLOOKUP($B341,'[1]Dec-25'!$A:$A,'[1]Dec-25'!$H:$H,0)</f>
        <v>0</v>
      </c>
      <c r="AD341" s="17">
        <f>_xlfn.XLOOKUP($B341,'[1]Jan-26'!$A:$A,'[1]Jan-26'!$H:$H,0)</f>
        <v>0</v>
      </c>
      <c r="AE341" s="17">
        <f>_xlfn.XLOOKUP($B341,'[1]Feb-26'!$A:$A,'[1]Feb-26'!$H:$H,0)</f>
        <v>0</v>
      </c>
      <c r="AF341" s="17">
        <f>_xlfn.XLOOKUP($B341,'[1]Mar-26'!$A:$A,'[1]Mar-26'!$H:$H,0)</f>
        <v>0</v>
      </c>
      <c r="AG341" s="17">
        <f>_xlfn.XLOOKUP($B341,'[1]Apr-26'!$A:$A,'[1]Apr-26'!$H:$H,0)</f>
        <v>0</v>
      </c>
    </row>
    <row r="342" spans="1:33" x14ac:dyDescent="0.2">
      <c r="A342" s="58">
        <v>52100</v>
      </c>
      <c r="B342" s="56" t="str">
        <f t="shared" si="11"/>
        <v>52100</v>
      </c>
      <c r="C342" s="57" t="s">
        <v>517</v>
      </c>
      <c r="D342" s="57" t="s">
        <v>387</v>
      </c>
      <c r="E342" s="44" t="s">
        <v>527</v>
      </c>
      <c r="F342" s="17">
        <f>_xlfn.XLOOKUP($B342,'[1]Jan-24'!$A:$A,'[1]Jan-24'!$H:$H,0)</f>
        <v>0</v>
      </c>
      <c r="G342" s="17">
        <f>_xlfn.XLOOKUP($B342,'[1]Feb-24'!$A:$A,'[1]Feb-24'!$H:$H,0)</f>
        <v>0</v>
      </c>
      <c r="H342" s="17">
        <f>_xlfn.XLOOKUP($B342,'[1]Mar-24'!$A:$A,'[1]Mar-24'!$H:$H,0)</f>
        <v>0</v>
      </c>
      <c r="I342" s="17">
        <f>_xlfn.XLOOKUP($B342,'[1]Apr-24'!$A:$A,'[1]Apr-24'!$H:$H,0)</f>
        <v>0</v>
      </c>
      <c r="J342" s="17">
        <f>_xlfn.XLOOKUP($B342,'[1]May-24'!$A:$A,'[1]May-24'!$H:$H,0)</f>
        <v>0</v>
      </c>
      <c r="K342" s="17">
        <f>_xlfn.XLOOKUP($B342,'[1]Jun-24'!$A:$A,'[1]Jun-24'!$H:$H,0)</f>
        <v>0</v>
      </c>
      <c r="L342" s="17">
        <f>_xlfn.XLOOKUP($B342,'[1]Jul-24'!$A:$A,'[1]Jul-24'!$H:$H,0)</f>
        <v>0</v>
      </c>
      <c r="M342" s="17">
        <f>_xlfn.XLOOKUP($B342,'[1]Aug-24'!$A:$A,'[1]Aug-24'!$H:$H,0)</f>
        <v>0</v>
      </c>
      <c r="N342" s="17">
        <f>_xlfn.XLOOKUP($B342,'[1]Sep-24'!$A:$A,'[1]Sep-24'!$H:$H,0)</f>
        <v>0</v>
      </c>
      <c r="O342" s="17">
        <f>_xlfn.XLOOKUP($B342,'[1]Oct-24'!$A:$A,'[1]Oct-24'!$H:$H,0)</f>
        <v>0</v>
      </c>
      <c r="P342" s="17">
        <f>_xlfn.XLOOKUP($B342,'[1]Nov-24'!$A:$A,'[1]Nov-24'!$H:$H,0)</f>
        <v>0</v>
      </c>
      <c r="Q342" s="17">
        <f>_xlfn.XLOOKUP($B342,'[1]Dec-24'!$A:$A,'[1]Dec-24'!$H:$H,0)</f>
        <v>0</v>
      </c>
      <c r="R342" s="17">
        <f>_xlfn.XLOOKUP($B342,'[1]Jan-25'!$A:$A,'[1]Jan-25'!$H:$H,0)</f>
        <v>0</v>
      </c>
      <c r="S342" s="17">
        <f>_xlfn.XLOOKUP($B342,'[1]Feb-25'!$A:$A,'[1]Feb-25'!$H:$H,0)</f>
        <v>0</v>
      </c>
      <c r="T342" s="17">
        <f>_xlfn.XLOOKUP($B342,'[1]Mar-25'!$A:$A,'[1]Mar-25'!$H:$H,0)</f>
        <v>0</v>
      </c>
      <c r="U342" s="17">
        <f>_xlfn.XLOOKUP($B342,'[1]Apr-25'!$A:$A,'[1]Apr-25'!$H:$H,0)</f>
        <v>0</v>
      </c>
      <c r="V342" s="17">
        <f>_xlfn.XLOOKUP($B342,'[1]May-25'!$A:$A,'[1]May-25'!$H:$H,0)</f>
        <v>0</v>
      </c>
      <c r="W342" s="17">
        <f>_xlfn.XLOOKUP($B342,'[1]Jun-25'!$A:$A,'[1]Jun-25'!$H:$H,0)</f>
        <v>0</v>
      </c>
      <c r="X342" s="17">
        <f>_xlfn.XLOOKUP($B342,'[1]Jul-25'!$A:$A,'[1]Jul-25'!$H:$H,0)</f>
        <v>0</v>
      </c>
      <c r="Y342" s="17">
        <f>_xlfn.XLOOKUP($B342,'[1]Aug-25'!$A:$A,'[1]Aug-25'!$H:$H,0)</f>
        <v>0</v>
      </c>
      <c r="Z342" s="17">
        <f>_xlfn.XLOOKUP($B342,'[1]Sep-25'!$A:$A,'[1]Sep-25'!$H:$H,0)</f>
        <v>0</v>
      </c>
      <c r="AA342" s="17">
        <f>_xlfn.XLOOKUP($B342,'[1]Oct-25'!$A:$A,'[1]Oct-25'!$H:$H,0)</f>
        <v>0</v>
      </c>
      <c r="AB342" s="17">
        <f>_xlfn.XLOOKUP($B342,'[1]Nov-25'!$A:$A,'[1]Nov-25'!$H:$H,0)</f>
        <v>0</v>
      </c>
      <c r="AC342" s="17">
        <f>_xlfn.XLOOKUP($B342,'[1]Dec-25'!$A:$A,'[1]Dec-25'!$H:$H,0)</f>
        <v>0</v>
      </c>
      <c r="AD342" s="17">
        <f>_xlfn.XLOOKUP($B342,'[1]Jan-26'!$A:$A,'[1]Jan-26'!$H:$H,0)</f>
        <v>0</v>
      </c>
      <c r="AE342" s="17">
        <f>_xlfn.XLOOKUP($B342,'[1]Feb-26'!$A:$A,'[1]Feb-26'!$H:$H,0)</f>
        <v>0</v>
      </c>
      <c r="AF342" s="17">
        <f>_xlfn.XLOOKUP($B342,'[1]Mar-26'!$A:$A,'[1]Mar-26'!$H:$H,0)</f>
        <v>0</v>
      </c>
      <c r="AG342" s="17">
        <f>_xlfn.XLOOKUP($B342,'[1]Apr-26'!$A:$A,'[1]Apr-26'!$H:$H,0)</f>
        <v>0</v>
      </c>
    </row>
    <row r="343" spans="1:33" x14ac:dyDescent="0.2">
      <c r="A343" s="58">
        <v>52110</v>
      </c>
      <c r="B343" s="56" t="str">
        <f t="shared" si="11"/>
        <v>52110</v>
      </c>
      <c r="C343" s="57" t="s">
        <v>517</v>
      </c>
      <c r="D343" s="57" t="s">
        <v>387</v>
      </c>
      <c r="E343" s="44" t="s">
        <v>528</v>
      </c>
      <c r="F343" s="17">
        <f>_xlfn.XLOOKUP($B343,'[1]Jan-24'!$A:$A,'[1]Jan-24'!$H:$H,0)</f>
        <v>0</v>
      </c>
      <c r="G343" s="17">
        <f>_xlfn.XLOOKUP($B343,'[1]Feb-24'!$A:$A,'[1]Feb-24'!$H:$H,0)</f>
        <v>0</v>
      </c>
      <c r="H343" s="17">
        <f>_xlfn.XLOOKUP($B343,'[1]Mar-24'!$A:$A,'[1]Mar-24'!$H:$H,0)</f>
        <v>0</v>
      </c>
      <c r="I343" s="17">
        <f>_xlfn.XLOOKUP($B343,'[1]Apr-24'!$A:$A,'[1]Apr-24'!$H:$H,0)</f>
        <v>0</v>
      </c>
      <c r="J343" s="17">
        <f>_xlfn.XLOOKUP($B343,'[1]May-24'!$A:$A,'[1]May-24'!$H:$H,0)</f>
        <v>0</v>
      </c>
      <c r="K343" s="17">
        <f>_xlfn.XLOOKUP($B343,'[1]Jun-24'!$A:$A,'[1]Jun-24'!$H:$H,0)</f>
        <v>0</v>
      </c>
      <c r="L343" s="17">
        <f>_xlfn.XLOOKUP($B343,'[1]Jul-24'!$A:$A,'[1]Jul-24'!$H:$H,0)</f>
        <v>0</v>
      </c>
      <c r="M343" s="17">
        <f>_xlfn.XLOOKUP($B343,'[1]Aug-24'!$A:$A,'[1]Aug-24'!$H:$H,0)</f>
        <v>0</v>
      </c>
      <c r="N343" s="17">
        <f>_xlfn.XLOOKUP($B343,'[1]Sep-24'!$A:$A,'[1]Sep-24'!$H:$H,0)</f>
        <v>0</v>
      </c>
      <c r="O343" s="17">
        <f>_xlfn.XLOOKUP($B343,'[1]Oct-24'!$A:$A,'[1]Oct-24'!$H:$H,0)</f>
        <v>0</v>
      </c>
      <c r="P343" s="17">
        <f>_xlfn.XLOOKUP($B343,'[1]Nov-24'!$A:$A,'[1]Nov-24'!$H:$H,0)</f>
        <v>0</v>
      </c>
      <c r="Q343" s="17">
        <f>_xlfn.XLOOKUP($B343,'[1]Dec-24'!$A:$A,'[1]Dec-24'!$H:$H,0)</f>
        <v>0</v>
      </c>
      <c r="R343" s="17">
        <f>_xlfn.XLOOKUP($B343,'[1]Jan-25'!$A:$A,'[1]Jan-25'!$H:$H,0)</f>
        <v>0</v>
      </c>
      <c r="S343" s="17">
        <f>_xlfn.XLOOKUP($B343,'[1]Feb-25'!$A:$A,'[1]Feb-25'!$H:$H,0)</f>
        <v>0</v>
      </c>
      <c r="T343" s="17">
        <f>_xlfn.XLOOKUP($B343,'[1]Mar-25'!$A:$A,'[1]Mar-25'!$H:$H,0)</f>
        <v>0</v>
      </c>
      <c r="U343" s="17">
        <f>_xlfn.XLOOKUP($B343,'[1]Apr-25'!$A:$A,'[1]Apr-25'!$H:$H,0)</f>
        <v>0</v>
      </c>
      <c r="V343" s="17">
        <f>_xlfn.XLOOKUP($B343,'[1]May-25'!$A:$A,'[1]May-25'!$H:$H,0)</f>
        <v>0</v>
      </c>
      <c r="W343" s="17">
        <f>_xlfn.XLOOKUP($B343,'[1]Jun-25'!$A:$A,'[1]Jun-25'!$H:$H,0)</f>
        <v>0</v>
      </c>
      <c r="X343" s="17">
        <f>_xlfn.XLOOKUP($B343,'[1]Jul-25'!$A:$A,'[1]Jul-25'!$H:$H,0)</f>
        <v>0</v>
      </c>
      <c r="Y343" s="17">
        <f>_xlfn.XLOOKUP($B343,'[1]Aug-25'!$A:$A,'[1]Aug-25'!$H:$H,0)</f>
        <v>0</v>
      </c>
      <c r="Z343" s="17">
        <f>_xlfn.XLOOKUP($B343,'[1]Sep-25'!$A:$A,'[1]Sep-25'!$H:$H,0)</f>
        <v>0</v>
      </c>
      <c r="AA343" s="17">
        <f>_xlfn.XLOOKUP($B343,'[1]Oct-25'!$A:$A,'[1]Oct-25'!$H:$H,0)</f>
        <v>0</v>
      </c>
      <c r="AB343" s="17">
        <f>_xlfn.XLOOKUP($B343,'[1]Nov-25'!$A:$A,'[1]Nov-25'!$H:$H,0)</f>
        <v>0</v>
      </c>
      <c r="AC343" s="17">
        <f>_xlfn.XLOOKUP($B343,'[1]Dec-25'!$A:$A,'[1]Dec-25'!$H:$H,0)</f>
        <v>0</v>
      </c>
      <c r="AD343" s="17">
        <f>_xlfn.XLOOKUP($B343,'[1]Jan-26'!$A:$A,'[1]Jan-26'!$H:$H,0)</f>
        <v>0</v>
      </c>
      <c r="AE343" s="17">
        <f>_xlfn.XLOOKUP($B343,'[1]Feb-26'!$A:$A,'[1]Feb-26'!$H:$H,0)</f>
        <v>0</v>
      </c>
      <c r="AF343" s="17">
        <f>_xlfn.XLOOKUP($B343,'[1]Mar-26'!$A:$A,'[1]Mar-26'!$H:$H,0)</f>
        <v>0</v>
      </c>
      <c r="AG343" s="17">
        <f>_xlfn.XLOOKUP($B343,'[1]Apr-26'!$A:$A,'[1]Apr-26'!$H:$H,0)</f>
        <v>0</v>
      </c>
    </row>
    <row r="344" spans="1:33" x14ac:dyDescent="0.2">
      <c r="A344" s="58">
        <v>52200</v>
      </c>
      <c r="B344" s="56" t="str">
        <f t="shared" si="11"/>
        <v>52200</v>
      </c>
      <c r="C344" s="57" t="s">
        <v>517</v>
      </c>
      <c r="D344" s="57" t="s">
        <v>387</v>
      </c>
      <c r="E344" s="44" t="s">
        <v>529</v>
      </c>
      <c r="F344" s="17">
        <f>_xlfn.XLOOKUP($B344,'[1]Jan-24'!$A:$A,'[1]Jan-24'!$H:$H,0)</f>
        <v>0</v>
      </c>
      <c r="G344" s="17">
        <f>_xlfn.XLOOKUP($B344,'[1]Feb-24'!$A:$A,'[1]Feb-24'!$H:$H,0)</f>
        <v>0</v>
      </c>
      <c r="H344" s="17">
        <f>_xlfn.XLOOKUP($B344,'[1]Mar-24'!$A:$A,'[1]Mar-24'!$H:$H,0)</f>
        <v>0</v>
      </c>
      <c r="I344" s="17">
        <f>_xlfn.XLOOKUP($B344,'[1]Apr-24'!$A:$A,'[1]Apr-24'!$H:$H,0)</f>
        <v>0</v>
      </c>
      <c r="J344" s="17">
        <f>_xlfn.XLOOKUP($B344,'[1]May-24'!$A:$A,'[1]May-24'!$H:$H,0)</f>
        <v>0</v>
      </c>
      <c r="K344" s="17">
        <f>_xlfn.XLOOKUP($B344,'[1]Jun-24'!$A:$A,'[1]Jun-24'!$H:$H,0)</f>
        <v>0</v>
      </c>
      <c r="L344" s="17">
        <f>_xlfn.XLOOKUP($B344,'[1]Jul-24'!$A:$A,'[1]Jul-24'!$H:$H,0)</f>
        <v>0</v>
      </c>
      <c r="M344" s="17">
        <f>_xlfn.XLOOKUP($B344,'[1]Aug-24'!$A:$A,'[1]Aug-24'!$H:$H,0)</f>
        <v>0</v>
      </c>
      <c r="N344" s="17">
        <f>_xlfn.XLOOKUP($B344,'[1]Sep-24'!$A:$A,'[1]Sep-24'!$H:$H,0)</f>
        <v>0</v>
      </c>
      <c r="O344" s="17">
        <f>_xlfn.XLOOKUP($B344,'[1]Oct-24'!$A:$A,'[1]Oct-24'!$H:$H,0)</f>
        <v>0</v>
      </c>
      <c r="P344" s="17">
        <f>_xlfn.XLOOKUP($B344,'[1]Nov-24'!$A:$A,'[1]Nov-24'!$H:$H,0)</f>
        <v>0</v>
      </c>
      <c r="Q344" s="17">
        <f>_xlfn.XLOOKUP($B344,'[1]Dec-24'!$A:$A,'[1]Dec-24'!$H:$H,0)</f>
        <v>0</v>
      </c>
      <c r="R344" s="17">
        <f>_xlfn.XLOOKUP($B344,'[1]Jan-25'!$A:$A,'[1]Jan-25'!$H:$H,0)</f>
        <v>0</v>
      </c>
      <c r="S344" s="17">
        <f>_xlfn.XLOOKUP($B344,'[1]Feb-25'!$A:$A,'[1]Feb-25'!$H:$H,0)</f>
        <v>0</v>
      </c>
      <c r="T344" s="17">
        <f>_xlfn.XLOOKUP($B344,'[1]Mar-25'!$A:$A,'[1]Mar-25'!$H:$H,0)</f>
        <v>0</v>
      </c>
      <c r="U344" s="17">
        <f>_xlfn.XLOOKUP($B344,'[1]Apr-25'!$A:$A,'[1]Apr-25'!$H:$H,0)</f>
        <v>0</v>
      </c>
      <c r="V344" s="17">
        <f>_xlfn.XLOOKUP($B344,'[1]May-25'!$A:$A,'[1]May-25'!$H:$H,0)</f>
        <v>0</v>
      </c>
      <c r="W344" s="17">
        <f>_xlfn.XLOOKUP($B344,'[1]Jun-25'!$A:$A,'[1]Jun-25'!$H:$H,0)</f>
        <v>0</v>
      </c>
      <c r="X344" s="17">
        <f>_xlfn.XLOOKUP($B344,'[1]Jul-25'!$A:$A,'[1]Jul-25'!$H:$H,0)</f>
        <v>0</v>
      </c>
      <c r="Y344" s="17">
        <f>_xlfn.XLOOKUP($B344,'[1]Aug-25'!$A:$A,'[1]Aug-25'!$H:$H,0)</f>
        <v>0</v>
      </c>
      <c r="Z344" s="17">
        <f>_xlfn.XLOOKUP($B344,'[1]Sep-25'!$A:$A,'[1]Sep-25'!$H:$H,0)</f>
        <v>0</v>
      </c>
      <c r="AA344" s="17">
        <f>_xlfn.XLOOKUP($B344,'[1]Oct-25'!$A:$A,'[1]Oct-25'!$H:$H,0)</f>
        <v>0</v>
      </c>
      <c r="AB344" s="17">
        <f>_xlfn.XLOOKUP($B344,'[1]Nov-25'!$A:$A,'[1]Nov-25'!$H:$H,0)</f>
        <v>0</v>
      </c>
      <c r="AC344" s="17">
        <f>_xlfn.XLOOKUP($B344,'[1]Dec-25'!$A:$A,'[1]Dec-25'!$H:$H,0)</f>
        <v>0</v>
      </c>
      <c r="AD344" s="17">
        <f>_xlfn.XLOOKUP($B344,'[1]Jan-26'!$A:$A,'[1]Jan-26'!$H:$H,0)</f>
        <v>0</v>
      </c>
      <c r="AE344" s="17">
        <f>_xlfn.XLOOKUP($B344,'[1]Feb-26'!$A:$A,'[1]Feb-26'!$H:$H,0)</f>
        <v>0</v>
      </c>
      <c r="AF344" s="17">
        <f>_xlfn.XLOOKUP($B344,'[1]Mar-26'!$A:$A,'[1]Mar-26'!$H:$H,0)</f>
        <v>0</v>
      </c>
      <c r="AG344" s="17">
        <f>_xlfn.XLOOKUP($B344,'[1]Apr-26'!$A:$A,'[1]Apr-26'!$H:$H,0)</f>
        <v>0</v>
      </c>
    </row>
    <row r="345" spans="1:33" x14ac:dyDescent="0.2">
      <c r="A345" s="58">
        <v>52300</v>
      </c>
      <c r="B345" s="56" t="str">
        <f t="shared" si="11"/>
        <v>52300</v>
      </c>
      <c r="C345" s="57" t="s">
        <v>517</v>
      </c>
      <c r="D345" s="57" t="s">
        <v>387</v>
      </c>
      <c r="E345" s="44" t="s">
        <v>530</v>
      </c>
      <c r="F345" s="17">
        <f>_xlfn.XLOOKUP($B345,'[1]Jan-24'!$A:$A,'[1]Jan-24'!$H:$H,0)</f>
        <v>0</v>
      </c>
      <c r="G345" s="17">
        <f>_xlfn.XLOOKUP($B345,'[1]Feb-24'!$A:$A,'[1]Feb-24'!$H:$H,0)</f>
        <v>0</v>
      </c>
      <c r="H345" s="17">
        <f>_xlfn.XLOOKUP($B345,'[1]Mar-24'!$A:$A,'[1]Mar-24'!$H:$H,0)</f>
        <v>0</v>
      </c>
      <c r="I345" s="17">
        <f>_xlfn.XLOOKUP($B345,'[1]Apr-24'!$A:$A,'[1]Apr-24'!$H:$H,0)</f>
        <v>0</v>
      </c>
      <c r="J345" s="17">
        <f>_xlfn.XLOOKUP($B345,'[1]May-24'!$A:$A,'[1]May-24'!$H:$H,0)</f>
        <v>0</v>
      </c>
      <c r="K345" s="17">
        <f>_xlfn.XLOOKUP($B345,'[1]Jun-24'!$A:$A,'[1]Jun-24'!$H:$H,0)</f>
        <v>0</v>
      </c>
      <c r="L345" s="17">
        <f>_xlfn.XLOOKUP($B345,'[1]Jul-24'!$A:$A,'[1]Jul-24'!$H:$H,0)</f>
        <v>0</v>
      </c>
      <c r="M345" s="17">
        <f>_xlfn.XLOOKUP($B345,'[1]Aug-24'!$A:$A,'[1]Aug-24'!$H:$H,0)</f>
        <v>0</v>
      </c>
      <c r="N345" s="17">
        <f>_xlfn.XLOOKUP($B345,'[1]Sep-24'!$A:$A,'[1]Sep-24'!$H:$H,0)</f>
        <v>0</v>
      </c>
      <c r="O345" s="17">
        <f>_xlfn.XLOOKUP($B345,'[1]Oct-24'!$A:$A,'[1]Oct-24'!$H:$H,0)</f>
        <v>0</v>
      </c>
      <c r="P345" s="17">
        <f>_xlfn.XLOOKUP($B345,'[1]Nov-24'!$A:$A,'[1]Nov-24'!$H:$H,0)</f>
        <v>0</v>
      </c>
      <c r="Q345" s="17">
        <f>_xlfn.XLOOKUP($B345,'[1]Dec-24'!$A:$A,'[1]Dec-24'!$H:$H,0)</f>
        <v>0</v>
      </c>
      <c r="R345" s="17">
        <f>_xlfn.XLOOKUP($B345,'[1]Jan-25'!$A:$A,'[1]Jan-25'!$H:$H,0)</f>
        <v>0</v>
      </c>
      <c r="S345" s="17">
        <f>_xlfn.XLOOKUP($B345,'[1]Feb-25'!$A:$A,'[1]Feb-25'!$H:$H,0)</f>
        <v>0</v>
      </c>
      <c r="T345" s="17">
        <f>_xlfn.XLOOKUP($B345,'[1]Mar-25'!$A:$A,'[1]Mar-25'!$H:$H,0)</f>
        <v>0</v>
      </c>
      <c r="U345" s="17">
        <f>_xlfn.XLOOKUP($B345,'[1]Apr-25'!$A:$A,'[1]Apr-25'!$H:$H,0)</f>
        <v>0</v>
      </c>
      <c r="V345" s="17">
        <f>_xlfn.XLOOKUP($B345,'[1]May-25'!$A:$A,'[1]May-25'!$H:$H,0)</f>
        <v>0</v>
      </c>
      <c r="W345" s="17">
        <f>_xlfn.XLOOKUP($B345,'[1]Jun-25'!$A:$A,'[1]Jun-25'!$H:$H,0)</f>
        <v>0</v>
      </c>
      <c r="X345" s="17">
        <f>_xlfn.XLOOKUP($B345,'[1]Jul-25'!$A:$A,'[1]Jul-25'!$H:$H,0)</f>
        <v>0</v>
      </c>
      <c r="Y345" s="17">
        <f>_xlfn.XLOOKUP($B345,'[1]Aug-25'!$A:$A,'[1]Aug-25'!$H:$H,0)</f>
        <v>0</v>
      </c>
      <c r="Z345" s="17">
        <f>_xlfn.XLOOKUP($B345,'[1]Sep-25'!$A:$A,'[1]Sep-25'!$H:$H,0)</f>
        <v>0</v>
      </c>
      <c r="AA345" s="17">
        <f>_xlfn.XLOOKUP($B345,'[1]Oct-25'!$A:$A,'[1]Oct-25'!$H:$H,0)</f>
        <v>0</v>
      </c>
      <c r="AB345" s="17">
        <f>_xlfn.XLOOKUP($B345,'[1]Nov-25'!$A:$A,'[1]Nov-25'!$H:$H,0)</f>
        <v>0</v>
      </c>
      <c r="AC345" s="17">
        <f>_xlfn.XLOOKUP($B345,'[1]Dec-25'!$A:$A,'[1]Dec-25'!$H:$H,0)</f>
        <v>0</v>
      </c>
      <c r="AD345" s="17">
        <f>_xlfn.XLOOKUP($B345,'[1]Jan-26'!$A:$A,'[1]Jan-26'!$H:$H,0)</f>
        <v>0</v>
      </c>
      <c r="AE345" s="17">
        <f>_xlfn.XLOOKUP($B345,'[1]Feb-26'!$A:$A,'[1]Feb-26'!$H:$H,0)</f>
        <v>0</v>
      </c>
      <c r="AF345" s="17">
        <f>_xlfn.XLOOKUP($B345,'[1]Mar-26'!$A:$A,'[1]Mar-26'!$H:$H,0)</f>
        <v>0</v>
      </c>
      <c r="AG345" s="17">
        <f>_xlfn.XLOOKUP($B345,'[1]Apr-26'!$A:$A,'[1]Apr-26'!$H:$H,0)</f>
        <v>0</v>
      </c>
    </row>
    <row r="346" spans="1:33" x14ac:dyDescent="0.2">
      <c r="A346" s="58">
        <v>52400</v>
      </c>
      <c r="B346" s="56" t="str">
        <f t="shared" si="11"/>
        <v>52400</v>
      </c>
      <c r="C346" s="57" t="s">
        <v>517</v>
      </c>
      <c r="D346" s="57" t="s">
        <v>387</v>
      </c>
      <c r="E346" s="44" t="s">
        <v>531</v>
      </c>
      <c r="F346" s="17">
        <f>_xlfn.XLOOKUP($B346,'[1]Jan-24'!$A:$A,'[1]Jan-24'!$H:$H,0)</f>
        <v>0</v>
      </c>
      <c r="G346" s="17">
        <f>_xlfn.XLOOKUP($B346,'[1]Feb-24'!$A:$A,'[1]Feb-24'!$H:$H,0)</f>
        <v>0</v>
      </c>
      <c r="H346" s="17">
        <f>_xlfn.XLOOKUP($B346,'[1]Mar-24'!$A:$A,'[1]Mar-24'!$H:$H,0)</f>
        <v>0</v>
      </c>
      <c r="I346" s="17">
        <f>_xlfn.XLOOKUP($B346,'[1]Apr-24'!$A:$A,'[1]Apr-24'!$H:$H,0)</f>
        <v>0</v>
      </c>
      <c r="J346" s="17">
        <f>_xlfn.XLOOKUP($B346,'[1]May-24'!$A:$A,'[1]May-24'!$H:$H,0)</f>
        <v>0</v>
      </c>
      <c r="K346" s="17">
        <f>_xlfn.XLOOKUP($B346,'[1]Jun-24'!$A:$A,'[1]Jun-24'!$H:$H,0)</f>
        <v>0</v>
      </c>
      <c r="L346" s="17">
        <f>_xlfn.XLOOKUP($B346,'[1]Jul-24'!$A:$A,'[1]Jul-24'!$H:$H,0)</f>
        <v>0</v>
      </c>
      <c r="M346" s="17">
        <f>_xlfn.XLOOKUP($B346,'[1]Aug-24'!$A:$A,'[1]Aug-24'!$H:$H,0)</f>
        <v>0</v>
      </c>
      <c r="N346" s="17">
        <f>_xlfn.XLOOKUP($B346,'[1]Sep-24'!$A:$A,'[1]Sep-24'!$H:$H,0)</f>
        <v>0</v>
      </c>
      <c r="O346" s="17">
        <f>_xlfn.XLOOKUP($B346,'[1]Oct-24'!$A:$A,'[1]Oct-24'!$H:$H,0)</f>
        <v>0</v>
      </c>
      <c r="P346" s="17">
        <f>_xlfn.XLOOKUP($B346,'[1]Nov-24'!$A:$A,'[1]Nov-24'!$H:$H,0)</f>
        <v>0</v>
      </c>
      <c r="Q346" s="17">
        <f>_xlfn.XLOOKUP($B346,'[1]Dec-24'!$A:$A,'[1]Dec-24'!$H:$H,0)</f>
        <v>0</v>
      </c>
      <c r="R346" s="17">
        <f>_xlfn.XLOOKUP($B346,'[1]Jan-25'!$A:$A,'[1]Jan-25'!$H:$H,0)</f>
        <v>0</v>
      </c>
      <c r="S346" s="17">
        <f>_xlfn.XLOOKUP($B346,'[1]Feb-25'!$A:$A,'[1]Feb-25'!$H:$H,0)</f>
        <v>0</v>
      </c>
      <c r="T346" s="17">
        <f>_xlfn.XLOOKUP($B346,'[1]Mar-25'!$A:$A,'[1]Mar-25'!$H:$H,0)</f>
        <v>0</v>
      </c>
      <c r="U346" s="17">
        <f>_xlfn.XLOOKUP($B346,'[1]Apr-25'!$A:$A,'[1]Apr-25'!$H:$H,0)</f>
        <v>0</v>
      </c>
      <c r="V346" s="17">
        <f>_xlfn.XLOOKUP($B346,'[1]May-25'!$A:$A,'[1]May-25'!$H:$H,0)</f>
        <v>0</v>
      </c>
      <c r="W346" s="17">
        <f>_xlfn.XLOOKUP($B346,'[1]Jun-25'!$A:$A,'[1]Jun-25'!$H:$H,0)</f>
        <v>0</v>
      </c>
      <c r="X346" s="17">
        <f>_xlfn.XLOOKUP($B346,'[1]Jul-25'!$A:$A,'[1]Jul-25'!$H:$H,0)</f>
        <v>0</v>
      </c>
      <c r="Y346" s="17">
        <f>_xlfn.XLOOKUP($B346,'[1]Aug-25'!$A:$A,'[1]Aug-25'!$H:$H,0)</f>
        <v>0</v>
      </c>
      <c r="Z346" s="17">
        <f>_xlfn.XLOOKUP($B346,'[1]Sep-25'!$A:$A,'[1]Sep-25'!$H:$H,0)</f>
        <v>0</v>
      </c>
      <c r="AA346" s="17">
        <f>_xlfn.XLOOKUP($B346,'[1]Oct-25'!$A:$A,'[1]Oct-25'!$H:$H,0)</f>
        <v>0</v>
      </c>
      <c r="AB346" s="17">
        <f>_xlfn.XLOOKUP($B346,'[1]Nov-25'!$A:$A,'[1]Nov-25'!$H:$H,0)</f>
        <v>0</v>
      </c>
      <c r="AC346" s="17">
        <f>_xlfn.XLOOKUP($B346,'[1]Dec-25'!$A:$A,'[1]Dec-25'!$H:$H,0)</f>
        <v>0</v>
      </c>
      <c r="AD346" s="17">
        <f>_xlfn.XLOOKUP($B346,'[1]Jan-26'!$A:$A,'[1]Jan-26'!$H:$H,0)</f>
        <v>0</v>
      </c>
      <c r="AE346" s="17">
        <f>_xlfn.XLOOKUP($B346,'[1]Feb-26'!$A:$A,'[1]Feb-26'!$H:$H,0)</f>
        <v>0</v>
      </c>
      <c r="AF346" s="17">
        <f>_xlfn.XLOOKUP($B346,'[1]Mar-26'!$A:$A,'[1]Mar-26'!$H:$H,0)</f>
        <v>0</v>
      </c>
      <c r="AG346" s="17">
        <f>_xlfn.XLOOKUP($B346,'[1]Apr-26'!$A:$A,'[1]Apr-26'!$H:$H,0)</f>
        <v>0</v>
      </c>
    </row>
    <row r="347" spans="1:33" x14ac:dyDescent="0.2">
      <c r="A347" s="58">
        <v>52500</v>
      </c>
      <c r="B347" s="56" t="str">
        <f t="shared" si="11"/>
        <v>52500</v>
      </c>
      <c r="C347" s="57" t="s">
        <v>517</v>
      </c>
      <c r="D347" s="57" t="s">
        <v>387</v>
      </c>
      <c r="E347" s="44" t="s">
        <v>532</v>
      </c>
      <c r="F347" s="17">
        <f>_xlfn.XLOOKUP($B347,'[1]Jan-24'!$A:$A,'[1]Jan-24'!$H:$H,0)</f>
        <v>0</v>
      </c>
      <c r="G347" s="17">
        <f>_xlfn.XLOOKUP($B347,'[1]Feb-24'!$A:$A,'[1]Feb-24'!$H:$H,0)</f>
        <v>0</v>
      </c>
      <c r="H347" s="17">
        <f>_xlfn.XLOOKUP($B347,'[1]Mar-24'!$A:$A,'[1]Mar-24'!$H:$H,0)</f>
        <v>0</v>
      </c>
      <c r="I347" s="17">
        <f>_xlfn.XLOOKUP($B347,'[1]Apr-24'!$A:$A,'[1]Apr-24'!$H:$H,0)</f>
        <v>0</v>
      </c>
      <c r="J347" s="17">
        <f>_xlfn.XLOOKUP($B347,'[1]May-24'!$A:$A,'[1]May-24'!$H:$H,0)</f>
        <v>0</v>
      </c>
      <c r="K347" s="17">
        <f>_xlfn.XLOOKUP($B347,'[1]Jun-24'!$A:$A,'[1]Jun-24'!$H:$H,0)</f>
        <v>0</v>
      </c>
      <c r="L347" s="17">
        <f>_xlfn.XLOOKUP($B347,'[1]Jul-24'!$A:$A,'[1]Jul-24'!$H:$H,0)</f>
        <v>0</v>
      </c>
      <c r="M347" s="17">
        <f>_xlfn.XLOOKUP($B347,'[1]Aug-24'!$A:$A,'[1]Aug-24'!$H:$H,0)</f>
        <v>0</v>
      </c>
      <c r="N347" s="17">
        <f>_xlfn.XLOOKUP($B347,'[1]Sep-24'!$A:$A,'[1]Sep-24'!$H:$H,0)</f>
        <v>0</v>
      </c>
      <c r="O347" s="17">
        <f>_xlfn.XLOOKUP($B347,'[1]Oct-24'!$A:$A,'[1]Oct-24'!$H:$H,0)</f>
        <v>0</v>
      </c>
      <c r="P347" s="17">
        <f>_xlfn.XLOOKUP($B347,'[1]Nov-24'!$A:$A,'[1]Nov-24'!$H:$H,0)</f>
        <v>0</v>
      </c>
      <c r="Q347" s="17">
        <f>_xlfn.XLOOKUP($B347,'[1]Dec-24'!$A:$A,'[1]Dec-24'!$H:$H,0)</f>
        <v>0</v>
      </c>
      <c r="R347" s="17">
        <f>_xlfn.XLOOKUP($B347,'[1]Jan-25'!$A:$A,'[1]Jan-25'!$H:$H,0)</f>
        <v>0</v>
      </c>
      <c r="S347" s="17">
        <f>_xlfn.XLOOKUP($B347,'[1]Feb-25'!$A:$A,'[1]Feb-25'!$H:$H,0)</f>
        <v>0</v>
      </c>
      <c r="T347" s="17">
        <f>_xlfn.XLOOKUP($B347,'[1]Mar-25'!$A:$A,'[1]Mar-25'!$H:$H,0)</f>
        <v>0</v>
      </c>
      <c r="U347" s="17">
        <f>_xlfn.XLOOKUP($B347,'[1]Apr-25'!$A:$A,'[1]Apr-25'!$H:$H,0)</f>
        <v>0</v>
      </c>
      <c r="V347" s="17">
        <f>_xlfn.XLOOKUP($B347,'[1]May-25'!$A:$A,'[1]May-25'!$H:$H,0)</f>
        <v>0</v>
      </c>
      <c r="W347" s="17">
        <f>_xlfn.XLOOKUP($B347,'[1]Jun-25'!$A:$A,'[1]Jun-25'!$H:$H,0)</f>
        <v>0</v>
      </c>
      <c r="X347" s="17">
        <f>_xlfn.XLOOKUP($B347,'[1]Jul-25'!$A:$A,'[1]Jul-25'!$H:$H,0)</f>
        <v>0</v>
      </c>
      <c r="Y347" s="17">
        <f>_xlfn.XLOOKUP($B347,'[1]Aug-25'!$A:$A,'[1]Aug-25'!$H:$H,0)</f>
        <v>0</v>
      </c>
      <c r="Z347" s="17">
        <f>_xlfn.XLOOKUP($B347,'[1]Sep-25'!$A:$A,'[1]Sep-25'!$H:$H,0)</f>
        <v>0</v>
      </c>
      <c r="AA347" s="17">
        <f>_xlfn.XLOOKUP($B347,'[1]Oct-25'!$A:$A,'[1]Oct-25'!$H:$H,0)</f>
        <v>0</v>
      </c>
      <c r="AB347" s="17">
        <f>_xlfn.XLOOKUP($B347,'[1]Nov-25'!$A:$A,'[1]Nov-25'!$H:$H,0)</f>
        <v>0</v>
      </c>
      <c r="AC347" s="17">
        <f>_xlfn.XLOOKUP($B347,'[1]Dec-25'!$A:$A,'[1]Dec-25'!$H:$H,0)</f>
        <v>0</v>
      </c>
      <c r="AD347" s="17">
        <f>_xlfn.XLOOKUP($B347,'[1]Jan-26'!$A:$A,'[1]Jan-26'!$H:$H,0)</f>
        <v>0</v>
      </c>
      <c r="AE347" s="17">
        <f>_xlfn.XLOOKUP($B347,'[1]Feb-26'!$A:$A,'[1]Feb-26'!$H:$H,0)</f>
        <v>0</v>
      </c>
      <c r="AF347" s="17">
        <f>_xlfn.XLOOKUP($B347,'[1]Mar-26'!$A:$A,'[1]Mar-26'!$H:$H,0)</f>
        <v>0</v>
      </c>
      <c r="AG347" s="17">
        <f>_xlfn.XLOOKUP($B347,'[1]Apr-26'!$A:$A,'[1]Apr-26'!$H:$H,0)</f>
        <v>0</v>
      </c>
    </row>
    <row r="348" spans="1:33" x14ac:dyDescent="0.2">
      <c r="A348" s="58">
        <v>52600</v>
      </c>
      <c r="B348" s="56" t="str">
        <f t="shared" si="11"/>
        <v>52600</v>
      </c>
      <c r="C348" s="57" t="s">
        <v>517</v>
      </c>
      <c r="D348" s="57" t="s">
        <v>387</v>
      </c>
      <c r="E348" s="44" t="s">
        <v>533</v>
      </c>
      <c r="F348" s="17">
        <f>_xlfn.XLOOKUP($B348,'[1]Jan-24'!$A:$A,'[1]Jan-24'!$H:$H,0)</f>
        <v>0</v>
      </c>
      <c r="G348" s="17">
        <f>_xlfn.XLOOKUP($B348,'[1]Feb-24'!$A:$A,'[1]Feb-24'!$H:$H,0)</f>
        <v>0</v>
      </c>
      <c r="H348" s="17">
        <f>_xlfn.XLOOKUP($B348,'[1]Mar-24'!$A:$A,'[1]Mar-24'!$H:$H,0)</f>
        <v>0</v>
      </c>
      <c r="I348" s="17">
        <f>_xlfn.XLOOKUP($B348,'[1]Apr-24'!$A:$A,'[1]Apr-24'!$H:$H,0)</f>
        <v>0</v>
      </c>
      <c r="J348" s="17">
        <f>_xlfn.XLOOKUP($B348,'[1]May-24'!$A:$A,'[1]May-24'!$H:$H,0)</f>
        <v>0</v>
      </c>
      <c r="K348" s="17">
        <f>_xlfn.XLOOKUP($B348,'[1]Jun-24'!$A:$A,'[1]Jun-24'!$H:$H,0)</f>
        <v>0</v>
      </c>
      <c r="L348" s="17">
        <f>_xlfn.XLOOKUP($B348,'[1]Jul-24'!$A:$A,'[1]Jul-24'!$H:$H,0)</f>
        <v>0</v>
      </c>
      <c r="M348" s="17">
        <f>_xlfn.XLOOKUP($B348,'[1]Aug-24'!$A:$A,'[1]Aug-24'!$H:$H,0)</f>
        <v>0</v>
      </c>
      <c r="N348" s="17">
        <f>_xlfn.XLOOKUP($B348,'[1]Sep-24'!$A:$A,'[1]Sep-24'!$H:$H,0)</f>
        <v>0</v>
      </c>
      <c r="O348" s="17">
        <f>_xlfn.XLOOKUP($B348,'[1]Oct-24'!$A:$A,'[1]Oct-24'!$H:$H,0)</f>
        <v>0</v>
      </c>
      <c r="P348" s="17">
        <f>_xlfn.XLOOKUP($B348,'[1]Nov-24'!$A:$A,'[1]Nov-24'!$H:$H,0)</f>
        <v>0</v>
      </c>
      <c r="Q348" s="17">
        <f>_xlfn.XLOOKUP($B348,'[1]Dec-24'!$A:$A,'[1]Dec-24'!$H:$H,0)</f>
        <v>0</v>
      </c>
      <c r="R348" s="17">
        <f>_xlfn.XLOOKUP($B348,'[1]Jan-25'!$A:$A,'[1]Jan-25'!$H:$H,0)</f>
        <v>0</v>
      </c>
      <c r="S348" s="17">
        <f>_xlfn.XLOOKUP($B348,'[1]Feb-25'!$A:$A,'[1]Feb-25'!$H:$H,0)</f>
        <v>0</v>
      </c>
      <c r="T348" s="17">
        <f>_xlfn.XLOOKUP($B348,'[1]Mar-25'!$A:$A,'[1]Mar-25'!$H:$H,0)</f>
        <v>0</v>
      </c>
      <c r="U348" s="17">
        <f>_xlfn.XLOOKUP($B348,'[1]Apr-25'!$A:$A,'[1]Apr-25'!$H:$H,0)</f>
        <v>0</v>
      </c>
      <c r="V348" s="17">
        <f>_xlfn.XLOOKUP($B348,'[1]May-25'!$A:$A,'[1]May-25'!$H:$H,0)</f>
        <v>0</v>
      </c>
      <c r="W348" s="17">
        <f>_xlfn.XLOOKUP($B348,'[1]Jun-25'!$A:$A,'[1]Jun-25'!$H:$H,0)</f>
        <v>0</v>
      </c>
      <c r="X348" s="17">
        <f>_xlfn.XLOOKUP($B348,'[1]Jul-25'!$A:$A,'[1]Jul-25'!$H:$H,0)</f>
        <v>0</v>
      </c>
      <c r="Y348" s="17">
        <f>_xlfn.XLOOKUP($B348,'[1]Aug-25'!$A:$A,'[1]Aug-25'!$H:$H,0)</f>
        <v>0</v>
      </c>
      <c r="Z348" s="17">
        <f>_xlfn.XLOOKUP($B348,'[1]Sep-25'!$A:$A,'[1]Sep-25'!$H:$H,0)</f>
        <v>0</v>
      </c>
      <c r="AA348" s="17">
        <f>_xlfn.XLOOKUP($B348,'[1]Oct-25'!$A:$A,'[1]Oct-25'!$H:$H,0)</f>
        <v>0</v>
      </c>
      <c r="AB348" s="17">
        <f>_xlfn.XLOOKUP($B348,'[1]Nov-25'!$A:$A,'[1]Nov-25'!$H:$H,0)</f>
        <v>0</v>
      </c>
      <c r="AC348" s="17">
        <f>_xlfn.XLOOKUP($B348,'[1]Dec-25'!$A:$A,'[1]Dec-25'!$H:$H,0)</f>
        <v>0</v>
      </c>
      <c r="AD348" s="17">
        <f>_xlfn.XLOOKUP($B348,'[1]Jan-26'!$A:$A,'[1]Jan-26'!$H:$H,0)</f>
        <v>0</v>
      </c>
      <c r="AE348" s="17">
        <f>_xlfn.XLOOKUP($B348,'[1]Feb-26'!$A:$A,'[1]Feb-26'!$H:$H,0)</f>
        <v>0</v>
      </c>
      <c r="AF348" s="17">
        <f>_xlfn.XLOOKUP($B348,'[1]Mar-26'!$A:$A,'[1]Mar-26'!$H:$H,0)</f>
        <v>0</v>
      </c>
      <c r="AG348" s="17">
        <f>_xlfn.XLOOKUP($B348,'[1]Apr-26'!$A:$A,'[1]Apr-26'!$H:$H,0)</f>
        <v>0</v>
      </c>
    </row>
    <row r="349" spans="1:33" x14ac:dyDescent="0.2">
      <c r="A349" s="58">
        <v>53000</v>
      </c>
      <c r="B349" s="56" t="str">
        <f t="shared" si="11"/>
        <v>53000</v>
      </c>
      <c r="C349" s="57" t="s">
        <v>517</v>
      </c>
      <c r="D349" s="57" t="s">
        <v>387</v>
      </c>
      <c r="E349" s="44" t="s">
        <v>6</v>
      </c>
      <c r="F349" s="17">
        <f>_xlfn.XLOOKUP($B349,'[1]Jan-24'!$A:$A,'[1]Jan-24'!$H:$H,0)</f>
        <v>0</v>
      </c>
      <c r="G349" s="17">
        <f>_xlfn.XLOOKUP($B349,'[1]Feb-24'!$A:$A,'[1]Feb-24'!$H:$H,0)</f>
        <v>0</v>
      </c>
      <c r="H349" s="17">
        <f>_xlfn.XLOOKUP($B349,'[1]Mar-24'!$A:$A,'[1]Mar-24'!$H:$H,0)</f>
        <v>0</v>
      </c>
      <c r="I349" s="17">
        <f>_xlfn.XLOOKUP($B349,'[1]Apr-24'!$A:$A,'[1]Apr-24'!$H:$H,0)</f>
        <v>0</v>
      </c>
      <c r="J349" s="17">
        <f>_xlfn.XLOOKUP($B349,'[1]May-24'!$A:$A,'[1]May-24'!$H:$H,0)</f>
        <v>0</v>
      </c>
      <c r="K349" s="17">
        <f>_xlfn.XLOOKUP($B349,'[1]Jun-24'!$A:$A,'[1]Jun-24'!$H:$H,0)</f>
        <v>0</v>
      </c>
      <c r="L349" s="17">
        <f>_xlfn.XLOOKUP($B349,'[1]Jul-24'!$A:$A,'[1]Jul-24'!$H:$H,0)</f>
        <v>0</v>
      </c>
      <c r="M349" s="17">
        <f>_xlfn.XLOOKUP($B349,'[1]Aug-24'!$A:$A,'[1]Aug-24'!$H:$H,0)</f>
        <v>0</v>
      </c>
      <c r="N349" s="17">
        <f>_xlfn.XLOOKUP($B349,'[1]Sep-24'!$A:$A,'[1]Sep-24'!$H:$H,0)</f>
        <v>0</v>
      </c>
      <c r="O349" s="17">
        <f>_xlfn.XLOOKUP($B349,'[1]Oct-24'!$A:$A,'[1]Oct-24'!$H:$H,0)</f>
        <v>0</v>
      </c>
      <c r="P349" s="17">
        <f>_xlfn.XLOOKUP($B349,'[1]Nov-24'!$A:$A,'[1]Nov-24'!$H:$H,0)</f>
        <v>0</v>
      </c>
      <c r="Q349" s="17">
        <f>_xlfn.XLOOKUP($B349,'[1]Dec-24'!$A:$A,'[1]Dec-24'!$H:$H,0)</f>
        <v>0</v>
      </c>
      <c r="R349" s="17">
        <f>_xlfn.XLOOKUP($B349,'[1]Jan-25'!$A:$A,'[1]Jan-25'!$H:$H,0)</f>
        <v>0</v>
      </c>
      <c r="S349" s="17">
        <f>_xlfn.XLOOKUP($B349,'[1]Feb-25'!$A:$A,'[1]Feb-25'!$H:$H,0)</f>
        <v>0</v>
      </c>
      <c r="T349" s="17">
        <f>_xlfn.XLOOKUP($B349,'[1]Mar-25'!$A:$A,'[1]Mar-25'!$H:$H,0)</f>
        <v>0</v>
      </c>
      <c r="U349" s="17">
        <f>_xlfn.XLOOKUP($B349,'[1]Apr-25'!$A:$A,'[1]Apr-25'!$H:$H,0)</f>
        <v>0</v>
      </c>
      <c r="V349" s="17">
        <f>_xlfn.XLOOKUP($B349,'[1]May-25'!$A:$A,'[1]May-25'!$H:$H,0)</f>
        <v>0</v>
      </c>
      <c r="W349" s="17">
        <f>_xlfn.XLOOKUP($B349,'[1]Jun-25'!$A:$A,'[1]Jun-25'!$H:$H,0)</f>
        <v>0</v>
      </c>
      <c r="X349" s="17">
        <f>_xlfn.XLOOKUP($B349,'[1]Jul-25'!$A:$A,'[1]Jul-25'!$H:$H,0)</f>
        <v>0</v>
      </c>
      <c r="Y349" s="17">
        <f>_xlfn.XLOOKUP($B349,'[1]Aug-25'!$A:$A,'[1]Aug-25'!$H:$H,0)</f>
        <v>0</v>
      </c>
      <c r="Z349" s="17">
        <f>_xlfn.XLOOKUP($B349,'[1]Sep-25'!$A:$A,'[1]Sep-25'!$H:$H,0)</f>
        <v>0</v>
      </c>
      <c r="AA349" s="17">
        <f>_xlfn.XLOOKUP($B349,'[1]Oct-25'!$A:$A,'[1]Oct-25'!$H:$H,0)</f>
        <v>0</v>
      </c>
      <c r="AB349" s="17">
        <f>_xlfn.XLOOKUP($B349,'[1]Nov-25'!$A:$A,'[1]Nov-25'!$H:$H,0)</f>
        <v>0</v>
      </c>
      <c r="AC349" s="17">
        <f>_xlfn.XLOOKUP($B349,'[1]Dec-25'!$A:$A,'[1]Dec-25'!$H:$H,0)</f>
        <v>0</v>
      </c>
      <c r="AD349" s="17">
        <f>_xlfn.XLOOKUP($B349,'[1]Jan-26'!$A:$A,'[1]Jan-26'!$H:$H,0)</f>
        <v>0</v>
      </c>
      <c r="AE349" s="17">
        <f>_xlfn.XLOOKUP($B349,'[1]Feb-26'!$A:$A,'[1]Feb-26'!$H:$H,0)</f>
        <v>0</v>
      </c>
      <c r="AF349" s="17">
        <f>_xlfn.XLOOKUP($B349,'[1]Mar-26'!$A:$A,'[1]Mar-26'!$H:$H,0)</f>
        <v>0</v>
      </c>
      <c r="AG349" s="17">
        <f>_xlfn.XLOOKUP($B349,'[1]Apr-26'!$A:$A,'[1]Apr-26'!$H:$H,0)</f>
        <v>0</v>
      </c>
    </row>
    <row r="350" spans="1:33" x14ac:dyDescent="0.2">
      <c r="A350" s="58">
        <v>53005</v>
      </c>
      <c r="B350" s="56" t="str">
        <f t="shared" si="11"/>
        <v>53005</v>
      </c>
      <c r="C350" s="57" t="s">
        <v>517</v>
      </c>
      <c r="D350" s="57" t="s">
        <v>387</v>
      </c>
      <c r="E350" s="44" t="s">
        <v>534</v>
      </c>
      <c r="F350" s="17">
        <f>_xlfn.XLOOKUP($B350,'[1]Jan-24'!$A:$A,'[1]Jan-24'!$H:$H,0)</f>
        <v>0</v>
      </c>
      <c r="G350" s="17">
        <f>_xlfn.XLOOKUP($B350,'[1]Feb-24'!$A:$A,'[1]Feb-24'!$H:$H,0)</f>
        <v>0</v>
      </c>
      <c r="H350" s="17">
        <f>_xlfn.XLOOKUP($B350,'[1]Mar-24'!$A:$A,'[1]Mar-24'!$H:$H,0)</f>
        <v>0</v>
      </c>
      <c r="I350" s="17">
        <f>_xlfn.XLOOKUP($B350,'[1]Apr-24'!$A:$A,'[1]Apr-24'!$H:$H,0)</f>
        <v>0</v>
      </c>
      <c r="J350" s="17">
        <f>_xlfn.XLOOKUP($B350,'[1]May-24'!$A:$A,'[1]May-24'!$H:$H,0)</f>
        <v>0</v>
      </c>
      <c r="K350" s="17">
        <f>_xlfn.XLOOKUP($B350,'[1]Jun-24'!$A:$A,'[1]Jun-24'!$H:$H,0)</f>
        <v>0</v>
      </c>
      <c r="L350" s="17">
        <f>_xlfn.XLOOKUP($B350,'[1]Jul-24'!$A:$A,'[1]Jul-24'!$H:$H,0)</f>
        <v>0</v>
      </c>
      <c r="M350" s="17">
        <f>_xlfn.XLOOKUP($B350,'[1]Aug-24'!$A:$A,'[1]Aug-24'!$H:$H,0)</f>
        <v>0</v>
      </c>
      <c r="N350" s="17">
        <f>_xlfn.XLOOKUP($B350,'[1]Sep-24'!$A:$A,'[1]Sep-24'!$H:$H,0)</f>
        <v>0</v>
      </c>
      <c r="O350" s="17">
        <f>_xlfn.XLOOKUP($B350,'[1]Oct-24'!$A:$A,'[1]Oct-24'!$H:$H,0)</f>
        <v>0</v>
      </c>
      <c r="P350" s="17">
        <f>_xlfn.XLOOKUP($B350,'[1]Nov-24'!$A:$A,'[1]Nov-24'!$H:$H,0)</f>
        <v>0</v>
      </c>
      <c r="Q350" s="17">
        <f>_xlfn.XLOOKUP($B350,'[1]Dec-24'!$A:$A,'[1]Dec-24'!$H:$H,0)</f>
        <v>0</v>
      </c>
      <c r="R350" s="17">
        <f>_xlfn.XLOOKUP($B350,'[1]Jan-25'!$A:$A,'[1]Jan-25'!$H:$H,0)</f>
        <v>0</v>
      </c>
      <c r="S350" s="17">
        <f>_xlfn.XLOOKUP($B350,'[1]Feb-25'!$A:$A,'[1]Feb-25'!$H:$H,0)</f>
        <v>0</v>
      </c>
      <c r="T350" s="17">
        <f>_xlfn.XLOOKUP($B350,'[1]Mar-25'!$A:$A,'[1]Mar-25'!$H:$H,0)</f>
        <v>220352.43</v>
      </c>
      <c r="U350" s="17">
        <f>_xlfn.XLOOKUP($B350,'[1]Apr-25'!$A:$A,'[1]Apr-25'!$H:$H,0)</f>
        <v>0</v>
      </c>
      <c r="V350" s="17">
        <f>_xlfn.XLOOKUP($B350,'[1]May-25'!$A:$A,'[1]May-25'!$H:$H,0)</f>
        <v>0</v>
      </c>
      <c r="W350" s="17">
        <f>_xlfn.XLOOKUP($B350,'[1]Jun-25'!$A:$A,'[1]Jun-25'!$H:$H,0)</f>
        <v>0</v>
      </c>
      <c r="X350" s="17">
        <f>_xlfn.XLOOKUP($B350,'[1]Jul-25'!$A:$A,'[1]Jul-25'!$H:$H,0)</f>
        <v>1295123</v>
      </c>
      <c r="Y350" s="17">
        <f>_xlfn.XLOOKUP($B350,'[1]Aug-25'!$A:$A,'[1]Aug-25'!$H:$H,0)</f>
        <v>1139710.6100000001</v>
      </c>
      <c r="Z350" s="17">
        <f>_xlfn.XLOOKUP($B350,'[1]Sep-25'!$A:$A,'[1]Sep-25'!$H:$H,0)</f>
        <v>0</v>
      </c>
      <c r="AA350" s="17">
        <f>_xlfn.XLOOKUP($B350,'[1]Oct-25'!$A:$A,'[1]Oct-25'!$H:$H,0)</f>
        <v>0</v>
      </c>
      <c r="AB350" s="17">
        <f>_xlfn.XLOOKUP($B350,'[1]Nov-25'!$A:$A,'[1]Nov-25'!$H:$H,0)</f>
        <v>0</v>
      </c>
      <c r="AC350" s="17">
        <f>_xlfn.XLOOKUP($B350,'[1]Dec-25'!$A:$A,'[1]Dec-25'!$H:$H,0)</f>
        <v>0</v>
      </c>
      <c r="AD350" s="17">
        <f>_xlfn.XLOOKUP($B350,'[1]Jan-26'!$A:$A,'[1]Jan-26'!$H:$H,0)</f>
        <v>0</v>
      </c>
      <c r="AE350" s="17">
        <f>_xlfn.XLOOKUP($B350,'[1]Feb-26'!$A:$A,'[1]Feb-26'!$H:$H,0)</f>
        <v>0</v>
      </c>
      <c r="AF350" s="17">
        <f>_xlfn.XLOOKUP($B350,'[1]Mar-26'!$A:$A,'[1]Mar-26'!$H:$H,0)</f>
        <v>0</v>
      </c>
      <c r="AG350" s="17">
        <f>_xlfn.XLOOKUP($B350,'[1]Apr-26'!$A:$A,'[1]Apr-26'!$H:$H,0)</f>
        <v>0</v>
      </c>
    </row>
    <row r="351" spans="1:33" x14ac:dyDescent="0.2">
      <c r="A351" s="58">
        <v>53010</v>
      </c>
      <c r="B351" s="56" t="str">
        <f t="shared" si="11"/>
        <v>53010</v>
      </c>
      <c r="C351" s="57" t="s">
        <v>517</v>
      </c>
      <c r="D351" s="57" t="s">
        <v>387</v>
      </c>
      <c r="E351" s="44" t="s">
        <v>535</v>
      </c>
      <c r="F351" s="17">
        <f>_xlfn.XLOOKUP($B351,'[1]Jan-24'!$A:$A,'[1]Jan-24'!$H:$H,0)</f>
        <v>0</v>
      </c>
      <c r="G351" s="17">
        <f>_xlfn.XLOOKUP($B351,'[1]Feb-24'!$A:$A,'[1]Feb-24'!$H:$H,0)</f>
        <v>0</v>
      </c>
      <c r="H351" s="17">
        <f>_xlfn.XLOOKUP($B351,'[1]Mar-24'!$A:$A,'[1]Mar-24'!$H:$H,0)</f>
        <v>0</v>
      </c>
      <c r="I351" s="17">
        <f>_xlfn.XLOOKUP($B351,'[1]Apr-24'!$A:$A,'[1]Apr-24'!$H:$H,0)</f>
        <v>0</v>
      </c>
      <c r="J351" s="17">
        <f>_xlfn.XLOOKUP($B351,'[1]May-24'!$A:$A,'[1]May-24'!$H:$H,0)</f>
        <v>0</v>
      </c>
      <c r="K351" s="17">
        <f>_xlfn.XLOOKUP($B351,'[1]Jun-24'!$A:$A,'[1]Jun-24'!$H:$H,0)</f>
        <v>0</v>
      </c>
      <c r="L351" s="17">
        <f>_xlfn.XLOOKUP($B351,'[1]Jul-24'!$A:$A,'[1]Jul-24'!$H:$H,0)</f>
        <v>0</v>
      </c>
      <c r="M351" s="17">
        <f>_xlfn.XLOOKUP($B351,'[1]Aug-24'!$A:$A,'[1]Aug-24'!$H:$H,0)</f>
        <v>0</v>
      </c>
      <c r="N351" s="17">
        <f>_xlfn.XLOOKUP($B351,'[1]Sep-24'!$A:$A,'[1]Sep-24'!$H:$H,0)</f>
        <v>0</v>
      </c>
      <c r="O351" s="17">
        <f>_xlfn.XLOOKUP($B351,'[1]Oct-24'!$A:$A,'[1]Oct-24'!$H:$H,0)</f>
        <v>0</v>
      </c>
      <c r="P351" s="17">
        <f>_xlfn.XLOOKUP($B351,'[1]Nov-24'!$A:$A,'[1]Nov-24'!$H:$H,0)</f>
        <v>0</v>
      </c>
      <c r="Q351" s="17">
        <f>_xlfn.XLOOKUP($B351,'[1]Dec-24'!$A:$A,'[1]Dec-24'!$H:$H,0)</f>
        <v>0</v>
      </c>
      <c r="R351" s="17">
        <f>_xlfn.XLOOKUP($B351,'[1]Jan-25'!$A:$A,'[1]Jan-25'!$H:$H,0)</f>
        <v>0</v>
      </c>
      <c r="S351" s="17">
        <f>_xlfn.XLOOKUP($B351,'[1]Feb-25'!$A:$A,'[1]Feb-25'!$H:$H,0)</f>
        <v>0</v>
      </c>
      <c r="T351" s="17">
        <f>_xlfn.XLOOKUP($B351,'[1]Mar-25'!$A:$A,'[1]Mar-25'!$H:$H,0)</f>
        <v>0</v>
      </c>
      <c r="U351" s="17">
        <f>_xlfn.XLOOKUP($B351,'[1]Apr-25'!$A:$A,'[1]Apr-25'!$H:$H,0)</f>
        <v>0</v>
      </c>
      <c r="V351" s="17">
        <f>_xlfn.XLOOKUP($B351,'[1]May-25'!$A:$A,'[1]May-25'!$H:$H,0)</f>
        <v>0</v>
      </c>
      <c r="W351" s="17">
        <f>_xlfn.XLOOKUP($B351,'[1]Jun-25'!$A:$A,'[1]Jun-25'!$H:$H,0)</f>
        <v>0</v>
      </c>
      <c r="X351" s="17">
        <f>_xlfn.XLOOKUP($B351,'[1]Jul-25'!$A:$A,'[1]Jul-25'!$H:$H,0)</f>
        <v>0</v>
      </c>
      <c r="Y351" s="17">
        <f>_xlfn.XLOOKUP($B351,'[1]Aug-25'!$A:$A,'[1]Aug-25'!$H:$H,0)</f>
        <v>0</v>
      </c>
      <c r="Z351" s="17">
        <f>_xlfn.XLOOKUP($B351,'[1]Sep-25'!$A:$A,'[1]Sep-25'!$H:$H,0)</f>
        <v>0</v>
      </c>
      <c r="AA351" s="17">
        <f>_xlfn.XLOOKUP($B351,'[1]Oct-25'!$A:$A,'[1]Oct-25'!$H:$H,0)</f>
        <v>0</v>
      </c>
      <c r="AB351" s="17">
        <f>_xlfn.XLOOKUP($B351,'[1]Nov-25'!$A:$A,'[1]Nov-25'!$H:$H,0)</f>
        <v>0</v>
      </c>
      <c r="AC351" s="17">
        <f>_xlfn.XLOOKUP($B351,'[1]Dec-25'!$A:$A,'[1]Dec-25'!$H:$H,0)</f>
        <v>0</v>
      </c>
      <c r="AD351" s="17">
        <f>_xlfn.XLOOKUP($B351,'[1]Jan-26'!$A:$A,'[1]Jan-26'!$H:$H,0)</f>
        <v>0</v>
      </c>
      <c r="AE351" s="17">
        <f>_xlfn.XLOOKUP($B351,'[1]Feb-26'!$A:$A,'[1]Feb-26'!$H:$H,0)</f>
        <v>0</v>
      </c>
      <c r="AF351" s="17">
        <f>_xlfn.XLOOKUP($B351,'[1]Mar-26'!$A:$A,'[1]Mar-26'!$H:$H,0)</f>
        <v>0</v>
      </c>
      <c r="AG351" s="17">
        <f>_xlfn.XLOOKUP($B351,'[1]Apr-26'!$A:$A,'[1]Apr-26'!$H:$H,0)</f>
        <v>0</v>
      </c>
    </row>
    <row r="352" spans="1:33" x14ac:dyDescent="0.2">
      <c r="A352" s="58">
        <v>53015</v>
      </c>
      <c r="B352" s="56" t="str">
        <f t="shared" si="11"/>
        <v>53015</v>
      </c>
      <c r="C352" s="57" t="s">
        <v>517</v>
      </c>
      <c r="D352" s="57" t="s">
        <v>387</v>
      </c>
      <c r="E352" s="44" t="s">
        <v>536</v>
      </c>
      <c r="F352" s="17">
        <f>_xlfn.XLOOKUP($B352,'[1]Jan-24'!$A:$A,'[1]Jan-24'!$H:$H,0)</f>
        <v>0</v>
      </c>
      <c r="G352" s="17">
        <f>_xlfn.XLOOKUP($B352,'[1]Feb-24'!$A:$A,'[1]Feb-24'!$H:$H,0)</f>
        <v>0</v>
      </c>
      <c r="H352" s="17">
        <f>_xlfn.XLOOKUP($B352,'[1]Mar-24'!$A:$A,'[1]Mar-24'!$H:$H,0)</f>
        <v>0</v>
      </c>
      <c r="I352" s="17">
        <f>_xlfn.XLOOKUP($B352,'[1]Apr-24'!$A:$A,'[1]Apr-24'!$H:$H,0)</f>
        <v>0</v>
      </c>
      <c r="J352" s="17">
        <f>_xlfn.XLOOKUP($B352,'[1]May-24'!$A:$A,'[1]May-24'!$H:$H,0)</f>
        <v>0</v>
      </c>
      <c r="K352" s="17">
        <f>_xlfn.XLOOKUP($B352,'[1]Jun-24'!$A:$A,'[1]Jun-24'!$H:$H,0)</f>
        <v>0</v>
      </c>
      <c r="L352" s="17">
        <f>_xlfn.XLOOKUP($B352,'[1]Jul-24'!$A:$A,'[1]Jul-24'!$H:$H,0)</f>
        <v>0</v>
      </c>
      <c r="M352" s="17">
        <f>_xlfn.XLOOKUP($B352,'[1]Aug-24'!$A:$A,'[1]Aug-24'!$H:$H,0)</f>
        <v>0</v>
      </c>
      <c r="N352" s="17">
        <f>_xlfn.XLOOKUP($B352,'[1]Sep-24'!$A:$A,'[1]Sep-24'!$H:$H,0)</f>
        <v>0</v>
      </c>
      <c r="O352" s="17">
        <f>_xlfn.XLOOKUP($B352,'[1]Oct-24'!$A:$A,'[1]Oct-24'!$H:$H,0)</f>
        <v>0</v>
      </c>
      <c r="P352" s="17">
        <f>_xlfn.XLOOKUP($B352,'[1]Nov-24'!$A:$A,'[1]Nov-24'!$H:$H,0)</f>
        <v>0</v>
      </c>
      <c r="Q352" s="17">
        <f>_xlfn.XLOOKUP($B352,'[1]Dec-24'!$A:$A,'[1]Dec-24'!$H:$H,0)</f>
        <v>0</v>
      </c>
      <c r="R352" s="17">
        <f>_xlfn.XLOOKUP($B352,'[1]Jan-25'!$A:$A,'[1]Jan-25'!$H:$H,0)</f>
        <v>0</v>
      </c>
      <c r="S352" s="17">
        <f>_xlfn.XLOOKUP($B352,'[1]Feb-25'!$A:$A,'[1]Feb-25'!$H:$H,0)</f>
        <v>0</v>
      </c>
      <c r="T352" s="17">
        <f>_xlfn.XLOOKUP($B352,'[1]Mar-25'!$A:$A,'[1]Mar-25'!$H:$H,0)</f>
        <v>0</v>
      </c>
      <c r="U352" s="17">
        <f>_xlfn.XLOOKUP($B352,'[1]Apr-25'!$A:$A,'[1]Apr-25'!$H:$H,0)</f>
        <v>0</v>
      </c>
      <c r="V352" s="17">
        <f>_xlfn.XLOOKUP($B352,'[1]May-25'!$A:$A,'[1]May-25'!$H:$H,0)</f>
        <v>0</v>
      </c>
      <c r="W352" s="17">
        <f>_xlfn.XLOOKUP($B352,'[1]Jun-25'!$A:$A,'[1]Jun-25'!$H:$H,0)</f>
        <v>0</v>
      </c>
      <c r="X352" s="17">
        <f>_xlfn.XLOOKUP($B352,'[1]Jul-25'!$A:$A,'[1]Jul-25'!$H:$H,0)</f>
        <v>0</v>
      </c>
      <c r="Y352" s="17">
        <f>_xlfn.XLOOKUP($B352,'[1]Aug-25'!$A:$A,'[1]Aug-25'!$H:$H,0)</f>
        <v>0</v>
      </c>
      <c r="Z352" s="17">
        <f>_xlfn.XLOOKUP($B352,'[1]Sep-25'!$A:$A,'[1]Sep-25'!$H:$H,0)</f>
        <v>0</v>
      </c>
      <c r="AA352" s="17">
        <f>_xlfn.XLOOKUP($B352,'[1]Oct-25'!$A:$A,'[1]Oct-25'!$H:$H,0)</f>
        <v>0</v>
      </c>
      <c r="AB352" s="17">
        <f>_xlfn.XLOOKUP($B352,'[1]Nov-25'!$A:$A,'[1]Nov-25'!$H:$H,0)</f>
        <v>0</v>
      </c>
      <c r="AC352" s="17">
        <f>_xlfn.XLOOKUP($B352,'[1]Dec-25'!$A:$A,'[1]Dec-25'!$H:$H,0)</f>
        <v>0</v>
      </c>
      <c r="AD352" s="17">
        <f>_xlfn.XLOOKUP($B352,'[1]Jan-26'!$A:$A,'[1]Jan-26'!$H:$H,0)</f>
        <v>0</v>
      </c>
      <c r="AE352" s="17">
        <f>_xlfn.XLOOKUP($B352,'[1]Feb-26'!$A:$A,'[1]Feb-26'!$H:$H,0)</f>
        <v>0</v>
      </c>
      <c r="AF352" s="17">
        <f>_xlfn.XLOOKUP($B352,'[1]Mar-26'!$A:$A,'[1]Mar-26'!$H:$H,0)</f>
        <v>0</v>
      </c>
      <c r="AG352" s="17">
        <f>_xlfn.XLOOKUP($B352,'[1]Apr-26'!$A:$A,'[1]Apr-26'!$H:$H,0)</f>
        <v>0</v>
      </c>
    </row>
    <row r="353" spans="1:33" x14ac:dyDescent="0.2">
      <c r="A353" s="58">
        <v>53020</v>
      </c>
      <c r="B353" s="56" t="str">
        <f t="shared" si="11"/>
        <v>53020</v>
      </c>
      <c r="C353" s="57" t="s">
        <v>517</v>
      </c>
      <c r="D353" s="57" t="s">
        <v>387</v>
      </c>
      <c r="E353" s="44" t="s">
        <v>537</v>
      </c>
      <c r="F353" s="17">
        <f>_xlfn.XLOOKUP($B353,'[1]Jan-24'!$A:$A,'[1]Jan-24'!$H:$H,0)</f>
        <v>0</v>
      </c>
      <c r="G353" s="17">
        <f>_xlfn.XLOOKUP($B353,'[1]Feb-24'!$A:$A,'[1]Feb-24'!$H:$H,0)</f>
        <v>0</v>
      </c>
      <c r="H353" s="17">
        <f>_xlfn.XLOOKUP($B353,'[1]Mar-24'!$A:$A,'[1]Mar-24'!$H:$H,0)</f>
        <v>0</v>
      </c>
      <c r="I353" s="17">
        <f>_xlfn.XLOOKUP($B353,'[1]Apr-24'!$A:$A,'[1]Apr-24'!$H:$H,0)</f>
        <v>0</v>
      </c>
      <c r="J353" s="17">
        <f>_xlfn.XLOOKUP($B353,'[1]May-24'!$A:$A,'[1]May-24'!$H:$H,0)</f>
        <v>0</v>
      </c>
      <c r="K353" s="17">
        <f>_xlfn.XLOOKUP($B353,'[1]Jun-24'!$A:$A,'[1]Jun-24'!$H:$H,0)</f>
        <v>0</v>
      </c>
      <c r="L353" s="17">
        <f>_xlfn.XLOOKUP($B353,'[1]Jul-24'!$A:$A,'[1]Jul-24'!$H:$H,0)</f>
        <v>0</v>
      </c>
      <c r="M353" s="17">
        <f>_xlfn.XLOOKUP($B353,'[1]Aug-24'!$A:$A,'[1]Aug-24'!$H:$H,0)</f>
        <v>0</v>
      </c>
      <c r="N353" s="17">
        <f>_xlfn.XLOOKUP($B353,'[1]Sep-24'!$A:$A,'[1]Sep-24'!$H:$H,0)</f>
        <v>0</v>
      </c>
      <c r="O353" s="17">
        <f>_xlfn.XLOOKUP($B353,'[1]Oct-24'!$A:$A,'[1]Oct-24'!$H:$H,0)</f>
        <v>0</v>
      </c>
      <c r="P353" s="17">
        <f>_xlfn.XLOOKUP($B353,'[1]Nov-24'!$A:$A,'[1]Nov-24'!$H:$H,0)</f>
        <v>0</v>
      </c>
      <c r="Q353" s="17">
        <f>_xlfn.XLOOKUP($B353,'[1]Dec-24'!$A:$A,'[1]Dec-24'!$H:$H,0)</f>
        <v>0</v>
      </c>
      <c r="R353" s="17">
        <f>_xlfn.XLOOKUP($B353,'[1]Jan-25'!$A:$A,'[1]Jan-25'!$H:$H,0)</f>
        <v>0</v>
      </c>
      <c r="S353" s="17">
        <f>_xlfn.XLOOKUP($B353,'[1]Feb-25'!$A:$A,'[1]Feb-25'!$H:$H,0)</f>
        <v>0</v>
      </c>
      <c r="T353" s="17">
        <f>_xlfn.XLOOKUP($B353,'[1]Mar-25'!$A:$A,'[1]Mar-25'!$H:$H,0)</f>
        <v>0</v>
      </c>
      <c r="U353" s="17">
        <f>_xlfn.XLOOKUP($B353,'[1]Apr-25'!$A:$A,'[1]Apr-25'!$H:$H,0)</f>
        <v>0</v>
      </c>
      <c r="V353" s="17">
        <f>_xlfn.XLOOKUP($B353,'[1]May-25'!$A:$A,'[1]May-25'!$H:$H,0)</f>
        <v>0</v>
      </c>
      <c r="W353" s="17">
        <f>_xlfn.XLOOKUP($B353,'[1]Jun-25'!$A:$A,'[1]Jun-25'!$H:$H,0)</f>
        <v>0</v>
      </c>
      <c r="X353" s="17">
        <f>_xlfn.XLOOKUP($B353,'[1]Jul-25'!$A:$A,'[1]Jul-25'!$H:$H,0)</f>
        <v>0</v>
      </c>
      <c r="Y353" s="17">
        <f>_xlfn.XLOOKUP($B353,'[1]Aug-25'!$A:$A,'[1]Aug-25'!$H:$H,0)</f>
        <v>0</v>
      </c>
      <c r="Z353" s="17">
        <f>_xlfn.XLOOKUP($B353,'[1]Sep-25'!$A:$A,'[1]Sep-25'!$H:$H,0)</f>
        <v>0</v>
      </c>
      <c r="AA353" s="17">
        <f>_xlfn.XLOOKUP($B353,'[1]Oct-25'!$A:$A,'[1]Oct-25'!$H:$H,0)</f>
        <v>0</v>
      </c>
      <c r="AB353" s="17">
        <f>_xlfn.XLOOKUP($B353,'[1]Nov-25'!$A:$A,'[1]Nov-25'!$H:$H,0)</f>
        <v>0</v>
      </c>
      <c r="AC353" s="17">
        <f>_xlfn.XLOOKUP($B353,'[1]Dec-25'!$A:$A,'[1]Dec-25'!$H:$H,0)</f>
        <v>0</v>
      </c>
      <c r="AD353" s="17">
        <f>_xlfn.XLOOKUP($B353,'[1]Jan-26'!$A:$A,'[1]Jan-26'!$H:$H,0)</f>
        <v>0</v>
      </c>
      <c r="AE353" s="17">
        <f>_xlfn.XLOOKUP($B353,'[1]Feb-26'!$A:$A,'[1]Feb-26'!$H:$H,0)</f>
        <v>0</v>
      </c>
      <c r="AF353" s="17">
        <f>_xlfn.XLOOKUP($B353,'[1]Mar-26'!$A:$A,'[1]Mar-26'!$H:$H,0)</f>
        <v>0</v>
      </c>
      <c r="AG353" s="17">
        <f>_xlfn.XLOOKUP($B353,'[1]Apr-26'!$A:$A,'[1]Apr-26'!$H:$H,0)</f>
        <v>0</v>
      </c>
    </row>
    <row r="354" spans="1:33" x14ac:dyDescent="0.2">
      <c r="A354" s="58">
        <v>53025</v>
      </c>
      <c r="B354" s="56" t="str">
        <f t="shared" si="11"/>
        <v>53025</v>
      </c>
      <c r="C354" s="57" t="s">
        <v>517</v>
      </c>
      <c r="D354" s="57" t="s">
        <v>387</v>
      </c>
      <c r="E354" s="44" t="s">
        <v>538</v>
      </c>
      <c r="F354" s="17">
        <f>_xlfn.XLOOKUP($B354,'[1]Jan-24'!$A:$A,'[1]Jan-24'!$H:$H,0)</f>
        <v>0</v>
      </c>
      <c r="G354" s="17">
        <f>_xlfn.XLOOKUP($B354,'[1]Feb-24'!$A:$A,'[1]Feb-24'!$H:$H,0)</f>
        <v>0</v>
      </c>
      <c r="H354" s="17">
        <f>_xlfn.XLOOKUP($B354,'[1]Mar-24'!$A:$A,'[1]Mar-24'!$H:$H,0)</f>
        <v>0</v>
      </c>
      <c r="I354" s="17">
        <f>_xlfn.XLOOKUP($B354,'[1]Apr-24'!$A:$A,'[1]Apr-24'!$H:$H,0)</f>
        <v>0</v>
      </c>
      <c r="J354" s="17">
        <f>_xlfn.XLOOKUP($B354,'[1]May-24'!$A:$A,'[1]May-24'!$H:$H,0)</f>
        <v>0</v>
      </c>
      <c r="K354" s="17">
        <f>_xlfn.XLOOKUP($B354,'[1]Jun-24'!$A:$A,'[1]Jun-24'!$H:$H,0)</f>
        <v>0</v>
      </c>
      <c r="L354" s="17">
        <f>_xlfn.XLOOKUP($B354,'[1]Jul-24'!$A:$A,'[1]Jul-24'!$H:$H,0)</f>
        <v>0</v>
      </c>
      <c r="M354" s="17">
        <f>_xlfn.XLOOKUP($B354,'[1]Aug-24'!$A:$A,'[1]Aug-24'!$H:$H,0)</f>
        <v>0</v>
      </c>
      <c r="N354" s="17">
        <f>_xlfn.XLOOKUP($B354,'[1]Sep-24'!$A:$A,'[1]Sep-24'!$H:$H,0)</f>
        <v>0</v>
      </c>
      <c r="O354" s="17">
        <f>_xlfn.XLOOKUP($B354,'[1]Oct-24'!$A:$A,'[1]Oct-24'!$H:$H,0)</f>
        <v>0</v>
      </c>
      <c r="P354" s="17">
        <f>_xlfn.XLOOKUP($B354,'[1]Nov-24'!$A:$A,'[1]Nov-24'!$H:$H,0)</f>
        <v>0</v>
      </c>
      <c r="Q354" s="17">
        <f>_xlfn.XLOOKUP($B354,'[1]Dec-24'!$A:$A,'[1]Dec-24'!$H:$H,0)</f>
        <v>0</v>
      </c>
      <c r="R354" s="17">
        <f>_xlfn.XLOOKUP($B354,'[1]Jan-25'!$A:$A,'[1]Jan-25'!$H:$H,0)</f>
        <v>0</v>
      </c>
      <c r="S354" s="17">
        <f>_xlfn.XLOOKUP($B354,'[1]Feb-25'!$A:$A,'[1]Feb-25'!$H:$H,0)</f>
        <v>0</v>
      </c>
      <c r="T354" s="17">
        <f>_xlfn.XLOOKUP($B354,'[1]Mar-25'!$A:$A,'[1]Mar-25'!$H:$H,0)</f>
        <v>0</v>
      </c>
      <c r="U354" s="17">
        <f>_xlfn.XLOOKUP($B354,'[1]Apr-25'!$A:$A,'[1]Apr-25'!$H:$H,0)</f>
        <v>0</v>
      </c>
      <c r="V354" s="17">
        <f>_xlfn.XLOOKUP($B354,'[1]May-25'!$A:$A,'[1]May-25'!$H:$H,0)</f>
        <v>0</v>
      </c>
      <c r="W354" s="17">
        <f>_xlfn.XLOOKUP($B354,'[1]Jun-25'!$A:$A,'[1]Jun-25'!$H:$H,0)</f>
        <v>0</v>
      </c>
      <c r="X354" s="17">
        <f>_xlfn.XLOOKUP($B354,'[1]Jul-25'!$A:$A,'[1]Jul-25'!$H:$H,0)</f>
        <v>0</v>
      </c>
      <c r="Y354" s="17">
        <f>_xlfn.XLOOKUP($B354,'[1]Aug-25'!$A:$A,'[1]Aug-25'!$H:$H,0)</f>
        <v>0</v>
      </c>
      <c r="Z354" s="17">
        <f>_xlfn.XLOOKUP($B354,'[1]Sep-25'!$A:$A,'[1]Sep-25'!$H:$H,0)</f>
        <v>0</v>
      </c>
      <c r="AA354" s="17">
        <f>_xlfn.XLOOKUP($B354,'[1]Oct-25'!$A:$A,'[1]Oct-25'!$H:$H,0)</f>
        <v>8872504.3900000006</v>
      </c>
      <c r="AB354" s="17">
        <f>_xlfn.XLOOKUP($B354,'[1]Nov-25'!$A:$A,'[1]Nov-25'!$H:$H,0)</f>
        <v>8079710.5700000003</v>
      </c>
      <c r="AC354" s="17">
        <f>_xlfn.XLOOKUP($B354,'[1]Dec-25'!$A:$A,'[1]Dec-25'!$H:$H,0)</f>
        <v>4801737.84</v>
      </c>
      <c r="AD354" s="17">
        <f>_xlfn.XLOOKUP($B354,'[1]Jan-26'!$A:$A,'[1]Jan-26'!$H:$H,0)</f>
        <v>75819310.510000005</v>
      </c>
      <c r="AE354" s="17">
        <f>_xlfn.XLOOKUP($B354,'[1]Feb-26'!$A:$A,'[1]Feb-26'!$H:$H,0)</f>
        <v>65349879.950000003</v>
      </c>
      <c r="AF354" s="17">
        <f>_xlfn.XLOOKUP($B354,'[1]Mar-26'!$A:$A,'[1]Mar-26'!$H:$H,0)</f>
        <v>78127784.150000006</v>
      </c>
      <c r="AG354" s="17">
        <f>_xlfn.XLOOKUP($B354,'[1]Apr-26'!$A:$A,'[1]Apr-26'!$H:$H,0)</f>
        <v>12814345.060000002</v>
      </c>
    </row>
    <row r="355" spans="1:33" x14ac:dyDescent="0.2">
      <c r="A355" s="58">
        <v>53030</v>
      </c>
      <c r="B355" s="56" t="str">
        <f t="shared" si="11"/>
        <v>53030</v>
      </c>
      <c r="C355" s="57" t="s">
        <v>517</v>
      </c>
      <c r="D355" s="57" t="s">
        <v>387</v>
      </c>
      <c r="E355" s="44" t="s">
        <v>104</v>
      </c>
      <c r="F355" s="17">
        <f>_xlfn.XLOOKUP($B355,'[1]Jan-24'!$A:$A,'[1]Jan-24'!$H:$H,0)</f>
        <v>658500</v>
      </c>
      <c r="G355" s="17">
        <f>_xlfn.XLOOKUP($B355,'[1]Feb-24'!$A:$A,'[1]Feb-24'!$H:$H,0)</f>
        <v>14000</v>
      </c>
      <c r="H355" s="17">
        <f>_xlfn.XLOOKUP($B355,'[1]Mar-24'!$A:$A,'[1]Mar-24'!$H:$H,0)</f>
        <v>0</v>
      </c>
      <c r="I355" s="17">
        <f>_xlfn.XLOOKUP($B355,'[1]Apr-24'!$A:$A,'[1]Apr-24'!$H:$H,0)</f>
        <v>29195322.539999999</v>
      </c>
      <c r="J355" s="17">
        <f>_xlfn.XLOOKUP($B355,'[1]May-24'!$A:$A,'[1]May-24'!$H:$H,0)</f>
        <v>10302250</v>
      </c>
      <c r="K355" s="17">
        <f>_xlfn.XLOOKUP($B355,'[1]Jun-24'!$A:$A,'[1]Jun-24'!$H:$H,0)</f>
        <v>6000</v>
      </c>
      <c r="L355" s="17">
        <f>_xlfn.XLOOKUP($B355,'[1]Jul-24'!$A:$A,'[1]Jul-24'!$H:$H,0)</f>
        <v>90000</v>
      </c>
      <c r="M355" s="17">
        <f>_xlfn.XLOOKUP($B355,'[1]Aug-24'!$A:$A,'[1]Aug-24'!$H:$H,0)</f>
        <v>20500</v>
      </c>
      <c r="N355" s="17">
        <f>_xlfn.XLOOKUP($B355,'[1]Sep-24'!$A:$A,'[1]Sep-24'!$H:$H,0)</f>
        <v>0</v>
      </c>
      <c r="O355" s="17">
        <f>_xlfn.XLOOKUP($B355,'[1]Oct-24'!$A:$A,'[1]Oct-24'!$H:$H,0)</f>
        <v>0</v>
      </c>
      <c r="P355" s="17">
        <f>_xlfn.XLOOKUP($B355,'[1]Nov-24'!$A:$A,'[1]Nov-24'!$H:$H,0)</f>
        <v>0</v>
      </c>
      <c r="Q355" s="17">
        <f>_xlfn.XLOOKUP($B355,'[1]Dec-24'!$A:$A,'[1]Dec-24'!$H:$H,0)</f>
        <v>0</v>
      </c>
      <c r="R355" s="17">
        <f>_xlfn.XLOOKUP($B355,'[1]Jan-25'!$A:$A,'[1]Jan-25'!$H:$H,0)</f>
        <v>0</v>
      </c>
      <c r="S355" s="17">
        <f>_xlfn.XLOOKUP($B355,'[1]Feb-25'!$A:$A,'[1]Feb-25'!$H:$H,0)</f>
        <v>0</v>
      </c>
      <c r="T355" s="17">
        <f>_xlfn.XLOOKUP($B355,'[1]Mar-25'!$A:$A,'[1]Mar-25'!$H:$H,0)</f>
        <v>0</v>
      </c>
      <c r="U355" s="17">
        <f>_xlfn.XLOOKUP($B355,'[1]Apr-25'!$A:$A,'[1]Apr-25'!$H:$H,0)</f>
        <v>0</v>
      </c>
      <c r="V355" s="17">
        <f>_xlfn.XLOOKUP($B355,'[1]May-25'!$A:$A,'[1]May-25'!$H:$H,0)</f>
        <v>1569250</v>
      </c>
      <c r="W355" s="17">
        <f>_xlfn.XLOOKUP($B355,'[1]Jun-25'!$A:$A,'[1]Jun-25'!$H:$H,0)</f>
        <v>0</v>
      </c>
      <c r="X355" s="17">
        <f>_xlfn.XLOOKUP($B355,'[1]Jul-25'!$A:$A,'[1]Jul-25'!$H:$H,0)</f>
        <v>0</v>
      </c>
      <c r="Y355" s="17">
        <f>_xlfn.XLOOKUP($B355,'[1]Aug-25'!$A:$A,'[1]Aug-25'!$H:$H,0)</f>
        <v>0</v>
      </c>
      <c r="Z355" s="17">
        <f>_xlfn.XLOOKUP($B355,'[1]Sep-25'!$A:$A,'[1]Sep-25'!$H:$H,0)</f>
        <v>0</v>
      </c>
      <c r="AA355" s="17">
        <f>_xlfn.XLOOKUP($B355,'[1]Oct-25'!$A:$A,'[1]Oct-25'!$H:$H,0)</f>
        <v>0</v>
      </c>
      <c r="AB355" s="17">
        <f>_xlfn.XLOOKUP($B355,'[1]Nov-25'!$A:$A,'[1]Nov-25'!$H:$H,0)</f>
        <v>0</v>
      </c>
      <c r="AC355" s="17">
        <f>_xlfn.XLOOKUP($B355,'[1]Dec-25'!$A:$A,'[1]Dec-25'!$H:$H,0)</f>
        <v>0</v>
      </c>
      <c r="AD355" s="17">
        <f>_xlfn.XLOOKUP($B355,'[1]Jan-26'!$A:$A,'[1]Jan-26'!$H:$H,0)</f>
        <v>0</v>
      </c>
      <c r="AE355" s="17">
        <f>_xlfn.XLOOKUP($B355,'[1]Feb-26'!$A:$A,'[1]Feb-26'!$H:$H,0)</f>
        <v>0</v>
      </c>
      <c r="AF355" s="17">
        <f>_xlfn.XLOOKUP($B355,'[1]Mar-26'!$A:$A,'[1]Mar-26'!$H:$H,0)</f>
        <v>0</v>
      </c>
      <c r="AG355" s="17">
        <f>_xlfn.XLOOKUP($B355,'[1]Apr-26'!$A:$A,'[1]Apr-26'!$H:$H,0)</f>
        <v>0</v>
      </c>
    </row>
    <row r="356" spans="1:33" x14ac:dyDescent="0.2">
      <c r="A356" s="58">
        <v>53035</v>
      </c>
      <c r="B356" s="56" t="str">
        <f t="shared" si="11"/>
        <v>53035</v>
      </c>
      <c r="C356" s="57" t="s">
        <v>517</v>
      </c>
      <c r="D356" s="57" t="s">
        <v>387</v>
      </c>
      <c r="E356" s="44" t="s">
        <v>539</v>
      </c>
      <c r="F356" s="17">
        <f>_xlfn.XLOOKUP($B356,'[1]Jan-24'!$A:$A,'[1]Jan-24'!$H:$H,0)</f>
        <v>0</v>
      </c>
      <c r="G356" s="17">
        <f>_xlfn.XLOOKUP($B356,'[1]Feb-24'!$A:$A,'[1]Feb-24'!$H:$H,0)</f>
        <v>0</v>
      </c>
      <c r="H356" s="17">
        <f>_xlfn.XLOOKUP($B356,'[1]Mar-24'!$A:$A,'[1]Mar-24'!$H:$H,0)</f>
        <v>0</v>
      </c>
      <c r="I356" s="17">
        <f>_xlfn.XLOOKUP($B356,'[1]Apr-24'!$A:$A,'[1]Apr-24'!$H:$H,0)</f>
        <v>0</v>
      </c>
      <c r="J356" s="17">
        <f>_xlfn.XLOOKUP($B356,'[1]May-24'!$A:$A,'[1]May-24'!$H:$H,0)</f>
        <v>0</v>
      </c>
      <c r="K356" s="17">
        <f>_xlfn.XLOOKUP($B356,'[1]Jun-24'!$A:$A,'[1]Jun-24'!$H:$H,0)</f>
        <v>0</v>
      </c>
      <c r="L356" s="17">
        <f>_xlfn.XLOOKUP($B356,'[1]Jul-24'!$A:$A,'[1]Jul-24'!$H:$H,0)</f>
        <v>0</v>
      </c>
      <c r="M356" s="17">
        <f>_xlfn.XLOOKUP($B356,'[1]Aug-24'!$A:$A,'[1]Aug-24'!$H:$H,0)</f>
        <v>0</v>
      </c>
      <c r="N356" s="17">
        <f>_xlfn.XLOOKUP($B356,'[1]Sep-24'!$A:$A,'[1]Sep-24'!$H:$H,0)</f>
        <v>0</v>
      </c>
      <c r="O356" s="17">
        <f>_xlfn.XLOOKUP($B356,'[1]Oct-24'!$A:$A,'[1]Oct-24'!$H:$H,0)</f>
        <v>0</v>
      </c>
      <c r="P356" s="17">
        <f>_xlfn.XLOOKUP($B356,'[1]Nov-24'!$A:$A,'[1]Nov-24'!$H:$H,0)</f>
        <v>0</v>
      </c>
      <c r="Q356" s="17">
        <f>_xlfn.XLOOKUP($B356,'[1]Dec-24'!$A:$A,'[1]Dec-24'!$H:$H,0)</f>
        <v>0</v>
      </c>
      <c r="R356" s="17">
        <f>_xlfn.XLOOKUP($B356,'[1]Jan-25'!$A:$A,'[1]Jan-25'!$H:$H,0)</f>
        <v>0</v>
      </c>
      <c r="S356" s="17">
        <f>_xlfn.XLOOKUP($B356,'[1]Feb-25'!$A:$A,'[1]Feb-25'!$H:$H,0)</f>
        <v>0</v>
      </c>
      <c r="T356" s="17">
        <f>_xlfn.XLOOKUP($B356,'[1]Mar-25'!$A:$A,'[1]Mar-25'!$H:$H,0)</f>
        <v>0</v>
      </c>
      <c r="U356" s="17">
        <f>_xlfn.XLOOKUP($B356,'[1]Apr-25'!$A:$A,'[1]Apr-25'!$H:$H,0)</f>
        <v>0</v>
      </c>
      <c r="V356" s="17">
        <f>_xlfn.XLOOKUP($B356,'[1]May-25'!$A:$A,'[1]May-25'!$H:$H,0)</f>
        <v>0</v>
      </c>
      <c r="W356" s="17">
        <f>_xlfn.XLOOKUP($B356,'[1]Jun-25'!$A:$A,'[1]Jun-25'!$H:$H,0)</f>
        <v>0</v>
      </c>
      <c r="X356" s="17">
        <f>_xlfn.XLOOKUP($B356,'[1]Jul-25'!$A:$A,'[1]Jul-25'!$H:$H,0)</f>
        <v>0</v>
      </c>
      <c r="Y356" s="17">
        <f>_xlfn.XLOOKUP($B356,'[1]Aug-25'!$A:$A,'[1]Aug-25'!$H:$H,0)</f>
        <v>0</v>
      </c>
      <c r="Z356" s="17">
        <f>_xlfn.XLOOKUP($B356,'[1]Sep-25'!$A:$A,'[1]Sep-25'!$H:$H,0)</f>
        <v>0</v>
      </c>
      <c r="AA356" s="17">
        <f>_xlfn.XLOOKUP($B356,'[1]Oct-25'!$A:$A,'[1]Oct-25'!$H:$H,0)</f>
        <v>0</v>
      </c>
      <c r="AB356" s="17">
        <f>_xlfn.XLOOKUP($B356,'[1]Nov-25'!$A:$A,'[1]Nov-25'!$H:$H,0)</f>
        <v>0</v>
      </c>
      <c r="AC356" s="17">
        <f>_xlfn.XLOOKUP($B356,'[1]Dec-25'!$A:$A,'[1]Dec-25'!$H:$H,0)</f>
        <v>0</v>
      </c>
      <c r="AD356" s="17">
        <f>_xlfn.XLOOKUP($B356,'[1]Jan-26'!$A:$A,'[1]Jan-26'!$H:$H,0)</f>
        <v>0</v>
      </c>
      <c r="AE356" s="17">
        <f>_xlfn.XLOOKUP($B356,'[1]Feb-26'!$A:$A,'[1]Feb-26'!$H:$H,0)</f>
        <v>0</v>
      </c>
      <c r="AF356" s="17">
        <f>_xlfn.XLOOKUP($B356,'[1]Mar-26'!$A:$A,'[1]Mar-26'!$H:$H,0)</f>
        <v>0</v>
      </c>
      <c r="AG356" s="17">
        <f>_xlfn.XLOOKUP($B356,'[1]Apr-26'!$A:$A,'[1]Apr-26'!$H:$H,0)</f>
        <v>0</v>
      </c>
    </row>
    <row r="357" spans="1:33" x14ac:dyDescent="0.2">
      <c r="A357" s="58">
        <v>53040</v>
      </c>
      <c r="B357" s="56" t="str">
        <f t="shared" si="11"/>
        <v>53040</v>
      </c>
      <c r="C357" s="57" t="s">
        <v>517</v>
      </c>
      <c r="D357" s="57" t="s">
        <v>387</v>
      </c>
      <c r="E357" s="44" t="s">
        <v>105</v>
      </c>
      <c r="F357" s="17">
        <f>_xlfn.XLOOKUP($B357,'[1]Jan-24'!$A:$A,'[1]Jan-24'!$H:$H,0)</f>
        <v>114000</v>
      </c>
      <c r="G357" s="17">
        <f>_xlfn.XLOOKUP($B357,'[1]Feb-24'!$A:$A,'[1]Feb-24'!$H:$H,0)</f>
        <v>122000</v>
      </c>
      <c r="H357" s="17">
        <f>_xlfn.XLOOKUP($B357,'[1]Mar-24'!$A:$A,'[1]Mar-24'!$H:$H,0)</f>
        <v>0</v>
      </c>
      <c r="I357" s="17">
        <f>_xlfn.XLOOKUP($B357,'[1]Apr-24'!$A:$A,'[1]Apr-24'!$H:$H,0)</f>
        <v>75000</v>
      </c>
      <c r="J357" s="17">
        <f>_xlfn.XLOOKUP($B357,'[1]May-24'!$A:$A,'[1]May-24'!$H:$H,0)</f>
        <v>100500</v>
      </c>
      <c r="K357" s="17">
        <f>_xlfn.XLOOKUP($B357,'[1]Jun-24'!$A:$A,'[1]Jun-24'!$H:$H,0)</f>
        <v>108450</v>
      </c>
      <c r="L357" s="17">
        <f>_xlfn.XLOOKUP($B357,'[1]Jul-24'!$A:$A,'[1]Jul-24'!$H:$H,0)</f>
        <v>0</v>
      </c>
      <c r="M357" s="17">
        <f>_xlfn.XLOOKUP($B357,'[1]Aug-24'!$A:$A,'[1]Aug-24'!$H:$H,0)</f>
        <v>187750</v>
      </c>
      <c r="N357" s="17">
        <f>_xlfn.XLOOKUP($B357,'[1]Sep-24'!$A:$A,'[1]Sep-24'!$H:$H,0)</f>
        <v>114500</v>
      </c>
      <c r="O357" s="17">
        <f>_xlfn.XLOOKUP($B357,'[1]Oct-24'!$A:$A,'[1]Oct-24'!$H:$H,0)</f>
        <v>100000</v>
      </c>
      <c r="P357" s="17">
        <f>_xlfn.XLOOKUP($B357,'[1]Nov-24'!$A:$A,'[1]Nov-24'!$H:$H,0)</f>
        <v>80000</v>
      </c>
      <c r="Q357" s="17">
        <f>_xlfn.XLOOKUP($B357,'[1]Dec-24'!$A:$A,'[1]Dec-24'!$H:$H,0)</f>
        <v>70000</v>
      </c>
      <c r="R357" s="17">
        <f>_xlfn.XLOOKUP($B357,'[1]Jan-25'!$A:$A,'[1]Jan-25'!$H:$H,0)</f>
        <v>100000</v>
      </c>
      <c r="S357" s="17">
        <f>_xlfn.XLOOKUP($B357,'[1]Feb-25'!$A:$A,'[1]Feb-25'!$H:$H,0)</f>
        <v>100000</v>
      </c>
      <c r="T357" s="17">
        <f>_xlfn.XLOOKUP($B357,'[1]Mar-25'!$A:$A,'[1]Mar-25'!$H:$H,0)</f>
        <v>47100</v>
      </c>
      <c r="U357" s="17">
        <f>_xlfn.XLOOKUP($B357,'[1]Apr-25'!$A:$A,'[1]Apr-25'!$H:$H,0)</f>
        <v>53400</v>
      </c>
      <c r="V357" s="17">
        <f>_xlfn.XLOOKUP($B357,'[1]May-25'!$A:$A,'[1]May-25'!$H:$H,0)</f>
        <v>88000</v>
      </c>
      <c r="W357" s="17">
        <f>_xlfn.XLOOKUP($B357,'[1]Jun-25'!$A:$A,'[1]Jun-25'!$H:$H,0)</f>
        <v>64000</v>
      </c>
      <c r="X357" s="17">
        <f>_xlfn.XLOOKUP($B357,'[1]Jul-25'!$A:$A,'[1]Jul-25'!$H:$H,0)</f>
        <v>64000</v>
      </c>
      <c r="Y357" s="17">
        <f>_xlfn.XLOOKUP($B357,'[1]Aug-25'!$A:$A,'[1]Aug-25'!$H:$H,0)</f>
        <v>69550</v>
      </c>
      <c r="Z357" s="17">
        <f>_xlfn.XLOOKUP($B357,'[1]Sep-25'!$A:$A,'[1]Sep-25'!$H:$H,0)</f>
        <v>80000</v>
      </c>
      <c r="AA357" s="17">
        <f>_xlfn.XLOOKUP($B357,'[1]Oct-25'!$A:$A,'[1]Oct-25'!$H:$H,0)</f>
        <v>105000</v>
      </c>
      <c r="AB357" s="17">
        <f>_xlfn.XLOOKUP($B357,'[1]Nov-25'!$A:$A,'[1]Nov-25'!$H:$H,0)</f>
        <v>80000</v>
      </c>
      <c r="AC357" s="17">
        <f>_xlfn.XLOOKUP($B357,'[1]Dec-25'!$A:$A,'[1]Dec-25'!$H:$H,0)</f>
        <v>60000</v>
      </c>
      <c r="AD357" s="17">
        <f>_xlfn.XLOOKUP($B357,'[1]Jan-26'!$A:$A,'[1]Jan-26'!$H:$H,0)</f>
        <v>80000</v>
      </c>
      <c r="AE357" s="17">
        <f>_xlfn.XLOOKUP($B357,'[1]Feb-26'!$A:$A,'[1]Feb-26'!$H:$H,0)</f>
        <v>85000</v>
      </c>
      <c r="AF357" s="17">
        <f>_xlfn.XLOOKUP($B357,'[1]Mar-26'!$A:$A,'[1]Mar-26'!$H:$H,0)</f>
        <v>106500</v>
      </c>
      <c r="AG357" s="17">
        <f>_xlfn.XLOOKUP($B357,'[1]Apr-26'!$A:$A,'[1]Apr-26'!$H:$H,0)</f>
        <v>91800</v>
      </c>
    </row>
    <row r="358" spans="1:33" x14ac:dyDescent="0.2">
      <c r="A358" s="58">
        <v>53045</v>
      </c>
      <c r="B358" s="56" t="str">
        <f t="shared" si="11"/>
        <v>53045</v>
      </c>
      <c r="C358" s="57" t="s">
        <v>517</v>
      </c>
      <c r="D358" s="57" t="s">
        <v>387</v>
      </c>
      <c r="E358" s="44" t="s">
        <v>106</v>
      </c>
      <c r="F358" s="17">
        <f>_xlfn.XLOOKUP($B358,'[1]Jan-24'!$A:$A,'[1]Jan-24'!$H:$H,0)</f>
        <v>38866178.399999999</v>
      </c>
      <c r="G358" s="17">
        <f>_xlfn.XLOOKUP($B358,'[1]Feb-24'!$A:$A,'[1]Feb-24'!$H:$H,0)</f>
        <v>50911525</v>
      </c>
      <c r="H358" s="17">
        <f>_xlfn.XLOOKUP($B358,'[1]Mar-24'!$A:$A,'[1]Mar-24'!$H:$H,0)</f>
        <v>32951806.880000003</v>
      </c>
      <c r="I358" s="17">
        <f>_xlfn.XLOOKUP($B358,'[1]Apr-24'!$A:$A,'[1]Apr-24'!$H:$H,0)</f>
        <v>285450.62</v>
      </c>
      <c r="J358" s="17">
        <f>_xlfn.XLOOKUP($B358,'[1]May-24'!$A:$A,'[1]May-24'!$H:$H,0)</f>
        <v>10730270.67</v>
      </c>
      <c r="K358" s="17">
        <f>_xlfn.XLOOKUP($B358,'[1]Jun-24'!$A:$A,'[1]Jun-24'!$H:$H,0)</f>
        <v>19013806.149999999</v>
      </c>
      <c r="L358" s="17">
        <f>_xlfn.XLOOKUP($B358,'[1]Jul-24'!$A:$A,'[1]Jul-24'!$H:$H,0)</f>
        <v>4833328.6399999997</v>
      </c>
      <c r="M358" s="17">
        <f>_xlfn.XLOOKUP($B358,'[1]Aug-24'!$A:$A,'[1]Aug-24'!$H:$H,0)</f>
        <v>18857116.809999999</v>
      </c>
      <c r="N358" s="17">
        <f>_xlfn.XLOOKUP($B358,'[1]Sep-24'!$A:$A,'[1]Sep-24'!$H:$H,0)</f>
        <v>17097354.640000001</v>
      </c>
      <c r="O358" s="17">
        <f>_xlfn.XLOOKUP($B358,'[1]Oct-24'!$A:$A,'[1]Oct-24'!$H:$H,0)</f>
        <v>14692363.43</v>
      </c>
      <c r="P358" s="17">
        <f>_xlfn.XLOOKUP($B358,'[1]Nov-24'!$A:$A,'[1]Nov-24'!$H:$H,0)</f>
        <v>13507770.949999999</v>
      </c>
      <c r="Q358" s="17">
        <f>_xlfn.XLOOKUP($B358,'[1]Dec-24'!$A:$A,'[1]Dec-24'!$H:$H,0)</f>
        <v>11423798.600000001</v>
      </c>
      <c r="R358" s="17">
        <f>_xlfn.XLOOKUP($B358,'[1]Jan-25'!$A:$A,'[1]Jan-25'!$H:$H,0)</f>
        <v>7336015.7800000003</v>
      </c>
      <c r="S358" s="17">
        <f>_xlfn.XLOOKUP($B358,'[1]Feb-25'!$A:$A,'[1]Feb-25'!$H:$H,0)</f>
        <v>6331537.21</v>
      </c>
      <c r="T358" s="17">
        <f>_xlfn.XLOOKUP($B358,'[1]Mar-25'!$A:$A,'[1]Mar-25'!$H:$H,0)</f>
        <v>6232729.4800000004</v>
      </c>
      <c r="U358" s="17">
        <f>_xlfn.XLOOKUP($B358,'[1]Apr-25'!$A:$A,'[1]Apr-25'!$H:$H,0)</f>
        <v>4670820.0199999996</v>
      </c>
      <c r="V358" s="17">
        <f>_xlfn.XLOOKUP($B358,'[1]May-25'!$A:$A,'[1]May-25'!$H:$H,0)</f>
        <v>3847732.07</v>
      </c>
      <c r="W358" s="17">
        <f>_xlfn.XLOOKUP($B358,'[1]Jun-25'!$A:$A,'[1]Jun-25'!$H:$H,0)</f>
        <v>3426551.11</v>
      </c>
      <c r="X358" s="17">
        <f>_xlfn.XLOOKUP($B358,'[1]Jul-25'!$A:$A,'[1]Jul-25'!$H:$H,0)</f>
        <v>3533544.28</v>
      </c>
      <c r="Y358" s="17">
        <f>_xlfn.XLOOKUP($B358,'[1]Aug-25'!$A:$A,'[1]Aug-25'!$H:$H,0)</f>
        <v>3610789.74</v>
      </c>
      <c r="Z358" s="17">
        <f>_xlfn.XLOOKUP($B358,'[1]Sep-25'!$A:$A,'[1]Sep-25'!$H:$H,0)</f>
        <v>5445395.2599999998</v>
      </c>
      <c r="AA358" s="17">
        <f>_xlfn.XLOOKUP($B358,'[1]Oct-25'!$A:$A,'[1]Oct-25'!$H:$H,0)</f>
        <v>3708746.87</v>
      </c>
      <c r="AB358" s="17">
        <f>_xlfn.XLOOKUP($B358,'[1]Nov-25'!$A:$A,'[1]Nov-25'!$H:$H,0)</f>
        <v>3561855.38</v>
      </c>
      <c r="AC358" s="17">
        <f>_xlfn.XLOOKUP($B358,'[1]Dec-25'!$A:$A,'[1]Dec-25'!$H:$H,0)</f>
        <v>3696467.97</v>
      </c>
      <c r="AD358" s="17">
        <f>_xlfn.XLOOKUP($B358,'[1]Jan-26'!$A:$A,'[1]Jan-26'!$H:$H,0)</f>
        <v>3326478.03</v>
      </c>
      <c r="AE358" s="17">
        <f>_xlfn.XLOOKUP($B358,'[1]Feb-26'!$A:$A,'[1]Feb-26'!$H:$H,0)</f>
        <v>2958968.88</v>
      </c>
      <c r="AF358" s="17">
        <f>_xlfn.XLOOKUP($B358,'[1]Mar-26'!$A:$A,'[1]Mar-26'!$H:$H,0)</f>
        <v>3212340.38</v>
      </c>
      <c r="AG358" s="17">
        <f>_xlfn.XLOOKUP($B358,'[1]Apr-26'!$A:$A,'[1]Apr-26'!$H:$H,0)</f>
        <v>3412760.25</v>
      </c>
    </row>
    <row r="359" spans="1:33" x14ac:dyDescent="0.2">
      <c r="A359" s="58">
        <v>53050</v>
      </c>
      <c r="B359" s="56" t="str">
        <f t="shared" si="11"/>
        <v>53050</v>
      </c>
      <c r="C359" s="57" t="s">
        <v>517</v>
      </c>
      <c r="D359" s="57" t="s">
        <v>387</v>
      </c>
      <c r="E359" s="44" t="s">
        <v>540</v>
      </c>
      <c r="F359" s="17">
        <f>_xlfn.XLOOKUP($B359,'[1]Jan-24'!$A:$A,'[1]Jan-24'!$H:$H,0)</f>
        <v>0</v>
      </c>
      <c r="G359" s="17">
        <f>_xlfn.XLOOKUP($B359,'[1]Feb-24'!$A:$A,'[1]Feb-24'!$H:$H,0)</f>
        <v>0</v>
      </c>
      <c r="H359" s="17">
        <f>_xlfn.XLOOKUP($B359,'[1]Mar-24'!$A:$A,'[1]Mar-24'!$H:$H,0)</f>
        <v>0</v>
      </c>
      <c r="I359" s="17">
        <f>_xlfn.XLOOKUP($B359,'[1]Apr-24'!$A:$A,'[1]Apr-24'!$H:$H,0)</f>
        <v>0</v>
      </c>
      <c r="J359" s="17">
        <f>_xlfn.XLOOKUP($B359,'[1]May-24'!$A:$A,'[1]May-24'!$H:$H,0)</f>
        <v>0</v>
      </c>
      <c r="K359" s="17">
        <f>_xlfn.XLOOKUP($B359,'[1]Jun-24'!$A:$A,'[1]Jun-24'!$H:$H,0)</f>
        <v>0</v>
      </c>
      <c r="L359" s="17">
        <f>_xlfn.XLOOKUP($B359,'[1]Jul-24'!$A:$A,'[1]Jul-24'!$H:$H,0)</f>
        <v>0</v>
      </c>
      <c r="M359" s="17">
        <f>_xlfn.XLOOKUP($B359,'[1]Aug-24'!$A:$A,'[1]Aug-24'!$H:$H,0)</f>
        <v>0</v>
      </c>
      <c r="N359" s="17">
        <f>_xlfn.XLOOKUP($B359,'[1]Sep-24'!$A:$A,'[1]Sep-24'!$H:$H,0)</f>
        <v>0</v>
      </c>
      <c r="O359" s="17">
        <f>_xlfn.XLOOKUP($B359,'[1]Oct-24'!$A:$A,'[1]Oct-24'!$H:$H,0)</f>
        <v>0</v>
      </c>
      <c r="P359" s="17">
        <f>_xlfn.XLOOKUP($B359,'[1]Nov-24'!$A:$A,'[1]Nov-24'!$H:$H,0)</f>
        <v>0</v>
      </c>
      <c r="Q359" s="17">
        <f>_xlfn.XLOOKUP($B359,'[1]Dec-24'!$A:$A,'[1]Dec-24'!$H:$H,0)</f>
        <v>0</v>
      </c>
      <c r="R359" s="17">
        <f>_xlfn.XLOOKUP($B359,'[1]Jan-25'!$A:$A,'[1]Jan-25'!$H:$H,0)</f>
        <v>0</v>
      </c>
      <c r="S359" s="17">
        <f>_xlfn.XLOOKUP($B359,'[1]Feb-25'!$A:$A,'[1]Feb-25'!$H:$H,0)</f>
        <v>0</v>
      </c>
      <c r="T359" s="17">
        <f>_xlfn.XLOOKUP($B359,'[1]Mar-25'!$A:$A,'[1]Mar-25'!$H:$H,0)</f>
        <v>0</v>
      </c>
      <c r="U359" s="17">
        <f>_xlfn.XLOOKUP($B359,'[1]Apr-25'!$A:$A,'[1]Apr-25'!$H:$H,0)</f>
        <v>0</v>
      </c>
      <c r="V359" s="17">
        <f>_xlfn.XLOOKUP($B359,'[1]May-25'!$A:$A,'[1]May-25'!$H:$H,0)</f>
        <v>0</v>
      </c>
      <c r="W359" s="17">
        <f>_xlfn.XLOOKUP($B359,'[1]Jun-25'!$A:$A,'[1]Jun-25'!$H:$H,0)</f>
        <v>0</v>
      </c>
      <c r="X359" s="17">
        <f>_xlfn.XLOOKUP($B359,'[1]Jul-25'!$A:$A,'[1]Jul-25'!$H:$H,0)</f>
        <v>0</v>
      </c>
      <c r="Y359" s="17">
        <f>_xlfn.XLOOKUP($B359,'[1]Aug-25'!$A:$A,'[1]Aug-25'!$H:$H,0)</f>
        <v>0</v>
      </c>
      <c r="Z359" s="17">
        <f>_xlfn.XLOOKUP($B359,'[1]Sep-25'!$A:$A,'[1]Sep-25'!$H:$H,0)</f>
        <v>0</v>
      </c>
      <c r="AA359" s="17">
        <f>_xlfn.XLOOKUP($B359,'[1]Oct-25'!$A:$A,'[1]Oct-25'!$H:$H,0)</f>
        <v>0</v>
      </c>
      <c r="AB359" s="17">
        <f>_xlfn.XLOOKUP($B359,'[1]Nov-25'!$A:$A,'[1]Nov-25'!$H:$H,0)</f>
        <v>0</v>
      </c>
      <c r="AC359" s="17">
        <f>_xlfn.XLOOKUP($B359,'[1]Dec-25'!$A:$A,'[1]Dec-25'!$H:$H,0)</f>
        <v>0</v>
      </c>
      <c r="AD359" s="17">
        <f>_xlfn.XLOOKUP($B359,'[1]Jan-26'!$A:$A,'[1]Jan-26'!$H:$H,0)</f>
        <v>0</v>
      </c>
      <c r="AE359" s="17">
        <f>_xlfn.XLOOKUP($B359,'[1]Feb-26'!$A:$A,'[1]Feb-26'!$H:$H,0)</f>
        <v>0</v>
      </c>
      <c r="AF359" s="17">
        <f>_xlfn.XLOOKUP($B359,'[1]Mar-26'!$A:$A,'[1]Mar-26'!$H:$H,0)</f>
        <v>0</v>
      </c>
      <c r="AG359" s="17">
        <f>_xlfn.XLOOKUP($B359,'[1]Apr-26'!$A:$A,'[1]Apr-26'!$H:$H,0)</f>
        <v>0</v>
      </c>
    </row>
    <row r="360" spans="1:33" x14ac:dyDescent="0.2">
      <c r="A360" s="58">
        <v>53055</v>
      </c>
      <c r="B360" s="56" t="str">
        <f t="shared" si="11"/>
        <v>53055</v>
      </c>
      <c r="C360" s="57" t="s">
        <v>517</v>
      </c>
      <c r="D360" s="57" t="s">
        <v>387</v>
      </c>
      <c r="E360" s="44" t="s">
        <v>107</v>
      </c>
      <c r="F360" s="17">
        <f>_xlfn.XLOOKUP($B360,'[1]Jan-24'!$A:$A,'[1]Jan-24'!$H:$H,0)</f>
        <v>225468.75</v>
      </c>
      <c r="G360" s="17">
        <f>_xlfn.XLOOKUP($B360,'[1]Feb-24'!$A:$A,'[1]Feb-24'!$H:$H,0)</f>
        <v>225468.75</v>
      </c>
      <c r="H360" s="17">
        <f>_xlfn.XLOOKUP($B360,'[1]Mar-24'!$A:$A,'[1]Mar-24'!$H:$H,0)</f>
        <v>225468.75</v>
      </c>
      <c r="I360" s="17">
        <f>_xlfn.XLOOKUP($B360,'[1]Apr-24'!$A:$A,'[1]Apr-24'!$H:$H,0)</f>
        <v>225468.75</v>
      </c>
      <c r="J360" s="17">
        <f>_xlfn.XLOOKUP($B360,'[1]May-24'!$A:$A,'[1]May-24'!$H:$H,0)</f>
        <v>225468.75</v>
      </c>
      <c r="K360" s="17">
        <f>_xlfn.XLOOKUP($B360,'[1]Jun-24'!$A:$A,'[1]Jun-24'!$H:$H,0)</f>
        <v>225468.75</v>
      </c>
      <c r="L360" s="17">
        <f>_xlfn.XLOOKUP($B360,'[1]Jul-24'!$A:$A,'[1]Jul-24'!$H:$H,0)</f>
        <v>7120641.5800000001</v>
      </c>
      <c r="M360" s="17">
        <f>_xlfn.XLOOKUP($B360,'[1]Aug-24'!$A:$A,'[1]Aug-24'!$H:$H,0)</f>
        <v>225468.75</v>
      </c>
      <c r="N360" s="17">
        <f>_xlfn.XLOOKUP($B360,'[1]Sep-24'!$A:$A,'[1]Sep-24'!$H:$H,0)</f>
        <v>225468.75</v>
      </c>
      <c r="O360" s="17">
        <f>_xlfn.XLOOKUP($B360,'[1]Oct-24'!$A:$A,'[1]Oct-24'!$H:$H,0)</f>
        <v>225468.75</v>
      </c>
      <c r="P360" s="17">
        <f>_xlfn.XLOOKUP($B360,'[1]Nov-24'!$A:$A,'[1]Nov-24'!$H:$H,0)</f>
        <v>225468.75</v>
      </c>
      <c r="Q360" s="17">
        <f>_xlfn.XLOOKUP($B360,'[1]Dec-24'!$A:$A,'[1]Dec-24'!$H:$H,0)</f>
        <v>225468.75</v>
      </c>
      <c r="R360" s="17">
        <f>_xlfn.XLOOKUP($B360,'[1]Jan-25'!$A:$A,'[1]Jan-25'!$H:$H,0)</f>
        <v>225468.75</v>
      </c>
      <c r="S360" s="17">
        <f>_xlfn.XLOOKUP($B360,'[1]Feb-25'!$A:$A,'[1]Feb-25'!$H:$H,0)</f>
        <v>225468.75</v>
      </c>
      <c r="T360" s="17">
        <f>_xlfn.XLOOKUP($B360,'[1]Mar-25'!$A:$A,'[1]Mar-25'!$H:$H,0)</f>
        <v>225468.75</v>
      </c>
      <c r="U360" s="17">
        <f>_xlfn.XLOOKUP($B360,'[1]Apr-25'!$A:$A,'[1]Apr-25'!$H:$H,0)</f>
        <v>225468.75</v>
      </c>
      <c r="V360" s="17">
        <f>_xlfn.XLOOKUP($B360,'[1]May-25'!$A:$A,'[1]May-25'!$H:$H,0)</f>
        <v>225468.75</v>
      </c>
      <c r="W360" s="17">
        <f>_xlfn.XLOOKUP($B360,'[1]Jun-25'!$A:$A,'[1]Jun-25'!$H:$H,0)</f>
        <v>225468.75</v>
      </c>
      <c r="X360" s="17">
        <f>_xlfn.XLOOKUP($B360,'[1]Jul-25'!$A:$A,'[1]Jul-25'!$H:$H,0)</f>
        <v>225468.75</v>
      </c>
      <c r="Y360" s="17">
        <f>_xlfn.XLOOKUP($B360,'[1]Aug-25'!$A:$A,'[1]Aug-25'!$H:$H,0)</f>
        <v>225440.42</v>
      </c>
      <c r="Z360" s="17">
        <f>_xlfn.XLOOKUP($B360,'[1]Sep-25'!$A:$A,'[1]Sep-25'!$H:$H,0)</f>
        <v>225440.42</v>
      </c>
      <c r="AA360" s="17">
        <f>_xlfn.XLOOKUP($B360,'[1]Oct-25'!$A:$A,'[1]Oct-25'!$H:$H,0)</f>
        <v>225440.42</v>
      </c>
      <c r="AB360" s="17">
        <f>_xlfn.XLOOKUP($B360,'[1]Nov-25'!$A:$A,'[1]Nov-25'!$H:$H,0)</f>
        <v>225440.42</v>
      </c>
      <c r="AC360" s="17">
        <f>_xlfn.XLOOKUP($B360,'[1]Dec-25'!$A:$A,'[1]Dec-25'!$H:$H,0)</f>
        <v>225440.42</v>
      </c>
      <c r="AD360" s="17">
        <f>_xlfn.XLOOKUP($B360,'[1]Jan-26'!$A:$A,'[1]Jan-26'!$H:$H,0)</f>
        <v>225440.42</v>
      </c>
      <c r="AE360" s="17">
        <f>_xlfn.XLOOKUP($B360,'[1]Feb-26'!$A:$A,'[1]Feb-26'!$H:$H,0)</f>
        <v>225440.42</v>
      </c>
      <c r="AF360" s="17">
        <f>_xlfn.XLOOKUP($B360,'[1]Mar-26'!$A:$A,'[1]Mar-26'!$H:$H,0)</f>
        <v>225440.42</v>
      </c>
      <c r="AG360" s="17">
        <f>_xlfn.XLOOKUP($B360,'[1]Apr-26'!$A:$A,'[1]Apr-26'!$H:$H,0)</f>
        <v>225440.42</v>
      </c>
    </row>
    <row r="361" spans="1:33" x14ac:dyDescent="0.2">
      <c r="A361" s="58">
        <v>53060</v>
      </c>
      <c r="B361" s="56" t="str">
        <f t="shared" si="11"/>
        <v>53060</v>
      </c>
      <c r="C361" s="57" t="s">
        <v>517</v>
      </c>
      <c r="D361" s="57" t="s">
        <v>387</v>
      </c>
      <c r="E361" s="44" t="s">
        <v>108</v>
      </c>
      <c r="F361" s="17">
        <f>_xlfn.XLOOKUP($B361,'[1]Jan-24'!$A:$A,'[1]Jan-24'!$H:$H,0)</f>
        <v>12500</v>
      </c>
      <c r="G361" s="17">
        <f>_xlfn.XLOOKUP($B361,'[1]Feb-24'!$A:$A,'[1]Feb-24'!$H:$H,0)</f>
        <v>11000</v>
      </c>
      <c r="H361" s="17">
        <f>_xlfn.XLOOKUP($B361,'[1]Mar-24'!$A:$A,'[1]Mar-24'!$H:$H,0)</f>
        <v>0</v>
      </c>
      <c r="I361" s="17">
        <f>_xlfn.XLOOKUP($B361,'[1]Apr-24'!$A:$A,'[1]Apr-24'!$H:$H,0)</f>
        <v>11000</v>
      </c>
      <c r="J361" s="17">
        <f>_xlfn.XLOOKUP($B361,'[1]May-24'!$A:$A,'[1]May-24'!$H:$H,0)</f>
        <v>6500</v>
      </c>
      <c r="K361" s="17">
        <f>_xlfn.XLOOKUP($B361,'[1]Jun-24'!$A:$A,'[1]Jun-24'!$H:$H,0)</f>
        <v>6500</v>
      </c>
      <c r="L361" s="17">
        <f>_xlfn.XLOOKUP($B361,'[1]Jul-24'!$A:$A,'[1]Jul-24'!$H:$H,0)</f>
        <v>0</v>
      </c>
      <c r="M361" s="17">
        <f>_xlfn.XLOOKUP($B361,'[1]Aug-24'!$A:$A,'[1]Aug-24'!$H:$H,0)</f>
        <v>64500</v>
      </c>
      <c r="N361" s="17">
        <f>_xlfn.XLOOKUP($B361,'[1]Sep-24'!$A:$A,'[1]Sep-24'!$H:$H,0)</f>
        <v>6500</v>
      </c>
      <c r="O361" s="17">
        <f>_xlfn.XLOOKUP($B361,'[1]Oct-24'!$A:$A,'[1]Oct-24'!$H:$H,0)</f>
        <v>6500</v>
      </c>
      <c r="P361" s="17">
        <f>_xlfn.XLOOKUP($B361,'[1]Nov-24'!$A:$A,'[1]Nov-24'!$H:$H,0)</f>
        <v>16000</v>
      </c>
      <c r="Q361" s="17">
        <f>_xlfn.XLOOKUP($B361,'[1]Dec-24'!$A:$A,'[1]Dec-24'!$H:$H,0)</f>
        <v>16000</v>
      </c>
      <c r="R361" s="17">
        <f>_xlfn.XLOOKUP($B361,'[1]Jan-25'!$A:$A,'[1]Jan-25'!$H:$H,0)</f>
        <v>11500</v>
      </c>
      <c r="S361" s="17">
        <f>_xlfn.XLOOKUP($B361,'[1]Feb-25'!$A:$A,'[1]Feb-25'!$H:$H,0)</f>
        <v>12000</v>
      </c>
      <c r="T361" s="17">
        <f>_xlfn.XLOOKUP($B361,'[1]Mar-25'!$A:$A,'[1]Mar-25'!$H:$H,0)</f>
        <v>119861.43</v>
      </c>
      <c r="U361" s="17">
        <f>_xlfn.XLOOKUP($B361,'[1]Apr-25'!$A:$A,'[1]Apr-25'!$H:$H,0)</f>
        <v>10000</v>
      </c>
      <c r="V361" s="17">
        <f>_xlfn.XLOOKUP($B361,'[1]May-25'!$A:$A,'[1]May-25'!$H:$H,0)</f>
        <v>10500</v>
      </c>
      <c r="W361" s="17">
        <f>_xlfn.XLOOKUP($B361,'[1]Jun-25'!$A:$A,'[1]Jun-25'!$H:$H,0)</f>
        <v>10500</v>
      </c>
      <c r="X361" s="17">
        <f>_xlfn.XLOOKUP($B361,'[1]Jul-25'!$A:$A,'[1]Jul-25'!$H:$H,0)</f>
        <v>108929.2</v>
      </c>
      <c r="Y361" s="17">
        <f>_xlfn.XLOOKUP($B361,'[1]Aug-25'!$A:$A,'[1]Aug-25'!$H:$H,0)</f>
        <v>240392</v>
      </c>
      <c r="Z361" s="17">
        <f>_xlfn.XLOOKUP($B361,'[1]Sep-25'!$A:$A,'[1]Sep-25'!$H:$H,0)</f>
        <v>7500</v>
      </c>
      <c r="AA361" s="17">
        <f>_xlfn.XLOOKUP($B361,'[1]Oct-25'!$A:$A,'[1]Oct-25'!$H:$H,0)</f>
        <v>11000</v>
      </c>
      <c r="AB361" s="17">
        <f>_xlfn.XLOOKUP($B361,'[1]Nov-25'!$A:$A,'[1]Nov-25'!$H:$H,0)</f>
        <v>15000</v>
      </c>
      <c r="AC361" s="17">
        <f>_xlfn.XLOOKUP($B361,'[1]Dec-25'!$A:$A,'[1]Dec-25'!$H:$H,0)</f>
        <v>12500</v>
      </c>
      <c r="AD361" s="17">
        <f>_xlfn.XLOOKUP($B361,'[1]Jan-26'!$A:$A,'[1]Jan-26'!$H:$H,0)</f>
        <v>11000</v>
      </c>
      <c r="AE361" s="17">
        <f>_xlfn.XLOOKUP($B361,'[1]Feb-26'!$A:$A,'[1]Feb-26'!$H:$H,0)</f>
        <v>13000</v>
      </c>
      <c r="AF361" s="17">
        <f>_xlfn.XLOOKUP($B361,'[1]Mar-26'!$A:$A,'[1]Mar-26'!$H:$H,0)</f>
        <v>14000</v>
      </c>
      <c r="AG361" s="17">
        <f>_xlfn.XLOOKUP($B361,'[1]Apr-26'!$A:$A,'[1]Apr-26'!$H:$H,0)</f>
        <v>19700</v>
      </c>
    </row>
    <row r="362" spans="1:33" x14ac:dyDescent="0.2">
      <c r="A362" s="58">
        <v>53065</v>
      </c>
      <c r="B362" s="56" t="str">
        <f t="shared" si="11"/>
        <v>53065</v>
      </c>
      <c r="C362" s="57" t="s">
        <v>517</v>
      </c>
      <c r="D362" s="57" t="s">
        <v>387</v>
      </c>
      <c r="E362" s="44" t="s">
        <v>110</v>
      </c>
      <c r="F362" s="17">
        <f>_xlfn.XLOOKUP($B362,'[1]Jan-24'!$A:$A,'[1]Jan-24'!$H:$H,0)</f>
        <v>0</v>
      </c>
      <c r="G362" s="17">
        <f>_xlfn.XLOOKUP($B362,'[1]Feb-24'!$A:$A,'[1]Feb-24'!$H:$H,0)</f>
        <v>0</v>
      </c>
      <c r="H362" s="17">
        <f>_xlfn.XLOOKUP($B362,'[1]Mar-24'!$A:$A,'[1]Mar-24'!$H:$H,0)</f>
        <v>0</v>
      </c>
      <c r="I362" s="17">
        <f>_xlfn.XLOOKUP($B362,'[1]Apr-24'!$A:$A,'[1]Apr-24'!$H:$H,0)</f>
        <v>0</v>
      </c>
      <c r="J362" s="17">
        <f>_xlfn.XLOOKUP($B362,'[1]May-24'!$A:$A,'[1]May-24'!$H:$H,0)</f>
        <v>0</v>
      </c>
      <c r="K362" s="17">
        <f>_xlfn.XLOOKUP($B362,'[1]Jun-24'!$A:$A,'[1]Jun-24'!$H:$H,0)</f>
        <v>0</v>
      </c>
      <c r="L362" s="17">
        <f>_xlfn.XLOOKUP($B362,'[1]Jul-24'!$A:$A,'[1]Jul-24'!$H:$H,0)</f>
        <v>0</v>
      </c>
      <c r="M362" s="17">
        <f>_xlfn.XLOOKUP($B362,'[1]Aug-24'!$A:$A,'[1]Aug-24'!$H:$H,0)</f>
        <v>0</v>
      </c>
      <c r="N362" s="17">
        <f>_xlfn.XLOOKUP($B362,'[1]Sep-24'!$A:$A,'[1]Sep-24'!$H:$H,0)</f>
        <v>0</v>
      </c>
      <c r="O362" s="17">
        <f>_xlfn.XLOOKUP($B362,'[1]Oct-24'!$A:$A,'[1]Oct-24'!$H:$H,0)</f>
        <v>0</v>
      </c>
      <c r="P362" s="17">
        <f>_xlfn.XLOOKUP($B362,'[1]Nov-24'!$A:$A,'[1]Nov-24'!$H:$H,0)</f>
        <v>0</v>
      </c>
      <c r="Q362" s="17">
        <f>_xlfn.XLOOKUP($B362,'[1]Dec-24'!$A:$A,'[1]Dec-24'!$H:$H,0)</f>
        <v>0</v>
      </c>
      <c r="R362" s="17">
        <f>_xlfn.XLOOKUP($B362,'[1]Jan-25'!$A:$A,'[1]Jan-25'!$H:$H,0)</f>
        <v>0</v>
      </c>
      <c r="S362" s="17">
        <f>_xlfn.XLOOKUP($B362,'[1]Feb-25'!$A:$A,'[1]Feb-25'!$H:$H,0)</f>
        <v>0</v>
      </c>
      <c r="T362" s="17">
        <f>_xlfn.XLOOKUP($B362,'[1]Mar-25'!$A:$A,'[1]Mar-25'!$H:$H,0)</f>
        <v>822120.6</v>
      </c>
      <c r="U362" s="17">
        <f>_xlfn.XLOOKUP($B362,'[1]Apr-25'!$A:$A,'[1]Apr-25'!$H:$H,0)</f>
        <v>0</v>
      </c>
      <c r="V362" s="17">
        <f>_xlfn.XLOOKUP($B362,'[1]May-25'!$A:$A,'[1]May-25'!$H:$H,0)</f>
        <v>1360414</v>
      </c>
      <c r="W362" s="17">
        <f>_xlfn.XLOOKUP($B362,'[1]Jun-25'!$A:$A,'[1]Jun-25'!$H:$H,0)</f>
        <v>0</v>
      </c>
      <c r="X362" s="17">
        <f>_xlfn.XLOOKUP($B362,'[1]Jul-25'!$A:$A,'[1]Jul-25'!$H:$H,0)</f>
        <v>856853.2</v>
      </c>
      <c r="Y362" s="17">
        <f>_xlfn.XLOOKUP($B362,'[1]Aug-25'!$A:$A,'[1]Aug-25'!$H:$H,0)</f>
        <v>1314616.8</v>
      </c>
      <c r="Z362" s="17">
        <f>_xlfn.XLOOKUP($B362,'[1]Sep-25'!$A:$A,'[1]Sep-25'!$H:$H,0)</f>
        <v>0</v>
      </c>
      <c r="AA362" s="17">
        <f>_xlfn.XLOOKUP($B362,'[1]Oct-25'!$A:$A,'[1]Oct-25'!$H:$H,0)</f>
        <v>0</v>
      </c>
      <c r="AB362" s="17">
        <f>_xlfn.XLOOKUP($B362,'[1]Nov-25'!$A:$A,'[1]Nov-25'!$H:$H,0)</f>
        <v>0</v>
      </c>
      <c r="AC362" s="17">
        <f>_xlfn.XLOOKUP($B362,'[1]Dec-25'!$A:$A,'[1]Dec-25'!$H:$H,0)</f>
        <v>0</v>
      </c>
      <c r="AD362" s="17">
        <f>_xlfn.XLOOKUP($B362,'[1]Jan-26'!$A:$A,'[1]Jan-26'!$H:$H,0)</f>
        <v>0</v>
      </c>
      <c r="AE362" s="17">
        <f>_xlfn.XLOOKUP($B362,'[1]Feb-26'!$A:$A,'[1]Feb-26'!$H:$H,0)</f>
        <v>0</v>
      </c>
      <c r="AF362" s="17">
        <f>_xlfn.XLOOKUP($B362,'[1]Mar-26'!$A:$A,'[1]Mar-26'!$H:$H,0)</f>
        <v>0</v>
      </c>
      <c r="AG362" s="17">
        <f>_xlfn.XLOOKUP($B362,'[1]Apr-26'!$A:$A,'[1]Apr-26'!$H:$H,0)</f>
        <v>0</v>
      </c>
    </row>
    <row r="363" spans="1:33" x14ac:dyDescent="0.2">
      <c r="A363" s="58">
        <v>53070</v>
      </c>
      <c r="B363" s="56" t="str">
        <f t="shared" si="11"/>
        <v>53070</v>
      </c>
      <c r="C363" s="57" t="s">
        <v>517</v>
      </c>
      <c r="D363" s="57" t="s">
        <v>387</v>
      </c>
      <c r="E363" s="44" t="s">
        <v>541</v>
      </c>
      <c r="F363" s="17">
        <f>_xlfn.XLOOKUP($B363,'[1]Jan-24'!$A:$A,'[1]Jan-24'!$H:$H,0)</f>
        <v>0</v>
      </c>
      <c r="G363" s="17">
        <f>_xlfn.XLOOKUP($B363,'[1]Feb-24'!$A:$A,'[1]Feb-24'!$H:$H,0)</f>
        <v>0</v>
      </c>
      <c r="H363" s="17">
        <f>_xlfn.XLOOKUP($B363,'[1]Mar-24'!$A:$A,'[1]Mar-24'!$H:$H,0)</f>
        <v>0</v>
      </c>
      <c r="I363" s="17">
        <f>_xlfn.XLOOKUP($B363,'[1]Apr-24'!$A:$A,'[1]Apr-24'!$H:$H,0)</f>
        <v>0</v>
      </c>
      <c r="J363" s="17">
        <f>_xlfn.XLOOKUP($B363,'[1]May-24'!$A:$A,'[1]May-24'!$H:$H,0)</f>
        <v>0</v>
      </c>
      <c r="K363" s="17">
        <f>_xlfn.XLOOKUP($B363,'[1]Jun-24'!$A:$A,'[1]Jun-24'!$H:$H,0)</f>
        <v>0</v>
      </c>
      <c r="L363" s="17">
        <f>_xlfn.XLOOKUP($B363,'[1]Jul-24'!$A:$A,'[1]Jul-24'!$H:$H,0)</f>
        <v>0</v>
      </c>
      <c r="M363" s="17">
        <f>_xlfn.XLOOKUP($B363,'[1]Aug-24'!$A:$A,'[1]Aug-24'!$H:$H,0)</f>
        <v>0</v>
      </c>
      <c r="N363" s="17">
        <f>_xlfn.XLOOKUP($B363,'[1]Sep-24'!$A:$A,'[1]Sep-24'!$H:$H,0)</f>
        <v>0</v>
      </c>
      <c r="O363" s="17">
        <f>_xlfn.XLOOKUP($B363,'[1]Oct-24'!$A:$A,'[1]Oct-24'!$H:$H,0)</f>
        <v>0</v>
      </c>
      <c r="P363" s="17">
        <f>_xlfn.XLOOKUP($B363,'[1]Nov-24'!$A:$A,'[1]Nov-24'!$H:$H,0)</f>
        <v>0</v>
      </c>
      <c r="Q363" s="17">
        <f>_xlfn.XLOOKUP($B363,'[1]Dec-24'!$A:$A,'[1]Dec-24'!$H:$H,0)</f>
        <v>0</v>
      </c>
      <c r="R363" s="17">
        <f>_xlfn.XLOOKUP($B363,'[1]Jan-25'!$A:$A,'[1]Jan-25'!$H:$H,0)</f>
        <v>0</v>
      </c>
      <c r="S363" s="17">
        <f>_xlfn.XLOOKUP($B363,'[1]Feb-25'!$A:$A,'[1]Feb-25'!$H:$H,0)</f>
        <v>0</v>
      </c>
      <c r="T363" s="17">
        <f>_xlfn.XLOOKUP($B363,'[1]Mar-25'!$A:$A,'[1]Mar-25'!$H:$H,0)</f>
        <v>0</v>
      </c>
      <c r="U363" s="17">
        <f>_xlfn.XLOOKUP($B363,'[1]Apr-25'!$A:$A,'[1]Apr-25'!$H:$H,0)</f>
        <v>0</v>
      </c>
      <c r="V363" s="17">
        <f>_xlfn.XLOOKUP($B363,'[1]May-25'!$A:$A,'[1]May-25'!$H:$H,0)</f>
        <v>0</v>
      </c>
      <c r="W363" s="17">
        <f>_xlfn.XLOOKUP($B363,'[1]Jun-25'!$A:$A,'[1]Jun-25'!$H:$H,0)</f>
        <v>0</v>
      </c>
      <c r="X363" s="17">
        <f>_xlfn.XLOOKUP($B363,'[1]Jul-25'!$A:$A,'[1]Jul-25'!$H:$H,0)</f>
        <v>0</v>
      </c>
      <c r="Y363" s="17">
        <f>_xlfn.XLOOKUP($B363,'[1]Aug-25'!$A:$A,'[1]Aug-25'!$H:$H,0)</f>
        <v>0</v>
      </c>
      <c r="Z363" s="17">
        <f>_xlfn.XLOOKUP($B363,'[1]Sep-25'!$A:$A,'[1]Sep-25'!$H:$H,0)</f>
        <v>0</v>
      </c>
      <c r="AA363" s="17">
        <f>_xlfn.XLOOKUP($B363,'[1]Oct-25'!$A:$A,'[1]Oct-25'!$H:$H,0)</f>
        <v>0</v>
      </c>
      <c r="AB363" s="17">
        <f>_xlfn.XLOOKUP($B363,'[1]Nov-25'!$A:$A,'[1]Nov-25'!$H:$H,0)</f>
        <v>0</v>
      </c>
      <c r="AC363" s="17">
        <f>_xlfn.XLOOKUP($B363,'[1]Dec-25'!$A:$A,'[1]Dec-25'!$H:$H,0)</f>
        <v>0</v>
      </c>
      <c r="AD363" s="17">
        <f>_xlfn.XLOOKUP($B363,'[1]Jan-26'!$A:$A,'[1]Jan-26'!$H:$H,0)</f>
        <v>0</v>
      </c>
      <c r="AE363" s="17">
        <f>_xlfn.XLOOKUP($B363,'[1]Feb-26'!$A:$A,'[1]Feb-26'!$H:$H,0)</f>
        <v>0</v>
      </c>
      <c r="AF363" s="17">
        <f>_xlfn.XLOOKUP($B363,'[1]Mar-26'!$A:$A,'[1]Mar-26'!$H:$H,0)</f>
        <v>0</v>
      </c>
      <c r="AG363" s="17">
        <f>_xlfn.XLOOKUP($B363,'[1]Apr-26'!$A:$A,'[1]Apr-26'!$H:$H,0)</f>
        <v>0</v>
      </c>
    </row>
    <row r="364" spans="1:33" x14ac:dyDescent="0.2">
      <c r="A364" s="58">
        <v>53074</v>
      </c>
      <c r="B364" s="56" t="str">
        <f t="shared" si="11"/>
        <v>53074</v>
      </c>
      <c r="C364" s="57" t="s">
        <v>517</v>
      </c>
      <c r="D364" s="57" t="s">
        <v>387</v>
      </c>
      <c r="E364" s="44" t="s">
        <v>109</v>
      </c>
      <c r="F364" s="17">
        <f>_xlfn.XLOOKUP($B364,'[1]Jan-24'!$A:$A,'[1]Jan-24'!$H:$H,0)</f>
        <v>0</v>
      </c>
      <c r="G364" s="17">
        <f>_xlfn.XLOOKUP($B364,'[1]Feb-24'!$A:$A,'[1]Feb-24'!$H:$H,0)</f>
        <v>0</v>
      </c>
      <c r="H364" s="17">
        <f>_xlfn.XLOOKUP($B364,'[1]Mar-24'!$A:$A,'[1]Mar-24'!$H:$H,0)</f>
        <v>0</v>
      </c>
      <c r="I364" s="17">
        <f>_xlfn.XLOOKUP($B364,'[1]Apr-24'!$A:$A,'[1]Apr-24'!$H:$H,0)</f>
        <v>0</v>
      </c>
      <c r="J364" s="17">
        <f>_xlfn.XLOOKUP($B364,'[1]May-24'!$A:$A,'[1]May-24'!$H:$H,0)</f>
        <v>0</v>
      </c>
      <c r="K364" s="17">
        <f>_xlfn.XLOOKUP($B364,'[1]Jun-24'!$A:$A,'[1]Jun-24'!$H:$H,0)</f>
        <v>0</v>
      </c>
      <c r="L364" s="17">
        <f>_xlfn.XLOOKUP($B364,'[1]Jul-24'!$A:$A,'[1]Jul-24'!$H:$H,0)</f>
        <v>129956.88</v>
      </c>
      <c r="M364" s="17">
        <f>_xlfn.XLOOKUP($B364,'[1]Aug-24'!$A:$A,'[1]Aug-24'!$H:$H,0)</f>
        <v>0</v>
      </c>
      <c r="N364" s="17">
        <f>_xlfn.XLOOKUP($B364,'[1]Sep-24'!$A:$A,'[1]Sep-24'!$H:$H,0)</f>
        <v>0</v>
      </c>
      <c r="O364" s="17">
        <f>_xlfn.XLOOKUP($B364,'[1]Oct-24'!$A:$A,'[1]Oct-24'!$H:$H,0)</f>
        <v>0</v>
      </c>
      <c r="P364" s="17">
        <f>_xlfn.XLOOKUP($B364,'[1]Nov-24'!$A:$A,'[1]Nov-24'!$H:$H,0)</f>
        <v>0</v>
      </c>
      <c r="Q364" s="17">
        <f>_xlfn.XLOOKUP($B364,'[1]Dec-24'!$A:$A,'[1]Dec-24'!$H:$H,0)</f>
        <v>25000</v>
      </c>
      <c r="R364" s="17">
        <f>_xlfn.XLOOKUP($B364,'[1]Jan-25'!$A:$A,'[1]Jan-25'!$H:$H,0)</f>
        <v>0</v>
      </c>
      <c r="S364" s="17">
        <f>_xlfn.XLOOKUP($B364,'[1]Feb-25'!$A:$A,'[1]Feb-25'!$H:$H,0)</f>
        <v>29318.01</v>
      </c>
      <c r="T364" s="17">
        <f>_xlfn.XLOOKUP($B364,'[1]Mar-25'!$A:$A,'[1]Mar-25'!$H:$H,0)</f>
        <v>0</v>
      </c>
      <c r="U364" s="17">
        <f>_xlfn.XLOOKUP($B364,'[1]Apr-25'!$A:$A,'[1]Apr-25'!$H:$H,0)</f>
        <v>0</v>
      </c>
      <c r="V364" s="17">
        <f>_xlfn.XLOOKUP($B364,'[1]May-25'!$A:$A,'[1]May-25'!$H:$H,0)</f>
        <v>0</v>
      </c>
      <c r="W364" s="17">
        <f>_xlfn.XLOOKUP($B364,'[1]Jun-25'!$A:$A,'[1]Jun-25'!$H:$H,0)</f>
        <v>41673.15</v>
      </c>
      <c r="X364" s="17">
        <f>_xlfn.XLOOKUP($B364,'[1]Jul-25'!$A:$A,'[1]Jul-25'!$H:$H,0)</f>
        <v>0</v>
      </c>
      <c r="Y364" s="17">
        <f>_xlfn.XLOOKUP($B364,'[1]Aug-25'!$A:$A,'[1]Aug-25'!$H:$H,0)</f>
        <v>0</v>
      </c>
      <c r="Z364" s="17">
        <f>_xlfn.XLOOKUP($B364,'[1]Sep-25'!$A:$A,'[1]Sep-25'!$H:$H,0)</f>
        <v>1351891</v>
      </c>
      <c r="AA364" s="17">
        <f>_xlfn.XLOOKUP($B364,'[1]Oct-25'!$A:$A,'[1]Oct-25'!$H:$H,0)</f>
        <v>0</v>
      </c>
      <c r="AB364" s="17">
        <f>_xlfn.XLOOKUP($B364,'[1]Nov-25'!$A:$A,'[1]Nov-25'!$H:$H,0)</f>
        <v>0</v>
      </c>
      <c r="AC364" s="17">
        <f>_xlfn.XLOOKUP($B364,'[1]Dec-25'!$A:$A,'[1]Dec-25'!$H:$H,0)</f>
        <v>0</v>
      </c>
      <c r="AD364" s="17">
        <f>_xlfn.XLOOKUP($B364,'[1]Jan-26'!$A:$A,'[1]Jan-26'!$H:$H,0)</f>
        <v>0</v>
      </c>
      <c r="AE364" s="17">
        <f>_xlfn.XLOOKUP($B364,'[1]Feb-26'!$A:$A,'[1]Feb-26'!$H:$H,0)</f>
        <v>10161.25</v>
      </c>
      <c r="AF364" s="17">
        <f>_xlfn.XLOOKUP($B364,'[1]Mar-26'!$A:$A,'[1]Mar-26'!$H:$H,0)</f>
        <v>0</v>
      </c>
      <c r="AG364" s="17">
        <f>_xlfn.XLOOKUP($B364,'[1]Apr-26'!$A:$A,'[1]Apr-26'!$H:$H,0)</f>
        <v>0</v>
      </c>
    </row>
    <row r="365" spans="1:33" x14ac:dyDescent="0.2">
      <c r="A365" s="58">
        <v>53075</v>
      </c>
      <c r="B365" s="56" t="str">
        <f t="shared" si="11"/>
        <v>53075</v>
      </c>
      <c r="C365" s="57" t="s">
        <v>517</v>
      </c>
      <c r="D365" s="57" t="s">
        <v>387</v>
      </c>
      <c r="E365" s="44" t="s">
        <v>111</v>
      </c>
      <c r="F365" s="17">
        <f>_xlfn.XLOOKUP($B365,'[1]Jan-24'!$A:$A,'[1]Jan-24'!$H:$H,0)</f>
        <v>65000</v>
      </c>
      <c r="G365" s="17">
        <f>_xlfn.XLOOKUP($B365,'[1]Feb-24'!$A:$A,'[1]Feb-24'!$H:$H,0)</f>
        <v>0</v>
      </c>
      <c r="H365" s="17">
        <f>_xlfn.XLOOKUP($B365,'[1]Mar-24'!$A:$A,'[1]Mar-24'!$H:$H,0)</f>
        <v>0</v>
      </c>
      <c r="I365" s="17">
        <f>_xlfn.XLOOKUP($B365,'[1]Apr-24'!$A:$A,'[1]Apr-24'!$H:$H,0)</f>
        <v>0</v>
      </c>
      <c r="J365" s="17">
        <f>_xlfn.XLOOKUP($B365,'[1]May-24'!$A:$A,'[1]May-24'!$H:$H,0)</f>
        <v>0</v>
      </c>
      <c r="K365" s="17">
        <f>_xlfn.XLOOKUP($B365,'[1]Jun-24'!$A:$A,'[1]Jun-24'!$H:$H,0)</f>
        <v>0</v>
      </c>
      <c r="L365" s="17">
        <f>_xlfn.XLOOKUP($B365,'[1]Jul-24'!$A:$A,'[1]Jul-24'!$H:$H,0)</f>
        <v>0</v>
      </c>
      <c r="M365" s="17">
        <f>_xlfn.XLOOKUP($B365,'[1]Aug-24'!$A:$A,'[1]Aug-24'!$H:$H,0)</f>
        <v>0</v>
      </c>
      <c r="N365" s="17">
        <f>_xlfn.XLOOKUP($B365,'[1]Sep-24'!$A:$A,'[1]Sep-24'!$H:$H,0)</f>
        <v>0</v>
      </c>
      <c r="O365" s="17">
        <f>_xlfn.XLOOKUP($B365,'[1]Oct-24'!$A:$A,'[1]Oct-24'!$H:$H,0)</f>
        <v>1904500</v>
      </c>
      <c r="P365" s="17">
        <f>_xlfn.XLOOKUP($B365,'[1]Nov-24'!$A:$A,'[1]Nov-24'!$H:$H,0)</f>
        <v>1863990</v>
      </c>
      <c r="Q365" s="17">
        <f>_xlfn.XLOOKUP($B365,'[1]Dec-24'!$A:$A,'[1]Dec-24'!$H:$H,0)</f>
        <v>600710</v>
      </c>
      <c r="R365" s="17">
        <f>_xlfn.XLOOKUP($B365,'[1]Jan-25'!$A:$A,'[1]Jan-25'!$H:$H,0)</f>
        <v>1198890</v>
      </c>
      <c r="S365" s="17">
        <f>_xlfn.XLOOKUP($B365,'[1]Feb-25'!$A:$A,'[1]Feb-25'!$H:$H,0)</f>
        <v>513810</v>
      </c>
      <c r="T365" s="17">
        <f>_xlfn.XLOOKUP($B365,'[1]Mar-25'!$A:$A,'[1]Mar-25'!$H:$H,0)</f>
        <v>35800</v>
      </c>
      <c r="U365" s="17">
        <f>_xlfn.XLOOKUP($B365,'[1]Apr-25'!$A:$A,'[1]Apr-25'!$H:$H,0)</f>
        <v>875700</v>
      </c>
      <c r="V365" s="17">
        <f>_xlfn.XLOOKUP($B365,'[1]May-25'!$A:$A,'[1]May-25'!$H:$H,0)</f>
        <v>33280</v>
      </c>
      <c r="W365" s="17">
        <f>_xlfn.XLOOKUP($B365,'[1]Jun-25'!$A:$A,'[1]Jun-25'!$H:$H,0)</f>
        <v>1919100</v>
      </c>
      <c r="X365" s="17">
        <f>_xlfn.XLOOKUP($B365,'[1]Jul-25'!$A:$A,'[1]Jul-25'!$H:$H,0)</f>
        <v>2767590</v>
      </c>
      <c r="Y365" s="17">
        <f>_xlfn.XLOOKUP($B365,'[1]Aug-25'!$A:$A,'[1]Aug-25'!$H:$H,0)</f>
        <v>1967460</v>
      </c>
      <c r="Z365" s="17">
        <f>_xlfn.XLOOKUP($B365,'[1]Sep-25'!$A:$A,'[1]Sep-25'!$H:$H,0)</f>
        <v>499050</v>
      </c>
      <c r="AA365" s="17">
        <f>_xlfn.XLOOKUP($B365,'[1]Oct-25'!$A:$A,'[1]Oct-25'!$H:$H,0)</f>
        <v>1478100</v>
      </c>
      <c r="AB365" s="17">
        <f>_xlfn.XLOOKUP($B365,'[1]Nov-25'!$A:$A,'[1]Nov-25'!$H:$H,0)</f>
        <v>33000</v>
      </c>
      <c r="AC365" s="17">
        <f>_xlfn.XLOOKUP($B365,'[1]Dec-25'!$A:$A,'[1]Dec-25'!$H:$H,0)</f>
        <v>30000</v>
      </c>
      <c r="AD365" s="17">
        <f>_xlfn.XLOOKUP($B365,'[1]Jan-26'!$A:$A,'[1]Jan-26'!$H:$H,0)</f>
        <v>37000</v>
      </c>
      <c r="AE365" s="17">
        <f>_xlfn.XLOOKUP($B365,'[1]Feb-26'!$A:$A,'[1]Feb-26'!$H:$H,0)</f>
        <v>30000</v>
      </c>
      <c r="AF365" s="17">
        <f>_xlfn.XLOOKUP($B365,'[1]Mar-26'!$A:$A,'[1]Mar-26'!$H:$H,0)</f>
        <v>7500</v>
      </c>
      <c r="AG365" s="17">
        <f>_xlfn.XLOOKUP($B365,'[1]Apr-26'!$A:$A,'[1]Apr-26'!$H:$H,0)</f>
        <v>0</v>
      </c>
    </row>
    <row r="366" spans="1:33" x14ac:dyDescent="0.2">
      <c r="A366" s="58">
        <v>53080</v>
      </c>
      <c r="B366" s="56" t="str">
        <f t="shared" si="11"/>
        <v>53080</v>
      </c>
      <c r="C366" s="57" t="s">
        <v>517</v>
      </c>
      <c r="D366" s="57" t="s">
        <v>387</v>
      </c>
      <c r="E366" s="44" t="s">
        <v>112</v>
      </c>
      <c r="F366" s="17">
        <f>_xlfn.XLOOKUP($B366,'[1]Jan-24'!$A:$A,'[1]Jan-24'!$H:$H,0)</f>
        <v>5887296.0499999998</v>
      </c>
      <c r="G366" s="17">
        <f>_xlfn.XLOOKUP($B366,'[1]Feb-24'!$A:$A,'[1]Feb-24'!$H:$H,0)</f>
        <v>16231169.099999994</v>
      </c>
      <c r="H366" s="17">
        <f>_xlfn.XLOOKUP($B366,'[1]Mar-24'!$A:$A,'[1]Mar-24'!$H:$H,0)</f>
        <v>55159262.189999998</v>
      </c>
      <c r="I366" s="17">
        <f>_xlfn.XLOOKUP($B366,'[1]Apr-24'!$A:$A,'[1]Apr-24'!$H:$H,0)</f>
        <v>71549822.129999995</v>
      </c>
      <c r="J366" s="17">
        <f>_xlfn.XLOOKUP($B366,'[1]May-24'!$A:$A,'[1]May-24'!$H:$H,0)</f>
        <v>105831215.36999999</v>
      </c>
      <c r="K366" s="17">
        <f>_xlfn.XLOOKUP($B366,'[1]Jun-24'!$A:$A,'[1]Jun-24'!$H:$H,0)</f>
        <v>835893</v>
      </c>
      <c r="L366" s="17">
        <f>_xlfn.XLOOKUP($B366,'[1]Jul-24'!$A:$A,'[1]Jul-24'!$H:$H,0)</f>
        <v>183902.5</v>
      </c>
      <c r="M366" s="17">
        <f>_xlfn.XLOOKUP($B366,'[1]Aug-24'!$A:$A,'[1]Aug-24'!$H:$H,0)</f>
        <v>37202065.5</v>
      </c>
      <c r="N366" s="17">
        <f>_xlfn.XLOOKUP($B366,'[1]Sep-24'!$A:$A,'[1]Sep-24'!$H:$H,0)</f>
        <v>8818218.6300000008</v>
      </c>
      <c r="O366" s="17">
        <f>_xlfn.XLOOKUP($B366,'[1]Oct-24'!$A:$A,'[1]Oct-24'!$H:$H,0)</f>
        <v>6434261.6899999995</v>
      </c>
      <c r="P366" s="17">
        <f>_xlfn.XLOOKUP($B366,'[1]Nov-24'!$A:$A,'[1]Nov-24'!$H:$H,0)</f>
        <v>6949865.25</v>
      </c>
      <c r="Q366" s="17">
        <f>_xlfn.XLOOKUP($B366,'[1]Dec-24'!$A:$A,'[1]Dec-24'!$H:$H,0)</f>
        <v>7618177.75</v>
      </c>
      <c r="R366" s="17">
        <f>_xlfn.XLOOKUP($B366,'[1]Jan-25'!$A:$A,'[1]Jan-25'!$H:$H,0)</f>
        <v>10279075.08</v>
      </c>
      <c r="S366" s="17">
        <f>_xlfn.XLOOKUP($B366,'[1]Feb-25'!$A:$A,'[1]Feb-25'!$H:$H,0)</f>
        <v>2177212.0499999998</v>
      </c>
      <c r="T366" s="17">
        <f>_xlfn.XLOOKUP($B366,'[1]Mar-25'!$A:$A,'[1]Mar-25'!$H:$H,0)</f>
        <v>1810118.55</v>
      </c>
      <c r="U366" s="17">
        <f>_xlfn.XLOOKUP($B366,'[1]Apr-25'!$A:$A,'[1]Apr-25'!$H:$H,0)</f>
        <v>1975523.55</v>
      </c>
      <c r="V366" s="17">
        <f>_xlfn.XLOOKUP($B366,'[1]May-25'!$A:$A,'[1]May-25'!$H:$H,0)</f>
        <v>2005833.55</v>
      </c>
      <c r="W366" s="17">
        <f>_xlfn.XLOOKUP($B366,'[1]Jun-25'!$A:$A,'[1]Jun-25'!$H:$H,0)</f>
        <v>2001863.55</v>
      </c>
      <c r="X366" s="17">
        <f>_xlfn.XLOOKUP($B366,'[1]Jul-25'!$A:$A,'[1]Jul-25'!$H:$H,0)</f>
        <v>12007411.619999999</v>
      </c>
      <c r="Y366" s="17">
        <f>_xlfn.XLOOKUP($B366,'[1]Aug-25'!$A:$A,'[1]Aug-25'!$H:$H,0)</f>
        <v>1817753.55</v>
      </c>
      <c r="Z366" s="17">
        <f>_xlfn.XLOOKUP($B366,'[1]Sep-25'!$A:$A,'[1]Sep-25'!$H:$H,0)</f>
        <v>1744089.15</v>
      </c>
      <c r="AA366" s="17">
        <f>_xlfn.XLOOKUP($B366,'[1]Oct-25'!$A:$A,'[1]Oct-25'!$H:$H,0)</f>
        <v>1104326.78</v>
      </c>
      <c r="AB366" s="17">
        <f>_xlfn.XLOOKUP($B366,'[1]Nov-25'!$A:$A,'[1]Nov-25'!$H:$H,0)</f>
        <v>-10911611.59</v>
      </c>
      <c r="AC366" s="17">
        <f>_xlfn.XLOOKUP($B366,'[1]Dec-25'!$A:$A,'[1]Dec-25'!$H:$H,0)</f>
        <v>449491.80000000005</v>
      </c>
      <c r="AD366" s="17">
        <f>_xlfn.XLOOKUP($B366,'[1]Jan-26'!$A:$A,'[1]Jan-26'!$H:$H,0)</f>
        <v>7359960</v>
      </c>
      <c r="AE366" s="17">
        <f>_xlfn.XLOOKUP($B366,'[1]Feb-26'!$A:$A,'[1]Feb-26'!$H:$H,0)</f>
        <v>37893.75</v>
      </c>
      <c r="AF366" s="17">
        <f>_xlfn.XLOOKUP($B366,'[1]Mar-26'!$A:$A,'[1]Mar-26'!$H:$H,0)</f>
        <v>1457302.79</v>
      </c>
      <c r="AG366" s="17">
        <f>_xlfn.XLOOKUP($B366,'[1]Apr-26'!$A:$A,'[1]Apr-26'!$H:$H,0)</f>
        <v>85681.75</v>
      </c>
    </row>
    <row r="367" spans="1:33" x14ac:dyDescent="0.2">
      <c r="A367" s="58">
        <v>53085</v>
      </c>
      <c r="B367" s="56" t="str">
        <f t="shared" si="11"/>
        <v>53085</v>
      </c>
      <c r="C367" s="57" t="s">
        <v>517</v>
      </c>
      <c r="D367" s="57" t="s">
        <v>387</v>
      </c>
      <c r="E367" s="44" t="s">
        <v>542</v>
      </c>
      <c r="F367" s="17">
        <f>_xlfn.XLOOKUP($B367,'[1]Jan-24'!$A:$A,'[1]Jan-24'!$H:$H,0)</f>
        <v>0</v>
      </c>
      <c r="G367" s="17">
        <f>_xlfn.XLOOKUP($B367,'[1]Feb-24'!$A:$A,'[1]Feb-24'!$H:$H,0)</f>
        <v>0</v>
      </c>
      <c r="H367" s="17">
        <f>_xlfn.XLOOKUP($B367,'[1]Mar-24'!$A:$A,'[1]Mar-24'!$H:$H,0)</f>
        <v>0</v>
      </c>
      <c r="I367" s="17">
        <f>_xlfn.XLOOKUP($B367,'[1]Apr-24'!$A:$A,'[1]Apr-24'!$H:$H,0)</f>
        <v>0</v>
      </c>
      <c r="J367" s="17">
        <f>_xlfn.XLOOKUP($B367,'[1]May-24'!$A:$A,'[1]May-24'!$H:$H,0)</f>
        <v>0</v>
      </c>
      <c r="K367" s="17">
        <f>_xlfn.XLOOKUP($B367,'[1]Jun-24'!$A:$A,'[1]Jun-24'!$H:$H,0)</f>
        <v>0</v>
      </c>
      <c r="L367" s="17">
        <f>_xlfn.XLOOKUP($B367,'[1]Jul-24'!$A:$A,'[1]Jul-24'!$H:$H,0)</f>
        <v>0</v>
      </c>
      <c r="M367" s="17">
        <f>_xlfn.XLOOKUP($B367,'[1]Aug-24'!$A:$A,'[1]Aug-24'!$H:$H,0)</f>
        <v>0</v>
      </c>
      <c r="N367" s="17">
        <f>_xlfn.XLOOKUP($B367,'[1]Sep-24'!$A:$A,'[1]Sep-24'!$H:$H,0)</f>
        <v>0</v>
      </c>
      <c r="O367" s="17">
        <f>_xlfn.XLOOKUP($B367,'[1]Oct-24'!$A:$A,'[1]Oct-24'!$H:$H,0)</f>
        <v>0</v>
      </c>
      <c r="P367" s="17">
        <f>_xlfn.XLOOKUP($B367,'[1]Nov-24'!$A:$A,'[1]Nov-24'!$H:$H,0)</f>
        <v>0</v>
      </c>
      <c r="Q367" s="17">
        <f>_xlfn.XLOOKUP($B367,'[1]Dec-24'!$A:$A,'[1]Dec-24'!$H:$H,0)</f>
        <v>0</v>
      </c>
      <c r="R367" s="17">
        <f>_xlfn.XLOOKUP($B367,'[1]Jan-25'!$A:$A,'[1]Jan-25'!$H:$H,0)</f>
        <v>0</v>
      </c>
      <c r="S367" s="17">
        <f>_xlfn.XLOOKUP($B367,'[1]Feb-25'!$A:$A,'[1]Feb-25'!$H:$H,0)</f>
        <v>0</v>
      </c>
      <c r="T367" s="17">
        <f>_xlfn.XLOOKUP($B367,'[1]Mar-25'!$A:$A,'[1]Mar-25'!$H:$H,0)</f>
        <v>0</v>
      </c>
      <c r="U367" s="17">
        <f>_xlfn.XLOOKUP($B367,'[1]Apr-25'!$A:$A,'[1]Apr-25'!$H:$H,0)</f>
        <v>0</v>
      </c>
      <c r="V367" s="17">
        <f>_xlfn.XLOOKUP($B367,'[1]May-25'!$A:$A,'[1]May-25'!$H:$H,0)</f>
        <v>0</v>
      </c>
      <c r="W367" s="17">
        <f>_xlfn.XLOOKUP($B367,'[1]Jun-25'!$A:$A,'[1]Jun-25'!$H:$H,0)</f>
        <v>0</v>
      </c>
      <c r="X367" s="17">
        <f>_xlfn.XLOOKUP($B367,'[1]Jul-25'!$A:$A,'[1]Jul-25'!$H:$H,0)</f>
        <v>0</v>
      </c>
      <c r="Y367" s="17">
        <f>_xlfn.XLOOKUP($B367,'[1]Aug-25'!$A:$A,'[1]Aug-25'!$H:$H,0)</f>
        <v>0</v>
      </c>
      <c r="Z367" s="17">
        <f>_xlfn.XLOOKUP($B367,'[1]Sep-25'!$A:$A,'[1]Sep-25'!$H:$H,0)</f>
        <v>0</v>
      </c>
      <c r="AA367" s="17">
        <f>_xlfn.XLOOKUP($B367,'[1]Oct-25'!$A:$A,'[1]Oct-25'!$H:$H,0)</f>
        <v>0</v>
      </c>
      <c r="AB367" s="17">
        <f>_xlfn.XLOOKUP($B367,'[1]Nov-25'!$A:$A,'[1]Nov-25'!$H:$H,0)</f>
        <v>0</v>
      </c>
      <c r="AC367" s="17">
        <f>_xlfn.XLOOKUP($B367,'[1]Dec-25'!$A:$A,'[1]Dec-25'!$H:$H,0)</f>
        <v>0</v>
      </c>
      <c r="AD367" s="17">
        <f>_xlfn.XLOOKUP($B367,'[1]Jan-26'!$A:$A,'[1]Jan-26'!$H:$H,0)</f>
        <v>0</v>
      </c>
      <c r="AE367" s="17">
        <f>_xlfn.XLOOKUP($B367,'[1]Feb-26'!$A:$A,'[1]Feb-26'!$H:$H,0)</f>
        <v>0</v>
      </c>
      <c r="AF367" s="17">
        <f>_xlfn.XLOOKUP($B367,'[1]Mar-26'!$A:$A,'[1]Mar-26'!$H:$H,0)</f>
        <v>0</v>
      </c>
      <c r="AG367" s="17">
        <f>_xlfn.XLOOKUP($B367,'[1]Apr-26'!$A:$A,'[1]Apr-26'!$H:$H,0)</f>
        <v>0</v>
      </c>
    </row>
    <row r="368" spans="1:33" x14ac:dyDescent="0.2">
      <c r="A368" s="58">
        <v>53090</v>
      </c>
      <c r="B368" s="56" t="str">
        <f t="shared" si="11"/>
        <v>53090</v>
      </c>
      <c r="C368" s="57" t="s">
        <v>517</v>
      </c>
      <c r="D368" s="57" t="s">
        <v>387</v>
      </c>
      <c r="E368" s="44" t="s">
        <v>113</v>
      </c>
      <c r="F368" s="17">
        <f>_xlfn.XLOOKUP($B368,'[1]Jan-24'!$A:$A,'[1]Jan-24'!$H:$H,0)</f>
        <v>6800</v>
      </c>
      <c r="G368" s="17">
        <f>_xlfn.XLOOKUP($B368,'[1]Feb-24'!$A:$A,'[1]Feb-24'!$H:$H,0)</f>
        <v>67500</v>
      </c>
      <c r="H368" s="17">
        <f>_xlfn.XLOOKUP($B368,'[1]Mar-24'!$A:$A,'[1]Mar-24'!$H:$H,0)</f>
        <v>0</v>
      </c>
      <c r="I368" s="17">
        <f>_xlfn.XLOOKUP($B368,'[1]Apr-24'!$A:$A,'[1]Apr-24'!$H:$H,0)</f>
        <v>67500</v>
      </c>
      <c r="J368" s="17">
        <f>_xlfn.XLOOKUP($B368,'[1]May-24'!$A:$A,'[1]May-24'!$H:$H,0)</f>
        <v>63500</v>
      </c>
      <c r="K368" s="17">
        <f>_xlfn.XLOOKUP($B368,'[1]Jun-24'!$A:$A,'[1]Jun-24'!$H:$H,0)</f>
        <v>0</v>
      </c>
      <c r="L368" s="17">
        <f>_xlfn.XLOOKUP($B368,'[1]Jul-24'!$A:$A,'[1]Jul-24'!$H:$H,0)</f>
        <v>0</v>
      </c>
      <c r="M368" s="17">
        <f>_xlfn.XLOOKUP($B368,'[1]Aug-24'!$A:$A,'[1]Aug-24'!$H:$H,0)</f>
        <v>0</v>
      </c>
      <c r="N368" s="17">
        <f>_xlfn.XLOOKUP($B368,'[1]Sep-24'!$A:$A,'[1]Sep-24'!$H:$H,0)</f>
        <v>0</v>
      </c>
      <c r="O368" s="17">
        <f>_xlfn.XLOOKUP($B368,'[1]Oct-24'!$A:$A,'[1]Oct-24'!$H:$H,0)</f>
        <v>9400</v>
      </c>
      <c r="P368" s="17">
        <f>_xlfn.XLOOKUP($B368,'[1]Nov-24'!$A:$A,'[1]Nov-24'!$H:$H,0)</f>
        <v>47500</v>
      </c>
      <c r="Q368" s="17">
        <f>_xlfn.XLOOKUP($B368,'[1]Dec-24'!$A:$A,'[1]Dec-24'!$H:$H,0)</f>
        <v>0</v>
      </c>
      <c r="R368" s="17">
        <f>_xlfn.XLOOKUP($B368,'[1]Jan-25'!$A:$A,'[1]Jan-25'!$H:$H,0)</f>
        <v>11400</v>
      </c>
      <c r="S368" s="17">
        <f>_xlfn.XLOOKUP($B368,'[1]Feb-25'!$A:$A,'[1]Feb-25'!$H:$H,0)</f>
        <v>9000</v>
      </c>
      <c r="T368" s="17">
        <f>_xlfn.XLOOKUP($B368,'[1]Mar-25'!$A:$A,'[1]Mar-25'!$H:$H,0)</f>
        <v>31200</v>
      </c>
      <c r="U368" s="17">
        <f>_xlfn.XLOOKUP($B368,'[1]Apr-25'!$A:$A,'[1]Apr-25'!$H:$H,0)</f>
        <v>57500</v>
      </c>
      <c r="V368" s="17">
        <f>_xlfn.XLOOKUP($B368,'[1]May-25'!$A:$A,'[1]May-25'!$H:$H,0)</f>
        <v>0</v>
      </c>
      <c r="W368" s="17">
        <f>_xlfn.XLOOKUP($B368,'[1]Jun-25'!$A:$A,'[1]Jun-25'!$H:$H,0)</f>
        <v>25000</v>
      </c>
      <c r="X368" s="17">
        <f>_xlfn.XLOOKUP($B368,'[1]Jul-25'!$A:$A,'[1]Jul-25'!$H:$H,0)</f>
        <v>16000</v>
      </c>
      <c r="Y368" s="17">
        <f>_xlfn.XLOOKUP($B368,'[1]Aug-25'!$A:$A,'[1]Aug-25'!$H:$H,0)</f>
        <v>25000</v>
      </c>
      <c r="Z368" s="17">
        <f>_xlfn.XLOOKUP($B368,'[1]Sep-25'!$A:$A,'[1]Sep-25'!$H:$H,0)</f>
        <v>18000</v>
      </c>
      <c r="AA368" s="17">
        <f>_xlfn.XLOOKUP($B368,'[1]Oct-25'!$A:$A,'[1]Oct-25'!$H:$H,0)</f>
        <v>0</v>
      </c>
      <c r="AB368" s="17">
        <f>_xlfn.XLOOKUP($B368,'[1]Nov-25'!$A:$A,'[1]Nov-25'!$H:$H,0)</f>
        <v>0</v>
      </c>
      <c r="AC368" s="17">
        <f>_xlfn.XLOOKUP($B368,'[1]Dec-25'!$A:$A,'[1]Dec-25'!$H:$H,0)</f>
        <v>0</v>
      </c>
      <c r="AD368" s="17">
        <f>_xlfn.XLOOKUP($B368,'[1]Jan-26'!$A:$A,'[1]Jan-26'!$H:$H,0)</f>
        <v>0</v>
      </c>
      <c r="AE368" s="17">
        <f>_xlfn.XLOOKUP($B368,'[1]Feb-26'!$A:$A,'[1]Feb-26'!$H:$H,0)</f>
        <v>0</v>
      </c>
      <c r="AF368" s="17">
        <f>_xlfn.XLOOKUP($B368,'[1]Mar-26'!$A:$A,'[1]Mar-26'!$H:$H,0)</f>
        <v>0</v>
      </c>
      <c r="AG368" s="17">
        <f>_xlfn.XLOOKUP($B368,'[1]Apr-26'!$A:$A,'[1]Apr-26'!$H:$H,0)</f>
        <v>16500</v>
      </c>
    </row>
    <row r="369" spans="1:33" x14ac:dyDescent="0.2">
      <c r="A369" s="58">
        <v>53095</v>
      </c>
      <c r="B369" s="56" t="str">
        <f t="shared" si="11"/>
        <v>53095</v>
      </c>
      <c r="C369" s="57" t="s">
        <v>517</v>
      </c>
      <c r="D369" s="57" t="s">
        <v>387</v>
      </c>
      <c r="E369" s="44" t="s">
        <v>114</v>
      </c>
      <c r="F369" s="17">
        <f>_xlfn.XLOOKUP($B369,'[1]Jan-24'!$A:$A,'[1]Jan-24'!$H:$H,0)</f>
        <v>4000</v>
      </c>
      <c r="G369" s="17">
        <f>_xlfn.XLOOKUP($B369,'[1]Feb-24'!$A:$A,'[1]Feb-24'!$H:$H,0)</f>
        <v>2000</v>
      </c>
      <c r="H369" s="17">
        <f>_xlfn.XLOOKUP($B369,'[1]Mar-24'!$A:$A,'[1]Mar-24'!$H:$H,0)</f>
        <v>0</v>
      </c>
      <c r="I369" s="17">
        <f>_xlfn.XLOOKUP($B369,'[1]Apr-24'!$A:$A,'[1]Apr-24'!$H:$H,0)</f>
        <v>2000</v>
      </c>
      <c r="J369" s="17">
        <f>_xlfn.XLOOKUP($B369,'[1]May-24'!$A:$A,'[1]May-24'!$H:$H,0)</f>
        <v>2000</v>
      </c>
      <c r="K369" s="17">
        <f>_xlfn.XLOOKUP($B369,'[1]Jun-24'!$A:$A,'[1]Jun-24'!$H:$H,0)</f>
        <v>2000</v>
      </c>
      <c r="L369" s="17">
        <f>_xlfn.XLOOKUP($B369,'[1]Jul-24'!$A:$A,'[1]Jul-24'!$H:$H,0)</f>
        <v>0</v>
      </c>
      <c r="M369" s="17">
        <f>_xlfn.XLOOKUP($B369,'[1]Aug-24'!$A:$A,'[1]Aug-24'!$H:$H,0)</f>
        <v>4000</v>
      </c>
      <c r="N369" s="17">
        <f>_xlfn.XLOOKUP($B369,'[1]Sep-24'!$A:$A,'[1]Sep-24'!$H:$H,0)</f>
        <v>2000</v>
      </c>
      <c r="O369" s="17">
        <f>_xlfn.XLOOKUP($B369,'[1]Oct-24'!$A:$A,'[1]Oct-24'!$H:$H,0)</f>
        <v>2000</v>
      </c>
      <c r="P369" s="17">
        <f>_xlfn.XLOOKUP($B369,'[1]Nov-24'!$A:$A,'[1]Nov-24'!$H:$H,0)</f>
        <v>2000</v>
      </c>
      <c r="Q369" s="17">
        <f>_xlfn.XLOOKUP($B369,'[1]Dec-24'!$A:$A,'[1]Dec-24'!$H:$H,0)</f>
        <v>27000</v>
      </c>
      <c r="R369" s="17">
        <f>_xlfn.XLOOKUP($B369,'[1]Jan-25'!$A:$A,'[1]Jan-25'!$H:$H,0)</f>
        <v>0</v>
      </c>
      <c r="S369" s="17">
        <f>_xlfn.XLOOKUP($B369,'[1]Feb-25'!$A:$A,'[1]Feb-25'!$H:$H,0)</f>
        <v>2000</v>
      </c>
      <c r="T369" s="17">
        <f>_xlfn.XLOOKUP($B369,'[1]Mar-25'!$A:$A,'[1]Mar-25'!$H:$H,0)</f>
        <v>21376.54</v>
      </c>
      <c r="U369" s="17">
        <f>_xlfn.XLOOKUP($B369,'[1]Apr-25'!$A:$A,'[1]Apr-25'!$H:$H,0)</f>
        <v>2000</v>
      </c>
      <c r="V369" s="17">
        <f>_xlfn.XLOOKUP($B369,'[1]May-25'!$A:$A,'[1]May-25'!$H:$H,0)</f>
        <v>2000</v>
      </c>
      <c r="W369" s="17">
        <f>_xlfn.XLOOKUP($B369,'[1]Jun-25'!$A:$A,'[1]Jun-25'!$H:$H,0)</f>
        <v>2000</v>
      </c>
      <c r="X369" s="17">
        <f>_xlfn.XLOOKUP($B369,'[1]Jul-25'!$A:$A,'[1]Jul-25'!$H:$H,0)</f>
        <v>15767.12</v>
      </c>
      <c r="Y369" s="17">
        <f>_xlfn.XLOOKUP($B369,'[1]Aug-25'!$A:$A,'[1]Aug-25'!$H:$H,0)</f>
        <v>2000</v>
      </c>
      <c r="Z369" s="17">
        <f>_xlfn.XLOOKUP($B369,'[1]Sep-25'!$A:$A,'[1]Sep-25'!$H:$H,0)</f>
        <v>2000</v>
      </c>
      <c r="AA369" s="17">
        <f>_xlfn.XLOOKUP($B369,'[1]Oct-25'!$A:$A,'[1]Oct-25'!$H:$H,0)</f>
        <v>2000</v>
      </c>
      <c r="AB369" s="17">
        <f>_xlfn.XLOOKUP($B369,'[1]Nov-25'!$A:$A,'[1]Nov-25'!$H:$H,0)</f>
        <v>16990</v>
      </c>
      <c r="AC369" s="17">
        <f>_xlfn.XLOOKUP($B369,'[1]Dec-25'!$A:$A,'[1]Dec-25'!$H:$H,0)</f>
        <v>-1022.5</v>
      </c>
      <c r="AD369" s="17">
        <f>_xlfn.XLOOKUP($B369,'[1]Jan-26'!$A:$A,'[1]Jan-26'!$H:$H,0)</f>
        <v>2000</v>
      </c>
      <c r="AE369" s="17">
        <f>_xlfn.XLOOKUP($B369,'[1]Feb-26'!$A:$A,'[1]Feb-26'!$H:$H,0)</f>
        <v>23400</v>
      </c>
      <c r="AF369" s="17">
        <f>_xlfn.XLOOKUP($B369,'[1]Mar-26'!$A:$A,'[1]Mar-26'!$H:$H,0)</f>
        <v>-257.5</v>
      </c>
      <c r="AG369" s="17">
        <f>_xlfn.XLOOKUP($B369,'[1]Apr-26'!$A:$A,'[1]Apr-26'!$H:$H,0)</f>
        <v>7498.2</v>
      </c>
    </row>
    <row r="370" spans="1:33" x14ac:dyDescent="0.2">
      <c r="A370" s="58">
        <v>53100</v>
      </c>
      <c r="B370" s="56" t="str">
        <f t="shared" si="11"/>
        <v>53100</v>
      </c>
      <c r="C370" s="57" t="s">
        <v>517</v>
      </c>
      <c r="D370" s="57" t="s">
        <v>387</v>
      </c>
      <c r="E370" s="44" t="s">
        <v>543</v>
      </c>
      <c r="F370" s="17">
        <f>_xlfn.XLOOKUP($B370,'[1]Jan-24'!$A:$A,'[1]Jan-24'!$H:$H,0)</f>
        <v>0</v>
      </c>
      <c r="G370" s="17">
        <f>_xlfn.XLOOKUP($B370,'[1]Feb-24'!$A:$A,'[1]Feb-24'!$H:$H,0)</f>
        <v>0</v>
      </c>
      <c r="H370" s="17">
        <f>_xlfn.XLOOKUP($B370,'[1]Mar-24'!$A:$A,'[1]Mar-24'!$H:$H,0)</f>
        <v>0</v>
      </c>
      <c r="I370" s="17">
        <f>_xlfn.XLOOKUP($B370,'[1]Apr-24'!$A:$A,'[1]Apr-24'!$H:$H,0)</f>
        <v>0</v>
      </c>
      <c r="J370" s="17">
        <f>_xlfn.XLOOKUP($B370,'[1]May-24'!$A:$A,'[1]May-24'!$H:$H,0)</f>
        <v>0</v>
      </c>
      <c r="K370" s="17">
        <f>_xlfn.XLOOKUP($B370,'[1]Jun-24'!$A:$A,'[1]Jun-24'!$H:$H,0)</f>
        <v>0</v>
      </c>
      <c r="L370" s="17">
        <f>_xlfn.XLOOKUP($B370,'[1]Jul-24'!$A:$A,'[1]Jul-24'!$H:$H,0)</f>
        <v>0</v>
      </c>
      <c r="M370" s="17">
        <f>_xlfn.XLOOKUP($B370,'[1]Aug-24'!$A:$A,'[1]Aug-24'!$H:$H,0)</f>
        <v>0</v>
      </c>
      <c r="N370" s="17">
        <f>_xlfn.XLOOKUP($B370,'[1]Sep-24'!$A:$A,'[1]Sep-24'!$H:$H,0)</f>
        <v>0</v>
      </c>
      <c r="O370" s="17">
        <f>_xlfn.XLOOKUP($B370,'[1]Oct-24'!$A:$A,'[1]Oct-24'!$H:$H,0)</f>
        <v>0</v>
      </c>
      <c r="P370" s="17">
        <f>_xlfn.XLOOKUP($B370,'[1]Nov-24'!$A:$A,'[1]Nov-24'!$H:$H,0)</f>
        <v>0</v>
      </c>
      <c r="Q370" s="17">
        <f>_xlfn.XLOOKUP($B370,'[1]Dec-24'!$A:$A,'[1]Dec-24'!$H:$H,0)</f>
        <v>0</v>
      </c>
      <c r="R370" s="17">
        <f>_xlfn.XLOOKUP($B370,'[1]Jan-25'!$A:$A,'[1]Jan-25'!$H:$H,0)</f>
        <v>0</v>
      </c>
      <c r="S370" s="17">
        <f>_xlfn.XLOOKUP($B370,'[1]Feb-25'!$A:$A,'[1]Feb-25'!$H:$H,0)</f>
        <v>0</v>
      </c>
      <c r="T370" s="17">
        <f>_xlfn.XLOOKUP($B370,'[1]Mar-25'!$A:$A,'[1]Mar-25'!$H:$H,0)</f>
        <v>0</v>
      </c>
      <c r="U370" s="17">
        <f>_xlfn.XLOOKUP($B370,'[1]Apr-25'!$A:$A,'[1]Apr-25'!$H:$H,0)</f>
        <v>0</v>
      </c>
      <c r="V370" s="17">
        <f>_xlfn.XLOOKUP($B370,'[1]May-25'!$A:$A,'[1]May-25'!$H:$H,0)</f>
        <v>0</v>
      </c>
      <c r="W370" s="17">
        <f>_xlfn.XLOOKUP($B370,'[1]Jun-25'!$A:$A,'[1]Jun-25'!$H:$H,0)</f>
        <v>0</v>
      </c>
      <c r="X370" s="17">
        <f>_xlfn.XLOOKUP($B370,'[1]Jul-25'!$A:$A,'[1]Jul-25'!$H:$H,0)</f>
        <v>0</v>
      </c>
      <c r="Y370" s="17">
        <f>_xlfn.XLOOKUP($B370,'[1]Aug-25'!$A:$A,'[1]Aug-25'!$H:$H,0)</f>
        <v>0</v>
      </c>
      <c r="Z370" s="17">
        <f>_xlfn.XLOOKUP($B370,'[1]Sep-25'!$A:$A,'[1]Sep-25'!$H:$H,0)</f>
        <v>0</v>
      </c>
      <c r="AA370" s="17">
        <f>_xlfn.XLOOKUP($B370,'[1]Oct-25'!$A:$A,'[1]Oct-25'!$H:$H,0)</f>
        <v>0</v>
      </c>
      <c r="AB370" s="17">
        <f>_xlfn.XLOOKUP($B370,'[1]Nov-25'!$A:$A,'[1]Nov-25'!$H:$H,0)</f>
        <v>0</v>
      </c>
      <c r="AC370" s="17">
        <f>_xlfn.XLOOKUP($B370,'[1]Dec-25'!$A:$A,'[1]Dec-25'!$H:$H,0)</f>
        <v>0</v>
      </c>
      <c r="AD370" s="17">
        <f>_xlfn.XLOOKUP($B370,'[1]Jan-26'!$A:$A,'[1]Jan-26'!$H:$H,0)</f>
        <v>0</v>
      </c>
      <c r="AE370" s="17">
        <f>_xlfn.XLOOKUP($B370,'[1]Feb-26'!$A:$A,'[1]Feb-26'!$H:$H,0)</f>
        <v>0</v>
      </c>
      <c r="AF370" s="17">
        <f>_xlfn.XLOOKUP($B370,'[1]Mar-26'!$A:$A,'[1]Mar-26'!$H:$H,0)</f>
        <v>0</v>
      </c>
      <c r="AG370" s="17">
        <f>_xlfn.XLOOKUP($B370,'[1]Apr-26'!$A:$A,'[1]Apr-26'!$H:$H,0)</f>
        <v>0</v>
      </c>
    </row>
    <row r="371" spans="1:33" x14ac:dyDescent="0.2">
      <c r="A371" s="58">
        <v>53105</v>
      </c>
      <c r="B371" s="56" t="str">
        <f t="shared" si="11"/>
        <v>53105</v>
      </c>
      <c r="C371" s="57" t="s">
        <v>517</v>
      </c>
      <c r="D371" s="57" t="s">
        <v>387</v>
      </c>
      <c r="E371" s="44" t="s">
        <v>544</v>
      </c>
      <c r="F371" s="17">
        <f>_xlfn.XLOOKUP($B371,'[1]Jan-24'!$A:$A,'[1]Jan-24'!$H:$H,0)</f>
        <v>0</v>
      </c>
      <c r="G371" s="17">
        <f>_xlfn.XLOOKUP($B371,'[1]Feb-24'!$A:$A,'[1]Feb-24'!$H:$H,0)</f>
        <v>0</v>
      </c>
      <c r="H371" s="17">
        <f>_xlfn.XLOOKUP($B371,'[1]Mar-24'!$A:$A,'[1]Mar-24'!$H:$H,0)</f>
        <v>0</v>
      </c>
      <c r="I371" s="17">
        <f>_xlfn.XLOOKUP($B371,'[1]Apr-24'!$A:$A,'[1]Apr-24'!$H:$H,0)</f>
        <v>0</v>
      </c>
      <c r="J371" s="17">
        <f>_xlfn.XLOOKUP($B371,'[1]May-24'!$A:$A,'[1]May-24'!$H:$H,0)</f>
        <v>0</v>
      </c>
      <c r="K371" s="17">
        <f>_xlfn.XLOOKUP($B371,'[1]Jun-24'!$A:$A,'[1]Jun-24'!$H:$H,0)</f>
        <v>0</v>
      </c>
      <c r="L371" s="17">
        <f>_xlfn.XLOOKUP($B371,'[1]Jul-24'!$A:$A,'[1]Jul-24'!$H:$H,0)</f>
        <v>0</v>
      </c>
      <c r="M371" s="17">
        <f>_xlfn.XLOOKUP($B371,'[1]Aug-24'!$A:$A,'[1]Aug-24'!$H:$H,0)</f>
        <v>0</v>
      </c>
      <c r="N371" s="17">
        <f>_xlfn.XLOOKUP($B371,'[1]Sep-24'!$A:$A,'[1]Sep-24'!$H:$H,0)</f>
        <v>0</v>
      </c>
      <c r="O371" s="17">
        <f>_xlfn.XLOOKUP($B371,'[1]Oct-24'!$A:$A,'[1]Oct-24'!$H:$H,0)</f>
        <v>0</v>
      </c>
      <c r="P371" s="17">
        <f>_xlfn.XLOOKUP($B371,'[1]Nov-24'!$A:$A,'[1]Nov-24'!$H:$H,0)</f>
        <v>0</v>
      </c>
      <c r="Q371" s="17">
        <f>_xlfn.XLOOKUP($B371,'[1]Dec-24'!$A:$A,'[1]Dec-24'!$H:$H,0)</f>
        <v>0</v>
      </c>
      <c r="R371" s="17">
        <f>_xlfn.XLOOKUP($B371,'[1]Jan-25'!$A:$A,'[1]Jan-25'!$H:$H,0)</f>
        <v>0</v>
      </c>
      <c r="S371" s="17">
        <f>_xlfn.XLOOKUP($B371,'[1]Feb-25'!$A:$A,'[1]Feb-25'!$H:$H,0)</f>
        <v>0</v>
      </c>
      <c r="T371" s="17">
        <f>_xlfn.XLOOKUP($B371,'[1]Mar-25'!$A:$A,'[1]Mar-25'!$H:$H,0)</f>
        <v>0</v>
      </c>
      <c r="U371" s="17">
        <f>_xlfn.XLOOKUP($B371,'[1]Apr-25'!$A:$A,'[1]Apr-25'!$H:$H,0)</f>
        <v>0</v>
      </c>
      <c r="V371" s="17">
        <f>_xlfn.XLOOKUP($B371,'[1]May-25'!$A:$A,'[1]May-25'!$H:$H,0)</f>
        <v>0</v>
      </c>
      <c r="W371" s="17">
        <f>_xlfn.XLOOKUP($B371,'[1]Jun-25'!$A:$A,'[1]Jun-25'!$H:$H,0)</f>
        <v>0</v>
      </c>
      <c r="X371" s="17">
        <f>_xlfn.XLOOKUP($B371,'[1]Jul-25'!$A:$A,'[1]Jul-25'!$H:$H,0)</f>
        <v>0</v>
      </c>
      <c r="Y371" s="17">
        <f>_xlfn.XLOOKUP($B371,'[1]Aug-25'!$A:$A,'[1]Aug-25'!$H:$H,0)</f>
        <v>0</v>
      </c>
      <c r="Z371" s="17">
        <f>_xlfn.XLOOKUP($B371,'[1]Sep-25'!$A:$A,'[1]Sep-25'!$H:$H,0)</f>
        <v>0</v>
      </c>
      <c r="AA371" s="17">
        <f>_xlfn.XLOOKUP($B371,'[1]Oct-25'!$A:$A,'[1]Oct-25'!$H:$H,0)</f>
        <v>0</v>
      </c>
      <c r="AB371" s="17">
        <f>_xlfn.XLOOKUP($B371,'[1]Nov-25'!$A:$A,'[1]Nov-25'!$H:$H,0)</f>
        <v>0</v>
      </c>
      <c r="AC371" s="17">
        <f>_xlfn.XLOOKUP($B371,'[1]Dec-25'!$A:$A,'[1]Dec-25'!$H:$H,0)</f>
        <v>0</v>
      </c>
      <c r="AD371" s="17">
        <f>_xlfn.XLOOKUP($B371,'[1]Jan-26'!$A:$A,'[1]Jan-26'!$H:$H,0)</f>
        <v>0</v>
      </c>
      <c r="AE371" s="17">
        <f>_xlfn.XLOOKUP($B371,'[1]Feb-26'!$A:$A,'[1]Feb-26'!$H:$H,0)</f>
        <v>0</v>
      </c>
      <c r="AF371" s="17">
        <f>_xlfn.XLOOKUP($B371,'[1]Mar-26'!$A:$A,'[1]Mar-26'!$H:$H,0)</f>
        <v>0</v>
      </c>
      <c r="AG371" s="17">
        <f>_xlfn.XLOOKUP($B371,'[1]Apr-26'!$A:$A,'[1]Apr-26'!$H:$H,0)</f>
        <v>0</v>
      </c>
    </row>
    <row r="372" spans="1:33" x14ac:dyDescent="0.2">
      <c r="A372" s="58">
        <v>53110</v>
      </c>
      <c r="B372" s="56" t="str">
        <f t="shared" si="11"/>
        <v>53110</v>
      </c>
      <c r="C372" s="57" t="s">
        <v>517</v>
      </c>
      <c r="D372" s="57" t="s">
        <v>387</v>
      </c>
      <c r="E372" s="44" t="s">
        <v>115</v>
      </c>
      <c r="F372" s="17">
        <f>_xlfn.XLOOKUP($B372,'[1]Jan-24'!$A:$A,'[1]Jan-24'!$H:$H,0)</f>
        <v>0</v>
      </c>
      <c r="G372" s="17">
        <f>_xlfn.XLOOKUP($B372,'[1]Feb-24'!$A:$A,'[1]Feb-24'!$H:$H,0)</f>
        <v>6000</v>
      </c>
      <c r="H372" s="17">
        <f>_xlfn.XLOOKUP($B372,'[1]Mar-24'!$A:$A,'[1]Mar-24'!$H:$H,0)</f>
        <v>0</v>
      </c>
      <c r="I372" s="17">
        <f>_xlfn.XLOOKUP($B372,'[1]Apr-24'!$A:$A,'[1]Apr-24'!$H:$H,0)</f>
        <v>7000</v>
      </c>
      <c r="J372" s="17">
        <f>_xlfn.XLOOKUP($B372,'[1]May-24'!$A:$A,'[1]May-24'!$H:$H,0)</f>
        <v>9000</v>
      </c>
      <c r="K372" s="17">
        <f>_xlfn.XLOOKUP($B372,'[1]Jun-24'!$A:$A,'[1]Jun-24'!$H:$H,0)</f>
        <v>7000</v>
      </c>
      <c r="L372" s="17">
        <f>_xlfn.XLOOKUP($B372,'[1]Jul-24'!$A:$A,'[1]Jul-24'!$H:$H,0)</f>
        <v>0</v>
      </c>
      <c r="M372" s="17">
        <f>_xlfn.XLOOKUP($B372,'[1]Aug-24'!$A:$A,'[1]Aug-24'!$H:$H,0)</f>
        <v>7000</v>
      </c>
      <c r="N372" s="17">
        <f>_xlfn.XLOOKUP($B372,'[1]Sep-24'!$A:$A,'[1]Sep-24'!$H:$H,0)</f>
        <v>7000</v>
      </c>
      <c r="O372" s="17">
        <f>_xlfn.XLOOKUP($B372,'[1]Oct-24'!$A:$A,'[1]Oct-24'!$H:$H,0)</f>
        <v>7000</v>
      </c>
      <c r="P372" s="17">
        <f>_xlfn.XLOOKUP($B372,'[1]Nov-24'!$A:$A,'[1]Nov-24'!$H:$H,0)</f>
        <v>7000</v>
      </c>
      <c r="Q372" s="17">
        <f>_xlfn.XLOOKUP($B372,'[1]Dec-24'!$A:$A,'[1]Dec-24'!$H:$H,0)</f>
        <v>7000</v>
      </c>
      <c r="R372" s="17">
        <f>_xlfn.XLOOKUP($B372,'[1]Jan-25'!$A:$A,'[1]Jan-25'!$H:$H,0)</f>
        <v>7000</v>
      </c>
      <c r="S372" s="17">
        <f>_xlfn.XLOOKUP($B372,'[1]Feb-25'!$A:$A,'[1]Feb-25'!$H:$H,0)</f>
        <v>7000</v>
      </c>
      <c r="T372" s="17">
        <f>_xlfn.XLOOKUP($B372,'[1]Mar-25'!$A:$A,'[1]Mar-25'!$H:$H,0)</f>
        <v>344201.15</v>
      </c>
      <c r="U372" s="17">
        <f>_xlfn.XLOOKUP($B372,'[1]Apr-25'!$A:$A,'[1]Apr-25'!$H:$H,0)</f>
        <v>7000</v>
      </c>
      <c r="V372" s="17">
        <f>_xlfn.XLOOKUP($B372,'[1]May-25'!$A:$A,'[1]May-25'!$H:$H,0)</f>
        <v>0</v>
      </c>
      <c r="W372" s="17">
        <f>_xlfn.XLOOKUP($B372,'[1]Jun-25'!$A:$A,'[1]Jun-25'!$H:$H,0)</f>
        <v>0</v>
      </c>
      <c r="X372" s="17">
        <f>_xlfn.XLOOKUP($B372,'[1]Jul-25'!$A:$A,'[1]Jul-25'!$H:$H,0)</f>
        <v>860000</v>
      </c>
      <c r="Y372" s="17">
        <f>_xlfn.XLOOKUP($B372,'[1]Aug-25'!$A:$A,'[1]Aug-25'!$H:$H,0)</f>
        <v>480243.8</v>
      </c>
      <c r="Z372" s="17">
        <f>_xlfn.XLOOKUP($B372,'[1]Sep-25'!$A:$A,'[1]Sep-25'!$H:$H,0)</f>
        <v>0</v>
      </c>
      <c r="AA372" s="17">
        <f>_xlfn.XLOOKUP($B372,'[1]Oct-25'!$A:$A,'[1]Oct-25'!$H:$H,0)</f>
        <v>0</v>
      </c>
      <c r="AB372" s="17">
        <f>_xlfn.XLOOKUP($B372,'[1]Nov-25'!$A:$A,'[1]Nov-25'!$H:$H,0)</f>
        <v>0</v>
      </c>
      <c r="AC372" s="17">
        <f>_xlfn.XLOOKUP($B372,'[1]Dec-25'!$A:$A,'[1]Dec-25'!$H:$H,0)</f>
        <v>0</v>
      </c>
      <c r="AD372" s="17">
        <f>_xlfn.XLOOKUP($B372,'[1]Jan-26'!$A:$A,'[1]Jan-26'!$H:$H,0)</f>
        <v>0</v>
      </c>
      <c r="AE372" s="17">
        <f>_xlfn.XLOOKUP($B372,'[1]Feb-26'!$A:$A,'[1]Feb-26'!$H:$H,0)</f>
        <v>0</v>
      </c>
      <c r="AF372" s="17">
        <f>_xlfn.XLOOKUP($B372,'[1]Mar-26'!$A:$A,'[1]Mar-26'!$H:$H,0)</f>
        <v>0</v>
      </c>
      <c r="AG372" s="17">
        <f>_xlfn.XLOOKUP($B372,'[1]Apr-26'!$A:$A,'[1]Apr-26'!$H:$H,0)</f>
        <v>0</v>
      </c>
    </row>
    <row r="373" spans="1:33" x14ac:dyDescent="0.2">
      <c r="A373" s="58">
        <v>53115</v>
      </c>
      <c r="B373" s="56" t="str">
        <f t="shared" si="11"/>
        <v>53115</v>
      </c>
      <c r="C373" s="57" t="s">
        <v>517</v>
      </c>
      <c r="D373" s="57" t="s">
        <v>387</v>
      </c>
      <c r="E373" s="44" t="s">
        <v>545</v>
      </c>
      <c r="F373" s="17">
        <f>_xlfn.XLOOKUP($B373,'[1]Jan-24'!$A:$A,'[1]Jan-24'!$H:$H,0)</f>
        <v>0</v>
      </c>
      <c r="G373" s="17">
        <f>_xlfn.XLOOKUP($B373,'[1]Feb-24'!$A:$A,'[1]Feb-24'!$H:$H,0)</f>
        <v>0</v>
      </c>
      <c r="H373" s="17">
        <f>_xlfn.XLOOKUP($B373,'[1]Mar-24'!$A:$A,'[1]Mar-24'!$H:$H,0)</f>
        <v>0</v>
      </c>
      <c r="I373" s="17">
        <f>_xlfn.XLOOKUP($B373,'[1]Apr-24'!$A:$A,'[1]Apr-24'!$H:$H,0)</f>
        <v>0</v>
      </c>
      <c r="J373" s="17">
        <f>_xlfn.XLOOKUP($B373,'[1]May-24'!$A:$A,'[1]May-24'!$H:$H,0)</f>
        <v>0</v>
      </c>
      <c r="K373" s="17">
        <f>_xlfn.XLOOKUP($B373,'[1]Jun-24'!$A:$A,'[1]Jun-24'!$H:$H,0)</f>
        <v>0</v>
      </c>
      <c r="L373" s="17">
        <f>_xlfn.XLOOKUP($B373,'[1]Jul-24'!$A:$A,'[1]Jul-24'!$H:$H,0)</f>
        <v>0</v>
      </c>
      <c r="M373" s="17">
        <f>_xlfn.XLOOKUP($B373,'[1]Aug-24'!$A:$A,'[1]Aug-24'!$H:$H,0)</f>
        <v>0</v>
      </c>
      <c r="N373" s="17">
        <f>_xlfn.XLOOKUP($B373,'[1]Sep-24'!$A:$A,'[1]Sep-24'!$H:$H,0)</f>
        <v>0</v>
      </c>
      <c r="O373" s="17">
        <f>_xlfn.XLOOKUP($B373,'[1]Oct-24'!$A:$A,'[1]Oct-24'!$H:$H,0)</f>
        <v>0</v>
      </c>
      <c r="P373" s="17">
        <f>_xlfn.XLOOKUP($B373,'[1]Nov-24'!$A:$A,'[1]Nov-24'!$H:$H,0)</f>
        <v>0</v>
      </c>
      <c r="Q373" s="17">
        <f>_xlfn.XLOOKUP($B373,'[1]Dec-24'!$A:$A,'[1]Dec-24'!$H:$H,0)</f>
        <v>0</v>
      </c>
      <c r="R373" s="17">
        <f>_xlfn.XLOOKUP($B373,'[1]Jan-25'!$A:$A,'[1]Jan-25'!$H:$H,0)</f>
        <v>0</v>
      </c>
      <c r="S373" s="17">
        <f>_xlfn.XLOOKUP($B373,'[1]Feb-25'!$A:$A,'[1]Feb-25'!$H:$H,0)</f>
        <v>0</v>
      </c>
      <c r="T373" s="17">
        <f>_xlfn.XLOOKUP($B373,'[1]Mar-25'!$A:$A,'[1]Mar-25'!$H:$H,0)</f>
        <v>0</v>
      </c>
      <c r="U373" s="17">
        <f>_xlfn.XLOOKUP($B373,'[1]Apr-25'!$A:$A,'[1]Apr-25'!$H:$H,0)</f>
        <v>0</v>
      </c>
      <c r="V373" s="17">
        <f>_xlfn.XLOOKUP($B373,'[1]May-25'!$A:$A,'[1]May-25'!$H:$H,0)</f>
        <v>0</v>
      </c>
      <c r="W373" s="17">
        <f>_xlfn.XLOOKUP($B373,'[1]Jun-25'!$A:$A,'[1]Jun-25'!$H:$H,0)</f>
        <v>0</v>
      </c>
      <c r="X373" s="17">
        <f>_xlfn.XLOOKUP($B373,'[1]Jul-25'!$A:$A,'[1]Jul-25'!$H:$H,0)</f>
        <v>0</v>
      </c>
      <c r="Y373" s="17">
        <f>_xlfn.XLOOKUP($B373,'[1]Aug-25'!$A:$A,'[1]Aug-25'!$H:$H,0)</f>
        <v>0</v>
      </c>
      <c r="Z373" s="17">
        <f>_xlfn.XLOOKUP($B373,'[1]Sep-25'!$A:$A,'[1]Sep-25'!$H:$H,0)</f>
        <v>0</v>
      </c>
      <c r="AA373" s="17">
        <f>_xlfn.XLOOKUP($B373,'[1]Oct-25'!$A:$A,'[1]Oct-25'!$H:$H,0)</f>
        <v>0</v>
      </c>
      <c r="AB373" s="17">
        <f>_xlfn.XLOOKUP($B373,'[1]Nov-25'!$A:$A,'[1]Nov-25'!$H:$H,0)</f>
        <v>0</v>
      </c>
      <c r="AC373" s="17">
        <f>_xlfn.XLOOKUP($B373,'[1]Dec-25'!$A:$A,'[1]Dec-25'!$H:$H,0)</f>
        <v>0</v>
      </c>
      <c r="AD373" s="17">
        <f>_xlfn.XLOOKUP($B373,'[1]Jan-26'!$A:$A,'[1]Jan-26'!$H:$H,0)</f>
        <v>0</v>
      </c>
      <c r="AE373" s="17">
        <f>_xlfn.XLOOKUP($B373,'[1]Feb-26'!$A:$A,'[1]Feb-26'!$H:$H,0)</f>
        <v>0</v>
      </c>
      <c r="AF373" s="17">
        <f>_xlfn.XLOOKUP($B373,'[1]Mar-26'!$A:$A,'[1]Mar-26'!$H:$H,0)</f>
        <v>0</v>
      </c>
      <c r="AG373" s="17">
        <f>_xlfn.XLOOKUP($B373,'[1]Apr-26'!$A:$A,'[1]Apr-26'!$H:$H,0)</f>
        <v>0</v>
      </c>
    </row>
    <row r="374" spans="1:33" x14ac:dyDescent="0.2">
      <c r="A374" s="58">
        <v>53120</v>
      </c>
      <c r="B374" s="56" t="str">
        <f t="shared" si="11"/>
        <v>53120</v>
      </c>
      <c r="C374" s="57" t="s">
        <v>517</v>
      </c>
      <c r="D374" s="57" t="s">
        <v>387</v>
      </c>
      <c r="E374" s="44" t="s">
        <v>116</v>
      </c>
      <c r="F374" s="17">
        <f>_xlfn.XLOOKUP($B374,'[1]Jan-24'!$A:$A,'[1]Jan-24'!$H:$H,0)</f>
        <v>37601228.419999994</v>
      </c>
      <c r="G374" s="17">
        <f>_xlfn.XLOOKUP($B374,'[1]Feb-24'!$A:$A,'[1]Feb-24'!$H:$H,0)</f>
        <v>33230058.289999999</v>
      </c>
      <c r="H374" s="17">
        <f>_xlfn.XLOOKUP($B374,'[1]Mar-24'!$A:$A,'[1]Mar-24'!$H:$H,0)</f>
        <v>33295875.84</v>
      </c>
      <c r="I374" s="17">
        <f>_xlfn.XLOOKUP($B374,'[1]Apr-24'!$A:$A,'[1]Apr-24'!$H:$H,0)</f>
        <v>46040002.689999998</v>
      </c>
      <c r="J374" s="17">
        <f>_xlfn.XLOOKUP($B374,'[1]May-24'!$A:$A,'[1]May-24'!$H:$H,0)</f>
        <v>48032046.549999997</v>
      </c>
      <c r="K374" s="17">
        <f>_xlfn.XLOOKUP($B374,'[1]Jun-24'!$A:$A,'[1]Jun-24'!$H:$H,0)</f>
        <v>52667375.659999996</v>
      </c>
      <c r="L374" s="17">
        <f>_xlfn.XLOOKUP($B374,'[1]Jul-24'!$A:$A,'[1]Jul-24'!$H:$H,0)</f>
        <v>51227134.350000001</v>
      </c>
      <c r="M374" s="17">
        <f>_xlfn.XLOOKUP($B374,'[1]Aug-24'!$A:$A,'[1]Aug-24'!$H:$H,0)</f>
        <v>53111492.009999998</v>
      </c>
      <c r="N374" s="17">
        <f>_xlfn.XLOOKUP($B374,'[1]Sep-24'!$A:$A,'[1]Sep-24'!$H:$H,0)</f>
        <v>58054587.210000001</v>
      </c>
      <c r="O374" s="17">
        <f>_xlfn.XLOOKUP($B374,'[1]Oct-24'!$A:$A,'[1]Oct-24'!$H:$H,0)</f>
        <v>51524451.880000003</v>
      </c>
      <c r="P374" s="17">
        <f>_xlfn.XLOOKUP($B374,'[1]Nov-24'!$A:$A,'[1]Nov-24'!$H:$H,0)</f>
        <v>49520426.049999997</v>
      </c>
      <c r="Q374" s="17">
        <f>_xlfn.XLOOKUP($B374,'[1]Dec-24'!$A:$A,'[1]Dec-24'!$H:$H,0)</f>
        <v>69754032.230000004</v>
      </c>
      <c r="R374" s="17">
        <f>_xlfn.XLOOKUP($B374,'[1]Jan-25'!$A:$A,'[1]Jan-25'!$H:$H,0)</f>
        <v>42981552.460000001</v>
      </c>
      <c r="S374" s="17">
        <f>_xlfn.XLOOKUP($B374,'[1]Feb-25'!$A:$A,'[1]Feb-25'!$H:$H,0)</f>
        <v>38452245.089999996</v>
      </c>
      <c r="T374" s="17">
        <f>_xlfn.XLOOKUP($B374,'[1]Mar-25'!$A:$A,'[1]Mar-25'!$H:$H,0)</f>
        <v>39367801.619999997</v>
      </c>
      <c r="U374" s="17">
        <f>_xlfn.XLOOKUP($B374,'[1]Apr-25'!$A:$A,'[1]Apr-25'!$H:$H,0)</f>
        <v>39380040.990000002</v>
      </c>
      <c r="V374" s="17">
        <f>_xlfn.XLOOKUP($B374,'[1]May-25'!$A:$A,'[1]May-25'!$H:$H,0)</f>
        <v>35252454.840000004</v>
      </c>
      <c r="W374" s="17">
        <f>_xlfn.XLOOKUP($B374,'[1]Jun-25'!$A:$A,'[1]Jun-25'!$H:$H,0)</f>
        <v>35815582.079999998</v>
      </c>
      <c r="X374" s="17">
        <f>_xlfn.XLOOKUP($B374,'[1]Jul-25'!$A:$A,'[1]Jul-25'!$H:$H,0)</f>
        <v>40179130.579999998</v>
      </c>
      <c r="Y374" s="17">
        <f>_xlfn.XLOOKUP($B374,'[1]Aug-25'!$A:$A,'[1]Aug-25'!$H:$H,0)</f>
        <v>3126297.1299999952</v>
      </c>
      <c r="Z374" s="17">
        <f>_xlfn.XLOOKUP($B374,'[1]Sep-25'!$A:$A,'[1]Sep-25'!$H:$H,0)</f>
        <v>38776192.149999999</v>
      </c>
      <c r="AA374" s="17">
        <f>_xlfn.XLOOKUP($B374,'[1]Oct-25'!$A:$A,'[1]Oct-25'!$H:$H,0)</f>
        <v>36472986.729999997</v>
      </c>
      <c r="AB374" s="17">
        <f>_xlfn.XLOOKUP($B374,'[1]Nov-25'!$A:$A,'[1]Nov-25'!$H:$H,0)</f>
        <v>36491740</v>
      </c>
      <c r="AC374" s="17">
        <f>_xlfn.XLOOKUP($B374,'[1]Dec-25'!$A:$A,'[1]Dec-25'!$H:$H,0)</f>
        <v>56313928.57</v>
      </c>
      <c r="AD374" s="17">
        <f>_xlfn.XLOOKUP($B374,'[1]Jan-26'!$A:$A,'[1]Jan-26'!$H:$H,0)</f>
        <v>34919332.200000003</v>
      </c>
      <c r="AE374" s="17">
        <f>_xlfn.XLOOKUP($B374,'[1]Feb-26'!$A:$A,'[1]Feb-26'!$H:$H,0)</f>
        <v>34728853.140000001</v>
      </c>
      <c r="AF374" s="17">
        <f>_xlfn.XLOOKUP($B374,'[1]Mar-26'!$A:$A,'[1]Mar-26'!$H:$H,0)</f>
        <v>34301474.82</v>
      </c>
      <c r="AG374" s="17">
        <f>_xlfn.XLOOKUP($B374,'[1]Apr-26'!$A:$A,'[1]Apr-26'!$H:$H,0)</f>
        <v>33584779.829999998</v>
      </c>
    </row>
    <row r="375" spans="1:33" x14ac:dyDescent="0.2">
      <c r="A375" s="58">
        <v>53125</v>
      </c>
      <c r="B375" s="56" t="str">
        <f t="shared" si="11"/>
        <v>53125</v>
      </c>
      <c r="C375" s="57" t="s">
        <v>517</v>
      </c>
      <c r="D375" s="57" t="s">
        <v>387</v>
      </c>
      <c r="E375" s="44" t="s">
        <v>546</v>
      </c>
      <c r="F375" s="17">
        <f>_xlfn.XLOOKUP($B375,'[1]Jan-24'!$A:$A,'[1]Jan-24'!$H:$H,0)</f>
        <v>0</v>
      </c>
      <c r="G375" s="17">
        <f>_xlfn.XLOOKUP($B375,'[1]Feb-24'!$A:$A,'[1]Feb-24'!$H:$H,0)</f>
        <v>0</v>
      </c>
      <c r="H375" s="17">
        <f>_xlfn.XLOOKUP($B375,'[1]Mar-24'!$A:$A,'[1]Mar-24'!$H:$H,0)</f>
        <v>0</v>
      </c>
      <c r="I375" s="17">
        <f>_xlfn.XLOOKUP($B375,'[1]Apr-24'!$A:$A,'[1]Apr-24'!$H:$H,0)</f>
        <v>0</v>
      </c>
      <c r="J375" s="17">
        <f>_xlfn.XLOOKUP($B375,'[1]May-24'!$A:$A,'[1]May-24'!$H:$H,0)</f>
        <v>0</v>
      </c>
      <c r="K375" s="17">
        <f>_xlfn.XLOOKUP($B375,'[1]Jun-24'!$A:$A,'[1]Jun-24'!$H:$H,0)</f>
        <v>0</v>
      </c>
      <c r="L375" s="17">
        <f>_xlfn.XLOOKUP($B375,'[1]Jul-24'!$A:$A,'[1]Jul-24'!$H:$H,0)</f>
        <v>0</v>
      </c>
      <c r="M375" s="17">
        <f>_xlfn.XLOOKUP($B375,'[1]Aug-24'!$A:$A,'[1]Aug-24'!$H:$H,0)</f>
        <v>0</v>
      </c>
      <c r="N375" s="17">
        <f>_xlfn.XLOOKUP($B375,'[1]Sep-24'!$A:$A,'[1]Sep-24'!$H:$H,0)</f>
        <v>0</v>
      </c>
      <c r="O375" s="17">
        <f>_xlfn.XLOOKUP($B375,'[1]Oct-24'!$A:$A,'[1]Oct-24'!$H:$H,0)</f>
        <v>0</v>
      </c>
      <c r="P375" s="17">
        <f>_xlfn.XLOOKUP($B375,'[1]Nov-24'!$A:$A,'[1]Nov-24'!$H:$H,0)</f>
        <v>0</v>
      </c>
      <c r="Q375" s="17">
        <f>_xlfn.XLOOKUP($B375,'[1]Dec-24'!$A:$A,'[1]Dec-24'!$H:$H,0)</f>
        <v>0</v>
      </c>
      <c r="R375" s="17">
        <f>_xlfn.XLOOKUP($B375,'[1]Jan-25'!$A:$A,'[1]Jan-25'!$H:$H,0)</f>
        <v>0</v>
      </c>
      <c r="S375" s="17">
        <f>_xlfn.XLOOKUP($B375,'[1]Feb-25'!$A:$A,'[1]Feb-25'!$H:$H,0)</f>
        <v>0</v>
      </c>
      <c r="T375" s="17">
        <f>_xlfn.XLOOKUP($B375,'[1]Mar-25'!$A:$A,'[1]Mar-25'!$H:$H,0)</f>
        <v>0</v>
      </c>
      <c r="U375" s="17">
        <f>_xlfn.XLOOKUP($B375,'[1]Apr-25'!$A:$A,'[1]Apr-25'!$H:$H,0)</f>
        <v>0</v>
      </c>
      <c r="V375" s="17">
        <f>_xlfn.XLOOKUP($B375,'[1]May-25'!$A:$A,'[1]May-25'!$H:$H,0)</f>
        <v>0</v>
      </c>
      <c r="W375" s="17">
        <f>_xlfn.XLOOKUP($B375,'[1]Jun-25'!$A:$A,'[1]Jun-25'!$H:$H,0)</f>
        <v>0</v>
      </c>
      <c r="X375" s="17">
        <f>_xlfn.XLOOKUP($B375,'[1]Jul-25'!$A:$A,'[1]Jul-25'!$H:$H,0)</f>
        <v>0</v>
      </c>
      <c r="Y375" s="17">
        <f>_xlfn.XLOOKUP($B375,'[1]Aug-25'!$A:$A,'[1]Aug-25'!$H:$H,0)</f>
        <v>0</v>
      </c>
      <c r="Z375" s="17">
        <f>_xlfn.XLOOKUP($B375,'[1]Sep-25'!$A:$A,'[1]Sep-25'!$H:$H,0)</f>
        <v>0</v>
      </c>
      <c r="AA375" s="17">
        <f>_xlfn.XLOOKUP($B375,'[1]Oct-25'!$A:$A,'[1]Oct-25'!$H:$H,0)</f>
        <v>0</v>
      </c>
      <c r="AB375" s="17">
        <f>_xlfn.XLOOKUP($B375,'[1]Nov-25'!$A:$A,'[1]Nov-25'!$H:$H,0)</f>
        <v>0</v>
      </c>
      <c r="AC375" s="17">
        <f>_xlfn.XLOOKUP($B375,'[1]Dec-25'!$A:$A,'[1]Dec-25'!$H:$H,0)</f>
        <v>0</v>
      </c>
      <c r="AD375" s="17">
        <f>_xlfn.XLOOKUP($B375,'[1]Jan-26'!$A:$A,'[1]Jan-26'!$H:$H,0)</f>
        <v>0</v>
      </c>
      <c r="AE375" s="17">
        <f>_xlfn.XLOOKUP($B375,'[1]Feb-26'!$A:$A,'[1]Feb-26'!$H:$H,0)</f>
        <v>0</v>
      </c>
      <c r="AF375" s="17">
        <f>_xlfn.XLOOKUP($B375,'[1]Mar-26'!$A:$A,'[1]Mar-26'!$H:$H,0)</f>
        <v>0</v>
      </c>
      <c r="AG375" s="17">
        <f>_xlfn.XLOOKUP($B375,'[1]Apr-26'!$A:$A,'[1]Apr-26'!$H:$H,0)</f>
        <v>0</v>
      </c>
    </row>
    <row r="376" spans="1:33" x14ac:dyDescent="0.2">
      <c r="A376" s="58">
        <v>53130</v>
      </c>
      <c r="B376" s="56" t="str">
        <f t="shared" si="11"/>
        <v>53130</v>
      </c>
      <c r="C376" s="57" t="s">
        <v>517</v>
      </c>
      <c r="D376" s="57" t="s">
        <v>387</v>
      </c>
      <c r="E376" s="44" t="s">
        <v>547</v>
      </c>
      <c r="F376" s="17">
        <f>_xlfn.XLOOKUP($B376,'[1]Jan-24'!$A:$A,'[1]Jan-24'!$H:$H,0)</f>
        <v>0</v>
      </c>
      <c r="G376" s="17">
        <f>_xlfn.XLOOKUP($B376,'[1]Feb-24'!$A:$A,'[1]Feb-24'!$H:$H,0)</f>
        <v>0</v>
      </c>
      <c r="H376" s="17">
        <f>_xlfn.XLOOKUP($B376,'[1]Mar-24'!$A:$A,'[1]Mar-24'!$H:$H,0)</f>
        <v>0</v>
      </c>
      <c r="I376" s="17">
        <f>_xlfn.XLOOKUP($B376,'[1]Apr-24'!$A:$A,'[1]Apr-24'!$H:$H,0)</f>
        <v>0</v>
      </c>
      <c r="J376" s="17">
        <f>_xlfn.XLOOKUP($B376,'[1]May-24'!$A:$A,'[1]May-24'!$H:$H,0)</f>
        <v>0</v>
      </c>
      <c r="K376" s="17">
        <f>_xlfn.XLOOKUP($B376,'[1]Jun-24'!$A:$A,'[1]Jun-24'!$H:$H,0)</f>
        <v>0</v>
      </c>
      <c r="L376" s="17">
        <f>_xlfn.XLOOKUP($B376,'[1]Jul-24'!$A:$A,'[1]Jul-24'!$H:$H,0)</f>
        <v>0</v>
      </c>
      <c r="M376" s="17">
        <f>_xlfn.XLOOKUP($B376,'[1]Aug-24'!$A:$A,'[1]Aug-24'!$H:$H,0)</f>
        <v>0</v>
      </c>
      <c r="N376" s="17">
        <f>_xlfn.XLOOKUP($B376,'[1]Sep-24'!$A:$A,'[1]Sep-24'!$H:$H,0)</f>
        <v>0</v>
      </c>
      <c r="O376" s="17">
        <f>_xlfn.XLOOKUP($B376,'[1]Oct-24'!$A:$A,'[1]Oct-24'!$H:$H,0)</f>
        <v>0</v>
      </c>
      <c r="P376" s="17">
        <f>_xlfn.XLOOKUP($B376,'[1]Nov-24'!$A:$A,'[1]Nov-24'!$H:$H,0)</f>
        <v>0</v>
      </c>
      <c r="Q376" s="17">
        <f>_xlfn.XLOOKUP($B376,'[1]Dec-24'!$A:$A,'[1]Dec-24'!$H:$H,0)</f>
        <v>0</v>
      </c>
      <c r="R376" s="17">
        <f>_xlfn.XLOOKUP($B376,'[1]Jan-25'!$A:$A,'[1]Jan-25'!$H:$H,0)</f>
        <v>0</v>
      </c>
      <c r="S376" s="17">
        <f>_xlfn.XLOOKUP($B376,'[1]Feb-25'!$A:$A,'[1]Feb-25'!$H:$H,0)</f>
        <v>0</v>
      </c>
      <c r="T376" s="17">
        <f>_xlfn.XLOOKUP($B376,'[1]Mar-25'!$A:$A,'[1]Mar-25'!$H:$H,0)</f>
        <v>0</v>
      </c>
      <c r="U376" s="17">
        <f>_xlfn.XLOOKUP($B376,'[1]Apr-25'!$A:$A,'[1]Apr-25'!$H:$H,0)</f>
        <v>0</v>
      </c>
      <c r="V376" s="17">
        <f>_xlfn.XLOOKUP($B376,'[1]May-25'!$A:$A,'[1]May-25'!$H:$H,0)</f>
        <v>0</v>
      </c>
      <c r="W376" s="17">
        <f>_xlfn.XLOOKUP($B376,'[1]Jun-25'!$A:$A,'[1]Jun-25'!$H:$H,0)</f>
        <v>0</v>
      </c>
      <c r="X376" s="17">
        <f>_xlfn.XLOOKUP($B376,'[1]Jul-25'!$A:$A,'[1]Jul-25'!$H:$H,0)</f>
        <v>0</v>
      </c>
      <c r="Y376" s="17">
        <f>_xlfn.XLOOKUP($B376,'[1]Aug-25'!$A:$A,'[1]Aug-25'!$H:$H,0)</f>
        <v>0</v>
      </c>
      <c r="Z376" s="17">
        <f>_xlfn.XLOOKUP($B376,'[1]Sep-25'!$A:$A,'[1]Sep-25'!$H:$H,0)</f>
        <v>0</v>
      </c>
      <c r="AA376" s="17">
        <f>_xlfn.XLOOKUP($B376,'[1]Oct-25'!$A:$A,'[1]Oct-25'!$H:$H,0)</f>
        <v>0</v>
      </c>
      <c r="AB376" s="17">
        <f>_xlfn.XLOOKUP($B376,'[1]Nov-25'!$A:$A,'[1]Nov-25'!$H:$H,0)</f>
        <v>0</v>
      </c>
      <c r="AC376" s="17">
        <f>_xlfn.XLOOKUP($B376,'[1]Dec-25'!$A:$A,'[1]Dec-25'!$H:$H,0)</f>
        <v>0</v>
      </c>
      <c r="AD376" s="17">
        <f>_xlfn.XLOOKUP($B376,'[1]Jan-26'!$A:$A,'[1]Jan-26'!$H:$H,0)</f>
        <v>0</v>
      </c>
      <c r="AE376" s="17">
        <f>_xlfn.XLOOKUP($B376,'[1]Feb-26'!$A:$A,'[1]Feb-26'!$H:$H,0)</f>
        <v>0</v>
      </c>
      <c r="AF376" s="17">
        <f>_xlfn.XLOOKUP($B376,'[1]Mar-26'!$A:$A,'[1]Mar-26'!$H:$H,0)</f>
        <v>0</v>
      </c>
      <c r="AG376" s="17">
        <f>_xlfn.XLOOKUP($B376,'[1]Apr-26'!$A:$A,'[1]Apr-26'!$H:$H,0)</f>
        <v>0</v>
      </c>
    </row>
    <row r="377" spans="1:33" x14ac:dyDescent="0.2">
      <c r="A377" s="58">
        <v>53135</v>
      </c>
      <c r="B377" s="56" t="str">
        <f t="shared" si="11"/>
        <v>53135</v>
      </c>
      <c r="C377" s="57" t="s">
        <v>517</v>
      </c>
      <c r="D377" s="57" t="s">
        <v>387</v>
      </c>
      <c r="E377" s="44" t="s">
        <v>548</v>
      </c>
      <c r="F377" s="17">
        <f>_xlfn.XLOOKUP($B377,'[1]Jan-24'!$A:$A,'[1]Jan-24'!$H:$H,0)</f>
        <v>0</v>
      </c>
      <c r="G377" s="17">
        <f>_xlfn.XLOOKUP($B377,'[1]Feb-24'!$A:$A,'[1]Feb-24'!$H:$H,0)</f>
        <v>0</v>
      </c>
      <c r="H377" s="17">
        <f>_xlfn.XLOOKUP($B377,'[1]Mar-24'!$A:$A,'[1]Mar-24'!$H:$H,0)</f>
        <v>0</v>
      </c>
      <c r="I377" s="17">
        <f>_xlfn.XLOOKUP($B377,'[1]Apr-24'!$A:$A,'[1]Apr-24'!$H:$H,0)</f>
        <v>0</v>
      </c>
      <c r="J377" s="17">
        <f>_xlfn.XLOOKUP($B377,'[1]May-24'!$A:$A,'[1]May-24'!$H:$H,0)</f>
        <v>0</v>
      </c>
      <c r="K377" s="17">
        <f>_xlfn.XLOOKUP($B377,'[1]Jun-24'!$A:$A,'[1]Jun-24'!$H:$H,0)</f>
        <v>0</v>
      </c>
      <c r="L377" s="17">
        <f>_xlfn.XLOOKUP($B377,'[1]Jul-24'!$A:$A,'[1]Jul-24'!$H:$H,0)</f>
        <v>0</v>
      </c>
      <c r="M377" s="17">
        <f>_xlfn.XLOOKUP($B377,'[1]Aug-24'!$A:$A,'[1]Aug-24'!$H:$H,0)</f>
        <v>0</v>
      </c>
      <c r="N377" s="17">
        <f>_xlfn.XLOOKUP($B377,'[1]Sep-24'!$A:$A,'[1]Sep-24'!$H:$H,0)</f>
        <v>0</v>
      </c>
      <c r="O377" s="17">
        <f>_xlfn.XLOOKUP($B377,'[1]Oct-24'!$A:$A,'[1]Oct-24'!$H:$H,0)</f>
        <v>0</v>
      </c>
      <c r="P377" s="17">
        <f>_xlfn.XLOOKUP($B377,'[1]Nov-24'!$A:$A,'[1]Nov-24'!$H:$H,0)</f>
        <v>0</v>
      </c>
      <c r="Q377" s="17">
        <f>_xlfn.XLOOKUP($B377,'[1]Dec-24'!$A:$A,'[1]Dec-24'!$H:$H,0)</f>
        <v>0</v>
      </c>
      <c r="R377" s="17">
        <f>_xlfn.XLOOKUP($B377,'[1]Jan-25'!$A:$A,'[1]Jan-25'!$H:$H,0)</f>
        <v>0</v>
      </c>
      <c r="S377" s="17">
        <f>_xlfn.XLOOKUP($B377,'[1]Feb-25'!$A:$A,'[1]Feb-25'!$H:$H,0)</f>
        <v>0</v>
      </c>
      <c r="T377" s="17">
        <f>_xlfn.XLOOKUP($B377,'[1]Mar-25'!$A:$A,'[1]Mar-25'!$H:$H,0)</f>
        <v>0</v>
      </c>
      <c r="U377" s="17">
        <f>_xlfn.XLOOKUP($B377,'[1]Apr-25'!$A:$A,'[1]Apr-25'!$H:$H,0)</f>
        <v>0</v>
      </c>
      <c r="V377" s="17">
        <f>_xlfn.XLOOKUP($B377,'[1]May-25'!$A:$A,'[1]May-25'!$H:$H,0)</f>
        <v>0</v>
      </c>
      <c r="W377" s="17">
        <f>_xlfn.XLOOKUP($B377,'[1]Jun-25'!$A:$A,'[1]Jun-25'!$H:$H,0)</f>
        <v>0</v>
      </c>
      <c r="X377" s="17">
        <f>_xlfn.XLOOKUP($B377,'[1]Jul-25'!$A:$A,'[1]Jul-25'!$H:$H,0)</f>
        <v>0</v>
      </c>
      <c r="Y377" s="17">
        <f>_xlfn.XLOOKUP($B377,'[1]Aug-25'!$A:$A,'[1]Aug-25'!$H:$H,0)</f>
        <v>0</v>
      </c>
      <c r="Z377" s="17">
        <f>_xlfn.XLOOKUP($B377,'[1]Sep-25'!$A:$A,'[1]Sep-25'!$H:$H,0)</f>
        <v>0</v>
      </c>
      <c r="AA377" s="17">
        <f>_xlfn.XLOOKUP($B377,'[1]Oct-25'!$A:$A,'[1]Oct-25'!$H:$H,0)</f>
        <v>0</v>
      </c>
      <c r="AB377" s="17">
        <f>_xlfn.XLOOKUP($B377,'[1]Nov-25'!$A:$A,'[1]Nov-25'!$H:$H,0)</f>
        <v>0</v>
      </c>
      <c r="AC377" s="17">
        <f>_xlfn.XLOOKUP($B377,'[1]Dec-25'!$A:$A,'[1]Dec-25'!$H:$H,0)</f>
        <v>0</v>
      </c>
      <c r="AD377" s="17">
        <f>_xlfn.XLOOKUP($B377,'[1]Jan-26'!$A:$A,'[1]Jan-26'!$H:$H,0)</f>
        <v>0</v>
      </c>
      <c r="AE377" s="17">
        <f>_xlfn.XLOOKUP($B377,'[1]Feb-26'!$A:$A,'[1]Feb-26'!$H:$H,0)</f>
        <v>0</v>
      </c>
      <c r="AF377" s="17">
        <f>_xlfn.XLOOKUP($B377,'[1]Mar-26'!$A:$A,'[1]Mar-26'!$H:$H,0)</f>
        <v>0</v>
      </c>
      <c r="AG377" s="17">
        <f>_xlfn.XLOOKUP($B377,'[1]Apr-26'!$A:$A,'[1]Apr-26'!$H:$H,0)</f>
        <v>0</v>
      </c>
    </row>
    <row r="378" spans="1:33" x14ac:dyDescent="0.2">
      <c r="A378" s="58">
        <v>53140</v>
      </c>
      <c r="B378" s="56" t="str">
        <f t="shared" si="11"/>
        <v>53140</v>
      </c>
      <c r="C378" s="57" t="s">
        <v>517</v>
      </c>
      <c r="D378" s="57" t="s">
        <v>387</v>
      </c>
      <c r="E378" s="44" t="s">
        <v>117</v>
      </c>
      <c r="F378" s="17">
        <f>_xlfn.XLOOKUP($B378,'[1]Jan-24'!$A:$A,'[1]Jan-24'!$H:$H,0)</f>
        <v>0</v>
      </c>
      <c r="G378" s="17">
        <f>_xlfn.XLOOKUP($B378,'[1]Feb-24'!$A:$A,'[1]Feb-24'!$H:$H,0)</f>
        <v>0</v>
      </c>
      <c r="H378" s="17">
        <f>_xlfn.XLOOKUP($B378,'[1]Mar-24'!$A:$A,'[1]Mar-24'!$H:$H,0)</f>
        <v>0</v>
      </c>
      <c r="I378" s="17">
        <f>_xlfn.XLOOKUP($B378,'[1]Apr-24'!$A:$A,'[1]Apr-24'!$H:$H,0)</f>
        <v>6684400</v>
      </c>
      <c r="J378" s="17">
        <f>_xlfn.XLOOKUP($B378,'[1]May-24'!$A:$A,'[1]May-24'!$H:$H,0)</f>
        <v>0</v>
      </c>
      <c r="K378" s="17">
        <f>_xlfn.XLOOKUP($B378,'[1]Jun-24'!$A:$A,'[1]Jun-24'!$H:$H,0)</f>
        <v>100767.5</v>
      </c>
      <c r="L378" s="17">
        <f>_xlfn.XLOOKUP($B378,'[1]Jul-24'!$A:$A,'[1]Jul-24'!$H:$H,0)</f>
        <v>0</v>
      </c>
      <c r="M378" s="17">
        <f>_xlfn.XLOOKUP($B378,'[1]Aug-24'!$A:$A,'[1]Aug-24'!$H:$H,0)</f>
        <v>0</v>
      </c>
      <c r="N378" s="17">
        <f>_xlfn.XLOOKUP($B378,'[1]Sep-24'!$A:$A,'[1]Sep-24'!$H:$H,0)</f>
        <v>0</v>
      </c>
      <c r="O378" s="17">
        <f>_xlfn.XLOOKUP($B378,'[1]Oct-24'!$A:$A,'[1]Oct-24'!$H:$H,0)</f>
        <v>0</v>
      </c>
      <c r="P378" s="17">
        <f>_xlfn.XLOOKUP($B378,'[1]Nov-24'!$A:$A,'[1]Nov-24'!$H:$H,0)</f>
        <v>0</v>
      </c>
      <c r="Q378" s="17">
        <f>_xlfn.XLOOKUP($B378,'[1]Dec-24'!$A:$A,'[1]Dec-24'!$H:$H,0)</f>
        <v>0</v>
      </c>
      <c r="R378" s="17">
        <f>_xlfn.XLOOKUP($B378,'[1]Jan-25'!$A:$A,'[1]Jan-25'!$H:$H,0)</f>
        <v>0</v>
      </c>
      <c r="S378" s="17">
        <f>_xlfn.XLOOKUP($B378,'[1]Feb-25'!$A:$A,'[1]Feb-25'!$H:$H,0)</f>
        <v>0</v>
      </c>
      <c r="T378" s="17">
        <f>_xlfn.XLOOKUP($B378,'[1]Mar-25'!$A:$A,'[1]Mar-25'!$H:$H,0)</f>
        <v>0</v>
      </c>
      <c r="U378" s="17">
        <f>_xlfn.XLOOKUP($B378,'[1]Apr-25'!$A:$A,'[1]Apr-25'!$H:$H,0)</f>
        <v>0</v>
      </c>
      <c r="V378" s="17">
        <f>_xlfn.XLOOKUP($B378,'[1]May-25'!$A:$A,'[1]May-25'!$H:$H,0)</f>
        <v>1587621.22</v>
      </c>
      <c r="W378" s="17">
        <f>_xlfn.XLOOKUP($B378,'[1]Jun-25'!$A:$A,'[1]Jun-25'!$H:$H,0)</f>
        <v>1587555</v>
      </c>
      <c r="X378" s="17">
        <f>_xlfn.XLOOKUP($B378,'[1]Jul-25'!$A:$A,'[1]Jul-25'!$H:$H,0)</f>
        <v>1585710</v>
      </c>
      <c r="Y378" s="17">
        <f>_xlfn.XLOOKUP($B378,'[1]Aug-25'!$A:$A,'[1]Aug-25'!$H:$H,0)</f>
        <v>728290.37</v>
      </c>
      <c r="Z378" s="17">
        <f>_xlfn.XLOOKUP($B378,'[1]Sep-25'!$A:$A,'[1]Sep-25'!$H:$H,0)</f>
        <v>55078259.93</v>
      </c>
      <c r="AA378" s="17">
        <f>_xlfn.XLOOKUP($B378,'[1]Oct-25'!$A:$A,'[1]Oct-25'!$H:$H,0)</f>
        <v>21394731.190000001</v>
      </c>
      <c r="AB378" s="17">
        <f>_xlfn.XLOOKUP($B378,'[1]Nov-25'!$A:$A,'[1]Nov-25'!$H:$H,0)</f>
        <v>21723342</v>
      </c>
      <c r="AC378" s="17">
        <f>_xlfn.XLOOKUP($B378,'[1]Dec-25'!$A:$A,'[1]Dec-25'!$H:$H,0)</f>
        <v>21723342</v>
      </c>
      <c r="AD378" s="17">
        <f>_xlfn.XLOOKUP($B378,'[1]Jan-26'!$A:$A,'[1]Jan-26'!$H:$H,0)</f>
        <v>21723342</v>
      </c>
      <c r="AE378" s="17">
        <f>_xlfn.XLOOKUP($B378,'[1]Feb-26'!$A:$A,'[1]Feb-26'!$H:$H,0)</f>
        <v>21723342</v>
      </c>
      <c r="AF378" s="17">
        <f>_xlfn.XLOOKUP($B378,'[1]Mar-26'!$A:$A,'[1]Mar-26'!$H:$H,0)</f>
        <v>16436675.33</v>
      </c>
      <c r="AG378" s="17">
        <f>_xlfn.XLOOKUP($B378,'[1]Apr-26'!$A:$A,'[1]Apr-26'!$H:$H,0)</f>
        <v>16436675.33</v>
      </c>
    </row>
    <row r="379" spans="1:33" x14ac:dyDescent="0.2">
      <c r="A379" s="58">
        <v>57100</v>
      </c>
      <c r="B379" s="56" t="str">
        <f t="shared" si="11"/>
        <v>57100</v>
      </c>
      <c r="C379" s="57" t="s">
        <v>549</v>
      </c>
      <c r="D379" s="57" t="s">
        <v>387</v>
      </c>
      <c r="E379" s="44" t="s">
        <v>550</v>
      </c>
      <c r="F379" s="17">
        <f>_xlfn.XLOOKUP($B379,'[1]Jan-24'!$A:$A,'[1]Jan-24'!$H:$H,0)</f>
        <v>0</v>
      </c>
      <c r="G379" s="17">
        <f>_xlfn.XLOOKUP($B379,'[1]Feb-24'!$A:$A,'[1]Feb-24'!$H:$H,0)</f>
        <v>0</v>
      </c>
      <c r="H379" s="17">
        <f>_xlfn.XLOOKUP($B379,'[1]Mar-24'!$A:$A,'[1]Mar-24'!$H:$H,0)</f>
        <v>0</v>
      </c>
      <c r="I379" s="17">
        <f>_xlfn.XLOOKUP($B379,'[1]Apr-24'!$A:$A,'[1]Apr-24'!$H:$H,0)</f>
        <v>0</v>
      </c>
      <c r="J379" s="17">
        <f>_xlfn.XLOOKUP($B379,'[1]May-24'!$A:$A,'[1]May-24'!$H:$H,0)</f>
        <v>0</v>
      </c>
      <c r="K379" s="17">
        <f>_xlfn.XLOOKUP($B379,'[1]Jun-24'!$A:$A,'[1]Jun-24'!$H:$H,0)</f>
        <v>0</v>
      </c>
      <c r="L379" s="17">
        <f>_xlfn.XLOOKUP($B379,'[1]Jul-24'!$A:$A,'[1]Jul-24'!$H:$H,0)</f>
        <v>0</v>
      </c>
      <c r="M379" s="17">
        <f>_xlfn.XLOOKUP($B379,'[1]Aug-24'!$A:$A,'[1]Aug-24'!$H:$H,0)</f>
        <v>0</v>
      </c>
      <c r="N379" s="17">
        <f>_xlfn.XLOOKUP($B379,'[1]Sep-24'!$A:$A,'[1]Sep-24'!$H:$H,0)</f>
        <v>0</v>
      </c>
      <c r="O379" s="17">
        <f>_xlfn.XLOOKUP($B379,'[1]Oct-24'!$A:$A,'[1]Oct-24'!$H:$H,0)</f>
        <v>0</v>
      </c>
      <c r="P379" s="17">
        <f>_xlfn.XLOOKUP($B379,'[1]Nov-24'!$A:$A,'[1]Nov-24'!$H:$H,0)</f>
        <v>0</v>
      </c>
      <c r="Q379" s="17">
        <f>_xlfn.XLOOKUP($B379,'[1]Dec-24'!$A:$A,'[1]Dec-24'!$H:$H,0)</f>
        <v>0</v>
      </c>
      <c r="R379" s="17">
        <f>_xlfn.XLOOKUP($B379,'[1]Jan-25'!$A:$A,'[1]Jan-25'!$H:$H,0)</f>
        <v>0</v>
      </c>
      <c r="S379" s="17">
        <f>_xlfn.XLOOKUP($B379,'[1]Feb-25'!$A:$A,'[1]Feb-25'!$H:$H,0)</f>
        <v>0</v>
      </c>
      <c r="T379" s="17">
        <f>_xlfn.XLOOKUP($B379,'[1]Mar-25'!$A:$A,'[1]Mar-25'!$H:$H,0)</f>
        <v>0</v>
      </c>
      <c r="U379" s="17">
        <f>_xlfn.XLOOKUP($B379,'[1]Apr-25'!$A:$A,'[1]Apr-25'!$H:$H,0)</f>
        <v>0</v>
      </c>
      <c r="V379" s="17">
        <f>_xlfn.XLOOKUP($B379,'[1]May-25'!$A:$A,'[1]May-25'!$H:$H,0)</f>
        <v>0</v>
      </c>
      <c r="W379" s="17">
        <f>_xlfn.XLOOKUP($B379,'[1]Jun-25'!$A:$A,'[1]Jun-25'!$H:$H,0)</f>
        <v>0</v>
      </c>
      <c r="X379" s="17">
        <f>_xlfn.XLOOKUP($B379,'[1]Jul-25'!$A:$A,'[1]Jul-25'!$H:$H,0)</f>
        <v>0</v>
      </c>
      <c r="Y379" s="17">
        <f>_xlfn.XLOOKUP($B379,'[1]Aug-25'!$A:$A,'[1]Aug-25'!$H:$H,0)</f>
        <v>0</v>
      </c>
      <c r="Z379" s="17">
        <f>_xlfn.XLOOKUP($B379,'[1]Sep-25'!$A:$A,'[1]Sep-25'!$H:$H,0)</f>
        <v>0</v>
      </c>
      <c r="AA379" s="17">
        <f>_xlfn.XLOOKUP($B379,'[1]Oct-25'!$A:$A,'[1]Oct-25'!$H:$H,0)</f>
        <v>0</v>
      </c>
      <c r="AB379" s="17">
        <f>_xlfn.XLOOKUP($B379,'[1]Nov-25'!$A:$A,'[1]Nov-25'!$H:$H,0)</f>
        <v>0</v>
      </c>
      <c r="AC379" s="17">
        <f>_xlfn.XLOOKUP($B379,'[1]Dec-25'!$A:$A,'[1]Dec-25'!$H:$H,0)</f>
        <v>0</v>
      </c>
      <c r="AD379" s="17">
        <f>_xlfn.XLOOKUP($B379,'[1]Jan-26'!$A:$A,'[1]Jan-26'!$H:$H,0)</f>
        <v>0</v>
      </c>
      <c r="AE379" s="17">
        <f>_xlfn.XLOOKUP($B379,'[1]Feb-26'!$A:$A,'[1]Feb-26'!$H:$H,0)</f>
        <v>0</v>
      </c>
      <c r="AF379" s="17">
        <f>_xlfn.XLOOKUP($B379,'[1]Mar-26'!$A:$A,'[1]Mar-26'!$H:$H,0)</f>
        <v>0</v>
      </c>
      <c r="AG379" s="17">
        <f>_xlfn.XLOOKUP($B379,'[1]Apr-26'!$A:$A,'[1]Apr-26'!$H:$H,0)</f>
        <v>0</v>
      </c>
    </row>
    <row r="380" spans="1:33" x14ac:dyDescent="0.2">
      <c r="A380" s="58">
        <v>60000</v>
      </c>
      <c r="B380" s="56" t="str">
        <f t="shared" si="11"/>
        <v>60000</v>
      </c>
      <c r="C380" s="57" t="s">
        <v>389</v>
      </c>
      <c r="D380" s="57" t="s">
        <v>387</v>
      </c>
      <c r="E380" s="44" t="s">
        <v>551</v>
      </c>
      <c r="F380" s="17">
        <f>_xlfn.XLOOKUP($B380,'[1]Jan-24'!$A:$A,'[1]Jan-24'!$H:$H,0)</f>
        <v>0</v>
      </c>
      <c r="G380" s="17">
        <f>_xlfn.XLOOKUP($B380,'[1]Feb-24'!$A:$A,'[1]Feb-24'!$H:$H,0)</f>
        <v>0</v>
      </c>
      <c r="H380" s="17">
        <f>_xlfn.XLOOKUP($B380,'[1]Mar-24'!$A:$A,'[1]Mar-24'!$H:$H,0)</f>
        <v>0</v>
      </c>
      <c r="I380" s="17">
        <f>_xlfn.XLOOKUP($B380,'[1]Apr-24'!$A:$A,'[1]Apr-24'!$H:$H,0)</f>
        <v>0</v>
      </c>
      <c r="J380" s="17">
        <f>_xlfn.XLOOKUP($B380,'[1]May-24'!$A:$A,'[1]May-24'!$H:$H,0)</f>
        <v>0</v>
      </c>
      <c r="K380" s="17">
        <f>_xlfn.XLOOKUP($B380,'[1]Jun-24'!$A:$A,'[1]Jun-24'!$H:$H,0)</f>
        <v>0</v>
      </c>
      <c r="L380" s="17">
        <f>_xlfn.XLOOKUP($B380,'[1]Jul-24'!$A:$A,'[1]Jul-24'!$H:$H,0)</f>
        <v>0</v>
      </c>
      <c r="M380" s="17">
        <f>_xlfn.XLOOKUP($B380,'[1]Aug-24'!$A:$A,'[1]Aug-24'!$H:$H,0)</f>
        <v>0</v>
      </c>
      <c r="N380" s="17">
        <f>_xlfn.XLOOKUP($B380,'[1]Sep-24'!$A:$A,'[1]Sep-24'!$H:$H,0)</f>
        <v>0</v>
      </c>
      <c r="O380" s="17">
        <f>_xlfn.XLOOKUP($B380,'[1]Oct-24'!$A:$A,'[1]Oct-24'!$H:$H,0)</f>
        <v>0</v>
      </c>
      <c r="P380" s="17">
        <f>_xlfn.XLOOKUP($B380,'[1]Nov-24'!$A:$A,'[1]Nov-24'!$H:$H,0)</f>
        <v>0</v>
      </c>
      <c r="Q380" s="17">
        <f>_xlfn.XLOOKUP($B380,'[1]Dec-24'!$A:$A,'[1]Dec-24'!$H:$H,0)</f>
        <v>0</v>
      </c>
      <c r="R380" s="17">
        <f>_xlfn.XLOOKUP($B380,'[1]Jan-25'!$A:$A,'[1]Jan-25'!$H:$H,0)</f>
        <v>0</v>
      </c>
      <c r="S380" s="17">
        <f>_xlfn.XLOOKUP($B380,'[1]Feb-25'!$A:$A,'[1]Feb-25'!$H:$H,0)</f>
        <v>0</v>
      </c>
      <c r="T380" s="17">
        <f>_xlfn.XLOOKUP($B380,'[1]Mar-25'!$A:$A,'[1]Mar-25'!$H:$H,0)</f>
        <v>0</v>
      </c>
      <c r="U380" s="17">
        <f>_xlfn.XLOOKUP($B380,'[1]Apr-25'!$A:$A,'[1]Apr-25'!$H:$H,0)</f>
        <v>0</v>
      </c>
      <c r="V380" s="17">
        <f>_xlfn.XLOOKUP($B380,'[1]May-25'!$A:$A,'[1]May-25'!$H:$H,0)</f>
        <v>0</v>
      </c>
      <c r="W380" s="17">
        <f>_xlfn.XLOOKUP($B380,'[1]Jun-25'!$A:$A,'[1]Jun-25'!$H:$H,0)</f>
        <v>0</v>
      </c>
      <c r="X380" s="17">
        <f>_xlfn.XLOOKUP($B380,'[1]Jul-25'!$A:$A,'[1]Jul-25'!$H:$H,0)</f>
        <v>0</v>
      </c>
      <c r="Y380" s="17">
        <f>_xlfn.XLOOKUP($B380,'[1]Aug-25'!$A:$A,'[1]Aug-25'!$H:$H,0)</f>
        <v>0</v>
      </c>
      <c r="Z380" s="17">
        <f>_xlfn.XLOOKUP($B380,'[1]Sep-25'!$A:$A,'[1]Sep-25'!$H:$H,0)</f>
        <v>0</v>
      </c>
      <c r="AA380" s="17">
        <f>_xlfn.XLOOKUP($B380,'[1]Oct-25'!$A:$A,'[1]Oct-25'!$H:$H,0)</f>
        <v>0</v>
      </c>
      <c r="AB380" s="17">
        <f>_xlfn.XLOOKUP($B380,'[1]Nov-25'!$A:$A,'[1]Nov-25'!$H:$H,0)</f>
        <v>0</v>
      </c>
      <c r="AC380" s="17">
        <f>_xlfn.XLOOKUP($B380,'[1]Dec-25'!$A:$A,'[1]Dec-25'!$H:$H,0)</f>
        <v>0</v>
      </c>
      <c r="AD380" s="17">
        <f>_xlfn.XLOOKUP($B380,'[1]Jan-26'!$A:$A,'[1]Jan-26'!$H:$H,0)</f>
        <v>0</v>
      </c>
      <c r="AE380" s="17">
        <f>_xlfn.XLOOKUP($B380,'[1]Feb-26'!$A:$A,'[1]Feb-26'!$H:$H,0)</f>
        <v>0</v>
      </c>
      <c r="AF380" s="17">
        <f>_xlfn.XLOOKUP($B380,'[1]Mar-26'!$A:$A,'[1]Mar-26'!$H:$H,0)</f>
        <v>0</v>
      </c>
      <c r="AG380" s="17">
        <f>_xlfn.XLOOKUP($B380,'[1]Apr-26'!$A:$A,'[1]Apr-26'!$H:$H,0)</f>
        <v>0</v>
      </c>
    </row>
    <row r="381" spans="1:33" x14ac:dyDescent="0.2">
      <c r="A381" s="58">
        <v>60005</v>
      </c>
      <c r="B381" s="56" t="str">
        <f t="shared" si="11"/>
        <v>60005</v>
      </c>
      <c r="C381" s="57" t="s">
        <v>552</v>
      </c>
      <c r="D381" s="57" t="s">
        <v>387</v>
      </c>
      <c r="E381" s="44" t="s">
        <v>553</v>
      </c>
      <c r="F381" s="17">
        <f>_xlfn.XLOOKUP($B381,'[1]Jan-24'!$A:$A,'[1]Jan-24'!$H:$H,0)</f>
        <v>0</v>
      </c>
      <c r="G381" s="17">
        <f>_xlfn.XLOOKUP($B381,'[1]Feb-24'!$A:$A,'[1]Feb-24'!$H:$H,0)</f>
        <v>0</v>
      </c>
      <c r="H381" s="17">
        <f>_xlfn.XLOOKUP($B381,'[1]Mar-24'!$A:$A,'[1]Mar-24'!$H:$H,0)</f>
        <v>0</v>
      </c>
      <c r="I381" s="17">
        <f>_xlfn.XLOOKUP($B381,'[1]Apr-24'!$A:$A,'[1]Apr-24'!$H:$H,0)</f>
        <v>0</v>
      </c>
      <c r="J381" s="17">
        <f>_xlfn.XLOOKUP($B381,'[1]May-24'!$A:$A,'[1]May-24'!$H:$H,0)</f>
        <v>0</v>
      </c>
      <c r="K381" s="17">
        <f>_xlfn.XLOOKUP($B381,'[1]Jun-24'!$A:$A,'[1]Jun-24'!$H:$H,0)</f>
        <v>0</v>
      </c>
      <c r="L381" s="17">
        <f>_xlfn.XLOOKUP($B381,'[1]Jul-24'!$A:$A,'[1]Jul-24'!$H:$H,0)</f>
        <v>0</v>
      </c>
      <c r="M381" s="17">
        <f>_xlfn.XLOOKUP($B381,'[1]Aug-24'!$A:$A,'[1]Aug-24'!$H:$H,0)</f>
        <v>0</v>
      </c>
      <c r="N381" s="17">
        <f>_xlfn.XLOOKUP($B381,'[1]Sep-24'!$A:$A,'[1]Sep-24'!$H:$H,0)</f>
        <v>0</v>
      </c>
      <c r="O381" s="17">
        <f>_xlfn.XLOOKUP($B381,'[1]Oct-24'!$A:$A,'[1]Oct-24'!$H:$H,0)</f>
        <v>0</v>
      </c>
      <c r="P381" s="17">
        <f>_xlfn.XLOOKUP($B381,'[1]Nov-24'!$A:$A,'[1]Nov-24'!$H:$H,0)</f>
        <v>0</v>
      </c>
      <c r="Q381" s="17">
        <f>_xlfn.XLOOKUP($B381,'[1]Dec-24'!$A:$A,'[1]Dec-24'!$H:$H,0)</f>
        <v>0</v>
      </c>
      <c r="R381" s="17">
        <f>_xlfn.XLOOKUP($B381,'[1]Jan-25'!$A:$A,'[1]Jan-25'!$H:$H,0)</f>
        <v>0</v>
      </c>
      <c r="S381" s="17">
        <f>_xlfn.XLOOKUP($B381,'[1]Feb-25'!$A:$A,'[1]Feb-25'!$H:$H,0)</f>
        <v>0</v>
      </c>
      <c r="T381" s="17">
        <f>_xlfn.XLOOKUP($B381,'[1]Mar-25'!$A:$A,'[1]Mar-25'!$H:$H,0)</f>
        <v>0</v>
      </c>
      <c r="U381" s="17">
        <f>_xlfn.XLOOKUP($B381,'[1]Apr-25'!$A:$A,'[1]Apr-25'!$H:$H,0)</f>
        <v>0</v>
      </c>
      <c r="V381" s="17">
        <f>_xlfn.XLOOKUP($B381,'[1]May-25'!$A:$A,'[1]May-25'!$H:$H,0)</f>
        <v>0</v>
      </c>
      <c r="W381" s="17">
        <f>_xlfn.XLOOKUP($B381,'[1]Jun-25'!$A:$A,'[1]Jun-25'!$H:$H,0)</f>
        <v>0</v>
      </c>
      <c r="X381" s="17">
        <f>_xlfn.XLOOKUP($B381,'[1]Jul-25'!$A:$A,'[1]Jul-25'!$H:$H,0)</f>
        <v>0</v>
      </c>
      <c r="Y381" s="17">
        <f>_xlfn.XLOOKUP($B381,'[1]Aug-25'!$A:$A,'[1]Aug-25'!$H:$H,0)</f>
        <v>0</v>
      </c>
      <c r="Z381" s="17">
        <f>_xlfn.XLOOKUP($B381,'[1]Sep-25'!$A:$A,'[1]Sep-25'!$H:$H,0)</f>
        <v>0</v>
      </c>
      <c r="AA381" s="17">
        <f>_xlfn.XLOOKUP($B381,'[1]Oct-25'!$A:$A,'[1]Oct-25'!$H:$H,0)</f>
        <v>0</v>
      </c>
      <c r="AB381" s="17">
        <f>_xlfn.XLOOKUP($B381,'[1]Nov-25'!$A:$A,'[1]Nov-25'!$H:$H,0)</f>
        <v>0</v>
      </c>
      <c r="AC381" s="17">
        <f>_xlfn.XLOOKUP($B381,'[1]Dec-25'!$A:$A,'[1]Dec-25'!$H:$H,0)</f>
        <v>0</v>
      </c>
      <c r="AD381" s="17">
        <f>_xlfn.XLOOKUP($B381,'[1]Jan-26'!$A:$A,'[1]Jan-26'!$H:$H,0)</f>
        <v>0</v>
      </c>
      <c r="AE381" s="17">
        <f>_xlfn.XLOOKUP($B381,'[1]Feb-26'!$A:$A,'[1]Feb-26'!$H:$H,0)</f>
        <v>0</v>
      </c>
      <c r="AF381" s="17">
        <f>_xlfn.XLOOKUP($B381,'[1]Mar-26'!$A:$A,'[1]Mar-26'!$H:$H,0)</f>
        <v>0</v>
      </c>
      <c r="AG381" s="17">
        <f>_xlfn.XLOOKUP($B381,'[1]Apr-26'!$A:$A,'[1]Apr-26'!$H:$H,0)</f>
        <v>0</v>
      </c>
    </row>
    <row r="382" spans="1:33" x14ac:dyDescent="0.2">
      <c r="A382" s="58">
        <v>60010</v>
      </c>
      <c r="B382" s="56" t="str">
        <f t="shared" si="11"/>
        <v>60010</v>
      </c>
      <c r="C382" s="57" t="s">
        <v>552</v>
      </c>
      <c r="D382" s="57" t="s">
        <v>387</v>
      </c>
      <c r="E382" s="44" t="s">
        <v>554</v>
      </c>
      <c r="F382" s="17">
        <f>_xlfn.XLOOKUP($B382,'[1]Jan-24'!$A:$A,'[1]Jan-24'!$H:$H,0)</f>
        <v>1600000</v>
      </c>
      <c r="G382" s="17">
        <f>_xlfn.XLOOKUP($B382,'[1]Feb-24'!$A:$A,'[1]Feb-24'!$H:$H,0)</f>
        <v>1600000</v>
      </c>
      <c r="H382" s="17">
        <f>_xlfn.XLOOKUP($B382,'[1]Mar-24'!$A:$A,'[1]Mar-24'!$H:$H,0)</f>
        <v>1600000</v>
      </c>
      <c r="I382" s="17">
        <f>_xlfn.XLOOKUP($B382,'[1]Apr-24'!$A:$A,'[1]Apr-24'!$H:$H,0)</f>
        <v>1600000</v>
      </c>
      <c r="J382" s="17">
        <f>_xlfn.XLOOKUP($B382,'[1]May-24'!$A:$A,'[1]May-24'!$H:$H,0)</f>
        <v>2911111.1100000003</v>
      </c>
      <c r="K382" s="17">
        <f>_xlfn.XLOOKUP($B382,'[1]Jun-24'!$A:$A,'[1]Jun-24'!$H:$H,0)</f>
        <v>2037037.04</v>
      </c>
      <c r="L382" s="17">
        <f>_xlfn.XLOOKUP($B382,'[1]Jul-24'!$A:$A,'[1]Jul-24'!$H:$H,0)</f>
        <v>2037037.04</v>
      </c>
      <c r="M382" s="17">
        <f>_xlfn.XLOOKUP($B382,'[1]Aug-24'!$A:$A,'[1]Aug-24'!$H:$H,0)</f>
        <v>2037037.04</v>
      </c>
      <c r="N382" s="17">
        <f>_xlfn.XLOOKUP($B382,'[1]Sep-24'!$A:$A,'[1]Sep-24'!$H:$H,0)</f>
        <v>2037037.04</v>
      </c>
      <c r="O382" s="17">
        <f>_xlfn.XLOOKUP($B382,'[1]Oct-24'!$A:$A,'[1]Oct-24'!$H:$H,0)</f>
        <v>2037037.04</v>
      </c>
      <c r="P382" s="17">
        <f>_xlfn.XLOOKUP($B382,'[1]Nov-24'!$A:$A,'[1]Nov-24'!$H:$H,0)</f>
        <v>2037037.04</v>
      </c>
      <c r="Q382" s="17">
        <f>_xlfn.XLOOKUP($B382,'[1]Dec-24'!$A:$A,'[1]Dec-24'!$H:$H,0)</f>
        <v>2037037.04</v>
      </c>
      <c r="R382" s="17">
        <f>_xlfn.XLOOKUP($B382,'[1]Jan-25'!$A:$A,'[1]Jan-25'!$H:$H,0)</f>
        <v>2037037.04</v>
      </c>
      <c r="S382" s="17">
        <f>_xlfn.XLOOKUP($B382,'[1]Feb-25'!$A:$A,'[1]Feb-25'!$H:$H,0)</f>
        <v>2037037</v>
      </c>
      <c r="T382" s="17">
        <f>_xlfn.XLOOKUP($B382,'[1]Mar-25'!$A:$A,'[1]Mar-25'!$H:$H,0)</f>
        <v>2407407.41</v>
      </c>
      <c r="U382" s="17">
        <f>_xlfn.XLOOKUP($B382,'[1]Apr-25'!$A:$A,'[1]Apr-25'!$H:$H,0)</f>
        <v>2407407.41</v>
      </c>
      <c r="V382" s="17">
        <f>_xlfn.XLOOKUP($B382,'[1]May-25'!$A:$A,'[1]May-25'!$H:$H,0)</f>
        <v>2407407.41</v>
      </c>
      <c r="W382" s="17">
        <f>_xlfn.XLOOKUP($B382,'[1]Jun-25'!$A:$A,'[1]Jun-25'!$H:$H,0)</f>
        <v>2407407.41</v>
      </c>
      <c r="X382" s="17">
        <f>_xlfn.XLOOKUP($B382,'[1]Jul-25'!$A:$A,'[1]Jul-25'!$H:$H,0)</f>
        <v>2407407.41</v>
      </c>
      <c r="Y382" s="17">
        <f>_xlfn.XLOOKUP($B382,'[1]Aug-25'!$A:$A,'[1]Aug-25'!$H:$H,0)</f>
        <v>2407407.41</v>
      </c>
      <c r="Z382" s="17">
        <f>_xlfn.XLOOKUP($B382,'[1]Sep-25'!$A:$A,'[1]Sep-25'!$H:$H,0)</f>
        <v>-3166666.6799999997</v>
      </c>
      <c r="AA382" s="17">
        <f>_xlfn.XLOOKUP($B382,'[1]Oct-25'!$A:$A,'[1]Oct-25'!$H:$H,0)</f>
        <v>1611111.11</v>
      </c>
      <c r="AB382" s="17">
        <f>_xlfn.XLOOKUP($B382,'[1]Nov-25'!$A:$A,'[1]Nov-25'!$H:$H,0)</f>
        <v>1611111.11</v>
      </c>
      <c r="AC382" s="17">
        <f>_xlfn.XLOOKUP($B382,'[1]Dec-25'!$A:$A,'[1]Dec-25'!$H:$H,0)</f>
        <v>1611111.11</v>
      </c>
      <c r="AD382" s="17">
        <f>_xlfn.XLOOKUP($B382,'[1]Jan-26'!$A:$A,'[1]Jan-26'!$H:$H,0)</f>
        <v>1611111.11</v>
      </c>
      <c r="AE382" s="17">
        <f>_xlfn.XLOOKUP($B382,'[1]Feb-26'!$A:$A,'[1]Feb-26'!$H:$H,0)</f>
        <v>1611111.1</v>
      </c>
      <c r="AF382" s="17">
        <f>_xlfn.XLOOKUP($B382,'[1]Mar-26'!$A:$A,'[1]Mar-26'!$H:$H,0)</f>
        <v>1611111.1</v>
      </c>
      <c r="AG382" s="17">
        <f>_xlfn.XLOOKUP($B382,'[1]Apr-26'!$A:$A,'[1]Apr-26'!$H:$H,0)</f>
        <v>1611111.1</v>
      </c>
    </row>
    <row r="383" spans="1:33" x14ac:dyDescent="0.2">
      <c r="A383" s="58">
        <v>60015</v>
      </c>
      <c r="B383" s="56" t="str">
        <f t="shared" si="11"/>
        <v>60015</v>
      </c>
      <c r="C383" s="57" t="s">
        <v>552</v>
      </c>
      <c r="D383" s="57" t="s">
        <v>387</v>
      </c>
      <c r="E383" s="44" t="s">
        <v>555</v>
      </c>
      <c r="F383" s="17">
        <f>_xlfn.XLOOKUP($B383,'[1]Jan-24'!$A:$A,'[1]Jan-24'!$H:$H,0)</f>
        <v>0</v>
      </c>
      <c r="G383" s="17">
        <f>_xlfn.XLOOKUP($B383,'[1]Feb-24'!$A:$A,'[1]Feb-24'!$H:$H,0)</f>
        <v>0</v>
      </c>
      <c r="H383" s="17">
        <f>_xlfn.XLOOKUP($B383,'[1]Mar-24'!$A:$A,'[1]Mar-24'!$H:$H,0)</f>
        <v>0</v>
      </c>
      <c r="I383" s="17">
        <f>_xlfn.XLOOKUP($B383,'[1]Apr-24'!$A:$A,'[1]Apr-24'!$H:$H,0)</f>
        <v>0</v>
      </c>
      <c r="J383" s="17">
        <f>_xlfn.XLOOKUP($B383,'[1]May-24'!$A:$A,'[1]May-24'!$H:$H,0)</f>
        <v>0</v>
      </c>
      <c r="K383" s="17">
        <f>_xlfn.XLOOKUP($B383,'[1]Jun-24'!$A:$A,'[1]Jun-24'!$H:$H,0)</f>
        <v>0</v>
      </c>
      <c r="L383" s="17">
        <f>_xlfn.XLOOKUP($B383,'[1]Jul-24'!$A:$A,'[1]Jul-24'!$H:$H,0)</f>
        <v>0</v>
      </c>
      <c r="M383" s="17">
        <f>_xlfn.XLOOKUP($B383,'[1]Aug-24'!$A:$A,'[1]Aug-24'!$H:$H,0)</f>
        <v>0</v>
      </c>
      <c r="N383" s="17">
        <f>_xlfn.XLOOKUP($B383,'[1]Sep-24'!$A:$A,'[1]Sep-24'!$H:$H,0)</f>
        <v>0</v>
      </c>
      <c r="O383" s="17">
        <f>_xlfn.XLOOKUP($B383,'[1]Oct-24'!$A:$A,'[1]Oct-24'!$H:$H,0)</f>
        <v>0</v>
      </c>
      <c r="P383" s="17">
        <f>_xlfn.XLOOKUP($B383,'[1]Nov-24'!$A:$A,'[1]Nov-24'!$H:$H,0)</f>
        <v>0</v>
      </c>
      <c r="Q383" s="17">
        <f>_xlfn.XLOOKUP($B383,'[1]Dec-24'!$A:$A,'[1]Dec-24'!$H:$H,0)</f>
        <v>0</v>
      </c>
      <c r="R383" s="17">
        <f>_xlfn.XLOOKUP($B383,'[1]Jan-25'!$A:$A,'[1]Jan-25'!$H:$H,0)</f>
        <v>0</v>
      </c>
      <c r="S383" s="17">
        <f>_xlfn.XLOOKUP($B383,'[1]Feb-25'!$A:$A,'[1]Feb-25'!$H:$H,0)</f>
        <v>0</v>
      </c>
      <c r="T383" s="17">
        <f>_xlfn.XLOOKUP($B383,'[1]Mar-25'!$A:$A,'[1]Mar-25'!$H:$H,0)</f>
        <v>0</v>
      </c>
      <c r="U383" s="17">
        <f>_xlfn.XLOOKUP($B383,'[1]Apr-25'!$A:$A,'[1]Apr-25'!$H:$H,0)</f>
        <v>0</v>
      </c>
      <c r="V383" s="17">
        <f>_xlfn.XLOOKUP($B383,'[1]May-25'!$A:$A,'[1]May-25'!$H:$H,0)</f>
        <v>0</v>
      </c>
      <c r="W383" s="17">
        <f>_xlfn.XLOOKUP($B383,'[1]Jun-25'!$A:$A,'[1]Jun-25'!$H:$H,0)</f>
        <v>0</v>
      </c>
      <c r="X383" s="17">
        <f>_xlfn.XLOOKUP($B383,'[1]Jul-25'!$A:$A,'[1]Jul-25'!$H:$H,0)</f>
        <v>0</v>
      </c>
      <c r="Y383" s="17">
        <f>_xlfn.XLOOKUP($B383,'[1]Aug-25'!$A:$A,'[1]Aug-25'!$H:$H,0)</f>
        <v>0</v>
      </c>
      <c r="Z383" s="17">
        <f>_xlfn.XLOOKUP($B383,'[1]Sep-25'!$A:$A,'[1]Sep-25'!$H:$H,0)</f>
        <v>0</v>
      </c>
      <c r="AA383" s="17">
        <f>_xlfn.XLOOKUP($B383,'[1]Oct-25'!$A:$A,'[1]Oct-25'!$H:$H,0)</f>
        <v>0</v>
      </c>
      <c r="AB383" s="17">
        <f>_xlfn.XLOOKUP($B383,'[1]Nov-25'!$A:$A,'[1]Nov-25'!$H:$H,0)</f>
        <v>0</v>
      </c>
      <c r="AC383" s="17">
        <f>_xlfn.XLOOKUP($B383,'[1]Dec-25'!$A:$A,'[1]Dec-25'!$H:$H,0)</f>
        <v>0</v>
      </c>
      <c r="AD383" s="17">
        <f>_xlfn.XLOOKUP($B383,'[1]Jan-26'!$A:$A,'[1]Jan-26'!$H:$H,0)</f>
        <v>0</v>
      </c>
      <c r="AE383" s="17">
        <f>_xlfn.XLOOKUP($B383,'[1]Feb-26'!$A:$A,'[1]Feb-26'!$H:$H,0)</f>
        <v>0</v>
      </c>
      <c r="AF383" s="17">
        <f>_xlfn.XLOOKUP($B383,'[1]Mar-26'!$A:$A,'[1]Mar-26'!$H:$H,0)</f>
        <v>0</v>
      </c>
      <c r="AG383" s="17">
        <f>_xlfn.XLOOKUP($B383,'[1]Apr-26'!$A:$A,'[1]Apr-26'!$H:$H,0)</f>
        <v>100000</v>
      </c>
    </row>
    <row r="384" spans="1:33" x14ac:dyDescent="0.2">
      <c r="A384" s="58">
        <v>60020</v>
      </c>
      <c r="B384" s="56" t="str">
        <f t="shared" si="11"/>
        <v>60020</v>
      </c>
      <c r="C384" s="57" t="s">
        <v>552</v>
      </c>
      <c r="D384" s="57" t="s">
        <v>387</v>
      </c>
      <c r="E384" s="44" t="s">
        <v>556</v>
      </c>
      <c r="F384" s="17">
        <f>_xlfn.XLOOKUP($B384,'[1]Jan-24'!$A:$A,'[1]Jan-24'!$H:$H,0)</f>
        <v>13000</v>
      </c>
      <c r="G384" s="17">
        <f>_xlfn.XLOOKUP($B384,'[1]Feb-24'!$A:$A,'[1]Feb-24'!$H:$H,0)</f>
        <v>6000</v>
      </c>
      <c r="H384" s="17">
        <f>_xlfn.XLOOKUP($B384,'[1]Mar-24'!$A:$A,'[1]Mar-24'!$H:$H,0)</f>
        <v>9000</v>
      </c>
      <c r="I384" s="17">
        <f>_xlfn.XLOOKUP($B384,'[1]Apr-24'!$A:$A,'[1]Apr-24'!$H:$H,0)</f>
        <v>387000</v>
      </c>
      <c r="J384" s="17">
        <f>_xlfn.XLOOKUP($B384,'[1]May-24'!$A:$A,'[1]May-24'!$H:$H,0)</f>
        <v>841542.26</v>
      </c>
      <c r="K384" s="17">
        <f>_xlfn.XLOOKUP($B384,'[1]Jun-24'!$A:$A,'[1]Jun-24'!$H:$H,0)</f>
        <v>129000</v>
      </c>
      <c r="L384" s="17">
        <f>_xlfn.XLOOKUP($B384,'[1]Jul-24'!$A:$A,'[1]Jul-24'!$H:$H,0)</f>
        <v>131000</v>
      </c>
      <c r="M384" s="17">
        <f>_xlfn.XLOOKUP($B384,'[1]Aug-24'!$A:$A,'[1]Aug-24'!$H:$H,0)</f>
        <v>281500</v>
      </c>
      <c r="N384" s="17">
        <f>_xlfn.XLOOKUP($B384,'[1]Sep-24'!$A:$A,'[1]Sep-24'!$H:$H,0)</f>
        <v>303000</v>
      </c>
      <c r="O384" s="17">
        <f>_xlfn.XLOOKUP($B384,'[1]Oct-24'!$A:$A,'[1]Oct-24'!$H:$H,0)</f>
        <v>26000</v>
      </c>
      <c r="P384" s="17">
        <f>_xlfn.XLOOKUP($B384,'[1]Nov-24'!$A:$A,'[1]Nov-24'!$H:$H,0)</f>
        <v>492000</v>
      </c>
      <c r="Q384" s="17">
        <f>_xlfn.XLOOKUP($B384,'[1]Dec-24'!$A:$A,'[1]Dec-24'!$H:$H,0)</f>
        <v>17500</v>
      </c>
      <c r="R384" s="17">
        <f>_xlfn.XLOOKUP($B384,'[1]Jan-25'!$A:$A,'[1]Jan-25'!$H:$H,0)</f>
        <v>97000</v>
      </c>
      <c r="S384" s="17">
        <f>_xlfn.XLOOKUP($B384,'[1]Feb-25'!$A:$A,'[1]Feb-25'!$H:$H,0)</f>
        <v>573250</v>
      </c>
      <c r="T384" s="17">
        <f>_xlfn.XLOOKUP($B384,'[1]Mar-25'!$A:$A,'[1]Mar-25'!$H:$H,0)</f>
        <v>214475</v>
      </c>
      <c r="U384" s="17">
        <f>_xlfn.XLOOKUP($B384,'[1]Apr-25'!$A:$A,'[1]Apr-25'!$H:$H,0)</f>
        <v>25000</v>
      </c>
      <c r="V384" s="17">
        <f>_xlfn.XLOOKUP($B384,'[1]May-25'!$A:$A,'[1]May-25'!$H:$H,0)</f>
        <v>70000</v>
      </c>
      <c r="W384" s="17">
        <f>_xlfn.XLOOKUP($B384,'[1]Jun-25'!$A:$A,'[1]Jun-25'!$H:$H,0)</f>
        <v>124500</v>
      </c>
      <c r="X384" s="17">
        <f>_xlfn.XLOOKUP($B384,'[1]Jul-25'!$A:$A,'[1]Jul-25'!$H:$H,0)</f>
        <v>89500</v>
      </c>
      <c r="Y384" s="17">
        <f>_xlfn.XLOOKUP($B384,'[1]Aug-25'!$A:$A,'[1]Aug-25'!$H:$H,0)</f>
        <v>105000</v>
      </c>
      <c r="Z384" s="17">
        <f>_xlfn.XLOOKUP($B384,'[1]Sep-25'!$A:$A,'[1]Sep-25'!$H:$H,0)</f>
        <v>183000</v>
      </c>
      <c r="AA384" s="17">
        <f>_xlfn.XLOOKUP($B384,'[1]Oct-25'!$A:$A,'[1]Oct-25'!$H:$H,0)</f>
        <v>125000</v>
      </c>
      <c r="AB384" s="17">
        <f>_xlfn.XLOOKUP($B384,'[1]Nov-25'!$A:$A,'[1]Nov-25'!$H:$H,0)</f>
        <v>215412.5</v>
      </c>
      <c r="AC384" s="17">
        <f>_xlfn.XLOOKUP($B384,'[1]Dec-25'!$A:$A,'[1]Dec-25'!$H:$H,0)</f>
        <v>163500</v>
      </c>
      <c r="AD384" s="17">
        <f>_xlfn.XLOOKUP($B384,'[1]Jan-26'!$A:$A,'[1]Jan-26'!$H:$H,0)</f>
        <v>5022500</v>
      </c>
      <c r="AE384" s="17">
        <f>_xlfn.XLOOKUP($B384,'[1]Feb-26'!$A:$A,'[1]Feb-26'!$H:$H,0)</f>
        <v>11700500</v>
      </c>
      <c r="AF384" s="17">
        <f>_xlfn.XLOOKUP($B384,'[1]Mar-26'!$A:$A,'[1]Mar-26'!$H:$H,0)</f>
        <v>1247500</v>
      </c>
      <c r="AG384" s="17">
        <f>_xlfn.XLOOKUP($B384,'[1]Apr-26'!$A:$A,'[1]Apr-26'!$H:$H,0)</f>
        <v>427500</v>
      </c>
    </row>
    <row r="385" spans="1:33" x14ac:dyDescent="0.2">
      <c r="A385" s="58">
        <v>60025</v>
      </c>
      <c r="B385" s="56" t="str">
        <f t="shared" si="11"/>
        <v>60025</v>
      </c>
      <c r="C385" s="57" t="s">
        <v>552</v>
      </c>
      <c r="D385" s="57" t="s">
        <v>387</v>
      </c>
      <c r="E385" s="44" t="s">
        <v>557</v>
      </c>
      <c r="F385" s="17">
        <f>_xlfn.XLOOKUP($B385,'[1]Jan-24'!$A:$A,'[1]Jan-24'!$H:$H,0)</f>
        <v>-340000</v>
      </c>
      <c r="G385" s="17">
        <f>_xlfn.XLOOKUP($B385,'[1]Feb-24'!$A:$A,'[1]Feb-24'!$H:$H,0)</f>
        <v>250300</v>
      </c>
      <c r="H385" s="17">
        <f>_xlfn.XLOOKUP($B385,'[1]Mar-24'!$A:$A,'[1]Mar-24'!$H:$H,0)</f>
        <v>-17000</v>
      </c>
      <c r="I385" s="17">
        <f>_xlfn.XLOOKUP($B385,'[1]Apr-24'!$A:$A,'[1]Apr-24'!$H:$H,0)</f>
        <v>1534000</v>
      </c>
      <c r="J385" s="17">
        <f>_xlfn.XLOOKUP($B385,'[1]May-24'!$A:$A,'[1]May-24'!$H:$H,0)</f>
        <v>343500</v>
      </c>
      <c r="K385" s="17">
        <f>_xlfn.XLOOKUP($B385,'[1]Jun-24'!$A:$A,'[1]Jun-24'!$H:$H,0)</f>
        <v>362000</v>
      </c>
      <c r="L385" s="17">
        <f>_xlfn.XLOOKUP($B385,'[1]Jul-24'!$A:$A,'[1]Jul-24'!$H:$H,0)</f>
        <v>248200</v>
      </c>
      <c r="M385" s="17">
        <f>_xlfn.XLOOKUP($B385,'[1]Aug-24'!$A:$A,'[1]Aug-24'!$H:$H,0)</f>
        <v>1083500</v>
      </c>
      <c r="N385" s="17">
        <f>_xlfn.XLOOKUP($B385,'[1]Sep-24'!$A:$A,'[1]Sep-24'!$H:$H,0)</f>
        <v>1411800</v>
      </c>
      <c r="O385" s="17">
        <f>_xlfn.XLOOKUP($B385,'[1]Oct-24'!$A:$A,'[1]Oct-24'!$H:$H,0)</f>
        <v>451800</v>
      </c>
      <c r="P385" s="17">
        <f>_xlfn.XLOOKUP($B385,'[1]Nov-24'!$A:$A,'[1]Nov-24'!$H:$H,0)</f>
        <v>2523000</v>
      </c>
      <c r="Q385" s="17">
        <f>_xlfn.XLOOKUP($B385,'[1]Dec-24'!$A:$A,'[1]Dec-24'!$H:$H,0)</f>
        <v>1708050</v>
      </c>
      <c r="R385" s="17">
        <f>_xlfn.XLOOKUP($B385,'[1]Jan-25'!$A:$A,'[1]Jan-25'!$H:$H,0)</f>
        <v>22000</v>
      </c>
      <c r="S385" s="17">
        <f>_xlfn.XLOOKUP($B385,'[1]Feb-25'!$A:$A,'[1]Feb-25'!$H:$H,0)</f>
        <v>769500</v>
      </c>
      <c r="T385" s="17">
        <f>_xlfn.XLOOKUP($B385,'[1]Mar-25'!$A:$A,'[1]Mar-25'!$H:$H,0)</f>
        <v>3000</v>
      </c>
      <c r="U385" s="17">
        <f>_xlfn.XLOOKUP($B385,'[1]Apr-25'!$A:$A,'[1]Apr-25'!$H:$H,0)</f>
        <v>0</v>
      </c>
      <c r="V385" s="17">
        <f>_xlfn.XLOOKUP($B385,'[1]May-25'!$A:$A,'[1]May-25'!$H:$H,0)</f>
        <v>3216875</v>
      </c>
      <c r="W385" s="17">
        <f>_xlfn.XLOOKUP($B385,'[1]Jun-25'!$A:$A,'[1]Jun-25'!$H:$H,0)</f>
        <v>202500</v>
      </c>
      <c r="X385" s="17">
        <f>_xlfn.XLOOKUP($B385,'[1]Jul-25'!$A:$A,'[1]Jul-25'!$H:$H,0)</f>
        <v>1670057</v>
      </c>
      <c r="Y385" s="17">
        <f>_xlfn.XLOOKUP($B385,'[1]Aug-25'!$A:$A,'[1]Aug-25'!$H:$H,0)</f>
        <v>1296000</v>
      </c>
      <c r="Z385" s="17">
        <f>_xlfn.XLOOKUP($B385,'[1]Sep-25'!$A:$A,'[1]Sep-25'!$H:$H,0)</f>
        <v>364000</v>
      </c>
      <c r="AA385" s="17">
        <f>_xlfn.XLOOKUP($B385,'[1]Oct-25'!$A:$A,'[1]Oct-25'!$H:$H,0)</f>
        <v>611700</v>
      </c>
      <c r="AB385" s="17">
        <f>_xlfn.XLOOKUP($B385,'[1]Nov-25'!$A:$A,'[1]Nov-25'!$H:$H,0)</f>
        <v>97000</v>
      </c>
      <c r="AC385" s="17">
        <f>_xlfn.XLOOKUP($B385,'[1]Dec-25'!$A:$A,'[1]Dec-25'!$H:$H,0)</f>
        <v>183000</v>
      </c>
      <c r="AD385" s="17">
        <f>_xlfn.XLOOKUP($B385,'[1]Jan-26'!$A:$A,'[1]Jan-26'!$H:$H,0)</f>
        <v>410000</v>
      </c>
      <c r="AE385" s="17">
        <f>_xlfn.XLOOKUP($B385,'[1]Feb-26'!$A:$A,'[1]Feb-26'!$H:$H,0)</f>
        <v>1371000</v>
      </c>
      <c r="AF385" s="17">
        <f>_xlfn.XLOOKUP($B385,'[1]Mar-26'!$A:$A,'[1]Mar-26'!$H:$H,0)</f>
        <v>625000</v>
      </c>
      <c r="AG385" s="17">
        <f>_xlfn.XLOOKUP($B385,'[1]Apr-26'!$A:$A,'[1]Apr-26'!$H:$H,0)</f>
        <v>1785951.53</v>
      </c>
    </row>
    <row r="386" spans="1:33" x14ac:dyDescent="0.2">
      <c r="A386" s="58">
        <v>60030</v>
      </c>
      <c r="B386" s="56" t="str">
        <f t="shared" si="11"/>
        <v>60030</v>
      </c>
      <c r="C386" s="57" t="s">
        <v>552</v>
      </c>
      <c r="D386" s="57" t="s">
        <v>387</v>
      </c>
      <c r="E386" s="44" t="s">
        <v>558</v>
      </c>
      <c r="F386" s="17">
        <f>_xlfn.XLOOKUP($B386,'[1]Jan-24'!$A:$A,'[1]Jan-24'!$H:$H,0)</f>
        <v>83000</v>
      </c>
      <c r="G386" s="17">
        <f>_xlfn.XLOOKUP($B386,'[1]Feb-24'!$A:$A,'[1]Feb-24'!$H:$H,0)</f>
        <v>0</v>
      </c>
      <c r="H386" s="17">
        <f>_xlfn.XLOOKUP($B386,'[1]Mar-24'!$A:$A,'[1]Mar-24'!$H:$H,0)</f>
        <v>30000</v>
      </c>
      <c r="I386" s="17">
        <f>_xlfn.XLOOKUP($B386,'[1]Apr-24'!$A:$A,'[1]Apr-24'!$H:$H,0)</f>
        <v>342000</v>
      </c>
      <c r="J386" s="17">
        <f>_xlfn.XLOOKUP($B386,'[1]May-24'!$A:$A,'[1]May-24'!$H:$H,0)</f>
        <v>192000</v>
      </c>
      <c r="K386" s="17">
        <f>_xlfn.XLOOKUP($B386,'[1]Jun-24'!$A:$A,'[1]Jun-24'!$H:$H,0)</f>
        <v>1004125</v>
      </c>
      <c r="L386" s="17">
        <f>_xlfn.XLOOKUP($B386,'[1]Jul-24'!$A:$A,'[1]Jul-24'!$H:$H,0)</f>
        <v>110000</v>
      </c>
      <c r="M386" s="17">
        <f>_xlfn.XLOOKUP($B386,'[1]Aug-24'!$A:$A,'[1]Aug-24'!$H:$H,0)</f>
        <v>0</v>
      </c>
      <c r="N386" s="17">
        <f>_xlfn.XLOOKUP($B386,'[1]Sep-24'!$A:$A,'[1]Sep-24'!$H:$H,0)</f>
        <v>0</v>
      </c>
      <c r="O386" s="17">
        <f>_xlfn.XLOOKUP($B386,'[1]Oct-24'!$A:$A,'[1]Oct-24'!$H:$H,0)</f>
        <v>127250</v>
      </c>
      <c r="P386" s="17">
        <f>_xlfn.XLOOKUP($B386,'[1]Nov-24'!$A:$A,'[1]Nov-24'!$H:$H,0)</f>
        <v>0</v>
      </c>
      <c r="Q386" s="17">
        <f>_xlfn.XLOOKUP($B386,'[1]Dec-24'!$A:$A,'[1]Dec-24'!$H:$H,0)</f>
        <v>0</v>
      </c>
      <c r="R386" s="17">
        <f>_xlfn.XLOOKUP($B386,'[1]Jan-25'!$A:$A,'[1]Jan-25'!$H:$H,0)</f>
        <v>177250</v>
      </c>
      <c r="S386" s="17">
        <f>_xlfn.XLOOKUP($B386,'[1]Feb-25'!$A:$A,'[1]Feb-25'!$H:$H,0)</f>
        <v>75000</v>
      </c>
      <c r="T386" s="17">
        <f>_xlfn.XLOOKUP($B386,'[1]Mar-25'!$A:$A,'[1]Mar-25'!$H:$H,0)</f>
        <v>0</v>
      </c>
      <c r="U386" s="17">
        <f>_xlfn.XLOOKUP($B386,'[1]Apr-25'!$A:$A,'[1]Apr-25'!$H:$H,0)</f>
        <v>0</v>
      </c>
      <c r="V386" s="17">
        <f>_xlfn.XLOOKUP($B386,'[1]May-25'!$A:$A,'[1]May-25'!$H:$H,0)</f>
        <v>322250</v>
      </c>
      <c r="W386" s="17">
        <f>_xlfn.XLOOKUP($B386,'[1]Jun-25'!$A:$A,'[1]Jun-25'!$H:$H,0)</f>
        <v>10000</v>
      </c>
      <c r="X386" s="17">
        <f>_xlfn.XLOOKUP($B386,'[1]Jul-25'!$A:$A,'[1]Jul-25'!$H:$H,0)</f>
        <v>370000</v>
      </c>
      <c r="Y386" s="17">
        <f>_xlfn.XLOOKUP($B386,'[1]Aug-25'!$A:$A,'[1]Aug-25'!$H:$H,0)</f>
        <v>0</v>
      </c>
      <c r="Z386" s="17">
        <f>_xlfn.XLOOKUP($B386,'[1]Sep-25'!$A:$A,'[1]Sep-25'!$H:$H,0)</f>
        <v>0</v>
      </c>
      <c r="AA386" s="17">
        <f>_xlfn.XLOOKUP($B386,'[1]Oct-25'!$A:$A,'[1]Oct-25'!$H:$H,0)</f>
        <v>0</v>
      </c>
      <c r="AB386" s="17">
        <f>_xlfn.XLOOKUP($B386,'[1]Nov-25'!$A:$A,'[1]Nov-25'!$H:$H,0)</f>
        <v>364125</v>
      </c>
      <c r="AC386" s="17">
        <f>_xlfn.XLOOKUP($B386,'[1]Dec-25'!$A:$A,'[1]Dec-25'!$H:$H,0)</f>
        <v>167500</v>
      </c>
      <c r="AD386" s="17">
        <f>_xlfn.XLOOKUP($B386,'[1]Jan-26'!$A:$A,'[1]Jan-26'!$H:$H,0)</f>
        <v>0</v>
      </c>
      <c r="AE386" s="17">
        <f>_xlfn.XLOOKUP($B386,'[1]Feb-26'!$A:$A,'[1]Feb-26'!$H:$H,0)</f>
        <v>0</v>
      </c>
      <c r="AF386" s="17">
        <f>_xlfn.XLOOKUP($B386,'[1]Mar-26'!$A:$A,'[1]Mar-26'!$H:$H,0)</f>
        <v>172000</v>
      </c>
      <c r="AG386" s="17">
        <f>_xlfn.XLOOKUP($B386,'[1]Apr-26'!$A:$A,'[1]Apr-26'!$H:$H,0)</f>
        <v>210000</v>
      </c>
    </row>
    <row r="387" spans="1:33" x14ac:dyDescent="0.2">
      <c r="A387" s="58">
        <v>60035</v>
      </c>
      <c r="B387" s="56" t="str">
        <f t="shared" si="11"/>
        <v>60035</v>
      </c>
      <c r="C387" s="57" t="s">
        <v>552</v>
      </c>
      <c r="D387" s="57" t="s">
        <v>387</v>
      </c>
      <c r="E387" s="44" t="s">
        <v>559</v>
      </c>
      <c r="F387" s="17">
        <f>_xlfn.XLOOKUP($B387,'[1]Jan-24'!$A:$A,'[1]Jan-24'!$H:$H,0)</f>
        <v>0</v>
      </c>
      <c r="G387" s="17">
        <f>_xlfn.XLOOKUP($B387,'[1]Feb-24'!$A:$A,'[1]Feb-24'!$H:$H,0)</f>
        <v>0</v>
      </c>
      <c r="H387" s="17">
        <f>_xlfn.XLOOKUP($B387,'[1]Mar-24'!$A:$A,'[1]Mar-24'!$H:$H,0)</f>
        <v>0</v>
      </c>
      <c r="I387" s="17">
        <f>_xlfn.XLOOKUP($B387,'[1]Apr-24'!$A:$A,'[1]Apr-24'!$H:$H,0)</f>
        <v>0</v>
      </c>
      <c r="J387" s="17">
        <f>_xlfn.XLOOKUP($B387,'[1]May-24'!$A:$A,'[1]May-24'!$H:$H,0)</f>
        <v>0</v>
      </c>
      <c r="K387" s="17">
        <f>_xlfn.XLOOKUP($B387,'[1]Jun-24'!$A:$A,'[1]Jun-24'!$H:$H,0)</f>
        <v>0</v>
      </c>
      <c r="L387" s="17">
        <f>_xlfn.XLOOKUP($B387,'[1]Jul-24'!$A:$A,'[1]Jul-24'!$H:$H,0)</f>
        <v>0</v>
      </c>
      <c r="M387" s="17">
        <f>_xlfn.XLOOKUP($B387,'[1]Aug-24'!$A:$A,'[1]Aug-24'!$H:$H,0)</f>
        <v>0</v>
      </c>
      <c r="N387" s="17">
        <f>_xlfn.XLOOKUP($B387,'[1]Sep-24'!$A:$A,'[1]Sep-24'!$H:$H,0)</f>
        <v>0</v>
      </c>
      <c r="O387" s="17">
        <f>_xlfn.XLOOKUP($B387,'[1]Oct-24'!$A:$A,'[1]Oct-24'!$H:$H,0)</f>
        <v>0</v>
      </c>
      <c r="P387" s="17">
        <f>_xlfn.XLOOKUP($B387,'[1]Nov-24'!$A:$A,'[1]Nov-24'!$H:$H,0)</f>
        <v>0</v>
      </c>
      <c r="Q387" s="17">
        <f>_xlfn.XLOOKUP($B387,'[1]Dec-24'!$A:$A,'[1]Dec-24'!$H:$H,0)</f>
        <v>0</v>
      </c>
      <c r="R387" s="17">
        <f>_xlfn.XLOOKUP($B387,'[1]Jan-25'!$A:$A,'[1]Jan-25'!$H:$H,0)</f>
        <v>0</v>
      </c>
      <c r="S387" s="17">
        <f>_xlfn.XLOOKUP($B387,'[1]Feb-25'!$A:$A,'[1]Feb-25'!$H:$H,0)</f>
        <v>0</v>
      </c>
      <c r="T387" s="17">
        <f>_xlfn.XLOOKUP($B387,'[1]Mar-25'!$A:$A,'[1]Mar-25'!$H:$H,0)</f>
        <v>0</v>
      </c>
      <c r="U387" s="17">
        <f>_xlfn.XLOOKUP($B387,'[1]Apr-25'!$A:$A,'[1]Apr-25'!$H:$H,0)</f>
        <v>967990.34</v>
      </c>
      <c r="V387" s="17">
        <f>_xlfn.XLOOKUP($B387,'[1]May-25'!$A:$A,'[1]May-25'!$H:$H,0)</f>
        <v>0</v>
      </c>
      <c r="W387" s="17">
        <f>_xlfn.XLOOKUP($B387,'[1]Jun-25'!$A:$A,'[1]Jun-25'!$H:$H,0)</f>
        <v>0</v>
      </c>
      <c r="X387" s="17">
        <f>_xlfn.XLOOKUP($B387,'[1]Jul-25'!$A:$A,'[1]Jul-25'!$H:$H,0)</f>
        <v>0</v>
      </c>
      <c r="Y387" s="17">
        <f>_xlfn.XLOOKUP($B387,'[1]Aug-25'!$A:$A,'[1]Aug-25'!$H:$H,0)</f>
        <v>0</v>
      </c>
      <c r="Z387" s="17">
        <f>_xlfn.XLOOKUP($B387,'[1]Sep-25'!$A:$A,'[1]Sep-25'!$H:$H,0)</f>
        <v>0</v>
      </c>
      <c r="AA387" s="17">
        <f>_xlfn.XLOOKUP($B387,'[1]Oct-25'!$A:$A,'[1]Oct-25'!$H:$H,0)</f>
        <v>0</v>
      </c>
      <c r="AB387" s="17">
        <f>_xlfn.XLOOKUP($B387,'[1]Nov-25'!$A:$A,'[1]Nov-25'!$H:$H,0)</f>
        <v>0</v>
      </c>
      <c r="AC387" s="17">
        <f>_xlfn.XLOOKUP($B387,'[1]Dec-25'!$A:$A,'[1]Dec-25'!$H:$H,0)</f>
        <v>0</v>
      </c>
      <c r="AD387" s="17">
        <f>_xlfn.XLOOKUP($B387,'[1]Jan-26'!$A:$A,'[1]Jan-26'!$H:$H,0)</f>
        <v>0</v>
      </c>
      <c r="AE387" s="17">
        <f>_xlfn.XLOOKUP($B387,'[1]Feb-26'!$A:$A,'[1]Feb-26'!$H:$H,0)</f>
        <v>0</v>
      </c>
      <c r="AF387" s="17">
        <f>_xlfn.XLOOKUP($B387,'[1]Mar-26'!$A:$A,'[1]Mar-26'!$H:$H,0)</f>
        <v>0</v>
      </c>
      <c r="AG387" s="17">
        <f>_xlfn.XLOOKUP($B387,'[1]Apr-26'!$A:$A,'[1]Apr-26'!$H:$H,0)</f>
        <v>0</v>
      </c>
    </row>
    <row r="388" spans="1:33" x14ac:dyDescent="0.2">
      <c r="A388" s="58">
        <v>60040</v>
      </c>
      <c r="B388" s="56" t="str">
        <f t="shared" si="11"/>
        <v>60040</v>
      </c>
      <c r="C388" s="57" t="s">
        <v>552</v>
      </c>
      <c r="D388" s="57" t="s">
        <v>387</v>
      </c>
      <c r="E388" s="44" t="s">
        <v>560</v>
      </c>
      <c r="F388" s="17">
        <f>_xlfn.XLOOKUP($B388,'[1]Jan-24'!$A:$A,'[1]Jan-24'!$H:$H,0)</f>
        <v>0</v>
      </c>
      <c r="G388" s="17">
        <f>_xlfn.XLOOKUP($B388,'[1]Feb-24'!$A:$A,'[1]Feb-24'!$H:$H,0)</f>
        <v>10000</v>
      </c>
      <c r="H388" s="17">
        <f>_xlfn.XLOOKUP($B388,'[1]Mar-24'!$A:$A,'[1]Mar-24'!$H:$H,0)</f>
        <v>0</v>
      </c>
      <c r="I388" s="17">
        <f>_xlfn.XLOOKUP($B388,'[1]Apr-24'!$A:$A,'[1]Apr-24'!$H:$H,0)</f>
        <v>238620</v>
      </c>
      <c r="J388" s="17">
        <f>_xlfn.XLOOKUP($B388,'[1]May-24'!$A:$A,'[1]May-24'!$H:$H,0)</f>
        <v>86000</v>
      </c>
      <c r="K388" s="17">
        <f>_xlfn.XLOOKUP($B388,'[1]Jun-24'!$A:$A,'[1]Jun-24'!$H:$H,0)</f>
        <v>22000</v>
      </c>
      <c r="L388" s="17">
        <f>_xlfn.XLOOKUP($B388,'[1]Jul-24'!$A:$A,'[1]Jul-24'!$H:$H,0)</f>
        <v>10000</v>
      </c>
      <c r="M388" s="17">
        <f>_xlfn.XLOOKUP($B388,'[1]Aug-24'!$A:$A,'[1]Aug-24'!$H:$H,0)</f>
        <v>8000</v>
      </c>
      <c r="N388" s="17">
        <f>_xlfn.XLOOKUP($B388,'[1]Sep-24'!$A:$A,'[1]Sep-24'!$H:$H,0)</f>
        <v>30000</v>
      </c>
      <c r="O388" s="17">
        <f>_xlfn.XLOOKUP($B388,'[1]Oct-24'!$A:$A,'[1]Oct-24'!$H:$H,0)</f>
        <v>23500</v>
      </c>
      <c r="P388" s="17">
        <f>_xlfn.XLOOKUP($B388,'[1]Nov-24'!$A:$A,'[1]Nov-24'!$H:$H,0)</f>
        <v>27000</v>
      </c>
      <c r="Q388" s="17">
        <f>_xlfn.XLOOKUP($B388,'[1]Dec-24'!$A:$A,'[1]Dec-24'!$H:$H,0)</f>
        <v>141000</v>
      </c>
      <c r="R388" s="17">
        <f>_xlfn.XLOOKUP($B388,'[1]Jan-25'!$A:$A,'[1]Jan-25'!$H:$H,0)</f>
        <v>12000</v>
      </c>
      <c r="S388" s="17">
        <f>_xlfn.XLOOKUP($B388,'[1]Feb-25'!$A:$A,'[1]Feb-25'!$H:$H,0)</f>
        <v>40834.839999999997</v>
      </c>
      <c r="T388" s="17">
        <f>_xlfn.XLOOKUP($B388,'[1]Mar-25'!$A:$A,'[1]Mar-25'!$H:$H,0)</f>
        <v>9000</v>
      </c>
      <c r="U388" s="17">
        <f>_xlfn.XLOOKUP($B388,'[1]Apr-25'!$A:$A,'[1]Apr-25'!$H:$H,0)</f>
        <v>0</v>
      </c>
      <c r="V388" s="17">
        <f>_xlfn.XLOOKUP($B388,'[1]May-25'!$A:$A,'[1]May-25'!$H:$H,0)</f>
        <v>39300</v>
      </c>
      <c r="W388" s="17">
        <f>_xlfn.XLOOKUP($B388,'[1]Jun-25'!$A:$A,'[1]Jun-25'!$H:$H,0)</f>
        <v>3000</v>
      </c>
      <c r="X388" s="17">
        <f>_xlfn.XLOOKUP($B388,'[1]Jul-25'!$A:$A,'[1]Jul-25'!$H:$H,0)</f>
        <v>21000</v>
      </c>
      <c r="Y388" s="17">
        <f>_xlfn.XLOOKUP($B388,'[1]Aug-25'!$A:$A,'[1]Aug-25'!$H:$H,0)</f>
        <v>6000</v>
      </c>
      <c r="Z388" s="17">
        <f>_xlfn.XLOOKUP($B388,'[1]Sep-25'!$A:$A,'[1]Sep-25'!$H:$H,0)</f>
        <v>33900</v>
      </c>
      <c r="AA388" s="17">
        <f>_xlfn.XLOOKUP($B388,'[1]Oct-25'!$A:$A,'[1]Oct-25'!$H:$H,0)</f>
        <v>12900</v>
      </c>
      <c r="AB388" s="17">
        <f>_xlfn.XLOOKUP($B388,'[1]Nov-25'!$A:$A,'[1]Nov-25'!$H:$H,0)</f>
        <v>15000</v>
      </c>
      <c r="AC388" s="17">
        <f>_xlfn.XLOOKUP($B388,'[1]Dec-25'!$A:$A,'[1]Dec-25'!$H:$H,0)</f>
        <v>0</v>
      </c>
      <c r="AD388" s="17">
        <f>_xlfn.XLOOKUP($B388,'[1]Jan-26'!$A:$A,'[1]Jan-26'!$H:$H,0)</f>
        <v>0</v>
      </c>
      <c r="AE388" s="17">
        <f>_xlfn.XLOOKUP($B388,'[1]Feb-26'!$A:$A,'[1]Feb-26'!$H:$H,0)</f>
        <v>0</v>
      </c>
      <c r="AF388" s="17">
        <f>_xlfn.XLOOKUP($B388,'[1]Mar-26'!$A:$A,'[1]Mar-26'!$H:$H,0)</f>
        <v>0</v>
      </c>
      <c r="AG388" s="17">
        <f>_xlfn.XLOOKUP($B388,'[1]Apr-26'!$A:$A,'[1]Apr-26'!$H:$H,0)</f>
        <v>0</v>
      </c>
    </row>
    <row r="389" spans="1:33" x14ac:dyDescent="0.2">
      <c r="A389" s="58">
        <v>60045</v>
      </c>
      <c r="B389" s="56" t="str">
        <f t="shared" si="11"/>
        <v>60045</v>
      </c>
      <c r="C389" s="57" t="s">
        <v>552</v>
      </c>
      <c r="D389" s="57" t="s">
        <v>387</v>
      </c>
      <c r="E389" s="44" t="s">
        <v>561</v>
      </c>
      <c r="F389" s="17">
        <f>_xlfn.XLOOKUP($B389,'[1]Jan-24'!$A:$A,'[1]Jan-24'!$H:$H,0)</f>
        <v>0</v>
      </c>
      <c r="G389" s="17">
        <f>_xlfn.XLOOKUP($B389,'[1]Feb-24'!$A:$A,'[1]Feb-24'!$H:$H,0)</f>
        <v>0</v>
      </c>
      <c r="H389" s="17">
        <f>_xlfn.XLOOKUP($B389,'[1]Mar-24'!$A:$A,'[1]Mar-24'!$H:$H,0)</f>
        <v>929283.75</v>
      </c>
      <c r="I389" s="17">
        <f>_xlfn.XLOOKUP($B389,'[1]Apr-24'!$A:$A,'[1]Apr-24'!$H:$H,0)</f>
        <v>309761.25</v>
      </c>
      <c r="J389" s="17">
        <f>_xlfn.XLOOKUP($B389,'[1]May-24'!$A:$A,'[1]May-24'!$H:$H,0)</f>
        <v>1067636.25</v>
      </c>
      <c r="K389" s="17">
        <f>_xlfn.XLOOKUP($B389,'[1]Jun-24'!$A:$A,'[1]Jun-24'!$H:$H,0)</f>
        <v>1075731</v>
      </c>
      <c r="L389" s="17">
        <f>_xlfn.XLOOKUP($B389,'[1]Jul-24'!$A:$A,'[1]Jul-24'!$H:$H,0)</f>
        <v>735300</v>
      </c>
      <c r="M389" s="17">
        <f>_xlfn.XLOOKUP($B389,'[1]Aug-24'!$A:$A,'[1]Aug-24'!$H:$H,0)</f>
        <v>735300</v>
      </c>
      <c r="N389" s="17">
        <f>_xlfn.XLOOKUP($B389,'[1]Sep-24'!$A:$A,'[1]Sep-24'!$H:$H,0)</f>
        <v>735300</v>
      </c>
      <c r="O389" s="17">
        <f>_xlfn.XLOOKUP($B389,'[1]Oct-24'!$A:$A,'[1]Oct-24'!$H:$H,0)</f>
        <v>735300</v>
      </c>
      <c r="P389" s="17">
        <f>_xlfn.XLOOKUP($B389,'[1]Nov-24'!$A:$A,'[1]Nov-24'!$H:$H,0)</f>
        <v>799300</v>
      </c>
      <c r="Q389" s="17">
        <f>_xlfn.XLOOKUP($B389,'[1]Dec-24'!$A:$A,'[1]Dec-24'!$H:$H,0)</f>
        <v>948800</v>
      </c>
      <c r="R389" s="17">
        <f>_xlfn.XLOOKUP($B389,'[1]Jan-25'!$A:$A,'[1]Jan-25'!$H:$H,0)</f>
        <v>735300</v>
      </c>
      <c r="S389" s="17">
        <f>_xlfn.XLOOKUP($B389,'[1]Feb-25'!$A:$A,'[1]Feb-25'!$H:$H,0)</f>
        <v>1385800</v>
      </c>
      <c r="T389" s="17">
        <f>_xlfn.XLOOKUP($B389,'[1]Mar-25'!$A:$A,'[1]Mar-25'!$H:$H,0)</f>
        <v>900300</v>
      </c>
      <c r="U389" s="17">
        <f>_xlfn.XLOOKUP($B389,'[1]Apr-25'!$A:$A,'[1]Apr-25'!$H:$H,0)</f>
        <v>735300</v>
      </c>
      <c r="V389" s="17">
        <f>_xlfn.XLOOKUP($B389,'[1]May-25'!$A:$A,'[1]May-25'!$H:$H,0)</f>
        <v>915300</v>
      </c>
      <c r="W389" s="17">
        <f>_xlfn.XLOOKUP($B389,'[1]Jun-25'!$A:$A,'[1]Jun-25'!$H:$H,0)</f>
        <v>735300</v>
      </c>
      <c r="X389" s="17">
        <f>_xlfn.XLOOKUP($B389,'[1]Jul-25'!$A:$A,'[1]Jul-25'!$H:$H,0)</f>
        <v>735300</v>
      </c>
      <c r="Y389" s="17">
        <f>_xlfn.XLOOKUP($B389,'[1]Aug-25'!$A:$A,'[1]Aug-25'!$H:$H,0)</f>
        <v>735300</v>
      </c>
      <c r="Z389" s="17">
        <f>_xlfn.XLOOKUP($B389,'[1]Sep-25'!$A:$A,'[1]Sep-25'!$H:$H,0)</f>
        <v>830300</v>
      </c>
      <c r="AA389" s="17">
        <f>_xlfn.XLOOKUP($B389,'[1]Oct-25'!$A:$A,'[1]Oct-25'!$H:$H,0)</f>
        <v>735300</v>
      </c>
      <c r="AB389" s="17">
        <f>_xlfn.XLOOKUP($B389,'[1]Nov-25'!$A:$A,'[1]Nov-25'!$H:$H,0)</f>
        <v>2057550</v>
      </c>
      <c r="AC389" s="17">
        <f>_xlfn.XLOOKUP($B389,'[1]Dec-25'!$A:$A,'[1]Dec-25'!$H:$H,0)</f>
        <v>735300</v>
      </c>
      <c r="AD389" s="17">
        <f>_xlfn.XLOOKUP($B389,'[1]Jan-26'!$A:$A,'[1]Jan-26'!$H:$H,0)</f>
        <v>855000</v>
      </c>
      <c r="AE389" s="17">
        <f>_xlfn.XLOOKUP($B389,'[1]Feb-26'!$A:$A,'[1]Feb-26'!$H:$H,0)</f>
        <v>855000</v>
      </c>
      <c r="AF389" s="17">
        <f>_xlfn.XLOOKUP($B389,'[1]Mar-26'!$A:$A,'[1]Mar-26'!$H:$H,0)</f>
        <v>855000</v>
      </c>
      <c r="AG389" s="17">
        <f>_xlfn.XLOOKUP($B389,'[1]Apr-26'!$A:$A,'[1]Apr-26'!$H:$H,0)</f>
        <v>855000</v>
      </c>
    </row>
    <row r="390" spans="1:33" x14ac:dyDescent="0.2">
      <c r="A390" s="58">
        <v>60050</v>
      </c>
      <c r="B390" s="56" t="str">
        <f t="shared" si="11"/>
        <v>60050</v>
      </c>
      <c r="C390" s="57" t="s">
        <v>562</v>
      </c>
      <c r="D390" s="57" t="s">
        <v>387</v>
      </c>
      <c r="E390" s="44" t="s">
        <v>563</v>
      </c>
      <c r="F390" s="17">
        <f>_xlfn.XLOOKUP($B390,'[1]Jan-24'!$A:$A,'[1]Jan-24'!$H:$H,0)</f>
        <v>27394905</v>
      </c>
      <c r="G390" s="17">
        <f>_xlfn.XLOOKUP($B390,'[1]Feb-24'!$A:$A,'[1]Feb-24'!$H:$H,0)</f>
        <v>17866320</v>
      </c>
      <c r="H390" s="17">
        <f>_xlfn.XLOOKUP($B390,'[1]Mar-24'!$A:$A,'[1]Mar-24'!$H:$H,0)</f>
        <v>10751535</v>
      </c>
      <c r="I390" s="17">
        <f>_xlfn.XLOOKUP($B390,'[1]Apr-24'!$A:$A,'[1]Apr-24'!$H:$H,0)</f>
        <v>5482050.2300000004</v>
      </c>
      <c r="J390" s="17">
        <f>_xlfn.XLOOKUP($B390,'[1]May-24'!$A:$A,'[1]May-24'!$H:$H,0)</f>
        <v>3363912.99</v>
      </c>
      <c r="K390" s="17">
        <f>_xlfn.XLOOKUP($B390,'[1]Jun-24'!$A:$A,'[1]Jun-24'!$H:$H,0)</f>
        <v>7937823.4299999997</v>
      </c>
      <c r="L390" s="17">
        <f>_xlfn.XLOOKUP($B390,'[1]Jul-24'!$A:$A,'[1]Jul-24'!$H:$H,0)</f>
        <v>15811824.27</v>
      </c>
      <c r="M390" s="17">
        <f>_xlfn.XLOOKUP($B390,'[1]Aug-24'!$A:$A,'[1]Aug-24'!$H:$H,0)</f>
        <v>14799764.57</v>
      </c>
      <c r="N390" s="17">
        <f>_xlfn.XLOOKUP($B390,'[1]Sep-24'!$A:$A,'[1]Sep-24'!$H:$H,0)</f>
        <v>8263089.5199999996</v>
      </c>
      <c r="O390" s="17">
        <f>_xlfn.XLOOKUP($B390,'[1]Oct-24'!$A:$A,'[1]Oct-24'!$H:$H,0)</f>
        <v>3056185.14</v>
      </c>
      <c r="P390" s="17">
        <f>_xlfn.XLOOKUP($B390,'[1]Nov-24'!$A:$A,'[1]Nov-24'!$H:$H,0)</f>
        <v>2789323.11</v>
      </c>
      <c r="Q390" s="17">
        <f>_xlfn.XLOOKUP($B390,'[1]Dec-24'!$A:$A,'[1]Dec-24'!$H:$H,0)</f>
        <v>2516303.31</v>
      </c>
      <c r="R390" s="17">
        <f>_xlfn.XLOOKUP($B390,'[1]Jan-25'!$A:$A,'[1]Jan-25'!$H:$H,0)</f>
        <v>2607096.21</v>
      </c>
      <c r="S390" s="17">
        <f>_xlfn.XLOOKUP($B390,'[1]Feb-25'!$A:$A,'[1]Feb-25'!$H:$H,0)</f>
        <v>2607939.85</v>
      </c>
      <c r="T390" s="17">
        <f>_xlfn.XLOOKUP($B390,'[1]Mar-25'!$A:$A,'[1]Mar-25'!$H:$H,0)</f>
        <v>2296213.79</v>
      </c>
      <c r="U390" s="17">
        <f>_xlfn.XLOOKUP($B390,'[1]Apr-25'!$A:$A,'[1]Apr-25'!$H:$H,0)</f>
        <v>1989143.3</v>
      </c>
      <c r="V390" s="17">
        <f>_xlfn.XLOOKUP($B390,'[1]May-25'!$A:$A,'[1]May-25'!$H:$H,0)</f>
        <v>2013365.35</v>
      </c>
      <c r="W390" s="17">
        <f>_xlfn.XLOOKUP($B390,'[1]Jun-25'!$A:$A,'[1]Jun-25'!$H:$H,0)</f>
        <v>1834897.21</v>
      </c>
      <c r="X390" s="17">
        <f>_xlfn.XLOOKUP($B390,'[1]Jul-25'!$A:$A,'[1]Jul-25'!$H:$H,0)</f>
        <v>1454581.4</v>
      </c>
      <c r="Y390" s="17">
        <f>_xlfn.XLOOKUP($B390,'[1]Aug-25'!$A:$A,'[1]Aug-25'!$H:$H,0)</f>
        <v>1370639.84</v>
      </c>
      <c r="Z390" s="17">
        <f>_xlfn.XLOOKUP($B390,'[1]Sep-25'!$A:$A,'[1]Sep-25'!$H:$H,0)</f>
        <v>1269072.5</v>
      </c>
      <c r="AA390" s="17">
        <f>_xlfn.XLOOKUP($B390,'[1]Oct-25'!$A:$A,'[1]Oct-25'!$H:$H,0)</f>
        <v>949039.08</v>
      </c>
      <c r="AB390" s="17">
        <f>_xlfn.XLOOKUP($B390,'[1]Nov-25'!$A:$A,'[1]Nov-25'!$H:$H,0)</f>
        <v>3436813.52</v>
      </c>
      <c r="AC390" s="17">
        <f>_xlfn.XLOOKUP($B390,'[1]Dec-25'!$A:$A,'[1]Dec-25'!$H:$H,0)</f>
        <v>3604347.6500000004</v>
      </c>
      <c r="AD390" s="17">
        <f>_xlfn.XLOOKUP($B390,'[1]Jan-26'!$A:$A,'[1]Jan-26'!$H:$H,0)</f>
        <v>1900829.65</v>
      </c>
      <c r="AE390" s="17">
        <f>_xlfn.XLOOKUP($B390,'[1]Feb-26'!$A:$A,'[1]Feb-26'!$H:$H,0)</f>
        <v>2213454.5</v>
      </c>
      <c r="AF390" s="17">
        <f>_xlfn.XLOOKUP($B390,'[1]Mar-26'!$A:$A,'[1]Mar-26'!$H:$H,0)</f>
        <v>1706090.77</v>
      </c>
      <c r="AG390" s="17">
        <f>_xlfn.XLOOKUP($B390,'[1]Apr-26'!$A:$A,'[1]Apr-26'!$H:$H,0)</f>
        <v>1470988.42</v>
      </c>
    </row>
    <row r="391" spans="1:33" x14ac:dyDescent="0.2">
      <c r="A391" s="58">
        <v>60060</v>
      </c>
      <c r="B391" s="56" t="str">
        <f t="shared" si="11"/>
        <v>60060</v>
      </c>
      <c r="C391" s="57" t="s">
        <v>552</v>
      </c>
      <c r="D391" s="57" t="s">
        <v>387</v>
      </c>
      <c r="E391" s="44" t="s">
        <v>564</v>
      </c>
      <c r="F391" s="17">
        <f>_xlfn.XLOOKUP($B391,'[1]Jan-24'!$A:$A,'[1]Jan-24'!$H:$H,0)</f>
        <v>8152514.9999999991</v>
      </c>
      <c r="G391" s="17">
        <f>_xlfn.XLOOKUP($B391,'[1]Feb-24'!$A:$A,'[1]Feb-24'!$H:$H,0)</f>
        <v>4512242.0999999996</v>
      </c>
      <c r="H391" s="17">
        <f>_xlfn.XLOOKUP($B391,'[1]Mar-24'!$A:$A,'[1]Mar-24'!$H:$H,0)</f>
        <v>10757640</v>
      </c>
      <c r="I391" s="17">
        <f>_xlfn.XLOOKUP($B391,'[1]Apr-24'!$A:$A,'[1]Apr-24'!$H:$H,0)</f>
        <v>3667636.71</v>
      </c>
      <c r="J391" s="17">
        <f>_xlfn.XLOOKUP($B391,'[1]May-24'!$A:$A,'[1]May-24'!$H:$H,0)</f>
        <v>8180606.5999999996</v>
      </c>
      <c r="K391" s="17">
        <f>_xlfn.XLOOKUP($B391,'[1]Jun-24'!$A:$A,'[1]Jun-24'!$H:$H,0)</f>
        <v>15237181.409999998</v>
      </c>
      <c r="L391" s="17">
        <f>_xlfn.XLOOKUP($B391,'[1]Jul-24'!$A:$A,'[1]Jul-24'!$H:$H,0)</f>
        <v>10455482.57</v>
      </c>
      <c r="M391" s="17">
        <f>_xlfn.XLOOKUP($B391,'[1]Aug-24'!$A:$A,'[1]Aug-24'!$H:$H,0)</f>
        <v>10354339.350000001</v>
      </c>
      <c r="N391" s="17">
        <f>_xlfn.XLOOKUP($B391,'[1]Sep-24'!$A:$A,'[1]Sep-24'!$H:$H,0)</f>
        <v>7787222.96</v>
      </c>
      <c r="O391" s="17">
        <f>_xlfn.XLOOKUP($B391,'[1]Oct-24'!$A:$A,'[1]Oct-24'!$H:$H,0)</f>
        <v>12686412.939999999</v>
      </c>
      <c r="P391" s="17">
        <f>_xlfn.XLOOKUP($B391,'[1]Nov-24'!$A:$A,'[1]Nov-24'!$H:$H,0)</f>
        <v>10881254.02</v>
      </c>
      <c r="Q391" s="17">
        <f>_xlfn.XLOOKUP($B391,'[1]Dec-24'!$A:$A,'[1]Dec-24'!$H:$H,0)</f>
        <v>18222340.149999999</v>
      </c>
      <c r="R391" s="17">
        <f>_xlfn.XLOOKUP($B391,'[1]Jan-25'!$A:$A,'[1]Jan-25'!$H:$H,0)</f>
        <v>20638827.18</v>
      </c>
      <c r="S391" s="17">
        <f>_xlfn.XLOOKUP($B391,'[1]Feb-25'!$A:$A,'[1]Feb-25'!$H:$H,0)</f>
        <v>21470115.259999998</v>
      </c>
      <c r="T391" s="17">
        <f>_xlfn.XLOOKUP($B391,'[1]Mar-25'!$A:$A,'[1]Mar-25'!$H:$H,0)</f>
        <v>21674578.670000002</v>
      </c>
      <c r="U391" s="17">
        <f>_xlfn.XLOOKUP($B391,'[1]Apr-25'!$A:$A,'[1]Apr-25'!$H:$H,0)</f>
        <v>21681649.84</v>
      </c>
      <c r="V391" s="17">
        <f>_xlfn.XLOOKUP($B391,'[1]May-25'!$A:$A,'[1]May-25'!$H:$H,0)</f>
        <v>23272493.710000001</v>
      </c>
      <c r="W391" s="17">
        <f>_xlfn.XLOOKUP($B391,'[1]Jun-25'!$A:$A,'[1]Jun-25'!$H:$H,0)</f>
        <v>20773899.850000001</v>
      </c>
      <c r="X391" s="17">
        <f>_xlfn.XLOOKUP($B391,'[1]Jul-25'!$A:$A,'[1]Jul-25'!$H:$H,0)</f>
        <v>25200299.710000001</v>
      </c>
      <c r="Y391" s="17">
        <f>_xlfn.XLOOKUP($B391,'[1]Aug-25'!$A:$A,'[1]Aug-25'!$H:$H,0)</f>
        <v>28490364.329999998</v>
      </c>
      <c r="Z391" s="17">
        <f>_xlfn.XLOOKUP($B391,'[1]Sep-25'!$A:$A,'[1]Sep-25'!$H:$H,0)</f>
        <v>25126203.640000001</v>
      </c>
      <c r="AA391" s="17">
        <f>_xlfn.XLOOKUP($B391,'[1]Oct-25'!$A:$A,'[1]Oct-25'!$H:$H,0)</f>
        <v>22397250.859999999</v>
      </c>
      <c r="AB391" s="17">
        <f>_xlfn.XLOOKUP($B391,'[1]Nov-25'!$A:$A,'[1]Nov-25'!$H:$H,0)</f>
        <v>20814662.890000001</v>
      </c>
      <c r="AC391" s="17">
        <f>_xlfn.XLOOKUP($B391,'[1]Dec-25'!$A:$A,'[1]Dec-25'!$H:$H,0)</f>
        <v>13368915.719999999</v>
      </c>
      <c r="AD391" s="17">
        <f>_xlfn.XLOOKUP($B391,'[1]Jan-26'!$A:$A,'[1]Jan-26'!$H:$H,0)</f>
        <v>15941638.52</v>
      </c>
      <c r="AE391" s="17">
        <f>_xlfn.XLOOKUP($B391,'[1]Feb-26'!$A:$A,'[1]Feb-26'!$H:$H,0)</f>
        <v>17348227.850000001</v>
      </c>
      <c r="AF391" s="17">
        <f>_xlfn.XLOOKUP($B391,'[1]Mar-26'!$A:$A,'[1]Mar-26'!$H:$H,0)</f>
        <v>21585001</v>
      </c>
      <c r="AG391" s="17">
        <f>_xlfn.XLOOKUP($B391,'[1]Apr-26'!$A:$A,'[1]Apr-26'!$H:$H,0)</f>
        <v>22076853.43</v>
      </c>
    </row>
    <row r="392" spans="1:33" x14ac:dyDescent="0.2">
      <c r="A392" s="58">
        <v>60070</v>
      </c>
      <c r="B392" s="56" t="str">
        <f t="shared" si="11"/>
        <v>60070</v>
      </c>
      <c r="C392" s="57" t="s">
        <v>565</v>
      </c>
      <c r="D392" s="57" t="s">
        <v>387</v>
      </c>
      <c r="E392" s="44" t="s">
        <v>566</v>
      </c>
      <c r="F392" s="17">
        <f>_xlfn.XLOOKUP($B392,'[1]Jan-24'!$A:$A,'[1]Jan-24'!$H:$H,0)</f>
        <v>-136000</v>
      </c>
      <c r="G392" s="17">
        <f>_xlfn.XLOOKUP($B392,'[1]Feb-24'!$A:$A,'[1]Feb-24'!$H:$H,0)</f>
        <v>266600</v>
      </c>
      <c r="H392" s="17">
        <f>_xlfn.XLOOKUP($B392,'[1]Mar-24'!$A:$A,'[1]Mar-24'!$H:$H,0)</f>
        <v>255750</v>
      </c>
      <c r="I392" s="17">
        <f>_xlfn.XLOOKUP($B392,'[1]Apr-24'!$A:$A,'[1]Apr-24'!$H:$H,0)</f>
        <v>414537.5</v>
      </c>
      <c r="J392" s="17">
        <f>_xlfn.XLOOKUP($B392,'[1]May-24'!$A:$A,'[1]May-24'!$H:$H,0)</f>
        <v>388700</v>
      </c>
      <c r="K392" s="17">
        <f>_xlfn.XLOOKUP($B392,'[1]Jun-24'!$A:$A,'[1]Jun-24'!$H:$H,0)</f>
        <v>920440.72</v>
      </c>
      <c r="L392" s="17">
        <f>_xlfn.XLOOKUP($B392,'[1]Jul-24'!$A:$A,'[1]Jul-24'!$H:$H,0)</f>
        <v>230200</v>
      </c>
      <c r="M392" s="17">
        <f>_xlfn.XLOOKUP($B392,'[1]Aug-24'!$A:$A,'[1]Aug-24'!$H:$H,0)</f>
        <v>1059500</v>
      </c>
      <c r="N392" s="17">
        <f>_xlfn.XLOOKUP($B392,'[1]Sep-24'!$A:$A,'[1]Sep-24'!$H:$H,0)</f>
        <v>154500</v>
      </c>
      <c r="O392" s="17">
        <f>_xlfn.XLOOKUP($B392,'[1]Oct-24'!$A:$A,'[1]Oct-24'!$H:$H,0)</f>
        <v>0</v>
      </c>
      <c r="P392" s="17">
        <f>_xlfn.XLOOKUP($B392,'[1]Nov-24'!$A:$A,'[1]Nov-24'!$H:$H,0)</f>
        <v>247500</v>
      </c>
      <c r="Q392" s="17">
        <f>_xlfn.XLOOKUP($B392,'[1]Dec-24'!$A:$A,'[1]Dec-24'!$H:$H,0)</f>
        <v>9125950</v>
      </c>
      <c r="R392" s="17">
        <f>_xlfn.XLOOKUP($B392,'[1]Jan-25'!$A:$A,'[1]Jan-25'!$H:$H,0)</f>
        <v>2218525</v>
      </c>
      <c r="S392" s="17">
        <f>_xlfn.XLOOKUP($B392,'[1]Feb-25'!$A:$A,'[1]Feb-25'!$H:$H,0)</f>
        <v>298875</v>
      </c>
      <c r="T392" s="17">
        <f>_xlfn.XLOOKUP($B392,'[1]Mar-25'!$A:$A,'[1]Mar-25'!$H:$H,0)</f>
        <v>422028.35</v>
      </c>
      <c r="U392" s="17">
        <f>_xlfn.XLOOKUP($B392,'[1]Apr-25'!$A:$A,'[1]Apr-25'!$H:$H,0)</f>
        <v>353800</v>
      </c>
      <c r="V392" s="17">
        <f>_xlfn.XLOOKUP($B392,'[1]May-25'!$A:$A,'[1]May-25'!$H:$H,0)</f>
        <v>149800</v>
      </c>
      <c r="W392" s="17">
        <f>_xlfn.XLOOKUP($B392,'[1]Jun-25'!$A:$A,'[1]Jun-25'!$H:$H,0)</f>
        <v>1528873.51</v>
      </c>
      <c r="X392" s="17">
        <f>_xlfn.XLOOKUP($B392,'[1]Jul-25'!$A:$A,'[1]Jul-25'!$H:$H,0)</f>
        <v>573957.32999999996</v>
      </c>
      <c r="Y392" s="17">
        <f>_xlfn.XLOOKUP($B392,'[1]Aug-25'!$A:$A,'[1]Aug-25'!$H:$H,0)</f>
        <v>435800</v>
      </c>
      <c r="Z392" s="17">
        <f>_xlfn.XLOOKUP($B392,'[1]Sep-25'!$A:$A,'[1]Sep-25'!$H:$H,0)</f>
        <v>105685</v>
      </c>
      <c r="AA392" s="17">
        <f>_xlfn.XLOOKUP($B392,'[1]Oct-25'!$A:$A,'[1]Oct-25'!$H:$H,0)</f>
        <v>225100</v>
      </c>
      <c r="AB392" s="17">
        <f>_xlfn.XLOOKUP($B392,'[1]Nov-25'!$A:$A,'[1]Nov-25'!$H:$H,0)</f>
        <v>5711150</v>
      </c>
      <c r="AC392" s="17">
        <f>_xlfn.XLOOKUP($B392,'[1]Dec-25'!$A:$A,'[1]Dec-25'!$H:$H,0)</f>
        <v>2458000</v>
      </c>
      <c r="AD392" s="17">
        <f>_xlfn.XLOOKUP($B392,'[1]Jan-26'!$A:$A,'[1]Jan-26'!$H:$H,0)</f>
        <v>377150</v>
      </c>
      <c r="AE392" s="17">
        <f>_xlfn.XLOOKUP($B392,'[1]Feb-26'!$A:$A,'[1]Feb-26'!$H:$H,0)</f>
        <v>136505.62</v>
      </c>
      <c r="AF392" s="17">
        <f>_xlfn.XLOOKUP($B392,'[1]Mar-26'!$A:$A,'[1]Mar-26'!$H:$H,0)</f>
        <v>210000</v>
      </c>
      <c r="AG392" s="17">
        <f>_xlfn.XLOOKUP($B392,'[1]Apr-26'!$A:$A,'[1]Apr-26'!$H:$H,0)</f>
        <v>506300</v>
      </c>
    </row>
    <row r="393" spans="1:33" x14ac:dyDescent="0.2">
      <c r="A393" s="58">
        <v>60075</v>
      </c>
      <c r="B393" s="56" t="str">
        <f t="shared" si="11"/>
        <v>60075</v>
      </c>
      <c r="C393" s="57" t="s">
        <v>552</v>
      </c>
      <c r="D393" s="57" t="s">
        <v>387</v>
      </c>
      <c r="E393" s="44" t="s">
        <v>567</v>
      </c>
      <c r="F393" s="17">
        <f>_xlfn.XLOOKUP($B393,'[1]Jan-24'!$A:$A,'[1]Jan-24'!$H:$H,0)</f>
        <v>10000</v>
      </c>
      <c r="G393" s="17">
        <f>_xlfn.XLOOKUP($B393,'[1]Feb-24'!$A:$A,'[1]Feb-24'!$H:$H,0)</f>
        <v>4554372</v>
      </c>
      <c r="H393" s="17">
        <f>_xlfn.XLOOKUP($B393,'[1]Mar-24'!$A:$A,'[1]Mar-24'!$H:$H,0)</f>
        <v>5000</v>
      </c>
      <c r="I393" s="17">
        <f>_xlfn.XLOOKUP($B393,'[1]Apr-24'!$A:$A,'[1]Apr-24'!$H:$H,0)</f>
        <v>0</v>
      </c>
      <c r="J393" s="17">
        <f>_xlfn.XLOOKUP($B393,'[1]May-24'!$A:$A,'[1]May-24'!$H:$H,0)</f>
        <v>5000</v>
      </c>
      <c r="K393" s="17">
        <f>_xlfn.XLOOKUP($B393,'[1]Jun-24'!$A:$A,'[1]Jun-24'!$H:$H,0)</f>
        <v>5000</v>
      </c>
      <c r="L393" s="17">
        <f>_xlfn.XLOOKUP($B393,'[1]Jul-24'!$A:$A,'[1]Jul-24'!$H:$H,0)</f>
        <v>5000</v>
      </c>
      <c r="M393" s="17">
        <f>_xlfn.XLOOKUP($B393,'[1]Aug-24'!$A:$A,'[1]Aug-24'!$H:$H,0)</f>
        <v>5000</v>
      </c>
      <c r="N393" s="17">
        <f>_xlfn.XLOOKUP($B393,'[1]Sep-24'!$A:$A,'[1]Sep-24'!$H:$H,0)</f>
        <v>-10000</v>
      </c>
      <c r="O393" s="17">
        <f>_xlfn.XLOOKUP($B393,'[1]Oct-24'!$A:$A,'[1]Oct-24'!$H:$H,0)</f>
        <v>150000</v>
      </c>
      <c r="P393" s="17">
        <f>_xlfn.XLOOKUP($B393,'[1]Nov-24'!$A:$A,'[1]Nov-24'!$H:$H,0)</f>
        <v>0</v>
      </c>
      <c r="Q393" s="17">
        <f>_xlfn.XLOOKUP($B393,'[1]Dec-24'!$A:$A,'[1]Dec-24'!$H:$H,0)</f>
        <v>-4554372</v>
      </c>
      <c r="R393" s="17">
        <f>_xlfn.XLOOKUP($B393,'[1]Jan-25'!$A:$A,'[1]Jan-25'!$H:$H,0)</f>
        <v>0</v>
      </c>
      <c r="S393" s="17">
        <f>_xlfn.XLOOKUP($B393,'[1]Feb-25'!$A:$A,'[1]Feb-25'!$H:$H,0)</f>
        <v>0</v>
      </c>
      <c r="T393" s="17">
        <f>_xlfn.XLOOKUP($B393,'[1]Mar-25'!$A:$A,'[1]Mar-25'!$H:$H,0)</f>
        <v>0</v>
      </c>
      <c r="U393" s="17">
        <f>_xlfn.XLOOKUP($B393,'[1]Apr-25'!$A:$A,'[1]Apr-25'!$H:$H,0)</f>
        <v>0</v>
      </c>
      <c r="V393" s="17">
        <f>_xlfn.XLOOKUP($B393,'[1]May-25'!$A:$A,'[1]May-25'!$H:$H,0)</f>
        <v>0</v>
      </c>
      <c r="W393" s="17">
        <f>_xlfn.XLOOKUP($B393,'[1]Jun-25'!$A:$A,'[1]Jun-25'!$H:$H,0)</f>
        <v>0</v>
      </c>
      <c r="X393" s="17">
        <f>_xlfn.XLOOKUP($B393,'[1]Jul-25'!$A:$A,'[1]Jul-25'!$H:$H,0)</f>
        <v>370000</v>
      </c>
      <c r="Y393" s="17">
        <f>_xlfn.XLOOKUP($B393,'[1]Aug-25'!$A:$A,'[1]Aug-25'!$H:$H,0)</f>
        <v>0</v>
      </c>
      <c r="Z393" s="17">
        <f>_xlfn.XLOOKUP($B393,'[1]Sep-25'!$A:$A,'[1]Sep-25'!$H:$H,0)</f>
        <v>2902000</v>
      </c>
      <c r="AA393" s="17">
        <f>_xlfn.XLOOKUP($B393,'[1]Oct-25'!$A:$A,'[1]Oct-25'!$H:$H,0)</f>
        <v>0</v>
      </c>
      <c r="AB393" s="17">
        <f>_xlfn.XLOOKUP($B393,'[1]Nov-25'!$A:$A,'[1]Nov-25'!$H:$H,0)</f>
        <v>0</v>
      </c>
      <c r="AC393" s="17">
        <f>_xlfn.XLOOKUP($B393,'[1]Dec-25'!$A:$A,'[1]Dec-25'!$H:$H,0)</f>
        <v>0</v>
      </c>
      <c r="AD393" s="17">
        <f>_xlfn.XLOOKUP($B393,'[1]Jan-26'!$A:$A,'[1]Jan-26'!$H:$H,0)</f>
        <v>0</v>
      </c>
      <c r="AE393" s="17">
        <f>_xlfn.XLOOKUP($B393,'[1]Feb-26'!$A:$A,'[1]Feb-26'!$H:$H,0)</f>
        <v>0</v>
      </c>
      <c r="AF393" s="17">
        <f>_xlfn.XLOOKUP($B393,'[1]Mar-26'!$A:$A,'[1]Mar-26'!$H:$H,0)</f>
        <v>0</v>
      </c>
      <c r="AG393" s="17">
        <f>_xlfn.XLOOKUP($B393,'[1]Apr-26'!$A:$A,'[1]Apr-26'!$H:$H,0)</f>
        <v>0</v>
      </c>
    </row>
    <row r="394" spans="1:33" x14ac:dyDescent="0.2">
      <c r="A394" s="58">
        <v>60080</v>
      </c>
      <c r="B394" s="56" t="str">
        <f t="shared" si="11"/>
        <v>60080</v>
      </c>
      <c r="C394" s="57" t="s">
        <v>565</v>
      </c>
      <c r="D394" s="57" t="s">
        <v>387</v>
      </c>
      <c r="E394" s="44" t="s">
        <v>568</v>
      </c>
      <c r="F394" s="17">
        <f>_xlfn.XLOOKUP($B394,'[1]Jan-24'!$A:$A,'[1]Jan-24'!$H:$H,0)</f>
        <v>252738.06</v>
      </c>
      <c r="G394" s="17">
        <f>_xlfn.XLOOKUP($B394,'[1]Feb-24'!$A:$A,'[1]Feb-24'!$H:$H,0)</f>
        <v>0</v>
      </c>
      <c r="H394" s="17">
        <f>_xlfn.XLOOKUP($B394,'[1]Mar-24'!$A:$A,'[1]Mar-24'!$H:$H,0)</f>
        <v>3537077</v>
      </c>
      <c r="I394" s="17">
        <f>_xlfn.XLOOKUP($B394,'[1]Apr-24'!$A:$A,'[1]Apr-24'!$H:$H,0)</f>
        <v>153333.32999999999</v>
      </c>
      <c r="J394" s="17">
        <f>_xlfn.XLOOKUP($B394,'[1]May-24'!$A:$A,'[1]May-24'!$H:$H,0)</f>
        <v>763233.66</v>
      </c>
      <c r="K394" s="17">
        <f>_xlfn.XLOOKUP($B394,'[1]Jun-24'!$A:$A,'[1]Jun-24'!$H:$H,0)</f>
        <v>1171780.77</v>
      </c>
      <c r="L394" s="17">
        <f>_xlfn.XLOOKUP($B394,'[1]Jul-24'!$A:$A,'[1]Jul-24'!$H:$H,0)</f>
        <v>1392697.41</v>
      </c>
      <c r="M394" s="17">
        <f>_xlfn.XLOOKUP($B394,'[1]Aug-24'!$A:$A,'[1]Aug-24'!$H:$H,0)</f>
        <v>1289086.01</v>
      </c>
      <c r="N394" s="17">
        <f>_xlfn.XLOOKUP($B394,'[1]Sep-24'!$A:$A,'[1]Sep-24'!$H:$H,0)</f>
        <v>2301116.67</v>
      </c>
      <c r="O394" s="17">
        <f>_xlfn.XLOOKUP($B394,'[1]Oct-24'!$A:$A,'[1]Oct-24'!$H:$H,0)</f>
        <v>2036979.17</v>
      </c>
      <c r="P394" s="17">
        <f>_xlfn.XLOOKUP($B394,'[1]Nov-24'!$A:$A,'[1]Nov-24'!$H:$H,0)</f>
        <v>2142577.38</v>
      </c>
      <c r="Q394" s="17">
        <f>_xlfn.XLOOKUP($B394,'[1]Dec-24'!$A:$A,'[1]Dec-24'!$H:$H,0)</f>
        <v>2164770.65</v>
      </c>
      <c r="R394" s="17">
        <f>_xlfn.XLOOKUP($B394,'[1]Jan-25'!$A:$A,'[1]Jan-25'!$H:$H,0)</f>
        <v>2220358</v>
      </c>
      <c r="S394" s="17">
        <f>_xlfn.XLOOKUP($B394,'[1]Feb-25'!$A:$A,'[1]Feb-25'!$H:$H,0)</f>
        <v>2123323.85</v>
      </c>
      <c r="T394" s="17">
        <f>_xlfn.XLOOKUP($B394,'[1]Mar-25'!$A:$A,'[1]Mar-25'!$H:$H,0)</f>
        <v>5199001.96</v>
      </c>
      <c r="U394" s="17">
        <f>_xlfn.XLOOKUP($B394,'[1]Apr-25'!$A:$A,'[1]Apr-25'!$H:$H,0)</f>
        <v>2456843.17</v>
      </c>
      <c r="V394" s="17">
        <f>_xlfn.XLOOKUP($B394,'[1]May-25'!$A:$A,'[1]May-25'!$H:$H,0)</f>
        <v>2357812.27</v>
      </c>
      <c r="W394" s="17">
        <f>_xlfn.XLOOKUP($B394,'[1]Jun-25'!$A:$A,'[1]Jun-25'!$H:$H,0)</f>
        <v>6354389.8399999999</v>
      </c>
      <c r="X394" s="17">
        <f>_xlfn.XLOOKUP($B394,'[1]Jul-25'!$A:$A,'[1]Jul-25'!$H:$H,0)</f>
        <v>791676.5</v>
      </c>
      <c r="Y394" s="17">
        <f>_xlfn.XLOOKUP($B394,'[1]Aug-25'!$A:$A,'[1]Aug-25'!$H:$H,0)</f>
        <v>0</v>
      </c>
      <c r="Z394" s="17">
        <f>_xlfn.XLOOKUP($B394,'[1]Sep-25'!$A:$A,'[1]Sep-25'!$H:$H,0)</f>
        <v>608644</v>
      </c>
      <c r="AA394" s="17">
        <f>_xlfn.XLOOKUP($B394,'[1]Oct-25'!$A:$A,'[1]Oct-25'!$H:$H,0)</f>
        <v>8865285.1300000008</v>
      </c>
      <c r="AB394" s="17">
        <f>_xlfn.XLOOKUP($B394,'[1]Nov-25'!$A:$A,'[1]Nov-25'!$H:$H,0)</f>
        <v>4382340.29</v>
      </c>
      <c r="AC394" s="17">
        <f>_xlfn.XLOOKUP($B394,'[1]Dec-25'!$A:$A,'[1]Dec-25'!$H:$H,0)</f>
        <v>4236512.51</v>
      </c>
      <c r="AD394" s="17">
        <f>_xlfn.XLOOKUP($B394,'[1]Jan-26'!$A:$A,'[1]Jan-26'!$H:$H,0)</f>
        <v>4115740.33</v>
      </c>
      <c r="AE394" s="17">
        <f>_xlfn.XLOOKUP($B394,'[1]Feb-26'!$A:$A,'[1]Feb-26'!$H:$H,0)</f>
        <v>4453171.05</v>
      </c>
      <c r="AF394" s="17">
        <f>_xlfn.XLOOKUP($B394,'[1]Mar-26'!$A:$A,'[1]Mar-26'!$H:$H,0)</f>
        <v>4041547.67</v>
      </c>
      <c r="AG394" s="17">
        <f>_xlfn.XLOOKUP($B394,'[1]Apr-26'!$A:$A,'[1]Apr-26'!$H:$H,0)</f>
        <v>4237034.34</v>
      </c>
    </row>
    <row r="395" spans="1:33" x14ac:dyDescent="0.2">
      <c r="A395" s="58">
        <v>60085</v>
      </c>
      <c r="B395" s="56" t="str">
        <f t="shared" si="11"/>
        <v>60085</v>
      </c>
      <c r="C395" s="57" t="s">
        <v>565</v>
      </c>
      <c r="D395" s="57" t="s">
        <v>387</v>
      </c>
      <c r="E395" s="44" t="s">
        <v>569</v>
      </c>
      <c r="F395" s="17">
        <f>_xlfn.XLOOKUP($B395,'[1]Jan-24'!$A:$A,'[1]Jan-24'!$H:$H,0)</f>
        <v>0</v>
      </c>
      <c r="G395" s="17">
        <f>_xlfn.XLOOKUP($B395,'[1]Feb-24'!$A:$A,'[1]Feb-24'!$H:$H,0)</f>
        <v>0</v>
      </c>
      <c r="H395" s="17">
        <f>_xlfn.XLOOKUP($B395,'[1]Mar-24'!$A:$A,'[1]Mar-24'!$H:$H,0)</f>
        <v>5906242.2599999998</v>
      </c>
      <c r="I395" s="17">
        <f>_xlfn.XLOOKUP($B395,'[1]Apr-24'!$A:$A,'[1]Apr-24'!$H:$H,0)</f>
        <v>35532.430000000022</v>
      </c>
      <c r="J395" s="17">
        <f>_xlfn.XLOOKUP($B395,'[1]May-24'!$A:$A,'[1]May-24'!$H:$H,0)</f>
        <v>408307.32</v>
      </c>
      <c r="K395" s="17">
        <f>_xlfn.XLOOKUP($B395,'[1]Jun-24'!$A:$A,'[1]Jun-24'!$H:$H,0)</f>
        <v>924063.94</v>
      </c>
      <c r="L395" s="17">
        <f>_xlfn.XLOOKUP($B395,'[1]Jul-24'!$A:$A,'[1]Jul-24'!$H:$H,0)</f>
        <v>896031.64</v>
      </c>
      <c r="M395" s="17">
        <f>_xlfn.XLOOKUP($B395,'[1]Aug-24'!$A:$A,'[1]Aug-24'!$H:$H,0)</f>
        <v>963229.62</v>
      </c>
      <c r="N395" s="17">
        <f>_xlfn.XLOOKUP($B395,'[1]Sep-24'!$A:$A,'[1]Sep-24'!$H:$H,0)</f>
        <v>896031.64</v>
      </c>
      <c r="O395" s="17">
        <f>_xlfn.XLOOKUP($B395,'[1]Oct-24'!$A:$A,'[1]Oct-24'!$H:$H,0)</f>
        <v>905031.64</v>
      </c>
      <c r="P395" s="17">
        <f>_xlfn.XLOOKUP($B395,'[1]Nov-24'!$A:$A,'[1]Nov-24'!$H:$H,0)</f>
        <v>1230339.76</v>
      </c>
      <c r="Q395" s="17">
        <f>_xlfn.XLOOKUP($B395,'[1]Dec-24'!$A:$A,'[1]Dec-24'!$H:$H,0)</f>
        <v>670685.63</v>
      </c>
      <c r="R395" s="17">
        <f>_xlfn.XLOOKUP($B395,'[1]Jan-25'!$A:$A,'[1]Jan-25'!$H:$H,0)</f>
        <v>670685.63</v>
      </c>
      <c r="S395" s="17">
        <f>_xlfn.XLOOKUP($B395,'[1]Feb-25'!$A:$A,'[1]Feb-25'!$H:$H,0)</f>
        <v>891201.79</v>
      </c>
      <c r="T395" s="17">
        <f>_xlfn.XLOOKUP($B395,'[1]Mar-25'!$A:$A,'[1]Mar-25'!$H:$H,0)</f>
        <v>780943.71</v>
      </c>
      <c r="U395" s="17">
        <f>_xlfn.XLOOKUP($B395,'[1]Apr-25'!$A:$A,'[1]Apr-25'!$H:$H,0)</f>
        <v>780943.68</v>
      </c>
      <c r="V395" s="17">
        <f>_xlfn.XLOOKUP($B395,'[1]May-25'!$A:$A,'[1]May-25'!$H:$H,0)</f>
        <v>1557996.59</v>
      </c>
      <c r="W395" s="17">
        <f>_xlfn.XLOOKUP($B395,'[1]Jun-25'!$A:$A,'[1]Jun-25'!$H:$H,0)</f>
        <v>1557996.59</v>
      </c>
      <c r="X395" s="17">
        <f>_xlfn.XLOOKUP($B395,'[1]Jul-25'!$A:$A,'[1]Jul-25'!$H:$H,0)</f>
        <v>1584927.11</v>
      </c>
      <c r="Y395" s="17">
        <f>_xlfn.XLOOKUP($B395,'[1]Aug-25'!$A:$A,'[1]Aug-25'!$H:$H,0)</f>
        <v>1584927.11</v>
      </c>
      <c r="Z395" s="17">
        <f>_xlfn.XLOOKUP($B395,'[1]Sep-25'!$A:$A,'[1]Sep-25'!$H:$H,0)</f>
        <v>1638686.22</v>
      </c>
      <c r="AA395" s="17">
        <f>_xlfn.XLOOKUP($B395,'[1]Oct-25'!$A:$A,'[1]Oct-25'!$H:$H,0)</f>
        <v>1638686.22</v>
      </c>
      <c r="AB395" s="17">
        <f>_xlfn.XLOOKUP($B395,'[1]Nov-25'!$A:$A,'[1]Nov-25'!$H:$H,0)</f>
        <v>1638686.22</v>
      </c>
      <c r="AC395" s="17">
        <f>_xlfn.XLOOKUP($B395,'[1]Dec-25'!$A:$A,'[1]Dec-25'!$H:$H,0)</f>
        <v>1638686.22</v>
      </c>
      <c r="AD395" s="17">
        <f>_xlfn.XLOOKUP($B395,'[1]Jan-26'!$A:$A,'[1]Jan-26'!$H:$H,0)</f>
        <v>1638686.22</v>
      </c>
      <c r="AE395" s="17">
        <f>_xlfn.XLOOKUP($B395,'[1]Feb-26'!$A:$A,'[1]Feb-26'!$H:$H,0)</f>
        <v>1638686.22</v>
      </c>
      <c r="AF395" s="17">
        <f>_xlfn.XLOOKUP($B395,'[1]Mar-26'!$A:$A,'[1]Mar-26'!$H:$H,0)</f>
        <v>2458123.41</v>
      </c>
      <c r="AG395" s="17">
        <f>_xlfn.XLOOKUP($B395,'[1]Apr-26'!$A:$A,'[1]Apr-26'!$H:$H,0)</f>
        <v>1638686.22</v>
      </c>
    </row>
    <row r="396" spans="1:33" x14ac:dyDescent="0.2">
      <c r="A396" s="58">
        <v>60090</v>
      </c>
      <c r="B396" s="56" t="str">
        <f t="shared" si="11"/>
        <v>60090</v>
      </c>
      <c r="C396" s="57" t="s">
        <v>565</v>
      </c>
      <c r="D396" s="57" t="s">
        <v>387</v>
      </c>
      <c r="E396" s="44" t="s">
        <v>570</v>
      </c>
      <c r="F396" s="17">
        <f>_xlfn.XLOOKUP($B396,'[1]Jan-24'!$A:$A,'[1]Jan-24'!$H:$H,0)</f>
        <v>0</v>
      </c>
      <c r="G396" s="17">
        <f>_xlfn.XLOOKUP($B396,'[1]Feb-24'!$A:$A,'[1]Feb-24'!$H:$H,0)</f>
        <v>0</v>
      </c>
      <c r="H396" s="17">
        <f>_xlfn.XLOOKUP($B396,'[1]Mar-24'!$A:$A,'[1]Mar-24'!$H:$H,0)</f>
        <v>0</v>
      </c>
      <c r="I396" s="17">
        <f>_xlfn.XLOOKUP($B396,'[1]Apr-24'!$A:$A,'[1]Apr-24'!$H:$H,0)</f>
        <v>509625</v>
      </c>
      <c r="J396" s="17">
        <f>_xlfn.XLOOKUP($B396,'[1]May-24'!$A:$A,'[1]May-24'!$H:$H,0)</f>
        <v>92000</v>
      </c>
      <c r="K396" s="17">
        <f>_xlfn.XLOOKUP($B396,'[1]Jun-24'!$A:$A,'[1]Jun-24'!$H:$H,0)</f>
        <v>1712500</v>
      </c>
      <c r="L396" s="17">
        <f>_xlfn.XLOOKUP($B396,'[1]Jul-24'!$A:$A,'[1]Jul-24'!$H:$H,0)</f>
        <v>0</v>
      </c>
      <c r="M396" s="17">
        <f>_xlfn.XLOOKUP($B396,'[1]Aug-24'!$A:$A,'[1]Aug-24'!$H:$H,0)</f>
        <v>3109047.87</v>
      </c>
      <c r="N396" s="17">
        <f>_xlfn.XLOOKUP($B396,'[1]Sep-24'!$A:$A,'[1]Sep-24'!$H:$H,0)</f>
        <v>36723118.879999995</v>
      </c>
      <c r="O396" s="17">
        <f>_xlfn.XLOOKUP($B396,'[1]Oct-24'!$A:$A,'[1]Oct-24'!$H:$H,0)</f>
        <v>77207205.600000009</v>
      </c>
      <c r="P396" s="17">
        <f>_xlfn.XLOOKUP($B396,'[1]Nov-24'!$A:$A,'[1]Nov-24'!$H:$H,0)</f>
        <v>1767024</v>
      </c>
      <c r="Q396" s="17">
        <f>_xlfn.XLOOKUP($B396,'[1]Dec-24'!$A:$A,'[1]Dec-24'!$H:$H,0)</f>
        <v>0</v>
      </c>
      <c r="R396" s="17">
        <f>_xlfn.XLOOKUP($B396,'[1]Jan-25'!$A:$A,'[1]Jan-25'!$H:$H,0)</f>
        <v>0</v>
      </c>
      <c r="S396" s="17">
        <f>_xlfn.XLOOKUP($B396,'[1]Feb-25'!$A:$A,'[1]Feb-25'!$H:$H,0)</f>
        <v>0</v>
      </c>
      <c r="T396" s="17">
        <f>_xlfn.XLOOKUP($B396,'[1]Mar-25'!$A:$A,'[1]Mar-25'!$H:$H,0)</f>
        <v>612981.38000000012</v>
      </c>
      <c r="U396" s="17">
        <f>_xlfn.XLOOKUP($B396,'[1]Apr-25'!$A:$A,'[1]Apr-25'!$H:$H,0)</f>
        <v>0</v>
      </c>
      <c r="V396" s="17">
        <f>_xlfn.XLOOKUP($B396,'[1]May-25'!$A:$A,'[1]May-25'!$H:$H,0)</f>
        <v>2155000</v>
      </c>
      <c r="W396" s="17">
        <f>_xlfn.XLOOKUP($B396,'[1]Jun-25'!$A:$A,'[1]Jun-25'!$H:$H,0)</f>
        <v>249516.07</v>
      </c>
      <c r="X396" s="17">
        <f>_xlfn.XLOOKUP($B396,'[1]Jul-25'!$A:$A,'[1]Jul-25'!$H:$H,0)</f>
        <v>21238393.780000001</v>
      </c>
      <c r="Y396" s="17">
        <f>_xlfn.XLOOKUP($B396,'[1]Aug-25'!$A:$A,'[1]Aug-25'!$H:$H,0)</f>
        <v>6453767.4100000001</v>
      </c>
      <c r="Z396" s="17">
        <f>_xlfn.XLOOKUP($B396,'[1]Sep-25'!$A:$A,'[1]Sep-25'!$H:$H,0)</f>
        <v>10875660.610000001</v>
      </c>
      <c r="AA396" s="17">
        <f>_xlfn.XLOOKUP($B396,'[1]Oct-25'!$A:$A,'[1]Oct-25'!$H:$H,0)</f>
        <v>20032240.859999999</v>
      </c>
      <c r="AB396" s="17">
        <f>_xlfn.XLOOKUP($B396,'[1]Nov-25'!$A:$A,'[1]Nov-25'!$H:$H,0)</f>
        <v>23696145.18</v>
      </c>
      <c r="AC396" s="17">
        <f>_xlfn.XLOOKUP($B396,'[1]Dec-25'!$A:$A,'[1]Dec-25'!$H:$H,0)</f>
        <v>38888165.900000006</v>
      </c>
      <c r="AD396" s="17">
        <f>_xlfn.XLOOKUP($B396,'[1]Jan-26'!$A:$A,'[1]Jan-26'!$H:$H,0)</f>
        <v>0</v>
      </c>
      <c r="AE396" s="17">
        <f>_xlfn.XLOOKUP($B396,'[1]Feb-26'!$A:$A,'[1]Feb-26'!$H:$H,0)</f>
        <v>0</v>
      </c>
      <c r="AF396" s="17">
        <f>_xlfn.XLOOKUP($B396,'[1]Mar-26'!$A:$A,'[1]Mar-26'!$H:$H,0)</f>
        <v>0</v>
      </c>
      <c r="AG396" s="17">
        <f>_xlfn.XLOOKUP($B396,'[1]Apr-26'!$A:$A,'[1]Apr-26'!$H:$H,0)</f>
        <v>825741.91</v>
      </c>
    </row>
    <row r="397" spans="1:33" x14ac:dyDescent="0.2">
      <c r="A397" s="58">
        <v>60095</v>
      </c>
      <c r="B397" s="56" t="str">
        <f t="shared" ref="B397:B460" si="12">TEXT(A397,"00000")</f>
        <v>60095</v>
      </c>
      <c r="C397" s="57" t="s">
        <v>552</v>
      </c>
      <c r="D397" s="57" t="s">
        <v>387</v>
      </c>
      <c r="E397" s="44" t="s">
        <v>571</v>
      </c>
      <c r="F397" s="17">
        <f>_xlfn.XLOOKUP($B397,'[1]Jan-24'!$A:$A,'[1]Jan-24'!$H:$H,0)</f>
        <v>0</v>
      </c>
      <c r="G397" s="17">
        <f>_xlfn.XLOOKUP($B397,'[1]Feb-24'!$A:$A,'[1]Feb-24'!$H:$H,0)</f>
        <v>0</v>
      </c>
      <c r="H397" s="17">
        <f>_xlfn.XLOOKUP($B397,'[1]Mar-24'!$A:$A,'[1]Mar-24'!$H:$H,0)</f>
        <v>0</v>
      </c>
      <c r="I397" s="17">
        <f>_xlfn.XLOOKUP($B397,'[1]Apr-24'!$A:$A,'[1]Apr-24'!$H:$H,0)</f>
        <v>0</v>
      </c>
      <c r="J397" s="17">
        <f>_xlfn.XLOOKUP($B397,'[1]May-24'!$A:$A,'[1]May-24'!$H:$H,0)</f>
        <v>0</v>
      </c>
      <c r="K397" s="17">
        <f>_xlfn.XLOOKUP($B397,'[1]Jun-24'!$A:$A,'[1]Jun-24'!$H:$H,0)</f>
        <v>0</v>
      </c>
      <c r="L397" s="17">
        <f>_xlfn.XLOOKUP($B397,'[1]Jul-24'!$A:$A,'[1]Jul-24'!$H:$H,0)</f>
        <v>0</v>
      </c>
      <c r="M397" s="17">
        <f>_xlfn.XLOOKUP($B397,'[1]Aug-24'!$A:$A,'[1]Aug-24'!$H:$H,0)</f>
        <v>0</v>
      </c>
      <c r="N397" s="17">
        <f>_xlfn.XLOOKUP($B397,'[1]Sep-24'!$A:$A,'[1]Sep-24'!$H:$H,0)</f>
        <v>0</v>
      </c>
      <c r="O397" s="17">
        <f>_xlfn.XLOOKUP($B397,'[1]Oct-24'!$A:$A,'[1]Oct-24'!$H:$H,0)</f>
        <v>0</v>
      </c>
      <c r="P397" s="17">
        <f>_xlfn.XLOOKUP($B397,'[1]Nov-24'!$A:$A,'[1]Nov-24'!$H:$H,0)</f>
        <v>0</v>
      </c>
      <c r="Q397" s="17">
        <f>_xlfn.XLOOKUP($B397,'[1]Dec-24'!$A:$A,'[1]Dec-24'!$H:$H,0)</f>
        <v>0</v>
      </c>
      <c r="R397" s="17">
        <f>_xlfn.XLOOKUP($B397,'[1]Jan-25'!$A:$A,'[1]Jan-25'!$H:$H,0)</f>
        <v>0</v>
      </c>
      <c r="S397" s="17">
        <f>_xlfn.XLOOKUP($B397,'[1]Feb-25'!$A:$A,'[1]Feb-25'!$H:$H,0)</f>
        <v>0</v>
      </c>
      <c r="T397" s="17">
        <f>_xlfn.XLOOKUP($B397,'[1]Mar-25'!$A:$A,'[1]Mar-25'!$H:$H,0)</f>
        <v>0</v>
      </c>
      <c r="U397" s="17">
        <f>_xlfn.XLOOKUP($B397,'[1]Apr-25'!$A:$A,'[1]Apr-25'!$H:$H,0)</f>
        <v>0</v>
      </c>
      <c r="V397" s="17">
        <f>_xlfn.XLOOKUP($B397,'[1]May-25'!$A:$A,'[1]May-25'!$H:$H,0)</f>
        <v>0</v>
      </c>
      <c r="W397" s="17">
        <f>_xlfn.XLOOKUP($B397,'[1]Jun-25'!$A:$A,'[1]Jun-25'!$H:$H,0)</f>
        <v>0</v>
      </c>
      <c r="X397" s="17">
        <f>_xlfn.XLOOKUP($B397,'[1]Jul-25'!$A:$A,'[1]Jul-25'!$H:$H,0)</f>
        <v>0</v>
      </c>
      <c r="Y397" s="17">
        <f>_xlfn.XLOOKUP($B397,'[1]Aug-25'!$A:$A,'[1]Aug-25'!$H:$H,0)</f>
        <v>0</v>
      </c>
      <c r="Z397" s="17">
        <f>_xlfn.XLOOKUP($B397,'[1]Sep-25'!$A:$A,'[1]Sep-25'!$H:$H,0)</f>
        <v>0</v>
      </c>
      <c r="AA397" s="17">
        <f>_xlfn.XLOOKUP($B397,'[1]Oct-25'!$A:$A,'[1]Oct-25'!$H:$H,0)</f>
        <v>0</v>
      </c>
      <c r="AB397" s="17">
        <f>_xlfn.XLOOKUP($B397,'[1]Nov-25'!$A:$A,'[1]Nov-25'!$H:$H,0)</f>
        <v>0</v>
      </c>
      <c r="AC397" s="17">
        <f>_xlfn.XLOOKUP($B397,'[1]Dec-25'!$A:$A,'[1]Dec-25'!$H:$H,0)</f>
        <v>0</v>
      </c>
      <c r="AD397" s="17">
        <f>_xlfn.XLOOKUP($B397,'[1]Jan-26'!$A:$A,'[1]Jan-26'!$H:$H,0)</f>
        <v>0</v>
      </c>
      <c r="AE397" s="17">
        <f>_xlfn.XLOOKUP($B397,'[1]Feb-26'!$A:$A,'[1]Feb-26'!$H:$H,0)</f>
        <v>-34290</v>
      </c>
      <c r="AF397" s="17">
        <f>_xlfn.XLOOKUP($B397,'[1]Mar-26'!$A:$A,'[1]Mar-26'!$H:$H,0)</f>
        <v>34290</v>
      </c>
      <c r="AG397" s="17">
        <f>_xlfn.XLOOKUP($B397,'[1]Apr-26'!$A:$A,'[1]Apr-26'!$H:$H,0)</f>
        <v>0</v>
      </c>
    </row>
    <row r="398" spans="1:33" x14ac:dyDescent="0.2">
      <c r="A398" s="58">
        <v>60096</v>
      </c>
      <c r="B398" s="56" t="str">
        <f t="shared" si="12"/>
        <v>60096</v>
      </c>
      <c r="C398" s="57" t="s">
        <v>572</v>
      </c>
      <c r="D398" s="57" t="s">
        <v>387</v>
      </c>
      <c r="E398" s="44" t="s">
        <v>573</v>
      </c>
      <c r="F398" s="17">
        <f>_xlfn.XLOOKUP($B398,'[1]Jan-24'!$A:$A,'[1]Jan-24'!$H:$H,0)</f>
        <v>0</v>
      </c>
      <c r="G398" s="17">
        <f>_xlfn.XLOOKUP($B398,'[1]Feb-24'!$A:$A,'[1]Feb-24'!$H:$H,0)</f>
        <v>0</v>
      </c>
      <c r="H398" s="17">
        <f>_xlfn.XLOOKUP($B398,'[1]Mar-24'!$A:$A,'[1]Mar-24'!$H:$H,0)</f>
        <v>0</v>
      </c>
      <c r="I398" s="17">
        <f>_xlfn.XLOOKUP($B398,'[1]Apr-24'!$A:$A,'[1]Apr-24'!$H:$H,0)</f>
        <v>0</v>
      </c>
      <c r="J398" s="17">
        <f>_xlfn.XLOOKUP($B398,'[1]May-24'!$A:$A,'[1]May-24'!$H:$H,0)</f>
        <v>0</v>
      </c>
      <c r="K398" s="17">
        <f>_xlfn.XLOOKUP($B398,'[1]Jun-24'!$A:$A,'[1]Jun-24'!$H:$H,0)</f>
        <v>0</v>
      </c>
      <c r="L398" s="17">
        <f>_xlfn.XLOOKUP($B398,'[1]Jul-24'!$A:$A,'[1]Jul-24'!$H:$H,0)</f>
        <v>0</v>
      </c>
      <c r="M398" s="17">
        <f>_xlfn.XLOOKUP($B398,'[1]Aug-24'!$A:$A,'[1]Aug-24'!$H:$H,0)</f>
        <v>0</v>
      </c>
      <c r="N398" s="17">
        <f>_xlfn.XLOOKUP($B398,'[1]Sep-24'!$A:$A,'[1]Sep-24'!$H:$H,0)</f>
        <v>0</v>
      </c>
      <c r="O398" s="17">
        <f>_xlfn.XLOOKUP($B398,'[1]Oct-24'!$A:$A,'[1]Oct-24'!$H:$H,0)</f>
        <v>0</v>
      </c>
      <c r="P398" s="17">
        <f>_xlfn.XLOOKUP($B398,'[1]Nov-24'!$A:$A,'[1]Nov-24'!$H:$H,0)</f>
        <v>0</v>
      </c>
      <c r="Q398" s="17">
        <f>_xlfn.XLOOKUP($B398,'[1]Dec-24'!$A:$A,'[1]Dec-24'!$H:$H,0)</f>
        <v>0</v>
      </c>
      <c r="R398" s="17">
        <f>_xlfn.XLOOKUP($B398,'[1]Jan-25'!$A:$A,'[1]Jan-25'!$H:$H,0)</f>
        <v>0</v>
      </c>
      <c r="S398" s="17">
        <f>_xlfn.XLOOKUP($B398,'[1]Feb-25'!$A:$A,'[1]Feb-25'!$H:$H,0)</f>
        <v>0</v>
      </c>
      <c r="T398" s="17">
        <f>_xlfn.XLOOKUP($B398,'[1]Mar-25'!$A:$A,'[1]Mar-25'!$H:$H,0)</f>
        <v>0</v>
      </c>
      <c r="U398" s="17">
        <f>_xlfn.XLOOKUP($B398,'[1]Apr-25'!$A:$A,'[1]Apr-25'!$H:$H,0)</f>
        <v>0</v>
      </c>
      <c r="V398" s="17">
        <f>_xlfn.XLOOKUP($B398,'[1]May-25'!$A:$A,'[1]May-25'!$H:$H,0)</f>
        <v>0</v>
      </c>
      <c r="W398" s="17">
        <f>_xlfn.XLOOKUP($B398,'[1]Jun-25'!$A:$A,'[1]Jun-25'!$H:$H,0)</f>
        <v>0</v>
      </c>
      <c r="X398" s="17">
        <f>_xlfn.XLOOKUP($B398,'[1]Jul-25'!$A:$A,'[1]Jul-25'!$H:$H,0)</f>
        <v>0</v>
      </c>
      <c r="Y398" s="17">
        <f>_xlfn.XLOOKUP($B398,'[1]Aug-25'!$A:$A,'[1]Aug-25'!$H:$H,0)</f>
        <v>0</v>
      </c>
      <c r="Z398" s="17">
        <f>_xlfn.XLOOKUP($B398,'[1]Sep-25'!$A:$A,'[1]Sep-25'!$H:$H,0)</f>
        <v>0</v>
      </c>
      <c r="AA398" s="17">
        <f>_xlfn.XLOOKUP($B398,'[1]Oct-25'!$A:$A,'[1]Oct-25'!$H:$H,0)</f>
        <v>0</v>
      </c>
      <c r="AB398" s="17">
        <f>_xlfn.XLOOKUP($B398,'[1]Nov-25'!$A:$A,'[1]Nov-25'!$H:$H,0)</f>
        <v>0</v>
      </c>
      <c r="AC398" s="17">
        <f>_xlfn.XLOOKUP($B398,'[1]Dec-25'!$A:$A,'[1]Dec-25'!$H:$H,0)</f>
        <v>0</v>
      </c>
      <c r="AD398" s="17">
        <f>_xlfn.XLOOKUP($B398,'[1]Jan-26'!$A:$A,'[1]Jan-26'!$H:$H,0)</f>
        <v>0</v>
      </c>
      <c r="AE398" s="17">
        <f>_xlfn.XLOOKUP($B398,'[1]Feb-26'!$A:$A,'[1]Feb-26'!$H:$H,0)</f>
        <v>0</v>
      </c>
      <c r="AF398" s="17">
        <f>_xlfn.XLOOKUP($B398,'[1]Mar-26'!$A:$A,'[1]Mar-26'!$H:$H,0)</f>
        <v>0</v>
      </c>
      <c r="AG398" s="17">
        <f>_xlfn.XLOOKUP($B398,'[1]Apr-26'!$A:$A,'[1]Apr-26'!$H:$H,0)</f>
        <v>0</v>
      </c>
    </row>
    <row r="399" spans="1:33" x14ac:dyDescent="0.2">
      <c r="A399" s="58">
        <v>60100</v>
      </c>
      <c r="B399" s="56" t="str">
        <f t="shared" si="12"/>
        <v>60100</v>
      </c>
      <c r="C399" s="57" t="s">
        <v>574</v>
      </c>
      <c r="D399" s="57" t="s">
        <v>387</v>
      </c>
      <c r="E399" s="44" t="s">
        <v>575</v>
      </c>
      <c r="F399" s="17">
        <f>_xlfn.XLOOKUP($B399,'[1]Jan-24'!$A:$A,'[1]Jan-24'!$H:$H,0)</f>
        <v>1138620</v>
      </c>
      <c r="G399" s="17">
        <f>_xlfn.XLOOKUP($B399,'[1]Feb-24'!$A:$A,'[1]Feb-24'!$H:$H,0)</f>
        <v>858676.1100000001</v>
      </c>
      <c r="H399" s="17">
        <f>_xlfn.XLOOKUP($B399,'[1]Mar-24'!$A:$A,'[1]Mar-24'!$H:$H,0)</f>
        <v>411374</v>
      </c>
      <c r="I399" s="17">
        <f>_xlfn.XLOOKUP($B399,'[1]Apr-24'!$A:$A,'[1]Apr-24'!$H:$H,0)</f>
        <v>7762863.21</v>
      </c>
      <c r="J399" s="17">
        <f>_xlfn.XLOOKUP($B399,'[1]May-24'!$A:$A,'[1]May-24'!$H:$H,0)</f>
        <v>730384.3</v>
      </c>
      <c r="K399" s="17">
        <f>_xlfn.XLOOKUP($B399,'[1]Jun-24'!$A:$A,'[1]Jun-24'!$H:$H,0)</f>
        <v>390728.75</v>
      </c>
      <c r="L399" s="17">
        <f>_xlfn.XLOOKUP($B399,'[1]Jul-24'!$A:$A,'[1]Jul-24'!$H:$H,0)</f>
        <v>647811.31999999995</v>
      </c>
      <c r="M399" s="17">
        <f>_xlfn.XLOOKUP($B399,'[1]Aug-24'!$A:$A,'[1]Aug-24'!$H:$H,0)</f>
        <v>869252.52</v>
      </c>
      <c r="N399" s="17">
        <f>_xlfn.XLOOKUP($B399,'[1]Sep-24'!$A:$A,'[1]Sep-24'!$H:$H,0)</f>
        <v>559006.02</v>
      </c>
      <c r="O399" s="17">
        <f>_xlfn.XLOOKUP($B399,'[1]Oct-24'!$A:$A,'[1]Oct-24'!$H:$H,0)</f>
        <v>28651003.699999999</v>
      </c>
      <c r="P399" s="17">
        <f>_xlfn.XLOOKUP($B399,'[1]Nov-24'!$A:$A,'[1]Nov-24'!$H:$H,0)</f>
        <v>23325735.479999997</v>
      </c>
      <c r="Q399" s="17">
        <f>_xlfn.XLOOKUP($B399,'[1]Dec-24'!$A:$A,'[1]Dec-24'!$H:$H,0)</f>
        <v>28236736.079999998</v>
      </c>
      <c r="R399" s="17">
        <f>_xlfn.XLOOKUP($B399,'[1]Jan-25'!$A:$A,'[1]Jan-25'!$H:$H,0)</f>
        <v>13726625.68</v>
      </c>
      <c r="S399" s="17">
        <f>_xlfn.XLOOKUP($B399,'[1]Feb-25'!$A:$A,'[1]Feb-25'!$H:$H,0)</f>
        <v>13081364.920000002</v>
      </c>
      <c r="T399" s="17">
        <f>_xlfn.XLOOKUP($B399,'[1]Mar-25'!$A:$A,'[1]Mar-25'!$H:$H,0)</f>
        <v>16123847.779999999</v>
      </c>
      <c r="U399" s="17">
        <f>_xlfn.XLOOKUP($B399,'[1]Apr-25'!$A:$A,'[1]Apr-25'!$H:$H,0)</f>
        <v>12391978.4</v>
      </c>
      <c r="V399" s="17">
        <f>_xlfn.XLOOKUP($B399,'[1]May-25'!$A:$A,'[1]May-25'!$H:$H,0)</f>
        <v>10017669.949999999</v>
      </c>
      <c r="W399" s="17">
        <f>_xlfn.XLOOKUP($B399,'[1]Jun-25'!$A:$A,'[1]Jun-25'!$H:$H,0)</f>
        <v>84803.94</v>
      </c>
      <c r="X399" s="17">
        <f>_xlfn.XLOOKUP($B399,'[1]Jul-25'!$A:$A,'[1]Jul-25'!$H:$H,0)</f>
        <v>291721.33</v>
      </c>
      <c r="Y399" s="17">
        <f>_xlfn.XLOOKUP($B399,'[1]Aug-25'!$A:$A,'[1]Aug-25'!$H:$H,0)</f>
        <v>221278.7</v>
      </c>
      <c r="Z399" s="17">
        <f>_xlfn.XLOOKUP($B399,'[1]Sep-25'!$A:$A,'[1]Sep-25'!$H:$H,0)</f>
        <v>784810.01</v>
      </c>
      <c r="AA399" s="17">
        <f>_xlfn.XLOOKUP($B399,'[1]Oct-25'!$A:$A,'[1]Oct-25'!$H:$H,0)</f>
        <v>2729434.73</v>
      </c>
      <c r="AB399" s="17">
        <f>_xlfn.XLOOKUP($B399,'[1]Nov-25'!$A:$A,'[1]Nov-25'!$H:$H,0)</f>
        <v>23159528</v>
      </c>
      <c r="AC399" s="17">
        <f>_xlfn.XLOOKUP($B399,'[1]Dec-25'!$A:$A,'[1]Dec-25'!$H:$H,0)</f>
        <v>2890133</v>
      </c>
      <c r="AD399" s="17">
        <f>_xlfn.XLOOKUP($B399,'[1]Jan-26'!$A:$A,'[1]Jan-26'!$H:$H,0)</f>
        <v>3100000</v>
      </c>
      <c r="AE399" s="17">
        <f>_xlfn.XLOOKUP($B399,'[1]Feb-26'!$A:$A,'[1]Feb-26'!$H:$H,0)</f>
        <v>0</v>
      </c>
      <c r="AF399" s="17">
        <f>_xlfn.XLOOKUP($B399,'[1]Mar-26'!$A:$A,'[1]Mar-26'!$H:$H,0)</f>
        <v>0</v>
      </c>
      <c r="AG399" s="17">
        <f>_xlfn.XLOOKUP($B399,'[1]Apr-26'!$A:$A,'[1]Apr-26'!$H:$H,0)</f>
        <v>0</v>
      </c>
    </row>
    <row r="400" spans="1:33" x14ac:dyDescent="0.2">
      <c r="A400" s="58">
        <v>60110</v>
      </c>
      <c r="B400" s="56" t="str">
        <f t="shared" si="12"/>
        <v>60110</v>
      </c>
      <c r="C400" s="57" t="s">
        <v>574</v>
      </c>
      <c r="D400" s="57" t="s">
        <v>387</v>
      </c>
      <c r="E400" s="44" t="s">
        <v>576</v>
      </c>
      <c r="F400" s="17">
        <f>_xlfn.XLOOKUP($B400,'[1]Jan-24'!$A:$A,'[1]Jan-24'!$H:$H,0)</f>
        <v>0</v>
      </c>
      <c r="G400" s="17">
        <f>_xlfn.XLOOKUP($B400,'[1]Feb-24'!$A:$A,'[1]Feb-24'!$H:$H,0)</f>
        <v>0</v>
      </c>
      <c r="H400" s="17">
        <f>_xlfn.XLOOKUP($B400,'[1]Mar-24'!$A:$A,'[1]Mar-24'!$H:$H,0)</f>
        <v>0</v>
      </c>
      <c r="I400" s="17">
        <f>_xlfn.XLOOKUP($B400,'[1]Apr-24'!$A:$A,'[1]Apr-24'!$H:$H,0)</f>
        <v>0</v>
      </c>
      <c r="J400" s="17">
        <f>_xlfn.XLOOKUP($B400,'[1]May-24'!$A:$A,'[1]May-24'!$H:$H,0)</f>
        <v>33000</v>
      </c>
      <c r="K400" s="17">
        <f>_xlfn.XLOOKUP($B400,'[1]Jun-24'!$A:$A,'[1]Jun-24'!$H:$H,0)</f>
        <v>0</v>
      </c>
      <c r="L400" s="17">
        <f>_xlfn.XLOOKUP($B400,'[1]Jul-24'!$A:$A,'[1]Jul-24'!$H:$H,0)</f>
        <v>3000000</v>
      </c>
      <c r="M400" s="17">
        <f>_xlfn.XLOOKUP($B400,'[1]Aug-24'!$A:$A,'[1]Aug-24'!$H:$H,0)</f>
        <v>0</v>
      </c>
      <c r="N400" s="17">
        <f>_xlfn.XLOOKUP($B400,'[1]Sep-24'!$A:$A,'[1]Sep-24'!$H:$H,0)</f>
        <v>150000</v>
      </c>
      <c r="O400" s="17">
        <f>_xlfn.XLOOKUP($B400,'[1]Oct-24'!$A:$A,'[1]Oct-24'!$H:$H,0)</f>
        <v>0</v>
      </c>
      <c r="P400" s="17">
        <f>_xlfn.XLOOKUP($B400,'[1]Nov-24'!$A:$A,'[1]Nov-24'!$H:$H,0)</f>
        <v>1000</v>
      </c>
      <c r="Q400" s="17">
        <f>_xlfn.XLOOKUP($B400,'[1]Dec-24'!$A:$A,'[1]Dec-24'!$H:$H,0)</f>
        <v>0</v>
      </c>
      <c r="R400" s="17">
        <f>_xlfn.XLOOKUP($B400,'[1]Jan-25'!$A:$A,'[1]Jan-25'!$H:$H,0)</f>
        <v>0</v>
      </c>
      <c r="S400" s="17">
        <f>_xlfn.XLOOKUP($B400,'[1]Feb-25'!$A:$A,'[1]Feb-25'!$H:$H,0)</f>
        <v>0</v>
      </c>
      <c r="T400" s="17">
        <f>_xlfn.XLOOKUP($B400,'[1]Mar-25'!$A:$A,'[1]Mar-25'!$H:$H,0)</f>
        <v>0</v>
      </c>
      <c r="U400" s="17">
        <f>_xlfn.XLOOKUP($B400,'[1]Apr-25'!$A:$A,'[1]Apr-25'!$H:$H,0)</f>
        <v>808400</v>
      </c>
      <c r="V400" s="17">
        <f>_xlfn.XLOOKUP($B400,'[1]May-25'!$A:$A,'[1]May-25'!$H:$H,0)</f>
        <v>0</v>
      </c>
      <c r="W400" s="17">
        <f>_xlfn.XLOOKUP($B400,'[1]Jun-25'!$A:$A,'[1]Jun-25'!$H:$H,0)</f>
        <v>0</v>
      </c>
      <c r="X400" s="17">
        <f>_xlfn.XLOOKUP($B400,'[1]Jul-25'!$A:$A,'[1]Jul-25'!$H:$H,0)</f>
        <v>0</v>
      </c>
      <c r="Y400" s="17">
        <f>_xlfn.XLOOKUP($B400,'[1]Aug-25'!$A:$A,'[1]Aug-25'!$H:$H,0)</f>
        <v>0</v>
      </c>
      <c r="Z400" s="17">
        <f>_xlfn.XLOOKUP($B400,'[1]Sep-25'!$A:$A,'[1]Sep-25'!$H:$H,0)</f>
        <v>0</v>
      </c>
      <c r="AA400" s="17">
        <f>_xlfn.XLOOKUP($B400,'[1]Oct-25'!$A:$A,'[1]Oct-25'!$H:$H,0)</f>
        <v>0</v>
      </c>
      <c r="AB400" s="17">
        <f>_xlfn.XLOOKUP($B400,'[1]Nov-25'!$A:$A,'[1]Nov-25'!$H:$H,0)</f>
        <v>0</v>
      </c>
      <c r="AC400" s="17">
        <f>_xlfn.XLOOKUP($B400,'[1]Dec-25'!$A:$A,'[1]Dec-25'!$H:$H,0)</f>
        <v>4669250</v>
      </c>
      <c r="AD400" s="17">
        <f>_xlfn.XLOOKUP($B400,'[1]Jan-26'!$A:$A,'[1]Jan-26'!$H:$H,0)</f>
        <v>0</v>
      </c>
      <c r="AE400" s="17">
        <f>_xlfn.XLOOKUP($B400,'[1]Feb-26'!$A:$A,'[1]Feb-26'!$H:$H,0)</f>
        <v>0</v>
      </c>
      <c r="AF400" s="17">
        <f>_xlfn.XLOOKUP($B400,'[1]Mar-26'!$A:$A,'[1]Mar-26'!$H:$H,0)</f>
        <v>200000</v>
      </c>
      <c r="AG400" s="17">
        <f>_xlfn.XLOOKUP($B400,'[1]Apr-26'!$A:$A,'[1]Apr-26'!$H:$H,0)</f>
        <v>0</v>
      </c>
    </row>
    <row r="401" spans="1:33" x14ac:dyDescent="0.2">
      <c r="A401" s="58">
        <v>60115</v>
      </c>
      <c r="B401" s="56" t="str">
        <f t="shared" si="12"/>
        <v>60115</v>
      </c>
      <c r="C401" s="57" t="s">
        <v>574</v>
      </c>
      <c r="D401" s="57" t="s">
        <v>387</v>
      </c>
      <c r="E401" s="44" t="s">
        <v>577</v>
      </c>
      <c r="F401" s="17">
        <f>_xlfn.XLOOKUP($B401,'[1]Jan-24'!$A:$A,'[1]Jan-24'!$H:$H,0)</f>
        <v>0</v>
      </c>
      <c r="G401" s="17">
        <f>_xlfn.XLOOKUP($B401,'[1]Feb-24'!$A:$A,'[1]Feb-24'!$H:$H,0)</f>
        <v>3345136.41</v>
      </c>
      <c r="H401" s="17">
        <f>_xlfn.XLOOKUP($B401,'[1]Mar-24'!$A:$A,'[1]Mar-24'!$H:$H,0)</f>
        <v>1020555</v>
      </c>
      <c r="I401" s="17">
        <f>_xlfn.XLOOKUP($B401,'[1]Apr-24'!$A:$A,'[1]Apr-24'!$H:$H,0)</f>
        <v>18522509.600000001</v>
      </c>
      <c r="J401" s="17">
        <f>_xlfn.XLOOKUP($B401,'[1]May-24'!$A:$A,'[1]May-24'!$H:$H,0)</f>
        <v>3764359.1</v>
      </c>
      <c r="K401" s="17">
        <f>_xlfn.XLOOKUP($B401,'[1]Jun-24'!$A:$A,'[1]Jun-24'!$H:$H,0)</f>
        <v>0</v>
      </c>
      <c r="L401" s="17">
        <f>_xlfn.XLOOKUP($B401,'[1]Jul-24'!$A:$A,'[1]Jul-24'!$H:$H,0)</f>
        <v>0</v>
      </c>
      <c r="M401" s="17">
        <f>_xlfn.XLOOKUP($B401,'[1]Aug-24'!$A:$A,'[1]Aug-24'!$H:$H,0)</f>
        <v>1667180.15</v>
      </c>
      <c r="N401" s="17">
        <f>_xlfn.XLOOKUP($B401,'[1]Sep-24'!$A:$A,'[1]Sep-24'!$H:$H,0)</f>
        <v>1449672</v>
      </c>
      <c r="O401" s="17">
        <f>_xlfn.XLOOKUP($B401,'[1]Oct-24'!$A:$A,'[1]Oct-24'!$H:$H,0)</f>
        <v>0</v>
      </c>
      <c r="P401" s="17">
        <f>_xlfn.XLOOKUP($B401,'[1]Nov-24'!$A:$A,'[1]Nov-24'!$H:$H,0)</f>
        <v>2000000</v>
      </c>
      <c r="Q401" s="17">
        <f>_xlfn.XLOOKUP($B401,'[1]Dec-24'!$A:$A,'[1]Dec-24'!$H:$H,0)</f>
        <v>773475</v>
      </c>
      <c r="R401" s="17">
        <f>_xlfn.XLOOKUP($B401,'[1]Jan-25'!$A:$A,'[1]Jan-25'!$H:$H,0)</f>
        <v>5047390.3099999996</v>
      </c>
      <c r="S401" s="17">
        <f>_xlfn.XLOOKUP($B401,'[1]Feb-25'!$A:$A,'[1]Feb-25'!$H:$H,0)</f>
        <v>27401838.109999999</v>
      </c>
      <c r="T401" s="17">
        <f>_xlfn.XLOOKUP($B401,'[1]Mar-25'!$A:$A,'[1]Mar-25'!$H:$H,0)</f>
        <v>23148812.970000003</v>
      </c>
      <c r="U401" s="17">
        <f>_xlfn.XLOOKUP($B401,'[1]Apr-25'!$A:$A,'[1]Apr-25'!$H:$H,0)</f>
        <v>27129960.550000001</v>
      </c>
      <c r="V401" s="17">
        <f>_xlfn.XLOOKUP($B401,'[1]May-25'!$A:$A,'[1]May-25'!$H:$H,0)</f>
        <v>29465282.77</v>
      </c>
      <c r="W401" s="17">
        <f>_xlfn.XLOOKUP($B401,'[1]Jun-25'!$A:$A,'[1]Jun-25'!$H:$H,0)</f>
        <v>50000</v>
      </c>
      <c r="X401" s="17">
        <f>_xlfn.XLOOKUP($B401,'[1]Jul-25'!$A:$A,'[1]Jul-25'!$H:$H,0)</f>
        <v>834413.28</v>
      </c>
      <c r="Y401" s="17">
        <f>_xlfn.XLOOKUP($B401,'[1]Aug-25'!$A:$A,'[1]Aug-25'!$H:$H,0)</f>
        <v>14952794.720000001</v>
      </c>
      <c r="Z401" s="17">
        <f>_xlfn.XLOOKUP($B401,'[1]Sep-25'!$A:$A,'[1]Sep-25'!$H:$H,0)</f>
        <v>31540268.07</v>
      </c>
      <c r="AA401" s="17">
        <f>_xlfn.XLOOKUP($B401,'[1]Oct-25'!$A:$A,'[1]Oct-25'!$H:$H,0)</f>
        <v>19327231.59</v>
      </c>
      <c r="AB401" s="17">
        <f>_xlfn.XLOOKUP($B401,'[1]Nov-25'!$A:$A,'[1]Nov-25'!$H:$H,0)</f>
        <v>28100552.799999997</v>
      </c>
      <c r="AC401" s="17">
        <f>_xlfn.XLOOKUP($B401,'[1]Dec-25'!$A:$A,'[1]Dec-25'!$H:$H,0)</f>
        <v>8000</v>
      </c>
      <c r="AD401" s="17">
        <f>_xlfn.XLOOKUP($B401,'[1]Jan-26'!$A:$A,'[1]Jan-26'!$H:$H,0)</f>
        <v>1500000</v>
      </c>
      <c r="AE401" s="17">
        <f>_xlfn.XLOOKUP($B401,'[1]Feb-26'!$A:$A,'[1]Feb-26'!$H:$H,0)</f>
        <v>19560383.16</v>
      </c>
      <c r="AF401" s="17">
        <f>_xlfn.XLOOKUP($B401,'[1]Mar-26'!$A:$A,'[1]Mar-26'!$H:$H,0)</f>
        <v>19809264.170000002</v>
      </c>
      <c r="AG401" s="17">
        <f>_xlfn.XLOOKUP($B401,'[1]Apr-26'!$A:$A,'[1]Apr-26'!$H:$H,0)</f>
        <v>0</v>
      </c>
    </row>
    <row r="402" spans="1:33" x14ac:dyDescent="0.2">
      <c r="A402" s="58">
        <v>60120</v>
      </c>
      <c r="B402" s="56" t="str">
        <f t="shared" si="12"/>
        <v>60120</v>
      </c>
      <c r="C402" s="57" t="s">
        <v>574</v>
      </c>
      <c r="D402" s="57" t="s">
        <v>387</v>
      </c>
      <c r="E402" s="44" t="s">
        <v>578</v>
      </c>
      <c r="F402" s="17">
        <f>_xlfn.XLOOKUP($B402,'[1]Jan-24'!$A:$A,'[1]Jan-24'!$H:$H,0)</f>
        <v>0</v>
      </c>
      <c r="G402" s="17">
        <f>_xlfn.XLOOKUP($B402,'[1]Feb-24'!$A:$A,'[1]Feb-24'!$H:$H,0)</f>
        <v>0</v>
      </c>
      <c r="H402" s="17">
        <f>_xlfn.XLOOKUP($B402,'[1]Mar-24'!$A:$A,'[1]Mar-24'!$H:$H,0)</f>
        <v>0</v>
      </c>
      <c r="I402" s="17">
        <f>_xlfn.XLOOKUP($B402,'[1]Apr-24'!$A:$A,'[1]Apr-24'!$H:$H,0)</f>
        <v>0</v>
      </c>
      <c r="J402" s="17">
        <f>_xlfn.XLOOKUP($B402,'[1]May-24'!$A:$A,'[1]May-24'!$H:$H,0)</f>
        <v>0</v>
      </c>
      <c r="K402" s="17">
        <f>_xlfn.XLOOKUP($B402,'[1]Jun-24'!$A:$A,'[1]Jun-24'!$H:$H,0)</f>
        <v>0</v>
      </c>
      <c r="L402" s="17">
        <f>_xlfn.XLOOKUP($B402,'[1]Jul-24'!$A:$A,'[1]Jul-24'!$H:$H,0)</f>
        <v>0</v>
      </c>
      <c r="M402" s="17">
        <f>_xlfn.XLOOKUP($B402,'[1]Aug-24'!$A:$A,'[1]Aug-24'!$H:$H,0)</f>
        <v>0</v>
      </c>
      <c r="N402" s="17">
        <f>_xlfn.XLOOKUP($B402,'[1]Sep-24'!$A:$A,'[1]Sep-24'!$H:$H,0)</f>
        <v>0</v>
      </c>
      <c r="O402" s="17">
        <f>_xlfn.XLOOKUP($B402,'[1]Oct-24'!$A:$A,'[1]Oct-24'!$H:$H,0)</f>
        <v>0</v>
      </c>
      <c r="P402" s="17">
        <f>_xlfn.XLOOKUP($B402,'[1]Nov-24'!$A:$A,'[1]Nov-24'!$H:$H,0)</f>
        <v>0</v>
      </c>
      <c r="Q402" s="17">
        <f>_xlfn.XLOOKUP($B402,'[1]Dec-24'!$A:$A,'[1]Dec-24'!$H:$H,0)</f>
        <v>0</v>
      </c>
      <c r="R402" s="17">
        <f>_xlfn.XLOOKUP($B402,'[1]Jan-25'!$A:$A,'[1]Jan-25'!$H:$H,0)</f>
        <v>0</v>
      </c>
      <c r="S402" s="17">
        <f>_xlfn.XLOOKUP($B402,'[1]Feb-25'!$A:$A,'[1]Feb-25'!$H:$H,0)</f>
        <v>0</v>
      </c>
      <c r="T402" s="17">
        <f>_xlfn.XLOOKUP($B402,'[1]Mar-25'!$A:$A,'[1]Mar-25'!$H:$H,0)</f>
        <v>0</v>
      </c>
      <c r="U402" s="17">
        <f>_xlfn.XLOOKUP($B402,'[1]Apr-25'!$A:$A,'[1]Apr-25'!$H:$H,0)</f>
        <v>0</v>
      </c>
      <c r="V402" s="17">
        <f>_xlfn.XLOOKUP($B402,'[1]May-25'!$A:$A,'[1]May-25'!$H:$H,0)</f>
        <v>0</v>
      </c>
      <c r="W402" s="17">
        <f>_xlfn.XLOOKUP($B402,'[1]Jun-25'!$A:$A,'[1]Jun-25'!$H:$H,0)</f>
        <v>0</v>
      </c>
      <c r="X402" s="17">
        <f>_xlfn.XLOOKUP($B402,'[1]Jul-25'!$A:$A,'[1]Jul-25'!$H:$H,0)</f>
        <v>0</v>
      </c>
      <c r="Y402" s="17">
        <f>_xlfn.XLOOKUP($B402,'[1]Aug-25'!$A:$A,'[1]Aug-25'!$H:$H,0)</f>
        <v>0</v>
      </c>
      <c r="Z402" s="17">
        <f>_xlfn.XLOOKUP($B402,'[1]Sep-25'!$A:$A,'[1]Sep-25'!$H:$H,0)</f>
        <v>0</v>
      </c>
      <c r="AA402" s="17">
        <f>_xlfn.XLOOKUP($B402,'[1]Oct-25'!$A:$A,'[1]Oct-25'!$H:$H,0)</f>
        <v>0</v>
      </c>
      <c r="AB402" s="17">
        <f>_xlfn.XLOOKUP($B402,'[1]Nov-25'!$A:$A,'[1]Nov-25'!$H:$H,0)</f>
        <v>0</v>
      </c>
      <c r="AC402" s="17">
        <f>_xlfn.XLOOKUP($B402,'[1]Dec-25'!$A:$A,'[1]Dec-25'!$H:$H,0)</f>
        <v>0</v>
      </c>
      <c r="AD402" s="17">
        <f>_xlfn.XLOOKUP($B402,'[1]Jan-26'!$A:$A,'[1]Jan-26'!$H:$H,0)</f>
        <v>0</v>
      </c>
      <c r="AE402" s="17">
        <f>_xlfn.XLOOKUP($B402,'[1]Feb-26'!$A:$A,'[1]Feb-26'!$H:$H,0)</f>
        <v>0</v>
      </c>
      <c r="AF402" s="17">
        <f>_xlfn.XLOOKUP($B402,'[1]Mar-26'!$A:$A,'[1]Mar-26'!$H:$H,0)</f>
        <v>0</v>
      </c>
      <c r="AG402" s="17">
        <f>_xlfn.XLOOKUP($B402,'[1]Apr-26'!$A:$A,'[1]Apr-26'!$H:$H,0)</f>
        <v>0</v>
      </c>
    </row>
    <row r="403" spans="1:33" x14ac:dyDescent="0.2">
      <c r="A403" s="58">
        <v>60125</v>
      </c>
      <c r="B403" s="56" t="str">
        <f t="shared" si="12"/>
        <v>60125</v>
      </c>
      <c r="C403" s="57" t="s">
        <v>574</v>
      </c>
      <c r="D403" s="57" t="s">
        <v>387</v>
      </c>
      <c r="E403" s="44" t="s">
        <v>579</v>
      </c>
      <c r="F403" s="17">
        <f>_xlfn.XLOOKUP($B403,'[1]Jan-24'!$A:$A,'[1]Jan-24'!$H:$H,0)</f>
        <v>0</v>
      </c>
      <c r="G403" s="17">
        <f>_xlfn.XLOOKUP($B403,'[1]Feb-24'!$A:$A,'[1]Feb-24'!$H:$H,0)</f>
        <v>0</v>
      </c>
      <c r="H403" s="17">
        <f>_xlfn.XLOOKUP($B403,'[1]Mar-24'!$A:$A,'[1]Mar-24'!$H:$H,0)</f>
        <v>0</v>
      </c>
      <c r="I403" s="17">
        <f>_xlfn.XLOOKUP($B403,'[1]Apr-24'!$A:$A,'[1]Apr-24'!$H:$H,0)</f>
        <v>0</v>
      </c>
      <c r="J403" s="17">
        <f>_xlfn.XLOOKUP($B403,'[1]May-24'!$A:$A,'[1]May-24'!$H:$H,0)</f>
        <v>0</v>
      </c>
      <c r="K403" s="17">
        <f>_xlfn.XLOOKUP($B403,'[1]Jun-24'!$A:$A,'[1]Jun-24'!$H:$H,0)</f>
        <v>0</v>
      </c>
      <c r="L403" s="17">
        <f>_xlfn.XLOOKUP($B403,'[1]Jul-24'!$A:$A,'[1]Jul-24'!$H:$H,0)</f>
        <v>0</v>
      </c>
      <c r="M403" s="17">
        <f>_xlfn.XLOOKUP($B403,'[1]Aug-24'!$A:$A,'[1]Aug-24'!$H:$H,0)</f>
        <v>0</v>
      </c>
      <c r="N403" s="17">
        <f>_xlfn.XLOOKUP($B403,'[1]Sep-24'!$A:$A,'[1]Sep-24'!$H:$H,0)</f>
        <v>0</v>
      </c>
      <c r="O403" s="17">
        <f>_xlfn.XLOOKUP($B403,'[1]Oct-24'!$A:$A,'[1]Oct-24'!$H:$H,0)</f>
        <v>-154000</v>
      </c>
      <c r="P403" s="17">
        <f>_xlfn.XLOOKUP($B403,'[1]Nov-24'!$A:$A,'[1]Nov-24'!$H:$H,0)</f>
        <v>80270109</v>
      </c>
      <c r="Q403" s="17">
        <f>_xlfn.XLOOKUP($B403,'[1]Dec-24'!$A:$A,'[1]Dec-24'!$H:$H,0)</f>
        <v>0</v>
      </c>
      <c r="R403" s="17">
        <f>_xlfn.XLOOKUP($B403,'[1]Jan-25'!$A:$A,'[1]Jan-25'!$H:$H,0)</f>
        <v>0</v>
      </c>
      <c r="S403" s="17">
        <f>_xlfn.XLOOKUP($B403,'[1]Feb-25'!$A:$A,'[1]Feb-25'!$H:$H,0)</f>
        <v>42770583.329999998</v>
      </c>
      <c r="T403" s="17">
        <f>_xlfn.XLOOKUP($B403,'[1]Mar-25'!$A:$A,'[1]Mar-25'!$H:$H,0)</f>
        <v>20127333.329999998</v>
      </c>
      <c r="U403" s="17">
        <f>_xlfn.XLOOKUP($B403,'[1]Apr-25'!$A:$A,'[1]Apr-25'!$H:$H,0)</f>
        <v>20127333.34</v>
      </c>
      <c r="V403" s="17">
        <f>_xlfn.XLOOKUP($B403,'[1]May-25'!$A:$A,'[1]May-25'!$H:$H,0)</f>
        <v>0</v>
      </c>
      <c r="W403" s="17">
        <f>_xlfn.XLOOKUP($B403,'[1]Jun-25'!$A:$A,'[1]Jun-25'!$H:$H,0)</f>
        <v>0</v>
      </c>
      <c r="X403" s="17">
        <f>_xlfn.XLOOKUP($B403,'[1]Jul-25'!$A:$A,'[1]Jul-25'!$H:$H,0)</f>
        <v>6122920</v>
      </c>
      <c r="Y403" s="17">
        <f>_xlfn.XLOOKUP($B403,'[1]Aug-25'!$A:$A,'[1]Aug-25'!$H:$H,0)</f>
        <v>14271346.66</v>
      </c>
      <c r="Z403" s="17">
        <f>_xlfn.XLOOKUP($B403,'[1]Sep-25'!$A:$A,'[1]Sep-25'!$H:$H,0)</f>
        <v>10197133.34</v>
      </c>
      <c r="AA403" s="17">
        <f>_xlfn.XLOOKUP($B403,'[1]Oct-25'!$A:$A,'[1]Oct-25'!$H:$H,0)</f>
        <v>5843880</v>
      </c>
      <c r="AB403" s="17">
        <f>_xlfn.XLOOKUP($B403,'[1]Nov-25'!$A:$A,'[1]Nov-25'!$H:$H,0)</f>
        <v>13515773.33</v>
      </c>
      <c r="AC403" s="17">
        <f>_xlfn.XLOOKUP($B403,'[1]Dec-25'!$A:$A,'[1]Dec-25'!$H:$H,0)</f>
        <v>9679826.6699999999</v>
      </c>
      <c r="AD403" s="17">
        <f>_xlfn.XLOOKUP($B403,'[1]Jan-26'!$A:$A,'[1]Jan-26'!$H:$H,0)</f>
        <v>0</v>
      </c>
      <c r="AE403" s="17">
        <f>_xlfn.XLOOKUP($B403,'[1]Feb-26'!$A:$A,'[1]Feb-26'!$H:$H,0)</f>
        <v>0</v>
      </c>
      <c r="AF403" s="17">
        <f>_xlfn.XLOOKUP($B403,'[1]Mar-26'!$A:$A,'[1]Mar-26'!$H:$H,0)</f>
        <v>0</v>
      </c>
      <c r="AG403" s="17">
        <f>_xlfn.XLOOKUP($B403,'[1]Apr-26'!$A:$A,'[1]Apr-26'!$H:$H,0)</f>
        <v>0</v>
      </c>
    </row>
    <row r="404" spans="1:33" x14ac:dyDescent="0.2">
      <c r="A404" s="58">
        <v>60200</v>
      </c>
      <c r="B404" s="56" t="str">
        <f t="shared" si="12"/>
        <v>60200</v>
      </c>
      <c r="C404" s="57" t="s">
        <v>574</v>
      </c>
      <c r="D404" s="57" t="s">
        <v>387</v>
      </c>
      <c r="E404" s="44" t="s">
        <v>580</v>
      </c>
      <c r="F404" s="17">
        <f>_xlfn.XLOOKUP($B404,'[1]Jan-24'!$A:$A,'[1]Jan-24'!$H:$H,0)</f>
        <v>460820</v>
      </c>
      <c r="G404" s="17">
        <f>_xlfn.XLOOKUP($B404,'[1]Feb-24'!$A:$A,'[1]Feb-24'!$H:$H,0)</f>
        <v>0</v>
      </c>
      <c r="H404" s="17">
        <f>_xlfn.XLOOKUP($B404,'[1]Mar-24'!$A:$A,'[1]Mar-24'!$H:$H,0)</f>
        <v>-360914</v>
      </c>
      <c r="I404" s="17">
        <f>_xlfn.XLOOKUP($B404,'[1]Apr-24'!$A:$A,'[1]Apr-24'!$H:$H,0)</f>
        <v>3238775.59</v>
      </c>
      <c r="J404" s="17">
        <f>_xlfn.XLOOKUP($B404,'[1]May-24'!$A:$A,'[1]May-24'!$H:$H,0)</f>
        <v>490000</v>
      </c>
      <c r="K404" s="17">
        <f>_xlfn.XLOOKUP($B404,'[1]Jun-24'!$A:$A,'[1]Jun-24'!$H:$H,0)</f>
        <v>0</v>
      </c>
      <c r="L404" s="17">
        <f>_xlfn.XLOOKUP($B404,'[1]Jul-24'!$A:$A,'[1]Jul-24'!$H:$H,0)</f>
        <v>1100000</v>
      </c>
      <c r="M404" s="17">
        <f>_xlfn.XLOOKUP($B404,'[1]Aug-24'!$A:$A,'[1]Aug-24'!$H:$H,0)</f>
        <v>10745235</v>
      </c>
      <c r="N404" s="17">
        <f>_xlfn.XLOOKUP($B404,'[1]Sep-24'!$A:$A,'[1]Sep-24'!$H:$H,0)</f>
        <v>-1282632</v>
      </c>
      <c r="O404" s="17">
        <f>_xlfn.XLOOKUP($B404,'[1]Oct-24'!$A:$A,'[1]Oct-24'!$H:$H,0)</f>
        <v>900000</v>
      </c>
      <c r="P404" s="17">
        <f>_xlfn.XLOOKUP($B404,'[1]Nov-24'!$A:$A,'[1]Nov-24'!$H:$H,0)</f>
        <v>0</v>
      </c>
      <c r="Q404" s="17">
        <f>_xlfn.XLOOKUP($B404,'[1]Dec-24'!$A:$A,'[1]Dec-24'!$H:$H,0)</f>
        <v>0</v>
      </c>
      <c r="R404" s="17">
        <f>_xlfn.XLOOKUP($B404,'[1]Jan-25'!$A:$A,'[1]Jan-25'!$H:$H,0)</f>
        <v>0</v>
      </c>
      <c r="S404" s="17">
        <f>_xlfn.XLOOKUP($B404,'[1]Feb-25'!$A:$A,'[1]Feb-25'!$H:$H,0)</f>
        <v>0</v>
      </c>
      <c r="T404" s="17">
        <f>_xlfn.XLOOKUP($B404,'[1]Mar-25'!$A:$A,'[1]Mar-25'!$H:$H,0)</f>
        <v>0</v>
      </c>
      <c r="U404" s="17">
        <f>_xlfn.XLOOKUP($B404,'[1]Apr-25'!$A:$A,'[1]Apr-25'!$H:$H,0)</f>
        <v>0</v>
      </c>
      <c r="V404" s="17">
        <f>_xlfn.XLOOKUP($B404,'[1]May-25'!$A:$A,'[1]May-25'!$H:$H,0)</f>
        <v>0</v>
      </c>
      <c r="W404" s="17">
        <f>_xlfn.XLOOKUP($B404,'[1]Jun-25'!$A:$A,'[1]Jun-25'!$H:$H,0)</f>
        <v>0</v>
      </c>
      <c r="X404" s="17">
        <f>_xlfn.XLOOKUP($B404,'[1]Jul-25'!$A:$A,'[1]Jul-25'!$H:$H,0)</f>
        <v>0</v>
      </c>
      <c r="Y404" s="17">
        <f>_xlfn.XLOOKUP($B404,'[1]Aug-25'!$A:$A,'[1]Aug-25'!$H:$H,0)</f>
        <v>0</v>
      </c>
      <c r="Z404" s="17">
        <f>_xlfn.XLOOKUP($B404,'[1]Sep-25'!$A:$A,'[1]Sep-25'!$H:$H,0)</f>
        <v>0</v>
      </c>
      <c r="AA404" s="17">
        <f>_xlfn.XLOOKUP($B404,'[1]Oct-25'!$A:$A,'[1]Oct-25'!$H:$H,0)</f>
        <v>8036630.5099999998</v>
      </c>
      <c r="AB404" s="17">
        <f>_xlfn.XLOOKUP($B404,'[1]Nov-25'!$A:$A,'[1]Nov-25'!$H:$H,0)</f>
        <v>3559788.02</v>
      </c>
      <c r="AC404" s="17">
        <f>_xlfn.XLOOKUP($B404,'[1]Dec-25'!$A:$A,'[1]Dec-25'!$H:$H,0)</f>
        <v>0</v>
      </c>
      <c r="AD404" s="17">
        <f>_xlfn.XLOOKUP($B404,'[1]Jan-26'!$A:$A,'[1]Jan-26'!$H:$H,0)</f>
        <v>2727660</v>
      </c>
      <c r="AE404" s="17">
        <f>_xlfn.XLOOKUP($B404,'[1]Feb-26'!$A:$A,'[1]Feb-26'!$H:$H,0)</f>
        <v>375000</v>
      </c>
      <c r="AF404" s="17">
        <f>_xlfn.XLOOKUP($B404,'[1]Mar-26'!$A:$A,'[1]Mar-26'!$H:$H,0)</f>
        <v>0</v>
      </c>
      <c r="AG404" s="17">
        <f>_xlfn.XLOOKUP($B404,'[1]Apr-26'!$A:$A,'[1]Apr-26'!$H:$H,0)</f>
        <v>81282</v>
      </c>
    </row>
    <row r="405" spans="1:33" x14ac:dyDescent="0.2">
      <c r="A405" s="58">
        <v>60201</v>
      </c>
      <c r="B405" s="56" t="str">
        <f t="shared" si="12"/>
        <v>60201</v>
      </c>
      <c r="C405" s="57" t="s">
        <v>574</v>
      </c>
      <c r="D405" s="57" t="s">
        <v>387</v>
      </c>
      <c r="E405" s="44" t="s">
        <v>581</v>
      </c>
      <c r="F405" s="17">
        <f>_xlfn.XLOOKUP($B405,'[1]Jan-24'!$A:$A,'[1]Jan-24'!$H:$H,0)</f>
        <v>107000</v>
      </c>
      <c r="G405" s="17">
        <f>_xlfn.XLOOKUP($B405,'[1]Feb-24'!$A:$A,'[1]Feb-24'!$H:$H,0)</f>
        <v>0</v>
      </c>
      <c r="H405" s="17">
        <f>_xlfn.XLOOKUP($B405,'[1]Mar-24'!$A:$A,'[1]Mar-24'!$H:$H,0)</f>
        <v>2660415</v>
      </c>
      <c r="I405" s="17">
        <f>_xlfn.XLOOKUP($B405,'[1]Apr-24'!$A:$A,'[1]Apr-24'!$H:$H,0)</f>
        <v>3980000</v>
      </c>
      <c r="J405" s="17">
        <f>_xlfn.XLOOKUP($B405,'[1]May-24'!$A:$A,'[1]May-24'!$H:$H,0)</f>
        <v>3612390.43</v>
      </c>
      <c r="K405" s="17">
        <f>_xlfn.XLOOKUP($B405,'[1]Jun-24'!$A:$A,'[1]Jun-24'!$H:$H,0)</f>
        <v>4762595.6900000004</v>
      </c>
      <c r="L405" s="17">
        <f>_xlfn.XLOOKUP($B405,'[1]Jul-24'!$A:$A,'[1]Jul-24'!$H:$H,0)</f>
        <v>3602277.36</v>
      </c>
      <c r="M405" s="17">
        <f>_xlfn.XLOOKUP($B405,'[1]Aug-24'!$A:$A,'[1]Aug-24'!$H:$H,0)</f>
        <v>7261280.9799999995</v>
      </c>
      <c r="N405" s="17">
        <f>_xlfn.XLOOKUP($B405,'[1]Sep-24'!$A:$A,'[1]Sep-24'!$H:$H,0)</f>
        <v>4452309.5299999993</v>
      </c>
      <c r="O405" s="17">
        <f>_xlfn.XLOOKUP($B405,'[1]Oct-24'!$A:$A,'[1]Oct-24'!$H:$H,0)</f>
        <v>10747449.6</v>
      </c>
      <c r="P405" s="17">
        <f>_xlfn.XLOOKUP($B405,'[1]Nov-24'!$A:$A,'[1]Nov-24'!$H:$H,0)</f>
        <v>5505164.3099999996</v>
      </c>
      <c r="Q405" s="17">
        <f>_xlfn.XLOOKUP($B405,'[1]Dec-24'!$A:$A,'[1]Dec-24'!$H:$H,0)</f>
        <v>1130000</v>
      </c>
      <c r="R405" s="17">
        <f>_xlfn.XLOOKUP($B405,'[1]Jan-25'!$A:$A,'[1]Jan-25'!$H:$H,0)</f>
        <v>5775857.04</v>
      </c>
      <c r="S405" s="17">
        <f>_xlfn.XLOOKUP($B405,'[1]Feb-25'!$A:$A,'[1]Feb-25'!$H:$H,0)</f>
        <v>1117190.31</v>
      </c>
      <c r="T405" s="17">
        <f>_xlfn.XLOOKUP($B405,'[1]Mar-25'!$A:$A,'[1]Mar-25'!$H:$H,0)</f>
        <v>2921594.19</v>
      </c>
      <c r="U405" s="17">
        <f>_xlfn.XLOOKUP($B405,'[1]Apr-25'!$A:$A,'[1]Apr-25'!$H:$H,0)</f>
        <v>4727591.07</v>
      </c>
      <c r="V405" s="17">
        <f>_xlfn.XLOOKUP($B405,'[1]May-25'!$A:$A,'[1]May-25'!$H:$H,0)</f>
        <v>4549811.1900000004</v>
      </c>
      <c r="W405" s="17">
        <f>_xlfn.XLOOKUP($B405,'[1]Jun-25'!$A:$A,'[1]Jun-25'!$H:$H,0)</f>
        <v>7300627.1799999997</v>
      </c>
      <c r="X405" s="17">
        <f>_xlfn.XLOOKUP($B405,'[1]Jul-25'!$A:$A,'[1]Jul-25'!$H:$H,0)</f>
        <v>1300032.8900000001</v>
      </c>
      <c r="Y405" s="17">
        <f>_xlfn.XLOOKUP($B405,'[1]Aug-25'!$A:$A,'[1]Aug-25'!$H:$H,0)</f>
        <v>5462255</v>
      </c>
      <c r="Z405" s="17">
        <f>_xlfn.XLOOKUP($B405,'[1]Sep-25'!$A:$A,'[1]Sep-25'!$H:$H,0)</f>
        <v>1148915.1200000001</v>
      </c>
      <c r="AA405" s="17">
        <f>_xlfn.XLOOKUP($B405,'[1]Oct-25'!$A:$A,'[1]Oct-25'!$H:$H,0)</f>
        <v>1284390.75</v>
      </c>
      <c r="AB405" s="17">
        <f>_xlfn.XLOOKUP($B405,'[1]Nov-25'!$A:$A,'[1]Nov-25'!$H:$H,0)</f>
        <v>2831386.58</v>
      </c>
      <c r="AC405" s="17">
        <f>_xlfn.XLOOKUP($B405,'[1]Dec-25'!$A:$A,'[1]Dec-25'!$H:$H,0)</f>
        <v>130000</v>
      </c>
      <c r="AD405" s="17">
        <f>_xlfn.XLOOKUP($B405,'[1]Jan-26'!$A:$A,'[1]Jan-26'!$H:$H,0)</f>
        <v>1109887.6299999999</v>
      </c>
      <c r="AE405" s="17">
        <f>_xlfn.XLOOKUP($B405,'[1]Feb-26'!$A:$A,'[1]Feb-26'!$H:$H,0)</f>
        <v>3526013.63</v>
      </c>
      <c r="AF405" s="17">
        <f>_xlfn.XLOOKUP($B405,'[1]Mar-26'!$A:$A,'[1]Mar-26'!$H:$H,0)</f>
        <v>2606569.7799999998</v>
      </c>
      <c r="AG405" s="17">
        <f>_xlfn.XLOOKUP($B405,'[1]Apr-26'!$A:$A,'[1]Apr-26'!$H:$H,0)</f>
        <v>1191804.9300000002</v>
      </c>
    </row>
    <row r="406" spans="1:33" x14ac:dyDescent="0.2">
      <c r="A406" s="58">
        <v>60202</v>
      </c>
      <c r="B406" s="56" t="str">
        <f t="shared" si="12"/>
        <v>60202</v>
      </c>
      <c r="C406" s="57" t="s">
        <v>574</v>
      </c>
      <c r="D406" s="57" t="s">
        <v>387</v>
      </c>
      <c r="E406" s="44" t="s">
        <v>582</v>
      </c>
      <c r="F406" s="17">
        <f>_xlfn.XLOOKUP($B406,'[1]Jan-24'!$A:$A,'[1]Jan-24'!$H:$H,0)</f>
        <v>0</v>
      </c>
      <c r="G406" s="17">
        <f>_xlfn.XLOOKUP($B406,'[1]Feb-24'!$A:$A,'[1]Feb-24'!$H:$H,0)</f>
        <v>0</v>
      </c>
      <c r="H406" s="17">
        <f>_xlfn.XLOOKUP($B406,'[1]Mar-24'!$A:$A,'[1]Mar-24'!$H:$H,0)</f>
        <v>0</v>
      </c>
      <c r="I406" s="17">
        <f>_xlfn.XLOOKUP($B406,'[1]Apr-24'!$A:$A,'[1]Apr-24'!$H:$H,0)</f>
        <v>0</v>
      </c>
      <c r="J406" s="17">
        <f>_xlfn.XLOOKUP($B406,'[1]May-24'!$A:$A,'[1]May-24'!$H:$H,0)</f>
        <v>0</v>
      </c>
      <c r="K406" s="17">
        <f>_xlfn.XLOOKUP($B406,'[1]Jun-24'!$A:$A,'[1]Jun-24'!$H:$H,0)</f>
        <v>0</v>
      </c>
      <c r="L406" s="17">
        <f>_xlfn.XLOOKUP($B406,'[1]Jul-24'!$A:$A,'[1]Jul-24'!$H:$H,0)</f>
        <v>0</v>
      </c>
      <c r="M406" s="17">
        <f>_xlfn.XLOOKUP($B406,'[1]Aug-24'!$A:$A,'[1]Aug-24'!$H:$H,0)</f>
        <v>0</v>
      </c>
      <c r="N406" s="17">
        <f>_xlfn.XLOOKUP($B406,'[1]Sep-24'!$A:$A,'[1]Sep-24'!$H:$H,0)</f>
        <v>0</v>
      </c>
      <c r="O406" s="17">
        <f>_xlfn.XLOOKUP($B406,'[1]Oct-24'!$A:$A,'[1]Oct-24'!$H:$H,0)</f>
        <v>0</v>
      </c>
      <c r="P406" s="17">
        <f>_xlfn.XLOOKUP($B406,'[1]Nov-24'!$A:$A,'[1]Nov-24'!$H:$H,0)</f>
        <v>0</v>
      </c>
      <c r="Q406" s="17">
        <f>_xlfn.XLOOKUP($B406,'[1]Dec-24'!$A:$A,'[1]Dec-24'!$H:$H,0)</f>
        <v>0</v>
      </c>
      <c r="R406" s="17">
        <f>_xlfn.XLOOKUP($B406,'[1]Jan-25'!$A:$A,'[1]Jan-25'!$H:$H,0)</f>
        <v>0</v>
      </c>
      <c r="S406" s="17">
        <f>_xlfn.XLOOKUP($B406,'[1]Feb-25'!$A:$A,'[1]Feb-25'!$H:$H,0)</f>
        <v>0</v>
      </c>
      <c r="T406" s="17">
        <f>_xlfn.XLOOKUP($B406,'[1]Mar-25'!$A:$A,'[1]Mar-25'!$H:$H,0)</f>
        <v>0</v>
      </c>
      <c r="U406" s="17">
        <f>_xlfn.XLOOKUP($B406,'[1]Apr-25'!$A:$A,'[1]Apr-25'!$H:$H,0)</f>
        <v>6449.48</v>
      </c>
      <c r="V406" s="17">
        <f>_xlfn.XLOOKUP($B406,'[1]May-25'!$A:$A,'[1]May-25'!$H:$H,0)</f>
        <v>0</v>
      </c>
      <c r="W406" s="17">
        <f>_xlfn.XLOOKUP($B406,'[1]Jun-25'!$A:$A,'[1]Jun-25'!$H:$H,0)</f>
        <v>105670.53</v>
      </c>
      <c r="X406" s="17">
        <f>_xlfn.XLOOKUP($B406,'[1]Jul-25'!$A:$A,'[1]Jul-25'!$H:$H,0)</f>
        <v>0</v>
      </c>
      <c r="Y406" s="17">
        <f>_xlfn.XLOOKUP($B406,'[1]Aug-25'!$A:$A,'[1]Aug-25'!$H:$H,0)</f>
        <v>0</v>
      </c>
      <c r="Z406" s="17">
        <f>_xlfn.XLOOKUP($B406,'[1]Sep-25'!$A:$A,'[1]Sep-25'!$H:$H,0)</f>
        <v>0</v>
      </c>
      <c r="AA406" s="17">
        <f>_xlfn.XLOOKUP($B406,'[1]Oct-25'!$A:$A,'[1]Oct-25'!$H:$H,0)</f>
        <v>0</v>
      </c>
      <c r="AB406" s="17">
        <f>_xlfn.XLOOKUP($B406,'[1]Nov-25'!$A:$A,'[1]Nov-25'!$H:$H,0)</f>
        <v>0</v>
      </c>
      <c r="AC406" s="17">
        <f>_xlfn.XLOOKUP($B406,'[1]Dec-25'!$A:$A,'[1]Dec-25'!$H:$H,0)</f>
        <v>0</v>
      </c>
      <c r="AD406" s="17">
        <f>_xlfn.XLOOKUP($B406,'[1]Jan-26'!$A:$A,'[1]Jan-26'!$H:$H,0)</f>
        <v>57346.32</v>
      </c>
      <c r="AE406" s="17">
        <f>_xlfn.XLOOKUP($B406,'[1]Feb-26'!$A:$A,'[1]Feb-26'!$H:$H,0)</f>
        <v>0</v>
      </c>
      <c r="AF406" s="17">
        <f>_xlfn.XLOOKUP($B406,'[1]Mar-26'!$A:$A,'[1]Mar-26'!$H:$H,0)</f>
        <v>0</v>
      </c>
      <c r="AG406" s="17">
        <f>_xlfn.XLOOKUP($B406,'[1]Apr-26'!$A:$A,'[1]Apr-26'!$H:$H,0)</f>
        <v>0</v>
      </c>
    </row>
    <row r="407" spans="1:33" x14ac:dyDescent="0.2">
      <c r="A407" s="58">
        <v>60203</v>
      </c>
      <c r="B407" s="56" t="str">
        <f t="shared" si="12"/>
        <v>60203</v>
      </c>
      <c r="C407" s="57" t="s">
        <v>574</v>
      </c>
      <c r="D407" s="57" t="s">
        <v>387</v>
      </c>
      <c r="E407" s="44" t="s">
        <v>583</v>
      </c>
      <c r="F407" s="17">
        <f>_xlfn.XLOOKUP($B407,'[1]Jan-24'!$A:$A,'[1]Jan-24'!$H:$H,0)</f>
        <v>0</v>
      </c>
      <c r="G407" s="17">
        <f>_xlfn.XLOOKUP($B407,'[1]Feb-24'!$A:$A,'[1]Feb-24'!$H:$H,0)</f>
        <v>0</v>
      </c>
      <c r="H407" s="17">
        <f>_xlfn.XLOOKUP($B407,'[1]Mar-24'!$A:$A,'[1]Mar-24'!$H:$H,0)</f>
        <v>0</v>
      </c>
      <c r="I407" s="17">
        <f>_xlfn.XLOOKUP($B407,'[1]Apr-24'!$A:$A,'[1]Apr-24'!$H:$H,0)</f>
        <v>0</v>
      </c>
      <c r="J407" s="17">
        <f>_xlfn.XLOOKUP($B407,'[1]May-24'!$A:$A,'[1]May-24'!$H:$H,0)</f>
        <v>0</v>
      </c>
      <c r="K407" s="17">
        <f>_xlfn.XLOOKUP($B407,'[1]Jun-24'!$A:$A,'[1]Jun-24'!$H:$H,0)</f>
        <v>0</v>
      </c>
      <c r="L407" s="17">
        <f>_xlfn.XLOOKUP($B407,'[1]Jul-24'!$A:$A,'[1]Jul-24'!$H:$H,0)</f>
        <v>0</v>
      </c>
      <c r="M407" s="17">
        <f>_xlfn.XLOOKUP($B407,'[1]Aug-24'!$A:$A,'[1]Aug-24'!$H:$H,0)</f>
        <v>0</v>
      </c>
      <c r="N407" s="17">
        <f>_xlfn.XLOOKUP($B407,'[1]Sep-24'!$A:$A,'[1]Sep-24'!$H:$H,0)</f>
        <v>0</v>
      </c>
      <c r="O407" s="17">
        <f>_xlfn.XLOOKUP($B407,'[1]Oct-24'!$A:$A,'[1]Oct-24'!$H:$H,0)</f>
        <v>0</v>
      </c>
      <c r="P407" s="17">
        <f>_xlfn.XLOOKUP($B407,'[1]Nov-24'!$A:$A,'[1]Nov-24'!$H:$H,0)</f>
        <v>0</v>
      </c>
      <c r="Q407" s="17">
        <f>_xlfn.XLOOKUP($B407,'[1]Dec-24'!$A:$A,'[1]Dec-24'!$H:$H,0)</f>
        <v>0</v>
      </c>
      <c r="R407" s="17">
        <f>_xlfn.XLOOKUP($B407,'[1]Jan-25'!$A:$A,'[1]Jan-25'!$H:$H,0)</f>
        <v>0</v>
      </c>
      <c r="S407" s="17">
        <f>_xlfn.XLOOKUP($B407,'[1]Feb-25'!$A:$A,'[1]Feb-25'!$H:$H,0)</f>
        <v>0</v>
      </c>
      <c r="T407" s="17">
        <f>_xlfn.XLOOKUP($B407,'[1]Mar-25'!$A:$A,'[1]Mar-25'!$H:$H,0)</f>
        <v>0</v>
      </c>
      <c r="U407" s="17">
        <f>_xlfn.XLOOKUP($B407,'[1]Apr-25'!$A:$A,'[1]Apr-25'!$H:$H,0)</f>
        <v>0</v>
      </c>
      <c r="V407" s="17">
        <f>_xlfn.XLOOKUP($B407,'[1]May-25'!$A:$A,'[1]May-25'!$H:$H,0)</f>
        <v>0</v>
      </c>
      <c r="W407" s="17">
        <f>_xlfn.XLOOKUP($B407,'[1]Jun-25'!$A:$A,'[1]Jun-25'!$H:$H,0)</f>
        <v>0</v>
      </c>
      <c r="X407" s="17">
        <f>_xlfn.XLOOKUP($B407,'[1]Jul-25'!$A:$A,'[1]Jul-25'!$H:$H,0)</f>
        <v>0</v>
      </c>
      <c r="Y407" s="17">
        <f>_xlfn.XLOOKUP($B407,'[1]Aug-25'!$A:$A,'[1]Aug-25'!$H:$H,0)</f>
        <v>0</v>
      </c>
      <c r="Z407" s="17">
        <f>_xlfn.XLOOKUP($B407,'[1]Sep-25'!$A:$A,'[1]Sep-25'!$H:$H,0)</f>
        <v>0</v>
      </c>
      <c r="AA407" s="17">
        <f>_xlfn.XLOOKUP($B407,'[1]Oct-25'!$A:$A,'[1]Oct-25'!$H:$H,0)</f>
        <v>0</v>
      </c>
      <c r="AB407" s="17">
        <f>_xlfn.XLOOKUP($B407,'[1]Nov-25'!$A:$A,'[1]Nov-25'!$H:$H,0)</f>
        <v>0</v>
      </c>
      <c r="AC407" s="17">
        <f>_xlfn.XLOOKUP($B407,'[1]Dec-25'!$A:$A,'[1]Dec-25'!$H:$H,0)</f>
        <v>0</v>
      </c>
      <c r="AD407" s="17">
        <f>_xlfn.XLOOKUP($B407,'[1]Jan-26'!$A:$A,'[1]Jan-26'!$H:$H,0)</f>
        <v>595000</v>
      </c>
      <c r="AE407" s="17">
        <f>_xlfn.XLOOKUP($B407,'[1]Feb-26'!$A:$A,'[1]Feb-26'!$H:$H,0)</f>
        <v>0</v>
      </c>
      <c r="AF407" s="17">
        <f>_xlfn.XLOOKUP($B407,'[1]Mar-26'!$A:$A,'[1]Mar-26'!$H:$H,0)</f>
        <v>0</v>
      </c>
      <c r="AG407" s="17">
        <f>_xlfn.XLOOKUP($B407,'[1]Apr-26'!$A:$A,'[1]Apr-26'!$H:$H,0)</f>
        <v>0</v>
      </c>
    </row>
    <row r="408" spans="1:33" x14ac:dyDescent="0.2">
      <c r="A408" s="58">
        <v>60204</v>
      </c>
      <c r="B408" s="56" t="str">
        <f t="shared" si="12"/>
        <v>60204</v>
      </c>
      <c r="C408" s="57" t="s">
        <v>574</v>
      </c>
      <c r="D408" s="57" t="s">
        <v>387</v>
      </c>
      <c r="E408" s="44" t="s">
        <v>584</v>
      </c>
      <c r="F408" s="17">
        <f>_xlfn.XLOOKUP($B408,'[1]Jan-24'!$A:$A,'[1]Jan-24'!$H:$H,0)</f>
        <v>0</v>
      </c>
      <c r="G408" s="17">
        <f>_xlfn.XLOOKUP($B408,'[1]Feb-24'!$A:$A,'[1]Feb-24'!$H:$H,0)</f>
        <v>0</v>
      </c>
      <c r="H408" s="17">
        <f>_xlfn.XLOOKUP($B408,'[1]Mar-24'!$A:$A,'[1]Mar-24'!$H:$H,0)</f>
        <v>0</v>
      </c>
      <c r="I408" s="17">
        <f>_xlfn.XLOOKUP($B408,'[1]Apr-24'!$A:$A,'[1]Apr-24'!$H:$H,0)</f>
        <v>0</v>
      </c>
      <c r="J408" s="17">
        <f>_xlfn.XLOOKUP($B408,'[1]May-24'!$A:$A,'[1]May-24'!$H:$H,0)</f>
        <v>0</v>
      </c>
      <c r="K408" s="17">
        <f>_xlfn.XLOOKUP($B408,'[1]Jun-24'!$A:$A,'[1]Jun-24'!$H:$H,0)</f>
        <v>0</v>
      </c>
      <c r="L408" s="17">
        <f>_xlfn.XLOOKUP($B408,'[1]Jul-24'!$A:$A,'[1]Jul-24'!$H:$H,0)</f>
        <v>0</v>
      </c>
      <c r="M408" s="17">
        <f>_xlfn.XLOOKUP($B408,'[1]Aug-24'!$A:$A,'[1]Aug-24'!$H:$H,0)</f>
        <v>0</v>
      </c>
      <c r="N408" s="17">
        <f>_xlfn.XLOOKUP($B408,'[1]Sep-24'!$A:$A,'[1]Sep-24'!$H:$H,0)</f>
        <v>0</v>
      </c>
      <c r="O408" s="17">
        <f>_xlfn.XLOOKUP($B408,'[1]Oct-24'!$A:$A,'[1]Oct-24'!$H:$H,0)</f>
        <v>0</v>
      </c>
      <c r="P408" s="17">
        <f>_xlfn.XLOOKUP($B408,'[1]Nov-24'!$A:$A,'[1]Nov-24'!$H:$H,0)</f>
        <v>0</v>
      </c>
      <c r="Q408" s="17">
        <f>_xlfn.XLOOKUP($B408,'[1]Dec-24'!$A:$A,'[1]Dec-24'!$H:$H,0)</f>
        <v>0</v>
      </c>
      <c r="R408" s="17">
        <f>_xlfn.XLOOKUP($B408,'[1]Jan-25'!$A:$A,'[1]Jan-25'!$H:$H,0)</f>
        <v>0</v>
      </c>
      <c r="S408" s="17">
        <f>_xlfn.XLOOKUP($B408,'[1]Feb-25'!$A:$A,'[1]Feb-25'!$H:$H,0)</f>
        <v>0</v>
      </c>
      <c r="T408" s="17">
        <f>_xlfn.XLOOKUP($B408,'[1]Mar-25'!$A:$A,'[1]Mar-25'!$H:$H,0)</f>
        <v>0</v>
      </c>
      <c r="U408" s="17">
        <f>_xlfn.XLOOKUP($B408,'[1]Apr-25'!$A:$A,'[1]Apr-25'!$H:$H,0)</f>
        <v>0</v>
      </c>
      <c r="V408" s="17">
        <f>_xlfn.XLOOKUP($B408,'[1]May-25'!$A:$A,'[1]May-25'!$H:$H,0)</f>
        <v>0</v>
      </c>
      <c r="W408" s="17">
        <f>_xlfn.XLOOKUP($B408,'[1]Jun-25'!$A:$A,'[1]Jun-25'!$H:$H,0)</f>
        <v>0</v>
      </c>
      <c r="X408" s="17">
        <f>_xlfn.XLOOKUP($B408,'[1]Jul-25'!$A:$A,'[1]Jul-25'!$H:$H,0)</f>
        <v>0</v>
      </c>
      <c r="Y408" s="17">
        <f>_xlfn.XLOOKUP($B408,'[1]Aug-25'!$A:$A,'[1]Aug-25'!$H:$H,0)</f>
        <v>0</v>
      </c>
      <c r="Z408" s="17">
        <f>_xlfn.XLOOKUP($B408,'[1]Sep-25'!$A:$A,'[1]Sep-25'!$H:$H,0)</f>
        <v>0</v>
      </c>
      <c r="AA408" s="17">
        <f>_xlfn.XLOOKUP($B408,'[1]Oct-25'!$A:$A,'[1]Oct-25'!$H:$H,0)</f>
        <v>0</v>
      </c>
      <c r="AB408" s="17">
        <f>_xlfn.XLOOKUP($B408,'[1]Nov-25'!$A:$A,'[1]Nov-25'!$H:$H,0)</f>
        <v>0</v>
      </c>
      <c r="AC408" s="17">
        <f>_xlfn.XLOOKUP($B408,'[1]Dec-25'!$A:$A,'[1]Dec-25'!$H:$H,0)</f>
        <v>0</v>
      </c>
      <c r="AD408" s="17">
        <f>_xlfn.XLOOKUP($B408,'[1]Jan-26'!$A:$A,'[1]Jan-26'!$H:$H,0)</f>
        <v>0</v>
      </c>
      <c r="AE408" s="17">
        <f>_xlfn.XLOOKUP($B408,'[1]Feb-26'!$A:$A,'[1]Feb-26'!$H:$H,0)</f>
        <v>0</v>
      </c>
      <c r="AF408" s="17">
        <f>_xlfn.XLOOKUP($B408,'[1]Mar-26'!$A:$A,'[1]Mar-26'!$H:$H,0)</f>
        <v>0</v>
      </c>
      <c r="AG408" s="17">
        <f>_xlfn.XLOOKUP($B408,'[1]Apr-26'!$A:$A,'[1]Apr-26'!$H:$H,0)</f>
        <v>0</v>
      </c>
    </row>
    <row r="409" spans="1:33" x14ac:dyDescent="0.2">
      <c r="A409" s="58">
        <v>60205</v>
      </c>
      <c r="B409" s="56" t="str">
        <f t="shared" si="12"/>
        <v>60205</v>
      </c>
      <c r="C409" s="57" t="s">
        <v>574</v>
      </c>
      <c r="D409" s="57" t="s">
        <v>387</v>
      </c>
      <c r="E409" s="44" t="s">
        <v>585</v>
      </c>
      <c r="F409" s="17">
        <f>_xlfn.XLOOKUP($B409,'[1]Jan-24'!$A:$A,'[1]Jan-24'!$H:$H,0)</f>
        <v>81000</v>
      </c>
      <c r="G409" s="17">
        <f>_xlfn.XLOOKUP($B409,'[1]Feb-24'!$A:$A,'[1]Feb-24'!$H:$H,0)</f>
        <v>81000</v>
      </c>
      <c r="H409" s="17">
        <f>_xlfn.XLOOKUP($B409,'[1]Mar-24'!$A:$A,'[1]Mar-24'!$H:$H,0)</f>
        <v>820665</v>
      </c>
      <c r="I409" s="17">
        <f>_xlfn.XLOOKUP($B409,'[1]Apr-24'!$A:$A,'[1]Apr-24'!$H:$H,0)</f>
        <v>74000</v>
      </c>
      <c r="J409" s="17">
        <f>_xlfn.XLOOKUP($B409,'[1]May-24'!$A:$A,'[1]May-24'!$H:$H,0)</f>
        <v>74000</v>
      </c>
      <c r="K409" s="17">
        <f>_xlfn.XLOOKUP($B409,'[1]Jun-24'!$A:$A,'[1]Jun-24'!$H:$H,0)</f>
        <v>519071.24</v>
      </c>
      <c r="L409" s="17">
        <f>_xlfn.XLOOKUP($B409,'[1]Jul-24'!$A:$A,'[1]Jul-24'!$H:$H,0)</f>
        <v>150159.04999999999</v>
      </c>
      <c r="M409" s="17">
        <f>_xlfn.XLOOKUP($B409,'[1]Aug-24'!$A:$A,'[1]Aug-24'!$H:$H,0)</f>
        <v>536975.9</v>
      </c>
      <c r="N409" s="17">
        <f>_xlfn.XLOOKUP($B409,'[1]Sep-24'!$A:$A,'[1]Sep-24'!$H:$H,0)</f>
        <v>573161.53</v>
      </c>
      <c r="O409" s="17">
        <f>_xlfn.XLOOKUP($B409,'[1]Oct-24'!$A:$A,'[1]Oct-24'!$H:$H,0)</f>
        <v>676969.16999999993</v>
      </c>
      <c r="P409" s="17">
        <f>_xlfn.XLOOKUP($B409,'[1]Nov-24'!$A:$A,'[1]Nov-24'!$H:$H,0)</f>
        <v>336718.69</v>
      </c>
      <c r="Q409" s="17">
        <f>_xlfn.XLOOKUP($B409,'[1]Dec-24'!$A:$A,'[1]Dec-24'!$H:$H,0)</f>
        <v>159168.07</v>
      </c>
      <c r="R409" s="17">
        <f>_xlfn.XLOOKUP($B409,'[1]Jan-25'!$A:$A,'[1]Jan-25'!$H:$H,0)</f>
        <v>320704.14</v>
      </c>
      <c r="S409" s="17">
        <f>_xlfn.XLOOKUP($B409,'[1]Feb-25'!$A:$A,'[1]Feb-25'!$H:$H,0)</f>
        <v>152755.35999999999</v>
      </c>
      <c r="T409" s="17">
        <f>_xlfn.XLOOKUP($B409,'[1]Mar-25'!$A:$A,'[1]Mar-25'!$H:$H,0)</f>
        <v>197796.63</v>
      </c>
      <c r="U409" s="17">
        <f>_xlfn.XLOOKUP($B409,'[1]Apr-25'!$A:$A,'[1]Apr-25'!$H:$H,0)</f>
        <v>152245</v>
      </c>
      <c r="V409" s="17">
        <f>_xlfn.XLOOKUP($B409,'[1]May-25'!$A:$A,'[1]May-25'!$H:$H,0)</f>
        <v>498848.44999999995</v>
      </c>
      <c r="W409" s="17">
        <f>_xlfn.XLOOKUP($B409,'[1]Jun-25'!$A:$A,'[1]Jun-25'!$H:$H,0)</f>
        <v>72150</v>
      </c>
      <c r="X409" s="17">
        <f>_xlfn.XLOOKUP($B409,'[1]Jul-25'!$A:$A,'[1]Jul-25'!$H:$H,0)</f>
        <v>218534.55</v>
      </c>
      <c r="Y409" s="17">
        <f>_xlfn.XLOOKUP($B409,'[1]Aug-25'!$A:$A,'[1]Aug-25'!$H:$H,0)</f>
        <v>154871.35999999999</v>
      </c>
      <c r="Z409" s="17">
        <f>_xlfn.XLOOKUP($B409,'[1]Sep-25'!$A:$A,'[1]Sep-25'!$H:$H,0)</f>
        <v>64350</v>
      </c>
      <c r="AA409" s="17">
        <f>_xlfn.XLOOKUP($B409,'[1]Oct-25'!$A:$A,'[1]Oct-25'!$H:$H,0)</f>
        <v>278371.56</v>
      </c>
      <c r="AB409" s="17">
        <f>_xlfn.XLOOKUP($B409,'[1]Nov-25'!$A:$A,'[1]Nov-25'!$H:$H,0)</f>
        <v>106350.75</v>
      </c>
      <c r="AC409" s="17">
        <f>_xlfn.XLOOKUP($B409,'[1]Dec-25'!$A:$A,'[1]Dec-25'!$H:$H,0)</f>
        <v>64350</v>
      </c>
      <c r="AD409" s="17">
        <f>_xlfn.XLOOKUP($B409,'[1]Jan-26'!$A:$A,'[1]Jan-26'!$H:$H,0)</f>
        <v>64350</v>
      </c>
      <c r="AE409" s="17">
        <f>_xlfn.XLOOKUP($B409,'[1]Feb-26'!$A:$A,'[1]Feb-26'!$H:$H,0)</f>
        <v>238854.75</v>
      </c>
      <c r="AF409" s="17">
        <f>_xlfn.XLOOKUP($B409,'[1]Mar-26'!$A:$A,'[1]Mar-26'!$H:$H,0)</f>
        <v>414200.23</v>
      </c>
      <c r="AG409" s="17">
        <f>_xlfn.XLOOKUP($B409,'[1]Apr-26'!$A:$A,'[1]Apr-26'!$H:$H,0)</f>
        <v>83850</v>
      </c>
    </row>
    <row r="410" spans="1:33" x14ac:dyDescent="0.2">
      <c r="A410" s="58">
        <v>60206</v>
      </c>
      <c r="B410" s="56" t="str">
        <f t="shared" si="12"/>
        <v>60206</v>
      </c>
      <c r="C410" s="57" t="s">
        <v>574</v>
      </c>
      <c r="D410" s="57" t="s">
        <v>387</v>
      </c>
      <c r="E410" s="44" t="s">
        <v>586</v>
      </c>
      <c r="F410" s="17">
        <f>_xlfn.XLOOKUP($B410,'[1]Jan-24'!$A:$A,'[1]Jan-24'!$H:$H,0)</f>
        <v>-2634900</v>
      </c>
      <c r="G410" s="17">
        <f>_xlfn.XLOOKUP($B410,'[1]Feb-24'!$A:$A,'[1]Feb-24'!$H:$H,0)</f>
        <v>0</v>
      </c>
      <c r="H410" s="17">
        <f>_xlfn.XLOOKUP($B410,'[1]Mar-24'!$A:$A,'[1]Mar-24'!$H:$H,0)</f>
        <v>1950000</v>
      </c>
      <c r="I410" s="17">
        <f>_xlfn.XLOOKUP($B410,'[1]Apr-24'!$A:$A,'[1]Apr-24'!$H:$H,0)</f>
        <v>380354</v>
      </c>
      <c r="J410" s="17">
        <f>_xlfn.XLOOKUP($B410,'[1]May-24'!$A:$A,'[1]May-24'!$H:$H,0)</f>
        <v>732221</v>
      </c>
      <c r="K410" s="17">
        <f>_xlfn.XLOOKUP($B410,'[1]Jun-24'!$A:$A,'[1]Jun-24'!$H:$H,0)</f>
        <v>8634018.6400000006</v>
      </c>
      <c r="L410" s="17">
        <f>_xlfn.XLOOKUP($B410,'[1]Jul-24'!$A:$A,'[1]Jul-24'!$H:$H,0)</f>
        <v>2901328</v>
      </c>
      <c r="M410" s="17">
        <f>_xlfn.XLOOKUP($B410,'[1]Aug-24'!$A:$A,'[1]Aug-24'!$H:$H,0)</f>
        <v>3600701.6</v>
      </c>
      <c r="N410" s="17">
        <f>_xlfn.XLOOKUP($B410,'[1]Sep-24'!$A:$A,'[1]Sep-24'!$H:$H,0)</f>
        <v>9031480.3000000007</v>
      </c>
      <c r="O410" s="17">
        <f>_xlfn.XLOOKUP($B410,'[1]Oct-24'!$A:$A,'[1]Oct-24'!$H:$H,0)</f>
        <v>4183327.2</v>
      </c>
      <c r="P410" s="17">
        <f>_xlfn.XLOOKUP($B410,'[1]Nov-24'!$A:$A,'[1]Nov-24'!$H:$H,0)</f>
        <v>7194475.7999999998</v>
      </c>
      <c r="Q410" s="17">
        <f>_xlfn.XLOOKUP($B410,'[1]Dec-24'!$A:$A,'[1]Dec-24'!$H:$H,0)</f>
        <v>0</v>
      </c>
      <c r="R410" s="17">
        <f>_xlfn.XLOOKUP($B410,'[1]Jan-25'!$A:$A,'[1]Jan-25'!$H:$H,0)</f>
        <v>4120675.5999999996</v>
      </c>
      <c r="S410" s="17">
        <f>_xlfn.XLOOKUP($B410,'[1]Feb-25'!$A:$A,'[1]Feb-25'!$H:$H,0)</f>
        <v>593190.19999999995</v>
      </c>
      <c r="T410" s="17">
        <f>_xlfn.XLOOKUP($B410,'[1]Mar-25'!$A:$A,'[1]Mar-25'!$H:$H,0)</f>
        <v>1622330.1999999997</v>
      </c>
      <c r="U410" s="17">
        <f>_xlfn.XLOOKUP($B410,'[1]Apr-25'!$A:$A,'[1]Apr-25'!$H:$H,0)</f>
        <v>6008902.7999999998</v>
      </c>
      <c r="V410" s="17">
        <f>_xlfn.XLOOKUP($B410,'[1]May-25'!$A:$A,'[1]May-25'!$H:$H,0)</f>
        <v>1537105</v>
      </c>
      <c r="W410" s="17">
        <f>_xlfn.XLOOKUP($B410,'[1]Jun-25'!$A:$A,'[1]Jun-25'!$H:$H,0)</f>
        <v>3413335</v>
      </c>
      <c r="X410" s="17">
        <f>_xlfn.XLOOKUP($B410,'[1]Jul-25'!$A:$A,'[1]Jul-25'!$H:$H,0)</f>
        <v>985828</v>
      </c>
      <c r="Y410" s="17">
        <f>_xlfn.XLOOKUP($B410,'[1]Aug-25'!$A:$A,'[1]Aug-25'!$H:$H,0)</f>
        <v>1115481.3</v>
      </c>
      <c r="Z410" s="17">
        <f>_xlfn.XLOOKUP($B410,'[1]Sep-25'!$A:$A,'[1]Sep-25'!$H:$H,0)</f>
        <v>390000</v>
      </c>
      <c r="AA410" s="17">
        <f>_xlfn.XLOOKUP($B410,'[1]Oct-25'!$A:$A,'[1]Oct-25'!$H:$H,0)</f>
        <v>1081933.06</v>
      </c>
      <c r="AB410" s="17">
        <f>_xlfn.XLOOKUP($B410,'[1]Nov-25'!$A:$A,'[1]Nov-25'!$H:$H,0)</f>
        <v>2027824.5</v>
      </c>
      <c r="AC410" s="17">
        <f>_xlfn.XLOOKUP($B410,'[1]Dec-25'!$A:$A,'[1]Dec-25'!$H:$H,0)</f>
        <v>0</v>
      </c>
      <c r="AD410" s="17">
        <f>_xlfn.XLOOKUP($B410,'[1]Jan-26'!$A:$A,'[1]Jan-26'!$H:$H,0)</f>
        <v>1380836.8</v>
      </c>
      <c r="AE410" s="17">
        <f>_xlfn.XLOOKUP($B410,'[1]Feb-26'!$A:$A,'[1]Feb-26'!$H:$H,0)</f>
        <v>2464477.5</v>
      </c>
      <c r="AF410" s="17">
        <f>_xlfn.XLOOKUP($B410,'[1]Mar-26'!$A:$A,'[1]Mar-26'!$H:$H,0)</f>
        <v>4408364.5999999996</v>
      </c>
      <c r="AG410" s="17">
        <f>_xlfn.XLOOKUP($B410,'[1]Apr-26'!$A:$A,'[1]Apr-26'!$H:$H,0)</f>
        <v>200000</v>
      </c>
    </row>
    <row r="411" spans="1:33" x14ac:dyDescent="0.2">
      <c r="A411" s="58">
        <v>60207</v>
      </c>
      <c r="B411" s="56" t="str">
        <f t="shared" si="12"/>
        <v>60207</v>
      </c>
      <c r="C411" s="57" t="s">
        <v>574</v>
      </c>
      <c r="D411" s="57" t="s">
        <v>387</v>
      </c>
      <c r="E411" s="44" t="s">
        <v>587</v>
      </c>
      <c r="F411" s="17">
        <f>_xlfn.XLOOKUP($B411,'[1]Jan-24'!$A:$A,'[1]Jan-24'!$H:$H,0)</f>
        <v>0</v>
      </c>
      <c r="G411" s="17">
        <f>_xlfn.XLOOKUP($B411,'[1]Feb-24'!$A:$A,'[1]Feb-24'!$H:$H,0)</f>
        <v>0</v>
      </c>
      <c r="H411" s="17">
        <f>_xlfn.XLOOKUP($B411,'[1]Mar-24'!$A:$A,'[1]Mar-24'!$H:$H,0)</f>
        <v>0</v>
      </c>
      <c r="I411" s="17">
        <f>_xlfn.XLOOKUP($B411,'[1]Apr-24'!$A:$A,'[1]Apr-24'!$H:$H,0)</f>
        <v>0</v>
      </c>
      <c r="J411" s="17">
        <f>_xlfn.XLOOKUP($B411,'[1]May-24'!$A:$A,'[1]May-24'!$H:$H,0)</f>
        <v>0</v>
      </c>
      <c r="K411" s="17">
        <f>_xlfn.XLOOKUP($B411,'[1]Jun-24'!$A:$A,'[1]Jun-24'!$H:$H,0)</f>
        <v>0</v>
      </c>
      <c r="L411" s="17">
        <f>_xlfn.XLOOKUP($B411,'[1]Jul-24'!$A:$A,'[1]Jul-24'!$H:$H,0)</f>
        <v>0</v>
      </c>
      <c r="M411" s="17">
        <f>_xlfn.XLOOKUP($B411,'[1]Aug-24'!$A:$A,'[1]Aug-24'!$H:$H,0)</f>
        <v>0</v>
      </c>
      <c r="N411" s="17">
        <f>_xlfn.XLOOKUP($B411,'[1]Sep-24'!$A:$A,'[1]Sep-24'!$H:$H,0)</f>
        <v>0</v>
      </c>
      <c r="O411" s="17">
        <f>_xlfn.XLOOKUP($B411,'[1]Oct-24'!$A:$A,'[1]Oct-24'!$H:$H,0)</f>
        <v>0</v>
      </c>
      <c r="P411" s="17">
        <f>_xlfn.XLOOKUP($B411,'[1]Nov-24'!$A:$A,'[1]Nov-24'!$H:$H,0)</f>
        <v>0</v>
      </c>
      <c r="Q411" s="17">
        <f>_xlfn.XLOOKUP($B411,'[1]Dec-24'!$A:$A,'[1]Dec-24'!$H:$H,0)</f>
        <v>0</v>
      </c>
      <c r="R411" s="17">
        <f>_xlfn.XLOOKUP($B411,'[1]Jan-25'!$A:$A,'[1]Jan-25'!$H:$H,0)</f>
        <v>0</v>
      </c>
      <c r="S411" s="17">
        <f>_xlfn.XLOOKUP($B411,'[1]Feb-25'!$A:$A,'[1]Feb-25'!$H:$H,0)</f>
        <v>0</v>
      </c>
      <c r="T411" s="17">
        <f>_xlfn.XLOOKUP($B411,'[1]Mar-25'!$A:$A,'[1]Mar-25'!$H:$H,0)</f>
        <v>0</v>
      </c>
      <c r="U411" s="17">
        <f>_xlfn.XLOOKUP($B411,'[1]Apr-25'!$A:$A,'[1]Apr-25'!$H:$H,0)</f>
        <v>0</v>
      </c>
      <c r="V411" s="17">
        <f>_xlfn.XLOOKUP($B411,'[1]May-25'!$A:$A,'[1]May-25'!$H:$H,0)</f>
        <v>0</v>
      </c>
      <c r="W411" s="17">
        <f>_xlfn.XLOOKUP($B411,'[1]Jun-25'!$A:$A,'[1]Jun-25'!$H:$H,0)</f>
        <v>0</v>
      </c>
      <c r="X411" s="17">
        <f>_xlfn.XLOOKUP($B411,'[1]Jul-25'!$A:$A,'[1]Jul-25'!$H:$H,0)</f>
        <v>0</v>
      </c>
      <c r="Y411" s="17">
        <f>_xlfn.XLOOKUP($B411,'[1]Aug-25'!$A:$A,'[1]Aug-25'!$H:$H,0)</f>
        <v>0</v>
      </c>
      <c r="Z411" s="17">
        <f>_xlfn.XLOOKUP($B411,'[1]Sep-25'!$A:$A,'[1]Sep-25'!$H:$H,0)</f>
        <v>0</v>
      </c>
      <c r="AA411" s="17">
        <f>_xlfn.XLOOKUP($B411,'[1]Oct-25'!$A:$A,'[1]Oct-25'!$H:$H,0)</f>
        <v>0</v>
      </c>
      <c r="AB411" s="17">
        <f>_xlfn.XLOOKUP($B411,'[1]Nov-25'!$A:$A,'[1]Nov-25'!$H:$H,0)</f>
        <v>0</v>
      </c>
      <c r="AC411" s="17">
        <f>_xlfn.XLOOKUP($B411,'[1]Dec-25'!$A:$A,'[1]Dec-25'!$H:$H,0)</f>
        <v>0</v>
      </c>
      <c r="AD411" s="17">
        <f>_xlfn.XLOOKUP($B411,'[1]Jan-26'!$A:$A,'[1]Jan-26'!$H:$H,0)</f>
        <v>0</v>
      </c>
      <c r="AE411" s="17">
        <f>_xlfn.XLOOKUP($B411,'[1]Feb-26'!$A:$A,'[1]Feb-26'!$H:$H,0)</f>
        <v>0</v>
      </c>
      <c r="AF411" s="17">
        <f>_xlfn.XLOOKUP($B411,'[1]Mar-26'!$A:$A,'[1]Mar-26'!$H:$H,0)</f>
        <v>0</v>
      </c>
      <c r="AG411" s="17">
        <f>_xlfn.XLOOKUP($B411,'[1]Apr-26'!$A:$A,'[1]Apr-26'!$H:$H,0)</f>
        <v>0</v>
      </c>
    </row>
    <row r="412" spans="1:33" x14ac:dyDescent="0.2">
      <c r="A412" s="58">
        <v>60208</v>
      </c>
      <c r="B412" s="56" t="str">
        <f t="shared" si="12"/>
        <v>60208</v>
      </c>
      <c r="C412" s="57" t="s">
        <v>574</v>
      </c>
      <c r="D412" s="57" t="s">
        <v>387</v>
      </c>
      <c r="E412" s="44" t="s">
        <v>588</v>
      </c>
      <c r="F412" s="17">
        <f>_xlfn.XLOOKUP($B412,'[1]Jan-24'!$A:$A,'[1]Jan-24'!$H:$H,0)</f>
        <v>0</v>
      </c>
      <c r="G412" s="17">
        <f>_xlfn.XLOOKUP($B412,'[1]Feb-24'!$A:$A,'[1]Feb-24'!$H:$H,0)</f>
        <v>0</v>
      </c>
      <c r="H412" s="17">
        <f>_xlfn.XLOOKUP($B412,'[1]Mar-24'!$A:$A,'[1]Mar-24'!$H:$H,0)</f>
        <v>0</v>
      </c>
      <c r="I412" s="17">
        <f>_xlfn.XLOOKUP($B412,'[1]Apr-24'!$A:$A,'[1]Apr-24'!$H:$H,0)</f>
        <v>0</v>
      </c>
      <c r="J412" s="17">
        <f>_xlfn.XLOOKUP($B412,'[1]May-24'!$A:$A,'[1]May-24'!$H:$H,0)</f>
        <v>0</v>
      </c>
      <c r="K412" s="17">
        <f>_xlfn.XLOOKUP($B412,'[1]Jun-24'!$A:$A,'[1]Jun-24'!$H:$H,0)</f>
        <v>0</v>
      </c>
      <c r="L412" s="17">
        <f>_xlfn.XLOOKUP($B412,'[1]Jul-24'!$A:$A,'[1]Jul-24'!$H:$H,0)</f>
        <v>0</v>
      </c>
      <c r="M412" s="17">
        <f>_xlfn.XLOOKUP($B412,'[1]Aug-24'!$A:$A,'[1]Aug-24'!$H:$H,0)</f>
        <v>0</v>
      </c>
      <c r="N412" s="17">
        <f>_xlfn.XLOOKUP($B412,'[1]Sep-24'!$A:$A,'[1]Sep-24'!$H:$H,0)</f>
        <v>0</v>
      </c>
      <c r="O412" s="17">
        <f>_xlfn.XLOOKUP($B412,'[1]Oct-24'!$A:$A,'[1]Oct-24'!$H:$H,0)</f>
        <v>0</v>
      </c>
      <c r="P412" s="17">
        <f>_xlfn.XLOOKUP($B412,'[1]Nov-24'!$A:$A,'[1]Nov-24'!$H:$H,0)</f>
        <v>0</v>
      </c>
      <c r="Q412" s="17">
        <f>_xlfn.XLOOKUP($B412,'[1]Dec-24'!$A:$A,'[1]Dec-24'!$H:$H,0)</f>
        <v>0</v>
      </c>
      <c r="R412" s="17">
        <f>_xlfn.XLOOKUP($B412,'[1]Jan-25'!$A:$A,'[1]Jan-25'!$H:$H,0)</f>
        <v>0</v>
      </c>
      <c r="S412" s="17">
        <f>_xlfn.XLOOKUP($B412,'[1]Feb-25'!$A:$A,'[1]Feb-25'!$H:$H,0)</f>
        <v>0</v>
      </c>
      <c r="T412" s="17">
        <f>_xlfn.XLOOKUP($B412,'[1]Mar-25'!$A:$A,'[1]Mar-25'!$H:$H,0)</f>
        <v>0</v>
      </c>
      <c r="U412" s="17">
        <f>_xlfn.XLOOKUP($B412,'[1]Apr-25'!$A:$A,'[1]Apr-25'!$H:$H,0)</f>
        <v>0</v>
      </c>
      <c r="V412" s="17">
        <f>_xlfn.XLOOKUP($B412,'[1]May-25'!$A:$A,'[1]May-25'!$H:$H,0)</f>
        <v>0</v>
      </c>
      <c r="W412" s="17">
        <f>_xlfn.XLOOKUP($B412,'[1]Jun-25'!$A:$A,'[1]Jun-25'!$H:$H,0)</f>
        <v>0</v>
      </c>
      <c r="X412" s="17">
        <f>_xlfn.XLOOKUP($B412,'[1]Jul-25'!$A:$A,'[1]Jul-25'!$H:$H,0)</f>
        <v>0</v>
      </c>
      <c r="Y412" s="17">
        <f>_xlfn.XLOOKUP($B412,'[1]Aug-25'!$A:$A,'[1]Aug-25'!$H:$H,0)</f>
        <v>0</v>
      </c>
      <c r="Z412" s="17">
        <f>_xlfn.XLOOKUP($B412,'[1]Sep-25'!$A:$A,'[1]Sep-25'!$H:$H,0)</f>
        <v>0</v>
      </c>
      <c r="AA412" s="17">
        <f>_xlfn.XLOOKUP($B412,'[1]Oct-25'!$A:$A,'[1]Oct-25'!$H:$H,0)</f>
        <v>0</v>
      </c>
      <c r="AB412" s="17">
        <f>_xlfn.XLOOKUP($B412,'[1]Nov-25'!$A:$A,'[1]Nov-25'!$H:$H,0)</f>
        <v>0</v>
      </c>
      <c r="AC412" s="17">
        <f>_xlfn.XLOOKUP($B412,'[1]Dec-25'!$A:$A,'[1]Dec-25'!$H:$H,0)</f>
        <v>0</v>
      </c>
      <c r="AD412" s="17">
        <f>_xlfn.XLOOKUP($B412,'[1]Jan-26'!$A:$A,'[1]Jan-26'!$H:$H,0)</f>
        <v>0</v>
      </c>
      <c r="AE412" s="17">
        <f>_xlfn.XLOOKUP($B412,'[1]Feb-26'!$A:$A,'[1]Feb-26'!$H:$H,0)</f>
        <v>0</v>
      </c>
      <c r="AF412" s="17">
        <f>_xlfn.XLOOKUP($B412,'[1]Mar-26'!$A:$A,'[1]Mar-26'!$H:$H,0)</f>
        <v>0</v>
      </c>
      <c r="AG412" s="17">
        <f>_xlfn.XLOOKUP($B412,'[1]Apr-26'!$A:$A,'[1]Apr-26'!$H:$H,0)</f>
        <v>0</v>
      </c>
    </row>
    <row r="413" spans="1:33" x14ac:dyDescent="0.2">
      <c r="A413" s="58">
        <v>60209</v>
      </c>
      <c r="B413" s="56" t="str">
        <f t="shared" si="12"/>
        <v>60209</v>
      </c>
      <c r="C413" s="57" t="s">
        <v>574</v>
      </c>
      <c r="D413" s="57" t="s">
        <v>387</v>
      </c>
      <c r="E413" s="44" t="s">
        <v>589</v>
      </c>
      <c r="F413" s="17">
        <f>_xlfn.XLOOKUP($B413,'[1]Jan-24'!$A:$A,'[1]Jan-24'!$H:$H,0)</f>
        <v>0</v>
      </c>
      <c r="G413" s="17">
        <f>_xlfn.XLOOKUP($B413,'[1]Feb-24'!$A:$A,'[1]Feb-24'!$H:$H,0)</f>
        <v>0</v>
      </c>
      <c r="H413" s="17">
        <f>_xlfn.XLOOKUP($B413,'[1]Mar-24'!$A:$A,'[1]Mar-24'!$H:$H,0)</f>
        <v>0</v>
      </c>
      <c r="I413" s="17">
        <f>_xlfn.XLOOKUP($B413,'[1]Apr-24'!$A:$A,'[1]Apr-24'!$H:$H,0)</f>
        <v>0</v>
      </c>
      <c r="J413" s="17">
        <f>_xlfn.XLOOKUP($B413,'[1]May-24'!$A:$A,'[1]May-24'!$H:$H,0)</f>
        <v>0</v>
      </c>
      <c r="K413" s="17">
        <f>_xlfn.XLOOKUP($B413,'[1]Jun-24'!$A:$A,'[1]Jun-24'!$H:$H,0)</f>
        <v>0</v>
      </c>
      <c r="L413" s="17">
        <f>_xlfn.XLOOKUP($B413,'[1]Jul-24'!$A:$A,'[1]Jul-24'!$H:$H,0)</f>
        <v>0</v>
      </c>
      <c r="M413" s="17">
        <f>_xlfn.XLOOKUP($B413,'[1]Aug-24'!$A:$A,'[1]Aug-24'!$H:$H,0)</f>
        <v>0</v>
      </c>
      <c r="N413" s="17">
        <f>_xlfn.XLOOKUP($B413,'[1]Sep-24'!$A:$A,'[1]Sep-24'!$H:$H,0)</f>
        <v>0</v>
      </c>
      <c r="O413" s="17">
        <f>_xlfn.XLOOKUP($B413,'[1]Oct-24'!$A:$A,'[1]Oct-24'!$H:$H,0)</f>
        <v>0</v>
      </c>
      <c r="P413" s="17">
        <f>_xlfn.XLOOKUP($B413,'[1]Nov-24'!$A:$A,'[1]Nov-24'!$H:$H,0)</f>
        <v>0</v>
      </c>
      <c r="Q413" s="17">
        <f>_xlfn.XLOOKUP($B413,'[1]Dec-24'!$A:$A,'[1]Dec-24'!$H:$H,0)</f>
        <v>0</v>
      </c>
      <c r="R413" s="17">
        <f>_xlfn.XLOOKUP($B413,'[1]Jan-25'!$A:$A,'[1]Jan-25'!$H:$H,0)</f>
        <v>0</v>
      </c>
      <c r="S413" s="17">
        <f>_xlfn.XLOOKUP($B413,'[1]Feb-25'!$A:$A,'[1]Feb-25'!$H:$H,0)</f>
        <v>0</v>
      </c>
      <c r="T413" s="17">
        <f>_xlfn.XLOOKUP($B413,'[1]Mar-25'!$A:$A,'[1]Mar-25'!$H:$H,0)</f>
        <v>0</v>
      </c>
      <c r="U413" s="17">
        <f>_xlfn.XLOOKUP($B413,'[1]Apr-25'!$A:$A,'[1]Apr-25'!$H:$H,0)</f>
        <v>0</v>
      </c>
      <c r="V413" s="17">
        <f>_xlfn.XLOOKUP($B413,'[1]May-25'!$A:$A,'[1]May-25'!$H:$H,0)</f>
        <v>0</v>
      </c>
      <c r="W413" s="17">
        <f>_xlfn.XLOOKUP($B413,'[1]Jun-25'!$A:$A,'[1]Jun-25'!$H:$H,0)</f>
        <v>0</v>
      </c>
      <c r="X413" s="17">
        <f>_xlfn.XLOOKUP($B413,'[1]Jul-25'!$A:$A,'[1]Jul-25'!$H:$H,0)</f>
        <v>0</v>
      </c>
      <c r="Y413" s="17">
        <f>_xlfn.XLOOKUP($B413,'[1]Aug-25'!$A:$A,'[1]Aug-25'!$H:$H,0)</f>
        <v>0</v>
      </c>
      <c r="Z413" s="17">
        <f>_xlfn.XLOOKUP($B413,'[1]Sep-25'!$A:$A,'[1]Sep-25'!$H:$H,0)</f>
        <v>0</v>
      </c>
      <c r="AA413" s="17">
        <f>_xlfn.XLOOKUP($B413,'[1]Oct-25'!$A:$A,'[1]Oct-25'!$H:$H,0)</f>
        <v>0</v>
      </c>
      <c r="AB413" s="17">
        <f>_xlfn.XLOOKUP($B413,'[1]Nov-25'!$A:$A,'[1]Nov-25'!$H:$H,0)</f>
        <v>0</v>
      </c>
      <c r="AC413" s="17">
        <f>_xlfn.XLOOKUP($B413,'[1]Dec-25'!$A:$A,'[1]Dec-25'!$H:$H,0)</f>
        <v>0</v>
      </c>
      <c r="AD413" s="17">
        <f>_xlfn.XLOOKUP($B413,'[1]Jan-26'!$A:$A,'[1]Jan-26'!$H:$H,0)</f>
        <v>0</v>
      </c>
      <c r="AE413" s="17">
        <f>_xlfn.XLOOKUP($B413,'[1]Feb-26'!$A:$A,'[1]Feb-26'!$H:$H,0)</f>
        <v>0</v>
      </c>
      <c r="AF413" s="17">
        <f>_xlfn.XLOOKUP($B413,'[1]Mar-26'!$A:$A,'[1]Mar-26'!$H:$H,0)</f>
        <v>0</v>
      </c>
      <c r="AG413" s="17">
        <f>_xlfn.XLOOKUP($B413,'[1]Apr-26'!$A:$A,'[1]Apr-26'!$H:$H,0)</f>
        <v>0</v>
      </c>
    </row>
    <row r="414" spans="1:33" x14ac:dyDescent="0.2">
      <c r="A414" s="58">
        <v>60210</v>
      </c>
      <c r="B414" s="56" t="str">
        <f t="shared" si="12"/>
        <v>60210</v>
      </c>
      <c r="C414" s="57" t="s">
        <v>574</v>
      </c>
      <c r="D414" s="57" t="s">
        <v>387</v>
      </c>
      <c r="E414" s="44" t="s">
        <v>590</v>
      </c>
      <c r="F414" s="17">
        <f>_xlfn.XLOOKUP($B414,'[1]Jan-24'!$A:$A,'[1]Jan-24'!$H:$H,0)</f>
        <v>970707.6100000001</v>
      </c>
      <c r="G414" s="17">
        <f>_xlfn.XLOOKUP($B414,'[1]Feb-24'!$A:$A,'[1]Feb-24'!$H:$H,0)</f>
        <v>0</v>
      </c>
      <c r="H414" s="17">
        <f>_xlfn.XLOOKUP($B414,'[1]Mar-24'!$A:$A,'[1]Mar-24'!$H:$H,0)</f>
        <v>731885</v>
      </c>
      <c r="I414" s="17">
        <f>_xlfn.XLOOKUP($B414,'[1]Apr-24'!$A:$A,'[1]Apr-24'!$H:$H,0)</f>
        <v>3873367.1900000004</v>
      </c>
      <c r="J414" s="17">
        <f>_xlfn.XLOOKUP($B414,'[1]May-24'!$A:$A,'[1]May-24'!$H:$H,0)</f>
        <v>9955805.1999999993</v>
      </c>
      <c r="K414" s="17">
        <f>_xlfn.XLOOKUP($B414,'[1]Jun-24'!$A:$A,'[1]Jun-24'!$H:$H,0)</f>
        <v>20068048.760000002</v>
      </c>
      <c r="L414" s="17">
        <f>_xlfn.XLOOKUP($B414,'[1]Jul-24'!$A:$A,'[1]Jul-24'!$H:$H,0)</f>
        <v>10462672.91</v>
      </c>
      <c r="M414" s="17">
        <f>_xlfn.XLOOKUP($B414,'[1]Aug-24'!$A:$A,'[1]Aug-24'!$H:$H,0)</f>
        <v>11087430.330000002</v>
      </c>
      <c r="N414" s="17">
        <f>_xlfn.XLOOKUP($B414,'[1]Sep-24'!$A:$A,'[1]Sep-24'!$H:$H,0)</f>
        <v>501748.59999999963</v>
      </c>
      <c r="O414" s="17">
        <f>_xlfn.XLOOKUP($B414,'[1]Oct-24'!$A:$A,'[1]Oct-24'!$H:$H,0)</f>
        <v>17456505.419999998</v>
      </c>
      <c r="P414" s="17">
        <f>_xlfn.XLOOKUP($B414,'[1]Nov-24'!$A:$A,'[1]Nov-24'!$H:$H,0)</f>
        <v>7142775.0599999996</v>
      </c>
      <c r="Q414" s="17">
        <f>_xlfn.XLOOKUP($B414,'[1]Dec-24'!$A:$A,'[1]Dec-24'!$H:$H,0)</f>
        <v>4156900</v>
      </c>
      <c r="R414" s="17">
        <f>_xlfn.XLOOKUP($B414,'[1]Jan-25'!$A:$A,'[1]Jan-25'!$H:$H,0)</f>
        <v>1447811.07</v>
      </c>
      <c r="S414" s="17">
        <f>_xlfn.XLOOKUP($B414,'[1]Feb-25'!$A:$A,'[1]Feb-25'!$H:$H,0)</f>
        <v>6258383.4699999997</v>
      </c>
      <c r="T414" s="17">
        <f>_xlfn.XLOOKUP($B414,'[1]Mar-25'!$A:$A,'[1]Mar-25'!$H:$H,0)</f>
        <v>10325193.42</v>
      </c>
      <c r="U414" s="17">
        <f>_xlfn.XLOOKUP($B414,'[1]Apr-25'!$A:$A,'[1]Apr-25'!$H:$H,0)</f>
        <v>2408187.3500000006</v>
      </c>
      <c r="V414" s="17">
        <f>_xlfn.XLOOKUP($B414,'[1]May-25'!$A:$A,'[1]May-25'!$H:$H,0)</f>
        <v>5377065.3799999999</v>
      </c>
      <c r="W414" s="17">
        <f>_xlfn.XLOOKUP($B414,'[1]Jun-25'!$A:$A,'[1]Jun-25'!$H:$H,0)</f>
        <v>10142860.890000001</v>
      </c>
      <c r="X414" s="17">
        <f>_xlfn.XLOOKUP($B414,'[1]Jul-25'!$A:$A,'[1]Jul-25'!$H:$H,0)</f>
        <v>3317310.64</v>
      </c>
      <c r="Y414" s="17">
        <f>_xlfn.XLOOKUP($B414,'[1]Aug-25'!$A:$A,'[1]Aug-25'!$H:$H,0)</f>
        <v>8727440.3200000003</v>
      </c>
      <c r="Z414" s="17">
        <f>_xlfn.XLOOKUP($B414,'[1]Sep-25'!$A:$A,'[1]Sep-25'!$H:$H,0)</f>
        <v>3014733.25</v>
      </c>
      <c r="AA414" s="17">
        <f>_xlfn.XLOOKUP($B414,'[1]Oct-25'!$A:$A,'[1]Oct-25'!$H:$H,0)</f>
        <v>8235789.9199999999</v>
      </c>
      <c r="AB414" s="17">
        <f>_xlfn.XLOOKUP($B414,'[1]Nov-25'!$A:$A,'[1]Nov-25'!$H:$H,0)</f>
        <v>11913615.84</v>
      </c>
      <c r="AC414" s="17">
        <f>_xlfn.XLOOKUP($B414,'[1]Dec-25'!$A:$A,'[1]Dec-25'!$H:$H,0)</f>
        <v>687827.39</v>
      </c>
      <c r="AD414" s="17">
        <f>_xlfn.XLOOKUP($B414,'[1]Jan-26'!$A:$A,'[1]Jan-26'!$H:$H,0)</f>
        <v>3695790.41</v>
      </c>
      <c r="AE414" s="17">
        <f>_xlfn.XLOOKUP($B414,'[1]Feb-26'!$A:$A,'[1]Feb-26'!$H:$H,0)</f>
        <v>10809863.960000001</v>
      </c>
      <c r="AF414" s="17">
        <f>_xlfn.XLOOKUP($B414,'[1]Mar-26'!$A:$A,'[1]Mar-26'!$H:$H,0)</f>
        <v>19589850.420000002</v>
      </c>
      <c r="AG414" s="17">
        <f>_xlfn.XLOOKUP($B414,'[1]Apr-26'!$A:$A,'[1]Apr-26'!$H:$H,0)</f>
        <v>8062766.6500000004</v>
      </c>
    </row>
    <row r="415" spans="1:33" x14ac:dyDescent="0.2">
      <c r="A415" s="58">
        <v>60211</v>
      </c>
      <c r="B415" s="56" t="str">
        <f t="shared" si="12"/>
        <v>60211</v>
      </c>
      <c r="C415" s="57" t="s">
        <v>574</v>
      </c>
      <c r="D415" s="57" t="s">
        <v>387</v>
      </c>
      <c r="E415" s="44" t="s">
        <v>591</v>
      </c>
      <c r="F415" s="17">
        <f>_xlfn.XLOOKUP($B415,'[1]Jan-24'!$A:$A,'[1]Jan-24'!$H:$H,0)</f>
        <v>-4957.5</v>
      </c>
      <c r="G415" s="17">
        <f>_xlfn.XLOOKUP($B415,'[1]Feb-24'!$A:$A,'[1]Feb-24'!$H:$H,0)</f>
        <v>0</v>
      </c>
      <c r="H415" s="17">
        <f>_xlfn.XLOOKUP($B415,'[1]Mar-24'!$A:$A,'[1]Mar-24'!$H:$H,0)</f>
        <v>258160</v>
      </c>
      <c r="I415" s="17">
        <f>_xlfn.XLOOKUP($B415,'[1]Apr-24'!$A:$A,'[1]Apr-24'!$H:$H,0)</f>
        <v>0</v>
      </c>
      <c r="J415" s="17">
        <f>_xlfn.XLOOKUP($B415,'[1]May-24'!$A:$A,'[1]May-24'!$H:$H,0)</f>
        <v>83545.56</v>
      </c>
      <c r="K415" s="17">
        <f>_xlfn.XLOOKUP($B415,'[1]Jun-24'!$A:$A,'[1]Jun-24'!$H:$H,0)</f>
        <v>5792525.1399999997</v>
      </c>
      <c r="L415" s="17">
        <f>_xlfn.XLOOKUP($B415,'[1]Jul-24'!$A:$A,'[1]Jul-24'!$H:$H,0)</f>
        <v>113064.6</v>
      </c>
      <c r="M415" s="17">
        <f>_xlfn.XLOOKUP($B415,'[1]Aug-24'!$A:$A,'[1]Aug-24'!$H:$H,0)</f>
        <v>429683.37</v>
      </c>
      <c r="N415" s="17">
        <f>_xlfn.XLOOKUP($B415,'[1]Sep-24'!$A:$A,'[1]Sep-24'!$H:$H,0)</f>
        <v>1060644.78</v>
      </c>
      <c r="O415" s="17">
        <f>_xlfn.XLOOKUP($B415,'[1]Oct-24'!$A:$A,'[1]Oct-24'!$H:$H,0)</f>
        <v>102016.53</v>
      </c>
      <c r="P415" s="17">
        <f>_xlfn.XLOOKUP($B415,'[1]Nov-24'!$A:$A,'[1]Nov-24'!$H:$H,0)</f>
        <v>43023.360000000001</v>
      </c>
      <c r="Q415" s="17">
        <f>_xlfn.XLOOKUP($B415,'[1]Dec-24'!$A:$A,'[1]Dec-24'!$H:$H,0)</f>
        <v>0</v>
      </c>
      <c r="R415" s="17">
        <f>_xlfn.XLOOKUP($B415,'[1]Jan-25'!$A:$A,'[1]Jan-25'!$H:$H,0)</f>
        <v>20000</v>
      </c>
      <c r="S415" s="17">
        <f>_xlfn.XLOOKUP($B415,'[1]Feb-25'!$A:$A,'[1]Feb-25'!$H:$H,0)</f>
        <v>0</v>
      </c>
      <c r="T415" s="17">
        <f>_xlfn.XLOOKUP($B415,'[1]Mar-25'!$A:$A,'[1]Mar-25'!$H:$H,0)</f>
        <v>9700</v>
      </c>
      <c r="U415" s="17">
        <f>_xlfn.XLOOKUP($B415,'[1]Apr-25'!$A:$A,'[1]Apr-25'!$H:$H,0)</f>
        <v>80035.45</v>
      </c>
      <c r="V415" s="17">
        <f>_xlfn.XLOOKUP($B415,'[1]May-25'!$A:$A,'[1]May-25'!$H:$H,0)</f>
        <v>50000</v>
      </c>
      <c r="W415" s="17">
        <f>_xlfn.XLOOKUP($B415,'[1]Jun-25'!$A:$A,'[1]Jun-25'!$H:$H,0)</f>
        <v>77437</v>
      </c>
      <c r="X415" s="17">
        <f>_xlfn.XLOOKUP($B415,'[1]Jul-25'!$A:$A,'[1]Jul-25'!$H:$H,0)</f>
        <v>0</v>
      </c>
      <c r="Y415" s="17">
        <f>_xlfn.XLOOKUP($B415,'[1]Aug-25'!$A:$A,'[1]Aug-25'!$H:$H,0)</f>
        <v>81927.98</v>
      </c>
      <c r="Z415" s="17">
        <f>_xlfn.XLOOKUP($B415,'[1]Sep-25'!$A:$A,'[1]Sep-25'!$H:$H,0)</f>
        <v>0</v>
      </c>
      <c r="AA415" s="17">
        <f>_xlfn.XLOOKUP($B415,'[1]Oct-25'!$A:$A,'[1]Oct-25'!$H:$H,0)</f>
        <v>0</v>
      </c>
      <c r="AB415" s="17">
        <f>_xlfn.XLOOKUP($B415,'[1]Nov-25'!$A:$A,'[1]Nov-25'!$H:$H,0)</f>
        <v>6000</v>
      </c>
      <c r="AC415" s="17">
        <f>_xlfn.XLOOKUP($B415,'[1]Dec-25'!$A:$A,'[1]Dec-25'!$H:$H,0)</f>
        <v>151890</v>
      </c>
      <c r="AD415" s="17">
        <f>_xlfn.XLOOKUP($B415,'[1]Jan-26'!$A:$A,'[1]Jan-26'!$H:$H,0)</f>
        <v>125852.93</v>
      </c>
      <c r="AE415" s="17">
        <f>_xlfn.XLOOKUP($B415,'[1]Feb-26'!$A:$A,'[1]Feb-26'!$H:$H,0)</f>
        <v>211996.79999999999</v>
      </c>
      <c r="AF415" s="17">
        <f>_xlfn.XLOOKUP($B415,'[1]Mar-26'!$A:$A,'[1]Mar-26'!$H:$H,0)</f>
        <v>880164.51</v>
      </c>
      <c r="AG415" s="17">
        <f>_xlfn.XLOOKUP($B415,'[1]Apr-26'!$A:$A,'[1]Apr-26'!$H:$H,0)</f>
        <v>90500</v>
      </c>
    </row>
    <row r="416" spans="1:33" x14ac:dyDescent="0.2">
      <c r="A416" s="58">
        <v>60212</v>
      </c>
      <c r="B416" s="56" t="str">
        <f t="shared" si="12"/>
        <v>60212</v>
      </c>
      <c r="C416" s="57" t="s">
        <v>549</v>
      </c>
      <c r="D416" s="57" t="s">
        <v>387</v>
      </c>
      <c r="E416" s="44" t="s">
        <v>592</v>
      </c>
      <c r="F416" s="17">
        <f>_xlfn.XLOOKUP($B416,'[1]Jan-24'!$A:$A,'[1]Jan-24'!$H:$H,0)</f>
        <v>0</v>
      </c>
      <c r="G416" s="17">
        <f>_xlfn.XLOOKUP($B416,'[1]Feb-24'!$A:$A,'[1]Feb-24'!$H:$H,0)</f>
        <v>0</v>
      </c>
      <c r="H416" s="17">
        <f>_xlfn.XLOOKUP($B416,'[1]Mar-24'!$A:$A,'[1]Mar-24'!$H:$H,0)</f>
        <v>0</v>
      </c>
      <c r="I416" s="17">
        <f>_xlfn.XLOOKUP($B416,'[1]Apr-24'!$A:$A,'[1]Apr-24'!$H:$H,0)</f>
        <v>0</v>
      </c>
      <c r="J416" s="17">
        <f>_xlfn.XLOOKUP($B416,'[1]May-24'!$A:$A,'[1]May-24'!$H:$H,0)</f>
        <v>0</v>
      </c>
      <c r="K416" s="17">
        <f>_xlfn.XLOOKUP($B416,'[1]Jun-24'!$A:$A,'[1]Jun-24'!$H:$H,0)</f>
        <v>0</v>
      </c>
      <c r="L416" s="17">
        <f>_xlfn.XLOOKUP($B416,'[1]Jul-24'!$A:$A,'[1]Jul-24'!$H:$H,0)</f>
        <v>0</v>
      </c>
      <c r="M416" s="17">
        <f>_xlfn.XLOOKUP($B416,'[1]Aug-24'!$A:$A,'[1]Aug-24'!$H:$H,0)</f>
        <v>0</v>
      </c>
      <c r="N416" s="17">
        <f>_xlfn.XLOOKUP($B416,'[1]Sep-24'!$A:$A,'[1]Sep-24'!$H:$H,0)</f>
        <v>0</v>
      </c>
      <c r="O416" s="17">
        <f>_xlfn.XLOOKUP($B416,'[1]Oct-24'!$A:$A,'[1]Oct-24'!$H:$H,0)</f>
        <v>0</v>
      </c>
      <c r="P416" s="17">
        <f>_xlfn.XLOOKUP($B416,'[1]Nov-24'!$A:$A,'[1]Nov-24'!$H:$H,0)</f>
        <v>0</v>
      </c>
      <c r="Q416" s="17">
        <f>_xlfn.XLOOKUP($B416,'[1]Dec-24'!$A:$A,'[1]Dec-24'!$H:$H,0)</f>
        <v>0</v>
      </c>
      <c r="R416" s="17">
        <f>_xlfn.XLOOKUP($B416,'[1]Jan-25'!$A:$A,'[1]Jan-25'!$H:$H,0)</f>
        <v>0</v>
      </c>
      <c r="S416" s="17">
        <f>_xlfn.XLOOKUP($B416,'[1]Feb-25'!$A:$A,'[1]Feb-25'!$H:$H,0)</f>
        <v>0</v>
      </c>
      <c r="T416" s="17">
        <f>_xlfn.XLOOKUP($B416,'[1]Mar-25'!$A:$A,'[1]Mar-25'!$H:$H,0)</f>
        <v>0</v>
      </c>
      <c r="U416" s="17">
        <f>_xlfn.XLOOKUP($B416,'[1]Apr-25'!$A:$A,'[1]Apr-25'!$H:$H,0)</f>
        <v>0</v>
      </c>
      <c r="V416" s="17">
        <f>_xlfn.XLOOKUP($B416,'[1]May-25'!$A:$A,'[1]May-25'!$H:$H,0)</f>
        <v>0</v>
      </c>
      <c r="W416" s="17">
        <f>_xlfn.XLOOKUP($B416,'[1]Jun-25'!$A:$A,'[1]Jun-25'!$H:$H,0)</f>
        <v>0</v>
      </c>
      <c r="X416" s="17">
        <f>_xlfn.XLOOKUP($B416,'[1]Jul-25'!$A:$A,'[1]Jul-25'!$H:$H,0)</f>
        <v>0</v>
      </c>
      <c r="Y416" s="17">
        <f>_xlfn.XLOOKUP($B416,'[1]Aug-25'!$A:$A,'[1]Aug-25'!$H:$H,0)</f>
        <v>0</v>
      </c>
      <c r="Z416" s="17">
        <f>_xlfn.XLOOKUP($B416,'[1]Sep-25'!$A:$A,'[1]Sep-25'!$H:$H,0)</f>
        <v>0</v>
      </c>
      <c r="AA416" s="17">
        <f>_xlfn.XLOOKUP($B416,'[1]Oct-25'!$A:$A,'[1]Oct-25'!$H:$H,0)</f>
        <v>0</v>
      </c>
      <c r="AB416" s="17">
        <f>_xlfn.XLOOKUP($B416,'[1]Nov-25'!$A:$A,'[1]Nov-25'!$H:$H,0)</f>
        <v>0</v>
      </c>
      <c r="AC416" s="17">
        <f>_xlfn.XLOOKUP($B416,'[1]Dec-25'!$A:$A,'[1]Dec-25'!$H:$H,0)</f>
        <v>0</v>
      </c>
      <c r="AD416" s="17">
        <f>_xlfn.XLOOKUP($B416,'[1]Jan-26'!$A:$A,'[1]Jan-26'!$H:$H,0)</f>
        <v>0</v>
      </c>
      <c r="AE416" s="17">
        <f>_xlfn.XLOOKUP($B416,'[1]Feb-26'!$A:$A,'[1]Feb-26'!$H:$H,0)</f>
        <v>0</v>
      </c>
      <c r="AF416" s="17">
        <f>_xlfn.XLOOKUP($B416,'[1]Mar-26'!$A:$A,'[1]Mar-26'!$H:$H,0)</f>
        <v>0</v>
      </c>
      <c r="AG416" s="17">
        <f>_xlfn.XLOOKUP($B416,'[1]Apr-26'!$A:$A,'[1]Apr-26'!$H:$H,0)</f>
        <v>0</v>
      </c>
    </row>
    <row r="417" spans="1:33" x14ac:dyDescent="0.2">
      <c r="A417" s="58">
        <v>60213</v>
      </c>
      <c r="B417" s="56" t="str">
        <f t="shared" si="12"/>
        <v>60213</v>
      </c>
      <c r="C417" s="57" t="s">
        <v>593</v>
      </c>
      <c r="D417" s="57" t="s">
        <v>387</v>
      </c>
      <c r="E417" s="44" t="s">
        <v>594</v>
      </c>
      <c r="F417" s="17">
        <f>_xlfn.XLOOKUP($B417,'[1]Jan-24'!$A:$A,'[1]Jan-24'!$H:$H,0)</f>
        <v>417600</v>
      </c>
      <c r="G417" s="17">
        <f>_xlfn.XLOOKUP($B417,'[1]Feb-24'!$A:$A,'[1]Feb-24'!$H:$H,0)</f>
        <v>0</v>
      </c>
      <c r="H417" s="17">
        <f>_xlfn.XLOOKUP($B417,'[1]Mar-24'!$A:$A,'[1]Mar-24'!$H:$H,0)</f>
        <v>0</v>
      </c>
      <c r="I417" s="17">
        <f>_xlfn.XLOOKUP($B417,'[1]Apr-24'!$A:$A,'[1]Apr-24'!$H:$H,0)</f>
        <v>0</v>
      </c>
      <c r="J417" s="17">
        <f>_xlfn.XLOOKUP($B417,'[1]May-24'!$A:$A,'[1]May-24'!$H:$H,0)</f>
        <v>250000</v>
      </c>
      <c r="K417" s="17">
        <f>_xlfn.XLOOKUP($B417,'[1]Jun-24'!$A:$A,'[1]Jun-24'!$H:$H,0)</f>
        <v>0</v>
      </c>
      <c r="L417" s="17">
        <f>_xlfn.XLOOKUP($B417,'[1]Jul-24'!$A:$A,'[1]Jul-24'!$H:$H,0)</f>
        <v>0</v>
      </c>
      <c r="M417" s="17">
        <f>_xlfn.XLOOKUP($B417,'[1]Aug-24'!$A:$A,'[1]Aug-24'!$H:$H,0)</f>
        <v>0</v>
      </c>
      <c r="N417" s="17">
        <f>_xlfn.XLOOKUP($B417,'[1]Sep-24'!$A:$A,'[1]Sep-24'!$H:$H,0)</f>
        <v>0</v>
      </c>
      <c r="O417" s="17">
        <f>_xlfn.XLOOKUP($B417,'[1]Oct-24'!$A:$A,'[1]Oct-24'!$H:$H,0)</f>
        <v>0</v>
      </c>
      <c r="P417" s="17">
        <f>_xlfn.XLOOKUP($B417,'[1]Nov-24'!$A:$A,'[1]Nov-24'!$H:$H,0)</f>
        <v>500000</v>
      </c>
      <c r="Q417" s="17">
        <f>_xlfn.XLOOKUP($B417,'[1]Dec-24'!$A:$A,'[1]Dec-24'!$H:$H,0)</f>
        <v>0</v>
      </c>
      <c r="R417" s="17">
        <f>_xlfn.XLOOKUP($B417,'[1]Jan-25'!$A:$A,'[1]Jan-25'!$H:$H,0)</f>
        <v>5000</v>
      </c>
      <c r="S417" s="17">
        <f>_xlfn.XLOOKUP($B417,'[1]Feb-25'!$A:$A,'[1]Feb-25'!$H:$H,0)</f>
        <v>17000</v>
      </c>
      <c r="T417" s="17">
        <f>_xlfn.XLOOKUP($B417,'[1]Mar-25'!$A:$A,'[1]Mar-25'!$H:$H,0)</f>
        <v>0</v>
      </c>
      <c r="U417" s="17">
        <f>_xlfn.XLOOKUP($B417,'[1]Apr-25'!$A:$A,'[1]Apr-25'!$H:$H,0)</f>
        <v>0</v>
      </c>
      <c r="V417" s="17">
        <f>_xlfn.XLOOKUP($B417,'[1]May-25'!$A:$A,'[1]May-25'!$H:$H,0)</f>
        <v>230698.75</v>
      </c>
      <c r="W417" s="17">
        <f>_xlfn.XLOOKUP($B417,'[1]Jun-25'!$A:$A,'[1]Jun-25'!$H:$H,0)</f>
        <v>0</v>
      </c>
      <c r="X417" s="17">
        <f>_xlfn.XLOOKUP($B417,'[1]Jul-25'!$A:$A,'[1]Jul-25'!$H:$H,0)</f>
        <v>0</v>
      </c>
      <c r="Y417" s="17">
        <f>_xlfn.XLOOKUP($B417,'[1]Aug-25'!$A:$A,'[1]Aug-25'!$H:$H,0)</f>
        <v>0</v>
      </c>
      <c r="Z417" s="17">
        <f>_xlfn.XLOOKUP($B417,'[1]Sep-25'!$A:$A,'[1]Sep-25'!$H:$H,0)</f>
        <v>0</v>
      </c>
      <c r="AA417" s="17">
        <f>_xlfn.XLOOKUP($B417,'[1]Oct-25'!$A:$A,'[1]Oct-25'!$H:$H,0)</f>
        <v>0</v>
      </c>
      <c r="AB417" s="17">
        <f>_xlfn.XLOOKUP($B417,'[1]Nov-25'!$A:$A,'[1]Nov-25'!$H:$H,0)</f>
        <v>0</v>
      </c>
      <c r="AC417" s="17">
        <f>_xlfn.XLOOKUP($B417,'[1]Dec-25'!$A:$A,'[1]Dec-25'!$H:$H,0)</f>
        <v>21300</v>
      </c>
      <c r="AD417" s="17">
        <f>_xlfn.XLOOKUP($B417,'[1]Jan-26'!$A:$A,'[1]Jan-26'!$H:$H,0)</f>
        <v>0</v>
      </c>
      <c r="AE417" s="17">
        <f>_xlfn.XLOOKUP($B417,'[1]Feb-26'!$A:$A,'[1]Feb-26'!$H:$H,0)</f>
        <v>150000</v>
      </c>
      <c r="AF417" s="17">
        <f>_xlfn.XLOOKUP($B417,'[1]Mar-26'!$A:$A,'[1]Mar-26'!$H:$H,0)</f>
        <v>0</v>
      </c>
      <c r="AG417" s="17">
        <f>_xlfn.XLOOKUP($B417,'[1]Apr-26'!$A:$A,'[1]Apr-26'!$H:$H,0)</f>
        <v>0</v>
      </c>
    </row>
    <row r="418" spans="1:33" x14ac:dyDescent="0.2">
      <c r="A418" s="58">
        <v>60214</v>
      </c>
      <c r="B418" s="56" t="str">
        <f t="shared" si="12"/>
        <v>60214</v>
      </c>
      <c r="C418" s="57" t="s">
        <v>552</v>
      </c>
      <c r="D418" s="57" t="s">
        <v>387</v>
      </c>
      <c r="E418" s="44" t="s">
        <v>595</v>
      </c>
      <c r="F418" s="17">
        <f>_xlfn.XLOOKUP($B418,'[1]Jan-24'!$A:$A,'[1]Jan-24'!$H:$H,0)</f>
        <v>0</v>
      </c>
      <c r="G418" s="17">
        <f>_xlfn.XLOOKUP($B418,'[1]Feb-24'!$A:$A,'[1]Feb-24'!$H:$H,0)</f>
        <v>0</v>
      </c>
      <c r="H418" s="17">
        <f>_xlfn.XLOOKUP($B418,'[1]Mar-24'!$A:$A,'[1]Mar-24'!$H:$H,0)</f>
        <v>0</v>
      </c>
      <c r="I418" s="17">
        <f>_xlfn.XLOOKUP($B418,'[1]Apr-24'!$A:$A,'[1]Apr-24'!$H:$H,0)</f>
        <v>0</v>
      </c>
      <c r="J418" s="17">
        <f>_xlfn.XLOOKUP($B418,'[1]May-24'!$A:$A,'[1]May-24'!$H:$H,0)</f>
        <v>400000</v>
      </c>
      <c r="K418" s="17">
        <f>_xlfn.XLOOKUP($B418,'[1]Jun-24'!$A:$A,'[1]Jun-24'!$H:$H,0)</f>
        <v>355200</v>
      </c>
      <c r="L418" s="17">
        <f>_xlfn.XLOOKUP($B418,'[1]Jul-24'!$A:$A,'[1]Jul-24'!$H:$H,0)</f>
        <v>500000</v>
      </c>
      <c r="M418" s="17">
        <f>_xlfn.XLOOKUP($B418,'[1]Aug-24'!$A:$A,'[1]Aug-24'!$H:$H,0)</f>
        <v>0</v>
      </c>
      <c r="N418" s="17">
        <f>_xlfn.XLOOKUP($B418,'[1]Sep-24'!$A:$A,'[1]Sep-24'!$H:$H,0)</f>
        <v>0</v>
      </c>
      <c r="O418" s="17">
        <f>_xlfn.XLOOKUP($B418,'[1]Oct-24'!$A:$A,'[1]Oct-24'!$H:$H,0)</f>
        <v>0</v>
      </c>
      <c r="P418" s="17">
        <f>_xlfn.XLOOKUP($B418,'[1]Nov-24'!$A:$A,'[1]Nov-24'!$H:$H,0)</f>
        <v>0</v>
      </c>
      <c r="Q418" s="17">
        <f>_xlfn.XLOOKUP($B418,'[1]Dec-24'!$A:$A,'[1]Dec-24'!$H:$H,0)</f>
        <v>0</v>
      </c>
      <c r="R418" s="17">
        <f>_xlfn.XLOOKUP($B418,'[1]Jan-25'!$A:$A,'[1]Jan-25'!$H:$H,0)</f>
        <v>0</v>
      </c>
      <c r="S418" s="17">
        <f>_xlfn.XLOOKUP($B418,'[1]Feb-25'!$A:$A,'[1]Feb-25'!$H:$H,0)</f>
        <v>0</v>
      </c>
      <c r="T418" s="17">
        <f>_xlfn.XLOOKUP($B418,'[1]Mar-25'!$A:$A,'[1]Mar-25'!$H:$H,0)</f>
        <v>0</v>
      </c>
      <c r="U418" s="17">
        <f>_xlfn.XLOOKUP($B418,'[1]Apr-25'!$A:$A,'[1]Apr-25'!$H:$H,0)</f>
        <v>0</v>
      </c>
      <c r="V418" s="17">
        <f>_xlfn.XLOOKUP($B418,'[1]May-25'!$A:$A,'[1]May-25'!$H:$H,0)</f>
        <v>0</v>
      </c>
      <c r="W418" s="17">
        <f>_xlfn.XLOOKUP($B418,'[1]Jun-25'!$A:$A,'[1]Jun-25'!$H:$H,0)</f>
        <v>0</v>
      </c>
      <c r="X418" s="17">
        <f>_xlfn.XLOOKUP($B418,'[1]Jul-25'!$A:$A,'[1]Jul-25'!$H:$H,0)</f>
        <v>0</v>
      </c>
      <c r="Y418" s="17">
        <f>_xlfn.XLOOKUP($B418,'[1]Aug-25'!$A:$A,'[1]Aug-25'!$H:$H,0)</f>
        <v>0</v>
      </c>
      <c r="Z418" s="17">
        <f>_xlfn.XLOOKUP($B418,'[1]Sep-25'!$A:$A,'[1]Sep-25'!$H:$H,0)</f>
        <v>0</v>
      </c>
      <c r="AA418" s="17">
        <f>_xlfn.XLOOKUP($B418,'[1]Oct-25'!$A:$A,'[1]Oct-25'!$H:$H,0)</f>
        <v>0</v>
      </c>
      <c r="AB418" s="17">
        <f>_xlfn.XLOOKUP($B418,'[1]Nov-25'!$A:$A,'[1]Nov-25'!$H:$H,0)</f>
        <v>0</v>
      </c>
      <c r="AC418" s="17">
        <f>_xlfn.XLOOKUP($B418,'[1]Dec-25'!$A:$A,'[1]Dec-25'!$H:$H,0)</f>
        <v>0</v>
      </c>
      <c r="AD418" s="17">
        <f>_xlfn.XLOOKUP($B418,'[1]Jan-26'!$A:$A,'[1]Jan-26'!$H:$H,0)</f>
        <v>0</v>
      </c>
      <c r="AE418" s="17">
        <f>_xlfn.XLOOKUP($B418,'[1]Feb-26'!$A:$A,'[1]Feb-26'!$H:$H,0)</f>
        <v>0</v>
      </c>
      <c r="AF418" s="17">
        <f>_xlfn.XLOOKUP($B418,'[1]Mar-26'!$A:$A,'[1]Mar-26'!$H:$H,0)</f>
        <v>0</v>
      </c>
      <c r="AG418" s="17">
        <f>_xlfn.XLOOKUP($B418,'[1]Apr-26'!$A:$A,'[1]Apr-26'!$H:$H,0)</f>
        <v>0</v>
      </c>
    </row>
    <row r="419" spans="1:33" x14ac:dyDescent="0.2">
      <c r="A419" s="58">
        <v>60215</v>
      </c>
      <c r="B419" s="56" t="str">
        <f t="shared" si="12"/>
        <v>60215</v>
      </c>
      <c r="C419" s="57" t="s">
        <v>389</v>
      </c>
      <c r="D419" s="57" t="s">
        <v>387</v>
      </c>
      <c r="E419" s="44" t="s">
        <v>596</v>
      </c>
      <c r="F419" s="17">
        <f>_xlfn.XLOOKUP($B419,'[1]Jan-24'!$A:$A,'[1]Jan-24'!$H:$H,0)</f>
        <v>0</v>
      </c>
      <c r="G419" s="17">
        <f>_xlfn.XLOOKUP($B419,'[1]Feb-24'!$A:$A,'[1]Feb-24'!$H:$H,0)</f>
        <v>0</v>
      </c>
      <c r="H419" s="17">
        <f>_xlfn.XLOOKUP($B419,'[1]Mar-24'!$A:$A,'[1]Mar-24'!$H:$H,0)</f>
        <v>0</v>
      </c>
      <c r="I419" s="17">
        <f>_xlfn.XLOOKUP($B419,'[1]Apr-24'!$A:$A,'[1]Apr-24'!$H:$H,0)</f>
        <v>0</v>
      </c>
      <c r="J419" s="17">
        <f>_xlfn.XLOOKUP($B419,'[1]May-24'!$A:$A,'[1]May-24'!$H:$H,0)</f>
        <v>0</v>
      </c>
      <c r="K419" s="17">
        <f>_xlfn.XLOOKUP($B419,'[1]Jun-24'!$A:$A,'[1]Jun-24'!$H:$H,0)</f>
        <v>0</v>
      </c>
      <c r="L419" s="17">
        <f>_xlfn.XLOOKUP($B419,'[1]Jul-24'!$A:$A,'[1]Jul-24'!$H:$H,0)</f>
        <v>0</v>
      </c>
      <c r="M419" s="17">
        <f>_xlfn.XLOOKUP($B419,'[1]Aug-24'!$A:$A,'[1]Aug-24'!$H:$H,0)</f>
        <v>0</v>
      </c>
      <c r="N419" s="17">
        <f>_xlfn.XLOOKUP($B419,'[1]Sep-24'!$A:$A,'[1]Sep-24'!$H:$H,0)</f>
        <v>0</v>
      </c>
      <c r="O419" s="17">
        <f>_xlfn.XLOOKUP($B419,'[1]Oct-24'!$A:$A,'[1]Oct-24'!$H:$H,0)</f>
        <v>0</v>
      </c>
      <c r="P419" s="17">
        <f>_xlfn.XLOOKUP($B419,'[1]Nov-24'!$A:$A,'[1]Nov-24'!$H:$H,0)</f>
        <v>0</v>
      </c>
      <c r="Q419" s="17">
        <f>_xlfn.XLOOKUP($B419,'[1]Dec-24'!$A:$A,'[1]Dec-24'!$H:$H,0)</f>
        <v>0</v>
      </c>
      <c r="R419" s="17">
        <f>_xlfn.XLOOKUP($B419,'[1]Jan-25'!$A:$A,'[1]Jan-25'!$H:$H,0)</f>
        <v>0</v>
      </c>
      <c r="S419" s="17">
        <f>_xlfn.XLOOKUP($B419,'[1]Feb-25'!$A:$A,'[1]Feb-25'!$H:$H,0)</f>
        <v>0</v>
      </c>
      <c r="T419" s="17">
        <f>_xlfn.XLOOKUP($B419,'[1]Mar-25'!$A:$A,'[1]Mar-25'!$H:$H,0)</f>
        <v>0</v>
      </c>
      <c r="U419" s="17">
        <f>_xlfn.XLOOKUP($B419,'[1]Apr-25'!$A:$A,'[1]Apr-25'!$H:$H,0)</f>
        <v>0</v>
      </c>
      <c r="V419" s="17">
        <f>_xlfn.XLOOKUP($B419,'[1]May-25'!$A:$A,'[1]May-25'!$H:$H,0)</f>
        <v>0</v>
      </c>
      <c r="W419" s="17">
        <f>_xlfn.XLOOKUP($B419,'[1]Jun-25'!$A:$A,'[1]Jun-25'!$H:$H,0)</f>
        <v>0</v>
      </c>
      <c r="X419" s="17">
        <f>_xlfn.XLOOKUP($B419,'[1]Jul-25'!$A:$A,'[1]Jul-25'!$H:$H,0)</f>
        <v>0</v>
      </c>
      <c r="Y419" s="17">
        <f>_xlfn.XLOOKUP($B419,'[1]Aug-25'!$A:$A,'[1]Aug-25'!$H:$H,0)</f>
        <v>0</v>
      </c>
      <c r="Z419" s="17">
        <f>_xlfn.XLOOKUP($B419,'[1]Sep-25'!$A:$A,'[1]Sep-25'!$H:$H,0)</f>
        <v>0</v>
      </c>
      <c r="AA419" s="17">
        <f>_xlfn.XLOOKUP($B419,'[1]Oct-25'!$A:$A,'[1]Oct-25'!$H:$H,0)</f>
        <v>0</v>
      </c>
      <c r="AB419" s="17">
        <f>_xlfn.XLOOKUP($B419,'[1]Nov-25'!$A:$A,'[1]Nov-25'!$H:$H,0)</f>
        <v>0</v>
      </c>
      <c r="AC419" s="17">
        <f>_xlfn.XLOOKUP($B419,'[1]Dec-25'!$A:$A,'[1]Dec-25'!$H:$H,0)</f>
        <v>0</v>
      </c>
      <c r="AD419" s="17">
        <f>_xlfn.XLOOKUP($B419,'[1]Jan-26'!$A:$A,'[1]Jan-26'!$H:$H,0)</f>
        <v>0</v>
      </c>
      <c r="AE419" s="17">
        <f>_xlfn.XLOOKUP($B419,'[1]Feb-26'!$A:$A,'[1]Feb-26'!$H:$H,0)</f>
        <v>0</v>
      </c>
      <c r="AF419" s="17">
        <f>_xlfn.XLOOKUP($B419,'[1]Mar-26'!$A:$A,'[1]Mar-26'!$H:$H,0)</f>
        <v>0</v>
      </c>
      <c r="AG419" s="17">
        <f>_xlfn.XLOOKUP($B419,'[1]Apr-26'!$A:$A,'[1]Apr-26'!$H:$H,0)</f>
        <v>0</v>
      </c>
    </row>
    <row r="420" spans="1:33" x14ac:dyDescent="0.2">
      <c r="A420" s="58">
        <v>60216</v>
      </c>
      <c r="B420" s="56" t="str">
        <f t="shared" si="12"/>
        <v>60216</v>
      </c>
      <c r="C420" s="57" t="s">
        <v>389</v>
      </c>
      <c r="D420" s="57" t="s">
        <v>387</v>
      </c>
      <c r="E420" s="44" t="s">
        <v>597</v>
      </c>
      <c r="F420" s="17">
        <f>_xlfn.XLOOKUP($B420,'[1]Jan-24'!$A:$A,'[1]Jan-24'!$H:$H,0)</f>
        <v>0</v>
      </c>
      <c r="G420" s="17">
        <f>_xlfn.XLOOKUP($B420,'[1]Feb-24'!$A:$A,'[1]Feb-24'!$H:$H,0)</f>
        <v>0</v>
      </c>
      <c r="H420" s="17">
        <f>_xlfn.XLOOKUP($B420,'[1]Mar-24'!$A:$A,'[1]Mar-24'!$H:$H,0)</f>
        <v>0</v>
      </c>
      <c r="I420" s="17">
        <f>_xlfn.XLOOKUP($B420,'[1]Apr-24'!$A:$A,'[1]Apr-24'!$H:$H,0)</f>
        <v>0</v>
      </c>
      <c r="J420" s="17">
        <f>_xlfn.XLOOKUP($B420,'[1]May-24'!$A:$A,'[1]May-24'!$H:$H,0)</f>
        <v>0</v>
      </c>
      <c r="K420" s="17">
        <f>_xlfn.XLOOKUP($B420,'[1]Jun-24'!$A:$A,'[1]Jun-24'!$H:$H,0)</f>
        <v>0</v>
      </c>
      <c r="L420" s="17">
        <f>_xlfn.XLOOKUP($B420,'[1]Jul-24'!$A:$A,'[1]Jul-24'!$H:$H,0)</f>
        <v>0</v>
      </c>
      <c r="M420" s="17">
        <f>_xlfn.XLOOKUP($B420,'[1]Aug-24'!$A:$A,'[1]Aug-24'!$H:$H,0)</f>
        <v>0</v>
      </c>
      <c r="N420" s="17">
        <f>_xlfn.XLOOKUP($B420,'[1]Sep-24'!$A:$A,'[1]Sep-24'!$H:$H,0)</f>
        <v>0</v>
      </c>
      <c r="O420" s="17">
        <f>_xlfn.XLOOKUP($B420,'[1]Oct-24'!$A:$A,'[1]Oct-24'!$H:$H,0)</f>
        <v>0</v>
      </c>
      <c r="P420" s="17">
        <f>_xlfn.XLOOKUP($B420,'[1]Nov-24'!$A:$A,'[1]Nov-24'!$H:$H,0)</f>
        <v>0</v>
      </c>
      <c r="Q420" s="17">
        <f>_xlfn.XLOOKUP($B420,'[1]Dec-24'!$A:$A,'[1]Dec-24'!$H:$H,0)</f>
        <v>0</v>
      </c>
      <c r="R420" s="17">
        <f>_xlfn.XLOOKUP($B420,'[1]Jan-25'!$A:$A,'[1]Jan-25'!$H:$H,0)</f>
        <v>0</v>
      </c>
      <c r="S420" s="17">
        <f>_xlfn.XLOOKUP($B420,'[1]Feb-25'!$A:$A,'[1]Feb-25'!$H:$H,0)</f>
        <v>0</v>
      </c>
      <c r="T420" s="17">
        <f>_xlfn.XLOOKUP($B420,'[1]Mar-25'!$A:$A,'[1]Mar-25'!$H:$H,0)</f>
        <v>0</v>
      </c>
      <c r="U420" s="17">
        <f>_xlfn.XLOOKUP($B420,'[1]Apr-25'!$A:$A,'[1]Apr-25'!$H:$H,0)</f>
        <v>0</v>
      </c>
      <c r="V420" s="17">
        <f>_xlfn.XLOOKUP($B420,'[1]May-25'!$A:$A,'[1]May-25'!$H:$H,0)</f>
        <v>0</v>
      </c>
      <c r="W420" s="17">
        <f>_xlfn.XLOOKUP($B420,'[1]Jun-25'!$A:$A,'[1]Jun-25'!$H:$H,0)</f>
        <v>0</v>
      </c>
      <c r="X420" s="17">
        <f>_xlfn.XLOOKUP($B420,'[1]Jul-25'!$A:$A,'[1]Jul-25'!$H:$H,0)</f>
        <v>0</v>
      </c>
      <c r="Y420" s="17">
        <f>_xlfn.XLOOKUP($B420,'[1]Aug-25'!$A:$A,'[1]Aug-25'!$H:$H,0)</f>
        <v>0</v>
      </c>
      <c r="Z420" s="17">
        <f>_xlfn.XLOOKUP($B420,'[1]Sep-25'!$A:$A,'[1]Sep-25'!$H:$H,0)</f>
        <v>0</v>
      </c>
      <c r="AA420" s="17">
        <f>_xlfn.XLOOKUP($B420,'[1]Oct-25'!$A:$A,'[1]Oct-25'!$H:$H,0)</f>
        <v>0</v>
      </c>
      <c r="AB420" s="17">
        <f>_xlfn.XLOOKUP($B420,'[1]Nov-25'!$A:$A,'[1]Nov-25'!$H:$H,0)</f>
        <v>0</v>
      </c>
      <c r="AC420" s="17">
        <f>_xlfn.XLOOKUP($B420,'[1]Dec-25'!$A:$A,'[1]Dec-25'!$H:$H,0)</f>
        <v>0</v>
      </c>
      <c r="AD420" s="17">
        <f>_xlfn.XLOOKUP($B420,'[1]Jan-26'!$A:$A,'[1]Jan-26'!$H:$H,0)</f>
        <v>0</v>
      </c>
      <c r="AE420" s="17">
        <f>_xlfn.XLOOKUP($B420,'[1]Feb-26'!$A:$A,'[1]Feb-26'!$H:$H,0)</f>
        <v>0</v>
      </c>
      <c r="AF420" s="17">
        <f>_xlfn.XLOOKUP($B420,'[1]Mar-26'!$A:$A,'[1]Mar-26'!$H:$H,0)</f>
        <v>0</v>
      </c>
      <c r="AG420" s="17">
        <f>_xlfn.XLOOKUP($B420,'[1]Apr-26'!$A:$A,'[1]Apr-26'!$H:$H,0)</f>
        <v>0</v>
      </c>
    </row>
    <row r="421" spans="1:33" x14ac:dyDescent="0.2">
      <c r="A421" s="58">
        <v>60217</v>
      </c>
      <c r="B421" s="56" t="str">
        <f t="shared" si="12"/>
        <v>60217</v>
      </c>
      <c r="C421" s="57" t="s">
        <v>552</v>
      </c>
      <c r="D421" s="57" t="s">
        <v>387</v>
      </c>
      <c r="E421" s="44" t="s">
        <v>598</v>
      </c>
      <c r="F421" s="17">
        <f>_xlfn.XLOOKUP($B421,'[1]Jan-24'!$A:$A,'[1]Jan-24'!$H:$H,0)</f>
        <v>1499484.6</v>
      </c>
      <c r="G421" s="17">
        <f>_xlfn.XLOOKUP($B421,'[1]Feb-24'!$A:$A,'[1]Feb-24'!$H:$H,0)</f>
        <v>52000</v>
      </c>
      <c r="H421" s="17">
        <f>_xlfn.XLOOKUP($B421,'[1]Mar-24'!$A:$A,'[1]Mar-24'!$H:$H,0)</f>
        <v>0</v>
      </c>
      <c r="I421" s="17">
        <f>_xlfn.XLOOKUP($B421,'[1]Apr-24'!$A:$A,'[1]Apr-24'!$H:$H,0)</f>
        <v>2458600</v>
      </c>
      <c r="J421" s="17">
        <f>_xlfn.XLOOKUP($B421,'[1]May-24'!$A:$A,'[1]May-24'!$H:$H,0)</f>
        <v>0</v>
      </c>
      <c r="K421" s="17">
        <f>_xlfn.XLOOKUP($B421,'[1]Jun-24'!$A:$A,'[1]Jun-24'!$H:$H,0)</f>
        <v>2085000</v>
      </c>
      <c r="L421" s="17">
        <f>_xlfn.XLOOKUP($B421,'[1]Jul-24'!$A:$A,'[1]Jul-24'!$H:$H,0)</f>
        <v>0</v>
      </c>
      <c r="M421" s="17">
        <f>_xlfn.XLOOKUP($B421,'[1]Aug-24'!$A:$A,'[1]Aug-24'!$H:$H,0)</f>
        <v>1649800</v>
      </c>
      <c r="N421" s="17">
        <f>_xlfn.XLOOKUP($B421,'[1]Sep-24'!$A:$A,'[1]Sep-24'!$H:$H,0)</f>
        <v>0</v>
      </c>
      <c r="O421" s="17">
        <f>_xlfn.XLOOKUP($B421,'[1]Oct-24'!$A:$A,'[1]Oct-24'!$H:$H,0)</f>
        <v>1631250</v>
      </c>
      <c r="P421" s="17">
        <f>_xlfn.XLOOKUP($B421,'[1]Nov-24'!$A:$A,'[1]Nov-24'!$H:$H,0)</f>
        <v>0</v>
      </c>
      <c r="Q421" s="17">
        <f>_xlfn.XLOOKUP($B421,'[1]Dec-24'!$A:$A,'[1]Dec-24'!$H:$H,0)</f>
        <v>1702500</v>
      </c>
      <c r="R421" s="17">
        <f>_xlfn.XLOOKUP($B421,'[1]Jan-25'!$A:$A,'[1]Jan-25'!$H:$H,0)</f>
        <v>0</v>
      </c>
      <c r="S421" s="17">
        <f>_xlfn.XLOOKUP($B421,'[1]Feb-25'!$A:$A,'[1]Feb-25'!$H:$H,0)</f>
        <v>1702500</v>
      </c>
      <c r="T421" s="17">
        <f>_xlfn.XLOOKUP($B421,'[1]Mar-25'!$A:$A,'[1]Mar-25'!$H:$H,0)</f>
        <v>0</v>
      </c>
      <c r="U421" s="17">
        <f>_xlfn.XLOOKUP($B421,'[1]Apr-25'!$A:$A,'[1]Apr-25'!$H:$H,0)</f>
        <v>1544250</v>
      </c>
      <c r="V421" s="17">
        <f>_xlfn.XLOOKUP($B421,'[1]May-25'!$A:$A,'[1]May-25'!$H:$H,0)</f>
        <v>1435500</v>
      </c>
      <c r="W421" s="17">
        <f>_xlfn.XLOOKUP($B421,'[1]Jun-25'!$A:$A,'[1]Jun-25'!$H:$H,0)</f>
        <v>0</v>
      </c>
      <c r="X421" s="17">
        <f>_xlfn.XLOOKUP($B421,'[1]Jul-25'!$A:$A,'[1]Jul-25'!$H:$H,0)</f>
        <v>0</v>
      </c>
      <c r="Y421" s="17">
        <f>_xlfn.XLOOKUP($B421,'[1]Aug-25'!$A:$A,'[1]Aug-25'!$H:$H,0)</f>
        <v>1417500</v>
      </c>
      <c r="Z421" s="17">
        <f>_xlfn.XLOOKUP($B421,'[1]Sep-25'!$A:$A,'[1]Sep-25'!$H:$H,0)</f>
        <v>0</v>
      </c>
      <c r="AA421" s="17">
        <f>_xlfn.XLOOKUP($B421,'[1]Oct-25'!$A:$A,'[1]Oct-25'!$H:$H,0)</f>
        <v>0</v>
      </c>
      <c r="AB421" s="17">
        <f>_xlfn.XLOOKUP($B421,'[1]Nov-25'!$A:$A,'[1]Nov-25'!$H:$H,0)</f>
        <v>1565500</v>
      </c>
      <c r="AC421" s="17">
        <f>_xlfn.XLOOKUP($B421,'[1]Dec-25'!$A:$A,'[1]Dec-25'!$H:$H,0)</f>
        <v>0</v>
      </c>
      <c r="AD421" s="17">
        <f>_xlfn.XLOOKUP($B421,'[1]Jan-26'!$A:$A,'[1]Jan-26'!$H:$H,0)</f>
        <v>0</v>
      </c>
      <c r="AE421" s="17">
        <f>_xlfn.XLOOKUP($B421,'[1]Feb-26'!$A:$A,'[1]Feb-26'!$H:$H,0)</f>
        <v>0</v>
      </c>
      <c r="AF421" s="17">
        <f>_xlfn.XLOOKUP($B421,'[1]Mar-26'!$A:$A,'[1]Mar-26'!$H:$H,0)</f>
        <v>2170000</v>
      </c>
      <c r="AG421" s="17">
        <f>_xlfn.XLOOKUP($B421,'[1]Apr-26'!$A:$A,'[1]Apr-26'!$H:$H,0)</f>
        <v>0</v>
      </c>
    </row>
    <row r="422" spans="1:33" x14ac:dyDescent="0.2">
      <c r="A422" s="58">
        <v>60218</v>
      </c>
      <c r="B422" s="56" t="str">
        <f t="shared" si="12"/>
        <v>60218</v>
      </c>
      <c r="C422" s="57" t="s">
        <v>574</v>
      </c>
      <c r="D422" s="57" t="s">
        <v>387</v>
      </c>
      <c r="E422" s="44" t="s">
        <v>599</v>
      </c>
      <c r="F422" s="17">
        <f>_xlfn.XLOOKUP($B422,'[1]Jan-24'!$A:$A,'[1]Jan-24'!$H:$H,0)</f>
        <v>0</v>
      </c>
      <c r="G422" s="17">
        <f>_xlfn.XLOOKUP($B422,'[1]Feb-24'!$A:$A,'[1]Feb-24'!$H:$H,0)</f>
        <v>0</v>
      </c>
      <c r="H422" s="17">
        <f>_xlfn.XLOOKUP($B422,'[1]Mar-24'!$A:$A,'[1]Mar-24'!$H:$H,0)</f>
        <v>0</v>
      </c>
      <c r="I422" s="17">
        <f>_xlfn.XLOOKUP($B422,'[1]Apr-24'!$A:$A,'[1]Apr-24'!$H:$H,0)</f>
        <v>0</v>
      </c>
      <c r="J422" s="17">
        <f>_xlfn.XLOOKUP($B422,'[1]May-24'!$A:$A,'[1]May-24'!$H:$H,0)</f>
        <v>0</v>
      </c>
      <c r="K422" s="17">
        <f>_xlfn.XLOOKUP($B422,'[1]Jun-24'!$A:$A,'[1]Jun-24'!$H:$H,0)</f>
        <v>0</v>
      </c>
      <c r="L422" s="17">
        <f>_xlfn.XLOOKUP($B422,'[1]Jul-24'!$A:$A,'[1]Jul-24'!$H:$H,0)</f>
        <v>0</v>
      </c>
      <c r="M422" s="17">
        <f>_xlfn.XLOOKUP($B422,'[1]Aug-24'!$A:$A,'[1]Aug-24'!$H:$H,0)</f>
        <v>0</v>
      </c>
      <c r="N422" s="17">
        <f>_xlfn.XLOOKUP($B422,'[1]Sep-24'!$A:$A,'[1]Sep-24'!$H:$H,0)</f>
        <v>0</v>
      </c>
      <c r="O422" s="17">
        <f>_xlfn.XLOOKUP($B422,'[1]Oct-24'!$A:$A,'[1]Oct-24'!$H:$H,0)</f>
        <v>0</v>
      </c>
      <c r="P422" s="17">
        <f>_xlfn.XLOOKUP($B422,'[1]Nov-24'!$A:$A,'[1]Nov-24'!$H:$H,0)</f>
        <v>0</v>
      </c>
      <c r="Q422" s="17">
        <f>_xlfn.XLOOKUP($B422,'[1]Dec-24'!$A:$A,'[1]Dec-24'!$H:$H,0)</f>
        <v>0</v>
      </c>
      <c r="R422" s="17">
        <f>_xlfn.XLOOKUP($B422,'[1]Jan-25'!$A:$A,'[1]Jan-25'!$H:$H,0)</f>
        <v>0</v>
      </c>
      <c r="S422" s="17">
        <f>_xlfn.XLOOKUP($B422,'[1]Feb-25'!$A:$A,'[1]Feb-25'!$H:$H,0)</f>
        <v>0</v>
      </c>
      <c r="T422" s="17">
        <f>_xlfn.XLOOKUP($B422,'[1]Mar-25'!$A:$A,'[1]Mar-25'!$H:$H,0)</f>
        <v>0</v>
      </c>
      <c r="U422" s="17">
        <f>_xlfn.XLOOKUP($B422,'[1]Apr-25'!$A:$A,'[1]Apr-25'!$H:$H,0)</f>
        <v>0</v>
      </c>
      <c r="V422" s="17">
        <f>_xlfn.XLOOKUP($B422,'[1]May-25'!$A:$A,'[1]May-25'!$H:$H,0)</f>
        <v>0</v>
      </c>
      <c r="W422" s="17">
        <f>_xlfn.XLOOKUP($B422,'[1]Jun-25'!$A:$A,'[1]Jun-25'!$H:$H,0)</f>
        <v>0</v>
      </c>
      <c r="X422" s="17">
        <f>_xlfn.XLOOKUP($B422,'[1]Jul-25'!$A:$A,'[1]Jul-25'!$H:$H,0)</f>
        <v>0</v>
      </c>
      <c r="Y422" s="17">
        <f>_xlfn.XLOOKUP($B422,'[1]Aug-25'!$A:$A,'[1]Aug-25'!$H:$H,0)</f>
        <v>0</v>
      </c>
      <c r="Z422" s="17">
        <f>_xlfn.XLOOKUP($B422,'[1]Sep-25'!$A:$A,'[1]Sep-25'!$H:$H,0)</f>
        <v>0</v>
      </c>
      <c r="AA422" s="17">
        <f>_xlfn.XLOOKUP($B422,'[1]Oct-25'!$A:$A,'[1]Oct-25'!$H:$H,0)</f>
        <v>0</v>
      </c>
      <c r="AB422" s="17">
        <f>_xlfn.XLOOKUP($B422,'[1]Nov-25'!$A:$A,'[1]Nov-25'!$H:$H,0)</f>
        <v>0</v>
      </c>
      <c r="AC422" s="17">
        <f>_xlfn.XLOOKUP($B422,'[1]Dec-25'!$A:$A,'[1]Dec-25'!$H:$H,0)</f>
        <v>0</v>
      </c>
      <c r="AD422" s="17">
        <f>_xlfn.XLOOKUP($B422,'[1]Jan-26'!$A:$A,'[1]Jan-26'!$H:$H,0)</f>
        <v>0</v>
      </c>
      <c r="AE422" s="17">
        <f>_xlfn.XLOOKUP($B422,'[1]Feb-26'!$A:$A,'[1]Feb-26'!$H:$H,0)</f>
        <v>0</v>
      </c>
      <c r="AF422" s="17">
        <f>_xlfn.XLOOKUP($B422,'[1]Mar-26'!$A:$A,'[1]Mar-26'!$H:$H,0)</f>
        <v>0</v>
      </c>
      <c r="AG422" s="17">
        <f>_xlfn.XLOOKUP($B422,'[1]Apr-26'!$A:$A,'[1]Apr-26'!$H:$H,0)</f>
        <v>0</v>
      </c>
    </row>
    <row r="423" spans="1:33" x14ac:dyDescent="0.2">
      <c r="A423" s="58">
        <v>61000</v>
      </c>
      <c r="B423" s="56" t="str">
        <f t="shared" si="12"/>
        <v>61000</v>
      </c>
      <c r="C423" s="57" t="s">
        <v>574</v>
      </c>
      <c r="D423" s="57" t="s">
        <v>387</v>
      </c>
      <c r="E423" s="44" t="s">
        <v>600</v>
      </c>
      <c r="F423" s="17">
        <f>_xlfn.XLOOKUP($B423,'[1]Jan-24'!$A:$A,'[1]Jan-24'!$H:$H,0)</f>
        <v>0</v>
      </c>
      <c r="G423" s="17">
        <f>_xlfn.XLOOKUP($B423,'[1]Feb-24'!$A:$A,'[1]Feb-24'!$H:$H,0)</f>
        <v>0</v>
      </c>
      <c r="H423" s="17">
        <f>_xlfn.XLOOKUP($B423,'[1]Mar-24'!$A:$A,'[1]Mar-24'!$H:$H,0)</f>
        <v>0</v>
      </c>
      <c r="I423" s="17">
        <f>_xlfn.XLOOKUP($B423,'[1]Apr-24'!$A:$A,'[1]Apr-24'!$H:$H,0)</f>
        <v>0</v>
      </c>
      <c r="J423" s="17">
        <f>_xlfn.XLOOKUP($B423,'[1]May-24'!$A:$A,'[1]May-24'!$H:$H,0)</f>
        <v>0</v>
      </c>
      <c r="K423" s="17">
        <f>_xlfn.XLOOKUP($B423,'[1]Jun-24'!$A:$A,'[1]Jun-24'!$H:$H,0)</f>
        <v>0</v>
      </c>
      <c r="L423" s="17">
        <f>_xlfn.XLOOKUP($B423,'[1]Jul-24'!$A:$A,'[1]Jul-24'!$H:$H,0)</f>
        <v>0</v>
      </c>
      <c r="M423" s="17">
        <f>_xlfn.XLOOKUP($B423,'[1]Aug-24'!$A:$A,'[1]Aug-24'!$H:$H,0)</f>
        <v>0</v>
      </c>
      <c r="N423" s="17">
        <f>_xlfn.XLOOKUP($B423,'[1]Sep-24'!$A:$A,'[1]Sep-24'!$H:$H,0)</f>
        <v>0</v>
      </c>
      <c r="O423" s="17">
        <f>_xlfn.XLOOKUP($B423,'[1]Oct-24'!$A:$A,'[1]Oct-24'!$H:$H,0)</f>
        <v>0</v>
      </c>
      <c r="P423" s="17">
        <f>_xlfn.XLOOKUP($B423,'[1]Nov-24'!$A:$A,'[1]Nov-24'!$H:$H,0)</f>
        <v>0</v>
      </c>
      <c r="Q423" s="17">
        <f>_xlfn.XLOOKUP($B423,'[1]Dec-24'!$A:$A,'[1]Dec-24'!$H:$H,0)</f>
        <v>0</v>
      </c>
      <c r="R423" s="17">
        <f>_xlfn.XLOOKUP($B423,'[1]Jan-25'!$A:$A,'[1]Jan-25'!$H:$H,0)</f>
        <v>0</v>
      </c>
      <c r="S423" s="17">
        <f>_xlfn.XLOOKUP($B423,'[1]Feb-25'!$A:$A,'[1]Feb-25'!$H:$H,0)</f>
        <v>0</v>
      </c>
      <c r="T423" s="17">
        <f>_xlfn.XLOOKUP($B423,'[1]Mar-25'!$A:$A,'[1]Mar-25'!$H:$H,0)</f>
        <v>0</v>
      </c>
      <c r="U423" s="17">
        <f>_xlfn.XLOOKUP($B423,'[1]Apr-25'!$A:$A,'[1]Apr-25'!$H:$H,0)</f>
        <v>0</v>
      </c>
      <c r="V423" s="17">
        <f>_xlfn.XLOOKUP($B423,'[1]May-25'!$A:$A,'[1]May-25'!$H:$H,0)</f>
        <v>0</v>
      </c>
      <c r="W423" s="17">
        <f>_xlfn.XLOOKUP($B423,'[1]Jun-25'!$A:$A,'[1]Jun-25'!$H:$H,0)</f>
        <v>0</v>
      </c>
      <c r="X423" s="17">
        <f>_xlfn.XLOOKUP($B423,'[1]Jul-25'!$A:$A,'[1]Jul-25'!$H:$H,0)</f>
        <v>0</v>
      </c>
      <c r="Y423" s="17">
        <f>_xlfn.XLOOKUP($B423,'[1]Aug-25'!$A:$A,'[1]Aug-25'!$H:$H,0)</f>
        <v>0</v>
      </c>
      <c r="Z423" s="17">
        <f>_xlfn.XLOOKUP($B423,'[1]Sep-25'!$A:$A,'[1]Sep-25'!$H:$H,0)</f>
        <v>0</v>
      </c>
      <c r="AA423" s="17">
        <f>_xlfn.XLOOKUP($B423,'[1]Oct-25'!$A:$A,'[1]Oct-25'!$H:$H,0)</f>
        <v>0</v>
      </c>
      <c r="AB423" s="17">
        <f>_xlfn.XLOOKUP($B423,'[1]Nov-25'!$A:$A,'[1]Nov-25'!$H:$H,0)</f>
        <v>0</v>
      </c>
      <c r="AC423" s="17">
        <f>_xlfn.XLOOKUP($B423,'[1]Dec-25'!$A:$A,'[1]Dec-25'!$H:$H,0)</f>
        <v>0</v>
      </c>
      <c r="AD423" s="17">
        <f>_xlfn.XLOOKUP($B423,'[1]Jan-26'!$A:$A,'[1]Jan-26'!$H:$H,0)</f>
        <v>0</v>
      </c>
      <c r="AE423" s="17">
        <f>_xlfn.XLOOKUP($B423,'[1]Feb-26'!$A:$A,'[1]Feb-26'!$H:$H,0)</f>
        <v>0</v>
      </c>
      <c r="AF423" s="17">
        <f>_xlfn.XLOOKUP($B423,'[1]Mar-26'!$A:$A,'[1]Mar-26'!$H:$H,0)</f>
        <v>0</v>
      </c>
      <c r="AG423" s="17">
        <f>_xlfn.XLOOKUP($B423,'[1]Apr-26'!$A:$A,'[1]Apr-26'!$H:$H,0)</f>
        <v>0</v>
      </c>
    </row>
    <row r="424" spans="1:33" x14ac:dyDescent="0.2">
      <c r="A424" s="58">
        <v>61100</v>
      </c>
      <c r="B424" s="56" t="str">
        <f t="shared" si="12"/>
        <v>61100</v>
      </c>
      <c r="C424" s="57" t="s">
        <v>601</v>
      </c>
      <c r="D424" s="57" t="s">
        <v>387</v>
      </c>
      <c r="E424" s="44" t="s">
        <v>602</v>
      </c>
      <c r="F424" s="17">
        <f>_xlfn.XLOOKUP($B424,'[1]Jan-24'!$A:$A,'[1]Jan-24'!$H:$H,0)</f>
        <v>586910.6</v>
      </c>
      <c r="G424" s="17">
        <f>_xlfn.XLOOKUP($B424,'[1]Feb-24'!$A:$A,'[1]Feb-24'!$H:$H,0)</f>
        <v>2692877.52</v>
      </c>
      <c r="H424" s="17">
        <f>_xlfn.XLOOKUP($B424,'[1]Mar-24'!$A:$A,'[1]Mar-24'!$H:$H,0)</f>
        <v>885119.43</v>
      </c>
      <c r="I424" s="17">
        <f>_xlfn.XLOOKUP($B424,'[1]Apr-24'!$A:$A,'[1]Apr-24'!$H:$H,0)</f>
        <v>2845066.01</v>
      </c>
      <c r="J424" s="17">
        <f>_xlfn.XLOOKUP($B424,'[1]May-24'!$A:$A,'[1]May-24'!$H:$H,0)</f>
        <v>9329239.8399999999</v>
      </c>
      <c r="K424" s="17">
        <f>_xlfn.XLOOKUP($B424,'[1]Jun-24'!$A:$A,'[1]Jun-24'!$H:$H,0)</f>
        <v>12171384.17</v>
      </c>
      <c r="L424" s="17">
        <f>_xlfn.XLOOKUP($B424,'[1]Jul-24'!$A:$A,'[1]Jul-24'!$H:$H,0)</f>
        <v>1573803.8</v>
      </c>
      <c r="M424" s="17">
        <f>_xlfn.XLOOKUP($B424,'[1]Aug-24'!$A:$A,'[1]Aug-24'!$H:$H,0)</f>
        <v>5744907.4000000004</v>
      </c>
      <c r="N424" s="17">
        <f>_xlfn.XLOOKUP($B424,'[1]Sep-24'!$A:$A,'[1]Sep-24'!$H:$H,0)</f>
        <v>2336655.69</v>
      </c>
      <c r="O424" s="17">
        <f>_xlfn.XLOOKUP($B424,'[1]Oct-24'!$A:$A,'[1]Oct-24'!$H:$H,0)</f>
        <v>2961152.74</v>
      </c>
      <c r="P424" s="17">
        <f>_xlfn.XLOOKUP($B424,'[1]Nov-24'!$A:$A,'[1]Nov-24'!$H:$H,0)</f>
        <v>1525182.34</v>
      </c>
      <c r="Q424" s="17">
        <f>_xlfn.XLOOKUP($B424,'[1]Dec-24'!$A:$A,'[1]Dec-24'!$H:$H,0)</f>
        <v>2226577.75</v>
      </c>
      <c r="R424" s="17">
        <f>_xlfn.XLOOKUP($B424,'[1]Jan-25'!$A:$A,'[1]Jan-25'!$H:$H,0)</f>
        <v>2140427.44</v>
      </c>
      <c r="S424" s="17">
        <f>_xlfn.XLOOKUP($B424,'[1]Feb-25'!$A:$A,'[1]Feb-25'!$H:$H,0)</f>
        <v>1367690.48</v>
      </c>
      <c r="T424" s="17">
        <f>_xlfn.XLOOKUP($B424,'[1]Mar-25'!$A:$A,'[1]Mar-25'!$H:$H,0)</f>
        <v>544618.92000000004</v>
      </c>
      <c r="U424" s="17">
        <f>_xlfn.XLOOKUP($B424,'[1]Apr-25'!$A:$A,'[1]Apr-25'!$H:$H,0)</f>
        <v>2409099.87</v>
      </c>
      <c r="V424" s="17">
        <f>_xlfn.XLOOKUP($B424,'[1]May-25'!$A:$A,'[1]May-25'!$H:$H,0)</f>
        <v>3008825.7</v>
      </c>
      <c r="W424" s="17">
        <f>_xlfn.XLOOKUP($B424,'[1]Jun-25'!$A:$A,'[1]Jun-25'!$H:$H,0)</f>
        <v>2563945.2000000002</v>
      </c>
      <c r="X424" s="17">
        <f>_xlfn.XLOOKUP($B424,'[1]Jul-25'!$A:$A,'[1]Jul-25'!$H:$H,0)</f>
        <v>3104706.15</v>
      </c>
      <c r="Y424" s="17">
        <f>_xlfn.XLOOKUP($B424,'[1]Aug-25'!$A:$A,'[1]Aug-25'!$H:$H,0)</f>
        <v>2265669.0099999998</v>
      </c>
      <c r="Z424" s="17">
        <f>_xlfn.XLOOKUP($B424,'[1]Sep-25'!$A:$A,'[1]Sep-25'!$H:$H,0)</f>
        <v>2116946.19</v>
      </c>
      <c r="AA424" s="17">
        <f>_xlfn.XLOOKUP($B424,'[1]Oct-25'!$A:$A,'[1]Oct-25'!$H:$H,0)</f>
        <v>2809869.77</v>
      </c>
      <c r="AB424" s="17">
        <f>_xlfn.XLOOKUP($B424,'[1]Nov-25'!$A:$A,'[1]Nov-25'!$H:$H,0)</f>
        <v>2453233.17</v>
      </c>
      <c r="AC424" s="17">
        <f>_xlfn.XLOOKUP($B424,'[1]Dec-25'!$A:$A,'[1]Dec-25'!$H:$H,0)</f>
        <v>1978010.55</v>
      </c>
      <c r="AD424" s="17">
        <f>_xlfn.XLOOKUP($B424,'[1]Jan-26'!$A:$A,'[1]Jan-26'!$H:$H,0)</f>
        <v>760258.66999999993</v>
      </c>
      <c r="AE424" s="17">
        <f>_xlfn.XLOOKUP($B424,'[1]Feb-26'!$A:$A,'[1]Feb-26'!$H:$H,0)</f>
        <v>434465.09</v>
      </c>
      <c r="AF424" s="17">
        <f>_xlfn.XLOOKUP($B424,'[1]Mar-26'!$A:$A,'[1]Mar-26'!$H:$H,0)</f>
        <v>23770044.329999998</v>
      </c>
      <c r="AG424" s="17">
        <f>_xlfn.XLOOKUP($B424,'[1]Apr-26'!$A:$A,'[1]Apr-26'!$H:$H,0)</f>
        <v>1488233.13</v>
      </c>
    </row>
    <row r="425" spans="1:33" x14ac:dyDescent="0.2">
      <c r="A425" s="58">
        <v>61200</v>
      </c>
      <c r="B425" s="56" t="str">
        <f t="shared" si="12"/>
        <v>61200</v>
      </c>
      <c r="C425" s="57" t="s">
        <v>552</v>
      </c>
      <c r="D425" s="57" t="s">
        <v>387</v>
      </c>
      <c r="E425" s="44" t="s">
        <v>603</v>
      </c>
      <c r="F425" s="17">
        <f>_xlfn.XLOOKUP($B425,'[1]Jan-24'!$A:$A,'[1]Jan-24'!$H:$H,0)</f>
        <v>0</v>
      </c>
      <c r="G425" s="17">
        <f>_xlfn.XLOOKUP($B425,'[1]Feb-24'!$A:$A,'[1]Feb-24'!$H:$H,0)</f>
        <v>0</v>
      </c>
      <c r="H425" s="17">
        <f>_xlfn.XLOOKUP($B425,'[1]Mar-24'!$A:$A,'[1]Mar-24'!$H:$H,0)</f>
        <v>0</v>
      </c>
      <c r="I425" s="17">
        <f>_xlfn.XLOOKUP($B425,'[1]Apr-24'!$A:$A,'[1]Apr-24'!$H:$H,0)</f>
        <v>0</v>
      </c>
      <c r="J425" s="17">
        <f>_xlfn.XLOOKUP($B425,'[1]May-24'!$A:$A,'[1]May-24'!$H:$H,0)</f>
        <v>0</v>
      </c>
      <c r="K425" s="17">
        <f>_xlfn.XLOOKUP($B425,'[1]Jun-24'!$A:$A,'[1]Jun-24'!$H:$H,0)</f>
        <v>0</v>
      </c>
      <c r="L425" s="17">
        <f>_xlfn.XLOOKUP($B425,'[1]Jul-24'!$A:$A,'[1]Jul-24'!$H:$H,0)</f>
        <v>0</v>
      </c>
      <c r="M425" s="17">
        <f>_xlfn.XLOOKUP($B425,'[1]Aug-24'!$A:$A,'[1]Aug-24'!$H:$H,0)</f>
        <v>0</v>
      </c>
      <c r="N425" s="17">
        <f>_xlfn.XLOOKUP($B425,'[1]Sep-24'!$A:$A,'[1]Sep-24'!$H:$H,0)</f>
        <v>0</v>
      </c>
      <c r="O425" s="17">
        <f>_xlfn.XLOOKUP($B425,'[1]Oct-24'!$A:$A,'[1]Oct-24'!$H:$H,0)</f>
        <v>0</v>
      </c>
      <c r="P425" s="17">
        <f>_xlfn.XLOOKUP($B425,'[1]Nov-24'!$A:$A,'[1]Nov-24'!$H:$H,0)</f>
        <v>0</v>
      </c>
      <c r="Q425" s="17">
        <f>_xlfn.XLOOKUP($B425,'[1]Dec-24'!$A:$A,'[1]Dec-24'!$H:$H,0)</f>
        <v>0</v>
      </c>
      <c r="R425" s="17">
        <f>_xlfn.XLOOKUP($B425,'[1]Jan-25'!$A:$A,'[1]Jan-25'!$H:$H,0)</f>
        <v>0</v>
      </c>
      <c r="S425" s="17">
        <f>_xlfn.XLOOKUP($B425,'[1]Feb-25'!$A:$A,'[1]Feb-25'!$H:$H,0)</f>
        <v>0</v>
      </c>
      <c r="T425" s="17">
        <f>_xlfn.XLOOKUP($B425,'[1]Mar-25'!$A:$A,'[1]Mar-25'!$H:$H,0)</f>
        <v>0</v>
      </c>
      <c r="U425" s="17">
        <f>_xlfn.XLOOKUP($B425,'[1]Apr-25'!$A:$A,'[1]Apr-25'!$H:$H,0)</f>
        <v>0</v>
      </c>
      <c r="V425" s="17">
        <f>_xlfn.XLOOKUP($B425,'[1]May-25'!$A:$A,'[1]May-25'!$H:$H,0)</f>
        <v>0</v>
      </c>
      <c r="W425" s="17">
        <f>_xlfn.XLOOKUP($B425,'[1]Jun-25'!$A:$A,'[1]Jun-25'!$H:$H,0)</f>
        <v>0</v>
      </c>
      <c r="X425" s="17">
        <f>_xlfn.XLOOKUP($B425,'[1]Jul-25'!$A:$A,'[1]Jul-25'!$H:$H,0)</f>
        <v>0</v>
      </c>
      <c r="Y425" s="17">
        <f>_xlfn.XLOOKUP($B425,'[1]Aug-25'!$A:$A,'[1]Aug-25'!$H:$H,0)</f>
        <v>0</v>
      </c>
      <c r="Z425" s="17">
        <f>_xlfn.XLOOKUP($B425,'[1]Sep-25'!$A:$A,'[1]Sep-25'!$H:$H,0)</f>
        <v>0</v>
      </c>
      <c r="AA425" s="17">
        <f>_xlfn.XLOOKUP($B425,'[1]Oct-25'!$A:$A,'[1]Oct-25'!$H:$H,0)</f>
        <v>0</v>
      </c>
      <c r="AB425" s="17">
        <f>_xlfn.XLOOKUP($B425,'[1]Nov-25'!$A:$A,'[1]Nov-25'!$H:$H,0)</f>
        <v>0</v>
      </c>
      <c r="AC425" s="17">
        <f>_xlfn.XLOOKUP($B425,'[1]Dec-25'!$A:$A,'[1]Dec-25'!$H:$H,0)</f>
        <v>0</v>
      </c>
      <c r="AD425" s="17">
        <f>_xlfn.XLOOKUP($B425,'[1]Jan-26'!$A:$A,'[1]Jan-26'!$H:$H,0)</f>
        <v>0</v>
      </c>
      <c r="AE425" s="17">
        <f>_xlfn.XLOOKUP($B425,'[1]Feb-26'!$A:$A,'[1]Feb-26'!$H:$H,0)</f>
        <v>0</v>
      </c>
      <c r="AF425" s="17">
        <f>_xlfn.XLOOKUP($B425,'[1]Mar-26'!$A:$A,'[1]Mar-26'!$H:$H,0)</f>
        <v>0</v>
      </c>
      <c r="AG425" s="17">
        <f>_xlfn.XLOOKUP($B425,'[1]Apr-26'!$A:$A,'[1]Apr-26'!$H:$H,0)</f>
        <v>0</v>
      </c>
    </row>
    <row r="426" spans="1:33" x14ac:dyDescent="0.2">
      <c r="A426" s="58">
        <v>61300</v>
      </c>
      <c r="B426" s="56" t="str">
        <f t="shared" si="12"/>
        <v>61300</v>
      </c>
      <c r="C426" s="57" t="s">
        <v>552</v>
      </c>
      <c r="D426" s="57" t="s">
        <v>387</v>
      </c>
      <c r="E426" s="44" t="s">
        <v>604</v>
      </c>
      <c r="F426" s="17">
        <f>_xlfn.XLOOKUP($B426,'[1]Jan-24'!$A:$A,'[1]Jan-24'!$H:$H,0)</f>
        <v>0</v>
      </c>
      <c r="G426" s="17">
        <f>_xlfn.XLOOKUP($B426,'[1]Feb-24'!$A:$A,'[1]Feb-24'!$H:$H,0)</f>
        <v>0</v>
      </c>
      <c r="H426" s="17">
        <f>_xlfn.XLOOKUP($B426,'[1]Mar-24'!$A:$A,'[1]Mar-24'!$H:$H,0)</f>
        <v>0</v>
      </c>
      <c r="I426" s="17">
        <f>_xlfn.XLOOKUP($B426,'[1]Apr-24'!$A:$A,'[1]Apr-24'!$H:$H,0)</f>
        <v>0</v>
      </c>
      <c r="J426" s="17">
        <f>_xlfn.XLOOKUP($B426,'[1]May-24'!$A:$A,'[1]May-24'!$H:$H,0)</f>
        <v>0</v>
      </c>
      <c r="K426" s="17">
        <f>_xlfn.XLOOKUP($B426,'[1]Jun-24'!$A:$A,'[1]Jun-24'!$H:$H,0)</f>
        <v>0</v>
      </c>
      <c r="L426" s="17">
        <f>_xlfn.XLOOKUP($B426,'[1]Jul-24'!$A:$A,'[1]Jul-24'!$H:$H,0)</f>
        <v>0</v>
      </c>
      <c r="M426" s="17">
        <f>_xlfn.XLOOKUP($B426,'[1]Aug-24'!$A:$A,'[1]Aug-24'!$H:$H,0)</f>
        <v>0</v>
      </c>
      <c r="N426" s="17">
        <f>_xlfn.XLOOKUP($B426,'[1]Sep-24'!$A:$A,'[1]Sep-24'!$H:$H,0)</f>
        <v>0</v>
      </c>
      <c r="O426" s="17">
        <f>_xlfn.XLOOKUP($B426,'[1]Oct-24'!$A:$A,'[1]Oct-24'!$H:$H,0)</f>
        <v>0</v>
      </c>
      <c r="P426" s="17">
        <f>_xlfn.XLOOKUP($B426,'[1]Nov-24'!$A:$A,'[1]Nov-24'!$H:$H,0)</f>
        <v>0</v>
      </c>
      <c r="Q426" s="17">
        <f>_xlfn.XLOOKUP($B426,'[1]Dec-24'!$A:$A,'[1]Dec-24'!$H:$H,0)</f>
        <v>0</v>
      </c>
      <c r="R426" s="17">
        <f>_xlfn.XLOOKUP($B426,'[1]Jan-25'!$A:$A,'[1]Jan-25'!$H:$H,0)</f>
        <v>0</v>
      </c>
      <c r="S426" s="17">
        <f>_xlfn.XLOOKUP($B426,'[1]Feb-25'!$A:$A,'[1]Feb-25'!$H:$H,0)</f>
        <v>0</v>
      </c>
      <c r="T426" s="17">
        <f>_xlfn.XLOOKUP($B426,'[1]Mar-25'!$A:$A,'[1]Mar-25'!$H:$H,0)</f>
        <v>0</v>
      </c>
      <c r="U426" s="17">
        <f>_xlfn.XLOOKUP($B426,'[1]Apr-25'!$A:$A,'[1]Apr-25'!$H:$H,0)</f>
        <v>0</v>
      </c>
      <c r="V426" s="17">
        <f>_xlfn.XLOOKUP($B426,'[1]May-25'!$A:$A,'[1]May-25'!$H:$H,0)</f>
        <v>0</v>
      </c>
      <c r="W426" s="17">
        <f>_xlfn.XLOOKUP($B426,'[1]Jun-25'!$A:$A,'[1]Jun-25'!$H:$H,0)</f>
        <v>0</v>
      </c>
      <c r="X426" s="17">
        <f>_xlfn.XLOOKUP($B426,'[1]Jul-25'!$A:$A,'[1]Jul-25'!$H:$H,0)</f>
        <v>0</v>
      </c>
      <c r="Y426" s="17">
        <f>_xlfn.XLOOKUP($B426,'[1]Aug-25'!$A:$A,'[1]Aug-25'!$H:$H,0)</f>
        <v>0</v>
      </c>
      <c r="Z426" s="17">
        <f>_xlfn.XLOOKUP($B426,'[1]Sep-25'!$A:$A,'[1]Sep-25'!$H:$H,0)</f>
        <v>0</v>
      </c>
      <c r="AA426" s="17">
        <f>_xlfn.XLOOKUP($B426,'[1]Oct-25'!$A:$A,'[1]Oct-25'!$H:$H,0)</f>
        <v>0</v>
      </c>
      <c r="AB426" s="17">
        <f>_xlfn.XLOOKUP($B426,'[1]Nov-25'!$A:$A,'[1]Nov-25'!$H:$H,0)</f>
        <v>0</v>
      </c>
      <c r="AC426" s="17">
        <f>_xlfn.XLOOKUP($B426,'[1]Dec-25'!$A:$A,'[1]Dec-25'!$H:$H,0)</f>
        <v>0</v>
      </c>
      <c r="AD426" s="17">
        <f>_xlfn.XLOOKUP($B426,'[1]Jan-26'!$A:$A,'[1]Jan-26'!$H:$H,0)</f>
        <v>0</v>
      </c>
      <c r="AE426" s="17">
        <f>_xlfn.XLOOKUP($B426,'[1]Feb-26'!$A:$A,'[1]Feb-26'!$H:$H,0)</f>
        <v>0</v>
      </c>
      <c r="AF426" s="17">
        <f>_xlfn.XLOOKUP($B426,'[1]Mar-26'!$A:$A,'[1]Mar-26'!$H:$H,0)</f>
        <v>0</v>
      </c>
      <c r="AG426" s="17">
        <f>_xlfn.XLOOKUP($B426,'[1]Apr-26'!$A:$A,'[1]Apr-26'!$H:$H,0)</f>
        <v>0</v>
      </c>
    </row>
    <row r="427" spans="1:33" x14ac:dyDescent="0.2">
      <c r="A427" s="58">
        <v>61310</v>
      </c>
      <c r="B427" s="56" t="str">
        <f t="shared" si="12"/>
        <v>61310</v>
      </c>
      <c r="C427" s="57" t="s">
        <v>552</v>
      </c>
      <c r="D427" s="57" t="s">
        <v>387</v>
      </c>
      <c r="E427" s="44" t="s">
        <v>605</v>
      </c>
      <c r="F427" s="17">
        <f>_xlfn.XLOOKUP($B427,'[1]Jan-24'!$A:$A,'[1]Jan-24'!$H:$H,0)</f>
        <v>102365</v>
      </c>
      <c r="G427" s="17">
        <f>_xlfn.XLOOKUP($B427,'[1]Feb-24'!$A:$A,'[1]Feb-24'!$H:$H,0)</f>
        <v>76820</v>
      </c>
      <c r="H427" s="17">
        <f>_xlfn.XLOOKUP($B427,'[1]Mar-24'!$A:$A,'[1]Mar-24'!$H:$H,0)</f>
        <v>97820</v>
      </c>
      <c r="I427" s="17">
        <f>_xlfn.XLOOKUP($B427,'[1]Apr-24'!$A:$A,'[1]Apr-24'!$H:$H,0)</f>
        <v>181820</v>
      </c>
      <c r="J427" s="17">
        <f>_xlfn.XLOOKUP($B427,'[1]May-24'!$A:$A,'[1]May-24'!$H:$H,0)</f>
        <v>117820</v>
      </c>
      <c r="K427" s="17">
        <f>_xlfn.XLOOKUP($B427,'[1]Jun-24'!$A:$A,'[1]Jun-24'!$H:$H,0)</f>
        <v>115365</v>
      </c>
      <c r="L427" s="17">
        <f>_xlfn.XLOOKUP($B427,'[1]Jul-24'!$A:$A,'[1]Jul-24'!$H:$H,0)</f>
        <v>213910</v>
      </c>
      <c r="M427" s="17">
        <f>_xlfn.XLOOKUP($B427,'[1]Aug-24'!$A:$A,'[1]Aug-24'!$H:$H,0)</f>
        <v>69820</v>
      </c>
      <c r="N427" s="17">
        <f>_xlfn.XLOOKUP($B427,'[1]Sep-24'!$A:$A,'[1]Sep-24'!$H:$H,0)</f>
        <v>323239.27</v>
      </c>
      <c r="O427" s="17">
        <f>_xlfn.XLOOKUP($B427,'[1]Oct-24'!$A:$A,'[1]Oct-24'!$H:$H,0)</f>
        <v>250092</v>
      </c>
      <c r="P427" s="17">
        <f>_xlfn.XLOOKUP($B427,'[1]Nov-24'!$A:$A,'[1]Nov-24'!$H:$H,0)</f>
        <v>276736</v>
      </c>
      <c r="Q427" s="17">
        <f>_xlfn.XLOOKUP($B427,'[1]Dec-24'!$A:$A,'[1]Dec-24'!$H:$H,0)</f>
        <v>290702</v>
      </c>
      <c r="R427" s="17">
        <f>_xlfn.XLOOKUP($B427,'[1]Jan-25'!$A:$A,'[1]Jan-25'!$H:$H,0)</f>
        <v>306686</v>
      </c>
      <c r="S427" s="17">
        <f>_xlfn.XLOOKUP($B427,'[1]Feb-25'!$A:$A,'[1]Feb-25'!$H:$H,0)</f>
        <v>187802</v>
      </c>
      <c r="T427" s="17">
        <f>_xlfn.XLOOKUP($B427,'[1]Mar-25'!$A:$A,'[1]Mar-25'!$H:$H,0)</f>
        <v>213786</v>
      </c>
      <c r="U427" s="17">
        <f>_xlfn.XLOOKUP($B427,'[1]Apr-25'!$A:$A,'[1]Apr-25'!$H:$H,0)</f>
        <v>296552.08000000007</v>
      </c>
      <c r="V427" s="17">
        <f>_xlfn.XLOOKUP($B427,'[1]May-25'!$A:$A,'[1]May-25'!$H:$H,0)</f>
        <v>235700</v>
      </c>
      <c r="W427" s="17">
        <f>_xlfn.XLOOKUP($B427,'[1]Jun-25'!$A:$A,'[1]Jun-25'!$H:$H,0)</f>
        <v>171960.08</v>
      </c>
      <c r="X427" s="17">
        <f>_xlfn.XLOOKUP($B427,'[1]Jul-25'!$A:$A,'[1]Jul-25'!$H:$H,0)</f>
        <v>117080</v>
      </c>
      <c r="Y427" s="17">
        <f>_xlfn.XLOOKUP($B427,'[1]Aug-25'!$A:$A,'[1]Aug-25'!$H:$H,0)</f>
        <v>174430</v>
      </c>
      <c r="Z427" s="17">
        <f>_xlfn.XLOOKUP($B427,'[1]Sep-25'!$A:$A,'[1]Sep-25'!$H:$H,0)</f>
        <v>163270</v>
      </c>
      <c r="AA427" s="17">
        <f>_xlfn.XLOOKUP($B427,'[1]Oct-25'!$A:$A,'[1]Oct-25'!$H:$H,0)</f>
        <v>237784</v>
      </c>
      <c r="AB427" s="17">
        <f>_xlfn.XLOOKUP($B427,'[1]Nov-25'!$A:$A,'[1]Nov-25'!$H:$H,0)</f>
        <v>167312</v>
      </c>
      <c r="AC427" s="17">
        <f>_xlfn.XLOOKUP($B427,'[1]Dec-25'!$A:$A,'[1]Dec-25'!$H:$H,0)</f>
        <v>167120</v>
      </c>
      <c r="AD427" s="17">
        <f>_xlfn.XLOOKUP($B427,'[1]Jan-26'!$A:$A,'[1]Jan-26'!$H:$H,0)</f>
        <v>176000</v>
      </c>
      <c r="AE427" s="17">
        <f>_xlfn.XLOOKUP($B427,'[1]Feb-26'!$A:$A,'[1]Feb-26'!$H:$H,0)</f>
        <v>241424</v>
      </c>
      <c r="AF427" s="17">
        <f>_xlfn.XLOOKUP($B427,'[1]Mar-26'!$A:$A,'[1]Mar-26'!$H:$H,0)</f>
        <v>254192</v>
      </c>
      <c r="AG427" s="17">
        <f>_xlfn.XLOOKUP($B427,'[1]Apr-26'!$A:$A,'[1]Apr-26'!$H:$H,0)</f>
        <v>250360</v>
      </c>
    </row>
    <row r="428" spans="1:33" x14ac:dyDescent="0.2">
      <c r="A428" s="58">
        <v>61315</v>
      </c>
      <c r="B428" s="56" t="str">
        <f t="shared" si="12"/>
        <v>61315</v>
      </c>
      <c r="C428" s="57" t="s">
        <v>552</v>
      </c>
      <c r="D428" s="57" t="s">
        <v>387</v>
      </c>
      <c r="E428" s="44" t="s">
        <v>606</v>
      </c>
      <c r="F428" s="17">
        <f>_xlfn.XLOOKUP($B428,'[1]Jan-24'!$A:$A,'[1]Jan-24'!$H:$H,0)</f>
        <v>40500</v>
      </c>
      <c r="G428" s="17">
        <f>_xlfn.XLOOKUP($B428,'[1]Feb-24'!$A:$A,'[1]Feb-24'!$H:$H,0)</f>
        <v>47900</v>
      </c>
      <c r="H428" s="17">
        <f>_xlfn.XLOOKUP($B428,'[1]Mar-24'!$A:$A,'[1]Mar-24'!$H:$H,0)</f>
        <v>13500</v>
      </c>
      <c r="I428" s="17">
        <f>_xlfn.XLOOKUP($B428,'[1]Apr-24'!$A:$A,'[1]Apr-24'!$H:$H,0)</f>
        <v>174500</v>
      </c>
      <c r="J428" s="17">
        <f>_xlfn.XLOOKUP($B428,'[1]May-24'!$A:$A,'[1]May-24'!$H:$H,0)</f>
        <v>12000</v>
      </c>
      <c r="K428" s="17">
        <f>_xlfn.XLOOKUP($B428,'[1]Jun-24'!$A:$A,'[1]Jun-24'!$H:$H,0)</f>
        <v>246000</v>
      </c>
      <c r="L428" s="17">
        <f>_xlfn.XLOOKUP($B428,'[1]Jul-24'!$A:$A,'[1]Jul-24'!$H:$H,0)</f>
        <v>14000</v>
      </c>
      <c r="M428" s="17">
        <f>_xlfn.XLOOKUP($B428,'[1]Aug-24'!$A:$A,'[1]Aug-24'!$H:$H,0)</f>
        <v>771500</v>
      </c>
      <c r="N428" s="17">
        <f>_xlfn.XLOOKUP($B428,'[1]Sep-24'!$A:$A,'[1]Sep-24'!$H:$H,0)</f>
        <v>173000</v>
      </c>
      <c r="O428" s="17">
        <f>_xlfn.XLOOKUP($B428,'[1]Oct-24'!$A:$A,'[1]Oct-24'!$H:$H,0)</f>
        <v>28500</v>
      </c>
      <c r="P428" s="17">
        <f>_xlfn.XLOOKUP($B428,'[1]Nov-24'!$A:$A,'[1]Nov-24'!$H:$H,0)</f>
        <v>178500</v>
      </c>
      <c r="Q428" s="17">
        <f>_xlfn.XLOOKUP($B428,'[1]Dec-24'!$A:$A,'[1]Dec-24'!$H:$H,0)</f>
        <v>41500</v>
      </c>
      <c r="R428" s="17">
        <f>_xlfn.XLOOKUP($B428,'[1]Jan-25'!$A:$A,'[1]Jan-25'!$H:$H,0)</f>
        <v>51500</v>
      </c>
      <c r="S428" s="17">
        <f>_xlfn.XLOOKUP($B428,'[1]Feb-25'!$A:$A,'[1]Feb-25'!$H:$H,0)</f>
        <v>120500</v>
      </c>
      <c r="T428" s="17">
        <f>_xlfn.XLOOKUP($B428,'[1]Mar-25'!$A:$A,'[1]Mar-25'!$H:$H,0)</f>
        <v>22700</v>
      </c>
      <c r="U428" s="17">
        <f>_xlfn.XLOOKUP($B428,'[1]Apr-25'!$A:$A,'[1]Apr-25'!$H:$H,0)</f>
        <v>29700</v>
      </c>
      <c r="V428" s="17">
        <f>_xlfn.XLOOKUP($B428,'[1]May-25'!$A:$A,'[1]May-25'!$H:$H,0)</f>
        <v>251000</v>
      </c>
      <c r="W428" s="17">
        <f>_xlfn.XLOOKUP($B428,'[1]Jun-25'!$A:$A,'[1]Jun-25'!$H:$H,0)</f>
        <v>30500</v>
      </c>
      <c r="X428" s="17">
        <f>_xlfn.XLOOKUP($B428,'[1]Jul-25'!$A:$A,'[1]Jul-25'!$H:$H,0)</f>
        <v>103000</v>
      </c>
      <c r="Y428" s="17">
        <f>_xlfn.XLOOKUP($B428,'[1]Aug-25'!$A:$A,'[1]Aug-25'!$H:$H,0)</f>
        <v>378887.5</v>
      </c>
      <c r="Z428" s="17">
        <f>_xlfn.XLOOKUP($B428,'[1]Sep-25'!$A:$A,'[1]Sep-25'!$H:$H,0)</f>
        <v>30000</v>
      </c>
      <c r="AA428" s="17">
        <f>_xlfn.XLOOKUP($B428,'[1]Oct-25'!$A:$A,'[1]Oct-25'!$H:$H,0)</f>
        <v>260175</v>
      </c>
      <c r="AB428" s="17">
        <f>_xlfn.XLOOKUP($B428,'[1]Nov-25'!$A:$A,'[1]Nov-25'!$H:$H,0)</f>
        <v>430000</v>
      </c>
      <c r="AC428" s="17">
        <f>_xlfn.XLOOKUP($B428,'[1]Dec-25'!$A:$A,'[1]Dec-25'!$H:$H,0)</f>
        <v>425200</v>
      </c>
      <c r="AD428" s="17">
        <f>_xlfn.XLOOKUP($B428,'[1]Jan-26'!$A:$A,'[1]Jan-26'!$H:$H,0)</f>
        <v>142500</v>
      </c>
      <c r="AE428" s="17">
        <f>_xlfn.XLOOKUP($B428,'[1]Feb-26'!$A:$A,'[1]Feb-26'!$H:$H,0)</f>
        <v>5000</v>
      </c>
      <c r="AF428" s="17">
        <f>_xlfn.XLOOKUP($B428,'[1]Mar-26'!$A:$A,'[1]Mar-26'!$H:$H,0)</f>
        <v>77000</v>
      </c>
      <c r="AG428" s="17">
        <f>_xlfn.XLOOKUP($B428,'[1]Apr-26'!$A:$A,'[1]Apr-26'!$H:$H,0)</f>
        <v>318500</v>
      </c>
    </row>
    <row r="429" spans="1:33" x14ac:dyDescent="0.2">
      <c r="A429" s="58">
        <v>61320</v>
      </c>
      <c r="B429" s="56" t="str">
        <f t="shared" si="12"/>
        <v>61320</v>
      </c>
      <c r="C429" s="57" t="s">
        <v>552</v>
      </c>
      <c r="D429" s="57" t="s">
        <v>387</v>
      </c>
      <c r="E429" s="44" t="s">
        <v>607</v>
      </c>
      <c r="F429" s="17">
        <f>_xlfn.XLOOKUP($B429,'[1]Jan-24'!$A:$A,'[1]Jan-24'!$H:$H,0)</f>
        <v>58400</v>
      </c>
      <c r="G429" s="17">
        <f>_xlfn.XLOOKUP($B429,'[1]Feb-24'!$A:$A,'[1]Feb-24'!$H:$H,0)</f>
        <v>6000</v>
      </c>
      <c r="H429" s="17">
        <f>_xlfn.XLOOKUP($B429,'[1]Mar-24'!$A:$A,'[1]Mar-24'!$H:$H,0)</f>
        <v>22000</v>
      </c>
      <c r="I429" s="17">
        <f>_xlfn.XLOOKUP($B429,'[1]Apr-24'!$A:$A,'[1]Apr-24'!$H:$H,0)</f>
        <v>0</v>
      </c>
      <c r="J429" s="17">
        <f>_xlfn.XLOOKUP($B429,'[1]May-24'!$A:$A,'[1]May-24'!$H:$H,0)</f>
        <v>5000</v>
      </c>
      <c r="K429" s="17">
        <f>_xlfn.XLOOKUP($B429,'[1]Jun-24'!$A:$A,'[1]Jun-24'!$H:$H,0)</f>
        <v>67741.94</v>
      </c>
      <c r="L429" s="17">
        <f>_xlfn.XLOOKUP($B429,'[1]Jul-24'!$A:$A,'[1]Jul-24'!$H:$H,0)</f>
        <v>56704.4</v>
      </c>
      <c r="M429" s="17">
        <f>_xlfn.XLOOKUP($B429,'[1]Aug-24'!$A:$A,'[1]Aug-24'!$H:$H,0)</f>
        <v>50204.4</v>
      </c>
      <c r="N429" s="17">
        <f>_xlfn.XLOOKUP($B429,'[1]Sep-24'!$A:$A,'[1]Sep-24'!$H:$H,0)</f>
        <v>50204.4</v>
      </c>
      <c r="O429" s="17">
        <f>_xlfn.XLOOKUP($B429,'[1]Oct-24'!$A:$A,'[1]Oct-24'!$H:$H,0)</f>
        <v>50204.4</v>
      </c>
      <c r="P429" s="17">
        <f>_xlfn.XLOOKUP($B429,'[1]Nov-24'!$A:$A,'[1]Nov-24'!$H:$H,0)</f>
        <v>5000</v>
      </c>
      <c r="Q429" s="17">
        <f>_xlfn.XLOOKUP($B429,'[1]Dec-24'!$A:$A,'[1]Dec-24'!$H:$H,0)</f>
        <v>0</v>
      </c>
      <c r="R429" s="17">
        <f>_xlfn.XLOOKUP($B429,'[1]Jan-25'!$A:$A,'[1]Jan-25'!$H:$H,0)</f>
        <v>37000</v>
      </c>
      <c r="S429" s="17">
        <f>_xlfn.XLOOKUP($B429,'[1]Feb-25'!$A:$A,'[1]Feb-25'!$H:$H,0)</f>
        <v>25150</v>
      </c>
      <c r="T429" s="17">
        <f>_xlfn.XLOOKUP($B429,'[1]Mar-25'!$A:$A,'[1]Mar-25'!$H:$H,0)</f>
        <v>15650</v>
      </c>
      <c r="U429" s="17">
        <f>_xlfn.XLOOKUP($B429,'[1]Apr-25'!$A:$A,'[1]Apr-25'!$H:$H,0)</f>
        <v>30150</v>
      </c>
      <c r="V429" s="17">
        <f>_xlfn.XLOOKUP($B429,'[1]May-25'!$A:$A,'[1]May-25'!$H:$H,0)</f>
        <v>23150</v>
      </c>
      <c r="W429" s="17">
        <f>_xlfn.XLOOKUP($B429,'[1]Jun-25'!$A:$A,'[1]Jun-25'!$H:$H,0)</f>
        <v>31450</v>
      </c>
      <c r="X429" s="17">
        <f>_xlfn.XLOOKUP($B429,'[1]Jul-25'!$A:$A,'[1]Jul-25'!$H:$H,0)</f>
        <v>15650</v>
      </c>
      <c r="Y429" s="17">
        <f>_xlfn.XLOOKUP($B429,'[1]Aug-25'!$A:$A,'[1]Aug-25'!$H:$H,0)</f>
        <v>15650</v>
      </c>
      <c r="Z429" s="17">
        <f>_xlfn.XLOOKUP($B429,'[1]Sep-25'!$A:$A,'[1]Sep-25'!$H:$H,0)</f>
        <v>15650</v>
      </c>
      <c r="AA429" s="17">
        <f>_xlfn.XLOOKUP($B429,'[1]Oct-25'!$A:$A,'[1]Oct-25'!$H:$H,0)</f>
        <v>40150</v>
      </c>
      <c r="AB429" s="17">
        <f>_xlfn.XLOOKUP($B429,'[1]Nov-25'!$A:$A,'[1]Nov-25'!$H:$H,0)</f>
        <v>15650</v>
      </c>
      <c r="AC429" s="17">
        <f>_xlfn.XLOOKUP($B429,'[1]Dec-25'!$A:$A,'[1]Dec-25'!$H:$H,0)</f>
        <v>26450</v>
      </c>
      <c r="AD429" s="17">
        <f>_xlfn.XLOOKUP($B429,'[1]Jan-26'!$A:$A,'[1]Jan-26'!$H:$H,0)</f>
        <v>112751.71</v>
      </c>
      <c r="AE429" s="17">
        <f>_xlfn.XLOOKUP($B429,'[1]Feb-26'!$A:$A,'[1]Feb-26'!$H:$H,0)</f>
        <v>39901.71</v>
      </c>
      <c r="AF429" s="17">
        <f>_xlfn.XLOOKUP($B429,'[1]Mar-26'!$A:$A,'[1]Mar-26'!$H:$H,0)</f>
        <v>29901.71</v>
      </c>
      <c r="AG429" s="17">
        <f>_xlfn.XLOOKUP($B429,'[1]Apr-26'!$A:$A,'[1]Apr-26'!$H:$H,0)</f>
        <v>29901.71</v>
      </c>
    </row>
    <row r="430" spans="1:33" x14ac:dyDescent="0.2">
      <c r="A430" s="58">
        <v>61330</v>
      </c>
      <c r="B430" s="56" t="str">
        <f t="shared" si="12"/>
        <v>61330</v>
      </c>
      <c r="C430" s="57" t="s">
        <v>389</v>
      </c>
      <c r="D430" s="57" t="s">
        <v>387</v>
      </c>
      <c r="E430" s="44" t="s">
        <v>608</v>
      </c>
      <c r="F430" s="17">
        <f>_xlfn.XLOOKUP($B430,'[1]Jan-24'!$A:$A,'[1]Jan-24'!$H:$H,0)</f>
        <v>0</v>
      </c>
      <c r="G430" s="17">
        <f>_xlfn.XLOOKUP($B430,'[1]Feb-24'!$A:$A,'[1]Feb-24'!$H:$H,0)</f>
        <v>0</v>
      </c>
      <c r="H430" s="17">
        <f>_xlfn.XLOOKUP($B430,'[1]Mar-24'!$A:$A,'[1]Mar-24'!$H:$H,0)</f>
        <v>0</v>
      </c>
      <c r="I430" s="17">
        <f>_xlfn.XLOOKUP($B430,'[1]Apr-24'!$A:$A,'[1]Apr-24'!$H:$H,0)</f>
        <v>0</v>
      </c>
      <c r="J430" s="17">
        <f>_xlfn.XLOOKUP($B430,'[1]May-24'!$A:$A,'[1]May-24'!$H:$H,0)</f>
        <v>0</v>
      </c>
      <c r="K430" s="17">
        <f>_xlfn.XLOOKUP($B430,'[1]Jun-24'!$A:$A,'[1]Jun-24'!$H:$H,0)</f>
        <v>0</v>
      </c>
      <c r="L430" s="17">
        <f>_xlfn.XLOOKUP($B430,'[1]Jul-24'!$A:$A,'[1]Jul-24'!$H:$H,0)</f>
        <v>0</v>
      </c>
      <c r="M430" s="17">
        <f>_xlfn.XLOOKUP($B430,'[1]Aug-24'!$A:$A,'[1]Aug-24'!$H:$H,0)</f>
        <v>0</v>
      </c>
      <c r="N430" s="17">
        <f>_xlfn.XLOOKUP($B430,'[1]Sep-24'!$A:$A,'[1]Sep-24'!$H:$H,0)</f>
        <v>0</v>
      </c>
      <c r="O430" s="17">
        <f>_xlfn.XLOOKUP($B430,'[1]Oct-24'!$A:$A,'[1]Oct-24'!$H:$H,0)</f>
        <v>0</v>
      </c>
      <c r="P430" s="17">
        <f>_xlfn.XLOOKUP($B430,'[1]Nov-24'!$A:$A,'[1]Nov-24'!$H:$H,0)</f>
        <v>0</v>
      </c>
      <c r="Q430" s="17">
        <f>_xlfn.XLOOKUP($B430,'[1]Dec-24'!$A:$A,'[1]Dec-24'!$H:$H,0)</f>
        <v>0</v>
      </c>
      <c r="R430" s="17">
        <f>_xlfn.XLOOKUP($B430,'[1]Jan-25'!$A:$A,'[1]Jan-25'!$H:$H,0)</f>
        <v>0</v>
      </c>
      <c r="S430" s="17">
        <f>_xlfn.XLOOKUP($B430,'[1]Feb-25'!$A:$A,'[1]Feb-25'!$H:$H,0)</f>
        <v>0</v>
      </c>
      <c r="T430" s="17">
        <f>_xlfn.XLOOKUP($B430,'[1]Mar-25'!$A:$A,'[1]Mar-25'!$H:$H,0)</f>
        <v>0</v>
      </c>
      <c r="U430" s="17">
        <f>_xlfn.XLOOKUP($B430,'[1]Apr-25'!$A:$A,'[1]Apr-25'!$H:$H,0)</f>
        <v>0</v>
      </c>
      <c r="V430" s="17">
        <f>_xlfn.XLOOKUP($B430,'[1]May-25'!$A:$A,'[1]May-25'!$H:$H,0)</f>
        <v>0</v>
      </c>
      <c r="W430" s="17">
        <f>_xlfn.XLOOKUP($B430,'[1]Jun-25'!$A:$A,'[1]Jun-25'!$H:$H,0)</f>
        <v>0</v>
      </c>
      <c r="X430" s="17">
        <f>_xlfn.XLOOKUP($B430,'[1]Jul-25'!$A:$A,'[1]Jul-25'!$H:$H,0)</f>
        <v>0</v>
      </c>
      <c r="Y430" s="17">
        <f>_xlfn.XLOOKUP($B430,'[1]Aug-25'!$A:$A,'[1]Aug-25'!$H:$H,0)</f>
        <v>0</v>
      </c>
      <c r="Z430" s="17">
        <f>_xlfn.XLOOKUP($B430,'[1]Sep-25'!$A:$A,'[1]Sep-25'!$H:$H,0)</f>
        <v>0</v>
      </c>
      <c r="AA430" s="17">
        <f>_xlfn.XLOOKUP($B430,'[1]Oct-25'!$A:$A,'[1]Oct-25'!$H:$H,0)</f>
        <v>0</v>
      </c>
      <c r="AB430" s="17">
        <f>_xlfn.XLOOKUP($B430,'[1]Nov-25'!$A:$A,'[1]Nov-25'!$H:$H,0)</f>
        <v>0</v>
      </c>
      <c r="AC430" s="17">
        <f>_xlfn.XLOOKUP($B430,'[1]Dec-25'!$A:$A,'[1]Dec-25'!$H:$H,0)</f>
        <v>0</v>
      </c>
      <c r="AD430" s="17">
        <f>_xlfn.XLOOKUP($B430,'[1]Jan-26'!$A:$A,'[1]Jan-26'!$H:$H,0)</f>
        <v>0</v>
      </c>
      <c r="AE430" s="17">
        <f>_xlfn.XLOOKUP($B430,'[1]Feb-26'!$A:$A,'[1]Feb-26'!$H:$H,0)</f>
        <v>0</v>
      </c>
      <c r="AF430" s="17">
        <f>_xlfn.XLOOKUP($B430,'[1]Mar-26'!$A:$A,'[1]Mar-26'!$H:$H,0)</f>
        <v>0</v>
      </c>
      <c r="AG430" s="17">
        <f>_xlfn.XLOOKUP($B430,'[1]Apr-26'!$A:$A,'[1]Apr-26'!$H:$H,0)</f>
        <v>0</v>
      </c>
    </row>
    <row r="431" spans="1:33" x14ac:dyDescent="0.2">
      <c r="A431" s="58">
        <v>61340</v>
      </c>
      <c r="B431" s="56" t="str">
        <f t="shared" si="12"/>
        <v>61340</v>
      </c>
      <c r="C431" s="57" t="s">
        <v>389</v>
      </c>
      <c r="D431" s="57" t="s">
        <v>387</v>
      </c>
      <c r="E431" s="44" t="s">
        <v>609</v>
      </c>
      <c r="F431" s="17">
        <f>_xlfn.XLOOKUP($B431,'[1]Jan-24'!$A:$A,'[1]Jan-24'!$H:$H,0)</f>
        <v>0</v>
      </c>
      <c r="G431" s="17">
        <f>_xlfn.XLOOKUP($B431,'[1]Feb-24'!$A:$A,'[1]Feb-24'!$H:$H,0)</f>
        <v>0</v>
      </c>
      <c r="H431" s="17">
        <f>_xlfn.XLOOKUP($B431,'[1]Mar-24'!$A:$A,'[1]Mar-24'!$H:$H,0)</f>
        <v>0</v>
      </c>
      <c r="I431" s="17">
        <f>_xlfn.XLOOKUP($B431,'[1]Apr-24'!$A:$A,'[1]Apr-24'!$H:$H,0)</f>
        <v>0</v>
      </c>
      <c r="J431" s="17">
        <f>_xlfn.XLOOKUP($B431,'[1]May-24'!$A:$A,'[1]May-24'!$H:$H,0)</f>
        <v>0</v>
      </c>
      <c r="K431" s="17">
        <f>_xlfn.XLOOKUP($B431,'[1]Jun-24'!$A:$A,'[1]Jun-24'!$H:$H,0)</f>
        <v>0</v>
      </c>
      <c r="L431" s="17">
        <f>_xlfn.XLOOKUP($B431,'[1]Jul-24'!$A:$A,'[1]Jul-24'!$H:$H,0)</f>
        <v>0</v>
      </c>
      <c r="M431" s="17">
        <f>_xlfn.XLOOKUP($B431,'[1]Aug-24'!$A:$A,'[1]Aug-24'!$H:$H,0)</f>
        <v>0</v>
      </c>
      <c r="N431" s="17">
        <f>_xlfn.XLOOKUP($B431,'[1]Sep-24'!$A:$A,'[1]Sep-24'!$H:$H,0)</f>
        <v>0</v>
      </c>
      <c r="O431" s="17">
        <f>_xlfn.XLOOKUP($B431,'[1]Oct-24'!$A:$A,'[1]Oct-24'!$H:$H,0)</f>
        <v>0</v>
      </c>
      <c r="P431" s="17">
        <f>_xlfn.XLOOKUP($B431,'[1]Nov-24'!$A:$A,'[1]Nov-24'!$H:$H,0)</f>
        <v>0</v>
      </c>
      <c r="Q431" s="17">
        <f>_xlfn.XLOOKUP($B431,'[1]Dec-24'!$A:$A,'[1]Dec-24'!$H:$H,0)</f>
        <v>0</v>
      </c>
      <c r="R431" s="17">
        <f>_xlfn.XLOOKUP($B431,'[1]Jan-25'!$A:$A,'[1]Jan-25'!$H:$H,0)</f>
        <v>0</v>
      </c>
      <c r="S431" s="17">
        <f>_xlfn.XLOOKUP($B431,'[1]Feb-25'!$A:$A,'[1]Feb-25'!$H:$H,0)</f>
        <v>0</v>
      </c>
      <c r="T431" s="17">
        <f>_xlfn.XLOOKUP($B431,'[1]Mar-25'!$A:$A,'[1]Mar-25'!$H:$H,0)</f>
        <v>0</v>
      </c>
      <c r="U431" s="17">
        <f>_xlfn.XLOOKUP($B431,'[1]Apr-25'!$A:$A,'[1]Apr-25'!$H:$H,0)</f>
        <v>0</v>
      </c>
      <c r="V431" s="17">
        <f>_xlfn.XLOOKUP($B431,'[1]May-25'!$A:$A,'[1]May-25'!$H:$H,0)</f>
        <v>0</v>
      </c>
      <c r="W431" s="17">
        <f>_xlfn.XLOOKUP($B431,'[1]Jun-25'!$A:$A,'[1]Jun-25'!$H:$H,0)</f>
        <v>0</v>
      </c>
      <c r="X431" s="17">
        <f>_xlfn.XLOOKUP($B431,'[1]Jul-25'!$A:$A,'[1]Jul-25'!$H:$H,0)</f>
        <v>0</v>
      </c>
      <c r="Y431" s="17">
        <f>_xlfn.XLOOKUP($B431,'[1]Aug-25'!$A:$A,'[1]Aug-25'!$H:$H,0)</f>
        <v>0</v>
      </c>
      <c r="Z431" s="17">
        <f>_xlfn.XLOOKUP($B431,'[1]Sep-25'!$A:$A,'[1]Sep-25'!$H:$H,0)</f>
        <v>0</v>
      </c>
      <c r="AA431" s="17">
        <f>_xlfn.XLOOKUP($B431,'[1]Oct-25'!$A:$A,'[1]Oct-25'!$H:$H,0)</f>
        <v>0</v>
      </c>
      <c r="AB431" s="17">
        <f>_xlfn.XLOOKUP($B431,'[1]Nov-25'!$A:$A,'[1]Nov-25'!$H:$H,0)</f>
        <v>0</v>
      </c>
      <c r="AC431" s="17">
        <f>_xlfn.XLOOKUP($B431,'[1]Dec-25'!$A:$A,'[1]Dec-25'!$H:$H,0)</f>
        <v>0</v>
      </c>
      <c r="AD431" s="17">
        <f>_xlfn.XLOOKUP($B431,'[1]Jan-26'!$A:$A,'[1]Jan-26'!$H:$H,0)</f>
        <v>0</v>
      </c>
      <c r="AE431" s="17">
        <f>_xlfn.XLOOKUP($B431,'[1]Feb-26'!$A:$A,'[1]Feb-26'!$H:$H,0)</f>
        <v>0</v>
      </c>
      <c r="AF431" s="17">
        <f>_xlfn.XLOOKUP($B431,'[1]Mar-26'!$A:$A,'[1]Mar-26'!$H:$H,0)</f>
        <v>0</v>
      </c>
      <c r="AG431" s="17">
        <f>_xlfn.XLOOKUP($B431,'[1]Apr-26'!$A:$A,'[1]Apr-26'!$H:$H,0)</f>
        <v>0</v>
      </c>
    </row>
    <row r="432" spans="1:33" x14ac:dyDescent="0.2">
      <c r="A432" s="58">
        <v>61400</v>
      </c>
      <c r="B432" s="56" t="str">
        <f t="shared" si="12"/>
        <v>61400</v>
      </c>
      <c r="C432" s="57" t="s">
        <v>389</v>
      </c>
      <c r="D432" s="57" t="s">
        <v>387</v>
      </c>
      <c r="E432" s="44" t="s">
        <v>610</v>
      </c>
      <c r="F432" s="17">
        <f>_xlfn.XLOOKUP($B432,'[1]Jan-24'!$A:$A,'[1]Jan-24'!$H:$H,0)</f>
        <v>0</v>
      </c>
      <c r="G432" s="17">
        <f>_xlfn.XLOOKUP($B432,'[1]Feb-24'!$A:$A,'[1]Feb-24'!$H:$H,0)</f>
        <v>0</v>
      </c>
      <c r="H432" s="17">
        <f>_xlfn.XLOOKUP($B432,'[1]Mar-24'!$A:$A,'[1]Mar-24'!$H:$H,0)</f>
        <v>0</v>
      </c>
      <c r="I432" s="17">
        <f>_xlfn.XLOOKUP($B432,'[1]Apr-24'!$A:$A,'[1]Apr-24'!$H:$H,0)</f>
        <v>0</v>
      </c>
      <c r="J432" s="17">
        <f>_xlfn.XLOOKUP($B432,'[1]May-24'!$A:$A,'[1]May-24'!$H:$H,0)</f>
        <v>0</v>
      </c>
      <c r="K432" s="17">
        <f>_xlfn.XLOOKUP($B432,'[1]Jun-24'!$A:$A,'[1]Jun-24'!$H:$H,0)</f>
        <v>0</v>
      </c>
      <c r="L432" s="17">
        <f>_xlfn.XLOOKUP($B432,'[1]Jul-24'!$A:$A,'[1]Jul-24'!$H:$H,0)</f>
        <v>0</v>
      </c>
      <c r="M432" s="17">
        <f>_xlfn.XLOOKUP($B432,'[1]Aug-24'!$A:$A,'[1]Aug-24'!$H:$H,0)</f>
        <v>0</v>
      </c>
      <c r="N432" s="17">
        <f>_xlfn.XLOOKUP($B432,'[1]Sep-24'!$A:$A,'[1]Sep-24'!$H:$H,0)</f>
        <v>0</v>
      </c>
      <c r="O432" s="17">
        <f>_xlfn.XLOOKUP($B432,'[1]Oct-24'!$A:$A,'[1]Oct-24'!$H:$H,0)</f>
        <v>0</v>
      </c>
      <c r="P432" s="17">
        <f>_xlfn.XLOOKUP($B432,'[1]Nov-24'!$A:$A,'[1]Nov-24'!$H:$H,0)</f>
        <v>0</v>
      </c>
      <c r="Q432" s="17">
        <f>_xlfn.XLOOKUP($B432,'[1]Dec-24'!$A:$A,'[1]Dec-24'!$H:$H,0)</f>
        <v>0</v>
      </c>
      <c r="R432" s="17">
        <f>_xlfn.XLOOKUP($B432,'[1]Jan-25'!$A:$A,'[1]Jan-25'!$H:$H,0)</f>
        <v>0</v>
      </c>
      <c r="S432" s="17">
        <f>_xlfn.XLOOKUP($B432,'[1]Feb-25'!$A:$A,'[1]Feb-25'!$H:$H,0)</f>
        <v>0</v>
      </c>
      <c r="T432" s="17">
        <f>_xlfn.XLOOKUP($B432,'[1]Mar-25'!$A:$A,'[1]Mar-25'!$H:$H,0)</f>
        <v>0</v>
      </c>
      <c r="U432" s="17">
        <f>_xlfn.XLOOKUP($B432,'[1]Apr-25'!$A:$A,'[1]Apr-25'!$H:$H,0)</f>
        <v>0</v>
      </c>
      <c r="V432" s="17">
        <f>_xlfn.XLOOKUP($B432,'[1]May-25'!$A:$A,'[1]May-25'!$H:$H,0)</f>
        <v>0</v>
      </c>
      <c r="W432" s="17">
        <f>_xlfn.XLOOKUP($B432,'[1]Jun-25'!$A:$A,'[1]Jun-25'!$H:$H,0)</f>
        <v>0</v>
      </c>
      <c r="X432" s="17">
        <f>_xlfn.XLOOKUP($B432,'[1]Jul-25'!$A:$A,'[1]Jul-25'!$H:$H,0)</f>
        <v>0</v>
      </c>
      <c r="Y432" s="17">
        <f>_xlfn.XLOOKUP($B432,'[1]Aug-25'!$A:$A,'[1]Aug-25'!$H:$H,0)</f>
        <v>0</v>
      </c>
      <c r="Z432" s="17">
        <f>_xlfn.XLOOKUP($B432,'[1]Sep-25'!$A:$A,'[1]Sep-25'!$H:$H,0)</f>
        <v>0</v>
      </c>
      <c r="AA432" s="17">
        <f>_xlfn.XLOOKUP($B432,'[1]Oct-25'!$A:$A,'[1]Oct-25'!$H:$H,0)</f>
        <v>0</v>
      </c>
      <c r="AB432" s="17">
        <f>_xlfn.XLOOKUP($B432,'[1]Nov-25'!$A:$A,'[1]Nov-25'!$H:$H,0)</f>
        <v>0</v>
      </c>
      <c r="AC432" s="17">
        <f>_xlfn.XLOOKUP($B432,'[1]Dec-25'!$A:$A,'[1]Dec-25'!$H:$H,0)</f>
        <v>0</v>
      </c>
      <c r="AD432" s="17">
        <f>_xlfn.XLOOKUP($B432,'[1]Jan-26'!$A:$A,'[1]Jan-26'!$H:$H,0)</f>
        <v>0</v>
      </c>
      <c r="AE432" s="17">
        <f>_xlfn.XLOOKUP($B432,'[1]Feb-26'!$A:$A,'[1]Feb-26'!$H:$H,0)</f>
        <v>0</v>
      </c>
      <c r="AF432" s="17">
        <f>_xlfn.XLOOKUP($B432,'[1]Mar-26'!$A:$A,'[1]Mar-26'!$H:$H,0)</f>
        <v>0</v>
      </c>
      <c r="AG432" s="17">
        <f>_xlfn.XLOOKUP($B432,'[1]Apr-26'!$A:$A,'[1]Apr-26'!$H:$H,0)</f>
        <v>0</v>
      </c>
    </row>
    <row r="433" spans="1:33" x14ac:dyDescent="0.2">
      <c r="A433" s="58">
        <v>61500</v>
      </c>
      <c r="B433" s="56" t="str">
        <f t="shared" si="12"/>
        <v>61500</v>
      </c>
      <c r="C433" s="57" t="s">
        <v>552</v>
      </c>
      <c r="D433" s="57" t="s">
        <v>387</v>
      </c>
      <c r="E433" s="44" t="s">
        <v>611</v>
      </c>
      <c r="F433" s="17">
        <f>_xlfn.XLOOKUP($B433,'[1]Jan-24'!$A:$A,'[1]Jan-24'!$H:$H,0)</f>
        <v>66100</v>
      </c>
      <c r="G433" s="17">
        <f>_xlfn.XLOOKUP($B433,'[1]Feb-24'!$A:$A,'[1]Feb-24'!$H:$H,0)</f>
        <v>131765</v>
      </c>
      <c r="H433" s="17">
        <f>_xlfn.XLOOKUP($B433,'[1]Mar-24'!$A:$A,'[1]Mar-24'!$H:$H,0)</f>
        <v>1194900</v>
      </c>
      <c r="I433" s="17">
        <f>_xlfn.XLOOKUP($B433,'[1]Apr-24'!$A:$A,'[1]Apr-24'!$H:$H,0)</f>
        <v>214120</v>
      </c>
      <c r="J433" s="17">
        <f>_xlfn.XLOOKUP($B433,'[1]May-24'!$A:$A,'[1]May-24'!$H:$H,0)</f>
        <v>1110385</v>
      </c>
      <c r="K433" s="17">
        <f>_xlfn.XLOOKUP($B433,'[1]Jun-24'!$A:$A,'[1]Jun-24'!$H:$H,0)</f>
        <v>176394.79</v>
      </c>
      <c r="L433" s="17">
        <f>_xlfn.XLOOKUP($B433,'[1]Jul-24'!$A:$A,'[1]Jul-24'!$H:$H,0)</f>
        <v>1467500</v>
      </c>
      <c r="M433" s="17">
        <f>_xlfn.XLOOKUP($B433,'[1]Aug-24'!$A:$A,'[1]Aug-24'!$H:$H,0)</f>
        <v>604123.31000000006</v>
      </c>
      <c r="N433" s="17">
        <f>_xlfn.XLOOKUP($B433,'[1]Sep-24'!$A:$A,'[1]Sep-24'!$H:$H,0)</f>
        <v>2999226.88</v>
      </c>
      <c r="O433" s="17">
        <f>_xlfn.XLOOKUP($B433,'[1]Oct-24'!$A:$A,'[1]Oct-24'!$H:$H,0)</f>
        <v>15000</v>
      </c>
      <c r="P433" s="17">
        <f>_xlfn.XLOOKUP($B433,'[1]Nov-24'!$A:$A,'[1]Nov-24'!$H:$H,0)</f>
        <v>478710</v>
      </c>
      <c r="Q433" s="17">
        <f>_xlfn.XLOOKUP($B433,'[1]Dec-24'!$A:$A,'[1]Dec-24'!$H:$H,0)</f>
        <v>2118565</v>
      </c>
      <c r="R433" s="17">
        <f>_xlfn.XLOOKUP($B433,'[1]Jan-25'!$A:$A,'[1]Jan-25'!$H:$H,0)</f>
        <v>2607500</v>
      </c>
      <c r="S433" s="17">
        <f>_xlfn.XLOOKUP($B433,'[1]Feb-25'!$A:$A,'[1]Feb-25'!$H:$H,0)</f>
        <v>2263025</v>
      </c>
      <c r="T433" s="17">
        <f>_xlfn.XLOOKUP($B433,'[1]Mar-25'!$A:$A,'[1]Mar-25'!$H:$H,0)</f>
        <v>570400.12</v>
      </c>
      <c r="U433" s="17">
        <f>_xlfn.XLOOKUP($B433,'[1]Apr-25'!$A:$A,'[1]Apr-25'!$H:$H,0)</f>
        <v>121446.79</v>
      </c>
      <c r="V433" s="17">
        <f>_xlfn.XLOOKUP($B433,'[1]May-25'!$A:$A,'[1]May-25'!$H:$H,0)</f>
        <v>38700</v>
      </c>
      <c r="W433" s="17">
        <f>_xlfn.XLOOKUP($B433,'[1]Jun-25'!$A:$A,'[1]Jun-25'!$H:$H,0)</f>
        <v>293600</v>
      </c>
      <c r="X433" s="17">
        <f>_xlfn.XLOOKUP($B433,'[1]Jul-25'!$A:$A,'[1]Jul-25'!$H:$H,0)</f>
        <v>0</v>
      </c>
      <c r="Y433" s="17">
        <f>_xlfn.XLOOKUP($B433,'[1]Aug-25'!$A:$A,'[1]Aug-25'!$H:$H,0)</f>
        <v>2367119.89</v>
      </c>
      <c r="Z433" s="17">
        <f>_xlfn.XLOOKUP($B433,'[1]Sep-25'!$A:$A,'[1]Sep-25'!$H:$H,0)</f>
        <v>2274555.2799999998</v>
      </c>
      <c r="AA433" s="17">
        <f>_xlfn.XLOOKUP($B433,'[1]Oct-25'!$A:$A,'[1]Oct-25'!$H:$H,0)</f>
        <v>2222719.2799999998</v>
      </c>
      <c r="AB433" s="17">
        <f>_xlfn.XLOOKUP($B433,'[1]Nov-25'!$A:$A,'[1]Nov-25'!$H:$H,0)</f>
        <v>2071852.92</v>
      </c>
      <c r="AC433" s="17">
        <f>_xlfn.XLOOKUP($B433,'[1]Dec-25'!$A:$A,'[1]Dec-25'!$H:$H,0)</f>
        <v>-1058.9000000000015</v>
      </c>
      <c r="AD433" s="17">
        <f>_xlfn.XLOOKUP($B433,'[1]Jan-26'!$A:$A,'[1]Jan-26'!$H:$H,0)</f>
        <v>3209138.12</v>
      </c>
      <c r="AE433" s="17">
        <f>_xlfn.XLOOKUP($B433,'[1]Feb-26'!$A:$A,'[1]Feb-26'!$H:$H,0)</f>
        <v>3839250</v>
      </c>
      <c r="AF433" s="17">
        <f>_xlfn.XLOOKUP($B433,'[1]Mar-26'!$A:$A,'[1]Mar-26'!$H:$H,0)</f>
        <v>6670700</v>
      </c>
      <c r="AG433" s="17">
        <f>_xlfn.XLOOKUP($B433,'[1]Apr-26'!$A:$A,'[1]Apr-26'!$H:$H,0)</f>
        <v>948186</v>
      </c>
    </row>
    <row r="434" spans="1:33" x14ac:dyDescent="0.2">
      <c r="A434" s="58">
        <v>61600</v>
      </c>
      <c r="B434" s="56" t="str">
        <f t="shared" si="12"/>
        <v>61600</v>
      </c>
      <c r="C434" s="57" t="s">
        <v>552</v>
      </c>
      <c r="D434" s="57" t="s">
        <v>387</v>
      </c>
      <c r="E434" s="44" t="s">
        <v>612</v>
      </c>
      <c r="F434" s="17">
        <f>_xlfn.XLOOKUP($B434,'[1]Jan-24'!$A:$A,'[1]Jan-24'!$H:$H,0)</f>
        <v>8359283.3799999999</v>
      </c>
      <c r="G434" s="17">
        <f>_xlfn.XLOOKUP($B434,'[1]Feb-24'!$A:$A,'[1]Feb-24'!$H:$H,0)</f>
        <v>6488602.9199999999</v>
      </c>
      <c r="H434" s="17">
        <f>_xlfn.XLOOKUP($B434,'[1]Mar-24'!$A:$A,'[1]Mar-24'!$H:$H,0)</f>
        <v>3562670.0599999996</v>
      </c>
      <c r="I434" s="17">
        <f>_xlfn.XLOOKUP($B434,'[1]Apr-24'!$A:$A,'[1]Apr-24'!$H:$H,0)</f>
        <v>8264931.4199999999</v>
      </c>
      <c r="J434" s="17">
        <f>_xlfn.XLOOKUP($B434,'[1]May-24'!$A:$A,'[1]May-24'!$H:$H,0)</f>
        <v>5730413.0999999996</v>
      </c>
      <c r="K434" s="17">
        <f>_xlfn.XLOOKUP($B434,'[1]Jun-24'!$A:$A,'[1]Jun-24'!$H:$H,0)</f>
        <v>4606153.59</v>
      </c>
      <c r="L434" s="17">
        <f>_xlfn.XLOOKUP($B434,'[1]Jul-24'!$A:$A,'[1]Jul-24'!$H:$H,0)</f>
        <v>8414830.3100000005</v>
      </c>
      <c r="M434" s="17">
        <f>_xlfn.XLOOKUP($B434,'[1]Aug-24'!$A:$A,'[1]Aug-24'!$H:$H,0)</f>
        <v>6905531.1600000001</v>
      </c>
      <c r="N434" s="17">
        <f>_xlfn.XLOOKUP($B434,'[1]Sep-24'!$A:$A,'[1]Sep-24'!$H:$H,0)</f>
        <v>6442137.3399999999</v>
      </c>
      <c r="O434" s="17">
        <f>_xlfn.XLOOKUP($B434,'[1]Oct-24'!$A:$A,'[1]Oct-24'!$H:$H,0)</f>
        <v>9241921.4399999995</v>
      </c>
      <c r="P434" s="17">
        <f>_xlfn.XLOOKUP($B434,'[1]Nov-24'!$A:$A,'[1]Nov-24'!$H:$H,0)</f>
        <v>8713354.8200000003</v>
      </c>
      <c r="Q434" s="17">
        <f>_xlfn.XLOOKUP($B434,'[1]Dec-24'!$A:$A,'[1]Dec-24'!$H:$H,0)</f>
        <v>7997018.0499999998</v>
      </c>
      <c r="R434" s="17">
        <f>_xlfn.XLOOKUP($B434,'[1]Jan-25'!$A:$A,'[1]Jan-25'!$H:$H,0)</f>
        <v>0</v>
      </c>
      <c r="S434" s="17">
        <f>_xlfn.XLOOKUP($B434,'[1]Feb-25'!$A:$A,'[1]Feb-25'!$H:$H,0)</f>
        <v>0</v>
      </c>
      <c r="T434" s="17">
        <f>_xlfn.XLOOKUP($B434,'[1]Mar-25'!$A:$A,'[1]Mar-25'!$H:$H,0)</f>
        <v>0</v>
      </c>
      <c r="U434" s="17">
        <f>_xlfn.XLOOKUP($B434,'[1]Apr-25'!$A:$A,'[1]Apr-25'!$H:$H,0)</f>
        <v>0</v>
      </c>
      <c r="V434" s="17">
        <f>_xlfn.XLOOKUP($B434,'[1]May-25'!$A:$A,'[1]May-25'!$H:$H,0)</f>
        <v>100000</v>
      </c>
      <c r="W434" s="17">
        <f>_xlfn.XLOOKUP($B434,'[1]Jun-25'!$A:$A,'[1]Jun-25'!$H:$H,0)</f>
        <v>0</v>
      </c>
      <c r="X434" s="17">
        <f>_xlfn.XLOOKUP($B434,'[1]Jul-25'!$A:$A,'[1]Jul-25'!$H:$H,0)</f>
        <v>400000</v>
      </c>
      <c r="Y434" s="17">
        <f>_xlfn.XLOOKUP($B434,'[1]Aug-25'!$A:$A,'[1]Aug-25'!$H:$H,0)</f>
        <v>2157530.4500000002</v>
      </c>
      <c r="Z434" s="17">
        <f>_xlfn.XLOOKUP($B434,'[1]Sep-25'!$A:$A,'[1]Sep-25'!$H:$H,0)</f>
        <v>1703530.45</v>
      </c>
      <c r="AA434" s="17">
        <f>_xlfn.XLOOKUP($B434,'[1]Oct-25'!$A:$A,'[1]Oct-25'!$H:$H,0)</f>
        <v>1703530.45</v>
      </c>
      <c r="AB434" s="17">
        <f>_xlfn.XLOOKUP($B434,'[1]Nov-25'!$A:$A,'[1]Nov-25'!$H:$H,0)</f>
        <v>1703530.45</v>
      </c>
      <c r="AC434" s="17">
        <f>_xlfn.XLOOKUP($B434,'[1]Dec-25'!$A:$A,'[1]Dec-25'!$H:$H,0)</f>
        <v>1806030.45</v>
      </c>
      <c r="AD434" s="17">
        <f>_xlfn.XLOOKUP($B434,'[1]Jan-26'!$A:$A,'[1]Jan-26'!$H:$H,0)</f>
        <v>1703530.45</v>
      </c>
      <c r="AE434" s="17">
        <f>_xlfn.XLOOKUP($B434,'[1]Feb-26'!$A:$A,'[1]Feb-26'!$H:$H,0)</f>
        <v>1703530.45</v>
      </c>
      <c r="AF434" s="17">
        <f>_xlfn.XLOOKUP($B434,'[1]Mar-26'!$A:$A,'[1]Mar-26'!$H:$H,0)</f>
        <v>1738530.45</v>
      </c>
      <c r="AG434" s="17">
        <f>_xlfn.XLOOKUP($B434,'[1]Apr-26'!$A:$A,'[1]Apr-26'!$H:$H,0)</f>
        <v>1903530.45</v>
      </c>
    </row>
    <row r="435" spans="1:33" x14ac:dyDescent="0.2">
      <c r="A435" s="58">
        <v>61700</v>
      </c>
      <c r="B435" s="56" t="str">
        <f t="shared" si="12"/>
        <v>61700</v>
      </c>
      <c r="C435" s="57" t="s">
        <v>613</v>
      </c>
      <c r="D435" s="57" t="s">
        <v>387</v>
      </c>
      <c r="E435" s="44" t="s">
        <v>614</v>
      </c>
      <c r="F435" s="17">
        <f>_xlfn.XLOOKUP($B435,'[1]Jan-24'!$A:$A,'[1]Jan-24'!$H:$H,0)</f>
        <v>481408.31</v>
      </c>
      <c r="G435" s="17">
        <f>_xlfn.XLOOKUP($B435,'[1]Feb-24'!$A:$A,'[1]Feb-24'!$H:$H,0)</f>
        <v>479116.64</v>
      </c>
      <c r="H435" s="17">
        <f>_xlfn.XLOOKUP($B435,'[1]Mar-24'!$A:$A,'[1]Mar-24'!$H:$H,0)</f>
        <v>479116.64</v>
      </c>
      <c r="I435" s="17">
        <f>_xlfn.XLOOKUP($B435,'[1]Apr-24'!$A:$A,'[1]Apr-24'!$H:$H,0)</f>
        <v>536741.64</v>
      </c>
      <c r="J435" s="17">
        <f>_xlfn.XLOOKUP($B435,'[1]May-24'!$A:$A,'[1]May-24'!$H:$H,0)</f>
        <v>892867.75</v>
      </c>
      <c r="K435" s="17">
        <f>_xlfn.XLOOKUP($B435,'[1]Jun-24'!$A:$A,'[1]Jun-24'!$H:$H,0)</f>
        <v>820110.19</v>
      </c>
      <c r="L435" s="17">
        <f>_xlfn.XLOOKUP($B435,'[1]Jul-24'!$A:$A,'[1]Jul-24'!$H:$H,0)</f>
        <v>594644.97</v>
      </c>
      <c r="M435" s="17">
        <f>_xlfn.XLOOKUP($B435,'[1]Aug-24'!$A:$A,'[1]Aug-24'!$H:$H,0)</f>
        <v>598589.97</v>
      </c>
      <c r="N435" s="17">
        <f>_xlfn.XLOOKUP($B435,'[1]Sep-24'!$A:$A,'[1]Sep-24'!$H:$H,0)</f>
        <v>598589.97</v>
      </c>
      <c r="O435" s="17">
        <f>_xlfn.XLOOKUP($B435,'[1]Oct-24'!$A:$A,'[1]Oct-24'!$H:$H,0)</f>
        <v>745089.97</v>
      </c>
      <c r="P435" s="17">
        <f>_xlfn.XLOOKUP($B435,'[1]Nov-24'!$A:$A,'[1]Nov-24'!$H:$H,0)</f>
        <v>-130269.29999999993</v>
      </c>
      <c r="Q435" s="17">
        <f>_xlfn.XLOOKUP($B435,'[1]Dec-24'!$A:$A,'[1]Dec-24'!$H:$H,0)</f>
        <v>662673.30000000005</v>
      </c>
      <c r="R435" s="17">
        <f>_xlfn.XLOOKUP($B435,'[1]Jan-25'!$A:$A,'[1]Jan-25'!$H:$H,0)</f>
        <v>325298.31000000006</v>
      </c>
      <c r="S435" s="17">
        <f>_xlfn.XLOOKUP($B435,'[1]Feb-25'!$A:$A,'[1]Feb-25'!$H:$H,0)</f>
        <v>579098.30999999994</v>
      </c>
      <c r="T435" s="17">
        <f>_xlfn.XLOOKUP($B435,'[1]Mar-25'!$A:$A,'[1]Mar-25'!$H:$H,0)</f>
        <v>328298.31000000006</v>
      </c>
      <c r="U435" s="17">
        <f>_xlfn.XLOOKUP($B435,'[1]Apr-25'!$A:$A,'[1]Apr-25'!$H:$H,0)</f>
        <v>316723.34999999998</v>
      </c>
      <c r="V435" s="17">
        <f>_xlfn.XLOOKUP($B435,'[1]May-25'!$A:$A,'[1]May-25'!$H:$H,0)</f>
        <v>169481.65000000002</v>
      </c>
      <c r="W435" s="17">
        <f>_xlfn.XLOOKUP($B435,'[1]Jun-25'!$A:$A,'[1]Jun-25'!$H:$H,0)</f>
        <v>576301.73</v>
      </c>
      <c r="X435" s="17">
        <f>_xlfn.XLOOKUP($B435,'[1]Jul-25'!$A:$A,'[1]Jul-25'!$H:$H,0)</f>
        <v>594114.15</v>
      </c>
      <c r="Y435" s="17">
        <f>_xlfn.XLOOKUP($B435,'[1]Aug-25'!$A:$A,'[1]Aug-25'!$H:$H,0)</f>
        <v>594114.15</v>
      </c>
      <c r="Z435" s="17">
        <f>_xlfn.XLOOKUP($B435,'[1]Sep-25'!$A:$A,'[1]Sep-25'!$H:$H,0)</f>
        <v>866530.28</v>
      </c>
      <c r="AA435" s="17">
        <f>_xlfn.XLOOKUP($B435,'[1]Oct-25'!$A:$A,'[1]Oct-25'!$H:$H,0)</f>
        <v>504489.18000000005</v>
      </c>
      <c r="AB435" s="17">
        <f>_xlfn.XLOOKUP($B435,'[1]Nov-25'!$A:$A,'[1]Nov-25'!$H:$H,0)</f>
        <v>711155.85</v>
      </c>
      <c r="AC435" s="17">
        <f>_xlfn.XLOOKUP($B435,'[1]Dec-25'!$A:$A,'[1]Dec-25'!$H:$H,0)</f>
        <v>682008.4</v>
      </c>
      <c r="AD435" s="17">
        <f>_xlfn.XLOOKUP($B435,'[1]Jan-26'!$A:$A,'[1]Jan-26'!$H:$H,0)</f>
        <v>-1479724.94</v>
      </c>
      <c r="AE435" s="17">
        <f>_xlfn.XLOOKUP($B435,'[1]Feb-26'!$A:$A,'[1]Feb-26'!$H:$H,0)</f>
        <v>676175.06</v>
      </c>
      <c r="AF435" s="17">
        <f>_xlfn.XLOOKUP($B435,'[1]Mar-26'!$A:$A,'[1]Mar-26'!$H:$H,0)</f>
        <v>-211616.61</v>
      </c>
      <c r="AG435" s="17">
        <f>_xlfn.XLOOKUP($B435,'[1]Apr-26'!$A:$A,'[1]Apr-26'!$H:$H,0)</f>
        <v>870155.39</v>
      </c>
    </row>
    <row r="436" spans="1:33" x14ac:dyDescent="0.2">
      <c r="A436" s="58">
        <v>61705</v>
      </c>
      <c r="B436" s="56" t="str">
        <f t="shared" si="12"/>
        <v>61705</v>
      </c>
      <c r="C436" s="57" t="s">
        <v>613</v>
      </c>
      <c r="D436" s="57" t="s">
        <v>387</v>
      </c>
      <c r="E436" s="44" t="s">
        <v>615</v>
      </c>
      <c r="F436" s="17">
        <f>_xlfn.XLOOKUP($B436,'[1]Jan-24'!$A:$A,'[1]Jan-24'!$H:$H,0)</f>
        <v>0</v>
      </c>
      <c r="G436" s="17">
        <f>_xlfn.XLOOKUP($B436,'[1]Feb-24'!$A:$A,'[1]Feb-24'!$H:$H,0)</f>
        <v>0</v>
      </c>
      <c r="H436" s="17">
        <f>_xlfn.XLOOKUP($B436,'[1]Mar-24'!$A:$A,'[1]Mar-24'!$H:$H,0)</f>
        <v>0</v>
      </c>
      <c r="I436" s="17">
        <f>_xlfn.XLOOKUP($B436,'[1]Apr-24'!$A:$A,'[1]Apr-24'!$H:$H,0)</f>
        <v>0</v>
      </c>
      <c r="J436" s="17">
        <f>_xlfn.XLOOKUP($B436,'[1]May-24'!$A:$A,'[1]May-24'!$H:$H,0)</f>
        <v>0</v>
      </c>
      <c r="K436" s="17">
        <f>_xlfn.XLOOKUP($B436,'[1]Jun-24'!$A:$A,'[1]Jun-24'!$H:$H,0)</f>
        <v>0</v>
      </c>
      <c r="L436" s="17">
        <f>_xlfn.XLOOKUP($B436,'[1]Jul-24'!$A:$A,'[1]Jul-24'!$H:$H,0)</f>
        <v>0</v>
      </c>
      <c r="M436" s="17">
        <f>_xlfn.XLOOKUP($B436,'[1]Aug-24'!$A:$A,'[1]Aug-24'!$H:$H,0)</f>
        <v>0</v>
      </c>
      <c r="N436" s="17">
        <f>_xlfn.XLOOKUP($B436,'[1]Sep-24'!$A:$A,'[1]Sep-24'!$H:$H,0)</f>
        <v>0</v>
      </c>
      <c r="O436" s="17">
        <f>_xlfn.XLOOKUP($B436,'[1]Oct-24'!$A:$A,'[1]Oct-24'!$H:$H,0)</f>
        <v>0</v>
      </c>
      <c r="P436" s="17">
        <f>_xlfn.XLOOKUP($B436,'[1]Nov-24'!$A:$A,'[1]Nov-24'!$H:$H,0)</f>
        <v>0</v>
      </c>
      <c r="Q436" s="17">
        <f>_xlfn.XLOOKUP($B436,'[1]Dec-24'!$A:$A,'[1]Dec-24'!$H:$H,0)</f>
        <v>0</v>
      </c>
      <c r="R436" s="17">
        <f>_xlfn.XLOOKUP($B436,'[1]Jan-25'!$A:$A,'[1]Jan-25'!$H:$H,0)</f>
        <v>0</v>
      </c>
      <c r="S436" s="17">
        <f>_xlfn.XLOOKUP($B436,'[1]Feb-25'!$A:$A,'[1]Feb-25'!$H:$H,0)</f>
        <v>0</v>
      </c>
      <c r="T436" s="17">
        <f>_xlfn.XLOOKUP($B436,'[1]Mar-25'!$A:$A,'[1]Mar-25'!$H:$H,0)</f>
        <v>0</v>
      </c>
      <c r="U436" s="17">
        <f>_xlfn.XLOOKUP($B436,'[1]Apr-25'!$A:$A,'[1]Apr-25'!$H:$H,0)</f>
        <v>0</v>
      </c>
      <c r="V436" s="17">
        <f>_xlfn.XLOOKUP($B436,'[1]May-25'!$A:$A,'[1]May-25'!$H:$H,0)</f>
        <v>0</v>
      </c>
      <c r="W436" s="17">
        <f>_xlfn.XLOOKUP($B436,'[1]Jun-25'!$A:$A,'[1]Jun-25'!$H:$H,0)</f>
        <v>0</v>
      </c>
      <c r="X436" s="17">
        <f>_xlfn.XLOOKUP($B436,'[1]Jul-25'!$A:$A,'[1]Jul-25'!$H:$H,0)</f>
        <v>0</v>
      </c>
      <c r="Y436" s="17">
        <f>_xlfn.XLOOKUP($B436,'[1]Aug-25'!$A:$A,'[1]Aug-25'!$H:$H,0)</f>
        <v>0</v>
      </c>
      <c r="Z436" s="17">
        <f>_xlfn.XLOOKUP($B436,'[1]Sep-25'!$A:$A,'[1]Sep-25'!$H:$H,0)</f>
        <v>0</v>
      </c>
      <c r="AA436" s="17">
        <f>_xlfn.XLOOKUP($B436,'[1]Oct-25'!$A:$A,'[1]Oct-25'!$H:$H,0)</f>
        <v>0</v>
      </c>
      <c r="AB436" s="17">
        <f>_xlfn.XLOOKUP($B436,'[1]Nov-25'!$A:$A,'[1]Nov-25'!$H:$H,0)</f>
        <v>0</v>
      </c>
      <c r="AC436" s="17">
        <f>_xlfn.XLOOKUP($B436,'[1]Dec-25'!$A:$A,'[1]Dec-25'!$H:$H,0)</f>
        <v>0</v>
      </c>
      <c r="AD436" s="17">
        <f>_xlfn.XLOOKUP($B436,'[1]Jan-26'!$A:$A,'[1]Jan-26'!$H:$H,0)</f>
        <v>0</v>
      </c>
      <c r="AE436" s="17">
        <f>_xlfn.XLOOKUP($B436,'[1]Feb-26'!$A:$A,'[1]Feb-26'!$H:$H,0)</f>
        <v>0</v>
      </c>
      <c r="AF436" s="17">
        <f>_xlfn.XLOOKUP($B436,'[1]Mar-26'!$A:$A,'[1]Mar-26'!$H:$H,0)</f>
        <v>0</v>
      </c>
      <c r="AG436" s="17">
        <f>_xlfn.XLOOKUP($B436,'[1]Apr-26'!$A:$A,'[1]Apr-26'!$H:$H,0)</f>
        <v>0</v>
      </c>
    </row>
    <row r="437" spans="1:33" x14ac:dyDescent="0.2">
      <c r="A437" s="58">
        <v>61710</v>
      </c>
      <c r="B437" s="56" t="str">
        <f t="shared" si="12"/>
        <v>61710</v>
      </c>
      <c r="C437" s="57" t="s">
        <v>613</v>
      </c>
      <c r="D437" s="57" t="s">
        <v>387</v>
      </c>
      <c r="E437" s="44" t="s">
        <v>616</v>
      </c>
      <c r="F437" s="17">
        <f>_xlfn.XLOOKUP($B437,'[1]Jan-24'!$A:$A,'[1]Jan-24'!$H:$H,0)</f>
        <v>0</v>
      </c>
      <c r="G437" s="17">
        <f>_xlfn.XLOOKUP($B437,'[1]Feb-24'!$A:$A,'[1]Feb-24'!$H:$H,0)</f>
        <v>0</v>
      </c>
      <c r="H437" s="17">
        <f>_xlfn.XLOOKUP($B437,'[1]Mar-24'!$A:$A,'[1]Mar-24'!$H:$H,0)</f>
        <v>0</v>
      </c>
      <c r="I437" s="17">
        <f>_xlfn.XLOOKUP($B437,'[1]Apr-24'!$A:$A,'[1]Apr-24'!$H:$H,0)</f>
        <v>0</v>
      </c>
      <c r="J437" s="17">
        <f>_xlfn.XLOOKUP($B437,'[1]May-24'!$A:$A,'[1]May-24'!$H:$H,0)</f>
        <v>0</v>
      </c>
      <c r="K437" s="17">
        <f>_xlfn.XLOOKUP($B437,'[1]Jun-24'!$A:$A,'[1]Jun-24'!$H:$H,0)</f>
        <v>0</v>
      </c>
      <c r="L437" s="17">
        <f>_xlfn.XLOOKUP($B437,'[1]Jul-24'!$A:$A,'[1]Jul-24'!$H:$H,0)</f>
        <v>0</v>
      </c>
      <c r="M437" s="17">
        <f>_xlfn.XLOOKUP($B437,'[1]Aug-24'!$A:$A,'[1]Aug-24'!$H:$H,0)</f>
        <v>0</v>
      </c>
      <c r="N437" s="17">
        <f>_xlfn.XLOOKUP($B437,'[1]Sep-24'!$A:$A,'[1]Sep-24'!$H:$H,0)</f>
        <v>0</v>
      </c>
      <c r="O437" s="17">
        <f>_xlfn.XLOOKUP($B437,'[1]Oct-24'!$A:$A,'[1]Oct-24'!$H:$H,0)</f>
        <v>0</v>
      </c>
      <c r="P437" s="17">
        <f>_xlfn.XLOOKUP($B437,'[1]Nov-24'!$A:$A,'[1]Nov-24'!$H:$H,0)</f>
        <v>0</v>
      </c>
      <c r="Q437" s="17">
        <f>_xlfn.XLOOKUP($B437,'[1]Dec-24'!$A:$A,'[1]Dec-24'!$H:$H,0)</f>
        <v>0</v>
      </c>
      <c r="R437" s="17">
        <f>_xlfn.XLOOKUP($B437,'[1]Jan-25'!$A:$A,'[1]Jan-25'!$H:$H,0)</f>
        <v>0</v>
      </c>
      <c r="S437" s="17">
        <f>_xlfn.XLOOKUP($B437,'[1]Feb-25'!$A:$A,'[1]Feb-25'!$H:$H,0)</f>
        <v>0</v>
      </c>
      <c r="T437" s="17">
        <f>_xlfn.XLOOKUP($B437,'[1]Mar-25'!$A:$A,'[1]Mar-25'!$H:$H,0)</f>
        <v>0</v>
      </c>
      <c r="U437" s="17">
        <f>_xlfn.XLOOKUP($B437,'[1]Apr-25'!$A:$A,'[1]Apr-25'!$H:$H,0)</f>
        <v>0</v>
      </c>
      <c r="V437" s="17">
        <f>_xlfn.XLOOKUP($B437,'[1]May-25'!$A:$A,'[1]May-25'!$H:$H,0)</f>
        <v>0</v>
      </c>
      <c r="W437" s="17">
        <f>_xlfn.XLOOKUP($B437,'[1]Jun-25'!$A:$A,'[1]Jun-25'!$H:$H,0)</f>
        <v>0</v>
      </c>
      <c r="X437" s="17">
        <f>_xlfn.XLOOKUP($B437,'[1]Jul-25'!$A:$A,'[1]Jul-25'!$H:$H,0)</f>
        <v>0</v>
      </c>
      <c r="Y437" s="17">
        <f>_xlfn.XLOOKUP($B437,'[1]Aug-25'!$A:$A,'[1]Aug-25'!$H:$H,0)</f>
        <v>0</v>
      </c>
      <c r="Z437" s="17">
        <f>_xlfn.XLOOKUP($B437,'[1]Sep-25'!$A:$A,'[1]Sep-25'!$H:$H,0)</f>
        <v>0</v>
      </c>
      <c r="AA437" s="17">
        <f>_xlfn.XLOOKUP($B437,'[1]Oct-25'!$A:$A,'[1]Oct-25'!$H:$H,0)</f>
        <v>0</v>
      </c>
      <c r="AB437" s="17">
        <f>_xlfn.XLOOKUP($B437,'[1]Nov-25'!$A:$A,'[1]Nov-25'!$H:$H,0)</f>
        <v>0</v>
      </c>
      <c r="AC437" s="17">
        <f>_xlfn.XLOOKUP($B437,'[1]Dec-25'!$A:$A,'[1]Dec-25'!$H:$H,0)</f>
        <v>0</v>
      </c>
      <c r="AD437" s="17">
        <f>_xlfn.XLOOKUP($B437,'[1]Jan-26'!$A:$A,'[1]Jan-26'!$H:$H,0)</f>
        <v>0</v>
      </c>
      <c r="AE437" s="17">
        <f>_xlfn.XLOOKUP($B437,'[1]Feb-26'!$A:$A,'[1]Feb-26'!$H:$H,0)</f>
        <v>0</v>
      </c>
      <c r="AF437" s="17">
        <f>_xlfn.XLOOKUP($B437,'[1]Mar-26'!$A:$A,'[1]Mar-26'!$H:$H,0)</f>
        <v>0</v>
      </c>
      <c r="AG437" s="17">
        <f>_xlfn.XLOOKUP($B437,'[1]Apr-26'!$A:$A,'[1]Apr-26'!$H:$H,0)</f>
        <v>0</v>
      </c>
    </row>
    <row r="438" spans="1:33" x14ac:dyDescent="0.2">
      <c r="A438" s="58">
        <v>62100</v>
      </c>
      <c r="B438" s="56" t="str">
        <f t="shared" si="12"/>
        <v>62100</v>
      </c>
      <c r="C438" s="57" t="s">
        <v>389</v>
      </c>
      <c r="D438" s="57" t="s">
        <v>387</v>
      </c>
      <c r="E438" s="44" t="s">
        <v>617</v>
      </c>
      <c r="F438" s="17">
        <f>_xlfn.XLOOKUP($B438,'[1]Jan-24'!$A:$A,'[1]Jan-24'!$H:$H,0)</f>
        <v>0</v>
      </c>
      <c r="G438" s="17">
        <f>_xlfn.XLOOKUP($B438,'[1]Feb-24'!$A:$A,'[1]Feb-24'!$H:$H,0)</f>
        <v>0</v>
      </c>
      <c r="H438" s="17">
        <f>_xlfn.XLOOKUP($B438,'[1]Mar-24'!$A:$A,'[1]Mar-24'!$H:$H,0)</f>
        <v>0</v>
      </c>
      <c r="I438" s="17">
        <f>_xlfn.XLOOKUP($B438,'[1]Apr-24'!$A:$A,'[1]Apr-24'!$H:$H,0)</f>
        <v>0</v>
      </c>
      <c r="J438" s="17">
        <f>_xlfn.XLOOKUP($B438,'[1]May-24'!$A:$A,'[1]May-24'!$H:$H,0)</f>
        <v>0</v>
      </c>
      <c r="K438" s="17">
        <f>_xlfn.XLOOKUP($B438,'[1]Jun-24'!$A:$A,'[1]Jun-24'!$H:$H,0)</f>
        <v>0</v>
      </c>
      <c r="L438" s="17">
        <f>_xlfn.XLOOKUP($B438,'[1]Jul-24'!$A:$A,'[1]Jul-24'!$H:$H,0)</f>
        <v>0</v>
      </c>
      <c r="M438" s="17">
        <f>_xlfn.XLOOKUP($B438,'[1]Aug-24'!$A:$A,'[1]Aug-24'!$H:$H,0)</f>
        <v>0</v>
      </c>
      <c r="N438" s="17">
        <f>_xlfn.XLOOKUP($B438,'[1]Sep-24'!$A:$A,'[1]Sep-24'!$H:$H,0)</f>
        <v>0</v>
      </c>
      <c r="O438" s="17">
        <f>_xlfn.XLOOKUP($B438,'[1]Oct-24'!$A:$A,'[1]Oct-24'!$H:$H,0)</f>
        <v>0</v>
      </c>
      <c r="P438" s="17">
        <f>_xlfn.XLOOKUP($B438,'[1]Nov-24'!$A:$A,'[1]Nov-24'!$H:$H,0)</f>
        <v>0</v>
      </c>
      <c r="Q438" s="17">
        <f>_xlfn.XLOOKUP($B438,'[1]Dec-24'!$A:$A,'[1]Dec-24'!$H:$H,0)</f>
        <v>0</v>
      </c>
      <c r="R438" s="17">
        <f>_xlfn.XLOOKUP($B438,'[1]Jan-25'!$A:$A,'[1]Jan-25'!$H:$H,0)</f>
        <v>0</v>
      </c>
      <c r="S438" s="17">
        <f>_xlfn.XLOOKUP($B438,'[1]Feb-25'!$A:$A,'[1]Feb-25'!$H:$H,0)</f>
        <v>0</v>
      </c>
      <c r="T438" s="17">
        <f>_xlfn.XLOOKUP($B438,'[1]Mar-25'!$A:$A,'[1]Mar-25'!$H:$H,0)</f>
        <v>0</v>
      </c>
      <c r="U438" s="17">
        <f>_xlfn.XLOOKUP($B438,'[1]Apr-25'!$A:$A,'[1]Apr-25'!$H:$H,0)</f>
        <v>0</v>
      </c>
      <c r="V438" s="17">
        <f>_xlfn.XLOOKUP($B438,'[1]May-25'!$A:$A,'[1]May-25'!$H:$H,0)</f>
        <v>0</v>
      </c>
      <c r="W438" s="17">
        <f>_xlfn.XLOOKUP($B438,'[1]Jun-25'!$A:$A,'[1]Jun-25'!$H:$H,0)</f>
        <v>0</v>
      </c>
      <c r="X438" s="17">
        <f>_xlfn.XLOOKUP($B438,'[1]Jul-25'!$A:$A,'[1]Jul-25'!$H:$H,0)</f>
        <v>0</v>
      </c>
      <c r="Y438" s="17">
        <f>_xlfn.XLOOKUP($B438,'[1]Aug-25'!$A:$A,'[1]Aug-25'!$H:$H,0)</f>
        <v>0</v>
      </c>
      <c r="Z438" s="17">
        <f>_xlfn.XLOOKUP($B438,'[1]Sep-25'!$A:$A,'[1]Sep-25'!$H:$H,0)</f>
        <v>0</v>
      </c>
      <c r="AA438" s="17">
        <f>_xlfn.XLOOKUP($B438,'[1]Oct-25'!$A:$A,'[1]Oct-25'!$H:$H,0)</f>
        <v>200</v>
      </c>
      <c r="AB438" s="17">
        <f>_xlfn.XLOOKUP($B438,'[1]Nov-25'!$A:$A,'[1]Nov-25'!$H:$H,0)</f>
        <v>0</v>
      </c>
      <c r="AC438" s="17">
        <f>_xlfn.XLOOKUP($B438,'[1]Dec-25'!$A:$A,'[1]Dec-25'!$H:$H,0)</f>
        <v>0</v>
      </c>
      <c r="AD438" s="17">
        <f>_xlfn.XLOOKUP($B438,'[1]Jan-26'!$A:$A,'[1]Jan-26'!$H:$H,0)</f>
        <v>0</v>
      </c>
      <c r="AE438" s="17">
        <f>_xlfn.XLOOKUP($B438,'[1]Feb-26'!$A:$A,'[1]Feb-26'!$H:$H,0)</f>
        <v>0</v>
      </c>
      <c r="AF438" s="17">
        <f>_xlfn.XLOOKUP($B438,'[1]Mar-26'!$A:$A,'[1]Mar-26'!$H:$H,0)</f>
        <v>0</v>
      </c>
      <c r="AG438" s="17">
        <f>_xlfn.XLOOKUP($B438,'[1]Apr-26'!$A:$A,'[1]Apr-26'!$H:$H,0)</f>
        <v>0</v>
      </c>
    </row>
    <row r="439" spans="1:33" x14ac:dyDescent="0.2">
      <c r="A439" s="58">
        <v>62101</v>
      </c>
      <c r="B439" s="56" t="str">
        <f t="shared" si="12"/>
        <v>62101</v>
      </c>
      <c r="C439" s="57" t="s">
        <v>574</v>
      </c>
      <c r="D439" s="57" t="s">
        <v>387</v>
      </c>
      <c r="E439" s="44" t="s">
        <v>618</v>
      </c>
      <c r="F439" s="17">
        <f>_xlfn.XLOOKUP($B439,'[1]Jan-24'!$A:$A,'[1]Jan-24'!$H:$H,0)</f>
        <v>0</v>
      </c>
      <c r="G439" s="17">
        <f>_xlfn.XLOOKUP($B439,'[1]Feb-24'!$A:$A,'[1]Feb-24'!$H:$H,0)</f>
        <v>0</v>
      </c>
      <c r="H439" s="17">
        <f>_xlfn.XLOOKUP($B439,'[1]Mar-24'!$A:$A,'[1]Mar-24'!$H:$H,0)</f>
        <v>0</v>
      </c>
      <c r="I439" s="17">
        <f>_xlfn.XLOOKUP($B439,'[1]Apr-24'!$A:$A,'[1]Apr-24'!$H:$H,0)</f>
        <v>0</v>
      </c>
      <c r="J439" s="17">
        <f>_xlfn.XLOOKUP($B439,'[1]May-24'!$A:$A,'[1]May-24'!$H:$H,0)</f>
        <v>0</v>
      </c>
      <c r="K439" s="17">
        <f>_xlfn.XLOOKUP($B439,'[1]Jun-24'!$A:$A,'[1]Jun-24'!$H:$H,0)</f>
        <v>0</v>
      </c>
      <c r="L439" s="17">
        <f>_xlfn.XLOOKUP($B439,'[1]Jul-24'!$A:$A,'[1]Jul-24'!$H:$H,0)</f>
        <v>0</v>
      </c>
      <c r="M439" s="17">
        <f>_xlfn.XLOOKUP($B439,'[1]Aug-24'!$A:$A,'[1]Aug-24'!$H:$H,0)</f>
        <v>-70251665.25</v>
      </c>
      <c r="N439" s="17">
        <f>_xlfn.XLOOKUP($B439,'[1]Sep-24'!$A:$A,'[1]Sep-24'!$H:$H,0)</f>
        <v>0</v>
      </c>
      <c r="O439" s="17">
        <f>_xlfn.XLOOKUP($B439,'[1]Oct-24'!$A:$A,'[1]Oct-24'!$H:$H,0)</f>
        <v>0</v>
      </c>
      <c r="P439" s="17">
        <f>_xlfn.XLOOKUP($B439,'[1]Nov-24'!$A:$A,'[1]Nov-24'!$H:$H,0)</f>
        <v>0</v>
      </c>
      <c r="Q439" s="17">
        <f>_xlfn.XLOOKUP($B439,'[1]Dec-24'!$A:$A,'[1]Dec-24'!$H:$H,0)</f>
        <v>92006275.999999985</v>
      </c>
      <c r="R439" s="17">
        <f>_xlfn.XLOOKUP($B439,'[1]Jan-25'!$A:$A,'[1]Jan-25'!$H:$H,0)</f>
        <v>0</v>
      </c>
      <c r="S439" s="17">
        <f>_xlfn.XLOOKUP($B439,'[1]Feb-25'!$A:$A,'[1]Feb-25'!$H:$H,0)</f>
        <v>0</v>
      </c>
      <c r="T439" s="17">
        <f>_xlfn.XLOOKUP($B439,'[1]Mar-25'!$A:$A,'[1]Mar-25'!$H:$H,0)</f>
        <v>0</v>
      </c>
      <c r="U439" s="17">
        <f>_xlfn.XLOOKUP($B439,'[1]Apr-25'!$A:$A,'[1]Apr-25'!$H:$H,0)</f>
        <v>0</v>
      </c>
      <c r="V439" s="17">
        <f>_xlfn.XLOOKUP($B439,'[1]May-25'!$A:$A,'[1]May-25'!$H:$H,0)</f>
        <v>61442161.840000004</v>
      </c>
      <c r="W439" s="17">
        <f>_xlfn.XLOOKUP($B439,'[1]Jun-25'!$A:$A,'[1]Jun-25'!$H:$H,0)</f>
        <v>0</v>
      </c>
      <c r="X439" s="17">
        <f>_xlfn.XLOOKUP($B439,'[1]Jul-25'!$A:$A,'[1]Jul-25'!$H:$H,0)</f>
        <v>36000350</v>
      </c>
      <c r="Y439" s="17">
        <f>_xlfn.XLOOKUP($B439,'[1]Aug-25'!$A:$A,'[1]Aug-25'!$H:$H,0)</f>
        <v>41383464</v>
      </c>
      <c r="Z439" s="17">
        <f>_xlfn.XLOOKUP($B439,'[1]Sep-25'!$A:$A,'[1]Sep-25'!$H:$H,0)</f>
        <v>0</v>
      </c>
      <c r="AA439" s="17">
        <f>_xlfn.XLOOKUP($B439,'[1]Oct-25'!$A:$A,'[1]Oct-25'!$H:$H,0)</f>
        <v>0</v>
      </c>
      <c r="AB439" s="17">
        <f>_xlfn.XLOOKUP($B439,'[1]Nov-25'!$A:$A,'[1]Nov-25'!$H:$H,0)</f>
        <v>0</v>
      </c>
      <c r="AC439" s="17">
        <f>_xlfn.XLOOKUP($B439,'[1]Dec-25'!$A:$A,'[1]Dec-25'!$H:$H,0)</f>
        <v>121392723.47</v>
      </c>
      <c r="AD439" s="17">
        <f>_xlfn.XLOOKUP($B439,'[1]Jan-26'!$A:$A,'[1]Jan-26'!$H:$H,0)</f>
        <v>0</v>
      </c>
      <c r="AE439" s="17">
        <f>_xlfn.XLOOKUP($B439,'[1]Feb-26'!$A:$A,'[1]Feb-26'!$H:$H,0)</f>
        <v>0</v>
      </c>
      <c r="AF439" s="17">
        <f>_xlfn.XLOOKUP($B439,'[1]Mar-26'!$A:$A,'[1]Mar-26'!$H:$H,0)</f>
        <v>0</v>
      </c>
      <c r="AG439" s="17">
        <f>_xlfn.XLOOKUP($B439,'[1]Apr-26'!$A:$A,'[1]Apr-26'!$H:$H,0)</f>
        <v>0</v>
      </c>
    </row>
    <row r="440" spans="1:33" x14ac:dyDescent="0.2">
      <c r="A440" s="58">
        <v>62200</v>
      </c>
      <c r="B440" s="56" t="str">
        <f t="shared" si="12"/>
        <v>62200</v>
      </c>
      <c r="C440" s="57" t="s">
        <v>552</v>
      </c>
      <c r="D440" s="57" t="s">
        <v>387</v>
      </c>
      <c r="E440" s="44" t="s">
        <v>619</v>
      </c>
      <c r="F440" s="17">
        <f>_xlfn.XLOOKUP($B440,'[1]Jan-24'!$A:$A,'[1]Jan-24'!$H:$H,0)</f>
        <v>13500</v>
      </c>
      <c r="G440" s="17">
        <f>_xlfn.XLOOKUP($B440,'[1]Feb-24'!$A:$A,'[1]Feb-24'!$H:$H,0)</f>
        <v>6300</v>
      </c>
      <c r="H440" s="17">
        <f>_xlfn.XLOOKUP($B440,'[1]Mar-24'!$A:$A,'[1]Mar-24'!$H:$H,0)</f>
        <v>71970</v>
      </c>
      <c r="I440" s="17">
        <f>_xlfn.XLOOKUP($B440,'[1]Apr-24'!$A:$A,'[1]Apr-24'!$H:$H,0)</f>
        <v>1287110</v>
      </c>
      <c r="J440" s="17">
        <f>_xlfn.XLOOKUP($B440,'[1]May-24'!$A:$A,'[1]May-24'!$H:$H,0)</f>
        <v>457600</v>
      </c>
      <c r="K440" s="17">
        <f>_xlfn.XLOOKUP($B440,'[1]Jun-24'!$A:$A,'[1]Jun-24'!$H:$H,0)</f>
        <v>26050</v>
      </c>
      <c r="L440" s="17">
        <f>_xlfn.XLOOKUP($B440,'[1]Jul-24'!$A:$A,'[1]Jul-24'!$H:$H,0)</f>
        <v>192300</v>
      </c>
      <c r="M440" s="17">
        <f>_xlfn.XLOOKUP($B440,'[1]Aug-24'!$A:$A,'[1]Aug-24'!$H:$H,0)</f>
        <v>7800</v>
      </c>
      <c r="N440" s="17">
        <f>_xlfn.XLOOKUP($B440,'[1]Sep-24'!$A:$A,'[1]Sep-24'!$H:$H,0)</f>
        <v>55450</v>
      </c>
      <c r="O440" s="17">
        <f>_xlfn.XLOOKUP($B440,'[1]Oct-24'!$A:$A,'[1]Oct-24'!$H:$H,0)</f>
        <v>203860</v>
      </c>
      <c r="P440" s="17">
        <f>_xlfn.XLOOKUP($B440,'[1]Nov-24'!$A:$A,'[1]Nov-24'!$H:$H,0)</f>
        <v>63570</v>
      </c>
      <c r="Q440" s="17">
        <f>_xlfn.XLOOKUP($B440,'[1]Dec-24'!$A:$A,'[1]Dec-24'!$H:$H,0)</f>
        <v>42300</v>
      </c>
      <c r="R440" s="17">
        <f>_xlfn.XLOOKUP($B440,'[1]Jan-25'!$A:$A,'[1]Jan-25'!$H:$H,0)</f>
        <v>75400</v>
      </c>
      <c r="S440" s="17">
        <f>_xlfn.XLOOKUP($B440,'[1]Feb-25'!$A:$A,'[1]Feb-25'!$H:$H,0)</f>
        <v>600100</v>
      </c>
      <c r="T440" s="17">
        <f>_xlfn.XLOOKUP($B440,'[1]Mar-25'!$A:$A,'[1]Mar-25'!$H:$H,0)</f>
        <v>1051035</v>
      </c>
      <c r="U440" s="17">
        <f>_xlfn.XLOOKUP($B440,'[1]Apr-25'!$A:$A,'[1]Apr-25'!$H:$H,0)</f>
        <v>354546</v>
      </c>
      <c r="V440" s="17">
        <f>_xlfn.XLOOKUP($B440,'[1]May-25'!$A:$A,'[1]May-25'!$H:$H,0)</f>
        <v>9200</v>
      </c>
      <c r="W440" s="17">
        <f>_xlfn.XLOOKUP($B440,'[1]Jun-25'!$A:$A,'[1]Jun-25'!$H:$H,0)</f>
        <v>469300</v>
      </c>
      <c r="X440" s="17">
        <f>_xlfn.XLOOKUP($B440,'[1]Jul-25'!$A:$A,'[1]Jul-25'!$H:$H,0)</f>
        <v>151169</v>
      </c>
      <c r="Y440" s="17">
        <f>_xlfn.XLOOKUP($B440,'[1]Aug-25'!$A:$A,'[1]Aug-25'!$H:$H,0)</f>
        <v>21250</v>
      </c>
      <c r="Z440" s="17">
        <f>_xlfn.XLOOKUP($B440,'[1]Sep-25'!$A:$A,'[1]Sep-25'!$H:$H,0)</f>
        <v>1845000</v>
      </c>
      <c r="AA440" s="17">
        <f>_xlfn.XLOOKUP($B440,'[1]Oct-25'!$A:$A,'[1]Oct-25'!$H:$H,0)</f>
        <v>163797.17000000001</v>
      </c>
      <c r="AB440" s="17">
        <f>_xlfn.XLOOKUP($B440,'[1]Nov-25'!$A:$A,'[1]Nov-25'!$H:$H,0)</f>
        <v>4200</v>
      </c>
      <c r="AC440" s="17">
        <f>_xlfn.XLOOKUP($B440,'[1]Dec-25'!$A:$A,'[1]Dec-25'!$H:$H,0)</f>
        <v>666000</v>
      </c>
      <c r="AD440" s="17">
        <f>_xlfn.XLOOKUP($B440,'[1]Jan-26'!$A:$A,'[1]Jan-26'!$H:$H,0)</f>
        <v>14200</v>
      </c>
      <c r="AE440" s="17">
        <f>_xlfn.XLOOKUP($B440,'[1]Feb-26'!$A:$A,'[1]Feb-26'!$H:$H,0)</f>
        <v>0</v>
      </c>
      <c r="AF440" s="17">
        <f>_xlfn.XLOOKUP($B440,'[1]Mar-26'!$A:$A,'[1]Mar-26'!$H:$H,0)</f>
        <v>0</v>
      </c>
      <c r="AG440" s="17">
        <f>_xlfn.XLOOKUP($B440,'[1]Apr-26'!$A:$A,'[1]Apr-26'!$H:$H,0)</f>
        <v>94040</v>
      </c>
    </row>
    <row r="441" spans="1:33" x14ac:dyDescent="0.2">
      <c r="A441" s="58">
        <v>62400</v>
      </c>
      <c r="B441" s="56" t="str">
        <f t="shared" si="12"/>
        <v>62400</v>
      </c>
      <c r="C441" s="57" t="s">
        <v>389</v>
      </c>
      <c r="D441" s="57" t="s">
        <v>387</v>
      </c>
      <c r="E441" s="44" t="s">
        <v>620</v>
      </c>
      <c r="F441" s="17">
        <f>_xlfn.XLOOKUP($B441,'[1]Jan-24'!$A:$A,'[1]Jan-24'!$H:$H,0)</f>
        <v>0</v>
      </c>
      <c r="G441" s="17">
        <f>_xlfn.XLOOKUP($B441,'[1]Feb-24'!$A:$A,'[1]Feb-24'!$H:$H,0)</f>
        <v>0</v>
      </c>
      <c r="H441" s="17">
        <f>_xlfn.XLOOKUP($B441,'[1]Mar-24'!$A:$A,'[1]Mar-24'!$H:$H,0)</f>
        <v>0</v>
      </c>
      <c r="I441" s="17">
        <f>_xlfn.XLOOKUP($B441,'[1]Apr-24'!$A:$A,'[1]Apr-24'!$H:$H,0)</f>
        <v>0</v>
      </c>
      <c r="J441" s="17">
        <f>_xlfn.XLOOKUP($B441,'[1]May-24'!$A:$A,'[1]May-24'!$H:$H,0)</f>
        <v>0</v>
      </c>
      <c r="K441" s="17">
        <f>_xlfn.XLOOKUP($B441,'[1]Jun-24'!$A:$A,'[1]Jun-24'!$H:$H,0)</f>
        <v>0</v>
      </c>
      <c r="L441" s="17">
        <f>_xlfn.XLOOKUP($B441,'[1]Jul-24'!$A:$A,'[1]Jul-24'!$H:$H,0)</f>
        <v>0</v>
      </c>
      <c r="M441" s="17">
        <f>_xlfn.XLOOKUP($B441,'[1]Aug-24'!$A:$A,'[1]Aug-24'!$H:$H,0)</f>
        <v>0</v>
      </c>
      <c r="N441" s="17">
        <f>_xlfn.XLOOKUP($B441,'[1]Sep-24'!$A:$A,'[1]Sep-24'!$H:$H,0)</f>
        <v>0</v>
      </c>
      <c r="O441" s="17">
        <f>_xlfn.XLOOKUP($B441,'[1]Oct-24'!$A:$A,'[1]Oct-24'!$H:$H,0)</f>
        <v>0</v>
      </c>
      <c r="P441" s="17">
        <f>_xlfn.XLOOKUP($B441,'[1]Nov-24'!$A:$A,'[1]Nov-24'!$H:$H,0)</f>
        <v>0</v>
      </c>
      <c r="Q441" s="17">
        <f>_xlfn.XLOOKUP($B441,'[1]Dec-24'!$A:$A,'[1]Dec-24'!$H:$H,0)</f>
        <v>0</v>
      </c>
      <c r="R441" s="17">
        <f>_xlfn.XLOOKUP($B441,'[1]Jan-25'!$A:$A,'[1]Jan-25'!$H:$H,0)</f>
        <v>0</v>
      </c>
      <c r="S441" s="17">
        <f>_xlfn.XLOOKUP($B441,'[1]Feb-25'!$A:$A,'[1]Feb-25'!$H:$H,0)</f>
        <v>0</v>
      </c>
      <c r="T441" s="17">
        <f>_xlfn.XLOOKUP($B441,'[1]Mar-25'!$A:$A,'[1]Mar-25'!$H:$H,0)</f>
        <v>0</v>
      </c>
      <c r="U441" s="17">
        <f>_xlfn.XLOOKUP($B441,'[1]Apr-25'!$A:$A,'[1]Apr-25'!$H:$H,0)</f>
        <v>0</v>
      </c>
      <c r="V441" s="17">
        <f>_xlfn.XLOOKUP($B441,'[1]May-25'!$A:$A,'[1]May-25'!$H:$H,0)</f>
        <v>0</v>
      </c>
      <c r="W441" s="17">
        <f>_xlfn.XLOOKUP($B441,'[1]Jun-25'!$A:$A,'[1]Jun-25'!$H:$H,0)</f>
        <v>0</v>
      </c>
      <c r="X441" s="17">
        <f>_xlfn.XLOOKUP($B441,'[1]Jul-25'!$A:$A,'[1]Jul-25'!$H:$H,0)</f>
        <v>0</v>
      </c>
      <c r="Y441" s="17">
        <f>_xlfn.XLOOKUP($B441,'[1]Aug-25'!$A:$A,'[1]Aug-25'!$H:$H,0)</f>
        <v>0</v>
      </c>
      <c r="Z441" s="17">
        <f>_xlfn.XLOOKUP($B441,'[1]Sep-25'!$A:$A,'[1]Sep-25'!$H:$H,0)</f>
        <v>0</v>
      </c>
      <c r="AA441" s="17">
        <f>_xlfn.XLOOKUP($B441,'[1]Oct-25'!$A:$A,'[1]Oct-25'!$H:$H,0)</f>
        <v>0</v>
      </c>
      <c r="AB441" s="17">
        <f>_xlfn.XLOOKUP($B441,'[1]Nov-25'!$A:$A,'[1]Nov-25'!$H:$H,0)</f>
        <v>0</v>
      </c>
      <c r="AC441" s="17">
        <f>_xlfn.XLOOKUP($B441,'[1]Dec-25'!$A:$A,'[1]Dec-25'!$H:$H,0)</f>
        <v>0</v>
      </c>
      <c r="AD441" s="17">
        <f>_xlfn.XLOOKUP($B441,'[1]Jan-26'!$A:$A,'[1]Jan-26'!$H:$H,0)</f>
        <v>0</v>
      </c>
      <c r="AE441" s="17">
        <f>_xlfn.XLOOKUP($B441,'[1]Feb-26'!$A:$A,'[1]Feb-26'!$H:$H,0)</f>
        <v>0</v>
      </c>
      <c r="AF441" s="17">
        <f>_xlfn.XLOOKUP($B441,'[1]Mar-26'!$A:$A,'[1]Mar-26'!$H:$H,0)</f>
        <v>0</v>
      </c>
      <c r="AG441" s="17">
        <f>_xlfn.XLOOKUP($B441,'[1]Apr-26'!$A:$A,'[1]Apr-26'!$H:$H,0)</f>
        <v>0</v>
      </c>
    </row>
    <row r="442" spans="1:33" x14ac:dyDescent="0.2">
      <c r="A442" s="58">
        <v>62405</v>
      </c>
      <c r="B442" s="56" t="str">
        <f t="shared" si="12"/>
        <v>62405</v>
      </c>
      <c r="C442" s="57" t="s">
        <v>389</v>
      </c>
      <c r="D442" s="57" t="s">
        <v>387</v>
      </c>
      <c r="E442" s="44" t="s">
        <v>621</v>
      </c>
      <c r="F442" s="17">
        <f>_xlfn.XLOOKUP($B442,'[1]Jan-24'!$A:$A,'[1]Jan-24'!$H:$H,0)</f>
        <v>0</v>
      </c>
      <c r="G442" s="17">
        <f>_xlfn.XLOOKUP($B442,'[1]Feb-24'!$A:$A,'[1]Feb-24'!$H:$H,0)</f>
        <v>0</v>
      </c>
      <c r="H442" s="17">
        <f>_xlfn.XLOOKUP($B442,'[1]Mar-24'!$A:$A,'[1]Mar-24'!$H:$H,0)</f>
        <v>0</v>
      </c>
      <c r="I442" s="17">
        <f>_xlfn.XLOOKUP($B442,'[1]Apr-24'!$A:$A,'[1]Apr-24'!$H:$H,0)</f>
        <v>0</v>
      </c>
      <c r="J442" s="17">
        <f>_xlfn.XLOOKUP($B442,'[1]May-24'!$A:$A,'[1]May-24'!$H:$H,0)</f>
        <v>0</v>
      </c>
      <c r="K442" s="17">
        <f>_xlfn.XLOOKUP($B442,'[1]Jun-24'!$A:$A,'[1]Jun-24'!$H:$H,0)</f>
        <v>0</v>
      </c>
      <c r="L442" s="17">
        <f>_xlfn.XLOOKUP($B442,'[1]Jul-24'!$A:$A,'[1]Jul-24'!$H:$H,0)</f>
        <v>0</v>
      </c>
      <c r="M442" s="17">
        <f>_xlfn.XLOOKUP($B442,'[1]Aug-24'!$A:$A,'[1]Aug-24'!$H:$H,0)</f>
        <v>0</v>
      </c>
      <c r="N442" s="17">
        <f>_xlfn.XLOOKUP($B442,'[1]Sep-24'!$A:$A,'[1]Sep-24'!$H:$H,0)</f>
        <v>0</v>
      </c>
      <c r="O442" s="17">
        <f>_xlfn.XLOOKUP($B442,'[1]Oct-24'!$A:$A,'[1]Oct-24'!$H:$H,0)</f>
        <v>0</v>
      </c>
      <c r="P442" s="17">
        <f>_xlfn.XLOOKUP($B442,'[1]Nov-24'!$A:$A,'[1]Nov-24'!$H:$H,0)</f>
        <v>0</v>
      </c>
      <c r="Q442" s="17">
        <f>_xlfn.XLOOKUP($B442,'[1]Dec-24'!$A:$A,'[1]Dec-24'!$H:$H,0)</f>
        <v>0</v>
      </c>
      <c r="R442" s="17">
        <f>_xlfn.XLOOKUP($B442,'[1]Jan-25'!$A:$A,'[1]Jan-25'!$H:$H,0)</f>
        <v>0</v>
      </c>
      <c r="S442" s="17">
        <f>_xlfn.XLOOKUP($B442,'[1]Feb-25'!$A:$A,'[1]Feb-25'!$H:$H,0)</f>
        <v>0</v>
      </c>
      <c r="T442" s="17">
        <f>_xlfn.XLOOKUP($B442,'[1]Mar-25'!$A:$A,'[1]Mar-25'!$H:$H,0)</f>
        <v>0</v>
      </c>
      <c r="U442" s="17">
        <f>_xlfn.XLOOKUP($B442,'[1]Apr-25'!$A:$A,'[1]Apr-25'!$H:$H,0)</f>
        <v>0</v>
      </c>
      <c r="V442" s="17">
        <f>_xlfn.XLOOKUP($B442,'[1]May-25'!$A:$A,'[1]May-25'!$H:$H,0)</f>
        <v>0</v>
      </c>
      <c r="W442" s="17">
        <f>_xlfn.XLOOKUP($B442,'[1]Jun-25'!$A:$A,'[1]Jun-25'!$H:$H,0)</f>
        <v>0</v>
      </c>
      <c r="X442" s="17">
        <f>_xlfn.XLOOKUP($B442,'[1]Jul-25'!$A:$A,'[1]Jul-25'!$H:$H,0)</f>
        <v>0</v>
      </c>
      <c r="Y442" s="17">
        <f>_xlfn.XLOOKUP($B442,'[1]Aug-25'!$A:$A,'[1]Aug-25'!$H:$H,0)</f>
        <v>0</v>
      </c>
      <c r="Z442" s="17">
        <f>_xlfn.XLOOKUP($B442,'[1]Sep-25'!$A:$A,'[1]Sep-25'!$H:$H,0)</f>
        <v>0</v>
      </c>
      <c r="AA442" s="17">
        <f>_xlfn.XLOOKUP($B442,'[1]Oct-25'!$A:$A,'[1]Oct-25'!$H:$H,0)</f>
        <v>0</v>
      </c>
      <c r="AB442" s="17">
        <f>_xlfn.XLOOKUP($B442,'[1]Nov-25'!$A:$A,'[1]Nov-25'!$H:$H,0)</f>
        <v>0</v>
      </c>
      <c r="AC442" s="17">
        <f>_xlfn.XLOOKUP($B442,'[1]Dec-25'!$A:$A,'[1]Dec-25'!$H:$H,0)</f>
        <v>0</v>
      </c>
      <c r="AD442" s="17">
        <f>_xlfn.XLOOKUP($B442,'[1]Jan-26'!$A:$A,'[1]Jan-26'!$H:$H,0)</f>
        <v>0</v>
      </c>
      <c r="AE442" s="17">
        <f>_xlfn.XLOOKUP($B442,'[1]Feb-26'!$A:$A,'[1]Feb-26'!$H:$H,0)</f>
        <v>0</v>
      </c>
      <c r="AF442" s="17">
        <f>_xlfn.XLOOKUP($B442,'[1]Mar-26'!$A:$A,'[1]Mar-26'!$H:$H,0)</f>
        <v>0</v>
      </c>
      <c r="AG442" s="17">
        <f>_xlfn.XLOOKUP($B442,'[1]Apr-26'!$A:$A,'[1]Apr-26'!$H:$H,0)</f>
        <v>0</v>
      </c>
    </row>
    <row r="443" spans="1:33" x14ac:dyDescent="0.2">
      <c r="A443" s="58">
        <v>62410</v>
      </c>
      <c r="B443" s="56" t="str">
        <f t="shared" si="12"/>
        <v>62410</v>
      </c>
      <c r="C443" s="57" t="s">
        <v>552</v>
      </c>
      <c r="D443" s="57" t="s">
        <v>387</v>
      </c>
      <c r="E443" s="44" t="s">
        <v>622</v>
      </c>
      <c r="F443" s="17">
        <f>_xlfn.XLOOKUP($B443,'[1]Jan-24'!$A:$A,'[1]Jan-24'!$H:$H,0)</f>
        <v>0</v>
      </c>
      <c r="G443" s="17">
        <f>_xlfn.XLOOKUP($B443,'[1]Feb-24'!$A:$A,'[1]Feb-24'!$H:$H,0)</f>
        <v>0</v>
      </c>
      <c r="H443" s="17">
        <f>_xlfn.XLOOKUP($B443,'[1]Mar-24'!$A:$A,'[1]Mar-24'!$H:$H,0)</f>
        <v>0</v>
      </c>
      <c r="I443" s="17">
        <f>_xlfn.XLOOKUP($B443,'[1]Apr-24'!$A:$A,'[1]Apr-24'!$H:$H,0)</f>
        <v>0</v>
      </c>
      <c r="J443" s="17">
        <f>_xlfn.XLOOKUP($B443,'[1]May-24'!$A:$A,'[1]May-24'!$H:$H,0)</f>
        <v>0</v>
      </c>
      <c r="K443" s="17">
        <f>_xlfn.XLOOKUP($B443,'[1]Jun-24'!$A:$A,'[1]Jun-24'!$H:$H,0)</f>
        <v>0</v>
      </c>
      <c r="L443" s="17">
        <f>_xlfn.XLOOKUP($B443,'[1]Jul-24'!$A:$A,'[1]Jul-24'!$H:$H,0)</f>
        <v>0</v>
      </c>
      <c r="M443" s="17">
        <f>_xlfn.XLOOKUP($B443,'[1]Aug-24'!$A:$A,'[1]Aug-24'!$H:$H,0)</f>
        <v>0</v>
      </c>
      <c r="N443" s="17">
        <f>_xlfn.XLOOKUP($B443,'[1]Sep-24'!$A:$A,'[1]Sep-24'!$H:$H,0)</f>
        <v>0</v>
      </c>
      <c r="O443" s="17">
        <f>_xlfn.XLOOKUP($B443,'[1]Oct-24'!$A:$A,'[1]Oct-24'!$H:$H,0)</f>
        <v>0</v>
      </c>
      <c r="P443" s="17">
        <f>_xlfn.XLOOKUP($B443,'[1]Nov-24'!$A:$A,'[1]Nov-24'!$H:$H,0)</f>
        <v>0</v>
      </c>
      <c r="Q443" s="17">
        <f>_xlfn.XLOOKUP($B443,'[1]Dec-24'!$A:$A,'[1]Dec-24'!$H:$H,0)</f>
        <v>0</v>
      </c>
      <c r="R443" s="17">
        <f>_xlfn.XLOOKUP($B443,'[1]Jan-25'!$A:$A,'[1]Jan-25'!$H:$H,0)</f>
        <v>0</v>
      </c>
      <c r="S443" s="17">
        <f>_xlfn.XLOOKUP($B443,'[1]Feb-25'!$A:$A,'[1]Feb-25'!$H:$H,0)</f>
        <v>0</v>
      </c>
      <c r="T443" s="17">
        <f>_xlfn.XLOOKUP($B443,'[1]Mar-25'!$A:$A,'[1]Mar-25'!$H:$H,0)</f>
        <v>0</v>
      </c>
      <c r="U443" s="17">
        <f>_xlfn.XLOOKUP($B443,'[1]Apr-25'!$A:$A,'[1]Apr-25'!$H:$H,0)</f>
        <v>0</v>
      </c>
      <c r="V443" s="17">
        <f>_xlfn.XLOOKUP($B443,'[1]May-25'!$A:$A,'[1]May-25'!$H:$H,0)</f>
        <v>0</v>
      </c>
      <c r="W443" s="17">
        <f>_xlfn.XLOOKUP($B443,'[1]Jun-25'!$A:$A,'[1]Jun-25'!$H:$H,0)</f>
        <v>0</v>
      </c>
      <c r="X443" s="17">
        <f>_xlfn.XLOOKUP($B443,'[1]Jul-25'!$A:$A,'[1]Jul-25'!$H:$H,0)</f>
        <v>0</v>
      </c>
      <c r="Y443" s="17">
        <f>_xlfn.XLOOKUP($B443,'[1]Aug-25'!$A:$A,'[1]Aug-25'!$H:$H,0)</f>
        <v>0</v>
      </c>
      <c r="Z443" s="17">
        <f>_xlfn.XLOOKUP($B443,'[1]Sep-25'!$A:$A,'[1]Sep-25'!$H:$H,0)</f>
        <v>0</v>
      </c>
      <c r="AA443" s="17">
        <f>_xlfn.XLOOKUP($B443,'[1]Oct-25'!$A:$A,'[1]Oct-25'!$H:$H,0)</f>
        <v>0</v>
      </c>
      <c r="AB443" s="17">
        <f>_xlfn.XLOOKUP($B443,'[1]Nov-25'!$A:$A,'[1]Nov-25'!$H:$H,0)</f>
        <v>0</v>
      </c>
      <c r="AC443" s="17">
        <f>_xlfn.XLOOKUP($B443,'[1]Dec-25'!$A:$A,'[1]Dec-25'!$H:$H,0)</f>
        <v>0</v>
      </c>
      <c r="AD443" s="17">
        <f>_xlfn.XLOOKUP($B443,'[1]Jan-26'!$A:$A,'[1]Jan-26'!$H:$H,0)</f>
        <v>0</v>
      </c>
      <c r="AE443" s="17">
        <f>_xlfn.XLOOKUP($B443,'[1]Feb-26'!$A:$A,'[1]Feb-26'!$H:$H,0)</f>
        <v>0</v>
      </c>
      <c r="AF443" s="17">
        <f>_xlfn.XLOOKUP($B443,'[1]Mar-26'!$A:$A,'[1]Mar-26'!$H:$H,0)</f>
        <v>0</v>
      </c>
      <c r="AG443" s="17">
        <f>_xlfn.XLOOKUP($B443,'[1]Apr-26'!$A:$A,'[1]Apr-26'!$H:$H,0)</f>
        <v>41000</v>
      </c>
    </row>
    <row r="444" spans="1:33" x14ac:dyDescent="0.2">
      <c r="A444" s="58">
        <v>62415</v>
      </c>
      <c r="B444" s="56" t="str">
        <f t="shared" si="12"/>
        <v>62415</v>
      </c>
      <c r="C444" s="57" t="s">
        <v>552</v>
      </c>
      <c r="D444" s="57" t="s">
        <v>387</v>
      </c>
      <c r="E444" s="44" t="s">
        <v>623</v>
      </c>
      <c r="F444" s="17">
        <f>_xlfn.XLOOKUP($B444,'[1]Jan-24'!$A:$A,'[1]Jan-24'!$H:$H,0)</f>
        <v>0</v>
      </c>
      <c r="G444" s="17">
        <f>_xlfn.XLOOKUP($B444,'[1]Feb-24'!$A:$A,'[1]Feb-24'!$H:$H,0)</f>
        <v>32500</v>
      </c>
      <c r="H444" s="17">
        <f>_xlfn.XLOOKUP($B444,'[1]Mar-24'!$A:$A,'[1]Mar-24'!$H:$H,0)</f>
        <v>0</v>
      </c>
      <c r="I444" s="17">
        <f>_xlfn.XLOOKUP($B444,'[1]Apr-24'!$A:$A,'[1]Apr-24'!$H:$H,0)</f>
        <v>13533</v>
      </c>
      <c r="J444" s="17">
        <f>_xlfn.XLOOKUP($B444,'[1]May-24'!$A:$A,'[1]May-24'!$H:$H,0)</f>
        <v>570970</v>
      </c>
      <c r="K444" s="17">
        <f>_xlfn.XLOOKUP($B444,'[1]Jun-24'!$A:$A,'[1]Jun-24'!$H:$H,0)</f>
        <v>51000</v>
      </c>
      <c r="L444" s="17">
        <f>_xlfn.XLOOKUP($B444,'[1]Jul-24'!$A:$A,'[1]Jul-24'!$H:$H,0)</f>
        <v>0</v>
      </c>
      <c r="M444" s="17">
        <f>_xlfn.XLOOKUP($B444,'[1]Aug-24'!$A:$A,'[1]Aug-24'!$H:$H,0)</f>
        <v>68560.97</v>
      </c>
      <c r="N444" s="17">
        <f>_xlfn.XLOOKUP($B444,'[1]Sep-24'!$A:$A,'[1]Sep-24'!$H:$H,0)</f>
        <v>3122000</v>
      </c>
      <c r="O444" s="17">
        <f>_xlfn.XLOOKUP($B444,'[1]Oct-24'!$A:$A,'[1]Oct-24'!$H:$H,0)</f>
        <v>929725</v>
      </c>
      <c r="P444" s="17">
        <f>_xlfn.XLOOKUP($B444,'[1]Nov-24'!$A:$A,'[1]Nov-24'!$H:$H,0)</f>
        <v>609500</v>
      </c>
      <c r="Q444" s="17">
        <f>_xlfn.XLOOKUP($B444,'[1]Dec-24'!$A:$A,'[1]Dec-24'!$H:$H,0)</f>
        <v>40000</v>
      </c>
      <c r="R444" s="17">
        <f>_xlfn.XLOOKUP($B444,'[1]Jan-25'!$A:$A,'[1]Jan-25'!$H:$H,0)</f>
        <v>154000</v>
      </c>
      <c r="S444" s="17">
        <f>_xlfn.XLOOKUP($B444,'[1]Feb-25'!$A:$A,'[1]Feb-25'!$H:$H,0)</f>
        <v>90400</v>
      </c>
      <c r="T444" s="17">
        <f>_xlfn.XLOOKUP($B444,'[1]Mar-25'!$A:$A,'[1]Mar-25'!$H:$H,0)</f>
        <v>207278.15999999997</v>
      </c>
      <c r="U444" s="17">
        <f>_xlfn.XLOOKUP($B444,'[1]Apr-25'!$A:$A,'[1]Apr-25'!$H:$H,0)</f>
        <v>48498</v>
      </c>
      <c r="V444" s="17">
        <f>_xlfn.XLOOKUP($B444,'[1]May-25'!$A:$A,'[1]May-25'!$H:$H,0)</f>
        <v>1027500</v>
      </c>
      <c r="W444" s="17">
        <f>_xlfn.XLOOKUP($B444,'[1]Jun-25'!$A:$A,'[1]Jun-25'!$H:$H,0)</f>
        <v>12000</v>
      </c>
      <c r="X444" s="17">
        <f>_xlfn.XLOOKUP($B444,'[1]Jul-25'!$A:$A,'[1]Jul-25'!$H:$H,0)</f>
        <v>76700</v>
      </c>
      <c r="Y444" s="17">
        <f>_xlfn.XLOOKUP($B444,'[1]Aug-25'!$A:$A,'[1]Aug-25'!$H:$H,0)</f>
        <v>62500</v>
      </c>
      <c r="Z444" s="17">
        <f>_xlfn.XLOOKUP($B444,'[1]Sep-25'!$A:$A,'[1]Sep-25'!$H:$H,0)</f>
        <v>17500</v>
      </c>
      <c r="AA444" s="17">
        <f>_xlfn.XLOOKUP($B444,'[1]Oct-25'!$A:$A,'[1]Oct-25'!$H:$H,0)</f>
        <v>292000</v>
      </c>
      <c r="AB444" s="17">
        <f>_xlfn.XLOOKUP($B444,'[1]Nov-25'!$A:$A,'[1]Nov-25'!$H:$H,0)</f>
        <v>2853600</v>
      </c>
      <c r="AC444" s="17">
        <f>_xlfn.XLOOKUP($B444,'[1]Dec-25'!$A:$A,'[1]Dec-25'!$H:$H,0)</f>
        <v>171000</v>
      </c>
      <c r="AD444" s="17">
        <f>_xlfn.XLOOKUP($B444,'[1]Jan-26'!$A:$A,'[1]Jan-26'!$H:$H,0)</f>
        <v>38000</v>
      </c>
      <c r="AE444" s="17">
        <f>_xlfn.XLOOKUP($B444,'[1]Feb-26'!$A:$A,'[1]Feb-26'!$H:$H,0)</f>
        <v>40000</v>
      </c>
      <c r="AF444" s="17">
        <f>_xlfn.XLOOKUP($B444,'[1]Mar-26'!$A:$A,'[1]Mar-26'!$H:$H,0)</f>
        <v>424500</v>
      </c>
      <c r="AG444" s="17">
        <f>_xlfn.XLOOKUP($B444,'[1]Apr-26'!$A:$A,'[1]Apr-26'!$H:$H,0)</f>
        <v>850500</v>
      </c>
    </row>
    <row r="445" spans="1:33" x14ac:dyDescent="0.2">
      <c r="A445" s="58">
        <v>62420</v>
      </c>
      <c r="B445" s="56" t="str">
        <f t="shared" si="12"/>
        <v>62420</v>
      </c>
      <c r="C445" s="57" t="s">
        <v>552</v>
      </c>
      <c r="D445" s="57" t="s">
        <v>387</v>
      </c>
      <c r="E445" s="44" t="s">
        <v>624</v>
      </c>
      <c r="F445" s="17">
        <f>_xlfn.XLOOKUP($B445,'[1]Jan-24'!$A:$A,'[1]Jan-24'!$H:$H,0)</f>
        <v>-8400</v>
      </c>
      <c r="G445" s="17">
        <f>_xlfn.XLOOKUP($B445,'[1]Feb-24'!$A:$A,'[1]Feb-24'!$H:$H,0)</f>
        <v>23685</v>
      </c>
      <c r="H445" s="17">
        <f>_xlfn.XLOOKUP($B445,'[1]Mar-24'!$A:$A,'[1]Mar-24'!$H:$H,0)</f>
        <v>1800</v>
      </c>
      <c r="I445" s="17">
        <f>_xlfn.XLOOKUP($B445,'[1]Apr-24'!$A:$A,'[1]Apr-24'!$H:$H,0)</f>
        <v>6500</v>
      </c>
      <c r="J445" s="17">
        <f>_xlfn.XLOOKUP($B445,'[1]May-24'!$A:$A,'[1]May-24'!$H:$H,0)</f>
        <v>50500</v>
      </c>
      <c r="K445" s="17">
        <f>_xlfn.XLOOKUP($B445,'[1]Jun-24'!$A:$A,'[1]Jun-24'!$H:$H,0)</f>
        <v>43090</v>
      </c>
      <c r="L445" s="17">
        <f>_xlfn.XLOOKUP($B445,'[1]Jul-24'!$A:$A,'[1]Jul-24'!$H:$H,0)</f>
        <v>12500</v>
      </c>
      <c r="M445" s="17">
        <f>_xlfn.XLOOKUP($B445,'[1]Aug-24'!$A:$A,'[1]Aug-24'!$H:$H,0)</f>
        <v>15000</v>
      </c>
      <c r="N445" s="17">
        <f>_xlfn.XLOOKUP($B445,'[1]Sep-24'!$A:$A,'[1]Sep-24'!$H:$H,0)</f>
        <v>42000</v>
      </c>
      <c r="O445" s="17">
        <f>_xlfn.XLOOKUP($B445,'[1]Oct-24'!$A:$A,'[1]Oct-24'!$H:$H,0)</f>
        <v>0</v>
      </c>
      <c r="P445" s="17">
        <f>_xlfn.XLOOKUP($B445,'[1]Nov-24'!$A:$A,'[1]Nov-24'!$H:$H,0)</f>
        <v>71211</v>
      </c>
      <c r="Q445" s="17">
        <f>_xlfn.XLOOKUP($B445,'[1]Dec-24'!$A:$A,'[1]Dec-24'!$H:$H,0)</f>
        <v>20000</v>
      </c>
      <c r="R445" s="17">
        <f>_xlfn.XLOOKUP($B445,'[1]Jan-25'!$A:$A,'[1]Jan-25'!$H:$H,0)</f>
        <v>171450</v>
      </c>
      <c r="S445" s="17">
        <f>_xlfn.XLOOKUP($B445,'[1]Feb-25'!$A:$A,'[1]Feb-25'!$H:$H,0)</f>
        <v>231950</v>
      </c>
      <c r="T445" s="17">
        <f>_xlfn.XLOOKUP($B445,'[1]Mar-25'!$A:$A,'[1]Mar-25'!$H:$H,0)</f>
        <v>178948.59</v>
      </c>
      <c r="U445" s="17">
        <f>_xlfn.XLOOKUP($B445,'[1]Apr-25'!$A:$A,'[1]Apr-25'!$H:$H,0)</f>
        <v>38500</v>
      </c>
      <c r="V445" s="17">
        <f>_xlfn.XLOOKUP($B445,'[1]May-25'!$A:$A,'[1]May-25'!$H:$H,0)</f>
        <v>63500</v>
      </c>
      <c r="W445" s="17">
        <f>_xlfn.XLOOKUP($B445,'[1]Jun-25'!$A:$A,'[1]Jun-25'!$H:$H,0)</f>
        <v>12000</v>
      </c>
      <c r="X445" s="17">
        <f>_xlfn.XLOOKUP($B445,'[1]Jul-25'!$A:$A,'[1]Jul-25'!$H:$H,0)</f>
        <v>25000</v>
      </c>
      <c r="Y445" s="17">
        <f>_xlfn.XLOOKUP($B445,'[1]Aug-25'!$A:$A,'[1]Aug-25'!$H:$H,0)</f>
        <v>100000</v>
      </c>
      <c r="Z445" s="17">
        <f>_xlfn.XLOOKUP($B445,'[1]Sep-25'!$A:$A,'[1]Sep-25'!$H:$H,0)</f>
        <v>50000</v>
      </c>
      <c r="AA445" s="17">
        <f>_xlfn.XLOOKUP($B445,'[1]Oct-25'!$A:$A,'[1]Oct-25'!$H:$H,0)</f>
        <v>24999.999999999971</v>
      </c>
      <c r="AB445" s="17">
        <f>_xlfn.XLOOKUP($B445,'[1]Nov-25'!$A:$A,'[1]Nov-25'!$H:$H,0)</f>
        <v>50000</v>
      </c>
      <c r="AC445" s="17">
        <f>_xlfn.XLOOKUP($B445,'[1]Dec-25'!$A:$A,'[1]Dec-25'!$H:$H,0)</f>
        <v>117000</v>
      </c>
      <c r="AD445" s="17">
        <f>_xlfn.XLOOKUP($B445,'[1]Jan-26'!$A:$A,'[1]Jan-26'!$H:$H,0)</f>
        <v>0</v>
      </c>
      <c r="AE445" s="17">
        <f>_xlfn.XLOOKUP($B445,'[1]Feb-26'!$A:$A,'[1]Feb-26'!$H:$H,0)</f>
        <v>14500</v>
      </c>
      <c r="AF445" s="17">
        <f>_xlfn.XLOOKUP($B445,'[1]Mar-26'!$A:$A,'[1]Mar-26'!$H:$H,0)</f>
        <v>215893</v>
      </c>
      <c r="AG445" s="17">
        <f>_xlfn.XLOOKUP($B445,'[1]Apr-26'!$A:$A,'[1]Apr-26'!$H:$H,0)</f>
        <v>500000</v>
      </c>
    </row>
    <row r="446" spans="1:33" x14ac:dyDescent="0.2">
      <c r="A446" s="58">
        <v>62425</v>
      </c>
      <c r="B446" s="56" t="str">
        <f t="shared" si="12"/>
        <v>62425</v>
      </c>
      <c r="C446" s="57" t="s">
        <v>552</v>
      </c>
      <c r="D446" s="57" t="s">
        <v>387</v>
      </c>
      <c r="E446" s="44" t="s">
        <v>625</v>
      </c>
      <c r="F446" s="17">
        <f>_xlfn.XLOOKUP($B446,'[1]Jan-24'!$A:$A,'[1]Jan-24'!$H:$H,0)</f>
        <v>65500</v>
      </c>
      <c r="G446" s="17">
        <f>_xlfn.XLOOKUP($B446,'[1]Feb-24'!$A:$A,'[1]Feb-24'!$H:$H,0)</f>
        <v>128000</v>
      </c>
      <c r="H446" s="17">
        <f>_xlfn.XLOOKUP($B446,'[1]Mar-24'!$A:$A,'[1]Mar-24'!$H:$H,0)</f>
        <v>142620</v>
      </c>
      <c r="I446" s="17">
        <f>_xlfn.XLOOKUP($B446,'[1]Apr-24'!$A:$A,'[1]Apr-24'!$H:$H,0)</f>
        <v>126180</v>
      </c>
      <c r="J446" s="17">
        <f>_xlfn.XLOOKUP($B446,'[1]May-24'!$A:$A,'[1]May-24'!$H:$H,0)</f>
        <v>988620</v>
      </c>
      <c r="K446" s="17">
        <f>_xlfn.XLOOKUP($B446,'[1]Jun-24'!$A:$A,'[1]Jun-24'!$H:$H,0)</f>
        <v>755760</v>
      </c>
      <c r="L446" s="17">
        <f>_xlfn.XLOOKUP($B446,'[1]Jul-24'!$A:$A,'[1]Jul-24'!$H:$H,0)</f>
        <v>345950</v>
      </c>
      <c r="M446" s="17">
        <f>_xlfn.XLOOKUP($B446,'[1]Aug-24'!$A:$A,'[1]Aug-24'!$H:$H,0)</f>
        <v>367700</v>
      </c>
      <c r="N446" s="17">
        <f>_xlfn.XLOOKUP($B446,'[1]Sep-24'!$A:$A,'[1]Sep-24'!$H:$H,0)</f>
        <v>590300</v>
      </c>
      <c r="O446" s="17">
        <f>_xlfn.XLOOKUP($B446,'[1]Oct-24'!$A:$A,'[1]Oct-24'!$H:$H,0)</f>
        <v>633950</v>
      </c>
      <c r="P446" s="17">
        <f>_xlfn.XLOOKUP($B446,'[1]Nov-24'!$A:$A,'[1]Nov-24'!$H:$H,0)</f>
        <v>717500</v>
      </c>
      <c r="Q446" s="17">
        <f>_xlfn.XLOOKUP($B446,'[1]Dec-24'!$A:$A,'[1]Dec-24'!$H:$H,0)</f>
        <v>79000</v>
      </c>
      <c r="R446" s="17">
        <f>_xlfn.XLOOKUP($B446,'[1]Jan-25'!$A:$A,'[1]Jan-25'!$H:$H,0)</f>
        <v>603800</v>
      </c>
      <c r="S446" s="17">
        <f>_xlfn.XLOOKUP($B446,'[1]Feb-25'!$A:$A,'[1]Feb-25'!$H:$H,0)</f>
        <v>556750</v>
      </c>
      <c r="T446" s="17">
        <f>_xlfn.XLOOKUP($B446,'[1]Mar-25'!$A:$A,'[1]Mar-25'!$H:$H,0)</f>
        <v>24100</v>
      </c>
      <c r="U446" s="17">
        <f>_xlfn.XLOOKUP($B446,'[1]Apr-25'!$A:$A,'[1]Apr-25'!$H:$H,0)</f>
        <v>668000</v>
      </c>
      <c r="V446" s="17">
        <f>_xlfn.XLOOKUP($B446,'[1]May-25'!$A:$A,'[1]May-25'!$H:$H,0)</f>
        <v>118310</v>
      </c>
      <c r="W446" s="17">
        <f>_xlfn.XLOOKUP($B446,'[1]Jun-25'!$A:$A,'[1]Jun-25'!$H:$H,0)</f>
        <v>401800</v>
      </c>
      <c r="X446" s="17">
        <f>_xlfn.XLOOKUP($B446,'[1]Jul-25'!$A:$A,'[1]Jul-25'!$H:$H,0)</f>
        <v>426000</v>
      </c>
      <c r="Y446" s="17">
        <f>_xlfn.XLOOKUP($B446,'[1]Aug-25'!$A:$A,'[1]Aug-25'!$H:$H,0)</f>
        <v>488400</v>
      </c>
      <c r="Z446" s="17">
        <f>_xlfn.XLOOKUP($B446,'[1]Sep-25'!$A:$A,'[1]Sep-25'!$H:$H,0)</f>
        <v>432488</v>
      </c>
      <c r="AA446" s="17">
        <f>_xlfn.XLOOKUP($B446,'[1]Oct-25'!$A:$A,'[1]Oct-25'!$H:$H,0)</f>
        <v>529200</v>
      </c>
      <c r="AB446" s="17">
        <f>_xlfn.XLOOKUP($B446,'[1]Nov-25'!$A:$A,'[1]Nov-25'!$H:$H,0)</f>
        <v>53150</v>
      </c>
      <c r="AC446" s="17">
        <f>_xlfn.XLOOKUP($B446,'[1]Dec-25'!$A:$A,'[1]Dec-25'!$H:$H,0)</f>
        <v>475935</v>
      </c>
      <c r="AD446" s="17">
        <f>_xlfn.XLOOKUP($B446,'[1]Jan-26'!$A:$A,'[1]Jan-26'!$H:$H,0)</f>
        <v>95400</v>
      </c>
      <c r="AE446" s="17">
        <f>_xlfn.XLOOKUP($B446,'[1]Feb-26'!$A:$A,'[1]Feb-26'!$H:$H,0)</f>
        <v>0</v>
      </c>
      <c r="AF446" s="17">
        <f>_xlfn.XLOOKUP($B446,'[1]Mar-26'!$A:$A,'[1]Mar-26'!$H:$H,0)</f>
        <v>86570</v>
      </c>
      <c r="AG446" s="17">
        <f>_xlfn.XLOOKUP($B446,'[1]Apr-26'!$A:$A,'[1]Apr-26'!$H:$H,0)</f>
        <v>126700</v>
      </c>
    </row>
    <row r="447" spans="1:33" x14ac:dyDescent="0.2">
      <c r="A447" s="58">
        <v>62430</v>
      </c>
      <c r="B447" s="56" t="str">
        <f t="shared" si="12"/>
        <v>62430</v>
      </c>
      <c r="C447" s="57" t="s">
        <v>552</v>
      </c>
      <c r="D447" s="57" t="s">
        <v>387</v>
      </c>
      <c r="E447" s="44" t="s">
        <v>626</v>
      </c>
      <c r="F447" s="17">
        <f>_xlfn.XLOOKUP($B447,'[1]Jan-24'!$A:$A,'[1]Jan-24'!$H:$H,0)</f>
        <v>0</v>
      </c>
      <c r="G447" s="17">
        <f>_xlfn.XLOOKUP($B447,'[1]Feb-24'!$A:$A,'[1]Feb-24'!$H:$H,0)</f>
        <v>0</v>
      </c>
      <c r="H447" s="17">
        <f>_xlfn.XLOOKUP($B447,'[1]Mar-24'!$A:$A,'[1]Mar-24'!$H:$H,0)</f>
        <v>0</v>
      </c>
      <c r="I447" s="17">
        <f>_xlfn.XLOOKUP($B447,'[1]Apr-24'!$A:$A,'[1]Apr-24'!$H:$H,0)</f>
        <v>0</v>
      </c>
      <c r="J447" s="17">
        <f>_xlfn.XLOOKUP($B447,'[1]May-24'!$A:$A,'[1]May-24'!$H:$H,0)</f>
        <v>0</v>
      </c>
      <c r="K447" s="17">
        <f>_xlfn.XLOOKUP($B447,'[1]Jun-24'!$A:$A,'[1]Jun-24'!$H:$H,0)</f>
        <v>0</v>
      </c>
      <c r="L447" s="17">
        <f>_xlfn.XLOOKUP($B447,'[1]Jul-24'!$A:$A,'[1]Jul-24'!$H:$H,0)</f>
        <v>0</v>
      </c>
      <c r="M447" s="17">
        <f>_xlfn.XLOOKUP($B447,'[1]Aug-24'!$A:$A,'[1]Aug-24'!$H:$H,0)</f>
        <v>0</v>
      </c>
      <c r="N447" s="17">
        <f>_xlfn.XLOOKUP($B447,'[1]Sep-24'!$A:$A,'[1]Sep-24'!$H:$H,0)</f>
        <v>0</v>
      </c>
      <c r="O447" s="17">
        <f>_xlfn.XLOOKUP($B447,'[1]Oct-24'!$A:$A,'[1]Oct-24'!$H:$H,0)</f>
        <v>0</v>
      </c>
      <c r="P447" s="17">
        <f>_xlfn.XLOOKUP($B447,'[1]Nov-24'!$A:$A,'[1]Nov-24'!$H:$H,0)</f>
        <v>0</v>
      </c>
      <c r="Q447" s="17">
        <f>_xlfn.XLOOKUP($B447,'[1]Dec-24'!$A:$A,'[1]Dec-24'!$H:$H,0)</f>
        <v>0</v>
      </c>
      <c r="R447" s="17">
        <f>_xlfn.XLOOKUP($B447,'[1]Jan-25'!$A:$A,'[1]Jan-25'!$H:$H,0)</f>
        <v>0</v>
      </c>
      <c r="S447" s="17">
        <f>_xlfn.XLOOKUP($B447,'[1]Feb-25'!$A:$A,'[1]Feb-25'!$H:$H,0)</f>
        <v>0</v>
      </c>
      <c r="T447" s="17">
        <f>_xlfn.XLOOKUP($B447,'[1]Mar-25'!$A:$A,'[1]Mar-25'!$H:$H,0)</f>
        <v>0</v>
      </c>
      <c r="U447" s="17">
        <f>_xlfn.XLOOKUP($B447,'[1]Apr-25'!$A:$A,'[1]Apr-25'!$H:$H,0)</f>
        <v>0</v>
      </c>
      <c r="V447" s="17">
        <f>_xlfn.XLOOKUP($B447,'[1]May-25'!$A:$A,'[1]May-25'!$H:$H,0)</f>
        <v>0</v>
      </c>
      <c r="W447" s="17">
        <f>_xlfn.XLOOKUP($B447,'[1]Jun-25'!$A:$A,'[1]Jun-25'!$H:$H,0)</f>
        <v>0</v>
      </c>
      <c r="X447" s="17">
        <f>_xlfn.XLOOKUP($B447,'[1]Jul-25'!$A:$A,'[1]Jul-25'!$H:$H,0)</f>
        <v>0</v>
      </c>
      <c r="Y447" s="17">
        <f>_xlfn.XLOOKUP($B447,'[1]Aug-25'!$A:$A,'[1]Aug-25'!$H:$H,0)</f>
        <v>0</v>
      </c>
      <c r="Z447" s="17">
        <f>_xlfn.XLOOKUP($B447,'[1]Sep-25'!$A:$A,'[1]Sep-25'!$H:$H,0)</f>
        <v>0</v>
      </c>
      <c r="AA447" s="17">
        <f>_xlfn.XLOOKUP($B447,'[1]Oct-25'!$A:$A,'[1]Oct-25'!$H:$H,0)</f>
        <v>0</v>
      </c>
      <c r="AB447" s="17">
        <f>_xlfn.XLOOKUP($B447,'[1]Nov-25'!$A:$A,'[1]Nov-25'!$H:$H,0)</f>
        <v>0</v>
      </c>
      <c r="AC447" s="17">
        <f>_xlfn.XLOOKUP($B447,'[1]Dec-25'!$A:$A,'[1]Dec-25'!$H:$H,0)</f>
        <v>0</v>
      </c>
      <c r="AD447" s="17">
        <f>_xlfn.XLOOKUP($B447,'[1]Jan-26'!$A:$A,'[1]Jan-26'!$H:$H,0)</f>
        <v>0</v>
      </c>
      <c r="AE447" s="17">
        <f>_xlfn.XLOOKUP($B447,'[1]Feb-26'!$A:$A,'[1]Feb-26'!$H:$H,0)</f>
        <v>0</v>
      </c>
      <c r="AF447" s="17">
        <f>_xlfn.XLOOKUP($B447,'[1]Mar-26'!$A:$A,'[1]Mar-26'!$H:$H,0)</f>
        <v>0</v>
      </c>
      <c r="AG447" s="17">
        <f>_xlfn.XLOOKUP($B447,'[1]Apr-26'!$A:$A,'[1]Apr-26'!$H:$H,0)</f>
        <v>0</v>
      </c>
    </row>
    <row r="448" spans="1:33" x14ac:dyDescent="0.2">
      <c r="A448" s="58">
        <v>62435</v>
      </c>
      <c r="B448" s="56" t="str">
        <f t="shared" si="12"/>
        <v>62435</v>
      </c>
      <c r="C448" s="57" t="s">
        <v>552</v>
      </c>
      <c r="D448" s="57" t="s">
        <v>387</v>
      </c>
      <c r="E448" s="44" t="s">
        <v>627</v>
      </c>
      <c r="F448" s="17">
        <f>_xlfn.XLOOKUP($B448,'[1]Jan-24'!$A:$A,'[1]Jan-24'!$H:$H,0)</f>
        <v>0</v>
      </c>
      <c r="G448" s="17">
        <f>_xlfn.XLOOKUP($B448,'[1]Feb-24'!$A:$A,'[1]Feb-24'!$H:$H,0)</f>
        <v>0</v>
      </c>
      <c r="H448" s="17">
        <f>_xlfn.XLOOKUP($B448,'[1]Mar-24'!$A:$A,'[1]Mar-24'!$H:$H,0)</f>
        <v>20600</v>
      </c>
      <c r="I448" s="17">
        <f>_xlfn.XLOOKUP($B448,'[1]Apr-24'!$A:$A,'[1]Apr-24'!$H:$H,0)</f>
        <v>27050</v>
      </c>
      <c r="J448" s="17">
        <f>_xlfn.XLOOKUP($B448,'[1]May-24'!$A:$A,'[1]May-24'!$H:$H,0)</f>
        <v>173100</v>
      </c>
      <c r="K448" s="17">
        <f>_xlfn.XLOOKUP($B448,'[1]Jun-24'!$A:$A,'[1]Jun-24'!$H:$H,0)</f>
        <v>0</v>
      </c>
      <c r="L448" s="17">
        <f>_xlfn.XLOOKUP($B448,'[1]Jul-24'!$A:$A,'[1]Jul-24'!$H:$H,0)</f>
        <v>0</v>
      </c>
      <c r="M448" s="17">
        <f>_xlfn.XLOOKUP($B448,'[1]Aug-24'!$A:$A,'[1]Aug-24'!$H:$H,0)</f>
        <v>0</v>
      </c>
      <c r="N448" s="17">
        <f>_xlfn.XLOOKUP($B448,'[1]Sep-24'!$A:$A,'[1]Sep-24'!$H:$H,0)</f>
        <v>81900</v>
      </c>
      <c r="O448" s="17">
        <f>_xlfn.XLOOKUP($B448,'[1]Oct-24'!$A:$A,'[1]Oct-24'!$H:$H,0)</f>
        <v>70500</v>
      </c>
      <c r="P448" s="17">
        <f>_xlfn.XLOOKUP($B448,'[1]Nov-24'!$A:$A,'[1]Nov-24'!$H:$H,0)</f>
        <v>15000</v>
      </c>
      <c r="Q448" s="17">
        <f>_xlfn.XLOOKUP($B448,'[1]Dec-24'!$A:$A,'[1]Dec-24'!$H:$H,0)</f>
        <v>0</v>
      </c>
      <c r="R448" s="17">
        <f>_xlfn.XLOOKUP($B448,'[1]Jan-25'!$A:$A,'[1]Jan-25'!$H:$H,0)</f>
        <v>860900</v>
      </c>
      <c r="S448" s="17">
        <f>_xlfn.XLOOKUP($B448,'[1]Feb-25'!$A:$A,'[1]Feb-25'!$H:$H,0)</f>
        <v>9000</v>
      </c>
      <c r="T448" s="17">
        <f>_xlfn.XLOOKUP($B448,'[1]Mar-25'!$A:$A,'[1]Mar-25'!$H:$H,0)</f>
        <v>126500</v>
      </c>
      <c r="U448" s="17">
        <f>_xlfn.XLOOKUP($B448,'[1]Apr-25'!$A:$A,'[1]Apr-25'!$H:$H,0)</f>
        <v>96630</v>
      </c>
      <c r="V448" s="17">
        <f>_xlfn.XLOOKUP($B448,'[1]May-25'!$A:$A,'[1]May-25'!$H:$H,0)</f>
        <v>484080</v>
      </c>
      <c r="W448" s="17">
        <f>_xlfn.XLOOKUP($B448,'[1]Jun-25'!$A:$A,'[1]Jun-25'!$H:$H,0)</f>
        <v>294000</v>
      </c>
      <c r="X448" s="17">
        <f>_xlfn.XLOOKUP($B448,'[1]Jul-25'!$A:$A,'[1]Jul-25'!$H:$H,0)</f>
        <v>348500</v>
      </c>
      <c r="Y448" s="17">
        <f>_xlfn.XLOOKUP($B448,'[1]Aug-25'!$A:$A,'[1]Aug-25'!$H:$H,0)</f>
        <v>25600</v>
      </c>
      <c r="Z448" s="17">
        <f>_xlfn.XLOOKUP($B448,'[1]Sep-25'!$A:$A,'[1]Sep-25'!$H:$H,0)</f>
        <v>1071150</v>
      </c>
      <c r="AA448" s="17">
        <f>_xlfn.XLOOKUP($B448,'[1]Oct-25'!$A:$A,'[1]Oct-25'!$H:$H,0)</f>
        <v>339600</v>
      </c>
      <c r="AB448" s="17">
        <f>_xlfn.XLOOKUP($B448,'[1]Nov-25'!$A:$A,'[1]Nov-25'!$H:$H,0)</f>
        <v>0</v>
      </c>
      <c r="AC448" s="17">
        <f>_xlfn.XLOOKUP($B448,'[1]Dec-25'!$A:$A,'[1]Dec-25'!$H:$H,0)</f>
        <v>103959</v>
      </c>
      <c r="AD448" s="17">
        <f>_xlfn.XLOOKUP($B448,'[1]Jan-26'!$A:$A,'[1]Jan-26'!$H:$H,0)</f>
        <v>1116300</v>
      </c>
      <c r="AE448" s="17">
        <f>_xlfn.XLOOKUP($B448,'[1]Feb-26'!$A:$A,'[1]Feb-26'!$H:$H,0)</f>
        <v>0</v>
      </c>
      <c r="AF448" s="17">
        <f>_xlfn.XLOOKUP($B448,'[1]Mar-26'!$A:$A,'[1]Mar-26'!$H:$H,0)</f>
        <v>132500</v>
      </c>
      <c r="AG448" s="17">
        <f>_xlfn.XLOOKUP($B448,'[1]Apr-26'!$A:$A,'[1]Apr-26'!$H:$H,0)</f>
        <v>0</v>
      </c>
    </row>
    <row r="449" spans="1:33" x14ac:dyDescent="0.2">
      <c r="A449" s="58">
        <v>62500</v>
      </c>
      <c r="B449" s="56" t="str">
        <f t="shared" si="12"/>
        <v>62500</v>
      </c>
      <c r="C449" s="57" t="s">
        <v>389</v>
      </c>
      <c r="D449" s="57" t="s">
        <v>387</v>
      </c>
      <c r="E449" s="44" t="s">
        <v>628</v>
      </c>
      <c r="F449" s="17">
        <f>_xlfn.XLOOKUP($B449,'[1]Jan-24'!$A:$A,'[1]Jan-24'!$H:$H,0)</f>
        <v>0</v>
      </c>
      <c r="G449" s="17">
        <f>_xlfn.XLOOKUP($B449,'[1]Feb-24'!$A:$A,'[1]Feb-24'!$H:$H,0)</f>
        <v>0</v>
      </c>
      <c r="H449" s="17">
        <f>_xlfn.XLOOKUP($B449,'[1]Mar-24'!$A:$A,'[1]Mar-24'!$H:$H,0)</f>
        <v>0</v>
      </c>
      <c r="I449" s="17">
        <f>_xlfn.XLOOKUP($B449,'[1]Apr-24'!$A:$A,'[1]Apr-24'!$H:$H,0)</f>
        <v>0</v>
      </c>
      <c r="J449" s="17">
        <f>_xlfn.XLOOKUP($B449,'[1]May-24'!$A:$A,'[1]May-24'!$H:$H,0)</f>
        <v>0</v>
      </c>
      <c r="K449" s="17">
        <f>_xlfn.XLOOKUP($B449,'[1]Jun-24'!$A:$A,'[1]Jun-24'!$H:$H,0)</f>
        <v>0</v>
      </c>
      <c r="L449" s="17">
        <f>_xlfn.XLOOKUP($B449,'[1]Jul-24'!$A:$A,'[1]Jul-24'!$H:$H,0)</f>
        <v>0</v>
      </c>
      <c r="M449" s="17">
        <f>_xlfn.XLOOKUP($B449,'[1]Aug-24'!$A:$A,'[1]Aug-24'!$H:$H,0)</f>
        <v>0</v>
      </c>
      <c r="N449" s="17">
        <f>_xlfn.XLOOKUP($B449,'[1]Sep-24'!$A:$A,'[1]Sep-24'!$H:$H,0)</f>
        <v>0</v>
      </c>
      <c r="O449" s="17">
        <f>_xlfn.XLOOKUP($B449,'[1]Oct-24'!$A:$A,'[1]Oct-24'!$H:$H,0)</f>
        <v>0</v>
      </c>
      <c r="P449" s="17">
        <f>_xlfn.XLOOKUP($B449,'[1]Nov-24'!$A:$A,'[1]Nov-24'!$H:$H,0)</f>
        <v>0</v>
      </c>
      <c r="Q449" s="17">
        <f>_xlfn.XLOOKUP($B449,'[1]Dec-24'!$A:$A,'[1]Dec-24'!$H:$H,0)</f>
        <v>0</v>
      </c>
      <c r="R449" s="17">
        <f>_xlfn.XLOOKUP($B449,'[1]Jan-25'!$A:$A,'[1]Jan-25'!$H:$H,0)</f>
        <v>0</v>
      </c>
      <c r="S449" s="17">
        <f>_xlfn.XLOOKUP($B449,'[1]Feb-25'!$A:$A,'[1]Feb-25'!$H:$H,0)</f>
        <v>0</v>
      </c>
      <c r="T449" s="17">
        <f>_xlfn.XLOOKUP($B449,'[1]Mar-25'!$A:$A,'[1]Mar-25'!$H:$H,0)</f>
        <v>0</v>
      </c>
      <c r="U449" s="17">
        <f>_xlfn.XLOOKUP($B449,'[1]Apr-25'!$A:$A,'[1]Apr-25'!$H:$H,0)</f>
        <v>0</v>
      </c>
      <c r="V449" s="17">
        <f>_xlfn.XLOOKUP($B449,'[1]May-25'!$A:$A,'[1]May-25'!$H:$H,0)</f>
        <v>0</v>
      </c>
      <c r="W449" s="17">
        <f>_xlfn.XLOOKUP($B449,'[1]Jun-25'!$A:$A,'[1]Jun-25'!$H:$H,0)</f>
        <v>0</v>
      </c>
      <c r="X449" s="17">
        <f>_xlfn.XLOOKUP($B449,'[1]Jul-25'!$A:$A,'[1]Jul-25'!$H:$H,0)</f>
        <v>0</v>
      </c>
      <c r="Y449" s="17">
        <f>_xlfn.XLOOKUP($B449,'[1]Aug-25'!$A:$A,'[1]Aug-25'!$H:$H,0)</f>
        <v>0</v>
      </c>
      <c r="Z449" s="17">
        <f>_xlfn.XLOOKUP($B449,'[1]Sep-25'!$A:$A,'[1]Sep-25'!$H:$H,0)</f>
        <v>0</v>
      </c>
      <c r="AA449" s="17">
        <f>_xlfn.XLOOKUP($B449,'[1]Oct-25'!$A:$A,'[1]Oct-25'!$H:$H,0)</f>
        <v>0</v>
      </c>
      <c r="AB449" s="17">
        <f>_xlfn.XLOOKUP($B449,'[1]Nov-25'!$A:$A,'[1]Nov-25'!$H:$H,0)</f>
        <v>0</v>
      </c>
      <c r="AC449" s="17">
        <f>_xlfn.XLOOKUP($B449,'[1]Dec-25'!$A:$A,'[1]Dec-25'!$H:$H,0)</f>
        <v>0</v>
      </c>
      <c r="AD449" s="17">
        <f>_xlfn.XLOOKUP($B449,'[1]Jan-26'!$A:$A,'[1]Jan-26'!$H:$H,0)</f>
        <v>0</v>
      </c>
      <c r="AE449" s="17">
        <f>_xlfn.XLOOKUP($B449,'[1]Feb-26'!$A:$A,'[1]Feb-26'!$H:$H,0)</f>
        <v>0</v>
      </c>
      <c r="AF449" s="17">
        <f>_xlfn.XLOOKUP($B449,'[1]Mar-26'!$A:$A,'[1]Mar-26'!$H:$H,0)</f>
        <v>0</v>
      </c>
      <c r="AG449" s="17">
        <f>_xlfn.XLOOKUP($B449,'[1]Apr-26'!$A:$A,'[1]Apr-26'!$H:$H,0)</f>
        <v>0</v>
      </c>
    </row>
    <row r="450" spans="1:33" x14ac:dyDescent="0.2">
      <c r="A450" s="58">
        <v>62700</v>
      </c>
      <c r="B450" s="56" t="str">
        <f t="shared" si="12"/>
        <v>62700</v>
      </c>
      <c r="C450" s="57" t="s">
        <v>629</v>
      </c>
      <c r="D450" s="57" t="s">
        <v>387</v>
      </c>
      <c r="E450" s="44" t="s">
        <v>630</v>
      </c>
      <c r="F450" s="17">
        <f>_xlfn.XLOOKUP($B450,'[1]Jan-24'!$A:$A,'[1]Jan-24'!$H:$H,0)</f>
        <v>0</v>
      </c>
      <c r="G450" s="17">
        <f>_xlfn.XLOOKUP($B450,'[1]Feb-24'!$A:$A,'[1]Feb-24'!$H:$H,0)</f>
        <v>0</v>
      </c>
      <c r="H450" s="17">
        <f>_xlfn.XLOOKUP($B450,'[1]Mar-24'!$A:$A,'[1]Mar-24'!$H:$H,0)</f>
        <v>0</v>
      </c>
      <c r="I450" s="17">
        <f>_xlfn.XLOOKUP($B450,'[1]Apr-24'!$A:$A,'[1]Apr-24'!$H:$H,0)</f>
        <v>709127.5</v>
      </c>
      <c r="J450" s="17">
        <f>_xlfn.XLOOKUP($B450,'[1]May-24'!$A:$A,'[1]May-24'!$H:$H,0)</f>
        <v>136000</v>
      </c>
      <c r="K450" s="17">
        <f>_xlfn.XLOOKUP($B450,'[1]Jun-24'!$A:$A,'[1]Jun-24'!$H:$H,0)</f>
        <v>2620329.33</v>
      </c>
      <c r="L450" s="17">
        <f>_xlfn.XLOOKUP($B450,'[1]Jul-24'!$A:$A,'[1]Jul-24'!$H:$H,0)</f>
        <v>1902640.56</v>
      </c>
      <c r="M450" s="17">
        <f>_xlfn.XLOOKUP($B450,'[1]Aug-24'!$A:$A,'[1]Aug-24'!$H:$H,0)</f>
        <v>1241736.56</v>
      </c>
      <c r="N450" s="17">
        <f>_xlfn.XLOOKUP($B450,'[1]Sep-24'!$A:$A,'[1]Sep-24'!$H:$H,0)</f>
        <v>1676157.4</v>
      </c>
      <c r="O450" s="17">
        <f>_xlfn.XLOOKUP($B450,'[1]Oct-24'!$A:$A,'[1]Oct-24'!$H:$H,0)</f>
        <v>1263061.46</v>
      </c>
      <c r="P450" s="17">
        <f>_xlfn.XLOOKUP($B450,'[1]Nov-24'!$A:$A,'[1]Nov-24'!$H:$H,0)</f>
        <v>10688018.560000001</v>
      </c>
      <c r="Q450" s="17">
        <f>_xlfn.XLOOKUP($B450,'[1]Dec-24'!$A:$A,'[1]Dec-24'!$H:$H,0)</f>
        <v>3264471.97</v>
      </c>
      <c r="R450" s="17">
        <f>_xlfn.XLOOKUP($B450,'[1]Jan-25'!$A:$A,'[1]Jan-25'!$H:$H,0)</f>
        <v>13800</v>
      </c>
      <c r="S450" s="17">
        <f>_xlfn.XLOOKUP($B450,'[1]Feb-25'!$A:$A,'[1]Feb-25'!$H:$H,0)</f>
        <v>1348600</v>
      </c>
      <c r="T450" s="17">
        <f>_xlfn.XLOOKUP($B450,'[1]Mar-25'!$A:$A,'[1]Mar-25'!$H:$H,0)</f>
        <v>2043087.5</v>
      </c>
      <c r="U450" s="17">
        <f>_xlfn.XLOOKUP($B450,'[1]Apr-25'!$A:$A,'[1]Apr-25'!$H:$H,0)</f>
        <v>6038600</v>
      </c>
      <c r="V450" s="17">
        <f>_xlfn.XLOOKUP($B450,'[1]May-25'!$A:$A,'[1]May-25'!$H:$H,0)</f>
        <v>5809981.3600000003</v>
      </c>
      <c r="W450" s="17">
        <f>_xlfn.XLOOKUP($B450,'[1]Jun-25'!$A:$A,'[1]Jun-25'!$H:$H,0)</f>
        <v>509600</v>
      </c>
      <c r="X450" s="17">
        <f>_xlfn.XLOOKUP($B450,'[1]Jul-25'!$A:$A,'[1]Jul-25'!$H:$H,0)</f>
        <v>1497739.25</v>
      </c>
      <c r="Y450" s="17">
        <f>_xlfn.XLOOKUP($B450,'[1]Aug-25'!$A:$A,'[1]Aug-25'!$H:$H,0)</f>
        <v>152400</v>
      </c>
      <c r="Z450" s="17">
        <f>_xlfn.XLOOKUP($B450,'[1]Sep-25'!$A:$A,'[1]Sep-25'!$H:$H,0)</f>
        <v>990481.2</v>
      </c>
      <c r="AA450" s="17">
        <f>_xlfn.XLOOKUP($B450,'[1]Oct-25'!$A:$A,'[1]Oct-25'!$H:$H,0)</f>
        <v>5527200</v>
      </c>
      <c r="AB450" s="17">
        <f>_xlfn.XLOOKUP($B450,'[1]Nov-25'!$A:$A,'[1]Nov-25'!$H:$H,0)</f>
        <v>1883066.66</v>
      </c>
      <c r="AC450" s="17">
        <f>_xlfn.XLOOKUP($B450,'[1]Dec-25'!$A:$A,'[1]Dec-25'!$H:$H,0)</f>
        <v>4876700</v>
      </c>
      <c r="AD450" s="17">
        <f>_xlfn.XLOOKUP($B450,'[1]Jan-26'!$A:$A,'[1]Jan-26'!$H:$H,0)</f>
        <v>10331799.079999998</v>
      </c>
      <c r="AE450" s="17">
        <f>_xlfn.XLOOKUP($B450,'[1]Feb-26'!$A:$A,'[1]Feb-26'!$H:$H,0)</f>
        <v>7490135.2300000004</v>
      </c>
      <c r="AF450" s="17">
        <f>_xlfn.XLOOKUP($B450,'[1]Mar-26'!$A:$A,'[1]Mar-26'!$H:$H,0)</f>
        <v>15500779.170000002</v>
      </c>
      <c r="AG450" s="17">
        <f>_xlfn.XLOOKUP($B450,'[1]Apr-26'!$A:$A,'[1]Apr-26'!$H:$H,0)</f>
        <v>17356012.48</v>
      </c>
    </row>
    <row r="451" spans="1:33" x14ac:dyDescent="0.2">
      <c r="A451" s="58">
        <v>62710</v>
      </c>
      <c r="B451" s="56" t="str">
        <f t="shared" si="12"/>
        <v>62710</v>
      </c>
      <c r="C451" s="57" t="s">
        <v>629</v>
      </c>
      <c r="D451" s="57" t="s">
        <v>387</v>
      </c>
      <c r="E451" s="44" t="s">
        <v>631</v>
      </c>
      <c r="F451" s="17">
        <f>_xlfn.XLOOKUP($B451,'[1]Jan-24'!$A:$A,'[1]Jan-24'!$H:$H,0)</f>
        <v>0</v>
      </c>
      <c r="G451" s="17">
        <f>_xlfn.XLOOKUP($B451,'[1]Feb-24'!$A:$A,'[1]Feb-24'!$H:$H,0)</f>
        <v>0</v>
      </c>
      <c r="H451" s="17">
        <f>_xlfn.XLOOKUP($B451,'[1]Mar-24'!$A:$A,'[1]Mar-24'!$H:$H,0)</f>
        <v>0</v>
      </c>
      <c r="I451" s="17">
        <f>_xlfn.XLOOKUP($B451,'[1]Apr-24'!$A:$A,'[1]Apr-24'!$H:$H,0)</f>
        <v>0</v>
      </c>
      <c r="J451" s="17">
        <f>_xlfn.XLOOKUP($B451,'[1]May-24'!$A:$A,'[1]May-24'!$H:$H,0)</f>
        <v>0</v>
      </c>
      <c r="K451" s="17">
        <f>_xlfn.XLOOKUP($B451,'[1]Jun-24'!$A:$A,'[1]Jun-24'!$H:$H,0)</f>
        <v>0</v>
      </c>
      <c r="L451" s="17">
        <f>_xlfn.XLOOKUP($B451,'[1]Jul-24'!$A:$A,'[1]Jul-24'!$H:$H,0)</f>
        <v>0</v>
      </c>
      <c r="M451" s="17">
        <f>_xlfn.XLOOKUP($B451,'[1]Aug-24'!$A:$A,'[1]Aug-24'!$H:$H,0)</f>
        <v>0</v>
      </c>
      <c r="N451" s="17">
        <f>_xlfn.XLOOKUP($B451,'[1]Sep-24'!$A:$A,'[1]Sep-24'!$H:$H,0)</f>
        <v>0</v>
      </c>
      <c r="O451" s="17">
        <f>_xlfn.XLOOKUP($B451,'[1]Oct-24'!$A:$A,'[1]Oct-24'!$H:$H,0)</f>
        <v>0</v>
      </c>
      <c r="P451" s="17">
        <f>_xlfn.XLOOKUP($B451,'[1]Nov-24'!$A:$A,'[1]Nov-24'!$H:$H,0)</f>
        <v>0</v>
      </c>
      <c r="Q451" s="17">
        <f>_xlfn.XLOOKUP($B451,'[1]Dec-24'!$A:$A,'[1]Dec-24'!$H:$H,0)</f>
        <v>0</v>
      </c>
      <c r="R451" s="17">
        <f>_xlfn.XLOOKUP($B451,'[1]Jan-25'!$A:$A,'[1]Jan-25'!$H:$H,0)</f>
        <v>0</v>
      </c>
      <c r="S451" s="17">
        <f>_xlfn.XLOOKUP($B451,'[1]Feb-25'!$A:$A,'[1]Feb-25'!$H:$H,0)</f>
        <v>0</v>
      </c>
      <c r="T451" s="17">
        <f>_xlfn.XLOOKUP($B451,'[1]Mar-25'!$A:$A,'[1]Mar-25'!$H:$H,0)</f>
        <v>0</v>
      </c>
      <c r="U451" s="17">
        <f>_xlfn.XLOOKUP($B451,'[1]Apr-25'!$A:$A,'[1]Apr-25'!$H:$H,0)</f>
        <v>0</v>
      </c>
      <c r="V451" s="17">
        <f>_xlfn.XLOOKUP($B451,'[1]May-25'!$A:$A,'[1]May-25'!$H:$H,0)</f>
        <v>0</v>
      </c>
      <c r="W451" s="17">
        <f>_xlfn.XLOOKUP($B451,'[1]Jun-25'!$A:$A,'[1]Jun-25'!$H:$H,0)</f>
        <v>0</v>
      </c>
      <c r="X451" s="17">
        <f>_xlfn.XLOOKUP($B451,'[1]Jul-25'!$A:$A,'[1]Jul-25'!$H:$H,0)</f>
        <v>0</v>
      </c>
      <c r="Y451" s="17">
        <f>_xlfn.XLOOKUP($B451,'[1]Aug-25'!$A:$A,'[1]Aug-25'!$H:$H,0)</f>
        <v>0</v>
      </c>
      <c r="Z451" s="17">
        <f>_xlfn.XLOOKUP($B451,'[1]Sep-25'!$A:$A,'[1]Sep-25'!$H:$H,0)</f>
        <v>0</v>
      </c>
      <c r="AA451" s="17">
        <f>_xlfn.XLOOKUP($B451,'[1]Oct-25'!$A:$A,'[1]Oct-25'!$H:$H,0)</f>
        <v>0</v>
      </c>
      <c r="AB451" s="17">
        <f>_xlfn.XLOOKUP($B451,'[1]Nov-25'!$A:$A,'[1]Nov-25'!$H:$H,0)</f>
        <v>0</v>
      </c>
      <c r="AC451" s="17">
        <f>_xlfn.XLOOKUP($B451,'[1]Dec-25'!$A:$A,'[1]Dec-25'!$H:$H,0)</f>
        <v>0</v>
      </c>
      <c r="AD451" s="17">
        <f>_xlfn.XLOOKUP($B451,'[1]Jan-26'!$A:$A,'[1]Jan-26'!$H:$H,0)</f>
        <v>0</v>
      </c>
      <c r="AE451" s="17">
        <f>_xlfn.XLOOKUP($B451,'[1]Feb-26'!$A:$A,'[1]Feb-26'!$H:$H,0)</f>
        <v>0</v>
      </c>
      <c r="AF451" s="17">
        <f>_xlfn.XLOOKUP($B451,'[1]Mar-26'!$A:$A,'[1]Mar-26'!$H:$H,0)</f>
        <v>0</v>
      </c>
      <c r="AG451" s="17">
        <f>_xlfn.XLOOKUP($B451,'[1]Apr-26'!$A:$A,'[1]Apr-26'!$H:$H,0)</f>
        <v>0</v>
      </c>
    </row>
    <row r="452" spans="1:33" x14ac:dyDescent="0.2">
      <c r="A452" s="58">
        <v>62720</v>
      </c>
      <c r="B452" s="56" t="str">
        <f t="shared" si="12"/>
        <v>62720</v>
      </c>
      <c r="C452" s="57" t="s">
        <v>629</v>
      </c>
      <c r="D452" s="57" t="s">
        <v>387</v>
      </c>
      <c r="E452" s="44" t="s">
        <v>632</v>
      </c>
      <c r="F452" s="17">
        <f>_xlfn.XLOOKUP($B452,'[1]Jan-24'!$A:$A,'[1]Jan-24'!$H:$H,0)</f>
        <v>0</v>
      </c>
      <c r="G452" s="17">
        <f>_xlfn.XLOOKUP($B452,'[1]Feb-24'!$A:$A,'[1]Feb-24'!$H:$H,0)</f>
        <v>0</v>
      </c>
      <c r="H452" s="17">
        <f>_xlfn.XLOOKUP($B452,'[1]Mar-24'!$A:$A,'[1]Mar-24'!$H:$H,0)</f>
        <v>0</v>
      </c>
      <c r="I452" s="17">
        <f>_xlfn.XLOOKUP($B452,'[1]Apr-24'!$A:$A,'[1]Apr-24'!$H:$H,0)</f>
        <v>0</v>
      </c>
      <c r="J452" s="17">
        <f>_xlfn.XLOOKUP($B452,'[1]May-24'!$A:$A,'[1]May-24'!$H:$H,0)</f>
        <v>0</v>
      </c>
      <c r="K452" s="17">
        <f>_xlfn.XLOOKUP($B452,'[1]Jun-24'!$A:$A,'[1]Jun-24'!$H:$H,0)</f>
        <v>0</v>
      </c>
      <c r="L452" s="17">
        <f>_xlfn.XLOOKUP($B452,'[1]Jul-24'!$A:$A,'[1]Jul-24'!$H:$H,0)</f>
        <v>0</v>
      </c>
      <c r="M452" s="17">
        <f>_xlfn.XLOOKUP($B452,'[1]Aug-24'!$A:$A,'[1]Aug-24'!$H:$H,0)</f>
        <v>0</v>
      </c>
      <c r="N452" s="17">
        <f>_xlfn.XLOOKUP($B452,'[1]Sep-24'!$A:$A,'[1]Sep-24'!$H:$H,0)</f>
        <v>0</v>
      </c>
      <c r="O452" s="17">
        <f>_xlfn.XLOOKUP($B452,'[1]Oct-24'!$A:$A,'[1]Oct-24'!$H:$H,0)</f>
        <v>0</v>
      </c>
      <c r="P452" s="17">
        <f>_xlfn.XLOOKUP($B452,'[1]Nov-24'!$A:$A,'[1]Nov-24'!$H:$H,0)</f>
        <v>0</v>
      </c>
      <c r="Q452" s="17">
        <f>_xlfn.XLOOKUP($B452,'[1]Dec-24'!$A:$A,'[1]Dec-24'!$H:$H,0)</f>
        <v>0</v>
      </c>
      <c r="R452" s="17">
        <f>_xlfn.XLOOKUP($B452,'[1]Jan-25'!$A:$A,'[1]Jan-25'!$H:$H,0)</f>
        <v>0</v>
      </c>
      <c r="S452" s="17">
        <f>_xlfn.XLOOKUP($B452,'[1]Feb-25'!$A:$A,'[1]Feb-25'!$H:$H,0)</f>
        <v>0</v>
      </c>
      <c r="T452" s="17">
        <f>_xlfn.XLOOKUP($B452,'[1]Mar-25'!$A:$A,'[1]Mar-25'!$H:$H,0)</f>
        <v>0</v>
      </c>
      <c r="U452" s="17">
        <f>_xlfn.XLOOKUP($B452,'[1]Apr-25'!$A:$A,'[1]Apr-25'!$H:$H,0)</f>
        <v>0</v>
      </c>
      <c r="V452" s="17">
        <f>_xlfn.XLOOKUP($B452,'[1]May-25'!$A:$A,'[1]May-25'!$H:$H,0)</f>
        <v>0</v>
      </c>
      <c r="W452" s="17">
        <f>_xlfn.XLOOKUP($B452,'[1]Jun-25'!$A:$A,'[1]Jun-25'!$H:$H,0)</f>
        <v>0</v>
      </c>
      <c r="X452" s="17">
        <f>_xlfn.XLOOKUP($B452,'[1]Jul-25'!$A:$A,'[1]Jul-25'!$H:$H,0)</f>
        <v>0</v>
      </c>
      <c r="Y452" s="17">
        <f>_xlfn.XLOOKUP($B452,'[1]Aug-25'!$A:$A,'[1]Aug-25'!$H:$H,0)</f>
        <v>0</v>
      </c>
      <c r="Z452" s="17">
        <f>_xlfn.XLOOKUP($B452,'[1]Sep-25'!$A:$A,'[1]Sep-25'!$H:$H,0)</f>
        <v>0</v>
      </c>
      <c r="AA452" s="17">
        <f>_xlfn.XLOOKUP($B452,'[1]Oct-25'!$A:$A,'[1]Oct-25'!$H:$H,0)</f>
        <v>0</v>
      </c>
      <c r="AB452" s="17">
        <f>_xlfn.XLOOKUP($B452,'[1]Nov-25'!$A:$A,'[1]Nov-25'!$H:$H,0)</f>
        <v>0</v>
      </c>
      <c r="AC452" s="17">
        <f>_xlfn.XLOOKUP($B452,'[1]Dec-25'!$A:$A,'[1]Dec-25'!$H:$H,0)</f>
        <v>0</v>
      </c>
      <c r="AD452" s="17">
        <f>_xlfn.XLOOKUP($B452,'[1]Jan-26'!$A:$A,'[1]Jan-26'!$H:$H,0)</f>
        <v>0</v>
      </c>
      <c r="AE452" s="17">
        <f>_xlfn.XLOOKUP($B452,'[1]Feb-26'!$A:$A,'[1]Feb-26'!$H:$H,0)</f>
        <v>0</v>
      </c>
      <c r="AF452" s="17">
        <f>_xlfn.XLOOKUP($B452,'[1]Mar-26'!$A:$A,'[1]Mar-26'!$H:$H,0)</f>
        <v>0</v>
      </c>
      <c r="AG452" s="17">
        <f>_xlfn.XLOOKUP($B452,'[1]Apr-26'!$A:$A,'[1]Apr-26'!$H:$H,0)</f>
        <v>0</v>
      </c>
    </row>
    <row r="453" spans="1:33" x14ac:dyDescent="0.2">
      <c r="A453" s="58">
        <v>62730</v>
      </c>
      <c r="B453" s="56" t="str">
        <f t="shared" si="12"/>
        <v>62730</v>
      </c>
      <c r="C453" s="57" t="s">
        <v>629</v>
      </c>
      <c r="D453" s="57" t="s">
        <v>387</v>
      </c>
      <c r="E453" s="44" t="s">
        <v>633</v>
      </c>
      <c r="F453" s="17">
        <f>_xlfn.XLOOKUP($B453,'[1]Jan-24'!$A:$A,'[1]Jan-24'!$H:$H,0)</f>
        <v>0</v>
      </c>
      <c r="G453" s="17">
        <f>_xlfn.XLOOKUP($B453,'[1]Feb-24'!$A:$A,'[1]Feb-24'!$H:$H,0)</f>
        <v>0</v>
      </c>
      <c r="H453" s="17">
        <f>_xlfn.XLOOKUP($B453,'[1]Mar-24'!$A:$A,'[1]Mar-24'!$H:$H,0)</f>
        <v>0</v>
      </c>
      <c r="I453" s="17">
        <f>_xlfn.XLOOKUP($B453,'[1]Apr-24'!$A:$A,'[1]Apr-24'!$H:$H,0)</f>
        <v>0</v>
      </c>
      <c r="J453" s="17">
        <f>_xlfn.XLOOKUP($B453,'[1]May-24'!$A:$A,'[1]May-24'!$H:$H,0)</f>
        <v>0</v>
      </c>
      <c r="K453" s="17">
        <f>_xlfn.XLOOKUP($B453,'[1]Jun-24'!$A:$A,'[1]Jun-24'!$H:$H,0)</f>
        <v>0</v>
      </c>
      <c r="L453" s="17">
        <f>_xlfn.XLOOKUP($B453,'[1]Jul-24'!$A:$A,'[1]Jul-24'!$H:$H,0)</f>
        <v>0</v>
      </c>
      <c r="M453" s="17">
        <f>_xlfn.XLOOKUP($B453,'[1]Aug-24'!$A:$A,'[1]Aug-24'!$H:$H,0)</f>
        <v>0</v>
      </c>
      <c r="N453" s="17">
        <f>_xlfn.XLOOKUP($B453,'[1]Sep-24'!$A:$A,'[1]Sep-24'!$H:$H,0)</f>
        <v>0</v>
      </c>
      <c r="O453" s="17">
        <f>_xlfn.XLOOKUP($B453,'[1]Oct-24'!$A:$A,'[1]Oct-24'!$H:$H,0)</f>
        <v>0</v>
      </c>
      <c r="P453" s="17">
        <f>_xlfn.XLOOKUP($B453,'[1]Nov-24'!$A:$A,'[1]Nov-24'!$H:$H,0)</f>
        <v>0</v>
      </c>
      <c r="Q453" s="17">
        <f>_xlfn.XLOOKUP($B453,'[1]Dec-24'!$A:$A,'[1]Dec-24'!$H:$H,0)</f>
        <v>0</v>
      </c>
      <c r="R453" s="17">
        <f>_xlfn.XLOOKUP($B453,'[1]Jan-25'!$A:$A,'[1]Jan-25'!$H:$H,0)</f>
        <v>0</v>
      </c>
      <c r="S453" s="17">
        <f>_xlfn.XLOOKUP($B453,'[1]Feb-25'!$A:$A,'[1]Feb-25'!$H:$H,0)</f>
        <v>0</v>
      </c>
      <c r="T453" s="17">
        <f>_xlfn.XLOOKUP($B453,'[1]Mar-25'!$A:$A,'[1]Mar-25'!$H:$H,0)</f>
        <v>0</v>
      </c>
      <c r="U453" s="17">
        <f>_xlfn.XLOOKUP($B453,'[1]Apr-25'!$A:$A,'[1]Apr-25'!$H:$H,0)</f>
        <v>0</v>
      </c>
      <c r="V453" s="17">
        <f>_xlfn.XLOOKUP($B453,'[1]May-25'!$A:$A,'[1]May-25'!$H:$H,0)</f>
        <v>0</v>
      </c>
      <c r="W453" s="17">
        <f>_xlfn.XLOOKUP($B453,'[1]Jun-25'!$A:$A,'[1]Jun-25'!$H:$H,0)</f>
        <v>0</v>
      </c>
      <c r="X453" s="17">
        <f>_xlfn.XLOOKUP($B453,'[1]Jul-25'!$A:$A,'[1]Jul-25'!$H:$H,0)</f>
        <v>0</v>
      </c>
      <c r="Y453" s="17">
        <f>_xlfn.XLOOKUP($B453,'[1]Aug-25'!$A:$A,'[1]Aug-25'!$H:$H,0)</f>
        <v>0</v>
      </c>
      <c r="Z453" s="17">
        <f>_xlfn.XLOOKUP($B453,'[1]Sep-25'!$A:$A,'[1]Sep-25'!$H:$H,0)</f>
        <v>0</v>
      </c>
      <c r="AA453" s="17">
        <f>_xlfn.XLOOKUP($B453,'[1]Oct-25'!$A:$A,'[1]Oct-25'!$H:$H,0)</f>
        <v>0</v>
      </c>
      <c r="AB453" s="17">
        <f>_xlfn.XLOOKUP($B453,'[1]Nov-25'!$A:$A,'[1]Nov-25'!$H:$H,0)</f>
        <v>0</v>
      </c>
      <c r="AC453" s="17">
        <f>_xlfn.XLOOKUP($B453,'[1]Dec-25'!$A:$A,'[1]Dec-25'!$H:$H,0)</f>
        <v>0</v>
      </c>
      <c r="AD453" s="17">
        <f>_xlfn.XLOOKUP($B453,'[1]Jan-26'!$A:$A,'[1]Jan-26'!$H:$H,0)</f>
        <v>0</v>
      </c>
      <c r="AE453" s="17">
        <f>_xlfn.XLOOKUP($B453,'[1]Feb-26'!$A:$A,'[1]Feb-26'!$H:$H,0)</f>
        <v>0</v>
      </c>
      <c r="AF453" s="17">
        <f>_xlfn.XLOOKUP($B453,'[1]Mar-26'!$A:$A,'[1]Mar-26'!$H:$H,0)</f>
        <v>0</v>
      </c>
      <c r="AG453" s="17">
        <f>_xlfn.XLOOKUP($B453,'[1]Apr-26'!$A:$A,'[1]Apr-26'!$H:$H,0)</f>
        <v>0</v>
      </c>
    </row>
    <row r="454" spans="1:33" x14ac:dyDescent="0.2">
      <c r="A454" s="58">
        <v>62800</v>
      </c>
      <c r="B454" s="56" t="str">
        <f t="shared" si="12"/>
        <v>62800</v>
      </c>
      <c r="C454" s="57" t="s">
        <v>389</v>
      </c>
      <c r="D454" s="57" t="s">
        <v>387</v>
      </c>
      <c r="E454" s="44" t="s">
        <v>634</v>
      </c>
      <c r="F454" s="17">
        <f>_xlfn.XLOOKUP($B454,'[1]Jan-24'!$A:$A,'[1]Jan-24'!$H:$H,0)</f>
        <v>0</v>
      </c>
      <c r="G454" s="17">
        <f>_xlfn.XLOOKUP($B454,'[1]Feb-24'!$A:$A,'[1]Feb-24'!$H:$H,0)</f>
        <v>0</v>
      </c>
      <c r="H454" s="17">
        <f>_xlfn.XLOOKUP($B454,'[1]Mar-24'!$A:$A,'[1]Mar-24'!$H:$H,0)</f>
        <v>0</v>
      </c>
      <c r="I454" s="17">
        <f>_xlfn.XLOOKUP($B454,'[1]Apr-24'!$A:$A,'[1]Apr-24'!$H:$H,0)</f>
        <v>0</v>
      </c>
      <c r="J454" s="17">
        <f>_xlfn.XLOOKUP($B454,'[1]May-24'!$A:$A,'[1]May-24'!$H:$H,0)</f>
        <v>0</v>
      </c>
      <c r="K454" s="17">
        <f>_xlfn.XLOOKUP($B454,'[1]Jun-24'!$A:$A,'[1]Jun-24'!$H:$H,0)</f>
        <v>0</v>
      </c>
      <c r="L454" s="17">
        <f>_xlfn.XLOOKUP($B454,'[1]Jul-24'!$A:$A,'[1]Jul-24'!$H:$H,0)</f>
        <v>0</v>
      </c>
      <c r="M454" s="17">
        <f>_xlfn.XLOOKUP($B454,'[1]Aug-24'!$A:$A,'[1]Aug-24'!$H:$H,0)</f>
        <v>0</v>
      </c>
      <c r="N454" s="17">
        <f>_xlfn.XLOOKUP($B454,'[1]Sep-24'!$A:$A,'[1]Sep-24'!$H:$H,0)</f>
        <v>0</v>
      </c>
      <c r="O454" s="17">
        <f>_xlfn.XLOOKUP($B454,'[1]Oct-24'!$A:$A,'[1]Oct-24'!$H:$H,0)</f>
        <v>0</v>
      </c>
      <c r="P454" s="17">
        <f>_xlfn.XLOOKUP($B454,'[1]Nov-24'!$A:$A,'[1]Nov-24'!$H:$H,0)</f>
        <v>0</v>
      </c>
      <c r="Q454" s="17">
        <f>_xlfn.XLOOKUP($B454,'[1]Dec-24'!$A:$A,'[1]Dec-24'!$H:$H,0)</f>
        <v>0</v>
      </c>
      <c r="R454" s="17">
        <f>_xlfn.XLOOKUP($B454,'[1]Jan-25'!$A:$A,'[1]Jan-25'!$H:$H,0)</f>
        <v>0</v>
      </c>
      <c r="S454" s="17">
        <f>_xlfn.XLOOKUP($B454,'[1]Feb-25'!$A:$A,'[1]Feb-25'!$H:$H,0)</f>
        <v>0</v>
      </c>
      <c r="T454" s="17">
        <f>_xlfn.XLOOKUP($B454,'[1]Mar-25'!$A:$A,'[1]Mar-25'!$H:$H,0)</f>
        <v>0</v>
      </c>
      <c r="U454" s="17">
        <f>_xlfn.XLOOKUP($B454,'[1]Apr-25'!$A:$A,'[1]Apr-25'!$H:$H,0)</f>
        <v>0</v>
      </c>
      <c r="V454" s="17">
        <f>_xlfn.XLOOKUP($B454,'[1]May-25'!$A:$A,'[1]May-25'!$H:$H,0)</f>
        <v>0</v>
      </c>
      <c r="W454" s="17">
        <f>_xlfn.XLOOKUP($B454,'[1]Jun-25'!$A:$A,'[1]Jun-25'!$H:$H,0)</f>
        <v>0</v>
      </c>
      <c r="X454" s="17">
        <f>_xlfn.XLOOKUP($B454,'[1]Jul-25'!$A:$A,'[1]Jul-25'!$H:$H,0)</f>
        <v>0</v>
      </c>
      <c r="Y454" s="17">
        <f>_xlfn.XLOOKUP($B454,'[1]Aug-25'!$A:$A,'[1]Aug-25'!$H:$H,0)</f>
        <v>0</v>
      </c>
      <c r="Z454" s="17">
        <f>_xlfn.XLOOKUP($B454,'[1]Sep-25'!$A:$A,'[1]Sep-25'!$H:$H,0)</f>
        <v>0</v>
      </c>
      <c r="AA454" s="17">
        <f>_xlfn.XLOOKUP($B454,'[1]Oct-25'!$A:$A,'[1]Oct-25'!$H:$H,0)</f>
        <v>0</v>
      </c>
      <c r="AB454" s="17">
        <f>_xlfn.XLOOKUP($B454,'[1]Nov-25'!$A:$A,'[1]Nov-25'!$H:$H,0)</f>
        <v>0</v>
      </c>
      <c r="AC454" s="17">
        <f>_xlfn.XLOOKUP($B454,'[1]Dec-25'!$A:$A,'[1]Dec-25'!$H:$H,0)</f>
        <v>0</v>
      </c>
      <c r="AD454" s="17">
        <f>_xlfn.XLOOKUP($B454,'[1]Jan-26'!$A:$A,'[1]Jan-26'!$H:$H,0)</f>
        <v>0</v>
      </c>
      <c r="AE454" s="17">
        <f>_xlfn.XLOOKUP($B454,'[1]Feb-26'!$A:$A,'[1]Feb-26'!$H:$H,0)</f>
        <v>0</v>
      </c>
      <c r="AF454" s="17">
        <f>_xlfn.XLOOKUP($B454,'[1]Mar-26'!$A:$A,'[1]Mar-26'!$H:$H,0)</f>
        <v>0</v>
      </c>
      <c r="AG454" s="17">
        <f>_xlfn.XLOOKUP($B454,'[1]Apr-26'!$A:$A,'[1]Apr-26'!$H:$H,0)</f>
        <v>0</v>
      </c>
    </row>
    <row r="455" spans="1:33" x14ac:dyDescent="0.2">
      <c r="A455" s="58">
        <v>62900</v>
      </c>
      <c r="B455" s="56" t="str">
        <f t="shared" si="12"/>
        <v>62900</v>
      </c>
      <c r="C455" s="57" t="s">
        <v>552</v>
      </c>
      <c r="D455" s="57" t="s">
        <v>387</v>
      </c>
      <c r="E455" s="44" t="s">
        <v>635</v>
      </c>
      <c r="F455" s="17">
        <f>_xlfn.XLOOKUP($B455,'[1]Jan-24'!$A:$A,'[1]Jan-24'!$H:$H,0)</f>
        <v>0</v>
      </c>
      <c r="G455" s="17">
        <f>_xlfn.XLOOKUP($B455,'[1]Feb-24'!$A:$A,'[1]Feb-24'!$H:$H,0)</f>
        <v>0</v>
      </c>
      <c r="H455" s="17">
        <f>_xlfn.XLOOKUP($B455,'[1]Mar-24'!$A:$A,'[1]Mar-24'!$H:$H,0)</f>
        <v>0</v>
      </c>
      <c r="I455" s="17">
        <f>_xlfn.XLOOKUP($B455,'[1]Apr-24'!$A:$A,'[1]Apr-24'!$H:$H,0)</f>
        <v>0</v>
      </c>
      <c r="J455" s="17">
        <f>_xlfn.XLOOKUP($B455,'[1]May-24'!$A:$A,'[1]May-24'!$H:$H,0)</f>
        <v>0</v>
      </c>
      <c r="K455" s="17">
        <f>_xlfn.XLOOKUP($B455,'[1]Jun-24'!$A:$A,'[1]Jun-24'!$H:$H,0)</f>
        <v>0</v>
      </c>
      <c r="L455" s="17">
        <f>_xlfn.XLOOKUP($B455,'[1]Jul-24'!$A:$A,'[1]Jul-24'!$H:$H,0)</f>
        <v>0</v>
      </c>
      <c r="M455" s="17">
        <f>_xlfn.XLOOKUP($B455,'[1]Aug-24'!$A:$A,'[1]Aug-24'!$H:$H,0)</f>
        <v>0</v>
      </c>
      <c r="N455" s="17">
        <f>_xlfn.XLOOKUP($B455,'[1]Sep-24'!$A:$A,'[1]Sep-24'!$H:$H,0)</f>
        <v>0</v>
      </c>
      <c r="O455" s="17">
        <f>_xlfn.XLOOKUP($B455,'[1]Oct-24'!$A:$A,'[1]Oct-24'!$H:$H,0)</f>
        <v>0</v>
      </c>
      <c r="P455" s="17">
        <f>_xlfn.XLOOKUP($B455,'[1]Nov-24'!$A:$A,'[1]Nov-24'!$H:$H,0)</f>
        <v>0</v>
      </c>
      <c r="Q455" s="17">
        <f>_xlfn.XLOOKUP($B455,'[1]Dec-24'!$A:$A,'[1]Dec-24'!$H:$H,0)</f>
        <v>0</v>
      </c>
      <c r="R455" s="17">
        <f>_xlfn.XLOOKUP($B455,'[1]Jan-25'!$A:$A,'[1]Jan-25'!$H:$H,0)</f>
        <v>0</v>
      </c>
      <c r="S455" s="17">
        <f>_xlfn.XLOOKUP($B455,'[1]Feb-25'!$A:$A,'[1]Feb-25'!$H:$H,0)</f>
        <v>0</v>
      </c>
      <c r="T455" s="17">
        <f>_xlfn.XLOOKUP($B455,'[1]Mar-25'!$A:$A,'[1]Mar-25'!$H:$H,0)</f>
        <v>0</v>
      </c>
      <c r="U455" s="17">
        <f>_xlfn.XLOOKUP($B455,'[1]Apr-25'!$A:$A,'[1]Apr-25'!$H:$H,0)</f>
        <v>0</v>
      </c>
      <c r="V455" s="17">
        <f>_xlfn.XLOOKUP($B455,'[1]May-25'!$A:$A,'[1]May-25'!$H:$H,0)</f>
        <v>0</v>
      </c>
      <c r="W455" s="17">
        <f>_xlfn.XLOOKUP($B455,'[1]Jun-25'!$A:$A,'[1]Jun-25'!$H:$H,0)</f>
        <v>0</v>
      </c>
      <c r="X455" s="17">
        <f>_xlfn.XLOOKUP($B455,'[1]Jul-25'!$A:$A,'[1]Jul-25'!$H:$H,0)</f>
        <v>0</v>
      </c>
      <c r="Y455" s="17">
        <f>_xlfn.XLOOKUP($B455,'[1]Aug-25'!$A:$A,'[1]Aug-25'!$H:$H,0)</f>
        <v>0</v>
      </c>
      <c r="Z455" s="17">
        <f>_xlfn.XLOOKUP($B455,'[1]Sep-25'!$A:$A,'[1]Sep-25'!$H:$H,0)</f>
        <v>0</v>
      </c>
      <c r="AA455" s="17">
        <f>_xlfn.XLOOKUP($B455,'[1]Oct-25'!$A:$A,'[1]Oct-25'!$H:$H,0)</f>
        <v>0</v>
      </c>
      <c r="AB455" s="17">
        <f>_xlfn.XLOOKUP($B455,'[1]Nov-25'!$A:$A,'[1]Nov-25'!$H:$H,0)</f>
        <v>0</v>
      </c>
      <c r="AC455" s="17">
        <f>_xlfn.XLOOKUP($B455,'[1]Dec-25'!$A:$A,'[1]Dec-25'!$H:$H,0)</f>
        <v>0</v>
      </c>
      <c r="AD455" s="17">
        <f>_xlfn.XLOOKUP($B455,'[1]Jan-26'!$A:$A,'[1]Jan-26'!$H:$H,0)</f>
        <v>0</v>
      </c>
      <c r="AE455" s="17">
        <f>_xlfn.XLOOKUP($B455,'[1]Feb-26'!$A:$A,'[1]Feb-26'!$H:$H,0)</f>
        <v>0</v>
      </c>
      <c r="AF455" s="17">
        <f>_xlfn.XLOOKUP($B455,'[1]Mar-26'!$A:$A,'[1]Mar-26'!$H:$H,0)</f>
        <v>0</v>
      </c>
      <c r="AG455" s="17">
        <f>_xlfn.XLOOKUP($B455,'[1]Apr-26'!$A:$A,'[1]Apr-26'!$H:$H,0)</f>
        <v>0</v>
      </c>
    </row>
    <row r="456" spans="1:33" x14ac:dyDescent="0.2">
      <c r="A456" s="58">
        <v>62950</v>
      </c>
      <c r="B456" s="56" t="str">
        <f t="shared" si="12"/>
        <v>62950</v>
      </c>
      <c r="C456" s="57" t="s">
        <v>552</v>
      </c>
      <c r="D456" s="57" t="s">
        <v>387</v>
      </c>
      <c r="E456" s="44" t="s">
        <v>636</v>
      </c>
      <c r="F456" s="17">
        <f>_xlfn.XLOOKUP($B456,'[1]Jan-24'!$A:$A,'[1]Jan-24'!$H:$H,0)</f>
        <v>0</v>
      </c>
      <c r="G456" s="17">
        <f>_xlfn.XLOOKUP($B456,'[1]Feb-24'!$A:$A,'[1]Feb-24'!$H:$H,0)</f>
        <v>0</v>
      </c>
      <c r="H456" s="17">
        <f>_xlfn.XLOOKUP($B456,'[1]Mar-24'!$A:$A,'[1]Mar-24'!$H:$H,0)</f>
        <v>0</v>
      </c>
      <c r="I456" s="17">
        <f>_xlfn.XLOOKUP($B456,'[1]Apr-24'!$A:$A,'[1]Apr-24'!$H:$H,0)</f>
        <v>0</v>
      </c>
      <c r="J456" s="17">
        <f>_xlfn.XLOOKUP($B456,'[1]May-24'!$A:$A,'[1]May-24'!$H:$H,0)</f>
        <v>0</v>
      </c>
      <c r="K456" s="17">
        <f>_xlfn.XLOOKUP($B456,'[1]Jun-24'!$A:$A,'[1]Jun-24'!$H:$H,0)</f>
        <v>0</v>
      </c>
      <c r="L456" s="17">
        <f>_xlfn.XLOOKUP($B456,'[1]Jul-24'!$A:$A,'[1]Jul-24'!$H:$H,0)</f>
        <v>0</v>
      </c>
      <c r="M456" s="17">
        <f>_xlfn.XLOOKUP($B456,'[1]Aug-24'!$A:$A,'[1]Aug-24'!$H:$H,0)</f>
        <v>10000</v>
      </c>
      <c r="N456" s="17">
        <f>_xlfn.XLOOKUP($B456,'[1]Sep-24'!$A:$A,'[1]Sep-24'!$H:$H,0)</f>
        <v>5000</v>
      </c>
      <c r="O456" s="17">
        <f>_xlfn.XLOOKUP($B456,'[1]Oct-24'!$A:$A,'[1]Oct-24'!$H:$H,0)</f>
        <v>0</v>
      </c>
      <c r="P456" s="17">
        <f>_xlfn.XLOOKUP($B456,'[1]Nov-24'!$A:$A,'[1]Nov-24'!$H:$H,0)</f>
        <v>0</v>
      </c>
      <c r="Q456" s="17">
        <f>_xlfn.XLOOKUP($B456,'[1]Dec-24'!$A:$A,'[1]Dec-24'!$H:$H,0)</f>
        <v>0</v>
      </c>
      <c r="R456" s="17">
        <f>_xlfn.XLOOKUP($B456,'[1]Jan-25'!$A:$A,'[1]Jan-25'!$H:$H,0)</f>
        <v>0</v>
      </c>
      <c r="S456" s="17">
        <f>_xlfn.XLOOKUP($B456,'[1]Feb-25'!$A:$A,'[1]Feb-25'!$H:$H,0)</f>
        <v>0</v>
      </c>
      <c r="T456" s="17">
        <f>_xlfn.XLOOKUP($B456,'[1]Mar-25'!$A:$A,'[1]Mar-25'!$H:$H,0)</f>
        <v>0</v>
      </c>
      <c r="U456" s="17">
        <f>_xlfn.XLOOKUP($B456,'[1]Apr-25'!$A:$A,'[1]Apr-25'!$H:$H,0)</f>
        <v>0</v>
      </c>
      <c r="V456" s="17">
        <f>_xlfn.XLOOKUP($B456,'[1]May-25'!$A:$A,'[1]May-25'!$H:$H,0)</f>
        <v>0</v>
      </c>
      <c r="W456" s="17">
        <f>_xlfn.XLOOKUP($B456,'[1]Jun-25'!$A:$A,'[1]Jun-25'!$H:$H,0)</f>
        <v>0</v>
      </c>
      <c r="X456" s="17">
        <f>_xlfn.XLOOKUP($B456,'[1]Jul-25'!$A:$A,'[1]Jul-25'!$H:$H,0)</f>
        <v>0</v>
      </c>
      <c r="Y456" s="17">
        <f>_xlfn.XLOOKUP($B456,'[1]Aug-25'!$A:$A,'[1]Aug-25'!$H:$H,0)</f>
        <v>0</v>
      </c>
      <c r="Z456" s="17">
        <f>_xlfn.XLOOKUP($B456,'[1]Sep-25'!$A:$A,'[1]Sep-25'!$H:$H,0)</f>
        <v>0</v>
      </c>
      <c r="AA456" s="17">
        <f>_xlfn.XLOOKUP($B456,'[1]Oct-25'!$A:$A,'[1]Oct-25'!$H:$H,0)</f>
        <v>0</v>
      </c>
      <c r="AB456" s="17">
        <f>_xlfn.XLOOKUP($B456,'[1]Nov-25'!$A:$A,'[1]Nov-25'!$H:$H,0)</f>
        <v>0</v>
      </c>
      <c r="AC456" s="17">
        <f>_xlfn.XLOOKUP($B456,'[1]Dec-25'!$A:$A,'[1]Dec-25'!$H:$H,0)</f>
        <v>0</v>
      </c>
      <c r="AD456" s="17">
        <f>_xlfn.XLOOKUP($B456,'[1]Jan-26'!$A:$A,'[1]Jan-26'!$H:$H,0)</f>
        <v>0</v>
      </c>
      <c r="AE456" s="17">
        <f>_xlfn.XLOOKUP($B456,'[1]Feb-26'!$A:$A,'[1]Feb-26'!$H:$H,0)</f>
        <v>0</v>
      </c>
      <c r="AF456" s="17">
        <f>_xlfn.XLOOKUP($B456,'[1]Mar-26'!$A:$A,'[1]Mar-26'!$H:$H,0)</f>
        <v>0</v>
      </c>
      <c r="AG456" s="17">
        <f>_xlfn.XLOOKUP($B456,'[1]Apr-26'!$A:$A,'[1]Apr-26'!$H:$H,0)</f>
        <v>0</v>
      </c>
    </row>
    <row r="457" spans="1:33" x14ac:dyDescent="0.2">
      <c r="A457" s="58">
        <v>63000</v>
      </c>
      <c r="B457" s="56" t="str">
        <f t="shared" si="12"/>
        <v>63000</v>
      </c>
      <c r="C457" s="57" t="s">
        <v>549</v>
      </c>
      <c r="D457" s="57" t="s">
        <v>387</v>
      </c>
      <c r="E457" s="44" t="s">
        <v>637</v>
      </c>
      <c r="F457" s="17">
        <f>_xlfn.XLOOKUP($B457,'[1]Jan-24'!$A:$A,'[1]Jan-24'!$H:$H,0)</f>
        <v>0</v>
      </c>
      <c r="G457" s="17">
        <f>_xlfn.XLOOKUP($B457,'[1]Feb-24'!$A:$A,'[1]Feb-24'!$H:$H,0)</f>
        <v>0</v>
      </c>
      <c r="H457" s="17">
        <f>_xlfn.XLOOKUP($B457,'[1]Mar-24'!$A:$A,'[1]Mar-24'!$H:$H,0)</f>
        <v>0</v>
      </c>
      <c r="I457" s="17">
        <f>_xlfn.XLOOKUP($B457,'[1]Apr-24'!$A:$A,'[1]Apr-24'!$H:$H,0)</f>
        <v>0</v>
      </c>
      <c r="J457" s="17">
        <f>_xlfn.XLOOKUP($B457,'[1]May-24'!$A:$A,'[1]May-24'!$H:$H,0)</f>
        <v>0</v>
      </c>
      <c r="K457" s="17">
        <f>_xlfn.XLOOKUP($B457,'[1]Jun-24'!$A:$A,'[1]Jun-24'!$H:$H,0)</f>
        <v>0</v>
      </c>
      <c r="L457" s="17">
        <f>_xlfn.XLOOKUP($B457,'[1]Jul-24'!$A:$A,'[1]Jul-24'!$H:$H,0)</f>
        <v>0</v>
      </c>
      <c r="M457" s="17">
        <f>_xlfn.XLOOKUP($B457,'[1]Aug-24'!$A:$A,'[1]Aug-24'!$H:$H,0)</f>
        <v>0</v>
      </c>
      <c r="N457" s="17">
        <f>_xlfn.XLOOKUP($B457,'[1]Sep-24'!$A:$A,'[1]Sep-24'!$H:$H,0)</f>
        <v>0</v>
      </c>
      <c r="O457" s="17">
        <f>_xlfn.XLOOKUP($B457,'[1]Oct-24'!$A:$A,'[1]Oct-24'!$H:$H,0)</f>
        <v>0</v>
      </c>
      <c r="P457" s="17">
        <f>_xlfn.XLOOKUP($B457,'[1]Nov-24'!$A:$A,'[1]Nov-24'!$H:$H,0)</f>
        <v>0</v>
      </c>
      <c r="Q457" s="17">
        <f>_xlfn.XLOOKUP($B457,'[1]Dec-24'!$A:$A,'[1]Dec-24'!$H:$H,0)</f>
        <v>0</v>
      </c>
      <c r="R457" s="17">
        <f>_xlfn.XLOOKUP($B457,'[1]Jan-25'!$A:$A,'[1]Jan-25'!$H:$H,0)</f>
        <v>0</v>
      </c>
      <c r="S457" s="17">
        <f>_xlfn.XLOOKUP($B457,'[1]Feb-25'!$A:$A,'[1]Feb-25'!$H:$H,0)</f>
        <v>0</v>
      </c>
      <c r="T457" s="17">
        <f>_xlfn.XLOOKUP($B457,'[1]Mar-25'!$A:$A,'[1]Mar-25'!$H:$H,0)</f>
        <v>0</v>
      </c>
      <c r="U457" s="17">
        <f>_xlfn.XLOOKUP($B457,'[1]Apr-25'!$A:$A,'[1]Apr-25'!$H:$H,0)</f>
        <v>0</v>
      </c>
      <c r="V457" s="17">
        <f>_xlfn.XLOOKUP($B457,'[1]May-25'!$A:$A,'[1]May-25'!$H:$H,0)</f>
        <v>0</v>
      </c>
      <c r="W457" s="17">
        <f>_xlfn.XLOOKUP($B457,'[1]Jun-25'!$A:$A,'[1]Jun-25'!$H:$H,0)</f>
        <v>0</v>
      </c>
      <c r="X457" s="17">
        <f>_xlfn.XLOOKUP($B457,'[1]Jul-25'!$A:$A,'[1]Jul-25'!$H:$H,0)</f>
        <v>0</v>
      </c>
      <c r="Y457" s="17">
        <f>_xlfn.XLOOKUP($B457,'[1]Aug-25'!$A:$A,'[1]Aug-25'!$H:$H,0)</f>
        <v>0</v>
      </c>
      <c r="Z457" s="17">
        <f>_xlfn.XLOOKUP($B457,'[1]Sep-25'!$A:$A,'[1]Sep-25'!$H:$H,0)</f>
        <v>0</v>
      </c>
      <c r="AA457" s="17">
        <f>_xlfn.XLOOKUP($B457,'[1]Oct-25'!$A:$A,'[1]Oct-25'!$H:$H,0)</f>
        <v>0</v>
      </c>
      <c r="AB457" s="17">
        <f>_xlfn.XLOOKUP($B457,'[1]Nov-25'!$A:$A,'[1]Nov-25'!$H:$H,0)</f>
        <v>0</v>
      </c>
      <c r="AC457" s="17">
        <f>_xlfn.XLOOKUP($B457,'[1]Dec-25'!$A:$A,'[1]Dec-25'!$H:$H,0)</f>
        <v>0</v>
      </c>
      <c r="AD457" s="17">
        <f>_xlfn.XLOOKUP($B457,'[1]Jan-26'!$A:$A,'[1]Jan-26'!$H:$H,0)</f>
        <v>0</v>
      </c>
      <c r="AE457" s="17">
        <f>_xlfn.XLOOKUP($B457,'[1]Feb-26'!$A:$A,'[1]Feb-26'!$H:$H,0)</f>
        <v>0</v>
      </c>
      <c r="AF457" s="17">
        <f>_xlfn.XLOOKUP($B457,'[1]Mar-26'!$A:$A,'[1]Mar-26'!$H:$H,0)</f>
        <v>0</v>
      </c>
      <c r="AG457" s="17">
        <f>_xlfn.XLOOKUP($B457,'[1]Apr-26'!$A:$A,'[1]Apr-26'!$H:$H,0)</f>
        <v>0</v>
      </c>
    </row>
    <row r="458" spans="1:33" x14ac:dyDescent="0.2">
      <c r="A458" s="58">
        <v>63100</v>
      </c>
      <c r="B458" s="56" t="str">
        <f t="shared" si="12"/>
        <v>63100</v>
      </c>
      <c r="C458" s="57" t="s">
        <v>552</v>
      </c>
      <c r="D458" s="57" t="s">
        <v>387</v>
      </c>
      <c r="E458" s="44" t="s">
        <v>638</v>
      </c>
      <c r="F458" s="17">
        <f>_xlfn.XLOOKUP($B458,'[1]Jan-24'!$A:$A,'[1]Jan-24'!$H:$H,0)</f>
        <v>0</v>
      </c>
      <c r="G458" s="17">
        <f>_xlfn.XLOOKUP($B458,'[1]Feb-24'!$A:$A,'[1]Feb-24'!$H:$H,0)</f>
        <v>0</v>
      </c>
      <c r="H458" s="17">
        <f>_xlfn.XLOOKUP($B458,'[1]Mar-24'!$A:$A,'[1]Mar-24'!$H:$H,0)</f>
        <v>0</v>
      </c>
      <c r="I458" s="17">
        <f>_xlfn.XLOOKUP($B458,'[1]Apr-24'!$A:$A,'[1]Apr-24'!$H:$H,0)</f>
        <v>0</v>
      </c>
      <c r="J458" s="17">
        <f>_xlfn.XLOOKUP($B458,'[1]May-24'!$A:$A,'[1]May-24'!$H:$H,0)</f>
        <v>0</v>
      </c>
      <c r="K458" s="17">
        <f>_xlfn.XLOOKUP($B458,'[1]Jun-24'!$A:$A,'[1]Jun-24'!$H:$H,0)</f>
        <v>0</v>
      </c>
      <c r="L458" s="17">
        <f>_xlfn.XLOOKUP($B458,'[1]Jul-24'!$A:$A,'[1]Jul-24'!$H:$H,0)</f>
        <v>0</v>
      </c>
      <c r="M458" s="17">
        <f>_xlfn.XLOOKUP($B458,'[1]Aug-24'!$A:$A,'[1]Aug-24'!$H:$H,0)</f>
        <v>0</v>
      </c>
      <c r="N458" s="17">
        <f>_xlfn.XLOOKUP($B458,'[1]Sep-24'!$A:$A,'[1]Sep-24'!$H:$H,0)</f>
        <v>0</v>
      </c>
      <c r="O458" s="17">
        <f>_xlfn.XLOOKUP($B458,'[1]Oct-24'!$A:$A,'[1]Oct-24'!$H:$H,0)</f>
        <v>0</v>
      </c>
      <c r="P458" s="17">
        <f>_xlfn.XLOOKUP($B458,'[1]Nov-24'!$A:$A,'[1]Nov-24'!$H:$H,0)</f>
        <v>0</v>
      </c>
      <c r="Q458" s="17">
        <f>_xlfn.XLOOKUP($B458,'[1]Dec-24'!$A:$A,'[1]Dec-24'!$H:$H,0)</f>
        <v>0</v>
      </c>
      <c r="R458" s="17">
        <f>_xlfn.XLOOKUP($B458,'[1]Jan-25'!$A:$A,'[1]Jan-25'!$H:$H,0)</f>
        <v>0</v>
      </c>
      <c r="S458" s="17">
        <f>_xlfn.XLOOKUP($B458,'[1]Feb-25'!$A:$A,'[1]Feb-25'!$H:$H,0)</f>
        <v>0</v>
      </c>
      <c r="T458" s="17">
        <f>_xlfn.XLOOKUP($B458,'[1]Mar-25'!$A:$A,'[1]Mar-25'!$H:$H,0)</f>
        <v>0</v>
      </c>
      <c r="U458" s="17">
        <f>_xlfn.XLOOKUP($B458,'[1]Apr-25'!$A:$A,'[1]Apr-25'!$H:$H,0)</f>
        <v>0</v>
      </c>
      <c r="V458" s="17">
        <f>_xlfn.XLOOKUP($B458,'[1]May-25'!$A:$A,'[1]May-25'!$H:$H,0)</f>
        <v>0</v>
      </c>
      <c r="W458" s="17">
        <f>_xlfn.XLOOKUP($B458,'[1]Jun-25'!$A:$A,'[1]Jun-25'!$H:$H,0)</f>
        <v>0</v>
      </c>
      <c r="X458" s="17">
        <f>_xlfn.XLOOKUP($B458,'[1]Jul-25'!$A:$A,'[1]Jul-25'!$H:$H,0)</f>
        <v>0</v>
      </c>
      <c r="Y458" s="17">
        <f>_xlfn.XLOOKUP($B458,'[1]Aug-25'!$A:$A,'[1]Aug-25'!$H:$H,0)</f>
        <v>0</v>
      </c>
      <c r="Z458" s="17">
        <f>_xlfn.XLOOKUP($B458,'[1]Sep-25'!$A:$A,'[1]Sep-25'!$H:$H,0)</f>
        <v>0</v>
      </c>
      <c r="AA458" s="17">
        <f>_xlfn.XLOOKUP($B458,'[1]Oct-25'!$A:$A,'[1]Oct-25'!$H:$H,0)</f>
        <v>0</v>
      </c>
      <c r="AB458" s="17">
        <f>_xlfn.XLOOKUP($B458,'[1]Nov-25'!$A:$A,'[1]Nov-25'!$H:$H,0)</f>
        <v>0</v>
      </c>
      <c r="AC458" s="17">
        <f>_xlfn.XLOOKUP($B458,'[1]Dec-25'!$A:$A,'[1]Dec-25'!$H:$H,0)</f>
        <v>0</v>
      </c>
      <c r="AD458" s="17">
        <f>_xlfn.XLOOKUP($B458,'[1]Jan-26'!$A:$A,'[1]Jan-26'!$H:$H,0)</f>
        <v>0</v>
      </c>
      <c r="AE458" s="17">
        <f>_xlfn.XLOOKUP($B458,'[1]Feb-26'!$A:$A,'[1]Feb-26'!$H:$H,0)</f>
        <v>0</v>
      </c>
      <c r="AF458" s="17">
        <f>_xlfn.XLOOKUP($B458,'[1]Mar-26'!$A:$A,'[1]Mar-26'!$H:$H,0)</f>
        <v>0</v>
      </c>
      <c r="AG458" s="17">
        <f>_xlfn.XLOOKUP($B458,'[1]Apr-26'!$A:$A,'[1]Apr-26'!$H:$H,0)</f>
        <v>0</v>
      </c>
    </row>
    <row r="459" spans="1:33" x14ac:dyDescent="0.2">
      <c r="A459" s="58">
        <v>63105</v>
      </c>
      <c r="B459" s="56" t="str">
        <f t="shared" si="12"/>
        <v>63105</v>
      </c>
      <c r="C459" s="57" t="s">
        <v>549</v>
      </c>
      <c r="D459" s="57" t="s">
        <v>387</v>
      </c>
      <c r="E459" s="44" t="s">
        <v>639</v>
      </c>
      <c r="F459" s="17">
        <f>_xlfn.XLOOKUP($B459,'[1]Jan-24'!$A:$A,'[1]Jan-24'!$H:$H,0)</f>
        <v>0</v>
      </c>
      <c r="G459" s="17">
        <f>_xlfn.XLOOKUP($B459,'[1]Feb-24'!$A:$A,'[1]Feb-24'!$H:$H,0)</f>
        <v>0</v>
      </c>
      <c r="H459" s="17">
        <f>_xlfn.XLOOKUP($B459,'[1]Mar-24'!$A:$A,'[1]Mar-24'!$H:$H,0)</f>
        <v>0</v>
      </c>
      <c r="I459" s="17">
        <f>_xlfn.XLOOKUP($B459,'[1]Apr-24'!$A:$A,'[1]Apr-24'!$H:$H,0)</f>
        <v>0</v>
      </c>
      <c r="J459" s="17">
        <f>_xlfn.XLOOKUP($B459,'[1]May-24'!$A:$A,'[1]May-24'!$H:$H,0)</f>
        <v>0</v>
      </c>
      <c r="K459" s="17">
        <f>_xlfn.XLOOKUP($B459,'[1]Jun-24'!$A:$A,'[1]Jun-24'!$H:$H,0)</f>
        <v>0</v>
      </c>
      <c r="L459" s="17">
        <f>_xlfn.XLOOKUP($B459,'[1]Jul-24'!$A:$A,'[1]Jul-24'!$H:$H,0)</f>
        <v>0</v>
      </c>
      <c r="M459" s="17">
        <f>_xlfn.XLOOKUP($B459,'[1]Aug-24'!$A:$A,'[1]Aug-24'!$H:$H,0)</f>
        <v>0</v>
      </c>
      <c r="N459" s="17">
        <f>_xlfn.XLOOKUP($B459,'[1]Sep-24'!$A:$A,'[1]Sep-24'!$H:$H,0)</f>
        <v>0</v>
      </c>
      <c r="O459" s="17">
        <f>_xlfn.XLOOKUP($B459,'[1]Oct-24'!$A:$A,'[1]Oct-24'!$H:$H,0)</f>
        <v>0</v>
      </c>
      <c r="P459" s="17">
        <f>_xlfn.XLOOKUP($B459,'[1]Nov-24'!$A:$A,'[1]Nov-24'!$H:$H,0)</f>
        <v>0</v>
      </c>
      <c r="Q459" s="17">
        <f>_xlfn.XLOOKUP($B459,'[1]Dec-24'!$A:$A,'[1]Dec-24'!$H:$H,0)</f>
        <v>0</v>
      </c>
      <c r="R459" s="17">
        <f>_xlfn.XLOOKUP($B459,'[1]Jan-25'!$A:$A,'[1]Jan-25'!$H:$H,0)</f>
        <v>0</v>
      </c>
      <c r="S459" s="17">
        <f>_xlfn.XLOOKUP($B459,'[1]Feb-25'!$A:$A,'[1]Feb-25'!$H:$H,0)</f>
        <v>0</v>
      </c>
      <c r="T459" s="17">
        <f>_xlfn.XLOOKUP($B459,'[1]Mar-25'!$A:$A,'[1]Mar-25'!$H:$H,0)</f>
        <v>0</v>
      </c>
      <c r="U459" s="17">
        <f>_xlfn.XLOOKUP($B459,'[1]Apr-25'!$A:$A,'[1]Apr-25'!$H:$H,0)</f>
        <v>0</v>
      </c>
      <c r="V459" s="17">
        <f>_xlfn.XLOOKUP($B459,'[1]May-25'!$A:$A,'[1]May-25'!$H:$H,0)</f>
        <v>0</v>
      </c>
      <c r="W459" s="17">
        <f>_xlfn.XLOOKUP($B459,'[1]Jun-25'!$A:$A,'[1]Jun-25'!$H:$H,0)</f>
        <v>0</v>
      </c>
      <c r="X459" s="17">
        <f>_xlfn.XLOOKUP($B459,'[1]Jul-25'!$A:$A,'[1]Jul-25'!$H:$H,0)</f>
        <v>0</v>
      </c>
      <c r="Y459" s="17">
        <f>_xlfn.XLOOKUP($B459,'[1]Aug-25'!$A:$A,'[1]Aug-25'!$H:$H,0)</f>
        <v>0</v>
      </c>
      <c r="Z459" s="17">
        <f>_xlfn.XLOOKUP($B459,'[1]Sep-25'!$A:$A,'[1]Sep-25'!$H:$H,0)</f>
        <v>0</v>
      </c>
      <c r="AA459" s="17">
        <f>_xlfn.XLOOKUP($B459,'[1]Oct-25'!$A:$A,'[1]Oct-25'!$H:$H,0)</f>
        <v>0</v>
      </c>
      <c r="AB459" s="17">
        <f>_xlfn.XLOOKUP($B459,'[1]Nov-25'!$A:$A,'[1]Nov-25'!$H:$H,0)</f>
        <v>0</v>
      </c>
      <c r="AC459" s="17">
        <f>_xlfn.XLOOKUP($B459,'[1]Dec-25'!$A:$A,'[1]Dec-25'!$H:$H,0)</f>
        <v>0</v>
      </c>
      <c r="AD459" s="17">
        <f>_xlfn.XLOOKUP($B459,'[1]Jan-26'!$A:$A,'[1]Jan-26'!$H:$H,0)</f>
        <v>0</v>
      </c>
      <c r="AE459" s="17">
        <f>_xlfn.XLOOKUP($B459,'[1]Feb-26'!$A:$A,'[1]Feb-26'!$H:$H,0)</f>
        <v>0</v>
      </c>
      <c r="AF459" s="17">
        <f>_xlfn.XLOOKUP($B459,'[1]Mar-26'!$A:$A,'[1]Mar-26'!$H:$H,0)</f>
        <v>0</v>
      </c>
      <c r="AG459" s="17">
        <f>_xlfn.XLOOKUP($B459,'[1]Apr-26'!$A:$A,'[1]Apr-26'!$H:$H,0)</f>
        <v>0</v>
      </c>
    </row>
    <row r="460" spans="1:33" x14ac:dyDescent="0.2">
      <c r="A460" s="58">
        <v>63110</v>
      </c>
      <c r="B460" s="56" t="str">
        <f t="shared" si="12"/>
        <v>63110</v>
      </c>
      <c r="C460" s="57" t="s">
        <v>565</v>
      </c>
      <c r="D460" s="57" t="s">
        <v>387</v>
      </c>
      <c r="E460" s="44" t="s">
        <v>640</v>
      </c>
      <c r="F460" s="17">
        <f>_xlfn.XLOOKUP($B460,'[1]Jan-24'!$A:$A,'[1]Jan-24'!$H:$H,0)</f>
        <v>2577925</v>
      </c>
      <c r="G460" s="17">
        <f>_xlfn.XLOOKUP($B460,'[1]Feb-24'!$A:$A,'[1]Feb-24'!$H:$H,0)</f>
        <v>2064500</v>
      </c>
      <c r="H460" s="17">
        <f>_xlfn.XLOOKUP($B460,'[1]Mar-24'!$A:$A,'[1]Mar-24'!$H:$H,0)</f>
        <v>2109500</v>
      </c>
      <c r="I460" s="17">
        <f>_xlfn.XLOOKUP($B460,'[1]Apr-24'!$A:$A,'[1]Apr-24'!$H:$H,0)</f>
        <v>2232500</v>
      </c>
      <c r="J460" s="17">
        <f>_xlfn.XLOOKUP($B460,'[1]May-24'!$A:$A,'[1]May-24'!$H:$H,0)</f>
        <v>2951500</v>
      </c>
      <c r="K460" s="17">
        <f>_xlfn.XLOOKUP($B460,'[1]Jun-24'!$A:$A,'[1]Jun-24'!$H:$H,0)</f>
        <v>2413000</v>
      </c>
      <c r="L460" s="17">
        <f>_xlfn.XLOOKUP($B460,'[1]Jul-24'!$A:$A,'[1]Jul-24'!$H:$H,0)</f>
        <v>2601311.83</v>
      </c>
      <c r="M460" s="17">
        <f>_xlfn.XLOOKUP($B460,'[1]Aug-24'!$A:$A,'[1]Aug-24'!$H:$H,0)</f>
        <v>2145596.7799999998</v>
      </c>
      <c r="N460" s="17">
        <f>_xlfn.XLOOKUP($B460,'[1]Sep-24'!$A:$A,'[1]Sep-24'!$H:$H,0)</f>
        <v>2168596.77</v>
      </c>
      <c r="O460" s="17">
        <f>_xlfn.XLOOKUP($B460,'[1]Oct-24'!$A:$A,'[1]Oct-24'!$H:$H,0)</f>
        <v>2227446.2400000002</v>
      </c>
      <c r="P460" s="17">
        <f>_xlfn.XLOOKUP($B460,'[1]Nov-24'!$A:$A,'[1]Nov-24'!$H:$H,0)</f>
        <v>2147182.5</v>
      </c>
      <c r="Q460" s="17">
        <f>_xlfn.XLOOKUP($B460,'[1]Dec-24'!$A:$A,'[1]Dec-24'!$H:$H,0)</f>
        <v>2885732.5</v>
      </c>
      <c r="R460" s="17">
        <f>_xlfn.XLOOKUP($B460,'[1]Jan-25'!$A:$A,'[1]Jan-25'!$H:$H,0)</f>
        <v>2206968.36</v>
      </c>
      <c r="S460" s="17">
        <f>_xlfn.XLOOKUP($B460,'[1]Feb-25'!$A:$A,'[1]Feb-25'!$H:$H,0)</f>
        <v>2104882.5</v>
      </c>
      <c r="T460" s="17">
        <f>_xlfn.XLOOKUP($B460,'[1]Mar-25'!$A:$A,'[1]Mar-25'!$H:$H,0)</f>
        <v>2049264.65</v>
      </c>
      <c r="U460" s="17">
        <f>_xlfn.XLOOKUP($B460,'[1]Apr-25'!$A:$A,'[1]Apr-25'!$H:$H,0)</f>
        <v>1931493.03</v>
      </c>
      <c r="V460" s="17">
        <f>_xlfn.XLOOKUP($B460,'[1]May-25'!$A:$A,'[1]May-25'!$H:$H,0)</f>
        <v>1799363.51</v>
      </c>
      <c r="W460" s="17">
        <f>_xlfn.XLOOKUP($B460,'[1]Jun-25'!$A:$A,'[1]Jun-25'!$H:$H,0)</f>
        <v>1939582.56</v>
      </c>
      <c r="X460" s="17">
        <f>_xlfn.XLOOKUP($B460,'[1]Jul-25'!$A:$A,'[1]Jul-25'!$H:$H,0)</f>
        <v>1898008.63</v>
      </c>
      <c r="Y460" s="17">
        <f>_xlfn.XLOOKUP($B460,'[1]Aug-25'!$A:$A,'[1]Aug-25'!$H:$H,0)</f>
        <v>506121.77</v>
      </c>
      <c r="Z460" s="17">
        <f>_xlfn.XLOOKUP($B460,'[1]Sep-25'!$A:$A,'[1]Sep-25'!$H:$H,0)</f>
        <v>1074523.57</v>
      </c>
      <c r="AA460" s="17">
        <f>_xlfn.XLOOKUP($B460,'[1]Oct-25'!$A:$A,'[1]Oct-25'!$H:$H,0)</f>
        <v>3494254.55</v>
      </c>
      <c r="AB460" s="17">
        <f>_xlfn.XLOOKUP($B460,'[1]Nov-25'!$A:$A,'[1]Nov-25'!$H:$H,0)</f>
        <v>896450</v>
      </c>
      <c r="AC460" s="17">
        <f>_xlfn.XLOOKUP($B460,'[1]Dec-25'!$A:$A,'[1]Dec-25'!$H:$H,0)</f>
        <v>960499.96</v>
      </c>
      <c r="AD460" s="17">
        <f>_xlfn.XLOOKUP($B460,'[1]Jan-26'!$A:$A,'[1]Jan-26'!$H:$H,0)</f>
        <v>156525</v>
      </c>
      <c r="AE460" s="17">
        <f>_xlfn.XLOOKUP($B460,'[1]Feb-26'!$A:$A,'[1]Feb-26'!$H:$H,0)</f>
        <v>122900</v>
      </c>
      <c r="AF460" s="17">
        <f>_xlfn.XLOOKUP($B460,'[1]Mar-26'!$A:$A,'[1]Mar-26'!$H:$H,0)</f>
        <v>119525</v>
      </c>
      <c r="AG460" s="17">
        <f>_xlfn.XLOOKUP($B460,'[1]Apr-26'!$A:$A,'[1]Apr-26'!$H:$H,0)</f>
        <v>107700</v>
      </c>
    </row>
    <row r="461" spans="1:33" x14ac:dyDescent="0.2">
      <c r="A461" s="58">
        <v>63115</v>
      </c>
      <c r="B461" s="56" t="str">
        <f t="shared" ref="B461:B524" si="13">TEXT(A461,"00000")</f>
        <v>63115</v>
      </c>
      <c r="C461" s="57" t="s">
        <v>549</v>
      </c>
      <c r="D461" s="57" t="s">
        <v>387</v>
      </c>
      <c r="E461" s="44" t="s">
        <v>641</v>
      </c>
      <c r="F461" s="17">
        <f>_xlfn.XLOOKUP($B461,'[1]Jan-24'!$A:$A,'[1]Jan-24'!$H:$H,0)</f>
        <v>0</v>
      </c>
      <c r="G461" s="17">
        <f>_xlfn.XLOOKUP($B461,'[1]Feb-24'!$A:$A,'[1]Feb-24'!$H:$H,0)</f>
        <v>0</v>
      </c>
      <c r="H461" s="17">
        <f>_xlfn.XLOOKUP($B461,'[1]Mar-24'!$A:$A,'[1]Mar-24'!$H:$H,0)</f>
        <v>0</v>
      </c>
      <c r="I461" s="17">
        <f>_xlfn.XLOOKUP($B461,'[1]Apr-24'!$A:$A,'[1]Apr-24'!$H:$H,0)</f>
        <v>0</v>
      </c>
      <c r="J461" s="17">
        <f>_xlfn.XLOOKUP($B461,'[1]May-24'!$A:$A,'[1]May-24'!$H:$H,0)</f>
        <v>0</v>
      </c>
      <c r="K461" s="17">
        <f>_xlfn.XLOOKUP($B461,'[1]Jun-24'!$A:$A,'[1]Jun-24'!$H:$H,0)</f>
        <v>0</v>
      </c>
      <c r="L461" s="17">
        <f>_xlfn.XLOOKUP($B461,'[1]Jul-24'!$A:$A,'[1]Jul-24'!$H:$H,0)</f>
        <v>0</v>
      </c>
      <c r="M461" s="17">
        <f>_xlfn.XLOOKUP($B461,'[1]Aug-24'!$A:$A,'[1]Aug-24'!$H:$H,0)</f>
        <v>0</v>
      </c>
      <c r="N461" s="17">
        <f>_xlfn.XLOOKUP($B461,'[1]Sep-24'!$A:$A,'[1]Sep-24'!$H:$H,0)</f>
        <v>0</v>
      </c>
      <c r="O461" s="17">
        <f>_xlfn.XLOOKUP($B461,'[1]Oct-24'!$A:$A,'[1]Oct-24'!$H:$H,0)</f>
        <v>0</v>
      </c>
      <c r="P461" s="17">
        <f>_xlfn.XLOOKUP($B461,'[1]Nov-24'!$A:$A,'[1]Nov-24'!$H:$H,0)</f>
        <v>0</v>
      </c>
      <c r="Q461" s="17">
        <f>_xlfn.XLOOKUP($B461,'[1]Dec-24'!$A:$A,'[1]Dec-24'!$H:$H,0)</f>
        <v>0</v>
      </c>
      <c r="R461" s="17">
        <f>_xlfn.XLOOKUP($B461,'[1]Jan-25'!$A:$A,'[1]Jan-25'!$H:$H,0)</f>
        <v>0</v>
      </c>
      <c r="S461" s="17">
        <f>_xlfn.XLOOKUP($B461,'[1]Feb-25'!$A:$A,'[1]Feb-25'!$H:$H,0)</f>
        <v>0</v>
      </c>
      <c r="T461" s="17">
        <f>_xlfn.XLOOKUP($B461,'[1]Mar-25'!$A:$A,'[1]Mar-25'!$H:$H,0)</f>
        <v>0</v>
      </c>
      <c r="U461" s="17">
        <f>_xlfn.XLOOKUP($B461,'[1]Apr-25'!$A:$A,'[1]Apr-25'!$H:$H,0)</f>
        <v>0</v>
      </c>
      <c r="V461" s="17">
        <f>_xlfn.XLOOKUP($B461,'[1]May-25'!$A:$A,'[1]May-25'!$H:$H,0)</f>
        <v>0</v>
      </c>
      <c r="W461" s="17">
        <f>_xlfn.XLOOKUP($B461,'[1]Jun-25'!$A:$A,'[1]Jun-25'!$H:$H,0)</f>
        <v>0</v>
      </c>
      <c r="X461" s="17">
        <f>_xlfn.XLOOKUP($B461,'[1]Jul-25'!$A:$A,'[1]Jul-25'!$H:$H,0)</f>
        <v>0</v>
      </c>
      <c r="Y461" s="17">
        <f>_xlfn.XLOOKUP($B461,'[1]Aug-25'!$A:$A,'[1]Aug-25'!$H:$H,0)</f>
        <v>0</v>
      </c>
      <c r="Z461" s="17">
        <f>_xlfn.XLOOKUP($B461,'[1]Sep-25'!$A:$A,'[1]Sep-25'!$H:$H,0)</f>
        <v>0</v>
      </c>
      <c r="AA461" s="17">
        <f>_xlfn.XLOOKUP($B461,'[1]Oct-25'!$A:$A,'[1]Oct-25'!$H:$H,0)</f>
        <v>0</v>
      </c>
      <c r="AB461" s="17">
        <f>_xlfn.XLOOKUP($B461,'[1]Nov-25'!$A:$A,'[1]Nov-25'!$H:$H,0)</f>
        <v>0</v>
      </c>
      <c r="AC461" s="17">
        <f>_xlfn.XLOOKUP($B461,'[1]Dec-25'!$A:$A,'[1]Dec-25'!$H:$H,0)</f>
        <v>0</v>
      </c>
      <c r="AD461" s="17">
        <f>_xlfn.XLOOKUP($B461,'[1]Jan-26'!$A:$A,'[1]Jan-26'!$H:$H,0)</f>
        <v>0</v>
      </c>
      <c r="AE461" s="17">
        <f>_xlfn.XLOOKUP($B461,'[1]Feb-26'!$A:$A,'[1]Feb-26'!$H:$H,0)</f>
        <v>0</v>
      </c>
      <c r="AF461" s="17">
        <f>_xlfn.XLOOKUP($B461,'[1]Mar-26'!$A:$A,'[1]Mar-26'!$H:$H,0)</f>
        <v>0</v>
      </c>
      <c r="AG461" s="17">
        <f>_xlfn.XLOOKUP($B461,'[1]Apr-26'!$A:$A,'[1]Apr-26'!$H:$H,0)</f>
        <v>0</v>
      </c>
    </row>
    <row r="462" spans="1:33" x14ac:dyDescent="0.2">
      <c r="A462" s="58">
        <v>63120</v>
      </c>
      <c r="B462" s="56" t="str">
        <f t="shared" si="13"/>
        <v>63120</v>
      </c>
      <c r="C462" s="57" t="s">
        <v>562</v>
      </c>
      <c r="D462" s="57" t="s">
        <v>387</v>
      </c>
      <c r="E462" s="44" t="s">
        <v>642</v>
      </c>
      <c r="F462" s="17">
        <f>_xlfn.XLOOKUP($B462,'[1]Jan-24'!$A:$A,'[1]Jan-24'!$H:$H,0)</f>
        <v>0</v>
      </c>
      <c r="G462" s="17">
        <f>_xlfn.XLOOKUP($B462,'[1]Feb-24'!$A:$A,'[1]Feb-24'!$H:$H,0)</f>
        <v>0</v>
      </c>
      <c r="H462" s="17">
        <f>_xlfn.XLOOKUP($B462,'[1]Mar-24'!$A:$A,'[1]Mar-24'!$H:$H,0)</f>
        <v>0</v>
      </c>
      <c r="I462" s="17">
        <f>_xlfn.XLOOKUP($B462,'[1]Apr-24'!$A:$A,'[1]Apr-24'!$H:$H,0)</f>
        <v>1274972.5</v>
      </c>
      <c r="J462" s="17">
        <f>_xlfn.XLOOKUP($B462,'[1]May-24'!$A:$A,'[1]May-24'!$H:$H,0)</f>
        <v>13277512</v>
      </c>
      <c r="K462" s="17">
        <f>_xlfn.XLOOKUP($B462,'[1]Jun-24'!$A:$A,'[1]Jun-24'!$H:$H,0)</f>
        <v>3860812.24</v>
      </c>
      <c r="L462" s="17">
        <f>_xlfn.XLOOKUP($B462,'[1]Jul-24'!$A:$A,'[1]Jul-24'!$H:$H,0)</f>
        <v>15660719.08</v>
      </c>
      <c r="M462" s="17">
        <f>_xlfn.XLOOKUP($B462,'[1]Aug-24'!$A:$A,'[1]Aug-24'!$H:$H,0)</f>
        <v>510955.68</v>
      </c>
      <c r="N462" s="17">
        <f>_xlfn.XLOOKUP($B462,'[1]Sep-24'!$A:$A,'[1]Sep-24'!$H:$H,0)</f>
        <v>29055220.280000001</v>
      </c>
      <c r="O462" s="17">
        <f>_xlfn.XLOOKUP($B462,'[1]Oct-24'!$A:$A,'[1]Oct-24'!$H:$H,0)</f>
        <v>1168332.01</v>
      </c>
      <c r="P462" s="17">
        <f>_xlfn.XLOOKUP($B462,'[1]Nov-24'!$A:$A,'[1]Nov-24'!$H:$H,0)</f>
        <v>9174820.0899999999</v>
      </c>
      <c r="Q462" s="17">
        <f>_xlfn.XLOOKUP($B462,'[1]Dec-24'!$A:$A,'[1]Dec-24'!$H:$H,0)</f>
        <v>7137990.1100000003</v>
      </c>
      <c r="R462" s="17">
        <f>_xlfn.XLOOKUP($B462,'[1]Jan-25'!$A:$A,'[1]Jan-25'!$H:$H,0)</f>
        <v>566300</v>
      </c>
      <c r="S462" s="17">
        <f>_xlfn.XLOOKUP($B462,'[1]Feb-25'!$A:$A,'[1]Feb-25'!$H:$H,0)</f>
        <v>39600</v>
      </c>
      <c r="T462" s="17">
        <f>_xlfn.XLOOKUP($B462,'[1]Mar-25'!$A:$A,'[1]Mar-25'!$H:$H,0)</f>
        <v>0</v>
      </c>
      <c r="U462" s="17">
        <f>_xlfn.XLOOKUP($B462,'[1]Apr-25'!$A:$A,'[1]Apr-25'!$H:$H,0)</f>
        <v>15800</v>
      </c>
      <c r="V462" s="17">
        <f>_xlfn.XLOOKUP($B462,'[1]May-25'!$A:$A,'[1]May-25'!$H:$H,0)</f>
        <v>375175</v>
      </c>
      <c r="W462" s="17">
        <f>_xlfn.XLOOKUP($B462,'[1]Jun-25'!$A:$A,'[1]Jun-25'!$H:$H,0)</f>
        <v>0</v>
      </c>
      <c r="X462" s="17">
        <f>_xlfn.XLOOKUP($B462,'[1]Jul-25'!$A:$A,'[1]Jul-25'!$H:$H,0)</f>
        <v>140000</v>
      </c>
      <c r="Y462" s="17">
        <f>_xlfn.XLOOKUP($B462,'[1]Aug-25'!$A:$A,'[1]Aug-25'!$H:$H,0)</f>
        <v>2489224</v>
      </c>
      <c r="Z462" s="17">
        <f>_xlfn.XLOOKUP($B462,'[1]Sep-25'!$A:$A,'[1]Sep-25'!$H:$H,0)</f>
        <v>5443965.9699999997</v>
      </c>
      <c r="AA462" s="17">
        <f>_xlfn.XLOOKUP($B462,'[1]Oct-25'!$A:$A,'[1]Oct-25'!$H:$H,0)</f>
        <v>3921977.5</v>
      </c>
      <c r="AB462" s="17">
        <f>_xlfn.XLOOKUP($B462,'[1]Nov-25'!$A:$A,'[1]Nov-25'!$H:$H,0)</f>
        <v>608184</v>
      </c>
      <c r="AC462" s="17">
        <f>_xlfn.XLOOKUP($B462,'[1]Dec-25'!$A:$A,'[1]Dec-25'!$H:$H,0)</f>
        <v>3804836</v>
      </c>
      <c r="AD462" s="17">
        <f>_xlfn.XLOOKUP($B462,'[1]Jan-26'!$A:$A,'[1]Jan-26'!$H:$H,0)</f>
        <v>571576</v>
      </c>
      <c r="AE462" s="17">
        <f>_xlfn.XLOOKUP($B462,'[1]Feb-26'!$A:$A,'[1]Feb-26'!$H:$H,0)</f>
        <v>0</v>
      </c>
      <c r="AF462" s="17">
        <f>_xlfn.XLOOKUP($B462,'[1]Mar-26'!$A:$A,'[1]Mar-26'!$H:$H,0)</f>
        <v>0</v>
      </c>
      <c r="AG462" s="17">
        <f>_xlfn.XLOOKUP($B462,'[1]Apr-26'!$A:$A,'[1]Apr-26'!$H:$H,0)</f>
        <v>82081.100000000006</v>
      </c>
    </row>
    <row r="463" spans="1:33" x14ac:dyDescent="0.2">
      <c r="A463" s="58">
        <v>63125</v>
      </c>
      <c r="B463" s="56" t="str">
        <f t="shared" si="13"/>
        <v>63125</v>
      </c>
      <c r="C463" s="57" t="s">
        <v>643</v>
      </c>
      <c r="D463" s="57" t="s">
        <v>387</v>
      </c>
      <c r="E463" s="44" t="s">
        <v>644</v>
      </c>
      <c r="F463" s="17">
        <f>_xlfn.XLOOKUP($B463,'[1]Jan-24'!$A:$A,'[1]Jan-24'!$H:$H,0)</f>
        <v>38600</v>
      </c>
      <c r="G463" s="17">
        <f>_xlfn.XLOOKUP($B463,'[1]Feb-24'!$A:$A,'[1]Feb-24'!$H:$H,0)</f>
        <v>16100</v>
      </c>
      <c r="H463" s="17">
        <f>_xlfn.XLOOKUP($B463,'[1]Mar-24'!$A:$A,'[1]Mar-24'!$H:$H,0)</f>
        <v>30900</v>
      </c>
      <c r="I463" s="17">
        <f>_xlfn.XLOOKUP($B463,'[1]Apr-24'!$A:$A,'[1]Apr-24'!$H:$H,0)</f>
        <v>15600</v>
      </c>
      <c r="J463" s="17">
        <f>_xlfn.XLOOKUP($B463,'[1]May-24'!$A:$A,'[1]May-24'!$H:$H,0)</f>
        <v>183900</v>
      </c>
      <c r="K463" s="17">
        <f>_xlfn.XLOOKUP($B463,'[1]Jun-24'!$A:$A,'[1]Jun-24'!$H:$H,0)</f>
        <v>378650</v>
      </c>
      <c r="L463" s="17">
        <f>_xlfn.XLOOKUP($B463,'[1]Jul-24'!$A:$A,'[1]Jul-24'!$H:$H,0)</f>
        <v>89000</v>
      </c>
      <c r="M463" s="17">
        <f>_xlfn.XLOOKUP($B463,'[1]Aug-24'!$A:$A,'[1]Aug-24'!$H:$H,0)</f>
        <v>108560</v>
      </c>
      <c r="N463" s="17">
        <f>_xlfn.XLOOKUP($B463,'[1]Sep-24'!$A:$A,'[1]Sep-24'!$H:$H,0)</f>
        <v>748200</v>
      </c>
      <c r="O463" s="17">
        <f>_xlfn.XLOOKUP($B463,'[1]Oct-24'!$A:$A,'[1]Oct-24'!$H:$H,0)</f>
        <v>56900</v>
      </c>
      <c r="P463" s="17">
        <f>_xlfn.XLOOKUP($B463,'[1]Nov-24'!$A:$A,'[1]Nov-24'!$H:$H,0)</f>
        <v>91200</v>
      </c>
      <c r="Q463" s="17">
        <f>_xlfn.XLOOKUP($B463,'[1]Dec-24'!$A:$A,'[1]Dec-24'!$H:$H,0)</f>
        <v>100661.73999999999</v>
      </c>
      <c r="R463" s="17">
        <f>_xlfn.XLOOKUP($B463,'[1]Jan-25'!$A:$A,'[1]Jan-25'!$H:$H,0)</f>
        <v>1334300</v>
      </c>
      <c r="S463" s="17">
        <f>_xlfn.XLOOKUP($B463,'[1]Feb-25'!$A:$A,'[1]Feb-25'!$H:$H,0)</f>
        <v>21800</v>
      </c>
      <c r="T463" s="17">
        <f>_xlfn.XLOOKUP($B463,'[1]Mar-25'!$A:$A,'[1]Mar-25'!$H:$H,0)</f>
        <v>22450</v>
      </c>
      <c r="U463" s="17">
        <f>_xlfn.XLOOKUP($B463,'[1]Apr-25'!$A:$A,'[1]Apr-25'!$H:$H,0)</f>
        <v>110437.54</v>
      </c>
      <c r="V463" s="17">
        <f>_xlfn.XLOOKUP($B463,'[1]May-25'!$A:$A,'[1]May-25'!$H:$H,0)</f>
        <v>150136.38</v>
      </c>
      <c r="W463" s="17">
        <f>_xlfn.XLOOKUP($B463,'[1]Jun-25'!$A:$A,'[1]Jun-25'!$H:$H,0)</f>
        <v>191487</v>
      </c>
      <c r="X463" s="17">
        <f>_xlfn.XLOOKUP($B463,'[1]Jul-25'!$A:$A,'[1]Jul-25'!$H:$H,0)</f>
        <v>268390.5</v>
      </c>
      <c r="Y463" s="17">
        <f>_xlfn.XLOOKUP($B463,'[1]Aug-25'!$A:$A,'[1]Aug-25'!$H:$H,0)</f>
        <v>41992.75</v>
      </c>
      <c r="Z463" s="17">
        <f>_xlfn.XLOOKUP($B463,'[1]Sep-25'!$A:$A,'[1]Sep-25'!$H:$H,0)</f>
        <v>65730.75</v>
      </c>
      <c r="AA463" s="17">
        <f>_xlfn.XLOOKUP($B463,'[1]Oct-25'!$A:$A,'[1]Oct-25'!$H:$H,0)</f>
        <v>69361.5</v>
      </c>
      <c r="AB463" s="17">
        <f>_xlfn.XLOOKUP($B463,'[1]Nov-25'!$A:$A,'[1]Nov-25'!$H:$H,0)</f>
        <v>203282.25</v>
      </c>
      <c r="AC463" s="17">
        <f>_xlfn.XLOOKUP($B463,'[1]Dec-25'!$A:$A,'[1]Dec-25'!$H:$H,0)</f>
        <v>110489.25</v>
      </c>
      <c r="AD463" s="17">
        <f>_xlfn.XLOOKUP($B463,'[1]Jan-26'!$A:$A,'[1]Jan-26'!$H:$H,0)</f>
        <v>256965.75</v>
      </c>
      <c r="AE463" s="17">
        <f>_xlfn.XLOOKUP($B463,'[1]Feb-26'!$A:$A,'[1]Feb-26'!$H:$H,0)</f>
        <v>181380</v>
      </c>
      <c r="AF463" s="17">
        <f>_xlfn.XLOOKUP($B463,'[1]Mar-26'!$A:$A,'[1]Mar-26'!$H:$H,0)</f>
        <v>185900</v>
      </c>
      <c r="AG463" s="17">
        <f>_xlfn.XLOOKUP($B463,'[1]Apr-26'!$A:$A,'[1]Apr-26'!$H:$H,0)</f>
        <v>159600</v>
      </c>
    </row>
    <row r="464" spans="1:33" x14ac:dyDescent="0.2">
      <c r="A464" s="58">
        <v>63200</v>
      </c>
      <c r="B464" s="56" t="str">
        <f t="shared" si="13"/>
        <v>63200</v>
      </c>
      <c r="C464" s="57" t="s">
        <v>643</v>
      </c>
      <c r="D464" s="57" t="s">
        <v>387</v>
      </c>
      <c r="E464" s="44" t="s">
        <v>645</v>
      </c>
      <c r="F464" s="17">
        <f>_xlfn.XLOOKUP($B464,'[1]Jan-24'!$A:$A,'[1]Jan-24'!$H:$H,0)</f>
        <v>0</v>
      </c>
      <c r="G464" s="17">
        <f>_xlfn.XLOOKUP($B464,'[1]Feb-24'!$A:$A,'[1]Feb-24'!$H:$H,0)</f>
        <v>0</v>
      </c>
      <c r="H464" s="17">
        <f>_xlfn.XLOOKUP($B464,'[1]Mar-24'!$A:$A,'[1]Mar-24'!$H:$H,0)</f>
        <v>0</v>
      </c>
      <c r="I464" s="17">
        <f>_xlfn.XLOOKUP($B464,'[1]Apr-24'!$A:$A,'[1]Apr-24'!$H:$H,0)</f>
        <v>0</v>
      </c>
      <c r="J464" s="17">
        <f>_xlfn.XLOOKUP($B464,'[1]May-24'!$A:$A,'[1]May-24'!$H:$H,0)</f>
        <v>0</v>
      </c>
      <c r="K464" s="17">
        <f>_xlfn.XLOOKUP($B464,'[1]Jun-24'!$A:$A,'[1]Jun-24'!$H:$H,0)</f>
        <v>0</v>
      </c>
      <c r="L464" s="17">
        <f>_xlfn.XLOOKUP($B464,'[1]Jul-24'!$A:$A,'[1]Jul-24'!$H:$H,0)</f>
        <v>0</v>
      </c>
      <c r="M464" s="17">
        <f>_xlfn.XLOOKUP($B464,'[1]Aug-24'!$A:$A,'[1]Aug-24'!$H:$H,0)</f>
        <v>0</v>
      </c>
      <c r="N464" s="17">
        <f>_xlfn.XLOOKUP($B464,'[1]Sep-24'!$A:$A,'[1]Sep-24'!$H:$H,0)</f>
        <v>0</v>
      </c>
      <c r="O464" s="17">
        <f>_xlfn.XLOOKUP($B464,'[1]Oct-24'!$A:$A,'[1]Oct-24'!$H:$H,0)</f>
        <v>0</v>
      </c>
      <c r="P464" s="17">
        <f>_xlfn.XLOOKUP($B464,'[1]Nov-24'!$A:$A,'[1]Nov-24'!$H:$H,0)</f>
        <v>0</v>
      </c>
      <c r="Q464" s="17">
        <f>_xlfn.XLOOKUP($B464,'[1]Dec-24'!$A:$A,'[1]Dec-24'!$H:$H,0)</f>
        <v>0</v>
      </c>
      <c r="R464" s="17">
        <f>_xlfn.XLOOKUP($B464,'[1]Jan-25'!$A:$A,'[1]Jan-25'!$H:$H,0)</f>
        <v>0</v>
      </c>
      <c r="S464" s="17">
        <f>_xlfn.XLOOKUP($B464,'[1]Feb-25'!$A:$A,'[1]Feb-25'!$H:$H,0)</f>
        <v>0</v>
      </c>
      <c r="T464" s="17">
        <f>_xlfn.XLOOKUP($B464,'[1]Mar-25'!$A:$A,'[1]Mar-25'!$H:$H,0)</f>
        <v>0</v>
      </c>
      <c r="U464" s="17">
        <f>_xlfn.XLOOKUP($B464,'[1]Apr-25'!$A:$A,'[1]Apr-25'!$H:$H,0)</f>
        <v>0</v>
      </c>
      <c r="V464" s="17">
        <f>_xlfn.XLOOKUP($B464,'[1]May-25'!$A:$A,'[1]May-25'!$H:$H,0)</f>
        <v>0</v>
      </c>
      <c r="W464" s="17">
        <f>_xlfn.XLOOKUP($B464,'[1]Jun-25'!$A:$A,'[1]Jun-25'!$H:$H,0)</f>
        <v>0</v>
      </c>
      <c r="X464" s="17">
        <f>_xlfn.XLOOKUP($B464,'[1]Jul-25'!$A:$A,'[1]Jul-25'!$H:$H,0)</f>
        <v>60500</v>
      </c>
      <c r="Y464" s="17">
        <f>_xlfn.XLOOKUP($B464,'[1]Aug-25'!$A:$A,'[1]Aug-25'!$H:$H,0)</f>
        <v>0</v>
      </c>
      <c r="Z464" s="17">
        <f>_xlfn.XLOOKUP($B464,'[1]Sep-25'!$A:$A,'[1]Sep-25'!$H:$H,0)</f>
        <v>0</v>
      </c>
      <c r="AA464" s="17">
        <f>_xlfn.XLOOKUP($B464,'[1]Oct-25'!$A:$A,'[1]Oct-25'!$H:$H,0)</f>
        <v>500</v>
      </c>
      <c r="AB464" s="17">
        <f>_xlfn.XLOOKUP($B464,'[1]Nov-25'!$A:$A,'[1]Nov-25'!$H:$H,0)</f>
        <v>0</v>
      </c>
      <c r="AC464" s="17">
        <f>_xlfn.XLOOKUP($B464,'[1]Dec-25'!$A:$A,'[1]Dec-25'!$H:$H,0)</f>
        <v>0</v>
      </c>
      <c r="AD464" s="17">
        <f>_xlfn.XLOOKUP($B464,'[1]Jan-26'!$A:$A,'[1]Jan-26'!$H:$H,0)</f>
        <v>0</v>
      </c>
      <c r="AE464" s="17">
        <f>_xlfn.XLOOKUP($B464,'[1]Feb-26'!$A:$A,'[1]Feb-26'!$H:$H,0)</f>
        <v>0</v>
      </c>
      <c r="AF464" s="17">
        <f>_xlfn.XLOOKUP($B464,'[1]Mar-26'!$A:$A,'[1]Mar-26'!$H:$H,0)</f>
        <v>0</v>
      </c>
      <c r="AG464" s="17">
        <f>_xlfn.XLOOKUP($B464,'[1]Apr-26'!$A:$A,'[1]Apr-26'!$H:$H,0)</f>
        <v>0</v>
      </c>
    </row>
    <row r="465" spans="1:33" x14ac:dyDescent="0.2">
      <c r="A465" s="58">
        <v>63300</v>
      </c>
      <c r="B465" s="56" t="str">
        <f t="shared" si="13"/>
        <v>63300</v>
      </c>
      <c r="C465" s="57" t="s">
        <v>552</v>
      </c>
      <c r="D465" s="57" t="s">
        <v>387</v>
      </c>
      <c r="E465" s="44" t="s">
        <v>646</v>
      </c>
      <c r="F465" s="17">
        <f>_xlfn.XLOOKUP($B465,'[1]Jan-24'!$A:$A,'[1]Jan-24'!$H:$H,0)</f>
        <v>0</v>
      </c>
      <c r="G465" s="17">
        <f>_xlfn.XLOOKUP($B465,'[1]Feb-24'!$A:$A,'[1]Feb-24'!$H:$H,0)</f>
        <v>0</v>
      </c>
      <c r="H465" s="17">
        <f>_xlfn.XLOOKUP($B465,'[1]Mar-24'!$A:$A,'[1]Mar-24'!$H:$H,0)</f>
        <v>0</v>
      </c>
      <c r="I465" s="17">
        <f>_xlfn.XLOOKUP($B465,'[1]Apr-24'!$A:$A,'[1]Apr-24'!$H:$H,0)</f>
        <v>0</v>
      </c>
      <c r="J465" s="17">
        <f>_xlfn.XLOOKUP($B465,'[1]May-24'!$A:$A,'[1]May-24'!$H:$H,0)</f>
        <v>0</v>
      </c>
      <c r="K465" s="17">
        <f>_xlfn.XLOOKUP($B465,'[1]Jun-24'!$A:$A,'[1]Jun-24'!$H:$H,0)</f>
        <v>0</v>
      </c>
      <c r="L465" s="17">
        <f>_xlfn.XLOOKUP($B465,'[1]Jul-24'!$A:$A,'[1]Jul-24'!$H:$H,0)</f>
        <v>0</v>
      </c>
      <c r="M465" s="17">
        <f>_xlfn.XLOOKUP($B465,'[1]Aug-24'!$A:$A,'[1]Aug-24'!$H:$H,0)</f>
        <v>0</v>
      </c>
      <c r="N465" s="17">
        <f>_xlfn.XLOOKUP($B465,'[1]Sep-24'!$A:$A,'[1]Sep-24'!$H:$H,0)</f>
        <v>0</v>
      </c>
      <c r="O465" s="17">
        <f>_xlfn.XLOOKUP($B465,'[1]Oct-24'!$A:$A,'[1]Oct-24'!$H:$H,0)</f>
        <v>0</v>
      </c>
      <c r="P465" s="17">
        <f>_xlfn.XLOOKUP($B465,'[1]Nov-24'!$A:$A,'[1]Nov-24'!$H:$H,0)</f>
        <v>0</v>
      </c>
      <c r="Q465" s="17">
        <f>_xlfn.XLOOKUP($B465,'[1]Dec-24'!$A:$A,'[1]Dec-24'!$H:$H,0)</f>
        <v>0</v>
      </c>
      <c r="R465" s="17">
        <f>_xlfn.XLOOKUP($B465,'[1]Jan-25'!$A:$A,'[1]Jan-25'!$H:$H,0)</f>
        <v>0</v>
      </c>
      <c r="S465" s="17">
        <f>_xlfn.XLOOKUP($B465,'[1]Feb-25'!$A:$A,'[1]Feb-25'!$H:$H,0)</f>
        <v>0</v>
      </c>
      <c r="T465" s="17">
        <f>_xlfn.XLOOKUP($B465,'[1]Mar-25'!$A:$A,'[1]Mar-25'!$H:$H,0)</f>
        <v>0</v>
      </c>
      <c r="U465" s="17">
        <f>_xlfn.XLOOKUP($B465,'[1]Apr-25'!$A:$A,'[1]Apr-25'!$H:$H,0)</f>
        <v>0</v>
      </c>
      <c r="V465" s="17">
        <f>_xlfn.XLOOKUP($B465,'[1]May-25'!$A:$A,'[1]May-25'!$H:$H,0)</f>
        <v>0</v>
      </c>
      <c r="W465" s="17">
        <f>_xlfn.XLOOKUP($B465,'[1]Jun-25'!$A:$A,'[1]Jun-25'!$H:$H,0)</f>
        <v>0</v>
      </c>
      <c r="X465" s="17">
        <f>_xlfn.XLOOKUP($B465,'[1]Jul-25'!$A:$A,'[1]Jul-25'!$H:$H,0)</f>
        <v>0</v>
      </c>
      <c r="Y465" s="17">
        <f>_xlfn.XLOOKUP($B465,'[1]Aug-25'!$A:$A,'[1]Aug-25'!$H:$H,0)</f>
        <v>0</v>
      </c>
      <c r="Z465" s="17">
        <f>_xlfn.XLOOKUP($B465,'[1]Sep-25'!$A:$A,'[1]Sep-25'!$H:$H,0)</f>
        <v>5016666.67</v>
      </c>
      <c r="AA465" s="17">
        <f>_xlfn.XLOOKUP($B465,'[1]Oct-25'!$A:$A,'[1]Oct-25'!$H:$H,0)</f>
        <v>1199381.2</v>
      </c>
      <c r="AB465" s="17">
        <f>_xlfn.XLOOKUP($B465,'[1]Nov-25'!$A:$A,'[1]Nov-25'!$H:$H,0)</f>
        <v>716666.67</v>
      </c>
      <c r="AC465" s="17">
        <f>_xlfn.XLOOKUP($B465,'[1]Dec-25'!$A:$A,'[1]Dec-25'!$H:$H,0)</f>
        <v>999985.19</v>
      </c>
      <c r="AD465" s="17">
        <f>_xlfn.XLOOKUP($B465,'[1]Jan-26'!$A:$A,'[1]Jan-26'!$H:$H,0)</f>
        <v>895654.17</v>
      </c>
      <c r="AE465" s="17">
        <f>_xlfn.XLOOKUP($B465,'[1]Feb-26'!$A:$A,'[1]Feb-26'!$H:$H,0)</f>
        <v>895654.14999999991</v>
      </c>
      <c r="AF465" s="17">
        <f>_xlfn.XLOOKUP($B465,'[1]Mar-26'!$A:$A,'[1]Mar-26'!$H:$H,0)</f>
        <v>883166.65</v>
      </c>
      <c r="AG465" s="17">
        <f>_xlfn.XLOOKUP($B465,'[1]Apr-26'!$A:$A,'[1]Apr-26'!$H:$H,0)</f>
        <v>1149833.3500000001</v>
      </c>
    </row>
    <row r="466" spans="1:33" x14ac:dyDescent="0.2">
      <c r="A466" s="58">
        <v>63305</v>
      </c>
      <c r="B466" s="56" t="str">
        <f t="shared" si="13"/>
        <v>63305</v>
      </c>
      <c r="C466" s="57" t="s">
        <v>549</v>
      </c>
      <c r="D466" s="57" t="s">
        <v>387</v>
      </c>
      <c r="E466" s="44" t="s">
        <v>647</v>
      </c>
      <c r="F466" s="17">
        <f>_xlfn.XLOOKUP($B466,'[1]Jan-24'!$A:$A,'[1]Jan-24'!$H:$H,0)</f>
        <v>0</v>
      </c>
      <c r="G466" s="17">
        <f>_xlfn.XLOOKUP($B466,'[1]Feb-24'!$A:$A,'[1]Feb-24'!$H:$H,0)</f>
        <v>0</v>
      </c>
      <c r="H466" s="17">
        <f>_xlfn.XLOOKUP($B466,'[1]Mar-24'!$A:$A,'[1]Mar-24'!$H:$H,0)</f>
        <v>0</v>
      </c>
      <c r="I466" s="17">
        <f>_xlfn.XLOOKUP($B466,'[1]Apr-24'!$A:$A,'[1]Apr-24'!$H:$H,0)</f>
        <v>0</v>
      </c>
      <c r="J466" s="17">
        <f>_xlfn.XLOOKUP($B466,'[1]May-24'!$A:$A,'[1]May-24'!$H:$H,0)</f>
        <v>0</v>
      </c>
      <c r="K466" s="17">
        <f>_xlfn.XLOOKUP($B466,'[1]Jun-24'!$A:$A,'[1]Jun-24'!$H:$H,0)</f>
        <v>0</v>
      </c>
      <c r="L466" s="17">
        <f>_xlfn.XLOOKUP($B466,'[1]Jul-24'!$A:$A,'[1]Jul-24'!$H:$H,0)</f>
        <v>0</v>
      </c>
      <c r="M466" s="17">
        <f>_xlfn.XLOOKUP($B466,'[1]Aug-24'!$A:$A,'[1]Aug-24'!$H:$H,0)</f>
        <v>0</v>
      </c>
      <c r="N466" s="17">
        <f>_xlfn.XLOOKUP($B466,'[1]Sep-24'!$A:$A,'[1]Sep-24'!$H:$H,0)</f>
        <v>0</v>
      </c>
      <c r="O466" s="17">
        <f>_xlfn.XLOOKUP($B466,'[1]Oct-24'!$A:$A,'[1]Oct-24'!$H:$H,0)</f>
        <v>0</v>
      </c>
      <c r="P466" s="17">
        <f>_xlfn.XLOOKUP($B466,'[1]Nov-24'!$A:$A,'[1]Nov-24'!$H:$H,0)</f>
        <v>0</v>
      </c>
      <c r="Q466" s="17">
        <f>_xlfn.XLOOKUP($B466,'[1]Dec-24'!$A:$A,'[1]Dec-24'!$H:$H,0)</f>
        <v>0</v>
      </c>
      <c r="R466" s="17">
        <f>_xlfn.XLOOKUP($B466,'[1]Jan-25'!$A:$A,'[1]Jan-25'!$H:$H,0)</f>
        <v>0</v>
      </c>
      <c r="S466" s="17">
        <f>_xlfn.XLOOKUP($B466,'[1]Feb-25'!$A:$A,'[1]Feb-25'!$H:$H,0)</f>
        <v>0</v>
      </c>
      <c r="T466" s="17">
        <f>_xlfn.XLOOKUP($B466,'[1]Mar-25'!$A:$A,'[1]Mar-25'!$H:$H,0)</f>
        <v>0</v>
      </c>
      <c r="U466" s="17">
        <f>_xlfn.XLOOKUP($B466,'[1]Apr-25'!$A:$A,'[1]Apr-25'!$H:$H,0)</f>
        <v>0</v>
      </c>
      <c r="V466" s="17">
        <f>_xlfn.XLOOKUP($B466,'[1]May-25'!$A:$A,'[1]May-25'!$H:$H,0)</f>
        <v>0</v>
      </c>
      <c r="W466" s="17">
        <f>_xlfn.XLOOKUP($B466,'[1]Jun-25'!$A:$A,'[1]Jun-25'!$H:$H,0)</f>
        <v>0</v>
      </c>
      <c r="X466" s="17">
        <f>_xlfn.XLOOKUP($B466,'[1]Jul-25'!$A:$A,'[1]Jul-25'!$H:$H,0)</f>
        <v>0</v>
      </c>
      <c r="Y466" s="17">
        <f>_xlfn.XLOOKUP($B466,'[1]Aug-25'!$A:$A,'[1]Aug-25'!$H:$H,0)</f>
        <v>0</v>
      </c>
      <c r="Z466" s="17">
        <f>_xlfn.XLOOKUP($B466,'[1]Sep-25'!$A:$A,'[1]Sep-25'!$H:$H,0)</f>
        <v>0</v>
      </c>
      <c r="AA466" s="17">
        <f>_xlfn.XLOOKUP($B466,'[1]Oct-25'!$A:$A,'[1]Oct-25'!$H:$H,0)</f>
        <v>0</v>
      </c>
      <c r="AB466" s="17">
        <f>_xlfn.XLOOKUP($B466,'[1]Nov-25'!$A:$A,'[1]Nov-25'!$H:$H,0)</f>
        <v>0</v>
      </c>
      <c r="AC466" s="17">
        <f>_xlfn.XLOOKUP($B466,'[1]Dec-25'!$A:$A,'[1]Dec-25'!$H:$H,0)</f>
        <v>0</v>
      </c>
      <c r="AD466" s="17">
        <f>_xlfn.XLOOKUP($B466,'[1]Jan-26'!$A:$A,'[1]Jan-26'!$H:$H,0)</f>
        <v>0</v>
      </c>
      <c r="AE466" s="17">
        <f>_xlfn.XLOOKUP($B466,'[1]Feb-26'!$A:$A,'[1]Feb-26'!$H:$H,0)</f>
        <v>0</v>
      </c>
      <c r="AF466" s="17">
        <f>_xlfn.XLOOKUP($B466,'[1]Mar-26'!$A:$A,'[1]Mar-26'!$H:$H,0)</f>
        <v>0</v>
      </c>
      <c r="AG466" s="17">
        <f>_xlfn.XLOOKUP($B466,'[1]Apr-26'!$A:$A,'[1]Apr-26'!$H:$H,0)</f>
        <v>0</v>
      </c>
    </row>
    <row r="467" spans="1:33" x14ac:dyDescent="0.2">
      <c r="A467" s="58">
        <v>63310</v>
      </c>
      <c r="B467" s="56" t="str">
        <f t="shared" si="13"/>
        <v>63310</v>
      </c>
      <c r="C467" s="57" t="s">
        <v>549</v>
      </c>
      <c r="D467" s="57" t="s">
        <v>387</v>
      </c>
      <c r="E467" s="44" t="s">
        <v>648</v>
      </c>
      <c r="F467" s="17">
        <f>_xlfn.XLOOKUP($B467,'[1]Jan-24'!$A:$A,'[1]Jan-24'!$H:$H,0)</f>
        <v>0</v>
      </c>
      <c r="G467" s="17">
        <f>_xlfn.XLOOKUP($B467,'[1]Feb-24'!$A:$A,'[1]Feb-24'!$H:$H,0)</f>
        <v>0</v>
      </c>
      <c r="H467" s="17">
        <f>_xlfn.XLOOKUP($B467,'[1]Mar-24'!$A:$A,'[1]Mar-24'!$H:$H,0)</f>
        <v>0</v>
      </c>
      <c r="I467" s="17">
        <f>_xlfn.XLOOKUP($B467,'[1]Apr-24'!$A:$A,'[1]Apr-24'!$H:$H,0)</f>
        <v>0</v>
      </c>
      <c r="J467" s="17">
        <f>_xlfn.XLOOKUP($B467,'[1]May-24'!$A:$A,'[1]May-24'!$H:$H,0)</f>
        <v>0</v>
      </c>
      <c r="K467" s="17">
        <f>_xlfn.XLOOKUP($B467,'[1]Jun-24'!$A:$A,'[1]Jun-24'!$H:$H,0)</f>
        <v>0</v>
      </c>
      <c r="L467" s="17">
        <f>_xlfn.XLOOKUP($B467,'[1]Jul-24'!$A:$A,'[1]Jul-24'!$H:$H,0)</f>
        <v>0</v>
      </c>
      <c r="M467" s="17">
        <f>_xlfn.XLOOKUP($B467,'[1]Aug-24'!$A:$A,'[1]Aug-24'!$H:$H,0)</f>
        <v>0</v>
      </c>
      <c r="N467" s="17">
        <f>_xlfn.XLOOKUP($B467,'[1]Sep-24'!$A:$A,'[1]Sep-24'!$H:$H,0)</f>
        <v>0</v>
      </c>
      <c r="O467" s="17">
        <f>_xlfn.XLOOKUP($B467,'[1]Oct-24'!$A:$A,'[1]Oct-24'!$H:$H,0)</f>
        <v>0</v>
      </c>
      <c r="P467" s="17">
        <f>_xlfn.XLOOKUP($B467,'[1]Nov-24'!$A:$A,'[1]Nov-24'!$H:$H,0)</f>
        <v>0</v>
      </c>
      <c r="Q467" s="17">
        <f>_xlfn.XLOOKUP($B467,'[1]Dec-24'!$A:$A,'[1]Dec-24'!$H:$H,0)</f>
        <v>0</v>
      </c>
      <c r="R467" s="17">
        <f>_xlfn.XLOOKUP($B467,'[1]Jan-25'!$A:$A,'[1]Jan-25'!$H:$H,0)</f>
        <v>0</v>
      </c>
      <c r="S467" s="17">
        <f>_xlfn.XLOOKUP($B467,'[1]Feb-25'!$A:$A,'[1]Feb-25'!$H:$H,0)</f>
        <v>0</v>
      </c>
      <c r="T467" s="17">
        <f>_xlfn.XLOOKUP($B467,'[1]Mar-25'!$A:$A,'[1]Mar-25'!$H:$H,0)</f>
        <v>0</v>
      </c>
      <c r="U467" s="17">
        <f>_xlfn.XLOOKUP($B467,'[1]Apr-25'!$A:$A,'[1]Apr-25'!$H:$H,0)</f>
        <v>0</v>
      </c>
      <c r="V467" s="17">
        <f>_xlfn.XLOOKUP($B467,'[1]May-25'!$A:$A,'[1]May-25'!$H:$H,0)</f>
        <v>0</v>
      </c>
      <c r="W467" s="17">
        <f>_xlfn.XLOOKUP($B467,'[1]Jun-25'!$A:$A,'[1]Jun-25'!$H:$H,0)</f>
        <v>0</v>
      </c>
      <c r="X467" s="17">
        <f>_xlfn.XLOOKUP($B467,'[1]Jul-25'!$A:$A,'[1]Jul-25'!$H:$H,0)</f>
        <v>0</v>
      </c>
      <c r="Y467" s="17">
        <f>_xlfn.XLOOKUP($B467,'[1]Aug-25'!$A:$A,'[1]Aug-25'!$H:$H,0)</f>
        <v>0</v>
      </c>
      <c r="Z467" s="17">
        <f>_xlfn.XLOOKUP($B467,'[1]Sep-25'!$A:$A,'[1]Sep-25'!$H:$H,0)</f>
        <v>0</v>
      </c>
      <c r="AA467" s="17">
        <f>_xlfn.XLOOKUP($B467,'[1]Oct-25'!$A:$A,'[1]Oct-25'!$H:$H,0)</f>
        <v>0</v>
      </c>
      <c r="AB467" s="17">
        <f>_xlfn.XLOOKUP($B467,'[1]Nov-25'!$A:$A,'[1]Nov-25'!$H:$H,0)</f>
        <v>0</v>
      </c>
      <c r="AC467" s="17">
        <f>_xlfn.XLOOKUP($B467,'[1]Dec-25'!$A:$A,'[1]Dec-25'!$H:$H,0)</f>
        <v>0</v>
      </c>
      <c r="AD467" s="17">
        <f>_xlfn.XLOOKUP($B467,'[1]Jan-26'!$A:$A,'[1]Jan-26'!$H:$H,0)</f>
        <v>0</v>
      </c>
      <c r="AE467" s="17">
        <f>_xlfn.XLOOKUP($B467,'[1]Feb-26'!$A:$A,'[1]Feb-26'!$H:$H,0)</f>
        <v>0</v>
      </c>
      <c r="AF467" s="17">
        <f>_xlfn.XLOOKUP($B467,'[1]Mar-26'!$A:$A,'[1]Mar-26'!$H:$H,0)</f>
        <v>0</v>
      </c>
      <c r="AG467" s="17">
        <f>_xlfn.XLOOKUP($B467,'[1]Apr-26'!$A:$A,'[1]Apr-26'!$H:$H,0)</f>
        <v>0</v>
      </c>
    </row>
    <row r="468" spans="1:33" x14ac:dyDescent="0.2">
      <c r="A468" s="58">
        <v>63900</v>
      </c>
      <c r="B468" s="56" t="str">
        <f t="shared" si="13"/>
        <v>63900</v>
      </c>
      <c r="C468" s="57" t="s">
        <v>389</v>
      </c>
      <c r="D468" s="57" t="s">
        <v>387</v>
      </c>
      <c r="E468" s="44" t="s">
        <v>649</v>
      </c>
      <c r="F468" s="17">
        <f>_xlfn.XLOOKUP($B468,'[1]Jan-24'!$A:$A,'[1]Jan-24'!$H:$H,0)</f>
        <v>0</v>
      </c>
      <c r="G468" s="17">
        <f>_xlfn.XLOOKUP($B468,'[1]Feb-24'!$A:$A,'[1]Feb-24'!$H:$H,0)</f>
        <v>0</v>
      </c>
      <c r="H468" s="17">
        <f>_xlfn.XLOOKUP($B468,'[1]Mar-24'!$A:$A,'[1]Mar-24'!$H:$H,0)</f>
        <v>0</v>
      </c>
      <c r="I468" s="17">
        <f>_xlfn.XLOOKUP($B468,'[1]Apr-24'!$A:$A,'[1]Apr-24'!$H:$H,0)</f>
        <v>0</v>
      </c>
      <c r="J468" s="17">
        <f>_xlfn.XLOOKUP($B468,'[1]May-24'!$A:$A,'[1]May-24'!$H:$H,0)</f>
        <v>0</v>
      </c>
      <c r="K468" s="17">
        <f>_xlfn.XLOOKUP($B468,'[1]Jun-24'!$A:$A,'[1]Jun-24'!$H:$H,0)</f>
        <v>0</v>
      </c>
      <c r="L468" s="17">
        <f>_xlfn.XLOOKUP($B468,'[1]Jul-24'!$A:$A,'[1]Jul-24'!$H:$H,0)</f>
        <v>0</v>
      </c>
      <c r="M468" s="17">
        <f>_xlfn.XLOOKUP($B468,'[1]Aug-24'!$A:$A,'[1]Aug-24'!$H:$H,0)</f>
        <v>0</v>
      </c>
      <c r="N468" s="17">
        <f>_xlfn.XLOOKUP($B468,'[1]Sep-24'!$A:$A,'[1]Sep-24'!$H:$H,0)</f>
        <v>0</v>
      </c>
      <c r="O468" s="17">
        <f>_xlfn.XLOOKUP($B468,'[1]Oct-24'!$A:$A,'[1]Oct-24'!$H:$H,0)</f>
        <v>0</v>
      </c>
      <c r="P468" s="17">
        <f>_xlfn.XLOOKUP($B468,'[1]Nov-24'!$A:$A,'[1]Nov-24'!$H:$H,0)</f>
        <v>0</v>
      </c>
      <c r="Q468" s="17">
        <f>_xlfn.XLOOKUP($B468,'[1]Dec-24'!$A:$A,'[1]Dec-24'!$H:$H,0)</f>
        <v>0</v>
      </c>
      <c r="R468" s="17">
        <f>_xlfn.XLOOKUP($B468,'[1]Jan-25'!$A:$A,'[1]Jan-25'!$H:$H,0)</f>
        <v>0</v>
      </c>
      <c r="S468" s="17">
        <f>_xlfn.XLOOKUP($B468,'[1]Feb-25'!$A:$A,'[1]Feb-25'!$H:$H,0)</f>
        <v>0</v>
      </c>
      <c r="T468" s="17">
        <f>_xlfn.XLOOKUP($B468,'[1]Mar-25'!$A:$A,'[1]Mar-25'!$H:$H,0)</f>
        <v>0</v>
      </c>
      <c r="U468" s="17">
        <f>_xlfn.XLOOKUP($B468,'[1]Apr-25'!$A:$A,'[1]Apr-25'!$H:$H,0)</f>
        <v>0</v>
      </c>
      <c r="V468" s="17">
        <f>_xlfn.XLOOKUP($B468,'[1]May-25'!$A:$A,'[1]May-25'!$H:$H,0)</f>
        <v>0</v>
      </c>
      <c r="W468" s="17">
        <f>_xlfn.XLOOKUP($B468,'[1]Jun-25'!$A:$A,'[1]Jun-25'!$H:$H,0)</f>
        <v>0</v>
      </c>
      <c r="X468" s="17">
        <f>_xlfn.XLOOKUP($B468,'[1]Jul-25'!$A:$A,'[1]Jul-25'!$H:$H,0)</f>
        <v>0</v>
      </c>
      <c r="Y468" s="17">
        <f>_xlfn.XLOOKUP($B468,'[1]Aug-25'!$A:$A,'[1]Aug-25'!$H:$H,0)</f>
        <v>0</v>
      </c>
      <c r="Z468" s="17">
        <f>_xlfn.XLOOKUP($B468,'[1]Sep-25'!$A:$A,'[1]Sep-25'!$H:$H,0)</f>
        <v>0</v>
      </c>
      <c r="AA468" s="17">
        <f>_xlfn.XLOOKUP($B468,'[1]Oct-25'!$A:$A,'[1]Oct-25'!$H:$H,0)</f>
        <v>0</v>
      </c>
      <c r="AB468" s="17">
        <f>_xlfn.XLOOKUP($B468,'[1]Nov-25'!$A:$A,'[1]Nov-25'!$H:$H,0)</f>
        <v>0</v>
      </c>
      <c r="AC468" s="17">
        <f>_xlfn.XLOOKUP($B468,'[1]Dec-25'!$A:$A,'[1]Dec-25'!$H:$H,0)</f>
        <v>0</v>
      </c>
      <c r="AD468" s="17">
        <f>_xlfn.XLOOKUP($B468,'[1]Jan-26'!$A:$A,'[1]Jan-26'!$H:$H,0)</f>
        <v>0</v>
      </c>
      <c r="AE468" s="17">
        <f>_xlfn.XLOOKUP($B468,'[1]Feb-26'!$A:$A,'[1]Feb-26'!$H:$H,0)</f>
        <v>0</v>
      </c>
      <c r="AF468" s="17">
        <f>_xlfn.XLOOKUP($B468,'[1]Mar-26'!$A:$A,'[1]Mar-26'!$H:$H,0)</f>
        <v>0</v>
      </c>
      <c r="AG468" s="17">
        <f>_xlfn.XLOOKUP($B468,'[1]Apr-26'!$A:$A,'[1]Apr-26'!$H:$H,0)</f>
        <v>0</v>
      </c>
    </row>
    <row r="469" spans="1:33" x14ac:dyDescent="0.2">
      <c r="A469" s="58">
        <v>63901</v>
      </c>
      <c r="B469" s="56" t="str">
        <f t="shared" si="13"/>
        <v>63901</v>
      </c>
      <c r="C469" s="57" t="s">
        <v>389</v>
      </c>
      <c r="D469" s="57" t="s">
        <v>387</v>
      </c>
      <c r="E469" s="44" t="s">
        <v>650</v>
      </c>
      <c r="F469" s="17">
        <f>_xlfn.XLOOKUP($B469,'[1]Jan-24'!$A:$A,'[1]Jan-24'!$H:$H,0)</f>
        <v>0</v>
      </c>
      <c r="G469" s="17">
        <f>_xlfn.XLOOKUP($B469,'[1]Feb-24'!$A:$A,'[1]Feb-24'!$H:$H,0)</f>
        <v>0</v>
      </c>
      <c r="H469" s="17">
        <f>_xlfn.XLOOKUP($B469,'[1]Mar-24'!$A:$A,'[1]Mar-24'!$H:$H,0)</f>
        <v>0</v>
      </c>
      <c r="I469" s="17">
        <f>_xlfn.XLOOKUP($B469,'[1]Apr-24'!$A:$A,'[1]Apr-24'!$H:$H,0)</f>
        <v>0</v>
      </c>
      <c r="J469" s="17">
        <f>_xlfn.XLOOKUP($B469,'[1]May-24'!$A:$A,'[1]May-24'!$H:$H,0)</f>
        <v>0</v>
      </c>
      <c r="K469" s="17">
        <f>_xlfn.XLOOKUP($B469,'[1]Jun-24'!$A:$A,'[1]Jun-24'!$H:$H,0)</f>
        <v>0</v>
      </c>
      <c r="L469" s="17">
        <f>_xlfn.XLOOKUP($B469,'[1]Jul-24'!$A:$A,'[1]Jul-24'!$H:$H,0)</f>
        <v>0</v>
      </c>
      <c r="M469" s="17">
        <f>_xlfn.XLOOKUP($B469,'[1]Aug-24'!$A:$A,'[1]Aug-24'!$H:$H,0)</f>
        <v>0</v>
      </c>
      <c r="N469" s="17">
        <f>_xlfn.XLOOKUP($B469,'[1]Sep-24'!$A:$A,'[1]Sep-24'!$H:$H,0)</f>
        <v>0</v>
      </c>
      <c r="O469" s="17">
        <f>_xlfn.XLOOKUP($B469,'[1]Oct-24'!$A:$A,'[1]Oct-24'!$H:$H,0)</f>
        <v>0</v>
      </c>
      <c r="P469" s="17">
        <f>_xlfn.XLOOKUP($B469,'[1]Nov-24'!$A:$A,'[1]Nov-24'!$H:$H,0)</f>
        <v>0</v>
      </c>
      <c r="Q469" s="17">
        <f>_xlfn.XLOOKUP($B469,'[1]Dec-24'!$A:$A,'[1]Dec-24'!$H:$H,0)</f>
        <v>0</v>
      </c>
      <c r="R469" s="17">
        <f>_xlfn.XLOOKUP($B469,'[1]Jan-25'!$A:$A,'[1]Jan-25'!$H:$H,0)</f>
        <v>0</v>
      </c>
      <c r="S469" s="17">
        <f>_xlfn.XLOOKUP($B469,'[1]Feb-25'!$A:$A,'[1]Feb-25'!$H:$H,0)</f>
        <v>0</v>
      </c>
      <c r="T469" s="17">
        <f>_xlfn.XLOOKUP($B469,'[1]Mar-25'!$A:$A,'[1]Mar-25'!$H:$H,0)</f>
        <v>0</v>
      </c>
      <c r="U469" s="17">
        <f>_xlfn.XLOOKUP($B469,'[1]Apr-25'!$A:$A,'[1]Apr-25'!$H:$H,0)</f>
        <v>0</v>
      </c>
      <c r="V469" s="17">
        <f>_xlfn.XLOOKUP($B469,'[1]May-25'!$A:$A,'[1]May-25'!$H:$H,0)</f>
        <v>0</v>
      </c>
      <c r="W469" s="17">
        <f>_xlfn.XLOOKUP($B469,'[1]Jun-25'!$A:$A,'[1]Jun-25'!$H:$H,0)</f>
        <v>0</v>
      </c>
      <c r="X469" s="17">
        <f>_xlfn.XLOOKUP($B469,'[1]Jul-25'!$A:$A,'[1]Jul-25'!$H:$H,0)</f>
        <v>0</v>
      </c>
      <c r="Y469" s="17">
        <f>_xlfn.XLOOKUP($B469,'[1]Aug-25'!$A:$A,'[1]Aug-25'!$H:$H,0)</f>
        <v>0</v>
      </c>
      <c r="Z469" s="17">
        <f>_xlfn.XLOOKUP($B469,'[1]Sep-25'!$A:$A,'[1]Sep-25'!$H:$H,0)</f>
        <v>0</v>
      </c>
      <c r="AA469" s="17">
        <f>_xlfn.XLOOKUP($B469,'[1]Oct-25'!$A:$A,'[1]Oct-25'!$H:$H,0)</f>
        <v>0</v>
      </c>
      <c r="AB469" s="17">
        <f>_xlfn.XLOOKUP($B469,'[1]Nov-25'!$A:$A,'[1]Nov-25'!$H:$H,0)</f>
        <v>0</v>
      </c>
      <c r="AC469" s="17">
        <f>_xlfn.XLOOKUP($B469,'[1]Dec-25'!$A:$A,'[1]Dec-25'!$H:$H,0)</f>
        <v>0</v>
      </c>
      <c r="AD469" s="17">
        <f>_xlfn.XLOOKUP($B469,'[1]Jan-26'!$A:$A,'[1]Jan-26'!$H:$H,0)</f>
        <v>0</v>
      </c>
      <c r="AE469" s="17">
        <f>_xlfn.XLOOKUP($B469,'[1]Feb-26'!$A:$A,'[1]Feb-26'!$H:$H,0)</f>
        <v>0</v>
      </c>
      <c r="AF469" s="17">
        <f>_xlfn.XLOOKUP($B469,'[1]Mar-26'!$A:$A,'[1]Mar-26'!$H:$H,0)</f>
        <v>0</v>
      </c>
      <c r="AG469" s="17">
        <f>_xlfn.XLOOKUP($B469,'[1]Apr-26'!$A:$A,'[1]Apr-26'!$H:$H,0)</f>
        <v>0</v>
      </c>
    </row>
    <row r="470" spans="1:33" x14ac:dyDescent="0.2">
      <c r="A470" s="58">
        <v>63902</v>
      </c>
      <c r="B470" s="56" t="str">
        <f t="shared" si="13"/>
        <v>63902</v>
      </c>
      <c r="C470" s="57" t="s">
        <v>565</v>
      </c>
      <c r="D470" s="57" t="s">
        <v>387</v>
      </c>
      <c r="E470" s="44" t="s">
        <v>651</v>
      </c>
      <c r="F470" s="17">
        <f>_xlfn.XLOOKUP($B470,'[1]Jan-24'!$A:$A,'[1]Jan-24'!$H:$H,0)</f>
        <v>0</v>
      </c>
      <c r="G470" s="17">
        <f>_xlfn.XLOOKUP($B470,'[1]Feb-24'!$A:$A,'[1]Feb-24'!$H:$H,0)</f>
        <v>0</v>
      </c>
      <c r="H470" s="17">
        <f>_xlfn.XLOOKUP($B470,'[1]Mar-24'!$A:$A,'[1]Mar-24'!$H:$H,0)</f>
        <v>0</v>
      </c>
      <c r="I470" s="17">
        <f>_xlfn.XLOOKUP($B470,'[1]Apr-24'!$A:$A,'[1]Apr-24'!$H:$H,0)</f>
        <v>0</v>
      </c>
      <c r="J470" s="17">
        <f>_xlfn.XLOOKUP($B470,'[1]May-24'!$A:$A,'[1]May-24'!$H:$H,0)</f>
        <v>0</v>
      </c>
      <c r="K470" s="17">
        <f>_xlfn.XLOOKUP($B470,'[1]Jun-24'!$A:$A,'[1]Jun-24'!$H:$H,0)</f>
        <v>0</v>
      </c>
      <c r="L470" s="17">
        <f>_xlfn.XLOOKUP($B470,'[1]Jul-24'!$A:$A,'[1]Jul-24'!$H:$H,0)</f>
        <v>0</v>
      </c>
      <c r="M470" s="17">
        <f>_xlfn.XLOOKUP($B470,'[1]Aug-24'!$A:$A,'[1]Aug-24'!$H:$H,0)</f>
        <v>0</v>
      </c>
      <c r="N470" s="17">
        <f>_xlfn.XLOOKUP($B470,'[1]Sep-24'!$A:$A,'[1]Sep-24'!$H:$H,0)</f>
        <v>0</v>
      </c>
      <c r="O470" s="17">
        <f>_xlfn.XLOOKUP($B470,'[1]Oct-24'!$A:$A,'[1]Oct-24'!$H:$H,0)</f>
        <v>0</v>
      </c>
      <c r="P470" s="17">
        <f>_xlfn.XLOOKUP($B470,'[1]Nov-24'!$A:$A,'[1]Nov-24'!$H:$H,0)</f>
        <v>0</v>
      </c>
      <c r="Q470" s="17">
        <f>_xlfn.XLOOKUP($B470,'[1]Dec-24'!$A:$A,'[1]Dec-24'!$H:$H,0)</f>
        <v>0</v>
      </c>
      <c r="R470" s="17">
        <f>_xlfn.XLOOKUP($B470,'[1]Jan-25'!$A:$A,'[1]Jan-25'!$H:$H,0)</f>
        <v>0</v>
      </c>
      <c r="S470" s="17">
        <f>_xlfn.XLOOKUP($B470,'[1]Feb-25'!$A:$A,'[1]Feb-25'!$H:$H,0)</f>
        <v>0</v>
      </c>
      <c r="T470" s="17">
        <f>_xlfn.XLOOKUP($B470,'[1]Mar-25'!$A:$A,'[1]Mar-25'!$H:$H,0)</f>
        <v>0</v>
      </c>
      <c r="U470" s="17">
        <f>_xlfn.XLOOKUP($B470,'[1]Apr-25'!$A:$A,'[1]Apr-25'!$H:$H,0)</f>
        <v>0</v>
      </c>
      <c r="V470" s="17">
        <f>_xlfn.XLOOKUP($B470,'[1]May-25'!$A:$A,'[1]May-25'!$H:$H,0)</f>
        <v>0</v>
      </c>
      <c r="W470" s="17">
        <f>_xlfn.XLOOKUP($B470,'[1]Jun-25'!$A:$A,'[1]Jun-25'!$H:$H,0)</f>
        <v>0</v>
      </c>
      <c r="X470" s="17">
        <f>_xlfn.XLOOKUP($B470,'[1]Jul-25'!$A:$A,'[1]Jul-25'!$H:$H,0)</f>
        <v>0</v>
      </c>
      <c r="Y470" s="17">
        <f>_xlfn.XLOOKUP($B470,'[1]Aug-25'!$A:$A,'[1]Aug-25'!$H:$H,0)</f>
        <v>0</v>
      </c>
      <c r="Z470" s="17">
        <f>_xlfn.XLOOKUP($B470,'[1]Sep-25'!$A:$A,'[1]Sep-25'!$H:$H,0)</f>
        <v>0</v>
      </c>
      <c r="AA470" s="17">
        <f>_xlfn.XLOOKUP($B470,'[1]Oct-25'!$A:$A,'[1]Oct-25'!$H:$H,0)</f>
        <v>0</v>
      </c>
      <c r="AB470" s="17">
        <f>_xlfn.XLOOKUP($B470,'[1]Nov-25'!$A:$A,'[1]Nov-25'!$H:$H,0)</f>
        <v>0</v>
      </c>
      <c r="AC470" s="17">
        <f>_xlfn.XLOOKUP($B470,'[1]Dec-25'!$A:$A,'[1]Dec-25'!$H:$H,0)</f>
        <v>0</v>
      </c>
      <c r="AD470" s="17">
        <f>_xlfn.XLOOKUP($B470,'[1]Jan-26'!$A:$A,'[1]Jan-26'!$H:$H,0)</f>
        <v>0</v>
      </c>
      <c r="AE470" s="17">
        <f>_xlfn.XLOOKUP($B470,'[1]Feb-26'!$A:$A,'[1]Feb-26'!$H:$H,0)</f>
        <v>0</v>
      </c>
      <c r="AF470" s="17">
        <f>_xlfn.XLOOKUP($B470,'[1]Mar-26'!$A:$A,'[1]Mar-26'!$H:$H,0)</f>
        <v>0</v>
      </c>
      <c r="AG470" s="17">
        <f>_xlfn.XLOOKUP($B470,'[1]Apr-26'!$A:$A,'[1]Apr-26'!$H:$H,0)</f>
        <v>0</v>
      </c>
    </row>
    <row r="471" spans="1:33" x14ac:dyDescent="0.2">
      <c r="A471" s="58">
        <v>63903</v>
      </c>
      <c r="B471" s="56" t="str">
        <f t="shared" si="13"/>
        <v>63903</v>
      </c>
      <c r="C471" s="57" t="s">
        <v>389</v>
      </c>
      <c r="D471" s="57" t="s">
        <v>387</v>
      </c>
      <c r="E471" s="44" t="s">
        <v>652</v>
      </c>
      <c r="F471" s="17">
        <f>_xlfn.XLOOKUP($B471,'[1]Jan-24'!$A:$A,'[1]Jan-24'!$H:$H,0)</f>
        <v>0</v>
      </c>
      <c r="G471" s="17">
        <f>_xlfn.XLOOKUP($B471,'[1]Feb-24'!$A:$A,'[1]Feb-24'!$H:$H,0)</f>
        <v>0</v>
      </c>
      <c r="H471" s="17">
        <f>_xlfn.XLOOKUP($B471,'[1]Mar-24'!$A:$A,'[1]Mar-24'!$H:$H,0)</f>
        <v>0</v>
      </c>
      <c r="I471" s="17">
        <f>_xlfn.XLOOKUP($B471,'[1]Apr-24'!$A:$A,'[1]Apr-24'!$H:$H,0)</f>
        <v>0</v>
      </c>
      <c r="J471" s="17">
        <f>_xlfn.XLOOKUP($B471,'[1]May-24'!$A:$A,'[1]May-24'!$H:$H,0)</f>
        <v>0</v>
      </c>
      <c r="K471" s="17">
        <f>_xlfn.XLOOKUP($B471,'[1]Jun-24'!$A:$A,'[1]Jun-24'!$H:$H,0)</f>
        <v>0</v>
      </c>
      <c r="L471" s="17">
        <f>_xlfn.XLOOKUP($B471,'[1]Jul-24'!$A:$A,'[1]Jul-24'!$H:$H,0)</f>
        <v>0</v>
      </c>
      <c r="M471" s="17">
        <f>_xlfn.XLOOKUP($B471,'[1]Aug-24'!$A:$A,'[1]Aug-24'!$H:$H,0)</f>
        <v>0</v>
      </c>
      <c r="N471" s="17">
        <f>_xlfn.XLOOKUP($B471,'[1]Sep-24'!$A:$A,'[1]Sep-24'!$H:$H,0)</f>
        <v>0</v>
      </c>
      <c r="O471" s="17">
        <f>_xlfn.XLOOKUP($B471,'[1]Oct-24'!$A:$A,'[1]Oct-24'!$H:$H,0)</f>
        <v>0</v>
      </c>
      <c r="P471" s="17">
        <f>_xlfn.XLOOKUP($B471,'[1]Nov-24'!$A:$A,'[1]Nov-24'!$H:$H,0)</f>
        <v>0</v>
      </c>
      <c r="Q471" s="17">
        <f>_xlfn.XLOOKUP($B471,'[1]Dec-24'!$A:$A,'[1]Dec-24'!$H:$H,0)</f>
        <v>0</v>
      </c>
      <c r="R471" s="17">
        <f>_xlfn.XLOOKUP($B471,'[1]Jan-25'!$A:$A,'[1]Jan-25'!$H:$H,0)</f>
        <v>0</v>
      </c>
      <c r="S471" s="17">
        <f>_xlfn.XLOOKUP($B471,'[1]Feb-25'!$A:$A,'[1]Feb-25'!$H:$H,0)</f>
        <v>0</v>
      </c>
      <c r="T471" s="17">
        <f>_xlfn.XLOOKUP($B471,'[1]Mar-25'!$A:$A,'[1]Mar-25'!$H:$H,0)</f>
        <v>0</v>
      </c>
      <c r="U471" s="17">
        <f>_xlfn.XLOOKUP($B471,'[1]Apr-25'!$A:$A,'[1]Apr-25'!$H:$H,0)</f>
        <v>0</v>
      </c>
      <c r="V471" s="17">
        <f>_xlfn.XLOOKUP($B471,'[1]May-25'!$A:$A,'[1]May-25'!$H:$H,0)</f>
        <v>0</v>
      </c>
      <c r="W471" s="17">
        <f>_xlfn.XLOOKUP($B471,'[1]Jun-25'!$A:$A,'[1]Jun-25'!$H:$H,0)</f>
        <v>0</v>
      </c>
      <c r="X471" s="17">
        <f>_xlfn.XLOOKUP($B471,'[1]Jul-25'!$A:$A,'[1]Jul-25'!$H:$H,0)</f>
        <v>0</v>
      </c>
      <c r="Y471" s="17">
        <f>_xlfn.XLOOKUP($B471,'[1]Aug-25'!$A:$A,'[1]Aug-25'!$H:$H,0)</f>
        <v>0</v>
      </c>
      <c r="Z471" s="17">
        <f>_xlfn.XLOOKUP($B471,'[1]Sep-25'!$A:$A,'[1]Sep-25'!$H:$H,0)</f>
        <v>0</v>
      </c>
      <c r="AA471" s="17">
        <f>_xlfn.XLOOKUP($B471,'[1]Oct-25'!$A:$A,'[1]Oct-25'!$H:$H,0)</f>
        <v>0</v>
      </c>
      <c r="AB471" s="17">
        <f>_xlfn.XLOOKUP($B471,'[1]Nov-25'!$A:$A,'[1]Nov-25'!$H:$H,0)</f>
        <v>0</v>
      </c>
      <c r="AC471" s="17">
        <f>_xlfn.XLOOKUP($B471,'[1]Dec-25'!$A:$A,'[1]Dec-25'!$H:$H,0)</f>
        <v>0</v>
      </c>
      <c r="AD471" s="17">
        <f>_xlfn.XLOOKUP($B471,'[1]Jan-26'!$A:$A,'[1]Jan-26'!$H:$H,0)</f>
        <v>0</v>
      </c>
      <c r="AE471" s="17">
        <f>_xlfn.XLOOKUP($B471,'[1]Feb-26'!$A:$A,'[1]Feb-26'!$H:$H,0)</f>
        <v>0</v>
      </c>
      <c r="AF471" s="17">
        <f>_xlfn.XLOOKUP($B471,'[1]Mar-26'!$A:$A,'[1]Mar-26'!$H:$H,0)</f>
        <v>0</v>
      </c>
      <c r="AG471" s="17">
        <f>_xlfn.XLOOKUP($B471,'[1]Apr-26'!$A:$A,'[1]Apr-26'!$H:$H,0)</f>
        <v>0</v>
      </c>
    </row>
    <row r="472" spans="1:33" x14ac:dyDescent="0.2">
      <c r="A472" s="58">
        <v>63904</v>
      </c>
      <c r="B472" s="56" t="str">
        <f t="shared" si="13"/>
        <v>63904</v>
      </c>
      <c r="C472" s="57" t="s">
        <v>389</v>
      </c>
      <c r="D472" s="57" t="s">
        <v>387</v>
      </c>
      <c r="E472" s="44" t="s">
        <v>653</v>
      </c>
      <c r="F472" s="17">
        <f>_xlfn.XLOOKUP($B472,'[1]Jan-24'!$A:$A,'[1]Jan-24'!$H:$H,0)</f>
        <v>0</v>
      </c>
      <c r="G472" s="17">
        <f>_xlfn.XLOOKUP($B472,'[1]Feb-24'!$A:$A,'[1]Feb-24'!$H:$H,0)</f>
        <v>0</v>
      </c>
      <c r="H472" s="17">
        <f>_xlfn.XLOOKUP($B472,'[1]Mar-24'!$A:$A,'[1]Mar-24'!$H:$H,0)</f>
        <v>0</v>
      </c>
      <c r="I472" s="17">
        <f>_xlfn.XLOOKUP($B472,'[1]Apr-24'!$A:$A,'[1]Apr-24'!$H:$H,0)</f>
        <v>0</v>
      </c>
      <c r="J472" s="17">
        <f>_xlfn.XLOOKUP($B472,'[1]May-24'!$A:$A,'[1]May-24'!$H:$H,0)</f>
        <v>0</v>
      </c>
      <c r="K472" s="17">
        <f>_xlfn.XLOOKUP($B472,'[1]Jun-24'!$A:$A,'[1]Jun-24'!$H:$H,0)</f>
        <v>0</v>
      </c>
      <c r="L472" s="17">
        <f>_xlfn.XLOOKUP($B472,'[1]Jul-24'!$A:$A,'[1]Jul-24'!$H:$H,0)</f>
        <v>0</v>
      </c>
      <c r="M472" s="17">
        <f>_xlfn.XLOOKUP($B472,'[1]Aug-24'!$A:$A,'[1]Aug-24'!$H:$H,0)</f>
        <v>0</v>
      </c>
      <c r="N472" s="17">
        <f>_xlfn.XLOOKUP($B472,'[1]Sep-24'!$A:$A,'[1]Sep-24'!$H:$H,0)</f>
        <v>0</v>
      </c>
      <c r="O472" s="17">
        <f>_xlfn.XLOOKUP($B472,'[1]Oct-24'!$A:$A,'[1]Oct-24'!$H:$H,0)</f>
        <v>0</v>
      </c>
      <c r="P472" s="17">
        <f>_xlfn.XLOOKUP($B472,'[1]Nov-24'!$A:$A,'[1]Nov-24'!$H:$H,0)</f>
        <v>0</v>
      </c>
      <c r="Q472" s="17">
        <f>_xlfn.XLOOKUP($B472,'[1]Dec-24'!$A:$A,'[1]Dec-24'!$H:$H,0)</f>
        <v>0</v>
      </c>
      <c r="R472" s="17">
        <f>_xlfn.XLOOKUP($B472,'[1]Jan-25'!$A:$A,'[1]Jan-25'!$H:$H,0)</f>
        <v>0</v>
      </c>
      <c r="S472" s="17">
        <f>_xlfn.XLOOKUP($B472,'[1]Feb-25'!$A:$A,'[1]Feb-25'!$H:$H,0)</f>
        <v>0</v>
      </c>
      <c r="T472" s="17">
        <f>_xlfn.XLOOKUP($B472,'[1]Mar-25'!$A:$A,'[1]Mar-25'!$H:$H,0)</f>
        <v>0</v>
      </c>
      <c r="U472" s="17">
        <f>_xlfn.XLOOKUP($B472,'[1]Apr-25'!$A:$A,'[1]Apr-25'!$H:$H,0)</f>
        <v>0</v>
      </c>
      <c r="V472" s="17">
        <f>_xlfn.XLOOKUP($B472,'[1]May-25'!$A:$A,'[1]May-25'!$H:$H,0)</f>
        <v>0</v>
      </c>
      <c r="W472" s="17">
        <f>_xlfn.XLOOKUP($B472,'[1]Jun-25'!$A:$A,'[1]Jun-25'!$H:$H,0)</f>
        <v>0</v>
      </c>
      <c r="X472" s="17">
        <f>_xlfn.XLOOKUP($B472,'[1]Jul-25'!$A:$A,'[1]Jul-25'!$H:$H,0)</f>
        <v>0</v>
      </c>
      <c r="Y472" s="17">
        <f>_xlfn.XLOOKUP($B472,'[1]Aug-25'!$A:$A,'[1]Aug-25'!$H:$H,0)</f>
        <v>0</v>
      </c>
      <c r="Z472" s="17">
        <f>_xlfn.XLOOKUP($B472,'[1]Sep-25'!$A:$A,'[1]Sep-25'!$H:$H,0)</f>
        <v>0</v>
      </c>
      <c r="AA472" s="17">
        <f>_xlfn.XLOOKUP($B472,'[1]Oct-25'!$A:$A,'[1]Oct-25'!$H:$H,0)</f>
        <v>0</v>
      </c>
      <c r="AB472" s="17">
        <f>_xlfn.XLOOKUP($B472,'[1]Nov-25'!$A:$A,'[1]Nov-25'!$H:$H,0)</f>
        <v>0</v>
      </c>
      <c r="AC472" s="17">
        <f>_xlfn.XLOOKUP($B472,'[1]Dec-25'!$A:$A,'[1]Dec-25'!$H:$H,0)</f>
        <v>0</v>
      </c>
      <c r="AD472" s="17">
        <f>_xlfn.XLOOKUP($B472,'[1]Jan-26'!$A:$A,'[1]Jan-26'!$H:$H,0)</f>
        <v>0</v>
      </c>
      <c r="AE472" s="17">
        <f>_xlfn.XLOOKUP($B472,'[1]Feb-26'!$A:$A,'[1]Feb-26'!$H:$H,0)</f>
        <v>0</v>
      </c>
      <c r="AF472" s="17">
        <f>_xlfn.XLOOKUP($B472,'[1]Mar-26'!$A:$A,'[1]Mar-26'!$H:$H,0)</f>
        <v>0</v>
      </c>
      <c r="AG472" s="17">
        <f>_xlfn.XLOOKUP($B472,'[1]Apr-26'!$A:$A,'[1]Apr-26'!$H:$H,0)</f>
        <v>0</v>
      </c>
    </row>
    <row r="473" spans="1:33" x14ac:dyDescent="0.2">
      <c r="A473" s="58">
        <v>63905</v>
      </c>
      <c r="B473" s="56" t="str">
        <f t="shared" si="13"/>
        <v>63905</v>
      </c>
      <c r="C473" s="57" t="s">
        <v>389</v>
      </c>
      <c r="D473" s="57" t="s">
        <v>387</v>
      </c>
      <c r="E473" s="44" t="s">
        <v>654</v>
      </c>
      <c r="F473" s="17">
        <f>_xlfn.XLOOKUP($B473,'[1]Jan-24'!$A:$A,'[1]Jan-24'!$H:$H,0)</f>
        <v>0</v>
      </c>
      <c r="G473" s="17">
        <f>_xlfn.XLOOKUP($B473,'[1]Feb-24'!$A:$A,'[1]Feb-24'!$H:$H,0)</f>
        <v>0</v>
      </c>
      <c r="H473" s="17">
        <f>_xlfn.XLOOKUP($B473,'[1]Mar-24'!$A:$A,'[1]Mar-24'!$H:$H,0)</f>
        <v>0</v>
      </c>
      <c r="I473" s="17">
        <f>_xlfn.XLOOKUP($B473,'[1]Apr-24'!$A:$A,'[1]Apr-24'!$H:$H,0)</f>
        <v>0</v>
      </c>
      <c r="J473" s="17">
        <f>_xlfn.XLOOKUP($B473,'[1]May-24'!$A:$A,'[1]May-24'!$H:$H,0)</f>
        <v>0</v>
      </c>
      <c r="K473" s="17">
        <f>_xlfn.XLOOKUP($B473,'[1]Jun-24'!$A:$A,'[1]Jun-24'!$H:$H,0)</f>
        <v>0</v>
      </c>
      <c r="L473" s="17">
        <f>_xlfn.XLOOKUP($B473,'[1]Jul-24'!$A:$A,'[1]Jul-24'!$H:$H,0)</f>
        <v>0</v>
      </c>
      <c r="M473" s="17">
        <f>_xlfn.XLOOKUP($B473,'[1]Aug-24'!$A:$A,'[1]Aug-24'!$H:$H,0)</f>
        <v>0</v>
      </c>
      <c r="N473" s="17">
        <f>_xlfn.XLOOKUP($B473,'[1]Sep-24'!$A:$A,'[1]Sep-24'!$H:$H,0)</f>
        <v>0</v>
      </c>
      <c r="O473" s="17">
        <f>_xlfn.XLOOKUP($B473,'[1]Oct-24'!$A:$A,'[1]Oct-24'!$H:$H,0)</f>
        <v>0</v>
      </c>
      <c r="P473" s="17">
        <f>_xlfn.XLOOKUP($B473,'[1]Nov-24'!$A:$A,'[1]Nov-24'!$H:$H,0)</f>
        <v>0</v>
      </c>
      <c r="Q473" s="17">
        <f>_xlfn.XLOOKUP($B473,'[1]Dec-24'!$A:$A,'[1]Dec-24'!$H:$H,0)</f>
        <v>0</v>
      </c>
      <c r="R473" s="17">
        <f>_xlfn.XLOOKUP($B473,'[1]Jan-25'!$A:$A,'[1]Jan-25'!$H:$H,0)</f>
        <v>0</v>
      </c>
      <c r="S473" s="17">
        <f>_xlfn.XLOOKUP($B473,'[1]Feb-25'!$A:$A,'[1]Feb-25'!$H:$H,0)</f>
        <v>0</v>
      </c>
      <c r="T473" s="17">
        <f>_xlfn.XLOOKUP($B473,'[1]Mar-25'!$A:$A,'[1]Mar-25'!$H:$H,0)</f>
        <v>0</v>
      </c>
      <c r="U473" s="17">
        <f>_xlfn.XLOOKUP($B473,'[1]Apr-25'!$A:$A,'[1]Apr-25'!$H:$H,0)</f>
        <v>0</v>
      </c>
      <c r="V473" s="17">
        <f>_xlfn.XLOOKUP($B473,'[1]May-25'!$A:$A,'[1]May-25'!$H:$H,0)</f>
        <v>0</v>
      </c>
      <c r="W473" s="17">
        <f>_xlfn.XLOOKUP($B473,'[1]Jun-25'!$A:$A,'[1]Jun-25'!$H:$H,0)</f>
        <v>0</v>
      </c>
      <c r="X473" s="17">
        <f>_xlfn.XLOOKUP($B473,'[1]Jul-25'!$A:$A,'[1]Jul-25'!$H:$H,0)</f>
        <v>0</v>
      </c>
      <c r="Y473" s="17">
        <f>_xlfn.XLOOKUP($B473,'[1]Aug-25'!$A:$A,'[1]Aug-25'!$H:$H,0)</f>
        <v>0</v>
      </c>
      <c r="Z473" s="17">
        <f>_xlfn.XLOOKUP($B473,'[1]Sep-25'!$A:$A,'[1]Sep-25'!$H:$H,0)</f>
        <v>0</v>
      </c>
      <c r="AA473" s="17">
        <f>_xlfn.XLOOKUP($B473,'[1]Oct-25'!$A:$A,'[1]Oct-25'!$H:$H,0)</f>
        <v>0</v>
      </c>
      <c r="AB473" s="17">
        <f>_xlfn.XLOOKUP($B473,'[1]Nov-25'!$A:$A,'[1]Nov-25'!$H:$H,0)</f>
        <v>0</v>
      </c>
      <c r="AC473" s="17">
        <f>_xlfn.XLOOKUP($B473,'[1]Dec-25'!$A:$A,'[1]Dec-25'!$H:$H,0)</f>
        <v>0</v>
      </c>
      <c r="AD473" s="17">
        <f>_xlfn.XLOOKUP($B473,'[1]Jan-26'!$A:$A,'[1]Jan-26'!$H:$H,0)</f>
        <v>0</v>
      </c>
      <c r="AE473" s="17">
        <f>_xlfn.XLOOKUP($B473,'[1]Feb-26'!$A:$A,'[1]Feb-26'!$H:$H,0)</f>
        <v>0</v>
      </c>
      <c r="AF473" s="17">
        <f>_xlfn.XLOOKUP($B473,'[1]Mar-26'!$A:$A,'[1]Mar-26'!$H:$H,0)</f>
        <v>0</v>
      </c>
      <c r="AG473" s="17">
        <f>_xlfn.XLOOKUP($B473,'[1]Apr-26'!$A:$A,'[1]Apr-26'!$H:$H,0)</f>
        <v>0</v>
      </c>
    </row>
    <row r="474" spans="1:33" x14ac:dyDescent="0.2">
      <c r="A474" s="58">
        <v>63906</v>
      </c>
      <c r="B474" s="56" t="str">
        <f t="shared" si="13"/>
        <v>63906</v>
      </c>
      <c r="C474" s="57" t="s">
        <v>389</v>
      </c>
      <c r="D474" s="57" t="s">
        <v>387</v>
      </c>
      <c r="E474" s="44" t="s">
        <v>655</v>
      </c>
      <c r="F474" s="17">
        <f>_xlfn.XLOOKUP($B474,'[1]Jan-24'!$A:$A,'[1]Jan-24'!$H:$H,0)</f>
        <v>0</v>
      </c>
      <c r="G474" s="17">
        <f>_xlfn.XLOOKUP($B474,'[1]Feb-24'!$A:$A,'[1]Feb-24'!$H:$H,0)</f>
        <v>0</v>
      </c>
      <c r="H474" s="17">
        <f>_xlfn.XLOOKUP($B474,'[1]Mar-24'!$A:$A,'[1]Mar-24'!$H:$H,0)</f>
        <v>0</v>
      </c>
      <c r="I474" s="17">
        <f>_xlfn.XLOOKUP($B474,'[1]Apr-24'!$A:$A,'[1]Apr-24'!$H:$H,0)</f>
        <v>0</v>
      </c>
      <c r="J474" s="17">
        <f>_xlfn.XLOOKUP($B474,'[1]May-24'!$A:$A,'[1]May-24'!$H:$H,0)</f>
        <v>0</v>
      </c>
      <c r="K474" s="17">
        <f>_xlfn.XLOOKUP($B474,'[1]Jun-24'!$A:$A,'[1]Jun-24'!$H:$H,0)</f>
        <v>0</v>
      </c>
      <c r="L474" s="17">
        <f>_xlfn.XLOOKUP($B474,'[1]Jul-24'!$A:$A,'[1]Jul-24'!$H:$H,0)</f>
        <v>0</v>
      </c>
      <c r="M474" s="17">
        <f>_xlfn.XLOOKUP($B474,'[1]Aug-24'!$A:$A,'[1]Aug-24'!$H:$H,0)</f>
        <v>0</v>
      </c>
      <c r="N474" s="17">
        <f>_xlfn.XLOOKUP($B474,'[1]Sep-24'!$A:$A,'[1]Sep-24'!$H:$H,0)</f>
        <v>0</v>
      </c>
      <c r="O474" s="17">
        <f>_xlfn.XLOOKUP($B474,'[1]Oct-24'!$A:$A,'[1]Oct-24'!$H:$H,0)</f>
        <v>0</v>
      </c>
      <c r="P474" s="17">
        <f>_xlfn.XLOOKUP($B474,'[1]Nov-24'!$A:$A,'[1]Nov-24'!$H:$H,0)</f>
        <v>0</v>
      </c>
      <c r="Q474" s="17">
        <f>_xlfn.XLOOKUP($B474,'[1]Dec-24'!$A:$A,'[1]Dec-24'!$H:$H,0)</f>
        <v>0</v>
      </c>
      <c r="R474" s="17">
        <f>_xlfn.XLOOKUP($B474,'[1]Jan-25'!$A:$A,'[1]Jan-25'!$H:$H,0)</f>
        <v>0</v>
      </c>
      <c r="S474" s="17">
        <f>_xlfn.XLOOKUP($B474,'[1]Feb-25'!$A:$A,'[1]Feb-25'!$H:$H,0)</f>
        <v>0</v>
      </c>
      <c r="T474" s="17">
        <f>_xlfn.XLOOKUP($B474,'[1]Mar-25'!$A:$A,'[1]Mar-25'!$H:$H,0)</f>
        <v>0</v>
      </c>
      <c r="U474" s="17">
        <f>_xlfn.XLOOKUP($B474,'[1]Apr-25'!$A:$A,'[1]Apr-25'!$H:$H,0)</f>
        <v>0</v>
      </c>
      <c r="V474" s="17">
        <f>_xlfn.XLOOKUP($B474,'[1]May-25'!$A:$A,'[1]May-25'!$H:$H,0)</f>
        <v>0</v>
      </c>
      <c r="W474" s="17">
        <f>_xlfn.XLOOKUP($B474,'[1]Jun-25'!$A:$A,'[1]Jun-25'!$H:$H,0)</f>
        <v>0</v>
      </c>
      <c r="X474" s="17">
        <f>_xlfn.XLOOKUP($B474,'[1]Jul-25'!$A:$A,'[1]Jul-25'!$H:$H,0)</f>
        <v>0</v>
      </c>
      <c r="Y474" s="17">
        <f>_xlfn.XLOOKUP($B474,'[1]Aug-25'!$A:$A,'[1]Aug-25'!$H:$H,0)</f>
        <v>0</v>
      </c>
      <c r="Z474" s="17">
        <f>_xlfn.XLOOKUP($B474,'[1]Sep-25'!$A:$A,'[1]Sep-25'!$H:$H,0)</f>
        <v>0</v>
      </c>
      <c r="AA474" s="17">
        <f>_xlfn.XLOOKUP($B474,'[1]Oct-25'!$A:$A,'[1]Oct-25'!$H:$H,0)</f>
        <v>0</v>
      </c>
      <c r="AB474" s="17">
        <f>_xlfn.XLOOKUP($B474,'[1]Nov-25'!$A:$A,'[1]Nov-25'!$H:$H,0)</f>
        <v>0</v>
      </c>
      <c r="AC474" s="17">
        <f>_xlfn.XLOOKUP($B474,'[1]Dec-25'!$A:$A,'[1]Dec-25'!$H:$H,0)</f>
        <v>0</v>
      </c>
      <c r="AD474" s="17">
        <f>_xlfn.XLOOKUP($B474,'[1]Jan-26'!$A:$A,'[1]Jan-26'!$H:$H,0)</f>
        <v>0</v>
      </c>
      <c r="AE474" s="17">
        <f>_xlfn.XLOOKUP($B474,'[1]Feb-26'!$A:$A,'[1]Feb-26'!$H:$H,0)</f>
        <v>0</v>
      </c>
      <c r="AF474" s="17">
        <f>_xlfn.XLOOKUP($B474,'[1]Mar-26'!$A:$A,'[1]Mar-26'!$H:$H,0)</f>
        <v>0</v>
      </c>
      <c r="AG474" s="17">
        <f>_xlfn.XLOOKUP($B474,'[1]Apr-26'!$A:$A,'[1]Apr-26'!$H:$H,0)</f>
        <v>0</v>
      </c>
    </row>
    <row r="475" spans="1:33" x14ac:dyDescent="0.2">
      <c r="A475" s="58">
        <v>63907</v>
      </c>
      <c r="B475" s="56" t="str">
        <f t="shared" si="13"/>
        <v>63907</v>
      </c>
      <c r="C475" s="57" t="s">
        <v>565</v>
      </c>
      <c r="D475" s="57" t="s">
        <v>387</v>
      </c>
      <c r="E475" s="44" t="s">
        <v>656</v>
      </c>
      <c r="F475" s="17">
        <f>_xlfn.XLOOKUP($B475,'[1]Jan-24'!$A:$A,'[1]Jan-24'!$H:$H,0)</f>
        <v>9434000</v>
      </c>
      <c r="G475" s="17">
        <f>_xlfn.XLOOKUP($B475,'[1]Feb-24'!$A:$A,'[1]Feb-24'!$H:$H,0)</f>
        <v>9450000</v>
      </c>
      <c r="H475" s="17">
        <f>_xlfn.XLOOKUP($B475,'[1]Mar-24'!$A:$A,'[1]Mar-24'!$H:$H,0)</f>
        <v>9450000</v>
      </c>
      <c r="I475" s="17">
        <f>_xlfn.XLOOKUP($B475,'[1]Apr-24'!$A:$A,'[1]Apr-24'!$H:$H,0)</f>
        <v>19440963.999999996</v>
      </c>
      <c r="J475" s="17">
        <f>_xlfn.XLOOKUP($B475,'[1]May-24'!$A:$A,'[1]May-24'!$H:$H,0)</f>
        <v>47575068.5</v>
      </c>
      <c r="K475" s="17">
        <f>_xlfn.XLOOKUP($B475,'[1]Jun-24'!$A:$A,'[1]Jun-24'!$H:$H,0)</f>
        <v>18802770</v>
      </c>
      <c r="L475" s="17">
        <f>_xlfn.XLOOKUP($B475,'[1]Jul-24'!$A:$A,'[1]Jul-24'!$H:$H,0)</f>
        <v>22374292.5</v>
      </c>
      <c r="M475" s="17">
        <f>_xlfn.XLOOKUP($B475,'[1]Aug-24'!$A:$A,'[1]Aug-24'!$H:$H,0)</f>
        <v>22120651.879999999</v>
      </c>
      <c r="N475" s="17">
        <f>_xlfn.XLOOKUP($B475,'[1]Sep-24'!$A:$A,'[1]Sep-24'!$H:$H,0)</f>
        <v>12676913</v>
      </c>
      <c r="O475" s="17">
        <f>_xlfn.XLOOKUP($B475,'[1]Oct-24'!$A:$A,'[1]Oct-24'!$H:$H,0)</f>
        <v>23252776</v>
      </c>
      <c r="P475" s="17">
        <f>_xlfn.XLOOKUP($B475,'[1]Nov-24'!$A:$A,'[1]Nov-24'!$H:$H,0)</f>
        <v>23720918</v>
      </c>
      <c r="Q475" s="17">
        <f>_xlfn.XLOOKUP($B475,'[1]Dec-24'!$A:$A,'[1]Dec-24'!$H:$H,0)</f>
        <v>49411607</v>
      </c>
      <c r="R475" s="17">
        <f>_xlfn.XLOOKUP($B475,'[1]Jan-25'!$A:$A,'[1]Jan-25'!$H:$H,0)</f>
        <v>21591707.809999999</v>
      </c>
      <c r="S475" s="17">
        <f>_xlfn.XLOOKUP($B475,'[1]Feb-25'!$A:$A,'[1]Feb-25'!$H:$H,0)</f>
        <v>20902469.5</v>
      </c>
      <c r="T475" s="17">
        <f>_xlfn.XLOOKUP($B475,'[1]Mar-25'!$A:$A,'[1]Mar-25'!$H:$H,0)</f>
        <v>25412742.34</v>
      </c>
      <c r="U475" s="17">
        <f>_xlfn.XLOOKUP($B475,'[1]Apr-25'!$A:$A,'[1]Apr-25'!$H:$H,0)</f>
        <v>22352325.960000001</v>
      </c>
      <c r="V475" s="17">
        <f>_xlfn.XLOOKUP($B475,'[1]May-25'!$A:$A,'[1]May-25'!$H:$H,0)</f>
        <v>71606730.529999971</v>
      </c>
      <c r="W475" s="17">
        <f>_xlfn.XLOOKUP($B475,'[1]Jun-25'!$A:$A,'[1]Jun-25'!$H:$H,0)</f>
        <v>21550549.760000002</v>
      </c>
      <c r="X475" s="17">
        <f>_xlfn.XLOOKUP($B475,'[1]Jul-25'!$A:$A,'[1]Jul-25'!$H:$H,0)</f>
        <v>21322492.370000001</v>
      </c>
      <c r="Y475" s="17">
        <f>_xlfn.XLOOKUP($B475,'[1]Aug-25'!$A:$A,'[1]Aug-25'!$H:$H,0)</f>
        <v>23074878.400000002</v>
      </c>
      <c r="Z475" s="17">
        <f>_xlfn.XLOOKUP($B475,'[1]Sep-25'!$A:$A,'[1]Sep-25'!$H:$H,0)</f>
        <v>79629030.950000003</v>
      </c>
      <c r="AA475" s="17">
        <f>_xlfn.XLOOKUP($B475,'[1]Oct-25'!$A:$A,'[1]Oct-25'!$H:$H,0)</f>
        <v>21851936.370000001</v>
      </c>
      <c r="AB475" s="17">
        <f>_xlfn.XLOOKUP($B475,'[1]Nov-25'!$A:$A,'[1]Nov-25'!$H:$H,0)</f>
        <v>25581814.32</v>
      </c>
      <c r="AC475" s="17">
        <f>_xlfn.XLOOKUP($B475,'[1]Dec-25'!$A:$A,'[1]Dec-25'!$H:$H,0)</f>
        <v>38437401.560000002</v>
      </c>
      <c r="AD475" s="17">
        <f>_xlfn.XLOOKUP($B475,'[1]Jan-26'!$A:$A,'[1]Jan-26'!$H:$H,0)</f>
        <v>24717484.59</v>
      </c>
      <c r="AE475" s="17">
        <f>_xlfn.XLOOKUP($B475,'[1]Feb-26'!$A:$A,'[1]Feb-26'!$H:$H,0)</f>
        <v>24122436.350000001</v>
      </c>
      <c r="AF475" s="17">
        <f>_xlfn.XLOOKUP($B475,'[1]Mar-26'!$A:$A,'[1]Mar-26'!$H:$H,0)</f>
        <v>24406827.989999998</v>
      </c>
      <c r="AG475" s="17">
        <f>_xlfn.XLOOKUP($B475,'[1]Apr-26'!$A:$A,'[1]Apr-26'!$H:$H,0)</f>
        <v>23809649.649999999</v>
      </c>
    </row>
    <row r="476" spans="1:33" x14ac:dyDescent="0.2">
      <c r="A476" s="58">
        <v>63908</v>
      </c>
      <c r="B476" s="56" t="str">
        <f t="shared" si="13"/>
        <v>63908</v>
      </c>
      <c r="C476" s="57" t="s">
        <v>389</v>
      </c>
      <c r="D476" s="57" t="s">
        <v>387</v>
      </c>
      <c r="E476" s="44" t="s">
        <v>657</v>
      </c>
      <c r="F476" s="17">
        <f>_xlfn.XLOOKUP($B476,'[1]Jan-24'!$A:$A,'[1]Jan-24'!$H:$H,0)</f>
        <v>0</v>
      </c>
      <c r="G476" s="17">
        <f>_xlfn.XLOOKUP($B476,'[1]Feb-24'!$A:$A,'[1]Feb-24'!$H:$H,0)</f>
        <v>0</v>
      </c>
      <c r="H476" s="17">
        <f>_xlfn.XLOOKUP($B476,'[1]Mar-24'!$A:$A,'[1]Mar-24'!$H:$H,0)</f>
        <v>0</v>
      </c>
      <c r="I476" s="17">
        <f>_xlfn.XLOOKUP($B476,'[1]Apr-24'!$A:$A,'[1]Apr-24'!$H:$H,0)</f>
        <v>0</v>
      </c>
      <c r="J476" s="17">
        <f>_xlfn.XLOOKUP($B476,'[1]May-24'!$A:$A,'[1]May-24'!$H:$H,0)</f>
        <v>0</v>
      </c>
      <c r="K476" s="17">
        <f>_xlfn.XLOOKUP($B476,'[1]Jun-24'!$A:$A,'[1]Jun-24'!$H:$H,0)</f>
        <v>0</v>
      </c>
      <c r="L476" s="17">
        <f>_xlfn.XLOOKUP($B476,'[1]Jul-24'!$A:$A,'[1]Jul-24'!$H:$H,0)</f>
        <v>0</v>
      </c>
      <c r="M476" s="17">
        <f>_xlfn.XLOOKUP($B476,'[1]Aug-24'!$A:$A,'[1]Aug-24'!$H:$H,0)</f>
        <v>0</v>
      </c>
      <c r="N476" s="17">
        <f>_xlfn.XLOOKUP($B476,'[1]Sep-24'!$A:$A,'[1]Sep-24'!$H:$H,0)</f>
        <v>0</v>
      </c>
      <c r="O476" s="17">
        <f>_xlfn.XLOOKUP($B476,'[1]Oct-24'!$A:$A,'[1]Oct-24'!$H:$H,0)</f>
        <v>0</v>
      </c>
      <c r="P476" s="17">
        <f>_xlfn.XLOOKUP($B476,'[1]Nov-24'!$A:$A,'[1]Nov-24'!$H:$H,0)</f>
        <v>0</v>
      </c>
      <c r="Q476" s="17">
        <f>_xlfn.XLOOKUP($B476,'[1]Dec-24'!$A:$A,'[1]Dec-24'!$H:$H,0)</f>
        <v>0</v>
      </c>
      <c r="R476" s="17">
        <f>_xlfn.XLOOKUP($B476,'[1]Jan-25'!$A:$A,'[1]Jan-25'!$H:$H,0)</f>
        <v>0</v>
      </c>
      <c r="S476" s="17">
        <f>_xlfn.XLOOKUP($B476,'[1]Feb-25'!$A:$A,'[1]Feb-25'!$H:$H,0)</f>
        <v>0</v>
      </c>
      <c r="T476" s="17">
        <f>_xlfn.XLOOKUP($B476,'[1]Mar-25'!$A:$A,'[1]Mar-25'!$H:$H,0)</f>
        <v>0</v>
      </c>
      <c r="U476" s="17">
        <f>_xlfn.XLOOKUP($B476,'[1]Apr-25'!$A:$A,'[1]Apr-25'!$H:$H,0)</f>
        <v>0</v>
      </c>
      <c r="V476" s="17">
        <f>_xlfn.XLOOKUP($B476,'[1]May-25'!$A:$A,'[1]May-25'!$H:$H,0)</f>
        <v>0</v>
      </c>
      <c r="W476" s="17">
        <f>_xlfn.XLOOKUP($B476,'[1]Jun-25'!$A:$A,'[1]Jun-25'!$H:$H,0)</f>
        <v>0</v>
      </c>
      <c r="X476" s="17">
        <f>_xlfn.XLOOKUP($B476,'[1]Jul-25'!$A:$A,'[1]Jul-25'!$H:$H,0)</f>
        <v>0</v>
      </c>
      <c r="Y476" s="17">
        <f>_xlfn.XLOOKUP($B476,'[1]Aug-25'!$A:$A,'[1]Aug-25'!$H:$H,0)</f>
        <v>0</v>
      </c>
      <c r="Z476" s="17">
        <f>_xlfn.XLOOKUP($B476,'[1]Sep-25'!$A:$A,'[1]Sep-25'!$H:$H,0)</f>
        <v>0</v>
      </c>
      <c r="AA476" s="17">
        <f>_xlfn.XLOOKUP($B476,'[1]Oct-25'!$A:$A,'[1]Oct-25'!$H:$H,0)</f>
        <v>0</v>
      </c>
      <c r="AB476" s="17">
        <f>_xlfn.XLOOKUP($B476,'[1]Nov-25'!$A:$A,'[1]Nov-25'!$H:$H,0)</f>
        <v>0</v>
      </c>
      <c r="AC476" s="17">
        <f>_xlfn.XLOOKUP($B476,'[1]Dec-25'!$A:$A,'[1]Dec-25'!$H:$H,0)</f>
        <v>0</v>
      </c>
      <c r="AD476" s="17">
        <f>_xlfn.XLOOKUP($B476,'[1]Jan-26'!$A:$A,'[1]Jan-26'!$H:$H,0)</f>
        <v>0</v>
      </c>
      <c r="AE476" s="17">
        <f>_xlfn.XLOOKUP($B476,'[1]Feb-26'!$A:$A,'[1]Feb-26'!$H:$H,0)</f>
        <v>0</v>
      </c>
      <c r="AF476" s="17">
        <f>_xlfn.XLOOKUP($B476,'[1]Mar-26'!$A:$A,'[1]Mar-26'!$H:$H,0)</f>
        <v>0</v>
      </c>
      <c r="AG476" s="17">
        <f>_xlfn.XLOOKUP($B476,'[1]Apr-26'!$A:$A,'[1]Apr-26'!$H:$H,0)</f>
        <v>0</v>
      </c>
    </row>
    <row r="477" spans="1:33" x14ac:dyDescent="0.2">
      <c r="A477" s="58">
        <v>63909</v>
      </c>
      <c r="B477" s="56" t="str">
        <f t="shared" si="13"/>
        <v>63909</v>
      </c>
      <c r="C477" s="57" t="s">
        <v>389</v>
      </c>
      <c r="D477" s="57" t="s">
        <v>387</v>
      </c>
      <c r="E477" s="44" t="s">
        <v>658</v>
      </c>
      <c r="F477" s="17">
        <f>_xlfn.XLOOKUP($B477,'[1]Jan-24'!$A:$A,'[1]Jan-24'!$H:$H,0)</f>
        <v>0</v>
      </c>
      <c r="G477" s="17">
        <f>_xlfn.XLOOKUP($B477,'[1]Feb-24'!$A:$A,'[1]Feb-24'!$H:$H,0)</f>
        <v>0</v>
      </c>
      <c r="H477" s="17">
        <f>_xlfn.XLOOKUP($B477,'[1]Mar-24'!$A:$A,'[1]Mar-24'!$H:$H,0)</f>
        <v>0</v>
      </c>
      <c r="I477" s="17">
        <f>_xlfn.XLOOKUP($B477,'[1]Apr-24'!$A:$A,'[1]Apr-24'!$H:$H,0)</f>
        <v>0</v>
      </c>
      <c r="J477" s="17">
        <f>_xlfn.XLOOKUP($B477,'[1]May-24'!$A:$A,'[1]May-24'!$H:$H,0)</f>
        <v>0</v>
      </c>
      <c r="K477" s="17">
        <f>_xlfn.XLOOKUP($B477,'[1]Jun-24'!$A:$A,'[1]Jun-24'!$H:$H,0)</f>
        <v>0</v>
      </c>
      <c r="L477" s="17">
        <f>_xlfn.XLOOKUP($B477,'[1]Jul-24'!$A:$A,'[1]Jul-24'!$H:$H,0)</f>
        <v>0</v>
      </c>
      <c r="M477" s="17">
        <f>_xlfn.XLOOKUP($B477,'[1]Aug-24'!$A:$A,'[1]Aug-24'!$H:$H,0)</f>
        <v>0</v>
      </c>
      <c r="N477" s="17">
        <f>_xlfn.XLOOKUP($B477,'[1]Sep-24'!$A:$A,'[1]Sep-24'!$H:$H,0)</f>
        <v>0</v>
      </c>
      <c r="O477" s="17">
        <f>_xlfn.XLOOKUP($B477,'[1]Oct-24'!$A:$A,'[1]Oct-24'!$H:$H,0)</f>
        <v>0</v>
      </c>
      <c r="P477" s="17">
        <f>_xlfn.XLOOKUP($B477,'[1]Nov-24'!$A:$A,'[1]Nov-24'!$H:$H,0)</f>
        <v>0</v>
      </c>
      <c r="Q477" s="17">
        <f>_xlfn.XLOOKUP($B477,'[1]Dec-24'!$A:$A,'[1]Dec-24'!$H:$H,0)</f>
        <v>0</v>
      </c>
      <c r="R477" s="17">
        <f>_xlfn.XLOOKUP($B477,'[1]Jan-25'!$A:$A,'[1]Jan-25'!$H:$H,0)</f>
        <v>0</v>
      </c>
      <c r="S477" s="17">
        <f>_xlfn.XLOOKUP($B477,'[1]Feb-25'!$A:$A,'[1]Feb-25'!$H:$H,0)</f>
        <v>0</v>
      </c>
      <c r="T477" s="17">
        <f>_xlfn.XLOOKUP($B477,'[1]Mar-25'!$A:$A,'[1]Mar-25'!$H:$H,0)</f>
        <v>0</v>
      </c>
      <c r="U477" s="17">
        <f>_xlfn.XLOOKUP($B477,'[1]Apr-25'!$A:$A,'[1]Apr-25'!$H:$H,0)</f>
        <v>0</v>
      </c>
      <c r="V477" s="17">
        <f>_xlfn.XLOOKUP($B477,'[1]May-25'!$A:$A,'[1]May-25'!$H:$H,0)</f>
        <v>0</v>
      </c>
      <c r="W477" s="17">
        <f>_xlfn.XLOOKUP($B477,'[1]Jun-25'!$A:$A,'[1]Jun-25'!$H:$H,0)</f>
        <v>0</v>
      </c>
      <c r="X477" s="17">
        <f>_xlfn.XLOOKUP($B477,'[1]Jul-25'!$A:$A,'[1]Jul-25'!$H:$H,0)</f>
        <v>0</v>
      </c>
      <c r="Y477" s="17">
        <f>_xlfn.XLOOKUP($B477,'[1]Aug-25'!$A:$A,'[1]Aug-25'!$H:$H,0)</f>
        <v>0</v>
      </c>
      <c r="Z477" s="17">
        <f>_xlfn.XLOOKUP($B477,'[1]Sep-25'!$A:$A,'[1]Sep-25'!$H:$H,0)</f>
        <v>0</v>
      </c>
      <c r="AA477" s="17">
        <f>_xlfn.XLOOKUP($B477,'[1]Oct-25'!$A:$A,'[1]Oct-25'!$H:$H,0)</f>
        <v>0</v>
      </c>
      <c r="AB477" s="17">
        <f>_xlfn.XLOOKUP($B477,'[1]Nov-25'!$A:$A,'[1]Nov-25'!$H:$H,0)</f>
        <v>0</v>
      </c>
      <c r="AC477" s="17">
        <f>_xlfn.XLOOKUP($B477,'[1]Dec-25'!$A:$A,'[1]Dec-25'!$H:$H,0)</f>
        <v>0</v>
      </c>
      <c r="AD477" s="17">
        <f>_xlfn.XLOOKUP($B477,'[1]Jan-26'!$A:$A,'[1]Jan-26'!$H:$H,0)</f>
        <v>0</v>
      </c>
      <c r="AE477" s="17">
        <f>_xlfn.XLOOKUP($B477,'[1]Feb-26'!$A:$A,'[1]Feb-26'!$H:$H,0)</f>
        <v>0</v>
      </c>
      <c r="AF477" s="17">
        <f>_xlfn.XLOOKUP($B477,'[1]Mar-26'!$A:$A,'[1]Mar-26'!$H:$H,0)</f>
        <v>0</v>
      </c>
      <c r="AG477" s="17">
        <f>_xlfn.XLOOKUP($B477,'[1]Apr-26'!$A:$A,'[1]Apr-26'!$H:$H,0)</f>
        <v>0</v>
      </c>
    </row>
    <row r="478" spans="1:33" x14ac:dyDescent="0.2">
      <c r="A478" s="58">
        <v>63910</v>
      </c>
      <c r="B478" s="56" t="str">
        <f t="shared" si="13"/>
        <v>63910</v>
      </c>
      <c r="C478" s="57" t="s">
        <v>565</v>
      </c>
      <c r="D478" s="57" t="s">
        <v>387</v>
      </c>
      <c r="E478" s="44" t="s">
        <v>659</v>
      </c>
      <c r="F478" s="17">
        <f>_xlfn.XLOOKUP($B478,'[1]Jan-24'!$A:$A,'[1]Jan-24'!$H:$H,0)</f>
        <v>0</v>
      </c>
      <c r="G478" s="17">
        <f>_xlfn.XLOOKUP($B478,'[1]Feb-24'!$A:$A,'[1]Feb-24'!$H:$H,0)</f>
        <v>0</v>
      </c>
      <c r="H478" s="17">
        <f>_xlfn.XLOOKUP($B478,'[1]Mar-24'!$A:$A,'[1]Mar-24'!$H:$H,0)</f>
        <v>0</v>
      </c>
      <c r="I478" s="17">
        <f>_xlfn.XLOOKUP($B478,'[1]Apr-24'!$A:$A,'[1]Apr-24'!$H:$H,0)</f>
        <v>0</v>
      </c>
      <c r="J478" s="17">
        <f>_xlfn.XLOOKUP($B478,'[1]May-24'!$A:$A,'[1]May-24'!$H:$H,0)</f>
        <v>3666218.5</v>
      </c>
      <c r="K478" s="17">
        <f>_xlfn.XLOOKUP($B478,'[1]Jun-24'!$A:$A,'[1]Jun-24'!$H:$H,0)</f>
        <v>0</v>
      </c>
      <c r="L478" s="17">
        <f>_xlfn.XLOOKUP($B478,'[1]Jul-24'!$A:$A,'[1]Jul-24'!$H:$H,0)</f>
        <v>0</v>
      </c>
      <c r="M478" s="17">
        <f>_xlfn.XLOOKUP($B478,'[1]Aug-24'!$A:$A,'[1]Aug-24'!$H:$H,0)</f>
        <v>0</v>
      </c>
      <c r="N478" s="17">
        <f>_xlfn.XLOOKUP($B478,'[1]Sep-24'!$A:$A,'[1]Sep-24'!$H:$H,0)</f>
        <v>13580204.83</v>
      </c>
      <c r="O478" s="17">
        <f>_xlfn.XLOOKUP($B478,'[1]Oct-24'!$A:$A,'[1]Oct-24'!$H:$H,0)</f>
        <v>0</v>
      </c>
      <c r="P478" s="17">
        <f>_xlfn.XLOOKUP($B478,'[1]Nov-24'!$A:$A,'[1]Nov-24'!$H:$H,0)</f>
        <v>0</v>
      </c>
      <c r="Q478" s="17">
        <f>_xlfn.XLOOKUP($B478,'[1]Dec-24'!$A:$A,'[1]Dec-24'!$H:$H,0)</f>
        <v>0</v>
      </c>
      <c r="R478" s="17">
        <f>_xlfn.XLOOKUP($B478,'[1]Jan-25'!$A:$A,'[1]Jan-25'!$H:$H,0)</f>
        <v>0</v>
      </c>
      <c r="S478" s="17">
        <f>_xlfn.XLOOKUP($B478,'[1]Feb-25'!$A:$A,'[1]Feb-25'!$H:$H,0)</f>
        <v>0</v>
      </c>
      <c r="T478" s="17">
        <f>_xlfn.XLOOKUP($B478,'[1]Mar-25'!$A:$A,'[1]Mar-25'!$H:$H,0)</f>
        <v>0</v>
      </c>
      <c r="U478" s="17">
        <f>_xlfn.XLOOKUP($B478,'[1]Apr-25'!$A:$A,'[1]Apr-25'!$H:$H,0)</f>
        <v>0</v>
      </c>
      <c r="V478" s="17">
        <f>_xlfn.XLOOKUP($B478,'[1]May-25'!$A:$A,'[1]May-25'!$H:$H,0)</f>
        <v>0</v>
      </c>
      <c r="W478" s="17">
        <f>_xlfn.XLOOKUP($B478,'[1]Jun-25'!$A:$A,'[1]Jun-25'!$H:$H,0)</f>
        <v>0</v>
      </c>
      <c r="X478" s="17">
        <f>_xlfn.XLOOKUP($B478,'[1]Jul-25'!$A:$A,'[1]Jul-25'!$H:$H,0)</f>
        <v>0</v>
      </c>
      <c r="Y478" s="17">
        <f>_xlfn.XLOOKUP($B478,'[1]Aug-25'!$A:$A,'[1]Aug-25'!$H:$H,0)</f>
        <v>0</v>
      </c>
      <c r="Z478" s="17">
        <f>_xlfn.XLOOKUP($B478,'[1]Sep-25'!$A:$A,'[1]Sep-25'!$H:$H,0)</f>
        <v>0</v>
      </c>
      <c r="AA478" s="17">
        <f>_xlfn.XLOOKUP($B478,'[1]Oct-25'!$A:$A,'[1]Oct-25'!$H:$H,0)</f>
        <v>0</v>
      </c>
      <c r="AB478" s="17">
        <f>_xlfn.XLOOKUP($B478,'[1]Nov-25'!$A:$A,'[1]Nov-25'!$H:$H,0)</f>
        <v>0</v>
      </c>
      <c r="AC478" s="17">
        <f>_xlfn.XLOOKUP($B478,'[1]Dec-25'!$A:$A,'[1]Dec-25'!$H:$H,0)</f>
        <v>0</v>
      </c>
      <c r="AD478" s="17">
        <f>_xlfn.XLOOKUP($B478,'[1]Jan-26'!$A:$A,'[1]Jan-26'!$H:$H,0)</f>
        <v>0</v>
      </c>
      <c r="AE478" s="17">
        <f>_xlfn.XLOOKUP($B478,'[1]Feb-26'!$A:$A,'[1]Feb-26'!$H:$H,0)</f>
        <v>0</v>
      </c>
      <c r="AF478" s="17">
        <f>_xlfn.XLOOKUP($B478,'[1]Mar-26'!$A:$A,'[1]Mar-26'!$H:$H,0)</f>
        <v>0</v>
      </c>
      <c r="AG478" s="17">
        <f>_xlfn.XLOOKUP($B478,'[1]Apr-26'!$A:$A,'[1]Apr-26'!$H:$H,0)</f>
        <v>0</v>
      </c>
    </row>
    <row r="479" spans="1:33" x14ac:dyDescent="0.2">
      <c r="A479" s="58">
        <v>64000</v>
      </c>
      <c r="B479" s="56" t="str">
        <f t="shared" si="13"/>
        <v>64000</v>
      </c>
      <c r="C479" s="57" t="s">
        <v>420</v>
      </c>
      <c r="D479" s="57" t="s">
        <v>387</v>
      </c>
      <c r="E479" s="44" t="s">
        <v>660</v>
      </c>
      <c r="F479" s="17">
        <f>_xlfn.XLOOKUP($B479,'[1]Jan-24'!$A:$A,'[1]Jan-24'!$H:$H,0)</f>
        <v>2883128.57</v>
      </c>
      <c r="G479" s="17">
        <f>_xlfn.XLOOKUP($B479,'[1]Feb-24'!$A:$A,'[1]Feb-24'!$H:$H,0)</f>
        <v>2813461.9</v>
      </c>
      <c r="H479" s="17">
        <f>_xlfn.XLOOKUP($B479,'[1]Mar-24'!$A:$A,'[1]Mar-24'!$H:$H,0)</f>
        <v>2791403.98</v>
      </c>
      <c r="I479" s="17">
        <f>_xlfn.XLOOKUP($B479,'[1]Apr-24'!$A:$A,'[1]Apr-24'!$H:$H,0)</f>
        <v>2745466.48</v>
      </c>
      <c r="J479" s="17">
        <f>_xlfn.XLOOKUP($B479,'[1]May-24'!$A:$A,'[1]May-24'!$H:$H,0)</f>
        <v>2852194.03</v>
      </c>
      <c r="K479" s="17">
        <f>_xlfn.XLOOKUP($B479,'[1]Jun-24'!$A:$A,'[1]Jun-24'!$H:$H,0)</f>
        <v>3230819.9499999997</v>
      </c>
      <c r="L479" s="17">
        <f>_xlfn.XLOOKUP($B479,'[1]Jul-24'!$A:$A,'[1]Jul-24'!$H:$H,0)</f>
        <v>3043818.66</v>
      </c>
      <c r="M479" s="17">
        <f>_xlfn.XLOOKUP($B479,'[1]Aug-24'!$A:$A,'[1]Aug-24'!$H:$H,0)</f>
        <v>3039369.57</v>
      </c>
      <c r="N479" s="17">
        <f>_xlfn.XLOOKUP($B479,'[1]Sep-24'!$A:$A,'[1]Sep-24'!$H:$H,0)</f>
        <v>2994568</v>
      </c>
      <c r="O479" s="17">
        <f>_xlfn.XLOOKUP($B479,'[1]Oct-24'!$A:$A,'[1]Oct-24'!$H:$H,0)</f>
        <v>3160589.24</v>
      </c>
      <c r="P479" s="17">
        <f>_xlfn.XLOOKUP($B479,'[1]Nov-24'!$A:$A,'[1]Nov-24'!$H:$H,0)</f>
        <v>3285791.74</v>
      </c>
      <c r="Q479" s="17">
        <f>_xlfn.XLOOKUP($B479,'[1]Dec-24'!$A:$A,'[1]Dec-24'!$H:$H,0)</f>
        <v>3276205.1799999997</v>
      </c>
      <c r="R479" s="17">
        <f>_xlfn.XLOOKUP($B479,'[1]Jan-25'!$A:$A,'[1]Jan-25'!$H:$H,0)</f>
        <v>3341974.37</v>
      </c>
      <c r="S479" s="17">
        <f>_xlfn.XLOOKUP($B479,'[1]Feb-25'!$A:$A,'[1]Feb-25'!$H:$H,0)</f>
        <v>3607521.06</v>
      </c>
      <c r="T479" s="17">
        <f>_xlfn.XLOOKUP($B479,'[1]Mar-25'!$A:$A,'[1]Mar-25'!$H:$H,0)</f>
        <v>3635055.08</v>
      </c>
      <c r="U479" s="17">
        <f>_xlfn.XLOOKUP($B479,'[1]Apr-25'!$A:$A,'[1]Apr-25'!$H:$H,0)</f>
        <v>3628722.89</v>
      </c>
      <c r="V479" s="17">
        <f>_xlfn.XLOOKUP($B479,'[1]May-25'!$A:$A,'[1]May-25'!$H:$H,0)</f>
        <v>3636404.55</v>
      </c>
      <c r="W479" s="17">
        <f>_xlfn.XLOOKUP($B479,'[1]Jun-25'!$A:$A,'[1]Jun-25'!$H:$H,0)</f>
        <v>3636404.55</v>
      </c>
      <c r="X479" s="17">
        <f>_xlfn.XLOOKUP($B479,'[1]Jul-25'!$A:$A,'[1]Jul-25'!$H:$H,0)</f>
        <v>3840266.68</v>
      </c>
      <c r="Y479" s="17">
        <f>_xlfn.XLOOKUP($B479,'[1]Aug-25'!$A:$A,'[1]Aug-25'!$H:$H,0)</f>
        <v>3973707.97</v>
      </c>
      <c r="Z479" s="17">
        <f>_xlfn.XLOOKUP($B479,'[1]Sep-25'!$A:$A,'[1]Sep-25'!$H:$H,0)</f>
        <v>3940470.2</v>
      </c>
      <c r="AA479" s="17">
        <f>_xlfn.XLOOKUP($B479,'[1]Oct-25'!$A:$A,'[1]Oct-25'!$H:$H,0)</f>
        <v>3934053.53</v>
      </c>
      <c r="AB479" s="17">
        <f>_xlfn.XLOOKUP($B479,'[1]Nov-25'!$A:$A,'[1]Nov-25'!$H:$H,0)</f>
        <v>4149201.87</v>
      </c>
      <c r="AC479" s="17">
        <f>_xlfn.XLOOKUP($B479,'[1]Dec-25'!$A:$A,'[1]Dec-25'!$H:$H,0)</f>
        <v>4192185.2</v>
      </c>
      <c r="AD479" s="17">
        <f>_xlfn.XLOOKUP($B479,'[1]Jan-26'!$A:$A,'[1]Jan-26'!$H:$H,0)</f>
        <v>3818424.16</v>
      </c>
      <c r="AE479" s="17">
        <f>_xlfn.XLOOKUP($B479,'[1]Feb-26'!$A:$A,'[1]Feb-26'!$H:$H,0)</f>
        <v>3941772.06</v>
      </c>
      <c r="AF479" s="17">
        <f>_xlfn.XLOOKUP($B479,'[1]Mar-26'!$A:$A,'[1]Mar-26'!$H:$H,0)</f>
        <v>3724428.52</v>
      </c>
      <c r="AG479" s="17">
        <f>_xlfn.XLOOKUP($B479,'[1]Apr-26'!$A:$A,'[1]Apr-26'!$H:$H,0)</f>
        <v>3945532.69</v>
      </c>
    </row>
    <row r="480" spans="1:33" x14ac:dyDescent="0.2">
      <c r="A480" s="58">
        <v>65000</v>
      </c>
      <c r="B480" s="56" t="str">
        <f t="shared" si="13"/>
        <v>65000</v>
      </c>
      <c r="C480" s="57" t="s">
        <v>565</v>
      </c>
      <c r="D480" s="57" t="s">
        <v>387</v>
      </c>
      <c r="E480" s="44" t="s">
        <v>661</v>
      </c>
      <c r="F480" s="17">
        <f>_xlfn.XLOOKUP($B480,'[1]Jan-24'!$A:$A,'[1]Jan-24'!$H:$H,0)</f>
        <v>0</v>
      </c>
      <c r="G480" s="17">
        <f>_xlfn.XLOOKUP($B480,'[1]Feb-24'!$A:$A,'[1]Feb-24'!$H:$H,0)</f>
        <v>0</v>
      </c>
      <c r="H480" s="17">
        <f>_xlfn.XLOOKUP($B480,'[1]Mar-24'!$A:$A,'[1]Mar-24'!$H:$H,0)</f>
        <v>9200</v>
      </c>
      <c r="I480" s="17">
        <f>_xlfn.XLOOKUP($B480,'[1]Apr-24'!$A:$A,'[1]Apr-24'!$H:$H,0)</f>
        <v>0</v>
      </c>
      <c r="J480" s="17">
        <f>_xlfn.XLOOKUP($B480,'[1]May-24'!$A:$A,'[1]May-24'!$H:$H,0)</f>
        <v>0</v>
      </c>
      <c r="K480" s="17">
        <f>_xlfn.XLOOKUP($B480,'[1]Jun-24'!$A:$A,'[1]Jun-24'!$H:$H,0)</f>
        <v>0</v>
      </c>
      <c r="L480" s="17">
        <f>_xlfn.XLOOKUP($B480,'[1]Jul-24'!$A:$A,'[1]Jul-24'!$H:$H,0)</f>
        <v>0</v>
      </c>
      <c r="M480" s="17">
        <f>_xlfn.XLOOKUP($B480,'[1]Aug-24'!$A:$A,'[1]Aug-24'!$H:$H,0)</f>
        <v>0</v>
      </c>
      <c r="N480" s="17">
        <f>_xlfn.XLOOKUP($B480,'[1]Sep-24'!$A:$A,'[1]Sep-24'!$H:$H,0)</f>
        <v>900000</v>
      </c>
      <c r="O480" s="17">
        <f>_xlfn.XLOOKUP($B480,'[1]Oct-24'!$A:$A,'[1]Oct-24'!$H:$H,0)</f>
        <v>0</v>
      </c>
      <c r="P480" s="17">
        <f>_xlfn.XLOOKUP($B480,'[1]Nov-24'!$A:$A,'[1]Nov-24'!$H:$H,0)</f>
        <v>1950000</v>
      </c>
      <c r="Q480" s="17">
        <f>_xlfn.XLOOKUP($B480,'[1]Dec-24'!$A:$A,'[1]Dec-24'!$H:$H,0)</f>
        <v>728333.33</v>
      </c>
      <c r="R480" s="17">
        <f>_xlfn.XLOOKUP($B480,'[1]Jan-25'!$A:$A,'[1]Jan-25'!$H:$H,0)</f>
        <v>89583.33</v>
      </c>
      <c r="S480" s="17">
        <f>_xlfn.XLOOKUP($B480,'[1]Feb-25'!$A:$A,'[1]Feb-25'!$H:$H,0)</f>
        <v>89583.33</v>
      </c>
      <c r="T480" s="17">
        <f>_xlfn.XLOOKUP($B480,'[1]Mar-25'!$A:$A,'[1]Mar-25'!$H:$H,0)</f>
        <v>89583.33</v>
      </c>
      <c r="U480" s="17">
        <f>_xlfn.XLOOKUP($B480,'[1]Apr-25'!$A:$A,'[1]Apr-25'!$H:$H,0)</f>
        <v>89583.33</v>
      </c>
      <c r="V480" s="17">
        <f>_xlfn.XLOOKUP($B480,'[1]May-25'!$A:$A,'[1]May-25'!$H:$H,0)</f>
        <v>289583.33</v>
      </c>
      <c r="W480" s="17">
        <f>_xlfn.XLOOKUP($B480,'[1]Jun-25'!$A:$A,'[1]Jun-25'!$H:$H,0)</f>
        <v>89583.33</v>
      </c>
      <c r="X480" s="17">
        <f>_xlfn.XLOOKUP($B480,'[1]Jul-25'!$A:$A,'[1]Jul-25'!$H:$H,0)</f>
        <v>5586083.3300000001</v>
      </c>
      <c r="Y480" s="17">
        <f>_xlfn.XLOOKUP($B480,'[1]Aug-25'!$A:$A,'[1]Aug-25'!$H:$H,0)</f>
        <v>89583.33</v>
      </c>
      <c r="Z480" s="17">
        <f>_xlfn.XLOOKUP($B480,'[1]Sep-25'!$A:$A,'[1]Sep-25'!$H:$H,0)</f>
        <v>89583.33</v>
      </c>
      <c r="AA480" s="17">
        <f>_xlfn.XLOOKUP($B480,'[1]Oct-25'!$A:$A,'[1]Oct-25'!$H:$H,0)</f>
        <v>89583.33</v>
      </c>
      <c r="AB480" s="17">
        <f>_xlfn.XLOOKUP($B480,'[1]Nov-25'!$A:$A,'[1]Nov-25'!$H:$H,0)</f>
        <v>89583.33</v>
      </c>
      <c r="AC480" s="17">
        <f>_xlfn.XLOOKUP($B480,'[1]Dec-25'!$A:$A,'[1]Dec-25'!$H:$H,0)</f>
        <v>2152070.27</v>
      </c>
      <c r="AD480" s="17">
        <f>_xlfn.XLOOKUP($B480,'[1]Jan-26'!$A:$A,'[1]Jan-26'!$H:$H,0)</f>
        <v>1124999.98</v>
      </c>
      <c r="AE480" s="17">
        <f>_xlfn.XLOOKUP($B480,'[1]Feb-26'!$A:$A,'[1]Feb-26'!$H:$H,0)</f>
        <v>1124999.98</v>
      </c>
      <c r="AF480" s="17">
        <f>_xlfn.XLOOKUP($B480,'[1]Mar-26'!$A:$A,'[1]Mar-26'!$H:$H,0)</f>
        <v>1124999.98</v>
      </c>
      <c r="AG480" s="17">
        <f>_xlfn.XLOOKUP($B480,'[1]Apr-26'!$A:$A,'[1]Apr-26'!$H:$H,0)</f>
        <v>1124999.98</v>
      </c>
    </row>
    <row r="481" spans="1:33" x14ac:dyDescent="0.2">
      <c r="A481" s="58">
        <v>65005</v>
      </c>
      <c r="B481" s="56" t="str">
        <f t="shared" si="13"/>
        <v>65005</v>
      </c>
      <c r="C481" s="57" t="s">
        <v>565</v>
      </c>
      <c r="D481" s="57" t="s">
        <v>387</v>
      </c>
      <c r="E481" s="44" t="s">
        <v>662</v>
      </c>
      <c r="F481" s="17">
        <f>_xlfn.XLOOKUP($B481,'[1]Jan-24'!$A:$A,'[1]Jan-24'!$H:$H,0)</f>
        <v>0</v>
      </c>
      <c r="G481" s="17">
        <f>_xlfn.XLOOKUP($B481,'[1]Feb-24'!$A:$A,'[1]Feb-24'!$H:$H,0)</f>
        <v>0</v>
      </c>
      <c r="H481" s="17">
        <f>_xlfn.XLOOKUP($B481,'[1]Mar-24'!$A:$A,'[1]Mar-24'!$H:$H,0)</f>
        <v>0</v>
      </c>
      <c r="I481" s="17">
        <f>_xlfn.XLOOKUP($B481,'[1]Apr-24'!$A:$A,'[1]Apr-24'!$H:$H,0)</f>
        <v>0</v>
      </c>
      <c r="J481" s="17">
        <f>_xlfn.XLOOKUP($B481,'[1]May-24'!$A:$A,'[1]May-24'!$H:$H,0)</f>
        <v>0</v>
      </c>
      <c r="K481" s="17">
        <f>_xlfn.XLOOKUP($B481,'[1]Jun-24'!$A:$A,'[1]Jun-24'!$H:$H,0)</f>
        <v>0</v>
      </c>
      <c r="L481" s="17">
        <f>_xlfn.XLOOKUP($B481,'[1]Jul-24'!$A:$A,'[1]Jul-24'!$H:$H,0)</f>
        <v>0</v>
      </c>
      <c r="M481" s="17">
        <f>_xlfn.XLOOKUP($B481,'[1]Aug-24'!$A:$A,'[1]Aug-24'!$H:$H,0)</f>
        <v>0</v>
      </c>
      <c r="N481" s="17">
        <f>_xlfn.XLOOKUP($B481,'[1]Sep-24'!$A:$A,'[1]Sep-24'!$H:$H,0)</f>
        <v>0</v>
      </c>
      <c r="O481" s="17">
        <f>_xlfn.XLOOKUP($B481,'[1]Oct-24'!$A:$A,'[1]Oct-24'!$H:$H,0)</f>
        <v>0</v>
      </c>
      <c r="P481" s="17">
        <f>_xlfn.XLOOKUP($B481,'[1]Nov-24'!$A:$A,'[1]Nov-24'!$H:$H,0)</f>
        <v>0</v>
      </c>
      <c r="Q481" s="17">
        <f>_xlfn.XLOOKUP($B481,'[1]Dec-24'!$A:$A,'[1]Dec-24'!$H:$H,0)</f>
        <v>0</v>
      </c>
      <c r="R481" s="17">
        <f>_xlfn.XLOOKUP($B481,'[1]Jan-25'!$A:$A,'[1]Jan-25'!$H:$H,0)</f>
        <v>0</v>
      </c>
      <c r="S481" s="17">
        <f>_xlfn.XLOOKUP($B481,'[1]Feb-25'!$A:$A,'[1]Feb-25'!$H:$H,0)</f>
        <v>0</v>
      </c>
      <c r="T481" s="17">
        <f>_xlfn.XLOOKUP($B481,'[1]Mar-25'!$A:$A,'[1]Mar-25'!$H:$H,0)</f>
        <v>0</v>
      </c>
      <c r="U481" s="17">
        <f>_xlfn.XLOOKUP($B481,'[1]Apr-25'!$A:$A,'[1]Apr-25'!$H:$H,0)</f>
        <v>0</v>
      </c>
      <c r="V481" s="17">
        <f>_xlfn.XLOOKUP($B481,'[1]May-25'!$A:$A,'[1]May-25'!$H:$H,0)</f>
        <v>0</v>
      </c>
      <c r="W481" s="17">
        <f>_xlfn.XLOOKUP($B481,'[1]Jun-25'!$A:$A,'[1]Jun-25'!$H:$H,0)</f>
        <v>0</v>
      </c>
      <c r="X481" s="17">
        <f>_xlfn.XLOOKUP($B481,'[1]Jul-25'!$A:$A,'[1]Jul-25'!$H:$H,0)</f>
        <v>0</v>
      </c>
      <c r="Y481" s="17">
        <f>_xlfn.XLOOKUP($B481,'[1]Aug-25'!$A:$A,'[1]Aug-25'!$H:$H,0)</f>
        <v>0</v>
      </c>
      <c r="Z481" s="17">
        <f>_xlfn.XLOOKUP($B481,'[1]Sep-25'!$A:$A,'[1]Sep-25'!$H:$H,0)</f>
        <v>0</v>
      </c>
      <c r="AA481" s="17">
        <f>_xlfn.XLOOKUP($B481,'[1]Oct-25'!$A:$A,'[1]Oct-25'!$H:$H,0)</f>
        <v>0</v>
      </c>
      <c r="AB481" s="17">
        <f>_xlfn.XLOOKUP($B481,'[1]Nov-25'!$A:$A,'[1]Nov-25'!$H:$H,0)</f>
        <v>0</v>
      </c>
      <c r="AC481" s="17">
        <f>_xlfn.XLOOKUP($B481,'[1]Dec-25'!$A:$A,'[1]Dec-25'!$H:$H,0)</f>
        <v>0</v>
      </c>
      <c r="AD481" s="17">
        <f>_xlfn.XLOOKUP($B481,'[1]Jan-26'!$A:$A,'[1]Jan-26'!$H:$H,0)</f>
        <v>0</v>
      </c>
      <c r="AE481" s="17">
        <f>_xlfn.XLOOKUP($B481,'[1]Feb-26'!$A:$A,'[1]Feb-26'!$H:$H,0)</f>
        <v>0</v>
      </c>
      <c r="AF481" s="17">
        <f>_xlfn.XLOOKUP($B481,'[1]Mar-26'!$A:$A,'[1]Mar-26'!$H:$H,0)</f>
        <v>0</v>
      </c>
      <c r="AG481" s="17">
        <f>_xlfn.XLOOKUP($B481,'[1]Apr-26'!$A:$A,'[1]Apr-26'!$H:$H,0)</f>
        <v>0</v>
      </c>
    </row>
    <row r="482" spans="1:33" x14ac:dyDescent="0.2">
      <c r="A482" s="58">
        <v>65007</v>
      </c>
      <c r="B482" s="56" t="str">
        <f t="shared" si="13"/>
        <v>65007</v>
      </c>
      <c r="C482" s="57" t="s">
        <v>565</v>
      </c>
      <c r="D482" s="57" t="s">
        <v>387</v>
      </c>
      <c r="E482" s="44" t="s">
        <v>663</v>
      </c>
      <c r="F482" s="17">
        <f>_xlfn.XLOOKUP($B482,'[1]Jan-24'!$A:$A,'[1]Jan-24'!$H:$H,0)</f>
        <v>-2466698.5300000003</v>
      </c>
      <c r="G482" s="17">
        <f>_xlfn.XLOOKUP($B482,'[1]Feb-24'!$A:$A,'[1]Feb-24'!$H:$H,0)</f>
        <v>-849518.40000000037</v>
      </c>
      <c r="H482" s="17">
        <f>_xlfn.XLOOKUP($B482,'[1]Mar-24'!$A:$A,'[1]Mar-24'!$H:$H,0)</f>
        <v>-1527287.2400000002</v>
      </c>
      <c r="I482" s="17">
        <f>_xlfn.XLOOKUP($B482,'[1]Apr-24'!$A:$A,'[1]Apr-24'!$H:$H,0)</f>
        <v>-3512463.0599999987</v>
      </c>
      <c r="J482" s="17">
        <f>_xlfn.XLOOKUP($B482,'[1]May-24'!$A:$A,'[1]May-24'!$H:$H,0)</f>
        <v>-3853260.84</v>
      </c>
      <c r="K482" s="17">
        <f>_xlfn.XLOOKUP($B482,'[1]Jun-24'!$A:$A,'[1]Jun-24'!$H:$H,0)</f>
        <v>-1409646.2199999988</v>
      </c>
      <c r="L482" s="17">
        <f>_xlfn.XLOOKUP($B482,'[1]Jul-24'!$A:$A,'[1]Jul-24'!$H:$H,0)</f>
        <v>-5195560.25</v>
      </c>
      <c r="M482" s="17">
        <f>_xlfn.XLOOKUP($B482,'[1]Aug-24'!$A:$A,'[1]Aug-24'!$H:$H,0)</f>
        <v>-3304491.3</v>
      </c>
      <c r="N482" s="17">
        <f>_xlfn.XLOOKUP($B482,'[1]Sep-24'!$A:$A,'[1]Sep-24'!$H:$H,0)</f>
        <v>-8616866.8800000008</v>
      </c>
      <c r="O482" s="17">
        <f>_xlfn.XLOOKUP($B482,'[1]Oct-24'!$A:$A,'[1]Oct-24'!$H:$H,0)</f>
        <v>4228157.12</v>
      </c>
      <c r="P482" s="17">
        <f>_xlfn.XLOOKUP($B482,'[1]Nov-24'!$A:$A,'[1]Nov-24'!$H:$H,0)</f>
        <v>75499588.36999999</v>
      </c>
      <c r="Q482" s="17">
        <f>_xlfn.XLOOKUP($B482,'[1]Dec-24'!$A:$A,'[1]Dec-24'!$H:$H,0)</f>
        <v>464305602.92999995</v>
      </c>
      <c r="R482" s="17">
        <f>_xlfn.XLOOKUP($B482,'[1]Jan-25'!$A:$A,'[1]Jan-25'!$H:$H,0)</f>
        <v>1288773.2399999984</v>
      </c>
      <c r="S482" s="17">
        <f>_xlfn.XLOOKUP($B482,'[1]Feb-25'!$A:$A,'[1]Feb-25'!$H:$H,0)</f>
        <v>422637.98000000045</v>
      </c>
      <c r="T482" s="17">
        <f>_xlfn.XLOOKUP($B482,'[1]Mar-25'!$A:$A,'[1]Mar-25'!$H:$H,0)</f>
        <v>534476.01999999955</v>
      </c>
      <c r="U482" s="17">
        <f>_xlfn.XLOOKUP($B482,'[1]Apr-25'!$A:$A,'[1]Apr-25'!$H:$H,0)</f>
        <v>1380595.7300000004</v>
      </c>
      <c r="V482" s="17">
        <f>_xlfn.XLOOKUP($B482,'[1]May-25'!$A:$A,'[1]May-25'!$H:$H,0)</f>
        <v>1216405.9700000007</v>
      </c>
      <c r="W482" s="17">
        <f>_xlfn.XLOOKUP($B482,'[1]Jun-25'!$A:$A,'[1]Jun-25'!$H:$H,0)</f>
        <v>1064257.5399999991</v>
      </c>
      <c r="X482" s="17">
        <f>_xlfn.XLOOKUP($B482,'[1]Jul-25'!$A:$A,'[1]Jul-25'!$H:$H,0)</f>
        <v>1303338.9100000001</v>
      </c>
      <c r="Y482" s="17">
        <f>_xlfn.XLOOKUP($B482,'[1]Aug-25'!$A:$A,'[1]Aug-25'!$H:$H,0)</f>
        <v>436383.00999999978</v>
      </c>
      <c r="Z482" s="17">
        <f>_xlfn.XLOOKUP($B482,'[1]Sep-25'!$A:$A,'[1]Sep-25'!$H:$H,0)</f>
        <v>-918971.03999999911</v>
      </c>
      <c r="AA482" s="17">
        <f>_xlfn.XLOOKUP($B482,'[1]Oct-25'!$A:$A,'[1]Oct-25'!$H:$H,0)</f>
        <v>-2082.359999999404</v>
      </c>
      <c r="AB482" s="17">
        <f>_xlfn.XLOOKUP($B482,'[1]Nov-25'!$A:$A,'[1]Nov-25'!$H:$H,0)</f>
        <v>-203093.03999999911</v>
      </c>
      <c r="AC482" s="17">
        <f>_xlfn.XLOOKUP($B482,'[1]Dec-25'!$A:$A,'[1]Dec-25'!$H:$H,0)</f>
        <v>608951472.36000013</v>
      </c>
      <c r="AD482" s="17">
        <f>_xlfn.XLOOKUP($B482,'[1]Jan-26'!$A:$A,'[1]Jan-26'!$H:$H,0)</f>
        <v>-1571364</v>
      </c>
      <c r="AE482" s="17">
        <f>_xlfn.XLOOKUP($B482,'[1]Feb-26'!$A:$A,'[1]Feb-26'!$H:$H,0)</f>
        <v>-2814400.8800000008</v>
      </c>
      <c r="AF482" s="17">
        <f>_xlfn.XLOOKUP($B482,'[1]Mar-26'!$A:$A,'[1]Mar-26'!$H:$H,0)</f>
        <v>-2955914.9000000004</v>
      </c>
      <c r="AG482" s="17">
        <f>_xlfn.XLOOKUP($B482,'[1]Apr-26'!$A:$A,'[1]Apr-26'!$H:$H,0)</f>
        <v>-3129458.2300000004</v>
      </c>
    </row>
    <row r="483" spans="1:33" x14ac:dyDescent="0.2">
      <c r="A483" s="58">
        <v>65010</v>
      </c>
      <c r="B483" s="56" t="str">
        <f t="shared" si="13"/>
        <v>65010</v>
      </c>
      <c r="C483" s="57" t="s">
        <v>565</v>
      </c>
      <c r="D483" s="57" t="s">
        <v>387</v>
      </c>
      <c r="E483" s="44" t="s">
        <v>664</v>
      </c>
      <c r="F483" s="17">
        <f>_xlfn.XLOOKUP($B483,'[1]Jan-24'!$A:$A,'[1]Jan-24'!$H:$H,0)</f>
        <v>0</v>
      </c>
      <c r="G483" s="17">
        <f>_xlfn.XLOOKUP($B483,'[1]Feb-24'!$A:$A,'[1]Feb-24'!$H:$H,0)</f>
        <v>0</v>
      </c>
      <c r="H483" s="17">
        <f>_xlfn.XLOOKUP($B483,'[1]Mar-24'!$A:$A,'[1]Mar-24'!$H:$H,0)</f>
        <v>0</v>
      </c>
      <c r="I483" s="17">
        <f>_xlfn.XLOOKUP($B483,'[1]Apr-24'!$A:$A,'[1]Apr-24'!$H:$H,0)</f>
        <v>0</v>
      </c>
      <c r="J483" s="17">
        <f>_xlfn.XLOOKUP($B483,'[1]May-24'!$A:$A,'[1]May-24'!$H:$H,0)</f>
        <v>0</v>
      </c>
      <c r="K483" s="17">
        <f>_xlfn.XLOOKUP($B483,'[1]Jun-24'!$A:$A,'[1]Jun-24'!$H:$H,0)</f>
        <v>0</v>
      </c>
      <c r="L483" s="17">
        <f>_xlfn.XLOOKUP($B483,'[1]Jul-24'!$A:$A,'[1]Jul-24'!$H:$H,0)</f>
        <v>0</v>
      </c>
      <c r="M483" s="17">
        <f>_xlfn.XLOOKUP($B483,'[1]Aug-24'!$A:$A,'[1]Aug-24'!$H:$H,0)</f>
        <v>0</v>
      </c>
      <c r="N483" s="17">
        <f>_xlfn.XLOOKUP($B483,'[1]Sep-24'!$A:$A,'[1]Sep-24'!$H:$H,0)</f>
        <v>0</v>
      </c>
      <c r="O483" s="17">
        <f>_xlfn.XLOOKUP($B483,'[1]Oct-24'!$A:$A,'[1]Oct-24'!$H:$H,0)</f>
        <v>0</v>
      </c>
      <c r="P483" s="17">
        <f>_xlfn.XLOOKUP($B483,'[1]Nov-24'!$A:$A,'[1]Nov-24'!$H:$H,0)</f>
        <v>0</v>
      </c>
      <c r="Q483" s="17">
        <f>_xlfn.XLOOKUP($B483,'[1]Dec-24'!$A:$A,'[1]Dec-24'!$H:$H,0)</f>
        <v>0</v>
      </c>
      <c r="R483" s="17">
        <f>_xlfn.XLOOKUP($B483,'[1]Jan-25'!$A:$A,'[1]Jan-25'!$H:$H,0)</f>
        <v>0</v>
      </c>
      <c r="S483" s="17">
        <f>_xlfn.XLOOKUP($B483,'[1]Feb-25'!$A:$A,'[1]Feb-25'!$H:$H,0)</f>
        <v>0</v>
      </c>
      <c r="T483" s="17">
        <f>_xlfn.XLOOKUP($B483,'[1]Mar-25'!$A:$A,'[1]Mar-25'!$H:$H,0)</f>
        <v>0</v>
      </c>
      <c r="U483" s="17">
        <f>_xlfn.XLOOKUP($B483,'[1]Apr-25'!$A:$A,'[1]Apr-25'!$H:$H,0)</f>
        <v>0</v>
      </c>
      <c r="V483" s="17">
        <f>_xlfn.XLOOKUP($B483,'[1]May-25'!$A:$A,'[1]May-25'!$H:$H,0)</f>
        <v>0</v>
      </c>
      <c r="W483" s="17">
        <f>_xlfn.XLOOKUP($B483,'[1]Jun-25'!$A:$A,'[1]Jun-25'!$H:$H,0)</f>
        <v>0</v>
      </c>
      <c r="X483" s="17">
        <f>_xlfn.XLOOKUP($B483,'[1]Jul-25'!$A:$A,'[1]Jul-25'!$H:$H,0)</f>
        <v>0</v>
      </c>
      <c r="Y483" s="17">
        <f>_xlfn.XLOOKUP($B483,'[1]Aug-25'!$A:$A,'[1]Aug-25'!$H:$H,0)</f>
        <v>0</v>
      </c>
      <c r="Z483" s="17">
        <f>_xlfn.XLOOKUP($B483,'[1]Sep-25'!$A:$A,'[1]Sep-25'!$H:$H,0)</f>
        <v>0</v>
      </c>
      <c r="AA483" s="17">
        <f>_xlfn.XLOOKUP($B483,'[1]Oct-25'!$A:$A,'[1]Oct-25'!$H:$H,0)</f>
        <v>0</v>
      </c>
      <c r="AB483" s="17">
        <f>_xlfn.XLOOKUP($B483,'[1]Nov-25'!$A:$A,'[1]Nov-25'!$H:$H,0)</f>
        <v>0</v>
      </c>
      <c r="AC483" s="17">
        <f>_xlfn.XLOOKUP($B483,'[1]Dec-25'!$A:$A,'[1]Dec-25'!$H:$H,0)</f>
        <v>0</v>
      </c>
      <c r="AD483" s="17">
        <f>_xlfn.XLOOKUP($B483,'[1]Jan-26'!$A:$A,'[1]Jan-26'!$H:$H,0)</f>
        <v>0</v>
      </c>
      <c r="AE483" s="17">
        <f>_xlfn.XLOOKUP($B483,'[1]Feb-26'!$A:$A,'[1]Feb-26'!$H:$H,0)</f>
        <v>0</v>
      </c>
      <c r="AF483" s="17">
        <f>_xlfn.XLOOKUP($B483,'[1]Mar-26'!$A:$A,'[1]Mar-26'!$H:$H,0)</f>
        <v>0</v>
      </c>
      <c r="AG483" s="17">
        <f>_xlfn.XLOOKUP($B483,'[1]Apr-26'!$A:$A,'[1]Apr-26'!$H:$H,0)</f>
        <v>0</v>
      </c>
    </row>
    <row r="484" spans="1:33" x14ac:dyDescent="0.2">
      <c r="A484" s="58">
        <v>65015</v>
      </c>
      <c r="B484" s="56" t="str">
        <f t="shared" si="13"/>
        <v>65015</v>
      </c>
      <c r="C484" s="57" t="s">
        <v>565</v>
      </c>
      <c r="D484" s="57" t="s">
        <v>387</v>
      </c>
      <c r="E484" s="44" t="s">
        <v>665</v>
      </c>
      <c r="F484" s="17">
        <f>_xlfn.XLOOKUP($B484,'[1]Jan-24'!$A:$A,'[1]Jan-24'!$H:$H,0)</f>
        <v>1999840</v>
      </c>
      <c r="G484" s="17">
        <f>_xlfn.XLOOKUP($B484,'[1]Feb-24'!$A:$A,'[1]Feb-24'!$H:$H,0)</f>
        <v>0</v>
      </c>
      <c r="H484" s="17">
        <f>_xlfn.XLOOKUP($B484,'[1]Mar-24'!$A:$A,'[1]Mar-24'!$H:$H,0)</f>
        <v>0</v>
      </c>
      <c r="I484" s="17">
        <f>_xlfn.XLOOKUP($B484,'[1]Apr-24'!$A:$A,'[1]Apr-24'!$H:$H,0)</f>
        <v>0</v>
      </c>
      <c r="J484" s="17">
        <f>_xlfn.XLOOKUP($B484,'[1]May-24'!$A:$A,'[1]May-24'!$H:$H,0)</f>
        <v>0</v>
      </c>
      <c r="K484" s="17">
        <f>_xlfn.XLOOKUP($B484,'[1]Jun-24'!$A:$A,'[1]Jun-24'!$H:$H,0)</f>
        <v>0</v>
      </c>
      <c r="L484" s="17">
        <f>_xlfn.XLOOKUP($B484,'[1]Jul-24'!$A:$A,'[1]Jul-24'!$H:$H,0)</f>
        <v>0</v>
      </c>
      <c r="M484" s="17">
        <f>_xlfn.XLOOKUP($B484,'[1]Aug-24'!$A:$A,'[1]Aug-24'!$H:$H,0)</f>
        <v>0</v>
      </c>
      <c r="N484" s="17">
        <f>_xlfn.XLOOKUP($B484,'[1]Sep-24'!$A:$A,'[1]Sep-24'!$H:$H,0)</f>
        <v>0</v>
      </c>
      <c r="O484" s="17">
        <f>_xlfn.XLOOKUP($B484,'[1]Oct-24'!$A:$A,'[1]Oct-24'!$H:$H,0)</f>
        <v>0</v>
      </c>
      <c r="P484" s="17">
        <f>_xlfn.XLOOKUP($B484,'[1]Nov-24'!$A:$A,'[1]Nov-24'!$H:$H,0)</f>
        <v>0</v>
      </c>
      <c r="Q484" s="17">
        <f>_xlfn.XLOOKUP($B484,'[1]Dec-24'!$A:$A,'[1]Dec-24'!$H:$H,0)</f>
        <v>0</v>
      </c>
      <c r="R484" s="17">
        <f>_xlfn.XLOOKUP($B484,'[1]Jan-25'!$A:$A,'[1]Jan-25'!$H:$H,0)</f>
        <v>0</v>
      </c>
      <c r="S484" s="17">
        <f>_xlfn.XLOOKUP($B484,'[1]Feb-25'!$A:$A,'[1]Feb-25'!$H:$H,0)</f>
        <v>0</v>
      </c>
      <c r="T484" s="17">
        <f>_xlfn.XLOOKUP($B484,'[1]Mar-25'!$A:$A,'[1]Mar-25'!$H:$H,0)</f>
        <v>2299840</v>
      </c>
      <c r="U484" s="17">
        <f>_xlfn.XLOOKUP($B484,'[1]Apr-25'!$A:$A,'[1]Apr-25'!$H:$H,0)</f>
        <v>0</v>
      </c>
      <c r="V484" s="17">
        <f>_xlfn.XLOOKUP($B484,'[1]May-25'!$A:$A,'[1]May-25'!$H:$H,0)</f>
        <v>0</v>
      </c>
      <c r="W484" s="17">
        <f>_xlfn.XLOOKUP($B484,'[1]Jun-25'!$A:$A,'[1]Jun-25'!$H:$H,0)</f>
        <v>0</v>
      </c>
      <c r="X484" s="17">
        <f>_xlfn.XLOOKUP($B484,'[1]Jul-25'!$A:$A,'[1]Jul-25'!$H:$H,0)</f>
        <v>0</v>
      </c>
      <c r="Y484" s="17">
        <f>_xlfn.XLOOKUP($B484,'[1]Aug-25'!$A:$A,'[1]Aug-25'!$H:$H,0)</f>
        <v>0</v>
      </c>
      <c r="Z484" s="17">
        <f>_xlfn.XLOOKUP($B484,'[1]Sep-25'!$A:$A,'[1]Sep-25'!$H:$H,0)</f>
        <v>0</v>
      </c>
      <c r="AA484" s="17">
        <f>_xlfn.XLOOKUP($B484,'[1]Oct-25'!$A:$A,'[1]Oct-25'!$H:$H,0)</f>
        <v>0</v>
      </c>
      <c r="AB484" s="17">
        <f>_xlfn.XLOOKUP($B484,'[1]Nov-25'!$A:$A,'[1]Nov-25'!$H:$H,0)</f>
        <v>0</v>
      </c>
      <c r="AC484" s="17">
        <f>_xlfn.XLOOKUP($B484,'[1]Dec-25'!$A:$A,'[1]Dec-25'!$H:$H,0)</f>
        <v>0</v>
      </c>
      <c r="AD484" s="17">
        <f>_xlfn.XLOOKUP($B484,'[1]Jan-26'!$A:$A,'[1]Jan-26'!$H:$H,0)</f>
        <v>0</v>
      </c>
      <c r="AE484" s="17">
        <f>_xlfn.XLOOKUP($B484,'[1]Feb-26'!$A:$A,'[1]Feb-26'!$H:$H,0)</f>
        <v>0</v>
      </c>
      <c r="AF484" s="17">
        <f>_xlfn.XLOOKUP($B484,'[1]Mar-26'!$A:$A,'[1]Mar-26'!$H:$H,0)</f>
        <v>2600000</v>
      </c>
      <c r="AG484" s="17">
        <f>_xlfn.XLOOKUP($B484,'[1]Apr-26'!$A:$A,'[1]Apr-26'!$H:$H,0)</f>
        <v>0</v>
      </c>
    </row>
    <row r="485" spans="1:33" x14ac:dyDescent="0.2">
      <c r="A485" s="58">
        <v>65020</v>
      </c>
      <c r="B485" s="56" t="str">
        <f t="shared" si="13"/>
        <v>65020</v>
      </c>
      <c r="C485" s="57" t="s">
        <v>565</v>
      </c>
      <c r="D485" s="57" t="s">
        <v>387</v>
      </c>
      <c r="E485" s="44" t="s">
        <v>666</v>
      </c>
      <c r="F485" s="17">
        <f>_xlfn.XLOOKUP($B485,'[1]Jan-24'!$A:$A,'[1]Jan-24'!$H:$H,0)</f>
        <v>0</v>
      </c>
      <c r="G485" s="17">
        <f>_xlfn.XLOOKUP($B485,'[1]Feb-24'!$A:$A,'[1]Feb-24'!$H:$H,0)</f>
        <v>0</v>
      </c>
      <c r="H485" s="17">
        <f>_xlfn.XLOOKUP($B485,'[1]Mar-24'!$A:$A,'[1]Mar-24'!$H:$H,0)</f>
        <v>0</v>
      </c>
      <c r="I485" s="17">
        <f>_xlfn.XLOOKUP($B485,'[1]Apr-24'!$A:$A,'[1]Apr-24'!$H:$H,0)</f>
        <v>0</v>
      </c>
      <c r="J485" s="17">
        <f>_xlfn.XLOOKUP($B485,'[1]May-24'!$A:$A,'[1]May-24'!$H:$H,0)</f>
        <v>0</v>
      </c>
      <c r="K485" s="17">
        <f>_xlfn.XLOOKUP($B485,'[1]Jun-24'!$A:$A,'[1]Jun-24'!$H:$H,0)</f>
        <v>0</v>
      </c>
      <c r="L485" s="17">
        <f>_xlfn.XLOOKUP($B485,'[1]Jul-24'!$A:$A,'[1]Jul-24'!$H:$H,0)</f>
        <v>0</v>
      </c>
      <c r="M485" s="17">
        <f>_xlfn.XLOOKUP($B485,'[1]Aug-24'!$A:$A,'[1]Aug-24'!$H:$H,0)</f>
        <v>0</v>
      </c>
      <c r="N485" s="17">
        <f>_xlfn.XLOOKUP($B485,'[1]Sep-24'!$A:$A,'[1]Sep-24'!$H:$H,0)</f>
        <v>0</v>
      </c>
      <c r="O485" s="17">
        <f>_xlfn.XLOOKUP($B485,'[1]Oct-24'!$A:$A,'[1]Oct-24'!$H:$H,0)</f>
        <v>0</v>
      </c>
      <c r="P485" s="17">
        <f>_xlfn.XLOOKUP($B485,'[1]Nov-24'!$A:$A,'[1]Nov-24'!$H:$H,0)</f>
        <v>0</v>
      </c>
      <c r="Q485" s="17">
        <f>_xlfn.XLOOKUP($B485,'[1]Dec-24'!$A:$A,'[1]Dec-24'!$H:$H,0)</f>
        <v>0</v>
      </c>
      <c r="R485" s="17">
        <f>_xlfn.XLOOKUP($B485,'[1]Jan-25'!$A:$A,'[1]Jan-25'!$H:$H,0)</f>
        <v>0</v>
      </c>
      <c r="S485" s="17">
        <f>_xlfn.XLOOKUP($B485,'[1]Feb-25'!$A:$A,'[1]Feb-25'!$H:$H,0)</f>
        <v>0</v>
      </c>
      <c r="T485" s="17">
        <f>_xlfn.XLOOKUP($B485,'[1]Mar-25'!$A:$A,'[1]Mar-25'!$H:$H,0)</f>
        <v>0</v>
      </c>
      <c r="U485" s="17">
        <f>_xlfn.XLOOKUP($B485,'[1]Apr-25'!$A:$A,'[1]Apr-25'!$H:$H,0)</f>
        <v>0</v>
      </c>
      <c r="V485" s="17">
        <f>_xlfn.XLOOKUP($B485,'[1]May-25'!$A:$A,'[1]May-25'!$H:$H,0)</f>
        <v>0</v>
      </c>
      <c r="W485" s="17">
        <f>_xlfn.XLOOKUP($B485,'[1]Jun-25'!$A:$A,'[1]Jun-25'!$H:$H,0)</f>
        <v>0</v>
      </c>
      <c r="X485" s="17">
        <f>_xlfn.XLOOKUP($B485,'[1]Jul-25'!$A:$A,'[1]Jul-25'!$H:$H,0)</f>
        <v>0</v>
      </c>
      <c r="Y485" s="17">
        <f>_xlfn.XLOOKUP($B485,'[1]Aug-25'!$A:$A,'[1]Aug-25'!$H:$H,0)</f>
        <v>0</v>
      </c>
      <c r="Z485" s="17">
        <f>_xlfn.XLOOKUP($B485,'[1]Sep-25'!$A:$A,'[1]Sep-25'!$H:$H,0)</f>
        <v>0</v>
      </c>
      <c r="AA485" s="17">
        <f>_xlfn.XLOOKUP($B485,'[1]Oct-25'!$A:$A,'[1]Oct-25'!$H:$H,0)</f>
        <v>0</v>
      </c>
      <c r="AB485" s="17">
        <f>_xlfn.XLOOKUP($B485,'[1]Nov-25'!$A:$A,'[1]Nov-25'!$H:$H,0)</f>
        <v>0</v>
      </c>
      <c r="AC485" s="17">
        <f>_xlfn.XLOOKUP($B485,'[1]Dec-25'!$A:$A,'[1]Dec-25'!$H:$H,0)</f>
        <v>0</v>
      </c>
      <c r="AD485" s="17">
        <f>_xlfn.XLOOKUP($B485,'[1]Jan-26'!$A:$A,'[1]Jan-26'!$H:$H,0)</f>
        <v>0</v>
      </c>
      <c r="AE485" s="17">
        <f>_xlfn.XLOOKUP($B485,'[1]Feb-26'!$A:$A,'[1]Feb-26'!$H:$H,0)</f>
        <v>0</v>
      </c>
      <c r="AF485" s="17">
        <f>_xlfn.XLOOKUP($B485,'[1]Mar-26'!$A:$A,'[1]Mar-26'!$H:$H,0)</f>
        <v>0</v>
      </c>
      <c r="AG485" s="17">
        <f>_xlfn.XLOOKUP($B485,'[1]Apr-26'!$A:$A,'[1]Apr-26'!$H:$H,0)</f>
        <v>0</v>
      </c>
    </row>
    <row r="486" spans="1:33" x14ac:dyDescent="0.2">
      <c r="A486" s="58">
        <v>65025</v>
      </c>
      <c r="B486" s="56" t="str">
        <f t="shared" si="13"/>
        <v>65025</v>
      </c>
      <c r="C486" s="57" t="s">
        <v>565</v>
      </c>
      <c r="D486" s="57" t="s">
        <v>387</v>
      </c>
      <c r="E486" s="44" t="s">
        <v>667</v>
      </c>
      <c r="F486" s="17">
        <f>_xlfn.XLOOKUP($B486,'[1]Jan-24'!$A:$A,'[1]Jan-24'!$H:$H,0)</f>
        <v>0</v>
      </c>
      <c r="G486" s="17">
        <f>_xlfn.XLOOKUP($B486,'[1]Feb-24'!$A:$A,'[1]Feb-24'!$H:$H,0)</f>
        <v>0</v>
      </c>
      <c r="H486" s="17">
        <f>_xlfn.XLOOKUP($B486,'[1]Mar-24'!$A:$A,'[1]Mar-24'!$H:$H,0)</f>
        <v>0</v>
      </c>
      <c r="I486" s="17">
        <f>_xlfn.XLOOKUP($B486,'[1]Apr-24'!$A:$A,'[1]Apr-24'!$H:$H,0)</f>
        <v>0</v>
      </c>
      <c r="J486" s="17">
        <f>_xlfn.XLOOKUP($B486,'[1]May-24'!$A:$A,'[1]May-24'!$H:$H,0)</f>
        <v>0</v>
      </c>
      <c r="K486" s="17">
        <f>_xlfn.XLOOKUP($B486,'[1]Jun-24'!$A:$A,'[1]Jun-24'!$H:$H,0)</f>
        <v>0</v>
      </c>
      <c r="L486" s="17">
        <f>_xlfn.XLOOKUP($B486,'[1]Jul-24'!$A:$A,'[1]Jul-24'!$H:$H,0)</f>
        <v>0</v>
      </c>
      <c r="M486" s="17">
        <f>_xlfn.XLOOKUP($B486,'[1]Aug-24'!$A:$A,'[1]Aug-24'!$H:$H,0)</f>
        <v>0</v>
      </c>
      <c r="N486" s="17">
        <f>_xlfn.XLOOKUP($B486,'[1]Sep-24'!$A:$A,'[1]Sep-24'!$H:$H,0)</f>
        <v>0</v>
      </c>
      <c r="O486" s="17">
        <f>_xlfn.XLOOKUP($B486,'[1]Oct-24'!$A:$A,'[1]Oct-24'!$H:$H,0)</f>
        <v>0</v>
      </c>
      <c r="P486" s="17">
        <f>_xlfn.XLOOKUP($B486,'[1]Nov-24'!$A:$A,'[1]Nov-24'!$H:$H,0)</f>
        <v>0</v>
      </c>
      <c r="Q486" s="17">
        <f>_xlfn.XLOOKUP($B486,'[1]Dec-24'!$A:$A,'[1]Dec-24'!$H:$H,0)</f>
        <v>0</v>
      </c>
      <c r="R486" s="17">
        <f>_xlfn.XLOOKUP($B486,'[1]Jan-25'!$A:$A,'[1]Jan-25'!$H:$H,0)</f>
        <v>0</v>
      </c>
      <c r="S486" s="17">
        <f>_xlfn.XLOOKUP($B486,'[1]Feb-25'!$A:$A,'[1]Feb-25'!$H:$H,0)</f>
        <v>0</v>
      </c>
      <c r="T486" s="17">
        <f>_xlfn.XLOOKUP($B486,'[1]Mar-25'!$A:$A,'[1]Mar-25'!$H:$H,0)</f>
        <v>0</v>
      </c>
      <c r="U486" s="17">
        <f>_xlfn.XLOOKUP($B486,'[1]Apr-25'!$A:$A,'[1]Apr-25'!$H:$H,0)</f>
        <v>0</v>
      </c>
      <c r="V486" s="17">
        <f>_xlfn.XLOOKUP($B486,'[1]May-25'!$A:$A,'[1]May-25'!$H:$H,0)</f>
        <v>0</v>
      </c>
      <c r="W486" s="17">
        <f>_xlfn.XLOOKUP($B486,'[1]Jun-25'!$A:$A,'[1]Jun-25'!$H:$H,0)</f>
        <v>0</v>
      </c>
      <c r="X486" s="17">
        <f>_xlfn.XLOOKUP($B486,'[1]Jul-25'!$A:$A,'[1]Jul-25'!$H:$H,0)</f>
        <v>0</v>
      </c>
      <c r="Y486" s="17">
        <f>_xlfn.XLOOKUP($B486,'[1]Aug-25'!$A:$A,'[1]Aug-25'!$H:$H,0)</f>
        <v>0</v>
      </c>
      <c r="Z486" s="17">
        <f>_xlfn.XLOOKUP($B486,'[1]Sep-25'!$A:$A,'[1]Sep-25'!$H:$H,0)</f>
        <v>0</v>
      </c>
      <c r="AA486" s="17">
        <f>_xlfn.XLOOKUP($B486,'[1]Oct-25'!$A:$A,'[1]Oct-25'!$H:$H,0)</f>
        <v>0</v>
      </c>
      <c r="AB486" s="17">
        <f>_xlfn.XLOOKUP($B486,'[1]Nov-25'!$A:$A,'[1]Nov-25'!$H:$H,0)</f>
        <v>0</v>
      </c>
      <c r="AC486" s="17">
        <f>_xlfn.XLOOKUP($B486,'[1]Dec-25'!$A:$A,'[1]Dec-25'!$H:$H,0)</f>
        <v>0</v>
      </c>
      <c r="AD486" s="17">
        <f>_xlfn.XLOOKUP($B486,'[1]Jan-26'!$A:$A,'[1]Jan-26'!$H:$H,0)</f>
        <v>0</v>
      </c>
      <c r="AE486" s="17">
        <f>_xlfn.XLOOKUP($B486,'[1]Feb-26'!$A:$A,'[1]Feb-26'!$H:$H,0)</f>
        <v>0</v>
      </c>
      <c r="AF486" s="17">
        <f>_xlfn.XLOOKUP($B486,'[1]Mar-26'!$A:$A,'[1]Mar-26'!$H:$H,0)</f>
        <v>0</v>
      </c>
      <c r="AG486" s="17">
        <f>_xlfn.XLOOKUP($B486,'[1]Apr-26'!$A:$A,'[1]Apr-26'!$H:$H,0)</f>
        <v>0</v>
      </c>
    </row>
    <row r="487" spans="1:33" x14ac:dyDescent="0.2">
      <c r="A487" s="58">
        <v>65030</v>
      </c>
      <c r="B487" s="56" t="str">
        <f t="shared" si="13"/>
        <v>65030</v>
      </c>
      <c r="C487" s="57" t="s">
        <v>565</v>
      </c>
      <c r="D487" s="57" t="s">
        <v>387</v>
      </c>
      <c r="E487" s="44" t="s">
        <v>668</v>
      </c>
      <c r="F487" s="17">
        <f>_xlfn.XLOOKUP($B487,'[1]Jan-24'!$A:$A,'[1]Jan-24'!$H:$H,0)</f>
        <v>9450127.9100000001</v>
      </c>
      <c r="G487" s="17">
        <f>_xlfn.XLOOKUP($B487,'[1]Feb-24'!$A:$A,'[1]Feb-24'!$H:$H,0)</f>
        <v>9092803.9800000004</v>
      </c>
      <c r="H487" s="17">
        <f>_xlfn.XLOOKUP($B487,'[1]Mar-24'!$A:$A,'[1]Mar-24'!$H:$H,0)</f>
        <v>10887626.039999999</v>
      </c>
      <c r="I487" s="17">
        <f>_xlfn.XLOOKUP($B487,'[1]Apr-24'!$A:$A,'[1]Apr-24'!$H:$H,0)</f>
        <v>14155123.349999998</v>
      </c>
      <c r="J487" s="17">
        <f>_xlfn.XLOOKUP($B487,'[1]May-24'!$A:$A,'[1]May-24'!$H:$H,0)</f>
        <v>14541972.779999999</v>
      </c>
      <c r="K487" s="17">
        <f>_xlfn.XLOOKUP($B487,'[1]Jun-24'!$A:$A,'[1]Jun-24'!$H:$H,0)</f>
        <v>15223124.91</v>
      </c>
      <c r="L487" s="17">
        <f>_xlfn.XLOOKUP($B487,'[1]Jul-24'!$A:$A,'[1]Jul-24'!$H:$H,0)</f>
        <v>14288374.1</v>
      </c>
      <c r="M487" s="17">
        <f>_xlfn.XLOOKUP($B487,'[1]Aug-24'!$A:$A,'[1]Aug-24'!$H:$H,0)</f>
        <v>14258451.09</v>
      </c>
      <c r="N487" s="17">
        <f>_xlfn.XLOOKUP($B487,'[1]Sep-24'!$A:$A,'[1]Sep-24'!$H:$H,0)</f>
        <v>14667020.449999999</v>
      </c>
      <c r="O487" s="17">
        <f>_xlfn.XLOOKUP($B487,'[1]Oct-24'!$A:$A,'[1]Oct-24'!$H:$H,0)</f>
        <v>15102430.039999999</v>
      </c>
      <c r="P487" s="17">
        <f>_xlfn.XLOOKUP($B487,'[1]Nov-24'!$A:$A,'[1]Nov-24'!$H:$H,0)</f>
        <v>14359521.949999999</v>
      </c>
      <c r="Q487" s="17">
        <f>_xlfn.XLOOKUP($B487,'[1]Dec-24'!$A:$A,'[1]Dec-24'!$H:$H,0)</f>
        <v>17737736.389999997</v>
      </c>
      <c r="R487" s="17">
        <f>_xlfn.XLOOKUP($B487,'[1]Jan-25'!$A:$A,'[1]Jan-25'!$H:$H,0)</f>
        <v>0</v>
      </c>
      <c r="S487" s="17">
        <f>_xlfn.XLOOKUP($B487,'[1]Feb-25'!$A:$A,'[1]Feb-25'!$H:$H,0)</f>
        <v>0</v>
      </c>
      <c r="T487" s="17">
        <f>_xlfn.XLOOKUP($B487,'[1]Mar-25'!$A:$A,'[1]Mar-25'!$H:$H,0)</f>
        <v>0</v>
      </c>
      <c r="U487" s="17">
        <f>_xlfn.XLOOKUP($B487,'[1]Apr-25'!$A:$A,'[1]Apr-25'!$H:$H,0)</f>
        <v>0</v>
      </c>
      <c r="V487" s="17">
        <f>_xlfn.XLOOKUP($B487,'[1]May-25'!$A:$A,'[1]May-25'!$H:$H,0)</f>
        <v>0</v>
      </c>
      <c r="W487" s="17">
        <f>_xlfn.XLOOKUP($B487,'[1]Jun-25'!$A:$A,'[1]Jun-25'!$H:$H,0)</f>
        <v>0</v>
      </c>
      <c r="X487" s="17">
        <f>_xlfn.XLOOKUP($B487,'[1]Jul-25'!$A:$A,'[1]Jul-25'!$H:$H,0)</f>
        <v>0</v>
      </c>
      <c r="Y487" s="17">
        <f>_xlfn.XLOOKUP($B487,'[1]Aug-25'!$A:$A,'[1]Aug-25'!$H:$H,0)</f>
        <v>0</v>
      </c>
      <c r="Z487" s="17">
        <f>_xlfn.XLOOKUP($B487,'[1]Sep-25'!$A:$A,'[1]Sep-25'!$H:$H,0)</f>
        <v>0</v>
      </c>
      <c r="AA487" s="17">
        <f>_xlfn.XLOOKUP($B487,'[1]Oct-25'!$A:$A,'[1]Oct-25'!$H:$H,0)</f>
        <v>0</v>
      </c>
      <c r="AB487" s="17">
        <f>_xlfn.XLOOKUP($B487,'[1]Nov-25'!$A:$A,'[1]Nov-25'!$H:$H,0)</f>
        <v>0</v>
      </c>
      <c r="AC487" s="17">
        <f>_xlfn.XLOOKUP($B487,'[1]Dec-25'!$A:$A,'[1]Dec-25'!$H:$H,0)</f>
        <v>0</v>
      </c>
      <c r="AD487" s="17">
        <f>_xlfn.XLOOKUP($B487,'[1]Jan-26'!$A:$A,'[1]Jan-26'!$H:$H,0)</f>
        <v>0</v>
      </c>
      <c r="AE487" s="17">
        <f>_xlfn.XLOOKUP($B487,'[1]Feb-26'!$A:$A,'[1]Feb-26'!$H:$H,0)</f>
        <v>0</v>
      </c>
      <c r="AF487" s="17">
        <f>_xlfn.XLOOKUP($B487,'[1]Mar-26'!$A:$A,'[1]Mar-26'!$H:$H,0)</f>
        <v>0</v>
      </c>
      <c r="AG487" s="17">
        <f>_xlfn.XLOOKUP($B487,'[1]Apr-26'!$A:$A,'[1]Apr-26'!$H:$H,0)</f>
        <v>0</v>
      </c>
    </row>
    <row r="488" spans="1:33" x14ac:dyDescent="0.2">
      <c r="A488" s="58">
        <v>65031</v>
      </c>
      <c r="B488" s="56" t="str">
        <f t="shared" si="13"/>
        <v>65031</v>
      </c>
      <c r="C488" s="57" t="s">
        <v>565</v>
      </c>
      <c r="D488" s="57" t="s">
        <v>387</v>
      </c>
      <c r="E488" s="44" t="s">
        <v>669</v>
      </c>
      <c r="F488" s="17">
        <f>_xlfn.XLOOKUP($B488,'[1]Jan-24'!$A:$A,'[1]Jan-24'!$H:$H,0)</f>
        <v>0</v>
      </c>
      <c r="G488" s="17">
        <f>_xlfn.XLOOKUP($B488,'[1]Feb-24'!$A:$A,'[1]Feb-24'!$H:$H,0)</f>
        <v>0</v>
      </c>
      <c r="H488" s="17">
        <f>_xlfn.XLOOKUP($B488,'[1]Mar-24'!$A:$A,'[1]Mar-24'!$H:$H,0)</f>
        <v>0</v>
      </c>
      <c r="I488" s="17">
        <f>_xlfn.XLOOKUP($B488,'[1]Apr-24'!$A:$A,'[1]Apr-24'!$H:$H,0)</f>
        <v>0</v>
      </c>
      <c r="J488" s="17">
        <f>_xlfn.XLOOKUP($B488,'[1]May-24'!$A:$A,'[1]May-24'!$H:$H,0)</f>
        <v>0</v>
      </c>
      <c r="K488" s="17">
        <f>_xlfn.XLOOKUP($B488,'[1]Jun-24'!$A:$A,'[1]Jun-24'!$H:$H,0)</f>
        <v>0</v>
      </c>
      <c r="L488" s="17">
        <f>_xlfn.XLOOKUP($B488,'[1]Jul-24'!$A:$A,'[1]Jul-24'!$H:$H,0)</f>
        <v>0</v>
      </c>
      <c r="M488" s="17">
        <f>_xlfn.XLOOKUP($B488,'[1]Aug-24'!$A:$A,'[1]Aug-24'!$H:$H,0)</f>
        <v>0</v>
      </c>
      <c r="N488" s="17">
        <f>_xlfn.XLOOKUP($B488,'[1]Sep-24'!$A:$A,'[1]Sep-24'!$H:$H,0)</f>
        <v>0</v>
      </c>
      <c r="O488" s="17">
        <f>_xlfn.XLOOKUP($B488,'[1]Oct-24'!$A:$A,'[1]Oct-24'!$H:$H,0)</f>
        <v>0</v>
      </c>
      <c r="P488" s="17">
        <f>_xlfn.XLOOKUP($B488,'[1]Nov-24'!$A:$A,'[1]Nov-24'!$H:$H,0)</f>
        <v>0</v>
      </c>
      <c r="Q488" s="17">
        <f>_xlfn.XLOOKUP($B488,'[1]Dec-24'!$A:$A,'[1]Dec-24'!$H:$H,0)</f>
        <v>0</v>
      </c>
      <c r="R488" s="17">
        <f>_xlfn.XLOOKUP($B488,'[1]Jan-25'!$A:$A,'[1]Jan-25'!$H:$H,0)</f>
        <v>12411901.17</v>
      </c>
      <c r="S488" s="17">
        <f>_xlfn.XLOOKUP($B488,'[1]Feb-25'!$A:$A,'[1]Feb-25'!$H:$H,0)</f>
        <v>12503854.66</v>
      </c>
      <c r="T488" s="17">
        <f>_xlfn.XLOOKUP($B488,'[1]Mar-25'!$A:$A,'[1]Mar-25'!$H:$H,0)</f>
        <v>12899916.720000001</v>
      </c>
      <c r="U488" s="17">
        <f>_xlfn.XLOOKUP($B488,'[1]Apr-25'!$A:$A,'[1]Apr-25'!$H:$H,0)</f>
        <v>12857404.23</v>
      </c>
      <c r="V488" s="17">
        <f>_xlfn.XLOOKUP($B488,'[1]May-25'!$A:$A,'[1]May-25'!$H:$H,0)</f>
        <v>12297881.49</v>
      </c>
      <c r="W488" s="17">
        <f>_xlfn.XLOOKUP($B488,'[1]Jun-25'!$A:$A,'[1]Jun-25'!$H:$H,0)</f>
        <v>12436731.699999999</v>
      </c>
      <c r="X488" s="17">
        <f>_xlfn.XLOOKUP($B488,'[1]Jul-25'!$A:$A,'[1]Jul-25'!$H:$H,0)</f>
        <v>12809935.99</v>
      </c>
      <c r="Y488" s="17">
        <f>_xlfn.XLOOKUP($B488,'[1]Aug-25'!$A:$A,'[1]Aug-25'!$H:$H,0)</f>
        <v>8153598.7300000004</v>
      </c>
      <c r="Z488" s="17">
        <f>_xlfn.XLOOKUP($B488,'[1]Sep-25'!$A:$A,'[1]Sep-25'!$H:$H,0)</f>
        <v>13338607.07</v>
      </c>
      <c r="AA488" s="17">
        <f>_xlfn.XLOOKUP($B488,'[1]Oct-25'!$A:$A,'[1]Oct-25'!$H:$H,0)</f>
        <v>13763907.050000001</v>
      </c>
      <c r="AB488" s="17">
        <f>_xlfn.XLOOKUP($B488,'[1]Nov-25'!$A:$A,'[1]Nov-25'!$H:$H,0)</f>
        <v>13608032.029999999</v>
      </c>
      <c r="AC488" s="17">
        <f>_xlfn.XLOOKUP($B488,'[1]Dec-25'!$A:$A,'[1]Dec-25'!$H:$H,0)</f>
        <v>20658503.449999999</v>
      </c>
      <c r="AD488" s="17">
        <f>_xlfn.XLOOKUP($B488,'[1]Jan-26'!$A:$A,'[1]Jan-26'!$H:$H,0)</f>
        <v>22675030.100000001</v>
      </c>
      <c r="AE488" s="17">
        <f>_xlfn.XLOOKUP($B488,'[1]Feb-26'!$A:$A,'[1]Feb-26'!$H:$H,0)</f>
        <v>22348070.48</v>
      </c>
      <c r="AF488" s="17">
        <f>_xlfn.XLOOKUP($B488,'[1]Mar-26'!$A:$A,'[1]Mar-26'!$H:$H,0)</f>
        <v>22064090.129999999</v>
      </c>
      <c r="AG488" s="17">
        <f>_xlfn.XLOOKUP($B488,'[1]Apr-26'!$A:$A,'[1]Apr-26'!$H:$H,0)</f>
        <v>22793669.02</v>
      </c>
    </row>
    <row r="489" spans="1:33" x14ac:dyDescent="0.2">
      <c r="A489" s="58">
        <v>65032</v>
      </c>
      <c r="B489" s="56" t="str">
        <f t="shared" si="13"/>
        <v>65032</v>
      </c>
      <c r="C489" s="57" t="s">
        <v>565</v>
      </c>
      <c r="D489" s="57" t="s">
        <v>387</v>
      </c>
      <c r="E489" s="44" t="s">
        <v>670</v>
      </c>
      <c r="F489" s="17">
        <f>_xlfn.XLOOKUP($B489,'[1]Jan-24'!$A:$A,'[1]Jan-24'!$H:$H,0)</f>
        <v>0</v>
      </c>
      <c r="G489" s="17">
        <f>_xlfn.XLOOKUP($B489,'[1]Feb-24'!$A:$A,'[1]Feb-24'!$H:$H,0)</f>
        <v>0</v>
      </c>
      <c r="H489" s="17">
        <f>_xlfn.XLOOKUP($B489,'[1]Mar-24'!$A:$A,'[1]Mar-24'!$H:$H,0)</f>
        <v>0</v>
      </c>
      <c r="I489" s="17">
        <f>_xlfn.XLOOKUP($B489,'[1]Apr-24'!$A:$A,'[1]Apr-24'!$H:$H,0)</f>
        <v>0</v>
      </c>
      <c r="J489" s="17">
        <f>_xlfn.XLOOKUP($B489,'[1]May-24'!$A:$A,'[1]May-24'!$H:$H,0)</f>
        <v>0</v>
      </c>
      <c r="K489" s="17">
        <f>_xlfn.XLOOKUP($B489,'[1]Jun-24'!$A:$A,'[1]Jun-24'!$H:$H,0)</f>
        <v>0</v>
      </c>
      <c r="L489" s="17">
        <f>_xlfn.XLOOKUP($B489,'[1]Jul-24'!$A:$A,'[1]Jul-24'!$H:$H,0)</f>
        <v>0</v>
      </c>
      <c r="M489" s="17">
        <f>_xlfn.XLOOKUP($B489,'[1]Aug-24'!$A:$A,'[1]Aug-24'!$H:$H,0)</f>
        <v>0</v>
      </c>
      <c r="N489" s="17">
        <f>_xlfn.XLOOKUP($B489,'[1]Sep-24'!$A:$A,'[1]Sep-24'!$H:$H,0)</f>
        <v>0</v>
      </c>
      <c r="O489" s="17">
        <f>_xlfn.XLOOKUP($B489,'[1]Oct-24'!$A:$A,'[1]Oct-24'!$H:$H,0)</f>
        <v>0</v>
      </c>
      <c r="P489" s="17">
        <f>_xlfn.XLOOKUP($B489,'[1]Nov-24'!$A:$A,'[1]Nov-24'!$H:$H,0)</f>
        <v>0</v>
      </c>
      <c r="Q489" s="17">
        <f>_xlfn.XLOOKUP($B489,'[1]Dec-24'!$A:$A,'[1]Dec-24'!$H:$H,0)</f>
        <v>0</v>
      </c>
      <c r="R489" s="17">
        <f>_xlfn.XLOOKUP($B489,'[1]Jan-25'!$A:$A,'[1]Jan-25'!$H:$H,0)</f>
        <v>3112491.94</v>
      </c>
      <c r="S489" s="17">
        <f>_xlfn.XLOOKUP($B489,'[1]Feb-25'!$A:$A,'[1]Feb-25'!$H:$H,0)</f>
        <v>3134513.54</v>
      </c>
      <c r="T489" s="17">
        <f>_xlfn.XLOOKUP($B489,'[1]Mar-25'!$A:$A,'[1]Mar-25'!$H:$H,0)</f>
        <v>3208290.8899999997</v>
      </c>
      <c r="U489" s="17">
        <f>_xlfn.XLOOKUP($B489,'[1]Apr-25'!$A:$A,'[1]Apr-25'!$H:$H,0)</f>
        <v>3194884.76</v>
      </c>
      <c r="V489" s="17">
        <f>_xlfn.XLOOKUP($B489,'[1]May-25'!$A:$A,'[1]May-25'!$H:$H,0)</f>
        <v>3052666.75</v>
      </c>
      <c r="W489" s="17">
        <f>_xlfn.XLOOKUP($B489,'[1]Jun-25'!$A:$A,'[1]Jun-25'!$H:$H,0)</f>
        <v>3101002.06</v>
      </c>
      <c r="X489" s="17">
        <f>_xlfn.XLOOKUP($B489,'[1]Jul-25'!$A:$A,'[1]Jul-25'!$H:$H,0)</f>
        <v>3182287.82</v>
      </c>
      <c r="Y489" s="17">
        <f>_xlfn.XLOOKUP($B489,'[1]Aug-25'!$A:$A,'[1]Aug-25'!$H:$H,0)</f>
        <v>1873531.9100000001</v>
      </c>
      <c r="Z489" s="17">
        <f>_xlfn.XLOOKUP($B489,'[1]Sep-25'!$A:$A,'[1]Sep-25'!$H:$H,0)</f>
        <v>3255030.33</v>
      </c>
      <c r="AA489" s="17">
        <f>_xlfn.XLOOKUP($B489,'[1]Oct-25'!$A:$A,'[1]Oct-25'!$H:$H,0)</f>
        <v>3356401.45</v>
      </c>
      <c r="AB489" s="17">
        <f>_xlfn.XLOOKUP($B489,'[1]Nov-25'!$A:$A,'[1]Nov-25'!$H:$H,0)</f>
        <v>3155862.88</v>
      </c>
      <c r="AC489" s="17">
        <f>_xlfn.XLOOKUP($B489,'[1]Dec-25'!$A:$A,'[1]Dec-25'!$H:$H,0)</f>
        <v>3438071.05</v>
      </c>
      <c r="AD489" s="17">
        <f>_xlfn.XLOOKUP($B489,'[1]Jan-26'!$A:$A,'[1]Jan-26'!$H:$H,0)</f>
        <v>5112340.37</v>
      </c>
      <c r="AE489" s="17">
        <f>_xlfn.XLOOKUP($B489,'[1]Feb-26'!$A:$A,'[1]Feb-26'!$H:$H,0)</f>
        <v>5222915.91</v>
      </c>
      <c r="AF489" s="17">
        <f>_xlfn.XLOOKUP($B489,'[1]Mar-26'!$A:$A,'[1]Mar-26'!$H:$H,0)</f>
        <v>5180295.25</v>
      </c>
      <c r="AG489" s="17">
        <f>_xlfn.XLOOKUP($B489,'[1]Apr-26'!$A:$A,'[1]Apr-26'!$H:$H,0)</f>
        <v>5326225.57</v>
      </c>
    </row>
    <row r="490" spans="1:33" x14ac:dyDescent="0.2">
      <c r="A490" s="58">
        <v>65035</v>
      </c>
      <c r="B490" s="56" t="str">
        <f t="shared" si="13"/>
        <v>65035</v>
      </c>
      <c r="C490" s="57" t="s">
        <v>565</v>
      </c>
      <c r="D490" s="57" t="s">
        <v>387</v>
      </c>
      <c r="E490" s="44" t="s">
        <v>671</v>
      </c>
      <c r="F490" s="17">
        <f>_xlfn.XLOOKUP($B490,'[1]Jan-24'!$A:$A,'[1]Jan-24'!$H:$H,0)</f>
        <v>27891534.939999998</v>
      </c>
      <c r="G490" s="17">
        <f>_xlfn.XLOOKUP($B490,'[1]Feb-24'!$A:$A,'[1]Feb-24'!$H:$H,0)</f>
        <v>39039542.810000002</v>
      </c>
      <c r="H490" s="17">
        <f>_xlfn.XLOOKUP($B490,'[1]Mar-24'!$A:$A,'[1]Mar-24'!$H:$H,0)</f>
        <v>38938671.060000002</v>
      </c>
      <c r="I490" s="17">
        <f>_xlfn.XLOOKUP($B490,'[1]Apr-24'!$A:$A,'[1]Apr-24'!$H:$H,0)</f>
        <v>46570872.930000007</v>
      </c>
      <c r="J490" s="17">
        <f>_xlfn.XLOOKUP($B490,'[1]May-24'!$A:$A,'[1]May-24'!$H:$H,0)</f>
        <v>44354708.359999999</v>
      </c>
      <c r="K490" s="17">
        <f>_xlfn.XLOOKUP($B490,'[1]Jun-24'!$A:$A,'[1]Jun-24'!$H:$H,0)</f>
        <v>46418583.670000002</v>
      </c>
      <c r="L490" s="17">
        <f>_xlfn.XLOOKUP($B490,'[1]Jul-24'!$A:$A,'[1]Jul-24'!$H:$H,0)</f>
        <v>49258981.020000003</v>
      </c>
      <c r="M490" s="17">
        <f>_xlfn.XLOOKUP($B490,'[1]Aug-24'!$A:$A,'[1]Aug-24'!$H:$H,0)</f>
        <v>49435803.259999998</v>
      </c>
      <c r="N490" s="17">
        <f>_xlfn.XLOOKUP($B490,'[1]Sep-24'!$A:$A,'[1]Sep-24'!$H:$H,0)</f>
        <v>51285471.339999996</v>
      </c>
      <c r="O490" s="17">
        <f>_xlfn.XLOOKUP($B490,'[1]Oct-24'!$A:$A,'[1]Oct-24'!$H:$H,0)</f>
        <v>55034072.039999999</v>
      </c>
      <c r="P490" s="17">
        <f>_xlfn.XLOOKUP($B490,'[1]Nov-24'!$A:$A,'[1]Nov-24'!$H:$H,0)</f>
        <v>54877192.770000003</v>
      </c>
      <c r="Q490" s="17">
        <f>_xlfn.XLOOKUP($B490,'[1]Dec-24'!$A:$A,'[1]Dec-24'!$H:$H,0)</f>
        <v>74276612.810000002</v>
      </c>
      <c r="R490" s="17">
        <f>_xlfn.XLOOKUP($B490,'[1]Jan-25'!$A:$A,'[1]Jan-25'!$H:$H,0)</f>
        <v>78270908</v>
      </c>
      <c r="S490" s="17">
        <f>_xlfn.XLOOKUP($B490,'[1]Feb-25'!$A:$A,'[1]Feb-25'!$H:$H,0)</f>
        <v>80125127</v>
      </c>
      <c r="T490" s="17">
        <f>_xlfn.XLOOKUP($B490,'[1]Mar-25'!$A:$A,'[1]Mar-25'!$H:$H,0)</f>
        <v>85793860.340000004</v>
      </c>
      <c r="U490" s="17">
        <f>_xlfn.XLOOKUP($B490,'[1]Apr-25'!$A:$A,'[1]Apr-25'!$H:$H,0)</f>
        <v>85709176.069999993</v>
      </c>
      <c r="V490" s="17">
        <f>_xlfn.XLOOKUP($B490,'[1]May-25'!$A:$A,'[1]May-25'!$H:$H,0)</f>
        <v>86221936.040000007</v>
      </c>
      <c r="W490" s="17">
        <f>_xlfn.XLOOKUP($B490,'[1]Jun-25'!$A:$A,'[1]Jun-25'!$H:$H,0)</f>
        <v>85651897.510000005</v>
      </c>
      <c r="X490" s="17">
        <f>_xlfn.XLOOKUP($B490,'[1]Jul-25'!$A:$A,'[1]Jul-25'!$H:$H,0)</f>
        <v>83649805.469999999</v>
      </c>
      <c r="Y490" s="17">
        <f>_xlfn.XLOOKUP($B490,'[1]Aug-25'!$A:$A,'[1]Aug-25'!$H:$H,0)</f>
        <v>81711075.290000007</v>
      </c>
      <c r="Z490" s="17">
        <f>_xlfn.XLOOKUP($B490,'[1]Sep-25'!$A:$A,'[1]Sep-25'!$H:$H,0)</f>
        <v>78514097.719999999</v>
      </c>
      <c r="AA490" s="17">
        <f>_xlfn.XLOOKUP($B490,'[1]Oct-25'!$A:$A,'[1]Oct-25'!$H:$H,0)</f>
        <v>83708633.420000002</v>
      </c>
      <c r="AB490" s="17">
        <f>_xlfn.XLOOKUP($B490,'[1]Nov-25'!$A:$A,'[1]Nov-25'!$H:$H,0)</f>
        <v>80602058</v>
      </c>
      <c r="AC490" s="17">
        <f>_xlfn.XLOOKUP($B490,'[1]Dec-25'!$A:$A,'[1]Dec-25'!$H:$H,0)</f>
        <v>122655939</v>
      </c>
      <c r="AD490" s="17">
        <f>_xlfn.XLOOKUP($B490,'[1]Jan-26'!$A:$A,'[1]Jan-26'!$H:$H,0)</f>
        <v>77297946.950000003</v>
      </c>
      <c r="AE490" s="17">
        <f>_xlfn.XLOOKUP($B490,'[1]Feb-26'!$A:$A,'[1]Feb-26'!$H:$H,0)</f>
        <v>71316126.299999997</v>
      </c>
      <c r="AF490" s="17">
        <f>_xlfn.XLOOKUP($B490,'[1]Mar-26'!$A:$A,'[1]Mar-26'!$H:$H,0)</f>
        <v>72114788.569999993</v>
      </c>
      <c r="AG490" s="17">
        <f>_xlfn.XLOOKUP($B490,'[1]Apr-26'!$A:$A,'[1]Apr-26'!$H:$H,0)</f>
        <v>73683635.010000005</v>
      </c>
    </row>
    <row r="491" spans="1:33" x14ac:dyDescent="0.2">
      <c r="A491" s="58">
        <v>65036</v>
      </c>
      <c r="B491" s="56" t="str">
        <f t="shared" si="13"/>
        <v>65036</v>
      </c>
      <c r="C491" s="57" t="s">
        <v>565</v>
      </c>
      <c r="D491" s="57" t="s">
        <v>387</v>
      </c>
      <c r="E491" s="44" t="s">
        <v>672</v>
      </c>
      <c r="F491" s="17">
        <f>_xlfn.XLOOKUP($B491,'[1]Jan-24'!$A:$A,'[1]Jan-24'!$H:$H,0)</f>
        <v>0</v>
      </c>
      <c r="G491" s="17">
        <f>_xlfn.XLOOKUP($B491,'[1]Feb-24'!$A:$A,'[1]Feb-24'!$H:$H,0)</f>
        <v>0</v>
      </c>
      <c r="H491" s="17">
        <f>_xlfn.XLOOKUP($B491,'[1]Mar-24'!$A:$A,'[1]Mar-24'!$H:$H,0)</f>
        <v>0</v>
      </c>
      <c r="I491" s="17">
        <f>_xlfn.XLOOKUP($B491,'[1]Apr-24'!$A:$A,'[1]Apr-24'!$H:$H,0)</f>
        <v>0</v>
      </c>
      <c r="J491" s="17">
        <f>_xlfn.XLOOKUP($B491,'[1]May-24'!$A:$A,'[1]May-24'!$H:$H,0)</f>
        <v>0</v>
      </c>
      <c r="K491" s="17">
        <f>_xlfn.XLOOKUP($B491,'[1]Jun-24'!$A:$A,'[1]Jun-24'!$H:$H,0)</f>
        <v>0</v>
      </c>
      <c r="L491" s="17">
        <f>_xlfn.XLOOKUP($B491,'[1]Jul-24'!$A:$A,'[1]Jul-24'!$H:$H,0)</f>
        <v>0</v>
      </c>
      <c r="M491" s="17">
        <f>_xlfn.XLOOKUP($B491,'[1]Aug-24'!$A:$A,'[1]Aug-24'!$H:$H,0)</f>
        <v>0</v>
      </c>
      <c r="N491" s="17">
        <f>_xlfn.XLOOKUP($B491,'[1]Sep-24'!$A:$A,'[1]Sep-24'!$H:$H,0)</f>
        <v>0</v>
      </c>
      <c r="O491" s="17">
        <f>_xlfn.XLOOKUP($B491,'[1]Oct-24'!$A:$A,'[1]Oct-24'!$H:$H,0)</f>
        <v>0</v>
      </c>
      <c r="P491" s="17">
        <f>_xlfn.XLOOKUP($B491,'[1]Nov-24'!$A:$A,'[1]Nov-24'!$H:$H,0)</f>
        <v>0</v>
      </c>
      <c r="Q491" s="17">
        <f>_xlfn.XLOOKUP($B491,'[1]Dec-24'!$A:$A,'[1]Dec-24'!$H:$H,0)</f>
        <v>0</v>
      </c>
      <c r="R491" s="17">
        <f>_xlfn.XLOOKUP($B491,'[1]Jan-25'!$A:$A,'[1]Jan-25'!$H:$H,0)</f>
        <v>0</v>
      </c>
      <c r="S491" s="17">
        <f>_xlfn.XLOOKUP($B491,'[1]Feb-25'!$A:$A,'[1]Feb-25'!$H:$H,0)</f>
        <v>0</v>
      </c>
      <c r="T491" s="17">
        <f>_xlfn.XLOOKUP($B491,'[1]Mar-25'!$A:$A,'[1]Mar-25'!$H:$H,0)</f>
        <v>3469348.8500000015</v>
      </c>
      <c r="U491" s="17">
        <f>_xlfn.XLOOKUP($B491,'[1]Apr-25'!$A:$A,'[1]Apr-25'!$H:$H,0)</f>
        <v>1146213.42</v>
      </c>
      <c r="V491" s="17">
        <f>_xlfn.XLOOKUP($B491,'[1]May-25'!$A:$A,'[1]May-25'!$H:$H,0)</f>
        <v>1146213.42</v>
      </c>
      <c r="W491" s="17">
        <f>_xlfn.XLOOKUP($B491,'[1]Jun-25'!$A:$A,'[1]Jun-25'!$H:$H,0)</f>
        <v>1146213.42</v>
      </c>
      <c r="X491" s="17">
        <f>_xlfn.XLOOKUP($B491,'[1]Jul-25'!$A:$A,'[1]Jul-25'!$H:$H,0)</f>
        <v>1146213.42</v>
      </c>
      <c r="Y491" s="17">
        <f>_xlfn.XLOOKUP($B491,'[1]Aug-25'!$A:$A,'[1]Aug-25'!$H:$H,0)</f>
        <v>1146213.42</v>
      </c>
      <c r="Z491" s="17">
        <f>_xlfn.XLOOKUP($B491,'[1]Sep-25'!$A:$A,'[1]Sep-25'!$H:$H,0)</f>
        <v>1146213.42</v>
      </c>
      <c r="AA491" s="17">
        <f>_xlfn.XLOOKUP($B491,'[1]Oct-25'!$A:$A,'[1]Oct-25'!$H:$H,0)</f>
        <v>1146213.42</v>
      </c>
      <c r="AB491" s="17">
        <f>_xlfn.XLOOKUP($B491,'[1]Nov-25'!$A:$A,'[1]Nov-25'!$H:$H,0)</f>
        <v>1146213.42</v>
      </c>
      <c r="AC491" s="17">
        <f>_xlfn.XLOOKUP($B491,'[1]Dec-25'!$A:$A,'[1]Dec-25'!$H:$H,0)</f>
        <v>1146213.42</v>
      </c>
      <c r="AD491" s="17">
        <f>_xlfn.XLOOKUP($B491,'[1]Jan-26'!$A:$A,'[1]Jan-26'!$H:$H,0)</f>
        <v>1303600.6200000001</v>
      </c>
      <c r="AE491" s="17">
        <f>_xlfn.XLOOKUP($B491,'[1]Feb-26'!$A:$A,'[1]Feb-26'!$H:$H,0)</f>
        <v>1303600.6200000001</v>
      </c>
      <c r="AF491" s="17">
        <f>_xlfn.XLOOKUP($B491,'[1]Mar-26'!$A:$A,'[1]Mar-26'!$H:$H,0)</f>
        <v>1333560.3199999998</v>
      </c>
      <c r="AG491" s="17">
        <f>_xlfn.XLOOKUP($B491,'[1]Apr-26'!$A:$A,'[1]Apr-26'!$H:$H,0)</f>
        <v>1303587.19</v>
      </c>
    </row>
    <row r="492" spans="1:33" x14ac:dyDescent="0.2">
      <c r="A492" s="58">
        <v>65037</v>
      </c>
      <c r="B492" s="56" t="str">
        <f t="shared" si="13"/>
        <v>65037</v>
      </c>
      <c r="C492" s="57" t="s">
        <v>565</v>
      </c>
      <c r="D492" s="57" t="s">
        <v>387</v>
      </c>
      <c r="E492" s="44" t="s">
        <v>673</v>
      </c>
      <c r="F492" s="17">
        <f>_xlfn.XLOOKUP($B492,'[1]Jan-24'!$A:$A,'[1]Jan-24'!$H:$H,0)</f>
        <v>0</v>
      </c>
      <c r="G492" s="17">
        <f>_xlfn.XLOOKUP($B492,'[1]Feb-24'!$A:$A,'[1]Feb-24'!$H:$H,0)</f>
        <v>0</v>
      </c>
      <c r="H492" s="17">
        <f>_xlfn.XLOOKUP($B492,'[1]Mar-24'!$A:$A,'[1]Mar-24'!$H:$H,0)</f>
        <v>0</v>
      </c>
      <c r="I492" s="17">
        <f>_xlfn.XLOOKUP($B492,'[1]Apr-24'!$A:$A,'[1]Apr-24'!$H:$H,0)</f>
        <v>6700175.4100000001</v>
      </c>
      <c r="J492" s="17">
        <f>_xlfn.XLOOKUP($B492,'[1]May-24'!$A:$A,'[1]May-24'!$H:$H,0)</f>
        <v>0</v>
      </c>
      <c r="K492" s="17">
        <f>_xlfn.XLOOKUP($B492,'[1]Jun-24'!$A:$A,'[1]Jun-24'!$H:$H,0)</f>
        <v>0</v>
      </c>
      <c r="L492" s="17">
        <f>_xlfn.XLOOKUP($B492,'[1]Jul-24'!$A:$A,'[1]Jul-24'!$H:$H,0)</f>
        <v>0</v>
      </c>
      <c r="M492" s="17">
        <f>_xlfn.XLOOKUP($B492,'[1]Aug-24'!$A:$A,'[1]Aug-24'!$H:$H,0)</f>
        <v>0</v>
      </c>
      <c r="N492" s="17">
        <f>_xlfn.XLOOKUP($B492,'[1]Sep-24'!$A:$A,'[1]Sep-24'!$H:$H,0)</f>
        <v>0</v>
      </c>
      <c r="O492" s="17">
        <f>_xlfn.XLOOKUP($B492,'[1]Oct-24'!$A:$A,'[1]Oct-24'!$H:$H,0)</f>
        <v>0</v>
      </c>
      <c r="P492" s="17">
        <f>_xlfn.XLOOKUP($B492,'[1]Nov-24'!$A:$A,'[1]Nov-24'!$H:$H,0)</f>
        <v>0</v>
      </c>
      <c r="Q492" s="17">
        <f>_xlfn.XLOOKUP($B492,'[1]Dec-24'!$A:$A,'[1]Dec-24'!$H:$H,0)</f>
        <v>0</v>
      </c>
      <c r="R492" s="17">
        <f>_xlfn.XLOOKUP($B492,'[1]Jan-25'!$A:$A,'[1]Jan-25'!$H:$H,0)</f>
        <v>0</v>
      </c>
      <c r="S492" s="17">
        <f>_xlfn.XLOOKUP($B492,'[1]Feb-25'!$A:$A,'[1]Feb-25'!$H:$H,0)</f>
        <v>0</v>
      </c>
      <c r="T492" s="17">
        <f>_xlfn.XLOOKUP($B492,'[1]Mar-25'!$A:$A,'[1]Mar-25'!$H:$H,0)</f>
        <v>0</v>
      </c>
      <c r="U492" s="17">
        <f>_xlfn.XLOOKUP($B492,'[1]Apr-25'!$A:$A,'[1]Apr-25'!$H:$H,0)</f>
        <v>9431128.7100000009</v>
      </c>
      <c r="V492" s="17">
        <f>_xlfn.XLOOKUP($B492,'[1]May-25'!$A:$A,'[1]May-25'!$H:$H,0)</f>
        <v>0</v>
      </c>
      <c r="W492" s="17">
        <f>_xlfn.XLOOKUP($B492,'[1]Jun-25'!$A:$A,'[1]Jun-25'!$H:$H,0)</f>
        <v>-603015.78</v>
      </c>
      <c r="X492" s="17">
        <f>_xlfn.XLOOKUP($B492,'[1]Jul-25'!$A:$A,'[1]Jul-25'!$H:$H,0)</f>
        <v>0</v>
      </c>
      <c r="Y492" s="17">
        <f>_xlfn.XLOOKUP($B492,'[1]Aug-25'!$A:$A,'[1]Aug-25'!$H:$H,0)</f>
        <v>0</v>
      </c>
      <c r="Z492" s="17">
        <f>_xlfn.XLOOKUP($B492,'[1]Sep-25'!$A:$A,'[1]Sep-25'!$H:$H,0)</f>
        <v>0</v>
      </c>
      <c r="AA492" s="17">
        <f>_xlfn.XLOOKUP($B492,'[1]Oct-25'!$A:$A,'[1]Oct-25'!$H:$H,0)</f>
        <v>0</v>
      </c>
      <c r="AB492" s="17">
        <f>_xlfn.XLOOKUP($B492,'[1]Nov-25'!$A:$A,'[1]Nov-25'!$H:$H,0)</f>
        <v>0</v>
      </c>
      <c r="AC492" s="17">
        <f>_xlfn.XLOOKUP($B492,'[1]Dec-25'!$A:$A,'[1]Dec-25'!$H:$H,0)</f>
        <v>0</v>
      </c>
      <c r="AD492" s="17">
        <f>_xlfn.XLOOKUP($B492,'[1]Jan-26'!$A:$A,'[1]Jan-26'!$H:$H,0)</f>
        <v>0</v>
      </c>
      <c r="AE492" s="17">
        <f>_xlfn.XLOOKUP($B492,'[1]Feb-26'!$A:$A,'[1]Feb-26'!$H:$H,0)</f>
        <v>0</v>
      </c>
      <c r="AF492" s="17">
        <f>_xlfn.XLOOKUP($B492,'[1]Mar-26'!$A:$A,'[1]Mar-26'!$H:$H,0)</f>
        <v>0</v>
      </c>
      <c r="AG492" s="17">
        <f>_xlfn.XLOOKUP($B492,'[1]Apr-26'!$A:$A,'[1]Apr-26'!$H:$H,0)</f>
        <v>0</v>
      </c>
    </row>
    <row r="493" spans="1:33" x14ac:dyDescent="0.2">
      <c r="A493" s="58">
        <v>65050</v>
      </c>
      <c r="B493" s="56" t="str">
        <f t="shared" si="13"/>
        <v>65050</v>
      </c>
      <c r="C493" s="57" t="s">
        <v>552</v>
      </c>
      <c r="D493" s="57" t="s">
        <v>387</v>
      </c>
      <c r="E493" s="44" t="s">
        <v>674</v>
      </c>
      <c r="F493" s="17">
        <f>_xlfn.XLOOKUP($B493,'[1]Jan-24'!$A:$A,'[1]Jan-24'!$H:$H,0)</f>
        <v>0</v>
      </c>
      <c r="G493" s="17">
        <f>_xlfn.XLOOKUP($B493,'[1]Feb-24'!$A:$A,'[1]Feb-24'!$H:$H,0)</f>
        <v>0</v>
      </c>
      <c r="H493" s="17">
        <f>_xlfn.XLOOKUP($B493,'[1]Mar-24'!$A:$A,'[1]Mar-24'!$H:$H,0)</f>
        <v>0</v>
      </c>
      <c r="I493" s="17">
        <f>_xlfn.XLOOKUP($B493,'[1]Apr-24'!$A:$A,'[1]Apr-24'!$H:$H,0)</f>
        <v>0</v>
      </c>
      <c r="J493" s="17">
        <f>_xlfn.XLOOKUP($B493,'[1]May-24'!$A:$A,'[1]May-24'!$H:$H,0)</f>
        <v>0</v>
      </c>
      <c r="K493" s="17">
        <f>_xlfn.XLOOKUP($B493,'[1]Jun-24'!$A:$A,'[1]Jun-24'!$H:$H,0)</f>
        <v>0</v>
      </c>
      <c r="L493" s="17">
        <f>_xlfn.XLOOKUP($B493,'[1]Jul-24'!$A:$A,'[1]Jul-24'!$H:$H,0)</f>
        <v>0</v>
      </c>
      <c r="M493" s="17">
        <f>_xlfn.XLOOKUP($B493,'[1]Aug-24'!$A:$A,'[1]Aug-24'!$H:$H,0)</f>
        <v>0</v>
      </c>
      <c r="N493" s="17">
        <f>_xlfn.XLOOKUP($B493,'[1]Sep-24'!$A:$A,'[1]Sep-24'!$H:$H,0)</f>
        <v>0</v>
      </c>
      <c r="O493" s="17">
        <f>_xlfn.XLOOKUP($B493,'[1]Oct-24'!$A:$A,'[1]Oct-24'!$H:$H,0)</f>
        <v>0</v>
      </c>
      <c r="P493" s="17">
        <f>_xlfn.XLOOKUP($B493,'[1]Nov-24'!$A:$A,'[1]Nov-24'!$H:$H,0)</f>
        <v>0</v>
      </c>
      <c r="Q493" s="17">
        <f>_xlfn.XLOOKUP($B493,'[1]Dec-24'!$A:$A,'[1]Dec-24'!$H:$H,0)</f>
        <v>0</v>
      </c>
      <c r="R493" s="17">
        <f>_xlfn.XLOOKUP($B493,'[1]Jan-25'!$A:$A,'[1]Jan-25'!$H:$H,0)</f>
        <v>0</v>
      </c>
      <c r="S493" s="17">
        <f>_xlfn.XLOOKUP($B493,'[1]Feb-25'!$A:$A,'[1]Feb-25'!$H:$H,0)</f>
        <v>0</v>
      </c>
      <c r="T493" s="17">
        <f>_xlfn.XLOOKUP($B493,'[1]Mar-25'!$A:$A,'[1]Mar-25'!$H:$H,0)</f>
        <v>0</v>
      </c>
      <c r="U493" s="17">
        <f>_xlfn.XLOOKUP($B493,'[1]Apr-25'!$A:$A,'[1]Apr-25'!$H:$H,0)</f>
        <v>0</v>
      </c>
      <c r="V493" s="17">
        <f>_xlfn.XLOOKUP($B493,'[1]May-25'!$A:$A,'[1]May-25'!$H:$H,0)</f>
        <v>0</v>
      </c>
      <c r="W493" s="17">
        <f>_xlfn.XLOOKUP($B493,'[1]Jun-25'!$A:$A,'[1]Jun-25'!$H:$H,0)</f>
        <v>0</v>
      </c>
      <c r="X493" s="17">
        <f>_xlfn.XLOOKUP($B493,'[1]Jul-25'!$A:$A,'[1]Jul-25'!$H:$H,0)</f>
        <v>0</v>
      </c>
      <c r="Y493" s="17">
        <f>_xlfn.XLOOKUP($B493,'[1]Aug-25'!$A:$A,'[1]Aug-25'!$H:$H,0)</f>
        <v>0</v>
      </c>
      <c r="Z493" s="17">
        <f>_xlfn.XLOOKUP($B493,'[1]Sep-25'!$A:$A,'[1]Sep-25'!$H:$H,0)</f>
        <v>0</v>
      </c>
      <c r="AA493" s="17">
        <f>_xlfn.XLOOKUP($B493,'[1]Oct-25'!$A:$A,'[1]Oct-25'!$H:$H,0)</f>
        <v>0</v>
      </c>
      <c r="AB493" s="17">
        <f>_xlfn.XLOOKUP($B493,'[1]Nov-25'!$A:$A,'[1]Nov-25'!$H:$H,0)</f>
        <v>0</v>
      </c>
      <c r="AC493" s="17">
        <f>_xlfn.XLOOKUP($B493,'[1]Dec-25'!$A:$A,'[1]Dec-25'!$H:$H,0)</f>
        <v>0</v>
      </c>
      <c r="AD493" s="17">
        <f>_xlfn.XLOOKUP($B493,'[1]Jan-26'!$A:$A,'[1]Jan-26'!$H:$H,0)</f>
        <v>0</v>
      </c>
      <c r="AE493" s="17">
        <f>_xlfn.XLOOKUP($B493,'[1]Feb-26'!$A:$A,'[1]Feb-26'!$H:$H,0)</f>
        <v>0</v>
      </c>
      <c r="AF493" s="17">
        <f>_xlfn.XLOOKUP($B493,'[1]Mar-26'!$A:$A,'[1]Mar-26'!$H:$H,0)</f>
        <v>0</v>
      </c>
      <c r="AG493" s="17">
        <f>_xlfn.XLOOKUP($B493,'[1]Apr-26'!$A:$A,'[1]Apr-26'!$H:$H,0)</f>
        <v>0</v>
      </c>
    </row>
    <row r="494" spans="1:33" x14ac:dyDescent="0.2">
      <c r="A494" s="58">
        <v>65095</v>
      </c>
      <c r="B494" s="56" t="str">
        <f t="shared" si="13"/>
        <v>65095</v>
      </c>
      <c r="C494" s="57" t="s">
        <v>552</v>
      </c>
      <c r="D494" s="57" t="s">
        <v>387</v>
      </c>
      <c r="E494" s="44" t="s">
        <v>675</v>
      </c>
      <c r="F494" s="17">
        <f>_xlfn.XLOOKUP($B494,'[1]Jan-24'!$A:$A,'[1]Jan-24'!$H:$H,0)</f>
        <v>6314445</v>
      </c>
      <c r="G494" s="17">
        <f>_xlfn.XLOOKUP($B494,'[1]Feb-24'!$A:$A,'[1]Feb-24'!$H:$H,0)</f>
        <v>10365876.810000001</v>
      </c>
      <c r="H494" s="17">
        <f>_xlfn.XLOOKUP($B494,'[1]Mar-24'!$A:$A,'[1]Mar-24'!$H:$H,0)</f>
        <v>9979670.4700000007</v>
      </c>
      <c r="I494" s="17">
        <f>_xlfn.XLOOKUP($B494,'[1]Apr-24'!$A:$A,'[1]Apr-24'!$H:$H,0)</f>
        <v>3600571.7599999979</v>
      </c>
      <c r="J494" s="17">
        <f>_xlfn.XLOOKUP($B494,'[1]May-24'!$A:$A,'[1]May-24'!$H:$H,0)</f>
        <v>5930794.0600000005</v>
      </c>
      <c r="K494" s="17">
        <f>_xlfn.XLOOKUP($B494,'[1]Jun-24'!$A:$A,'[1]Jun-24'!$H:$H,0)</f>
        <v>12319265.34</v>
      </c>
      <c r="L494" s="17">
        <f>_xlfn.XLOOKUP($B494,'[1]Jul-24'!$A:$A,'[1]Jul-24'!$H:$H,0)</f>
        <v>2507052.41</v>
      </c>
      <c r="M494" s="17">
        <f>_xlfn.XLOOKUP($B494,'[1]Aug-24'!$A:$A,'[1]Aug-24'!$H:$H,0)</f>
        <v>8564675.7899999991</v>
      </c>
      <c r="N494" s="17">
        <f>_xlfn.XLOOKUP($B494,'[1]Sep-24'!$A:$A,'[1]Sep-24'!$H:$H,0)</f>
        <v>9587724.7400000002</v>
      </c>
      <c r="O494" s="17">
        <f>_xlfn.XLOOKUP($B494,'[1]Oct-24'!$A:$A,'[1]Oct-24'!$H:$H,0)</f>
        <v>5896357.8600000003</v>
      </c>
      <c r="P494" s="17">
        <f>_xlfn.XLOOKUP($B494,'[1]Nov-24'!$A:$A,'[1]Nov-24'!$H:$H,0)</f>
        <v>14076288.890000001</v>
      </c>
      <c r="Q494" s="17">
        <f>_xlfn.XLOOKUP($B494,'[1]Dec-24'!$A:$A,'[1]Dec-24'!$H:$H,0)</f>
        <v>15981965.469999999</v>
      </c>
      <c r="R494" s="17">
        <f>_xlfn.XLOOKUP($B494,'[1]Jan-25'!$A:$A,'[1]Jan-25'!$H:$H,0)</f>
        <v>7451971.54</v>
      </c>
      <c r="S494" s="17">
        <f>_xlfn.XLOOKUP($B494,'[1]Feb-25'!$A:$A,'[1]Feb-25'!$H:$H,0)</f>
        <v>8285337.0599999996</v>
      </c>
      <c r="T494" s="17">
        <f>_xlfn.XLOOKUP($B494,'[1]Mar-25'!$A:$A,'[1]Mar-25'!$H:$H,0)</f>
        <v>8313416.3300000001</v>
      </c>
      <c r="U494" s="17">
        <f>_xlfn.XLOOKUP($B494,'[1]Apr-25'!$A:$A,'[1]Apr-25'!$H:$H,0)</f>
        <v>9870206.209999999</v>
      </c>
      <c r="V494" s="17">
        <f>_xlfn.XLOOKUP($B494,'[1]May-25'!$A:$A,'[1]May-25'!$H:$H,0)</f>
        <v>9555258.0199999996</v>
      </c>
      <c r="W494" s="17">
        <f>_xlfn.XLOOKUP($B494,'[1]Jun-25'!$A:$A,'[1]Jun-25'!$H:$H,0)</f>
        <v>8276075.2000000002</v>
      </c>
      <c r="X494" s="17">
        <f>_xlfn.XLOOKUP($B494,'[1]Jul-25'!$A:$A,'[1]Jul-25'!$H:$H,0)</f>
        <v>6835930.5599999996</v>
      </c>
      <c r="Y494" s="17">
        <f>_xlfn.XLOOKUP($B494,'[1]Aug-25'!$A:$A,'[1]Aug-25'!$H:$H,0)</f>
        <v>6015346.75</v>
      </c>
      <c r="Z494" s="17">
        <f>_xlfn.XLOOKUP($B494,'[1]Sep-25'!$A:$A,'[1]Sep-25'!$H:$H,0)</f>
        <v>5198259.92</v>
      </c>
      <c r="AA494" s="17">
        <f>_xlfn.XLOOKUP($B494,'[1]Oct-25'!$A:$A,'[1]Oct-25'!$H:$H,0)</f>
        <v>4343605.45</v>
      </c>
      <c r="AB494" s="17">
        <f>_xlfn.XLOOKUP($B494,'[1]Nov-25'!$A:$A,'[1]Nov-25'!$H:$H,0)</f>
        <v>3482423.85</v>
      </c>
      <c r="AC494" s="17">
        <f>_xlfn.XLOOKUP($B494,'[1]Dec-25'!$A:$A,'[1]Dec-25'!$H:$H,0)</f>
        <v>3046548.4800000004</v>
      </c>
      <c r="AD494" s="17">
        <f>_xlfn.XLOOKUP($B494,'[1]Jan-26'!$A:$A,'[1]Jan-26'!$H:$H,0)</f>
        <v>2903777.7600000002</v>
      </c>
      <c r="AE494" s="17">
        <f>_xlfn.XLOOKUP($B494,'[1]Feb-26'!$A:$A,'[1]Feb-26'!$H:$H,0)</f>
        <v>2959533.18</v>
      </c>
      <c r="AF494" s="17">
        <f>_xlfn.XLOOKUP($B494,'[1]Mar-26'!$A:$A,'[1]Mar-26'!$H:$H,0)</f>
        <v>3164917.69</v>
      </c>
      <c r="AG494" s="17">
        <f>_xlfn.XLOOKUP($B494,'[1]Apr-26'!$A:$A,'[1]Apr-26'!$H:$H,0)</f>
        <v>3490573.99</v>
      </c>
    </row>
    <row r="495" spans="1:33" x14ac:dyDescent="0.2">
      <c r="A495" s="58">
        <v>65100</v>
      </c>
      <c r="B495" s="56" t="str">
        <f t="shared" si="13"/>
        <v>65100</v>
      </c>
      <c r="C495" s="57" t="s">
        <v>565</v>
      </c>
      <c r="D495" s="57" t="s">
        <v>387</v>
      </c>
      <c r="E495" s="44" t="s">
        <v>676</v>
      </c>
      <c r="F495" s="17">
        <f>_xlfn.XLOOKUP($B495,'[1]Jan-24'!$A:$A,'[1]Jan-24'!$H:$H,0)</f>
        <v>2861282.51</v>
      </c>
      <c r="G495" s="17">
        <f>_xlfn.XLOOKUP($B495,'[1]Feb-24'!$A:$A,'[1]Feb-24'!$H:$H,0)</f>
        <v>2783081.37</v>
      </c>
      <c r="H495" s="17">
        <f>_xlfn.XLOOKUP($B495,'[1]Mar-24'!$A:$A,'[1]Mar-24'!$H:$H,0)</f>
        <v>2091629.88</v>
      </c>
      <c r="I495" s="17">
        <f>_xlfn.XLOOKUP($B495,'[1]Apr-24'!$A:$A,'[1]Apr-24'!$H:$H,0)</f>
        <v>2589490.46</v>
      </c>
      <c r="J495" s="17">
        <f>_xlfn.XLOOKUP($B495,'[1]May-24'!$A:$A,'[1]May-24'!$H:$H,0)</f>
        <v>3532189.99</v>
      </c>
      <c r="K495" s="17">
        <f>_xlfn.XLOOKUP($B495,'[1]Jun-24'!$A:$A,'[1]Jun-24'!$H:$H,0)</f>
        <v>3714838.4099999997</v>
      </c>
      <c r="L495" s="17">
        <f>_xlfn.XLOOKUP($B495,'[1]Jul-24'!$A:$A,'[1]Jul-24'!$H:$H,0)</f>
        <v>3594773.84</v>
      </c>
      <c r="M495" s="17">
        <f>_xlfn.XLOOKUP($B495,'[1]Aug-24'!$A:$A,'[1]Aug-24'!$H:$H,0)</f>
        <v>3585150.33</v>
      </c>
      <c r="N495" s="17">
        <f>_xlfn.XLOOKUP($B495,'[1]Sep-24'!$A:$A,'[1]Sep-24'!$H:$H,0)</f>
        <v>3685579.72</v>
      </c>
      <c r="O495" s="17">
        <f>_xlfn.XLOOKUP($B495,'[1]Oct-24'!$A:$A,'[1]Oct-24'!$H:$H,0)</f>
        <v>3816939.91</v>
      </c>
      <c r="P495" s="17">
        <f>_xlfn.XLOOKUP($B495,'[1]Nov-24'!$A:$A,'[1]Nov-24'!$H:$H,0)</f>
        <v>3638273.71</v>
      </c>
      <c r="Q495" s="17">
        <f>_xlfn.XLOOKUP($B495,'[1]Dec-24'!$A:$A,'[1]Dec-24'!$H:$H,0)</f>
        <v>3310728.83</v>
      </c>
      <c r="R495" s="17">
        <f>_xlfn.XLOOKUP($B495,'[1]Jan-25'!$A:$A,'[1]Jan-25'!$H:$H,0)</f>
        <v>3890615.11</v>
      </c>
      <c r="S495" s="17">
        <f>_xlfn.XLOOKUP($B495,'[1]Feb-25'!$A:$A,'[1]Feb-25'!$H:$H,0)</f>
        <v>3918142.11</v>
      </c>
      <c r="T495" s="17">
        <f>_xlfn.XLOOKUP($B495,'[1]Mar-25'!$A:$A,'[1]Mar-25'!$H:$H,0)</f>
        <v>4010363.79</v>
      </c>
      <c r="U495" s="17">
        <f>_xlfn.XLOOKUP($B495,'[1]Apr-25'!$A:$A,'[1]Apr-25'!$H:$H,0)</f>
        <v>3993606.11</v>
      </c>
      <c r="V495" s="17">
        <f>_xlfn.XLOOKUP($B495,'[1]May-25'!$A:$A,'[1]May-25'!$H:$H,0)</f>
        <v>3815833.59</v>
      </c>
      <c r="W495" s="17">
        <f>_xlfn.XLOOKUP($B495,'[1]Jun-25'!$A:$A,'[1]Jun-25'!$H:$H,0)</f>
        <v>3876252.75</v>
      </c>
      <c r="X495" s="17">
        <f>_xlfn.XLOOKUP($B495,'[1]Jul-25'!$A:$A,'[1]Jul-25'!$H:$H,0)</f>
        <v>3977859.91</v>
      </c>
      <c r="Y495" s="17">
        <f>_xlfn.XLOOKUP($B495,'[1]Aug-25'!$A:$A,'[1]Aug-25'!$H:$H,0)</f>
        <v>2341915.0099999998</v>
      </c>
      <c r="Z495" s="17">
        <f>_xlfn.XLOOKUP($B495,'[1]Sep-25'!$A:$A,'[1]Sep-25'!$H:$H,0)</f>
        <v>4068788.05</v>
      </c>
      <c r="AA495" s="17">
        <f>_xlfn.XLOOKUP($B495,'[1]Oct-25'!$A:$A,'[1]Oct-25'!$H:$H,0)</f>
        <v>4195501.9400000004</v>
      </c>
      <c r="AB495" s="17">
        <f>_xlfn.XLOOKUP($B495,'[1]Nov-25'!$A:$A,'[1]Nov-25'!$H:$H,0)</f>
        <v>3944828.7199999997</v>
      </c>
      <c r="AC495" s="17">
        <f>_xlfn.XLOOKUP($B495,'[1]Dec-25'!$A:$A,'[1]Dec-25'!$H:$H,0)</f>
        <v>4457880.9400000004</v>
      </c>
      <c r="AD495" s="17">
        <f>_xlfn.XLOOKUP($B495,'[1]Jan-26'!$A:$A,'[1]Jan-26'!$H:$H,0)</f>
        <v>6390425.3899999997</v>
      </c>
      <c r="AE495" s="17">
        <f>_xlfn.XLOOKUP($B495,'[1]Feb-26'!$A:$A,'[1]Feb-26'!$H:$H,0)</f>
        <v>6528644.8399999999</v>
      </c>
      <c r="AF495" s="17">
        <f>_xlfn.XLOOKUP($B495,'[1]Mar-26'!$A:$A,'[1]Mar-26'!$H:$H,0)</f>
        <v>6475369.0099999998</v>
      </c>
      <c r="AG495" s="17">
        <f>_xlfn.XLOOKUP($B495,'[1]Apr-26'!$A:$A,'[1]Apr-26'!$H:$H,0)</f>
        <v>6657781.9400000004</v>
      </c>
    </row>
    <row r="496" spans="1:33" x14ac:dyDescent="0.2">
      <c r="A496" s="58">
        <v>65200</v>
      </c>
      <c r="B496" s="56" t="str">
        <f t="shared" si="13"/>
        <v>65200</v>
      </c>
      <c r="C496" s="57" t="s">
        <v>565</v>
      </c>
      <c r="D496" s="57" t="s">
        <v>387</v>
      </c>
      <c r="E496" s="44" t="s">
        <v>677</v>
      </c>
      <c r="F496" s="17">
        <f>_xlfn.XLOOKUP($B496,'[1]Jan-24'!$A:$A,'[1]Jan-24'!$H:$H,0)</f>
        <v>0</v>
      </c>
      <c r="G496" s="17">
        <f>_xlfn.XLOOKUP($B496,'[1]Feb-24'!$A:$A,'[1]Feb-24'!$H:$H,0)</f>
        <v>0</v>
      </c>
      <c r="H496" s="17">
        <f>_xlfn.XLOOKUP($B496,'[1]Mar-24'!$A:$A,'[1]Mar-24'!$H:$H,0)</f>
        <v>0</v>
      </c>
      <c r="I496" s="17">
        <f>_xlfn.XLOOKUP($B496,'[1]Apr-24'!$A:$A,'[1]Apr-24'!$H:$H,0)</f>
        <v>0</v>
      </c>
      <c r="J496" s="17">
        <f>_xlfn.XLOOKUP($B496,'[1]May-24'!$A:$A,'[1]May-24'!$H:$H,0)</f>
        <v>0</v>
      </c>
      <c r="K496" s="17">
        <f>_xlfn.XLOOKUP($B496,'[1]Jun-24'!$A:$A,'[1]Jun-24'!$H:$H,0)</f>
        <v>0</v>
      </c>
      <c r="L496" s="17">
        <f>_xlfn.XLOOKUP($B496,'[1]Jul-24'!$A:$A,'[1]Jul-24'!$H:$H,0)</f>
        <v>0</v>
      </c>
      <c r="M496" s="17">
        <f>_xlfn.XLOOKUP($B496,'[1]Aug-24'!$A:$A,'[1]Aug-24'!$H:$H,0)</f>
        <v>0</v>
      </c>
      <c r="N496" s="17">
        <f>_xlfn.XLOOKUP($B496,'[1]Sep-24'!$A:$A,'[1]Sep-24'!$H:$H,0)</f>
        <v>0</v>
      </c>
      <c r="O496" s="17">
        <f>_xlfn.XLOOKUP($B496,'[1]Oct-24'!$A:$A,'[1]Oct-24'!$H:$H,0)</f>
        <v>0</v>
      </c>
      <c r="P496" s="17">
        <f>_xlfn.XLOOKUP($B496,'[1]Nov-24'!$A:$A,'[1]Nov-24'!$H:$H,0)</f>
        <v>0</v>
      </c>
      <c r="Q496" s="17">
        <f>_xlfn.XLOOKUP($B496,'[1]Dec-24'!$A:$A,'[1]Dec-24'!$H:$H,0)</f>
        <v>0</v>
      </c>
      <c r="R496" s="17">
        <f>_xlfn.XLOOKUP($B496,'[1]Jan-25'!$A:$A,'[1]Jan-25'!$H:$H,0)</f>
        <v>0</v>
      </c>
      <c r="S496" s="17">
        <f>_xlfn.XLOOKUP($B496,'[1]Feb-25'!$A:$A,'[1]Feb-25'!$H:$H,0)</f>
        <v>0</v>
      </c>
      <c r="T496" s="17">
        <f>_xlfn.XLOOKUP($B496,'[1]Mar-25'!$A:$A,'[1]Mar-25'!$H:$H,0)</f>
        <v>0</v>
      </c>
      <c r="U496" s="17">
        <f>_xlfn.XLOOKUP($B496,'[1]Apr-25'!$A:$A,'[1]Apr-25'!$H:$H,0)</f>
        <v>0</v>
      </c>
      <c r="V496" s="17">
        <f>_xlfn.XLOOKUP($B496,'[1]May-25'!$A:$A,'[1]May-25'!$H:$H,0)</f>
        <v>0</v>
      </c>
      <c r="W496" s="17">
        <f>_xlfn.XLOOKUP($B496,'[1]Jun-25'!$A:$A,'[1]Jun-25'!$H:$H,0)</f>
        <v>0</v>
      </c>
      <c r="X496" s="17">
        <f>_xlfn.XLOOKUP($B496,'[1]Jul-25'!$A:$A,'[1]Jul-25'!$H:$H,0)</f>
        <v>0</v>
      </c>
      <c r="Y496" s="17">
        <f>_xlfn.XLOOKUP($B496,'[1]Aug-25'!$A:$A,'[1]Aug-25'!$H:$H,0)</f>
        <v>0</v>
      </c>
      <c r="Z496" s="17">
        <f>_xlfn.XLOOKUP($B496,'[1]Sep-25'!$A:$A,'[1]Sep-25'!$H:$H,0)</f>
        <v>0</v>
      </c>
      <c r="AA496" s="17">
        <f>_xlfn.XLOOKUP($B496,'[1]Oct-25'!$A:$A,'[1]Oct-25'!$H:$H,0)</f>
        <v>0</v>
      </c>
      <c r="AB496" s="17">
        <f>_xlfn.XLOOKUP($B496,'[1]Nov-25'!$A:$A,'[1]Nov-25'!$H:$H,0)</f>
        <v>0</v>
      </c>
      <c r="AC496" s="17">
        <f>_xlfn.XLOOKUP($B496,'[1]Dec-25'!$A:$A,'[1]Dec-25'!$H:$H,0)</f>
        <v>0</v>
      </c>
      <c r="AD496" s="17">
        <f>_xlfn.XLOOKUP($B496,'[1]Jan-26'!$A:$A,'[1]Jan-26'!$H:$H,0)</f>
        <v>0</v>
      </c>
      <c r="AE496" s="17">
        <f>_xlfn.XLOOKUP($B496,'[1]Feb-26'!$A:$A,'[1]Feb-26'!$H:$H,0)</f>
        <v>0</v>
      </c>
      <c r="AF496" s="17">
        <f>_xlfn.XLOOKUP($B496,'[1]Mar-26'!$A:$A,'[1]Mar-26'!$H:$H,0)</f>
        <v>0</v>
      </c>
      <c r="AG496" s="17">
        <f>_xlfn.XLOOKUP($B496,'[1]Apr-26'!$A:$A,'[1]Apr-26'!$H:$H,0)</f>
        <v>0</v>
      </c>
    </row>
    <row r="497" spans="1:33" x14ac:dyDescent="0.2">
      <c r="A497" s="58">
        <v>65300</v>
      </c>
      <c r="B497" s="56" t="str">
        <f t="shared" si="13"/>
        <v>65300</v>
      </c>
      <c r="C497" s="57" t="s">
        <v>565</v>
      </c>
      <c r="D497" s="57" t="s">
        <v>387</v>
      </c>
      <c r="E497" s="44" t="s">
        <v>678</v>
      </c>
      <c r="F497" s="17">
        <f>_xlfn.XLOOKUP($B497,'[1]Jan-24'!$A:$A,'[1]Jan-24'!$H:$H,0)</f>
        <v>0</v>
      </c>
      <c r="G497" s="17">
        <f>_xlfn.XLOOKUP($B497,'[1]Feb-24'!$A:$A,'[1]Feb-24'!$H:$H,0)</f>
        <v>0</v>
      </c>
      <c r="H497" s="17">
        <f>_xlfn.XLOOKUP($B497,'[1]Mar-24'!$A:$A,'[1]Mar-24'!$H:$H,0)</f>
        <v>0</v>
      </c>
      <c r="I497" s="17">
        <f>_xlfn.XLOOKUP($B497,'[1]Apr-24'!$A:$A,'[1]Apr-24'!$H:$H,0)</f>
        <v>0</v>
      </c>
      <c r="J497" s="17">
        <f>_xlfn.XLOOKUP($B497,'[1]May-24'!$A:$A,'[1]May-24'!$H:$H,0)</f>
        <v>0</v>
      </c>
      <c r="K497" s="17">
        <f>_xlfn.XLOOKUP($B497,'[1]Jun-24'!$A:$A,'[1]Jun-24'!$H:$H,0)</f>
        <v>0</v>
      </c>
      <c r="L497" s="17">
        <f>_xlfn.XLOOKUP($B497,'[1]Jul-24'!$A:$A,'[1]Jul-24'!$H:$H,0)</f>
        <v>0</v>
      </c>
      <c r="M497" s="17">
        <f>_xlfn.XLOOKUP($B497,'[1]Aug-24'!$A:$A,'[1]Aug-24'!$H:$H,0)</f>
        <v>0</v>
      </c>
      <c r="N497" s="17">
        <f>_xlfn.XLOOKUP($B497,'[1]Sep-24'!$A:$A,'[1]Sep-24'!$H:$H,0)</f>
        <v>0</v>
      </c>
      <c r="O497" s="17">
        <f>_xlfn.XLOOKUP($B497,'[1]Oct-24'!$A:$A,'[1]Oct-24'!$H:$H,0)</f>
        <v>0</v>
      </c>
      <c r="P497" s="17">
        <f>_xlfn.XLOOKUP($B497,'[1]Nov-24'!$A:$A,'[1]Nov-24'!$H:$H,0)</f>
        <v>0</v>
      </c>
      <c r="Q497" s="17">
        <f>_xlfn.XLOOKUP($B497,'[1]Dec-24'!$A:$A,'[1]Dec-24'!$H:$H,0)</f>
        <v>0</v>
      </c>
      <c r="R497" s="17">
        <f>_xlfn.XLOOKUP($B497,'[1]Jan-25'!$A:$A,'[1]Jan-25'!$H:$H,0)</f>
        <v>0</v>
      </c>
      <c r="S497" s="17">
        <f>_xlfn.XLOOKUP($B497,'[1]Feb-25'!$A:$A,'[1]Feb-25'!$H:$H,0)</f>
        <v>0</v>
      </c>
      <c r="T497" s="17">
        <f>_xlfn.XLOOKUP($B497,'[1]Mar-25'!$A:$A,'[1]Mar-25'!$H:$H,0)</f>
        <v>0</v>
      </c>
      <c r="U497" s="17">
        <f>_xlfn.XLOOKUP($B497,'[1]Apr-25'!$A:$A,'[1]Apr-25'!$H:$H,0)</f>
        <v>0</v>
      </c>
      <c r="V497" s="17">
        <f>_xlfn.XLOOKUP($B497,'[1]May-25'!$A:$A,'[1]May-25'!$H:$H,0)</f>
        <v>0</v>
      </c>
      <c r="W497" s="17">
        <f>_xlfn.XLOOKUP($B497,'[1]Jun-25'!$A:$A,'[1]Jun-25'!$H:$H,0)</f>
        <v>0</v>
      </c>
      <c r="X497" s="17">
        <f>_xlfn.XLOOKUP($B497,'[1]Jul-25'!$A:$A,'[1]Jul-25'!$H:$H,0)</f>
        <v>0</v>
      </c>
      <c r="Y497" s="17">
        <f>_xlfn.XLOOKUP($B497,'[1]Aug-25'!$A:$A,'[1]Aug-25'!$H:$H,0)</f>
        <v>0</v>
      </c>
      <c r="Z497" s="17">
        <f>_xlfn.XLOOKUP($B497,'[1]Sep-25'!$A:$A,'[1]Sep-25'!$H:$H,0)</f>
        <v>0</v>
      </c>
      <c r="AA497" s="17">
        <f>_xlfn.XLOOKUP($B497,'[1]Oct-25'!$A:$A,'[1]Oct-25'!$H:$H,0)</f>
        <v>0</v>
      </c>
      <c r="AB497" s="17">
        <f>_xlfn.XLOOKUP($B497,'[1]Nov-25'!$A:$A,'[1]Nov-25'!$H:$H,0)</f>
        <v>0</v>
      </c>
      <c r="AC497" s="17">
        <f>_xlfn.XLOOKUP($B497,'[1]Dec-25'!$A:$A,'[1]Dec-25'!$H:$H,0)</f>
        <v>0</v>
      </c>
      <c r="AD497" s="17">
        <f>_xlfn.XLOOKUP($B497,'[1]Jan-26'!$A:$A,'[1]Jan-26'!$H:$H,0)</f>
        <v>0</v>
      </c>
      <c r="AE497" s="17">
        <f>_xlfn.XLOOKUP($B497,'[1]Feb-26'!$A:$A,'[1]Feb-26'!$H:$H,0)</f>
        <v>0</v>
      </c>
      <c r="AF497" s="17">
        <f>_xlfn.XLOOKUP($B497,'[1]Mar-26'!$A:$A,'[1]Mar-26'!$H:$H,0)</f>
        <v>0</v>
      </c>
      <c r="AG497" s="17">
        <f>_xlfn.XLOOKUP($B497,'[1]Apr-26'!$A:$A,'[1]Apr-26'!$H:$H,0)</f>
        <v>0</v>
      </c>
    </row>
    <row r="498" spans="1:33" x14ac:dyDescent="0.2">
      <c r="A498" s="58">
        <v>65400</v>
      </c>
      <c r="B498" s="56" t="str">
        <f t="shared" si="13"/>
        <v>65400</v>
      </c>
      <c r="C498" s="57" t="s">
        <v>565</v>
      </c>
      <c r="D498" s="57" t="s">
        <v>387</v>
      </c>
      <c r="E498" s="44" t="s">
        <v>679</v>
      </c>
      <c r="F498" s="17">
        <f>_xlfn.XLOOKUP($B498,'[1]Jan-24'!$A:$A,'[1]Jan-24'!$H:$H,0)</f>
        <v>0</v>
      </c>
      <c r="G498" s="17">
        <f>_xlfn.XLOOKUP($B498,'[1]Feb-24'!$A:$A,'[1]Feb-24'!$H:$H,0)</f>
        <v>0</v>
      </c>
      <c r="H498" s="17">
        <f>_xlfn.XLOOKUP($B498,'[1]Mar-24'!$A:$A,'[1]Mar-24'!$H:$H,0)</f>
        <v>0</v>
      </c>
      <c r="I498" s="17">
        <f>_xlfn.XLOOKUP($B498,'[1]Apr-24'!$A:$A,'[1]Apr-24'!$H:$H,0)</f>
        <v>0</v>
      </c>
      <c r="J498" s="17">
        <f>_xlfn.XLOOKUP($B498,'[1]May-24'!$A:$A,'[1]May-24'!$H:$H,0)</f>
        <v>0</v>
      </c>
      <c r="K498" s="17">
        <f>_xlfn.XLOOKUP($B498,'[1]Jun-24'!$A:$A,'[1]Jun-24'!$H:$H,0)</f>
        <v>0</v>
      </c>
      <c r="L498" s="17">
        <f>_xlfn.XLOOKUP($B498,'[1]Jul-24'!$A:$A,'[1]Jul-24'!$H:$H,0)</f>
        <v>0</v>
      </c>
      <c r="M498" s="17">
        <f>_xlfn.XLOOKUP($B498,'[1]Aug-24'!$A:$A,'[1]Aug-24'!$H:$H,0)</f>
        <v>0</v>
      </c>
      <c r="N498" s="17">
        <f>_xlfn.XLOOKUP($B498,'[1]Sep-24'!$A:$A,'[1]Sep-24'!$H:$H,0)</f>
        <v>0</v>
      </c>
      <c r="O498" s="17">
        <f>_xlfn.XLOOKUP($B498,'[1]Oct-24'!$A:$A,'[1]Oct-24'!$H:$H,0)</f>
        <v>0</v>
      </c>
      <c r="P498" s="17">
        <f>_xlfn.XLOOKUP($B498,'[1]Nov-24'!$A:$A,'[1]Nov-24'!$H:$H,0)</f>
        <v>0</v>
      </c>
      <c r="Q498" s="17">
        <f>_xlfn.XLOOKUP($B498,'[1]Dec-24'!$A:$A,'[1]Dec-24'!$H:$H,0)</f>
        <v>0</v>
      </c>
      <c r="R498" s="17">
        <f>_xlfn.XLOOKUP($B498,'[1]Jan-25'!$A:$A,'[1]Jan-25'!$H:$H,0)</f>
        <v>0</v>
      </c>
      <c r="S498" s="17">
        <f>_xlfn.XLOOKUP($B498,'[1]Feb-25'!$A:$A,'[1]Feb-25'!$H:$H,0)</f>
        <v>0</v>
      </c>
      <c r="T498" s="17">
        <f>_xlfn.XLOOKUP($B498,'[1]Mar-25'!$A:$A,'[1]Mar-25'!$H:$H,0)</f>
        <v>0</v>
      </c>
      <c r="U498" s="17">
        <f>_xlfn.XLOOKUP($B498,'[1]Apr-25'!$A:$A,'[1]Apr-25'!$H:$H,0)</f>
        <v>0</v>
      </c>
      <c r="V498" s="17">
        <f>_xlfn.XLOOKUP($B498,'[1]May-25'!$A:$A,'[1]May-25'!$H:$H,0)</f>
        <v>0</v>
      </c>
      <c r="W498" s="17">
        <f>_xlfn.XLOOKUP($B498,'[1]Jun-25'!$A:$A,'[1]Jun-25'!$H:$H,0)</f>
        <v>0</v>
      </c>
      <c r="X498" s="17">
        <f>_xlfn.XLOOKUP($B498,'[1]Jul-25'!$A:$A,'[1]Jul-25'!$H:$H,0)</f>
        <v>0</v>
      </c>
      <c r="Y498" s="17">
        <f>_xlfn.XLOOKUP($B498,'[1]Aug-25'!$A:$A,'[1]Aug-25'!$H:$H,0)</f>
        <v>0</v>
      </c>
      <c r="Z498" s="17">
        <f>_xlfn.XLOOKUP($B498,'[1]Sep-25'!$A:$A,'[1]Sep-25'!$H:$H,0)</f>
        <v>0</v>
      </c>
      <c r="AA498" s="17">
        <f>_xlfn.XLOOKUP($B498,'[1]Oct-25'!$A:$A,'[1]Oct-25'!$H:$H,0)</f>
        <v>0</v>
      </c>
      <c r="AB498" s="17">
        <f>_xlfn.XLOOKUP($B498,'[1]Nov-25'!$A:$A,'[1]Nov-25'!$H:$H,0)</f>
        <v>0</v>
      </c>
      <c r="AC498" s="17">
        <f>_xlfn.XLOOKUP($B498,'[1]Dec-25'!$A:$A,'[1]Dec-25'!$H:$H,0)</f>
        <v>0</v>
      </c>
      <c r="AD498" s="17">
        <f>_xlfn.XLOOKUP($B498,'[1]Jan-26'!$A:$A,'[1]Jan-26'!$H:$H,0)</f>
        <v>0</v>
      </c>
      <c r="AE498" s="17">
        <f>_xlfn.XLOOKUP($B498,'[1]Feb-26'!$A:$A,'[1]Feb-26'!$H:$H,0)</f>
        <v>0</v>
      </c>
      <c r="AF498" s="17">
        <f>_xlfn.XLOOKUP($B498,'[1]Mar-26'!$A:$A,'[1]Mar-26'!$H:$H,0)</f>
        <v>0</v>
      </c>
      <c r="AG498" s="17">
        <f>_xlfn.XLOOKUP($B498,'[1]Apr-26'!$A:$A,'[1]Apr-26'!$H:$H,0)</f>
        <v>0</v>
      </c>
    </row>
    <row r="499" spans="1:33" x14ac:dyDescent="0.2">
      <c r="A499" s="58">
        <v>65800</v>
      </c>
      <c r="B499" s="56" t="str">
        <f t="shared" si="13"/>
        <v>65800</v>
      </c>
      <c r="C499" s="57" t="s">
        <v>552</v>
      </c>
      <c r="D499" s="57" t="s">
        <v>387</v>
      </c>
      <c r="E499" s="44" t="s">
        <v>680</v>
      </c>
      <c r="F499" s="17">
        <f>_xlfn.XLOOKUP($B499,'[1]Jan-24'!$A:$A,'[1]Jan-24'!$H:$H,0)</f>
        <v>0</v>
      </c>
      <c r="G499" s="17">
        <f>_xlfn.XLOOKUP($B499,'[1]Feb-24'!$A:$A,'[1]Feb-24'!$H:$H,0)</f>
        <v>0</v>
      </c>
      <c r="H499" s="17">
        <f>_xlfn.XLOOKUP($B499,'[1]Mar-24'!$A:$A,'[1]Mar-24'!$H:$H,0)</f>
        <v>0</v>
      </c>
      <c r="I499" s="17">
        <f>_xlfn.XLOOKUP($B499,'[1]Apr-24'!$A:$A,'[1]Apr-24'!$H:$H,0)</f>
        <v>360000</v>
      </c>
      <c r="J499" s="17">
        <f>_xlfn.XLOOKUP($B499,'[1]May-24'!$A:$A,'[1]May-24'!$H:$H,0)</f>
        <v>38900</v>
      </c>
      <c r="K499" s="17">
        <f>_xlfn.XLOOKUP($B499,'[1]Jun-24'!$A:$A,'[1]Jun-24'!$H:$H,0)</f>
        <v>800000</v>
      </c>
      <c r="L499" s="17">
        <f>_xlfn.XLOOKUP($B499,'[1]Jul-24'!$A:$A,'[1]Jul-24'!$H:$H,0)</f>
        <v>131000</v>
      </c>
      <c r="M499" s="17">
        <f>_xlfn.XLOOKUP($B499,'[1]Aug-24'!$A:$A,'[1]Aug-24'!$H:$H,0)</f>
        <v>500000</v>
      </c>
      <c r="N499" s="17">
        <f>_xlfn.XLOOKUP($B499,'[1]Sep-24'!$A:$A,'[1]Sep-24'!$H:$H,0)</f>
        <v>0</v>
      </c>
      <c r="O499" s="17">
        <f>_xlfn.XLOOKUP($B499,'[1]Oct-24'!$A:$A,'[1]Oct-24'!$H:$H,0)</f>
        <v>0</v>
      </c>
      <c r="P499" s="17">
        <f>_xlfn.XLOOKUP($B499,'[1]Nov-24'!$A:$A,'[1]Nov-24'!$H:$H,0)</f>
        <v>90500</v>
      </c>
      <c r="Q499" s="17">
        <f>_xlfn.XLOOKUP($B499,'[1]Dec-24'!$A:$A,'[1]Dec-24'!$H:$H,0)</f>
        <v>3829650</v>
      </c>
      <c r="R499" s="17">
        <f>_xlfn.XLOOKUP($B499,'[1]Jan-25'!$A:$A,'[1]Jan-25'!$H:$H,0)</f>
        <v>0</v>
      </c>
      <c r="S499" s="17">
        <f>_xlfn.XLOOKUP($B499,'[1]Feb-25'!$A:$A,'[1]Feb-25'!$H:$H,0)</f>
        <v>300000</v>
      </c>
      <c r="T499" s="17">
        <f>_xlfn.XLOOKUP($B499,'[1]Mar-25'!$A:$A,'[1]Mar-25'!$H:$H,0)</f>
        <v>0</v>
      </c>
      <c r="U499" s="17">
        <f>_xlfn.XLOOKUP($B499,'[1]Apr-25'!$A:$A,'[1]Apr-25'!$H:$H,0)</f>
        <v>958480</v>
      </c>
      <c r="V499" s="17">
        <f>_xlfn.XLOOKUP($B499,'[1]May-25'!$A:$A,'[1]May-25'!$H:$H,0)</f>
        <v>600000</v>
      </c>
      <c r="W499" s="17">
        <f>_xlfn.XLOOKUP($B499,'[1]Jun-25'!$A:$A,'[1]Jun-25'!$H:$H,0)</f>
        <v>700000</v>
      </c>
      <c r="X499" s="17">
        <f>_xlfn.XLOOKUP($B499,'[1]Jul-25'!$A:$A,'[1]Jul-25'!$H:$H,0)</f>
        <v>88200</v>
      </c>
      <c r="Y499" s="17">
        <f>_xlfn.XLOOKUP($B499,'[1]Aug-25'!$A:$A,'[1]Aug-25'!$H:$H,0)</f>
        <v>1132200</v>
      </c>
      <c r="Z499" s="17">
        <f>_xlfn.XLOOKUP($B499,'[1]Sep-25'!$A:$A,'[1]Sep-25'!$H:$H,0)</f>
        <v>86000</v>
      </c>
      <c r="AA499" s="17">
        <f>_xlfn.XLOOKUP($B499,'[1]Oct-25'!$A:$A,'[1]Oct-25'!$H:$H,0)</f>
        <v>600000</v>
      </c>
      <c r="AB499" s="17">
        <f>_xlfn.XLOOKUP($B499,'[1]Nov-25'!$A:$A,'[1]Nov-25'!$H:$H,0)</f>
        <v>0</v>
      </c>
      <c r="AC499" s="17">
        <f>_xlfn.XLOOKUP($B499,'[1]Dec-25'!$A:$A,'[1]Dec-25'!$H:$H,0)</f>
        <v>5235685</v>
      </c>
      <c r="AD499" s="17">
        <f>_xlfn.XLOOKUP($B499,'[1]Jan-26'!$A:$A,'[1]Jan-26'!$H:$H,0)</f>
        <v>0</v>
      </c>
      <c r="AE499" s="17">
        <f>_xlfn.XLOOKUP($B499,'[1]Feb-26'!$A:$A,'[1]Feb-26'!$H:$H,0)</f>
        <v>0</v>
      </c>
      <c r="AF499" s="17">
        <f>_xlfn.XLOOKUP($B499,'[1]Mar-26'!$A:$A,'[1]Mar-26'!$H:$H,0)</f>
        <v>809123.72</v>
      </c>
      <c r="AG499" s="17">
        <f>_xlfn.XLOOKUP($B499,'[1]Apr-26'!$A:$A,'[1]Apr-26'!$H:$H,0)</f>
        <v>8726000</v>
      </c>
    </row>
    <row r="500" spans="1:33" x14ac:dyDescent="0.2">
      <c r="A500" s="58">
        <v>66000</v>
      </c>
      <c r="B500" s="56" t="str">
        <f t="shared" si="13"/>
        <v>66000</v>
      </c>
      <c r="C500" s="57" t="s">
        <v>389</v>
      </c>
      <c r="D500" s="57" t="s">
        <v>387</v>
      </c>
      <c r="E500" s="44" t="s">
        <v>681</v>
      </c>
      <c r="F500" s="17">
        <f>_xlfn.XLOOKUP($B500,'[1]Jan-24'!$A:$A,'[1]Jan-24'!$H:$H,0)</f>
        <v>0</v>
      </c>
      <c r="G500" s="17">
        <f>_xlfn.XLOOKUP($B500,'[1]Feb-24'!$A:$A,'[1]Feb-24'!$H:$H,0)</f>
        <v>0</v>
      </c>
      <c r="H500" s="17">
        <f>_xlfn.XLOOKUP($B500,'[1]Mar-24'!$A:$A,'[1]Mar-24'!$H:$H,0)</f>
        <v>0</v>
      </c>
      <c r="I500" s="17">
        <f>_xlfn.XLOOKUP($B500,'[1]Apr-24'!$A:$A,'[1]Apr-24'!$H:$H,0)</f>
        <v>0</v>
      </c>
      <c r="J500" s="17">
        <f>_xlfn.XLOOKUP($B500,'[1]May-24'!$A:$A,'[1]May-24'!$H:$H,0)</f>
        <v>0</v>
      </c>
      <c r="K500" s="17">
        <f>_xlfn.XLOOKUP($B500,'[1]Jun-24'!$A:$A,'[1]Jun-24'!$H:$H,0)</f>
        <v>0</v>
      </c>
      <c r="L500" s="17">
        <f>_xlfn.XLOOKUP($B500,'[1]Jul-24'!$A:$A,'[1]Jul-24'!$H:$H,0)</f>
        <v>0</v>
      </c>
      <c r="M500" s="17">
        <f>_xlfn.XLOOKUP($B500,'[1]Aug-24'!$A:$A,'[1]Aug-24'!$H:$H,0)</f>
        <v>0</v>
      </c>
      <c r="N500" s="17">
        <f>_xlfn.XLOOKUP($B500,'[1]Sep-24'!$A:$A,'[1]Sep-24'!$H:$H,0)</f>
        <v>0</v>
      </c>
      <c r="O500" s="17">
        <f>_xlfn.XLOOKUP($B500,'[1]Oct-24'!$A:$A,'[1]Oct-24'!$H:$H,0)</f>
        <v>0</v>
      </c>
      <c r="P500" s="17">
        <f>_xlfn.XLOOKUP($B500,'[1]Nov-24'!$A:$A,'[1]Nov-24'!$H:$H,0)</f>
        <v>0</v>
      </c>
      <c r="Q500" s="17">
        <f>_xlfn.XLOOKUP($B500,'[1]Dec-24'!$A:$A,'[1]Dec-24'!$H:$H,0)</f>
        <v>0</v>
      </c>
      <c r="R500" s="17">
        <f>_xlfn.XLOOKUP($B500,'[1]Jan-25'!$A:$A,'[1]Jan-25'!$H:$H,0)</f>
        <v>0</v>
      </c>
      <c r="S500" s="17">
        <f>_xlfn.XLOOKUP($B500,'[1]Feb-25'!$A:$A,'[1]Feb-25'!$H:$H,0)</f>
        <v>0</v>
      </c>
      <c r="T500" s="17">
        <f>_xlfn.XLOOKUP($B500,'[1]Mar-25'!$A:$A,'[1]Mar-25'!$H:$H,0)</f>
        <v>0</v>
      </c>
      <c r="U500" s="17">
        <f>_xlfn.XLOOKUP($B500,'[1]Apr-25'!$A:$A,'[1]Apr-25'!$H:$H,0)</f>
        <v>0</v>
      </c>
      <c r="V500" s="17">
        <f>_xlfn.XLOOKUP($B500,'[1]May-25'!$A:$A,'[1]May-25'!$H:$H,0)</f>
        <v>0</v>
      </c>
      <c r="W500" s="17">
        <f>_xlfn.XLOOKUP($B500,'[1]Jun-25'!$A:$A,'[1]Jun-25'!$H:$H,0)</f>
        <v>0</v>
      </c>
      <c r="X500" s="17">
        <f>_xlfn.XLOOKUP($B500,'[1]Jul-25'!$A:$A,'[1]Jul-25'!$H:$H,0)</f>
        <v>0</v>
      </c>
      <c r="Y500" s="17">
        <f>_xlfn.XLOOKUP($B500,'[1]Aug-25'!$A:$A,'[1]Aug-25'!$H:$H,0)</f>
        <v>0</v>
      </c>
      <c r="Z500" s="17">
        <f>_xlfn.XLOOKUP($B500,'[1]Sep-25'!$A:$A,'[1]Sep-25'!$H:$H,0)</f>
        <v>0</v>
      </c>
      <c r="AA500" s="17">
        <f>_xlfn.XLOOKUP($B500,'[1]Oct-25'!$A:$A,'[1]Oct-25'!$H:$H,0)</f>
        <v>0</v>
      </c>
      <c r="AB500" s="17">
        <f>_xlfn.XLOOKUP($B500,'[1]Nov-25'!$A:$A,'[1]Nov-25'!$H:$H,0)</f>
        <v>0</v>
      </c>
      <c r="AC500" s="17">
        <f>_xlfn.XLOOKUP($B500,'[1]Dec-25'!$A:$A,'[1]Dec-25'!$H:$H,0)</f>
        <v>0</v>
      </c>
      <c r="AD500" s="17">
        <f>_xlfn.XLOOKUP($B500,'[1]Jan-26'!$A:$A,'[1]Jan-26'!$H:$H,0)</f>
        <v>0</v>
      </c>
      <c r="AE500" s="17">
        <f>_xlfn.XLOOKUP($B500,'[1]Feb-26'!$A:$A,'[1]Feb-26'!$H:$H,0)</f>
        <v>0</v>
      </c>
      <c r="AF500" s="17">
        <f>_xlfn.XLOOKUP($B500,'[1]Mar-26'!$A:$A,'[1]Mar-26'!$H:$H,0)</f>
        <v>0</v>
      </c>
      <c r="AG500" s="17">
        <f>_xlfn.XLOOKUP($B500,'[1]Apr-26'!$A:$A,'[1]Apr-26'!$H:$H,0)</f>
        <v>0</v>
      </c>
    </row>
    <row r="501" spans="1:33" x14ac:dyDescent="0.2">
      <c r="A501" s="58">
        <v>66100</v>
      </c>
      <c r="B501" s="56" t="str">
        <f t="shared" si="13"/>
        <v>66100</v>
      </c>
      <c r="C501" s="57" t="s">
        <v>572</v>
      </c>
      <c r="D501" s="57" t="s">
        <v>387</v>
      </c>
      <c r="E501" s="44" t="s">
        <v>682</v>
      </c>
      <c r="F501" s="17">
        <f>_xlfn.XLOOKUP($B501,'[1]Jan-24'!$A:$A,'[1]Jan-24'!$H:$H,0)</f>
        <v>0</v>
      </c>
      <c r="G501" s="17">
        <f>_xlfn.XLOOKUP($B501,'[1]Feb-24'!$A:$A,'[1]Feb-24'!$H:$H,0)</f>
        <v>0</v>
      </c>
      <c r="H501" s="17">
        <f>_xlfn.XLOOKUP($B501,'[1]Mar-24'!$A:$A,'[1]Mar-24'!$H:$H,0)</f>
        <v>0</v>
      </c>
      <c r="I501" s="17">
        <f>_xlfn.XLOOKUP($B501,'[1]Apr-24'!$A:$A,'[1]Apr-24'!$H:$H,0)</f>
        <v>0</v>
      </c>
      <c r="J501" s="17">
        <f>_xlfn.XLOOKUP($B501,'[1]May-24'!$A:$A,'[1]May-24'!$H:$H,0)</f>
        <v>0</v>
      </c>
      <c r="K501" s="17">
        <f>_xlfn.XLOOKUP($B501,'[1]Jun-24'!$A:$A,'[1]Jun-24'!$H:$H,0)</f>
        <v>0</v>
      </c>
      <c r="L501" s="17">
        <f>_xlfn.XLOOKUP($B501,'[1]Jul-24'!$A:$A,'[1]Jul-24'!$H:$H,0)</f>
        <v>0</v>
      </c>
      <c r="M501" s="17">
        <f>_xlfn.XLOOKUP($B501,'[1]Aug-24'!$A:$A,'[1]Aug-24'!$H:$H,0)</f>
        <v>0</v>
      </c>
      <c r="N501" s="17">
        <f>_xlfn.XLOOKUP($B501,'[1]Sep-24'!$A:$A,'[1]Sep-24'!$H:$H,0)</f>
        <v>0</v>
      </c>
      <c r="O501" s="17">
        <f>_xlfn.XLOOKUP($B501,'[1]Oct-24'!$A:$A,'[1]Oct-24'!$H:$H,0)</f>
        <v>0</v>
      </c>
      <c r="P501" s="17">
        <f>_xlfn.XLOOKUP($B501,'[1]Nov-24'!$A:$A,'[1]Nov-24'!$H:$H,0)</f>
        <v>0</v>
      </c>
      <c r="Q501" s="17">
        <f>_xlfn.XLOOKUP($B501,'[1]Dec-24'!$A:$A,'[1]Dec-24'!$H:$H,0)</f>
        <v>0</v>
      </c>
      <c r="R501" s="17">
        <f>_xlfn.XLOOKUP($B501,'[1]Jan-25'!$A:$A,'[1]Jan-25'!$H:$H,0)</f>
        <v>0</v>
      </c>
      <c r="S501" s="17">
        <f>_xlfn.XLOOKUP($B501,'[1]Feb-25'!$A:$A,'[1]Feb-25'!$H:$H,0)</f>
        <v>0</v>
      </c>
      <c r="T501" s="17">
        <f>_xlfn.XLOOKUP($B501,'[1]Mar-25'!$A:$A,'[1]Mar-25'!$H:$H,0)</f>
        <v>0</v>
      </c>
      <c r="U501" s="17">
        <f>_xlfn.XLOOKUP($B501,'[1]Apr-25'!$A:$A,'[1]Apr-25'!$H:$H,0)</f>
        <v>0</v>
      </c>
      <c r="V501" s="17">
        <f>_xlfn.XLOOKUP($B501,'[1]May-25'!$A:$A,'[1]May-25'!$H:$H,0)</f>
        <v>0</v>
      </c>
      <c r="W501" s="17">
        <f>_xlfn.XLOOKUP($B501,'[1]Jun-25'!$A:$A,'[1]Jun-25'!$H:$H,0)</f>
        <v>0</v>
      </c>
      <c r="X501" s="17">
        <f>_xlfn.XLOOKUP($B501,'[1]Jul-25'!$A:$A,'[1]Jul-25'!$H:$H,0)</f>
        <v>0</v>
      </c>
      <c r="Y501" s="17">
        <f>_xlfn.XLOOKUP($B501,'[1]Aug-25'!$A:$A,'[1]Aug-25'!$H:$H,0)</f>
        <v>0</v>
      </c>
      <c r="Z501" s="17">
        <f>_xlfn.XLOOKUP($B501,'[1]Sep-25'!$A:$A,'[1]Sep-25'!$H:$H,0)</f>
        <v>0</v>
      </c>
      <c r="AA501" s="17">
        <f>_xlfn.XLOOKUP($B501,'[1]Oct-25'!$A:$A,'[1]Oct-25'!$H:$H,0)</f>
        <v>0</v>
      </c>
      <c r="AB501" s="17">
        <f>_xlfn.XLOOKUP($B501,'[1]Nov-25'!$A:$A,'[1]Nov-25'!$H:$H,0)</f>
        <v>0</v>
      </c>
      <c r="AC501" s="17">
        <f>_xlfn.XLOOKUP($B501,'[1]Dec-25'!$A:$A,'[1]Dec-25'!$H:$H,0)</f>
        <v>0</v>
      </c>
      <c r="AD501" s="17">
        <f>_xlfn.XLOOKUP($B501,'[1]Jan-26'!$A:$A,'[1]Jan-26'!$H:$H,0)</f>
        <v>0</v>
      </c>
      <c r="AE501" s="17">
        <f>_xlfn.XLOOKUP($B501,'[1]Feb-26'!$A:$A,'[1]Feb-26'!$H:$H,0)</f>
        <v>0</v>
      </c>
      <c r="AF501" s="17">
        <f>_xlfn.XLOOKUP($B501,'[1]Mar-26'!$A:$A,'[1]Mar-26'!$H:$H,0)</f>
        <v>0</v>
      </c>
      <c r="AG501" s="17">
        <f>_xlfn.XLOOKUP($B501,'[1]Apr-26'!$A:$A,'[1]Apr-26'!$H:$H,0)</f>
        <v>0</v>
      </c>
    </row>
    <row r="502" spans="1:33" x14ac:dyDescent="0.2">
      <c r="A502" s="58">
        <v>66200</v>
      </c>
      <c r="B502" s="56" t="str">
        <f t="shared" si="13"/>
        <v>66200</v>
      </c>
      <c r="C502" s="57" t="s">
        <v>683</v>
      </c>
      <c r="D502" s="57" t="s">
        <v>387</v>
      </c>
      <c r="E502" s="44" t="s">
        <v>684</v>
      </c>
      <c r="F502" s="17">
        <f>_xlfn.XLOOKUP($B502,'[1]Jan-24'!$A:$A,'[1]Jan-24'!$H:$H,0)</f>
        <v>0</v>
      </c>
      <c r="G502" s="17">
        <f>_xlfn.XLOOKUP($B502,'[1]Feb-24'!$A:$A,'[1]Feb-24'!$H:$H,0)</f>
        <v>0</v>
      </c>
      <c r="H502" s="17">
        <f>_xlfn.XLOOKUP($B502,'[1]Mar-24'!$A:$A,'[1]Mar-24'!$H:$H,0)</f>
        <v>0</v>
      </c>
      <c r="I502" s="17">
        <f>_xlfn.XLOOKUP($B502,'[1]Apr-24'!$A:$A,'[1]Apr-24'!$H:$H,0)</f>
        <v>0</v>
      </c>
      <c r="J502" s="17">
        <f>_xlfn.XLOOKUP($B502,'[1]May-24'!$A:$A,'[1]May-24'!$H:$H,0)</f>
        <v>0</v>
      </c>
      <c r="K502" s="17">
        <f>_xlfn.XLOOKUP($B502,'[1]Jun-24'!$A:$A,'[1]Jun-24'!$H:$H,0)</f>
        <v>0</v>
      </c>
      <c r="L502" s="17">
        <f>_xlfn.XLOOKUP($B502,'[1]Jul-24'!$A:$A,'[1]Jul-24'!$H:$H,0)</f>
        <v>0</v>
      </c>
      <c r="M502" s="17">
        <f>_xlfn.XLOOKUP($B502,'[1]Aug-24'!$A:$A,'[1]Aug-24'!$H:$H,0)</f>
        <v>0</v>
      </c>
      <c r="N502" s="17">
        <f>_xlfn.XLOOKUP($B502,'[1]Sep-24'!$A:$A,'[1]Sep-24'!$H:$H,0)</f>
        <v>0</v>
      </c>
      <c r="O502" s="17">
        <f>_xlfn.XLOOKUP($B502,'[1]Oct-24'!$A:$A,'[1]Oct-24'!$H:$H,0)</f>
        <v>0</v>
      </c>
      <c r="P502" s="17">
        <f>_xlfn.XLOOKUP($B502,'[1]Nov-24'!$A:$A,'[1]Nov-24'!$H:$H,0)</f>
        <v>0</v>
      </c>
      <c r="Q502" s="17">
        <f>_xlfn.XLOOKUP($B502,'[1]Dec-24'!$A:$A,'[1]Dec-24'!$H:$H,0)</f>
        <v>0</v>
      </c>
      <c r="R502" s="17">
        <f>_xlfn.XLOOKUP($B502,'[1]Jan-25'!$A:$A,'[1]Jan-25'!$H:$H,0)</f>
        <v>0</v>
      </c>
      <c r="S502" s="17">
        <f>_xlfn.XLOOKUP($B502,'[1]Feb-25'!$A:$A,'[1]Feb-25'!$H:$H,0)</f>
        <v>0</v>
      </c>
      <c r="T502" s="17">
        <f>_xlfn.XLOOKUP($B502,'[1]Mar-25'!$A:$A,'[1]Mar-25'!$H:$H,0)</f>
        <v>0</v>
      </c>
      <c r="U502" s="17">
        <f>_xlfn.XLOOKUP($B502,'[1]Apr-25'!$A:$A,'[1]Apr-25'!$H:$H,0)</f>
        <v>0</v>
      </c>
      <c r="V502" s="17">
        <f>_xlfn.XLOOKUP($B502,'[1]May-25'!$A:$A,'[1]May-25'!$H:$H,0)</f>
        <v>0</v>
      </c>
      <c r="W502" s="17">
        <f>_xlfn.XLOOKUP($B502,'[1]Jun-25'!$A:$A,'[1]Jun-25'!$H:$H,0)</f>
        <v>0</v>
      </c>
      <c r="X502" s="17">
        <f>_xlfn.XLOOKUP($B502,'[1]Jul-25'!$A:$A,'[1]Jul-25'!$H:$H,0)</f>
        <v>0</v>
      </c>
      <c r="Y502" s="17">
        <f>_xlfn.XLOOKUP($B502,'[1]Aug-25'!$A:$A,'[1]Aug-25'!$H:$H,0)</f>
        <v>0</v>
      </c>
      <c r="Z502" s="17">
        <f>_xlfn.XLOOKUP($B502,'[1]Sep-25'!$A:$A,'[1]Sep-25'!$H:$H,0)</f>
        <v>0</v>
      </c>
      <c r="AA502" s="17">
        <f>_xlfn.XLOOKUP($B502,'[1]Oct-25'!$A:$A,'[1]Oct-25'!$H:$H,0)</f>
        <v>0</v>
      </c>
      <c r="AB502" s="17">
        <f>_xlfn.XLOOKUP($B502,'[1]Nov-25'!$A:$A,'[1]Nov-25'!$H:$H,0)</f>
        <v>0</v>
      </c>
      <c r="AC502" s="17">
        <f>_xlfn.XLOOKUP($B502,'[1]Dec-25'!$A:$A,'[1]Dec-25'!$H:$H,0)</f>
        <v>0</v>
      </c>
      <c r="AD502" s="17">
        <f>_xlfn.XLOOKUP($B502,'[1]Jan-26'!$A:$A,'[1]Jan-26'!$H:$H,0)</f>
        <v>0</v>
      </c>
      <c r="AE502" s="17">
        <f>_xlfn.XLOOKUP($B502,'[1]Feb-26'!$A:$A,'[1]Feb-26'!$H:$H,0)</f>
        <v>0</v>
      </c>
      <c r="AF502" s="17">
        <f>_xlfn.XLOOKUP($B502,'[1]Mar-26'!$A:$A,'[1]Mar-26'!$H:$H,0)</f>
        <v>0</v>
      </c>
      <c r="AG502" s="17">
        <f>_xlfn.XLOOKUP($B502,'[1]Apr-26'!$A:$A,'[1]Apr-26'!$H:$H,0)</f>
        <v>0</v>
      </c>
    </row>
    <row r="503" spans="1:33" x14ac:dyDescent="0.2">
      <c r="A503" s="58">
        <v>66300</v>
      </c>
      <c r="B503" s="56" t="str">
        <f t="shared" si="13"/>
        <v>66300</v>
      </c>
      <c r="C503" s="57" t="s">
        <v>572</v>
      </c>
      <c r="D503" s="57" t="s">
        <v>387</v>
      </c>
      <c r="E503" s="44" t="s">
        <v>685</v>
      </c>
      <c r="F503" s="17">
        <f>_xlfn.XLOOKUP($B503,'[1]Jan-24'!$A:$A,'[1]Jan-24'!$H:$H,0)</f>
        <v>0</v>
      </c>
      <c r="G503" s="17">
        <f>_xlfn.XLOOKUP($B503,'[1]Feb-24'!$A:$A,'[1]Feb-24'!$H:$H,0)</f>
        <v>0</v>
      </c>
      <c r="H503" s="17">
        <f>_xlfn.XLOOKUP($B503,'[1]Mar-24'!$A:$A,'[1]Mar-24'!$H:$H,0)</f>
        <v>0</v>
      </c>
      <c r="I503" s="17">
        <f>_xlfn.XLOOKUP($B503,'[1]Apr-24'!$A:$A,'[1]Apr-24'!$H:$H,0)</f>
        <v>0</v>
      </c>
      <c r="J503" s="17">
        <f>_xlfn.XLOOKUP($B503,'[1]May-24'!$A:$A,'[1]May-24'!$H:$H,0)</f>
        <v>0</v>
      </c>
      <c r="K503" s="17">
        <f>_xlfn.XLOOKUP($B503,'[1]Jun-24'!$A:$A,'[1]Jun-24'!$H:$H,0)</f>
        <v>0</v>
      </c>
      <c r="L503" s="17">
        <f>_xlfn.XLOOKUP($B503,'[1]Jul-24'!$A:$A,'[1]Jul-24'!$H:$H,0)</f>
        <v>0</v>
      </c>
      <c r="M503" s="17">
        <f>_xlfn.XLOOKUP($B503,'[1]Aug-24'!$A:$A,'[1]Aug-24'!$H:$H,0)</f>
        <v>0</v>
      </c>
      <c r="N503" s="17">
        <f>_xlfn.XLOOKUP($B503,'[1]Sep-24'!$A:$A,'[1]Sep-24'!$H:$H,0)</f>
        <v>0</v>
      </c>
      <c r="O503" s="17">
        <f>_xlfn.XLOOKUP($B503,'[1]Oct-24'!$A:$A,'[1]Oct-24'!$H:$H,0)</f>
        <v>0</v>
      </c>
      <c r="P503" s="17">
        <f>_xlfn.XLOOKUP($B503,'[1]Nov-24'!$A:$A,'[1]Nov-24'!$H:$H,0)</f>
        <v>292878.70000000007</v>
      </c>
      <c r="Q503" s="17">
        <f>_xlfn.XLOOKUP($B503,'[1]Dec-24'!$A:$A,'[1]Dec-24'!$H:$H,0)</f>
        <v>0</v>
      </c>
      <c r="R503" s="17">
        <f>_xlfn.XLOOKUP($B503,'[1]Jan-25'!$A:$A,'[1]Jan-25'!$H:$H,0)</f>
        <v>0</v>
      </c>
      <c r="S503" s="17">
        <f>_xlfn.XLOOKUP($B503,'[1]Feb-25'!$A:$A,'[1]Feb-25'!$H:$H,0)</f>
        <v>0</v>
      </c>
      <c r="T503" s="17">
        <f>_xlfn.XLOOKUP($B503,'[1]Mar-25'!$A:$A,'[1]Mar-25'!$H:$H,0)</f>
        <v>12340</v>
      </c>
      <c r="U503" s="17">
        <f>_xlfn.XLOOKUP($B503,'[1]Apr-25'!$A:$A,'[1]Apr-25'!$H:$H,0)</f>
        <v>17719.990000000002</v>
      </c>
      <c r="V503" s="17">
        <f>_xlfn.XLOOKUP($B503,'[1]May-25'!$A:$A,'[1]May-25'!$H:$H,0)</f>
        <v>0</v>
      </c>
      <c r="W503" s="17">
        <f>_xlfn.XLOOKUP($B503,'[1]Jun-25'!$A:$A,'[1]Jun-25'!$H:$H,0)</f>
        <v>0</v>
      </c>
      <c r="X503" s="17">
        <f>_xlfn.XLOOKUP($B503,'[1]Jul-25'!$A:$A,'[1]Jul-25'!$H:$H,0)</f>
        <v>13200</v>
      </c>
      <c r="Y503" s="17">
        <f>_xlfn.XLOOKUP($B503,'[1]Aug-25'!$A:$A,'[1]Aug-25'!$H:$H,0)</f>
        <v>0</v>
      </c>
      <c r="Z503" s="17">
        <f>_xlfn.XLOOKUP($B503,'[1]Sep-25'!$A:$A,'[1]Sep-25'!$H:$H,0)</f>
        <v>0</v>
      </c>
      <c r="AA503" s="17">
        <f>_xlfn.XLOOKUP($B503,'[1]Oct-25'!$A:$A,'[1]Oct-25'!$H:$H,0)</f>
        <v>0</v>
      </c>
      <c r="AB503" s="17">
        <f>_xlfn.XLOOKUP($B503,'[1]Nov-25'!$A:$A,'[1]Nov-25'!$H:$H,0)</f>
        <v>0</v>
      </c>
      <c r="AC503" s="17">
        <f>_xlfn.XLOOKUP($B503,'[1]Dec-25'!$A:$A,'[1]Dec-25'!$H:$H,0)</f>
        <v>0</v>
      </c>
      <c r="AD503" s="17">
        <f>_xlfn.XLOOKUP($B503,'[1]Jan-26'!$A:$A,'[1]Jan-26'!$H:$H,0)</f>
        <v>0</v>
      </c>
      <c r="AE503" s="17">
        <f>_xlfn.XLOOKUP($B503,'[1]Feb-26'!$A:$A,'[1]Feb-26'!$H:$H,0)</f>
        <v>0</v>
      </c>
      <c r="AF503" s="17">
        <f>_xlfn.XLOOKUP($B503,'[1]Mar-26'!$A:$A,'[1]Mar-26'!$H:$H,0)</f>
        <v>0</v>
      </c>
      <c r="AG503" s="17">
        <f>_xlfn.XLOOKUP($B503,'[1]Apr-26'!$A:$A,'[1]Apr-26'!$H:$H,0)</f>
        <v>0</v>
      </c>
    </row>
    <row r="504" spans="1:33" x14ac:dyDescent="0.2">
      <c r="A504" s="58">
        <v>66305</v>
      </c>
      <c r="B504" s="56" t="str">
        <f t="shared" si="13"/>
        <v>66305</v>
      </c>
      <c r="C504" s="57" t="s">
        <v>572</v>
      </c>
      <c r="D504" s="57" t="s">
        <v>387</v>
      </c>
      <c r="E504" s="44" t="s">
        <v>686</v>
      </c>
      <c r="F504" s="17">
        <f>_xlfn.XLOOKUP($B504,'[1]Jan-24'!$A:$A,'[1]Jan-24'!$H:$H,0)</f>
        <v>0</v>
      </c>
      <c r="G504" s="17">
        <f>_xlfn.XLOOKUP($B504,'[1]Feb-24'!$A:$A,'[1]Feb-24'!$H:$H,0)</f>
        <v>0</v>
      </c>
      <c r="H504" s="17">
        <f>_xlfn.XLOOKUP($B504,'[1]Mar-24'!$A:$A,'[1]Mar-24'!$H:$H,0)</f>
        <v>0</v>
      </c>
      <c r="I504" s="17">
        <f>_xlfn.XLOOKUP($B504,'[1]Apr-24'!$A:$A,'[1]Apr-24'!$H:$H,0)</f>
        <v>0</v>
      </c>
      <c r="J504" s="17">
        <f>_xlfn.XLOOKUP($B504,'[1]May-24'!$A:$A,'[1]May-24'!$H:$H,0)</f>
        <v>0</v>
      </c>
      <c r="K504" s="17">
        <f>_xlfn.XLOOKUP($B504,'[1]Jun-24'!$A:$A,'[1]Jun-24'!$H:$H,0)</f>
        <v>0</v>
      </c>
      <c r="L504" s="17">
        <f>_xlfn.XLOOKUP($B504,'[1]Jul-24'!$A:$A,'[1]Jul-24'!$H:$H,0)</f>
        <v>0</v>
      </c>
      <c r="M504" s="17">
        <f>_xlfn.XLOOKUP($B504,'[1]Aug-24'!$A:$A,'[1]Aug-24'!$H:$H,0)</f>
        <v>0</v>
      </c>
      <c r="N504" s="17">
        <f>_xlfn.XLOOKUP($B504,'[1]Sep-24'!$A:$A,'[1]Sep-24'!$H:$H,0)</f>
        <v>0</v>
      </c>
      <c r="O504" s="17">
        <f>_xlfn.XLOOKUP($B504,'[1]Oct-24'!$A:$A,'[1]Oct-24'!$H:$H,0)</f>
        <v>0</v>
      </c>
      <c r="P504" s="17">
        <f>_xlfn.XLOOKUP($B504,'[1]Nov-24'!$A:$A,'[1]Nov-24'!$H:$H,0)</f>
        <v>0</v>
      </c>
      <c r="Q504" s="17">
        <f>_xlfn.XLOOKUP($B504,'[1]Dec-24'!$A:$A,'[1]Dec-24'!$H:$H,0)</f>
        <v>0</v>
      </c>
      <c r="R504" s="17">
        <f>_xlfn.XLOOKUP($B504,'[1]Jan-25'!$A:$A,'[1]Jan-25'!$H:$H,0)</f>
        <v>0</v>
      </c>
      <c r="S504" s="17">
        <f>_xlfn.XLOOKUP($B504,'[1]Feb-25'!$A:$A,'[1]Feb-25'!$H:$H,0)</f>
        <v>0</v>
      </c>
      <c r="T504" s="17">
        <f>_xlfn.XLOOKUP($B504,'[1]Mar-25'!$A:$A,'[1]Mar-25'!$H:$H,0)</f>
        <v>0</v>
      </c>
      <c r="U504" s="17">
        <f>_xlfn.XLOOKUP($B504,'[1]Apr-25'!$A:$A,'[1]Apr-25'!$H:$H,0)</f>
        <v>0</v>
      </c>
      <c r="V504" s="17">
        <f>_xlfn.XLOOKUP($B504,'[1]May-25'!$A:$A,'[1]May-25'!$H:$H,0)</f>
        <v>0</v>
      </c>
      <c r="W504" s="17">
        <f>_xlfn.XLOOKUP($B504,'[1]Jun-25'!$A:$A,'[1]Jun-25'!$H:$H,0)</f>
        <v>0</v>
      </c>
      <c r="X504" s="17">
        <f>_xlfn.XLOOKUP($B504,'[1]Jul-25'!$A:$A,'[1]Jul-25'!$H:$H,0)</f>
        <v>0</v>
      </c>
      <c r="Y504" s="17">
        <f>_xlfn.XLOOKUP($B504,'[1]Aug-25'!$A:$A,'[1]Aug-25'!$H:$H,0)</f>
        <v>0</v>
      </c>
      <c r="Z504" s="17">
        <f>_xlfn.XLOOKUP($B504,'[1]Sep-25'!$A:$A,'[1]Sep-25'!$H:$H,0)</f>
        <v>0</v>
      </c>
      <c r="AA504" s="17">
        <f>_xlfn.XLOOKUP($B504,'[1]Oct-25'!$A:$A,'[1]Oct-25'!$H:$H,0)</f>
        <v>0</v>
      </c>
      <c r="AB504" s="17">
        <f>_xlfn.XLOOKUP($B504,'[1]Nov-25'!$A:$A,'[1]Nov-25'!$H:$H,0)</f>
        <v>0</v>
      </c>
      <c r="AC504" s="17">
        <f>_xlfn.XLOOKUP($B504,'[1]Dec-25'!$A:$A,'[1]Dec-25'!$H:$H,0)</f>
        <v>0</v>
      </c>
      <c r="AD504" s="17">
        <f>_xlfn.XLOOKUP($B504,'[1]Jan-26'!$A:$A,'[1]Jan-26'!$H:$H,0)</f>
        <v>0</v>
      </c>
      <c r="AE504" s="17">
        <f>_xlfn.XLOOKUP($B504,'[1]Feb-26'!$A:$A,'[1]Feb-26'!$H:$H,0)</f>
        <v>0</v>
      </c>
      <c r="AF504" s="17">
        <f>_xlfn.XLOOKUP($B504,'[1]Mar-26'!$A:$A,'[1]Mar-26'!$H:$H,0)</f>
        <v>0</v>
      </c>
      <c r="AG504" s="17">
        <f>_xlfn.XLOOKUP($B504,'[1]Apr-26'!$A:$A,'[1]Apr-26'!$H:$H,0)</f>
        <v>0</v>
      </c>
    </row>
    <row r="505" spans="1:33" x14ac:dyDescent="0.2">
      <c r="A505" s="58">
        <v>66310</v>
      </c>
      <c r="B505" s="56" t="str">
        <f t="shared" si="13"/>
        <v>66310</v>
      </c>
      <c r="C505" s="57" t="s">
        <v>572</v>
      </c>
      <c r="D505" s="57" t="s">
        <v>387</v>
      </c>
      <c r="E505" s="44" t="s">
        <v>687</v>
      </c>
      <c r="F505" s="17">
        <f>_xlfn.XLOOKUP($B505,'[1]Jan-24'!$A:$A,'[1]Jan-24'!$H:$H,0)</f>
        <v>0</v>
      </c>
      <c r="G505" s="17">
        <f>_xlfn.XLOOKUP($B505,'[1]Feb-24'!$A:$A,'[1]Feb-24'!$H:$H,0)</f>
        <v>0</v>
      </c>
      <c r="H505" s="17">
        <f>_xlfn.XLOOKUP($B505,'[1]Mar-24'!$A:$A,'[1]Mar-24'!$H:$H,0)</f>
        <v>0</v>
      </c>
      <c r="I505" s="17">
        <f>_xlfn.XLOOKUP($B505,'[1]Apr-24'!$A:$A,'[1]Apr-24'!$H:$H,0)</f>
        <v>0</v>
      </c>
      <c r="J505" s="17">
        <f>_xlfn.XLOOKUP($B505,'[1]May-24'!$A:$A,'[1]May-24'!$H:$H,0)</f>
        <v>0</v>
      </c>
      <c r="K505" s="17">
        <f>_xlfn.XLOOKUP($B505,'[1]Jun-24'!$A:$A,'[1]Jun-24'!$H:$H,0)</f>
        <v>0</v>
      </c>
      <c r="L505" s="17">
        <f>_xlfn.XLOOKUP($B505,'[1]Jul-24'!$A:$A,'[1]Jul-24'!$H:$H,0)</f>
        <v>0</v>
      </c>
      <c r="M505" s="17">
        <f>_xlfn.XLOOKUP($B505,'[1]Aug-24'!$A:$A,'[1]Aug-24'!$H:$H,0)</f>
        <v>0</v>
      </c>
      <c r="N505" s="17">
        <f>_xlfn.XLOOKUP($B505,'[1]Sep-24'!$A:$A,'[1]Sep-24'!$H:$H,0)</f>
        <v>0</v>
      </c>
      <c r="O505" s="17">
        <f>_xlfn.XLOOKUP($B505,'[1]Oct-24'!$A:$A,'[1]Oct-24'!$H:$H,0)</f>
        <v>0</v>
      </c>
      <c r="P505" s="17">
        <f>_xlfn.XLOOKUP($B505,'[1]Nov-24'!$A:$A,'[1]Nov-24'!$H:$H,0)</f>
        <v>0</v>
      </c>
      <c r="Q505" s="17">
        <f>_xlfn.XLOOKUP($B505,'[1]Dec-24'!$A:$A,'[1]Dec-24'!$H:$H,0)</f>
        <v>2279773</v>
      </c>
      <c r="R505" s="17">
        <f>_xlfn.XLOOKUP($B505,'[1]Jan-25'!$A:$A,'[1]Jan-25'!$H:$H,0)</f>
        <v>0</v>
      </c>
      <c r="S505" s="17">
        <f>_xlfn.XLOOKUP($B505,'[1]Feb-25'!$A:$A,'[1]Feb-25'!$H:$H,0)</f>
        <v>0</v>
      </c>
      <c r="T505" s="17">
        <f>_xlfn.XLOOKUP($B505,'[1]Mar-25'!$A:$A,'[1]Mar-25'!$H:$H,0)</f>
        <v>0</v>
      </c>
      <c r="U505" s="17">
        <f>_xlfn.XLOOKUP($B505,'[1]Apr-25'!$A:$A,'[1]Apr-25'!$H:$H,0)</f>
        <v>0</v>
      </c>
      <c r="V505" s="17">
        <f>_xlfn.XLOOKUP($B505,'[1]May-25'!$A:$A,'[1]May-25'!$H:$H,0)</f>
        <v>0</v>
      </c>
      <c r="W505" s="17">
        <f>_xlfn.XLOOKUP($B505,'[1]Jun-25'!$A:$A,'[1]Jun-25'!$H:$H,0)</f>
        <v>0</v>
      </c>
      <c r="X505" s="17">
        <f>_xlfn.XLOOKUP($B505,'[1]Jul-25'!$A:$A,'[1]Jul-25'!$H:$H,0)</f>
        <v>0</v>
      </c>
      <c r="Y505" s="17">
        <f>_xlfn.XLOOKUP($B505,'[1]Aug-25'!$A:$A,'[1]Aug-25'!$H:$H,0)</f>
        <v>0</v>
      </c>
      <c r="Z505" s="17">
        <f>_xlfn.XLOOKUP($B505,'[1]Sep-25'!$A:$A,'[1]Sep-25'!$H:$H,0)</f>
        <v>0</v>
      </c>
      <c r="AA505" s="17">
        <f>_xlfn.XLOOKUP($B505,'[1]Oct-25'!$A:$A,'[1]Oct-25'!$H:$H,0)</f>
        <v>0</v>
      </c>
      <c r="AB505" s="17">
        <f>_xlfn.XLOOKUP($B505,'[1]Nov-25'!$A:$A,'[1]Nov-25'!$H:$H,0)</f>
        <v>0</v>
      </c>
      <c r="AC505" s="17">
        <f>_xlfn.XLOOKUP($B505,'[1]Dec-25'!$A:$A,'[1]Dec-25'!$H:$H,0)</f>
        <v>0</v>
      </c>
      <c r="AD505" s="17">
        <f>_xlfn.XLOOKUP($B505,'[1]Jan-26'!$A:$A,'[1]Jan-26'!$H:$H,0)</f>
        <v>0</v>
      </c>
      <c r="AE505" s="17">
        <f>_xlfn.XLOOKUP($B505,'[1]Feb-26'!$A:$A,'[1]Feb-26'!$H:$H,0)</f>
        <v>0</v>
      </c>
      <c r="AF505" s="17">
        <f>_xlfn.XLOOKUP($B505,'[1]Mar-26'!$A:$A,'[1]Mar-26'!$H:$H,0)</f>
        <v>0</v>
      </c>
      <c r="AG505" s="17">
        <f>_xlfn.XLOOKUP($B505,'[1]Apr-26'!$A:$A,'[1]Apr-26'!$H:$H,0)</f>
        <v>0</v>
      </c>
    </row>
    <row r="506" spans="1:33" x14ac:dyDescent="0.2">
      <c r="A506" s="58">
        <v>67000</v>
      </c>
      <c r="B506" s="56" t="str">
        <f t="shared" si="13"/>
        <v>67000</v>
      </c>
      <c r="C506" s="57" t="s">
        <v>552</v>
      </c>
      <c r="D506" s="57" t="s">
        <v>387</v>
      </c>
      <c r="E506" s="44" t="s">
        <v>688</v>
      </c>
      <c r="F506" s="17">
        <f>_xlfn.XLOOKUP($B506,'[1]Jan-24'!$A:$A,'[1]Jan-24'!$H:$H,0)</f>
        <v>0</v>
      </c>
      <c r="G506" s="17">
        <f>_xlfn.XLOOKUP($B506,'[1]Feb-24'!$A:$A,'[1]Feb-24'!$H:$H,0)</f>
        <v>0</v>
      </c>
      <c r="H506" s="17">
        <f>_xlfn.XLOOKUP($B506,'[1]Mar-24'!$A:$A,'[1]Mar-24'!$H:$H,0)</f>
        <v>0</v>
      </c>
      <c r="I506" s="17">
        <f>_xlfn.XLOOKUP($B506,'[1]Apr-24'!$A:$A,'[1]Apr-24'!$H:$H,0)</f>
        <v>0</v>
      </c>
      <c r="J506" s="17">
        <f>_xlfn.XLOOKUP($B506,'[1]May-24'!$A:$A,'[1]May-24'!$H:$H,0)</f>
        <v>0</v>
      </c>
      <c r="K506" s="17">
        <f>_xlfn.XLOOKUP($B506,'[1]Jun-24'!$A:$A,'[1]Jun-24'!$H:$H,0)</f>
        <v>0</v>
      </c>
      <c r="L506" s="17">
        <f>_xlfn.XLOOKUP($B506,'[1]Jul-24'!$A:$A,'[1]Jul-24'!$H:$H,0)</f>
        <v>0</v>
      </c>
      <c r="M506" s="17">
        <f>_xlfn.XLOOKUP($B506,'[1]Aug-24'!$A:$A,'[1]Aug-24'!$H:$H,0)</f>
        <v>0</v>
      </c>
      <c r="N506" s="17">
        <f>_xlfn.XLOOKUP($B506,'[1]Sep-24'!$A:$A,'[1]Sep-24'!$H:$H,0)</f>
        <v>0</v>
      </c>
      <c r="O506" s="17">
        <f>_xlfn.XLOOKUP($B506,'[1]Oct-24'!$A:$A,'[1]Oct-24'!$H:$H,0)</f>
        <v>0</v>
      </c>
      <c r="P506" s="17">
        <f>_xlfn.XLOOKUP($B506,'[1]Nov-24'!$A:$A,'[1]Nov-24'!$H:$H,0)</f>
        <v>0</v>
      </c>
      <c r="Q506" s="17">
        <f>_xlfn.XLOOKUP($B506,'[1]Dec-24'!$A:$A,'[1]Dec-24'!$H:$H,0)</f>
        <v>0</v>
      </c>
      <c r="R506" s="17">
        <f>_xlfn.XLOOKUP($B506,'[1]Jan-25'!$A:$A,'[1]Jan-25'!$H:$H,0)</f>
        <v>0</v>
      </c>
      <c r="S506" s="17">
        <f>_xlfn.XLOOKUP($B506,'[1]Feb-25'!$A:$A,'[1]Feb-25'!$H:$H,0)</f>
        <v>0</v>
      </c>
      <c r="T506" s="17">
        <f>_xlfn.XLOOKUP($B506,'[1]Mar-25'!$A:$A,'[1]Mar-25'!$H:$H,0)</f>
        <v>0</v>
      </c>
      <c r="U506" s="17">
        <f>_xlfn.XLOOKUP($B506,'[1]Apr-25'!$A:$A,'[1]Apr-25'!$H:$H,0)</f>
        <v>0</v>
      </c>
      <c r="V506" s="17">
        <f>_xlfn.XLOOKUP($B506,'[1]May-25'!$A:$A,'[1]May-25'!$H:$H,0)</f>
        <v>0</v>
      </c>
      <c r="W506" s="17">
        <f>_xlfn.XLOOKUP($B506,'[1]Jun-25'!$A:$A,'[1]Jun-25'!$H:$H,0)</f>
        <v>0</v>
      </c>
      <c r="X506" s="17">
        <f>_xlfn.XLOOKUP($B506,'[1]Jul-25'!$A:$A,'[1]Jul-25'!$H:$H,0)</f>
        <v>0</v>
      </c>
      <c r="Y506" s="17">
        <f>_xlfn.XLOOKUP($B506,'[1]Aug-25'!$A:$A,'[1]Aug-25'!$H:$H,0)</f>
        <v>0</v>
      </c>
      <c r="Z506" s="17">
        <f>_xlfn.XLOOKUP($B506,'[1]Sep-25'!$A:$A,'[1]Sep-25'!$H:$H,0)</f>
        <v>0</v>
      </c>
      <c r="AA506" s="17">
        <f>_xlfn.XLOOKUP($B506,'[1]Oct-25'!$A:$A,'[1]Oct-25'!$H:$H,0)</f>
        <v>0</v>
      </c>
      <c r="AB506" s="17">
        <f>_xlfn.XLOOKUP($B506,'[1]Nov-25'!$A:$A,'[1]Nov-25'!$H:$H,0)</f>
        <v>0</v>
      </c>
      <c r="AC506" s="17">
        <f>_xlfn.XLOOKUP($B506,'[1]Dec-25'!$A:$A,'[1]Dec-25'!$H:$H,0)</f>
        <v>0</v>
      </c>
      <c r="AD506" s="17">
        <f>_xlfn.XLOOKUP($B506,'[1]Jan-26'!$A:$A,'[1]Jan-26'!$H:$H,0)</f>
        <v>0</v>
      </c>
      <c r="AE506" s="17">
        <f>_xlfn.XLOOKUP($B506,'[1]Feb-26'!$A:$A,'[1]Feb-26'!$H:$H,0)</f>
        <v>0</v>
      </c>
      <c r="AF506" s="17">
        <f>_xlfn.XLOOKUP($B506,'[1]Mar-26'!$A:$A,'[1]Mar-26'!$H:$H,0)</f>
        <v>0</v>
      </c>
      <c r="AG506" s="17">
        <f>_xlfn.XLOOKUP($B506,'[1]Apr-26'!$A:$A,'[1]Apr-26'!$H:$H,0)</f>
        <v>0</v>
      </c>
    </row>
    <row r="507" spans="1:33" x14ac:dyDescent="0.2">
      <c r="A507" s="58">
        <v>67005</v>
      </c>
      <c r="B507" s="56" t="str">
        <f t="shared" si="13"/>
        <v>67005</v>
      </c>
      <c r="C507" s="57" t="s">
        <v>477</v>
      </c>
      <c r="D507" s="57" t="s">
        <v>387</v>
      </c>
      <c r="E507" s="44" t="s">
        <v>689</v>
      </c>
      <c r="F507" s="17">
        <f>_xlfn.XLOOKUP($B507,'[1]Jan-24'!$A:$A,'[1]Jan-24'!$H:$H,0)</f>
        <v>0</v>
      </c>
      <c r="G507" s="17">
        <f>_xlfn.XLOOKUP($B507,'[1]Feb-24'!$A:$A,'[1]Feb-24'!$H:$H,0)</f>
        <v>0</v>
      </c>
      <c r="H507" s="17">
        <f>_xlfn.XLOOKUP($B507,'[1]Mar-24'!$A:$A,'[1]Mar-24'!$H:$H,0)</f>
        <v>0</v>
      </c>
      <c r="I507" s="17">
        <f>_xlfn.XLOOKUP($B507,'[1]Apr-24'!$A:$A,'[1]Apr-24'!$H:$H,0)</f>
        <v>0</v>
      </c>
      <c r="J507" s="17">
        <f>_xlfn.XLOOKUP($B507,'[1]May-24'!$A:$A,'[1]May-24'!$H:$H,0)</f>
        <v>0</v>
      </c>
      <c r="K507" s="17">
        <f>_xlfn.XLOOKUP($B507,'[1]Jun-24'!$A:$A,'[1]Jun-24'!$H:$H,0)</f>
        <v>0</v>
      </c>
      <c r="L507" s="17">
        <f>_xlfn.XLOOKUP($B507,'[1]Jul-24'!$A:$A,'[1]Jul-24'!$H:$H,0)</f>
        <v>0</v>
      </c>
      <c r="M507" s="17">
        <f>_xlfn.XLOOKUP($B507,'[1]Aug-24'!$A:$A,'[1]Aug-24'!$H:$H,0)</f>
        <v>0</v>
      </c>
      <c r="N507" s="17">
        <f>_xlfn.XLOOKUP($B507,'[1]Sep-24'!$A:$A,'[1]Sep-24'!$H:$H,0)</f>
        <v>0</v>
      </c>
      <c r="O507" s="17">
        <f>_xlfn.XLOOKUP($B507,'[1]Oct-24'!$A:$A,'[1]Oct-24'!$H:$H,0)</f>
        <v>0</v>
      </c>
      <c r="P507" s="17">
        <f>_xlfn.XLOOKUP($B507,'[1]Nov-24'!$A:$A,'[1]Nov-24'!$H:$H,0)</f>
        <v>0</v>
      </c>
      <c r="Q507" s="17">
        <f>_xlfn.XLOOKUP($B507,'[1]Dec-24'!$A:$A,'[1]Dec-24'!$H:$H,0)</f>
        <v>0</v>
      </c>
      <c r="R507" s="17">
        <f>_xlfn.XLOOKUP($B507,'[1]Jan-25'!$A:$A,'[1]Jan-25'!$H:$H,0)</f>
        <v>0</v>
      </c>
      <c r="S507" s="17">
        <f>_xlfn.XLOOKUP($B507,'[1]Feb-25'!$A:$A,'[1]Feb-25'!$H:$H,0)</f>
        <v>0</v>
      </c>
      <c r="T507" s="17">
        <f>_xlfn.XLOOKUP($B507,'[1]Mar-25'!$A:$A,'[1]Mar-25'!$H:$H,0)</f>
        <v>0</v>
      </c>
      <c r="U507" s="17">
        <f>_xlfn.XLOOKUP($B507,'[1]Apr-25'!$A:$A,'[1]Apr-25'!$H:$H,0)</f>
        <v>0</v>
      </c>
      <c r="V507" s="17">
        <f>_xlfn.XLOOKUP($B507,'[1]May-25'!$A:$A,'[1]May-25'!$H:$H,0)</f>
        <v>0</v>
      </c>
      <c r="W507" s="17">
        <f>_xlfn.XLOOKUP($B507,'[1]Jun-25'!$A:$A,'[1]Jun-25'!$H:$H,0)</f>
        <v>0</v>
      </c>
      <c r="X507" s="17">
        <f>_xlfn.XLOOKUP($B507,'[1]Jul-25'!$A:$A,'[1]Jul-25'!$H:$H,0)</f>
        <v>0</v>
      </c>
      <c r="Y507" s="17">
        <f>_xlfn.XLOOKUP($B507,'[1]Aug-25'!$A:$A,'[1]Aug-25'!$H:$H,0)</f>
        <v>0</v>
      </c>
      <c r="Z507" s="17">
        <f>_xlfn.XLOOKUP($B507,'[1]Sep-25'!$A:$A,'[1]Sep-25'!$H:$H,0)</f>
        <v>0</v>
      </c>
      <c r="AA507" s="17">
        <f>_xlfn.XLOOKUP($B507,'[1]Oct-25'!$A:$A,'[1]Oct-25'!$H:$H,0)</f>
        <v>0</v>
      </c>
      <c r="AB507" s="17">
        <f>_xlfn.XLOOKUP($B507,'[1]Nov-25'!$A:$A,'[1]Nov-25'!$H:$H,0)</f>
        <v>0</v>
      </c>
      <c r="AC507" s="17">
        <f>_xlfn.XLOOKUP($B507,'[1]Dec-25'!$A:$A,'[1]Dec-25'!$H:$H,0)</f>
        <v>0</v>
      </c>
      <c r="AD507" s="17">
        <f>_xlfn.XLOOKUP($B507,'[1]Jan-26'!$A:$A,'[1]Jan-26'!$H:$H,0)</f>
        <v>0</v>
      </c>
      <c r="AE507" s="17">
        <f>_xlfn.XLOOKUP($B507,'[1]Feb-26'!$A:$A,'[1]Feb-26'!$H:$H,0)</f>
        <v>0</v>
      </c>
      <c r="AF507" s="17">
        <f>_xlfn.XLOOKUP($B507,'[1]Mar-26'!$A:$A,'[1]Mar-26'!$H:$H,0)</f>
        <v>0</v>
      </c>
      <c r="AG507" s="17">
        <f>_xlfn.XLOOKUP($B507,'[1]Apr-26'!$A:$A,'[1]Apr-26'!$H:$H,0)</f>
        <v>0</v>
      </c>
    </row>
    <row r="508" spans="1:33" x14ac:dyDescent="0.2">
      <c r="A508" s="58">
        <v>67010</v>
      </c>
      <c r="B508" s="56" t="str">
        <f t="shared" si="13"/>
        <v>67010</v>
      </c>
      <c r="C508" s="57" t="s">
        <v>574</v>
      </c>
      <c r="D508" s="57" t="s">
        <v>387</v>
      </c>
      <c r="E508" s="44" t="s">
        <v>690</v>
      </c>
      <c r="F508" s="17">
        <f>_xlfn.XLOOKUP($B508,'[1]Jan-24'!$A:$A,'[1]Jan-24'!$H:$H,0)</f>
        <v>0</v>
      </c>
      <c r="G508" s="17">
        <f>_xlfn.XLOOKUP($B508,'[1]Feb-24'!$A:$A,'[1]Feb-24'!$H:$H,0)</f>
        <v>0</v>
      </c>
      <c r="H508" s="17">
        <f>_xlfn.XLOOKUP($B508,'[1]Mar-24'!$A:$A,'[1]Mar-24'!$H:$H,0)</f>
        <v>0</v>
      </c>
      <c r="I508" s="17">
        <f>_xlfn.XLOOKUP($B508,'[1]Apr-24'!$A:$A,'[1]Apr-24'!$H:$H,0)</f>
        <v>0</v>
      </c>
      <c r="J508" s="17">
        <f>_xlfn.XLOOKUP($B508,'[1]May-24'!$A:$A,'[1]May-24'!$H:$H,0)</f>
        <v>0</v>
      </c>
      <c r="K508" s="17">
        <f>_xlfn.XLOOKUP($B508,'[1]Jun-24'!$A:$A,'[1]Jun-24'!$H:$H,0)</f>
        <v>0</v>
      </c>
      <c r="L508" s="17">
        <f>_xlfn.XLOOKUP($B508,'[1]Jul-24'!$A:$A,'[1]Jul-24'!$H:$H,0)</f>
        <v>0</v>
      </c>
      <c r="M508" s="17">
        <f>_xlfn.XLOOKUP($B508,'[1]Aug-24'!$A:$A,'[1]Aug-24'!$H:$H,0)</f>
        <v>0</v>
      </c>
      <c r="N508" s="17">
        <f>_xlfn.XLOOKUP($B508,'[1]Sep-24'!$A:$A,'[1]Sep-24'!$H:$H,0)</f>
        <v>0</v>
      </c>
      <c r="O508" s="17">
        <f>_xlfn.XLOOKUP($B508,'[1]Oct-24'!$A:$A,'[1]Oct-24'!$H:$H,0)</f>
        <v>0</v>
      </c>
      <c r="P508" s="17">
        <f>_xlfn.XLOOKUP($B508,'[1]Nov-24'!$A:$A,'[1]Nov-24'!$H:$H,0)</f>
        <v>0</v>
      </c>
      <c r="Q508" s="17">
        <f>_xlfn.XLOOKUP($B508,'[1]Dec-24'!$A:$A,'[1]Dec-24'!$H:$H,0)</f>
        <v>15021474.17</v>
      </c>
      <c r="R508" s="17">
        <f>_xlfn.XLOOKUP($B508,'[1]Jan-25'!$A:$A,'[1]Jan-25'!$H:$H,0)</f>
        <v>0</v>
      </c>
      <c r="S508" s="17">
        <f>_xlfn.XLOOKUP($B508,'[1]Feb-25'!$A:$A,'[1]Feb-25'!$H:$H,0)</f>
        <v>0</v>
      </c>
      <c r="T508" s="17">
        <f>_xlfn.XLOOKUP($B508,'[1]Mar-25'!$A:$A,'[1]Mar-25'!$H:$H,0)</f>
        <v>0</v>
      </c>
      <c r="U508" s="17">
        <f>_xlfn.XLOOKUP($B508,'[1]Apr-25'!$A:$A,'[1]Apr-25'!$H:$H,0)</f>
        <v>0</v>
      </c>
      <c r="V508" s="17">
        <f>_xlfn.XLOOKUP($B508,'[1]May-25'!$A:$A,'[1]May-25'!$H:$H,0)</f>
        <v>0</v>
      </c>
      <c r="W508" s="17">
        <f>_xlfn.XLOOKUP($B508,'[1]Jun-25'!$A:$A,'[1]Jun-25'!$H:$H,0)</f>
        <v>0</v>
      </c>
      <c r="X508" s="17">
        <f>_xlfn.XLOOKUP($B508,'[1]Jul-25'!$A:$A,'[1]Jul-25'!$H:$H,0)</f>
        <v>0</v>
      </c>
      <c r="Y508" s="17">
        <f>_xlfn.XLOOKUP($B508,'[1]Aug-25'!$A:$A,'[1]Aug-25'!$H:$H,0)</f>
        <v>15172.34</v>
      </c>
      <c r="Z508" s="17">
        <f>_xlfn.XLOOKUP($B508,'[1]Sep-25'!$A:$A,'[1]Sep-25'!$H:$H,0)</f>
        <v>35518386.560000002</v>
      </c>
      <c r="AA508" s="17">
        <f>_xlfn.XLOOKUP($B508,'[1]Oct-25'!$A:$A,'[1]Oct-25'!$H:$H,0)</f>
        <v>0</v>
      </c>
      <c r="AB508" s="17">
        <f>_xlfn.XLOOKUP($B508,'[1]Nov-25'!$A:$A,'[1]Nov-25'!$H:$H,0)</f>
        <v>0</v>
      </c>
      <c r="AC508" s="17">
        <f>_xlfn.XLOOKUP($B508,'[1]Dec-25'!$A:$A,'[1]Dec-25'!$H:$H,0)</f>
        <v>0</v>
      </c>
      <c r="AD508" s="17">
        <f>_xlfn.XLOOKUP($B508,'[1]Jan-26'!$A:$A,'[1]Jan-26'!$H:$H,0)</f>
        <v>0</v>
      </c>
      <c r="AE508" s="17">
        <f>_xlfn.XLOOKUP($B508,'[1]Feb-26'!$A:$A,'[1]Feb-26'!$H:$H,0)</f>
        <v>0</v>
      </c>
      <c r="AF508" s="17">
        <f>_xlfn.XLOOKUP($B508,'[1]Mar-26'!$A:$A,'[1]Mar-26'!$H:$H,0)</f>
        <v>11700000</v>
      </c>
      <c r="AG508" s="17">
        <f>_xlfn.XLOOKUP($B508,'[1]Apr-26'!$A:$A,'[1]Apr-26'!$H:$H,0)</f>
        <v>0</v>
      </c>
    </row>
    <row r="509" spans="1:33" x14ac:dyDescent="0.2">
      <c r="A509" s="58">
        <v>67012</v>
      </c>
      <c r="B509" s="56" t="str">
        <f t="shared" si="13"/>
        <v>67012</v>
      </c>
      <c r="C509" s="57" t="s">
        <v>389</v>
      </c>
      <c r="D509" s="57" t="s">
        <v>387</v>
      </c>
      <c r="E509" s="44" t="s">
        <v>691</v>
      </c>
      <c r="F509" s="17">
        <f>_xlfn.XLOOKUP($B509,'[1]Jan-24'!$A:$A,'[1]Jan-24'!$H:$H,0)</f>
        <v>0</v>
      </c>
      <c r="G509" s="17">
        <f>_xlfn.XLOOKUP($B509,'[1]Feb-24'!$A:$A,'[1]Feb-24'!$H:$H,0)</f>
        <v>0</v>
      </c>
      <c r="H509" s="17">
        <f>_xlfn.XLOOKUP($B509,'[1]Mar-24'!$A:$A,'[1]Mar-24'!$H:$H,0)</f>
        <v>0</v>
      </c>
      <c r="I509" s="17">
        <f>_xlfn.XLOOKUP($B509,'[1]Apr-24'!$A:$A,'[1]Apr-24'!$H:$H,0)</f>
        <v>0</v>
      </c>
      <c r="J509" s="17">
        <f>_xlfn.XLOOKUP($B509,'[1]May-24'!$A:$A,'[1]May-24'!$H:$H,0)</f>
        <v>0</v>
      </c>
      <c r="K509" s="17">
        <f>_xlfn.XLOOKUP($B509,'[1]Jun-24'!$A:$A,'[1]Jun-24'!$H:$H,0)</f>
        <v>0</v>
      </c>
      <c r="L509" s="17">
        <f>_xlfn.XLOOKUP($B509,'[1]Jul-24'!$A:$A,'[1]Jul-24'!$H:$H,0)</f>
        <v>0</v>
      </c>
      <c r="M509" s="17">
        <f>_xlfn.XLOOKUP($B509,'[1]Aug-24'!$A:$A,'[1]Aug-24'!$H:$H,0)</f>
        <v>0</v>
      </c>
      <c r="N509" s="17">
        <f>_xlfn.XLOOKUP($B509,'[1]Sep-24'!$A:$A,'[1]Sep-24'!$H:$H,0)</f>
        <v>0</v>
      </c>
      <c r="O509" s="17">
        <f>_xlfn.XLOOKUP($B509,'[1]Oct-24'!$A:$A,'[1]Oct-24'!$H:$H,0)</f>
        <v>0</v>
      </c>
      <c r="P509" s="17">
        <f>_xlfn.XLOOKUP($B509,'[1]Nov-24'!$A:$A,'[1]Nov-24'!$H:$H,0)</f>
        <v>0</v>
      </c>
      <c r="Q509" s="17">
        <f>_xlfn.XLOOKUP($B509,'[1]Dec-24'!$A:$A,'[1]Dec-24'!$H:$H,0)</f>
        <v>0</v>
      </c>
      <c r="R509" s="17">
        <f>_xlfn.XLOOKUP($B509,'[1]Jan-25'!$A:$A,'[1]Jan-25'!$H:$H,0)</f>
        <v>0</v>
      </c>
      <c r="S509" s="17">
        <f>_xlfn.XLOOKUP($B509,'[1]Feb-25'!$A:$A,'[1]Feb-25'!$H:$H,0)</f>
        <v>0</v>
      </c>
      <c r="T509" s="17">
        <f>_xlfn.XLOOKUP($B509,'[1]Mar-25'!$A:$A,'[1]Mar-25'!$H:$H,0)</f>
        <v>0</v>
      </c>
      <c r="U509" s="17">
        <f>_xlfn.XLOOKUP($B509,'[1]Apr-25'!$A:$A,'[1]Apr-25'!$H:$H,0)</f>
        <v>0</v>
      </c>
      <c r="V509" s="17">
        <f>_xlfn.XLOOKUP($B509,'[1]May-25'!$A:$A,'[1]May-25'!$H:$H,0)</f>
        <v>0</v>
      </c>
      <c r="W509" s="17">
        <f>_xlfn.XLOOKUP($B509,'[1]Jun-25'!$A:$A,'[1]Jun-25'!$H:$H,0)</f>
        <v>0</v>
      </c>
      <c r="X509" s="17">
        <f>_xlfn.XLOOKUP($B509,'[1]Jul-25'!$A:$A,'[1]Jul-25'!$H:$H,0)</f>
        <v>0</v>
      </c>
      <c r="Y509" s="17">
        <f>_xlfn.XLOOKUP($B509,'[1]Aug-25'!$A:$A,'[1]Aug-25'!$H:$H,0)</f>
        <v>0</v>
      </c>
      <c r="Z509" s="17">
        <f>_xlfn.XLOOKUP($B509,'[1]Sep-25'!$A:$A,'[1]Sep-25'!$H:$H,0)</f>
        <v>0</v>
      </c>
      <c r="AA509" s="17">
        <f>_xlfn.XLOOKUP($B509,'[1]Oct-25'!$A:$A,'[1]Oct-25'!$H:$H,0)</f>
        <v>0</v>
      </c>
      <c r="AB509" s="17">
        <f>_xlfn.XLOOKUP($B509,'[1]Nov-25'!$A:$A,'[1]Nov-25'!$H:$H,0)</f>
        <v>0</v>
      </c>
      <c r="AC509" s="17">
        <f>_xlfn.XLOOKUP($B509,'[1]Dec-25'!$A:$A,'[1]Dec-25'!$H:$H,0)</f>
        <v>0</v>
      </c>
      <c r="AD509" s="17">
        <f>_xlfn.XLOOKUP($B509,'[1]Jan-26'!$A:$A,'[1]Jan-26'!$H:$H,0)</f>
        <v>0</v>
      </c>
      <c r="AE509" s="17">
        <f>_xlfn.XLOOKUP($B509,'[1]Feb-26'!$A:$A,'[1]Feb-26'!$H:$H,0)</f>
        <v>0</v>
      </c>
      <c r="AF509" s="17">
        <f>_xlfn.XLOOKUP($B509,'[1]Mar-26'!$A:$A,'[1]Mar-26'!$H:$H,0)</f>
        <v>0</v>
      </c>
      <c r="AG509" s="17">
        <f>_xlfn.XLOOKUP($B509,'[1]Apr-26'!$A:$A,'[1]Apr-26'!$H:$H,0)</f>
        <v>0</v>
      </c>
    </row>
    <row r="510" spans="1:33" x14ac:dyDescent="0.2">
      <c r="A510" s="58">
        <v>67013</v>
      </c>
      <c r="B510" s="56" t="str">
        <f t="shared" si="13"/>
        <v>67013</v>
      </c>
      <c r="C510" s="57" t="s">
        <v>549</v>
      </c>
      <c r="D510" s="57" t="s">
        <v>387</v>
      </c>
      <c r="E510" s="44" t="s">
        <v>692</v>
      </c>
      <c r="F510" s="17">
        <f>_xlfn.XLOOKUP($B510,'[1]Jan-24'!$A:$A,'[1]Jan-24'!$H:$H,0)</f>
        <v>0</v>
      </c>
      <c r="G510" s="17">
        <f>_xlfn.XLOOKUP($B510,'[1]Feb-24'!$A:$A,'[1]Feb-24'!$H:$H,0)</f>
        <v>0</v>
      </c>
      <c r="H510" s="17">
        <f>_xlfn.XLOOKUP($B510,'[1]Mar-24'!$A:$A,'[1]Mar-24'!$H:$H,0)</f>
        <v>0</v>
      </c>
      <c r="I510" s="17">
        <f>_xlfn.XLOOKUP($B510,'[1]Apr-24'!$A:$A,'[1]Apr-24'!$H:$H,0)</f>
        <v>0</v>
      </c>
      <c r="J510" s="17">
        <f>_xlfn.XLOOKUP($B510,'[1]May-24'!$A:$A,'[1]May-24'!$H:$H,0)</f>
        <v>0</v>
      </c>
      <c r="K510" s="17">
        <f>_xlfn.XLOOKUP($B510,'[1]Jun-24'!$A:$A,'[1]Jun-24'!$H:$H,0)</f>
        <v>0</v>
      </c>
      <c r="L510" s="17">
        <f>_xlfn.XLOOKUP($B510,'[1]Jul-24'!$A:$A,'[1]Jul-24'!$H:$H,0)</f>
        <v>0</v>
      </c>
      <c r="M510" s="17">
        <f>_xlfn.XLOOKUP($B510,'[1]Aug-24'!$A:$A,'[1]Aug-24'!$H:$H,0)</f>
        <v>0</v>
      </c>
      <c r="N510" s="17">
        <f>_xlfn.XLOOKUP($B510,'[1]Sep-24'!$A:$A,'[1]Sep-24'!$H:$H,0)</f>
        <v>0</v>
      </c>
      <c r="O510" s="17">
        <f>_xlfn.XLOOKUP($B510,'[1]Oct-24'!$A:$A,'[1]Oct-24'!$H:$H,0)</f>
        <v>0</v>
      </c>
      <c r="P510" s="17">
        <f>_xlfn.XLOOKUP($B510,'[1]Nov-24'!$A:$A,'[1]Nov-24'!$H:$H,0)</f>
        <v>0</v>
      </c>
      <c r="Q510" s="17">
        <f>_xlfn.XLOOKUP($B510,'[1]Dec-24'!$A:$A,'[1]Dec-24'!$H:$H,0)</f>
        <v>0</v>
      </c>
      <c r="R510" s="17">
        <f>_xlfn.XLOOKUP($B510,'[1]Jan-25'!$A:$A,'[1]Jan-25'!$H:$H,0)</f>
        <v>0</v>
      </c>
      <c r="S510" s="17">
        <f>_xlfn.XLOOKUP($B510,'[1]Feb-25'!$A:$A,'[1]Feb-25'!$H:$H,0)</f>
        <v>0</v>
      </c>
      <c r="T510" s="17">
        <f>_xlfn.XLOOKUP($B510,'[1]Mar-25'!$A:$A,'[1]Mar-25'!$H:$H,0)</f>
        <v>0</v>
      </c>
      <c r="U510" s="17">
        <f>_xlfn.XLOOKUP($B510,'[1]Apr-25'!$A:$A,'[1]Apr-25'!$H:$H,0)</f>
        <v>0</v>
      </c>
      <c r="V510" s="17">
        <f>_xlfn.XLOOKUP($B510,'[1]May-25'!$A:$A,'[1]May-25'!$H:$H,0)</f>
        <v>0</v>
      </c>
      <c r="W510" s="17">
        <f>_xlfn.XLOOKUP($B510,'[1]Jun-25'!$A:$A,'[1]Jun-25'!$H:$H,0)</f>
        <v>0</v>
      </c>
      <c r="X510" s="17">
        <f>_xlfn.XLOOKUP($B510,'[1]Jul-25'!$A:$A,'[1]Jul-25'!$H:$H,0)</f>
        <v>0</v>
      </c>
      <c r="Y510" s="17">
        <f>_xlfn.XLOOKUP($B510,'[1]Aug-25'!$A:$A,'[1]Aug-25'!$H:$H,0)</f>
        <v>0</v>
      </c>
      <c r="Z510" s="17">
        <f>_xlfn.XLOOKUP($B510,'[1]Sep-25'!$A:$A,'[1]Sep-25'!$H:$H,0)</f>
        <v>0</v>
      </c>
      <c r="AA510" s="17">
        <f>_xlfn.XLOOKUP($B510,'[1]Oct-25'!$A:$A,'[1]Oct-25'!$H:$H,0)</f>
        <v>0</v>
      </c>
      <c r="AB510" s="17">
        <f>_xlfn.XLOOKUP($B510,'[1]Nov-25'!$A:$A,'[1]Nov-25'!$H:$H,0)</f>
        <v>0</v>
      </c>
      <c r="AC510" s="17">
        <f>_xlfn.XLOOKUP($B510,'[1]Dec-25'!$A:$A,'[1]Dec-25'!$H:$H,0)</f>
        <v>0</v>
      </c>
      <c r="AD510" s="17">
        <f>_xlfn.XLOOKUP($B510,'[1]Jan-26'!$A:$A,'[1]Jan-26'!$H:$H,0)</f>
        <v>0</v>
      </c>
      <c r="AE510" s="17">
        <f>_xlfn.XLOOKUP($B510,'[1]Feb-26'!$A:$A,'[1]Feb-26'!$H:$H,0)</f>
        <v>0</v>
      </c>
      <c r="AF510" s="17">
        <f>_xlfn.XLOOKUP($B510,'[1]Mar-26'!$A:$A,'[1]Mar-26'!$H:$H,0)</f>
        <v>0</v>
      </c>
      <c r="AG510" s="17">
        <f>_xlfn.XLOOKUP($B510,'[1]Apr-26'!$A:$A,'[1]Apr-26'!$H:$H,0)</f>
        <v>0</v>
      </c>
    </row>
    <row r="511" spans="1:33" x14ac:dyDescent="0.2">
      <c r="A511" s="58">
        <v>67014</v>
      </c>
      <c r="B511" s="56" t="str">
        <f t="shared" si="13"/>
        <v>67014</v>
      </c>
      <c r="C511" s="57" t="s">
        <v>549</v>
      </c>
      <c r="D511" s="57" t="s">
        <v>387</v>
      </c>
      <c r="E511" s="44" t="s">
        <v>693</v>
      </c>
      <c r="F511" s="17">
        <f>_xlfn.XLOOKUP($B511,'[1]Jan-24'!$A:$A,'[1]Jan-24'!$H:$H,0)</f>
        <v>0</v>
      </c>
      <c r="G511" s="17">
        <f>_xlfn.XLOOKUP($B511,'[1]Feb-24'!$A:$A,'[1]Feb-24'!$H:$H,0)</f>
        <v>0</v>
      </c>
      <c r="H511" s="17">
        <f>_xlfn.XLOOKUP($B511,'[1]Mar-24'!$A:$A,'[1]Mar-24'!$H:$H,0)</f>
        <v>0</v>
      </c>
      <c r="I511" s="17">
        <f>_xlfn.XLOOKUP($B511,'[1]Apr-24'!$A:$A,'[1]Apr-24'!$H:$H,0)</f>
        <v>0</v>
      </c>
      <c r="J511" s="17">
        <f>_xlfn.XLOOKUP($B511,'[1]May-24'!$A:$A,'[1]May-24'!$H:$H,0)</f>
        <v>0</v>
      </c>
      <c r="K511" s="17">
        <f>_xlfn.XLOOKUP($B511,'[1]Jun-24'!$A:$A,'[1]Jun-24'!$H:$H,0)</f>
        <v>0</v>
      </c>
      <c r="L511" s="17">
        <f>_xlfn.XLOOKUP($B511,'[1]Jul-24'!$A:$A,'[1]Jul-24'!$H:$H,0)</f>
        <v>0</v>
      </c>
      <c r="M511" s="17">
        <f>_xlfn.XLOOKUP($B511,'[1]Aug-24'!$A:$A,'[1]Aug-24'!$H:$H,0)</f>
        <v>0</v>
      </c>
      <c r="N511" s="17">
        <f>_xlfn.XLOOKUP($B511,'[1]Sep-24'!$A:$A,'[1]Sep-24'!$H:$H,0)</f>
        <v>0</v>
      </c>
      <c r="O511" s="17">
        <f>_xlfn.XLOOKUP($B511,'[1]Oct-24'!$A:$A,'[1]Oct-24'!$H:$H,0)</f>
        <v>0</v>
      </c>
      <c r="P511" s="17">
        <f>_xlfn.XLOOKUP($B511,'[1]Nov-24'!$A:$A,'[1]Nov-24'!$H:$H,0)</f>
        <v>0</v>
      </c>
      <c r="Q511" s="17">
        <f>_xlfn.XLOOKUP($B511,'[1]Dec-24'!$A:$A,'[1]Dec-24'!$H:$H,0)</f>
        <v>0</v>
      </c>
      <c r="R511" s="17">
        <f>_xlfn.XLOOKUP($B511,'[1]Jan-25'!$A:$A,'[1]Jan-25'!$H:$H,0)</f>
        <v>0</v>
      </c>
      <c r="S511" s="17">
        <f>_xlfn.XLOOKUP($B511,'[1]Feb-25'!$A:$A,'[1]Feb-25'!$H:$H,0)</f>
        <v>0</v>
      </c>
      <c r="T511" s="17">
        <f>_xlfn.XLOOKUP($B511,'[1]Mar-25'!$A:$A,'[1]Mar-25'!$H:$H,0)</f>
        <v>0</v>
      </c>
      <c r="U511" s="17">
        <f>_xlfn.XLOOKUP($B511,'[1]Apr-25'!$A:$A,'[1]Apr-25'!$H:$H,0)</f>
        <v>0</v>
      </c>
      <c r="V511" s="17">
        <f>_xlfn.XLOOKUP($B511,'[1]May-25'!$A:$A,'[1]May-25'!$H:$H,0)</f>
        <v>0</v>
      </c>
      <c r="W511" s="17">
        <f>_xlfn.XLOOKUP($B511,'[1]Jun-25'!$A:$A,'[1]Jun-25'!$H:$H,0)</f>
        <v>0</v>
      </c>
      <c r="X511" s="17">
        <f>_xlfn.XLOOKUP($B511,'[1]Jul-25'!$A:$A,'[1]Jul-25'!$H:$H,0)</f>
        <v>0</v>
      </c>
      <c r="Y511" s="17">
        <f>_xlfn.XLOOKUP($B511,'[1]Aug-25'!$A:$A,'[1]Aug-25'!$H:$H,0)</f>
        <v>0</v>
      </c>
      <c r="Z511" s="17">
        <f>_xlfn.XLOOKUP($B511,'[1]Sep-25'!$A:$A,'[1]Sep-25'!$H:$H,0)</f>
        <v>0</v>
      </c>
      <c r="AA511" s="17">
        <f>_xlfn.XLOOKUP($B511,'[1]Oct-25'!$A:$A,'[1]Oct-25'!$H:$H,0)</f>
        <v>0</v>
      </c>
      <c r="AB511" s="17">
        <f>_xlfn.XLOOKUP($B511,'[1]Nov-25'!$A:$A,'[1]Nov-25'!$H:$H,0)</f>
        <v>0</v>
      </c>
      <c r="AC511" s="17">
        <f>_xlfn.XLOOKUP($B511,'[1]Dec-25'!$A:$A,'[1]Dec-25'!$H:$H,0)</f>
        <v>0</v>
      </c>
      <c r="AD511" s="17">
        <f>_xlfn.XLOOKUP($B511,'[1]Jan-26'!$A:$A,'[1]Jan-26'!$H:$H,0)</f>
        <v>0</v>
      </c>
      <c r="AE511" s="17">
        <f>_xlfn.XLOOKUP($B511,'[1]Feb-26'!$A:$A,'[1]Feb-26'!$H:$H,0)</f>
        <v>0</v>
      </c>
      <c r="AF511" s="17">
        <f>_xlfn.XLOOKUP($B511,'[1]Mar-26'!$A:$A,'[1]Mar-26'!$H:$H,0)</f>
        <v>0</v>
      </c>
      <c r="AG511" s="17">
        <f>_xlfn.XLOOKUP($B511,'[1]Apr-26'!$A:$A,'[1]Apr-26'!$H:$H,0)</f>
        <v>0</v>
      </c>
    </row>
    <row r="512" spans="1:33" x14ac:dyDescent="0.2">
      <c r="A512" s="58">
        <v>67015</v>
      </c>
      <c r="B512" s="56" t="str">
        <f t="shared" si="13"/>
        <v>67015</v>
      </c>
      <c r="C512" s="57" t="s">
        <v>549</v>
      </c>
      <c r="D512" s="57" t="s">
        <v>387</v>
      </c>
      <c r="E512" s="44" t="s">
        <v>694</v>
      </c>
      <c r="F512" s="17">
        <f>_xlfn.XLOOKUP($B512,'[1]Jan-24'!$A:$A,'[1]Jan-24'!$H:$H,0)</f>
        <v>0</v>
      </c>
      <c r="G512" s="17">
        <f>_xlfn.XLOOKUP($B512,'[1]Feb-24'!$A:$A,'[1]Feb-24'!$H:$H,0)</f>
        <v>0</v>
      </c>
      <c r="H512" s="17">
        <f>_xlfn.XLOOKUP($B512,'[1]Mar-24'!$A:$A,'[1]Mar-24'!$H:$H,0)</f>
        <v>0</v>
      </c>
      <c r="I512" s="17">
        <f>_xlfn.XLOOKUP($B512,'[1]Apr-24'!$A:$A,'[1]Apr-24'!$H:$H,0)</f>
        <v>0</v>
      </c>
      <c r="J512" s="17">
        <f>_xlfn.XLOOKUP($B512,'[1]May-24'!$A:$A,'[1]May-24'!$H:$H,0)</f>
        <v>0</v>
      </c>
      <c r="K512" s="17">
        <f>_xlfn.XLOOKUP($B512,'[1]Jun-24'!$A:$A,'[1]Jun-24'!$H:$H,0)</f>
        <v>0</v>
      </c>
      <c r="L512" s="17">
        <f>_xlfn.XLOOKUP($B512,'[1]Jul-24'!$A:$A,'[1]Jul-24'!$H:$H,0)</f>
        <v>0</v>
      </c>
      <c r="M512" s="17">
        <f>_xlfn.XLOOKUP($B512,'[1]Aug-24'!$A:$A,'[1]Aug-24'!$H:$H,0)</f>
        <v>0</v>
      </c>
      <c r="N512" s="17">
        <f>_xlfn.XLOOKUP($B512,'[1]Sep-24'!$A:$A,'[1]Sep-24'!$H:$H,0)</f>
        <v>0</v>
      </c>
      <c r="O512" s="17">
        <f>_xlfn.XLOOKUP($B512,'[1]Oct-24'!$A:$A,'[1]Oct-24'!$H:$H,0)</f>
        <v>0</v>
      </c>
      <c r="P512" s="17">
        <f>_xlfn.XLOOKUP($B512,'[1]Nov-24'!$A:$A,'[1]Nov-24'!$H:$H,0)</f>
        <v>0</v>
      </c>
      <c r="Q512" s="17">
        <f>_xlfn.XLOOKUP($B512,'[1]Dec-24'!$A:$A,'[1]Dec-24'!$H:$H,0)</f>
        <v>0</v>
      </c>
      <c r="R512" s="17">
        <f>_xlfn.XLOOKUP($B512,'[1]Jan-25'!$A:$A,'[1]Jan-25'!$H:$H,0)</f>
        <v>0</v>
      </c>
      <c r="S512" s="17">
        <f>_xlfn.XLOOKUP($B512,'[1]Feb-25'!$A:$A,'[1]Feb-25'!$H:$H,0)</f>
        <v>0</v>
      </c>
      <c r="T512" s="17">
        <f>_xlfn.XLOOKUP($B512,'[1]Mar-25'!$A:$A,'[1]Mar-25'!$H:$H,0)</f>
        <v>0</v>
      </c>
      <c r="U512" s="17">
        <f>_xlfn.XLOOKUP($B512,'[1]Apr-25'!$A:$A,'[1]Apr-25'!$H:$H,0)</f>
        <v>0</v>
      </c>
      <c r="V512" s="17">
        <f>_xlfn.XLOOKUP($B512,'[1]May-25'!$A:$A,'[1]May-25'!$H:$H,0)</f>
        <v>0</v>
      </c>
      <c r="W512" s="17">
        <f>_xlfn.XLOOKUP($B512,'[1]Jun-25'!$A:$A,'[1]Jun-25'!$H:$H,0)</f>
        <v>0</v>
      </c>
      <c r="X512" s="17">
        <f>_xlfn.XLOOKUP($B512,'[1]Jul-25'!$A:$A,'[1]Jul-25'!$H:$H,0)</f>
        <v>0</v>
      </c>
      <c r="Y512" s="17">
        <f>_xlfn.XLOOKUP($B512,'[1]Aug-25'!$A:$A,'[1]Aug-25'!$H:$H,0)</f>
        <v>0</v>
      </c>
      <c r="Z512" s="17">
        <f>_xlfn.XLOOKUP($B512,'[1]Sep-25'!$A:$A,'[1]Sep-25'!$H:$H,0)</f>
        <v>0</v>
      </c>
      <c r="AA512" s="17">
        <f>_xlfn.XLOOKUP($B512,'[1]Oct-25'!$A:$A,'[1]Oct-25'!$H:$H,0)</f>
        <v>0</v>
      </c>
      <c r="AB512" s="17">
        <f>_xlfn.XLOOKUP($B512,'[1]Nov-25'!$A:$A,'[1]Nov-25'!$H:$H,0)</f>
        <v>0</v>
      </c>
      <c r="AC512" s="17">
        <f>_xlfn.XLOOKUP($B512,'[1]Dec-25'!$A:$A,'[1]Dec-25'!$H:$H,0)</f>
        <v>0</v>
      </c>
      <c r="AD512" s="17">
        <f>_xlfn.XLOOKUP($B512,'[1]Jan-26'!$A:$A,'[1]Jan-26'!$H:$H,0)</f>
        <v>0</v>
      </c>
      <c r="AE512" s="17">
        <f>_xlfn.XLOOKUP($B512,'[1]Feb-26'!$A:$A,'[1]Feb-26'!$H:$H,0)</f>
        <v>0</v>
      </c>
      <c r="AF512" s="17">
        <f>_xlfn.XLOOKUP($B512,'[1]Mar-26'!$A:$A,'[1]Mar-26'!$H:$H,0)</f>
        <v>0</v>
      </c>
      <c r="AG512" s="17">
        <f>_xlfn.XLOOKUP($B512,'[1]Apr-26'!$A:$A,'[1]Apr-26'!$H:$H,0)</f>
        <v>0</v>
      </c>
    </row>
    <row r="513" spans="1:33" x14ac:dyDescent="0.2">
      <c r="A513" s="58">
        <v>67016</v>
      </c>
      <c r="B513" s="56" t="str">
        <f t="shared" si="13"/>
        <v>67016</v>
      </c>
      <c r="C513" s="57" t="s">
        <v>549</v>
      </c>
      <c r="D513" s="57" t="s">
        <v>387</v>
      </c>
      <c r="E513" s="44" t="s">
        <v>695</v>
      </c>
      <c r="F513" s="17">
        <f>_xlfn.XLOOKUP($B513,'[1]Jan-24'!$A:$A,'[1]Jan-24'!$H:$H,0)</f>
        <v>0</v>
      </c>
      <c r="G513" s="17">
        <f>_xlfn.XLOOKUP($B513,'[1]Feb-24'!$A:$A,'[1]Feb-24'!$H:$H,0)</f>
        <v>0</v>
      </c>
      <c r="H513" s="17">
        <f>_xlfn.XLOOKUP($B513,'[1]Mar-24'!$A:$A,'[1]Mar-24'!$H:$H,0)</f>
        <v>0</v>
      </c>
      <c r="I513" s="17">
        <f>_xlfn.XLOOKUP($B513,'[1]Apr-24'!$A:$A,'[1]Apr-24'!$H:$H,0)</f>
        <v>0</v>
      </c>
      <c r="J513" s="17">
        <f>_xlfn.XLOOKUP($B513,'[1]May-24'!$A:$A,'[1]May-24'!$H:$H,0)</f>
        <v>0</v>
      </c>
      <c r="K513" s="17">
        <f>_xlfn.XLOOKUP($B513,'[1]Jun-24'!$A:$A,'[1]Jun-24'!$H:$H,0)</f>
        <v>0</v>
      </c>
      <c r="L513" s="17">
        <f>_xlfn.XLOOKUP($B513,'[1]Jul-24'!$A:$A,'[1]Jul-24'!$H:$H,0)</f>
        <v>0</v>
      </c>
      <c r="M513" s="17">
        <f>_xlfn.XLOOKUP($B513,'[1]Aug-24'!$A:$A,'[1]Aug-24'!$H:$H,0)</f>
        <v>0</v>
      </c>
      <c r="N513" s="17">
        <f>_xlfn.XLOOKUP($B513,'[1]Sep-24'!$A:$A,'[1]Sep-24'!$H:$H,0)</f>
        <v>0</v>
      </c>
      <c r="O513" s="17">
        <f>_xlfn.XLOOKUP($B513,'[1]Oct-24'!$A:$A,'[1]Oct-24'!$H:$H,0)</f>
        <v>0</v>
      </c>
      <c r="P513" s="17">
        <f>_xlfn.XLOOKUP($B513,'[1]Nov-24'!$A:$A,'[1]Nov-24'!$H:$H,0)</f>
        <v>0</v>
      </c>
      <c r="Q513" s="17">
        <f>_xlfn.XLOOKUP($B513,'[1]Dec-24'!$A:$A,'[1]Dec-24'!$H:$H,0)</f>
        <v>0</v>
      </c>
      <c r="R513" s="17">
        <f>_xlfn.XLOOKUP($B513,'[1]Jan-25'!$A:$A,'[1]Jan-25'!$H:$H,0)</f>
        <v>0</v>
      </c>
      <c r="S513" s="17">
        <f>_xlfn.XLOOKUP($B513,'[1]Feb-25'!$A:$A,'[1]Feb-25'!$H:$H,0)</f>
        <v>0</v>
      </c>
      <c r="T513" s="17">
        <f>_xlfn.XLOOKUP($B513,'[1]Mar-25'!$A:$A,'[1]Mar-25'!$H:$H,0)</f>
        <v>0</v>
      </c>
      <c r="U513" s="17">
        <f>_xlfn.XLOOKUP($B513,'[1]Apr-25'!$A:$A,'[1]Apr-25'!$H:$H,0)</f>
        <v>0</v>
      </c>
      <c r="V513" s="17">
        <f>_xlfn.XLOOKUP($B513,'[1]May-25'!$A:$A,'[1]May-25'!$H:$H,0)</f>
        <v>0</v>
      </c>
      <c r="W513" s="17">
        <f>_xlfn.XLOOKUP($B513,'[1]Jun-25'!$A:$A,'[1]Jun-25'!$H:$H,0)</f>
        <v>0</v>
      </c>
      <c r="X513" s="17">
        <f>_xlfn.XLOOKUP($B513,'[1]Jul-25'!$A:$A,'[1]Jul-25'!$H:$H,0)</f>
        <v>0</v>
      </c>
      <c r="Y513" s="17">
        <f>_xlfn.XLOOKUP($B513,'[1]Aug-25'!$A:$A,'[1]Aug-25'!$H:$H,0)</f>
        <v>0</v>
      </c>
      <c r="Z513" s="17">
        <f>_xlfn.XLOOKUP($B513,'[1]Sep-25'!$A:$A,'[1]Sep-25'!$H:$H,0)</f>
        <v>0</v>
      </c>
      <c r="AA513" s="17">
        <f>_xlfn.XLOOKUP($B513,'[1]Oct-25'!$A:$A,'[1]Oct-25'!$H:$H,0)</f>
        <v>0</v>
      </c>
      <c r="AB513" s="17">
        <f>_xlfn.XLOOKUP($B513,'[1]Nov-25'!$A:$A,'[1]Nov-25'!$H:$H,0)</f>
        <v>0</v>
      </c>
      <c r="AC513" s="17">
        <f>_xlfn.XLOOKUP($B513,'[1]Dec-25'!$A:$A,'[1]Dec-25'!$H:$H,0)</f>
        <v>0</v>
      </c>
      <c r="AD513" s="17">
        <f>_xlfn.XLOOKUP($B513,'[1]Jan-26'!$A:$A,'[1]Jan-26'!$H:$H,0)</f>
        <v>0</v>
      </c>
      <c r="AE513" s="17">
        <f>_xlfn.XLOOKUP($B513,'[1]Feb-26'!$A:$A,'[1]Feb-26'!$H:$H,0)</f>
        <v>0</v>
      </c>
      <c r="AF513" s="17">
        <f>_xlfn.XLOOKUP($B513,'[1]Mar-26'!$A:$A,'[1]Mar-26'!$H:$H,0)</f>
        <v>0</v>
      </c>
      <c r="AG513" s="17">
        <f>_xlfn.XLOOKUP($B513,'[1]Apr-26'!$A:$A,'[1]Apr-26'!$H:$H,0)</f>
        <v>0</v>
      </c>
    </row>
    <row r="514" spans="1:33" x14ac:dyDescent="0.2">
      <c r="A514" s="58">
        <v>67017</v>
      </c>
      <c r="B514" s="56" t="str">
        <f t="shared" si="13"/>
        <v>67017</v>
      </c>
      <c r="C514" s="57" t="s">
        <v>549</v>
      </c>
      <c r="D514" s="57" t="s">
        <v>387</v>
      </c>
      <c r="E514" s="44" t="s">
        <v>696</v>
      </c>
      <c r="F514" s="17">
        <f>_xlfn.XLOOKUP($B514,'[1]Jan-24'!$A:$A,'[1]Jan-24'!$H:$H,0)</f>
        <v>0</v>
      </c>
      <c r="G514" s="17">
        <f>_xlfn.XLOOKUP($B514,'[1]Feb-24'!$A:$A,'[1]Feb-24'!$H:$H,0)</f>
        <v>0</v>
      </c>
      <c r="H514" s="17">
        <f>_xlfn.XLOOKUP($B514,'[1]Mar-24'!$A:$A,'[1]Mar-24'!$H:$H,0)</f>
        <v>0</v>
      </c>
      <c r="I514" s="17">
        <f>_xlfn.XLOOKUP($B514,'[1]Apr-24'!$A:$A,'[1]Apr-24'!$H:$H,0)</f>
        <v>0</v>
      </c>
      <c r="J514" s="17">
        <f>_xlfn.XLOOKUP($B514,'[1]May-24'!$A:$A,'[1]May-24'!$H:$H,0)</f>
        <v>0</v>
      </c>
      <c r="K514" s="17">
        <f>_xlfn.XLOOKUP($B514,'[1]Jun-24'!$A:$A,'[1]Jun-24'!$H:$H,0)</f>
        <v>0</v>
      </c>
      <c r="L514" s="17">
        <f>_xlfn.XLOOKUP($B514,'[1]Jul-24'!$A:$A,'[1]Jul-24'!$H:$H,0)</f>
        <v>0</v>
      </c>
      <c r="M514" s="17">
        <f>_xlfn.XLOOKUP($B514,'[1]Aug-24'!$A:$A,'[1]Aug-24'!$H:$H,0)</f>
        <v>0</v>
      </c>
      <c r="N514" s="17">
        <f>_xlfn.XLOOKUP($B514,'[1]Sep-24'!$A:$A,'[1]Sep-24'!$H:$H,0)</f>
        <v>0</v>
      </c>
      <c r="O514" s="17">
        <f>_xlfn.XLOOKUP($B514,'[1]Oct-24'!$A:$A,'[1]Oct-24'!$H:$H,0)</f>
        <v>0</v>
      </c>
      <c r="P514" s="17">
        <f>_xlfn.XLOOKUP($B514,'[1]Nov-24'!$A:$A,'[1]Nov-24'!$H:$H,0)</f>
        <v>0</v>
      </c>
      <c r="Q514" s="17">
        <f>_xlfn.XLOOKUP($B514,'[1]Dec-24'!$A:$A,'[1]Dec-24'!$H:$H,0)</f>
        <v>0</v>
      </c>
      <c r="R514" s="17">
        <f>_xlfn.XLOOKUP($B514,'[1]Jan-25'!$A:$A,'[1]Jan-25'!$H:$H,0)</f>
        <v>0</v>
      </c>
      <c r="S514" s="17">
        <f>_xlfn.XLOOKUP($B514,'[1]Feb-25'!$A:$A,'[1]Feb-25'!$H:$H,0)</f>
        <v>0</v>
      </c>
      <c r="T514" s="17">
        <f>_xlfn.XLOOKUP($B514,'[1]Mar-25'!$A:$A,'[1]Mar-25'!$H:$H,0)</f>
        <v>0</v>
      </c>
      <c r="U514" s="17">
        <f>_xlfn.XLOOKUP($B514,'[1]Apr-25'!$A:$A,'[1]Apr-25'!$H:$H,0)</f>
        <v>0</v>
      </c>
      <c r="V514" s="17">
        <f>_xlfn.XLOOKUP($B514,'[1]May-25'!$A:$A,'[1]May-25'!$H:$H,0)</f>
        <v>0</v>
      </c>
      <c r="W514" s="17">
        <f>_xlfn.XLOOKUP($B514,'[1]Jun-25'!$A:$A,'[1]Jun-25'!$H:$H,0)</f>
        <v>0</v>
      </c>
      <c r="X514" s="17">
        <f>_xlfn.XLOOKUP($B514,'[1]Jul-25'!$A:$A,'[1]Jul-25'!$H:$H,0)</f>
        <v>0</v>
      </c>
      <c r="Y514" s="17">
        <f>_xlfn.XLOOKUP($B514,'[1]Aug-25'!$A:$A,'[1]Aug-25'!$H:$H,0)</f>
        <v>0</v>
      </c>
      <c r="Z514" s="17">
        <f>_xlfn.XLOOKUP($B514,'[1]Sep-25'!$A:$A,'[1]Sep-25'!$H:$H,0)</f>
        <v>0</v>
      </c>
      <c r="AA514" s="17">
        <f>_xlfn.XLOOKUP($B514,'[1]Oct-25'!$A:$A,'[1]Oct-25'!$H:$H,0)</f>
        <v>0</v>
      </c>
      <c r="AB514" s="17">
        <f>_xlfn.XLOOKUP($B514,'[1]Nov-25'!$A:$A,'[1]Nov-25'!$H:$H,0)</f>
        <v>0</v>
      </c>
      <c r="AC514" s="17">
        <f>_xlfn.XLOOKUP($B514,'[1]Dec-25'!$A:$A,'[1]Dec-25'!$H:$H,0)</f>
        <v>0</v>
      </c>
      <c r="AD514" s="17">
        <f>_xlfn.XLOOKUP($B514,'[1]Jan-26'!$A:$A,'[1]Jan-26'!$H:$H,0)</f>
        <v>0</v>
      </c>
      <c r="AE514" s="17">
        <f>_xlfn.XLOOKUP($B514,'[1]Feb-26'!$A:$A,'[1]Feb-26'!$H:$H,0)</f>
        <v>0</v>
      </c>
      <c r="AF514" s="17">
        <f>_xlfn.XLOOKUP($B514,'[1]Mar-26'!$A:$A,'[1]Mar-26'!$H:$H,0)</f>
        <v>0</v>
      </c>
      <c r="AG514" s="17">
        <f>_xlfn.XLOOKUP($B514,'[1]Apr-26'!$A:$A,'[1]Apr-26'!$H:$H,0)</f>
        <v>0</v>
      </c>
    </row>
    <row r="515" spans="1:33" x14ac:dyDescent="0.2">
      <c r="A515" s="58">
        <v>67018</v>
      </c>
      <c r="B515" s="56" t="str">
        <f t="shared" si="13"/>
        <v>67018</v>
      </c>
      <c r="C515" s="57" t="s">
        <v>549</v>
      </c>
      <c r="D515" s="57" t="s">
        <v>387</v>
      </c>
      <c r="E515" s="44" t="s">
        <v>697</v>
      </c>
      <c r="F515" s="17">
        <f>_xlfn.XLOOKUP($B515,'[1]Jan-24'!$A:$A,'[1]Jan-24'!$H:$H,0)</f>
        <v>0</v>
      </c>
      <c r="G515" s="17">
        <f>_xlfn.XLOOKUP($B515,'[1]Feb-24'!$A:$A,'[1]Feb-24'!$H:$H,0)</f>
        <v>0</v>
      </c>
      <c r="H515" s="17">
        <f>_xlfn.XLOOKUP($B515,'[1]Mar-24'!$A:$A,'[1]Mar-24'!$H:$H,0)</f>
        <v>0</v>
      </c>
      <c r="I515" s="17">
        <f>_xlfn.XLOOKUP($B515,'[1]Apr-24'!$A:$A,'[1]Apr-24'!$H:$H,0)</f>
        <v>0</v>
      </c>
      <c r="J515" s="17">
        <f>_xlfn.XLOOKUP($B515,'[1]May-24'!$A:$A,'[1]May-24'!$H:$H,0)</f>
        <v>0</v>
      </c>
      <c r="K515" s="17">
        <f>_xlfn.XLOOKUP($B515,'[1]Jun-24'!$A:$A,'[1]Jun-24'!$H:$H,0)</f>
        <v>0</v>
      </c>
      <c r="L515" s="17">
        <f>_xlfn.XLOOKUP($B515,'[1]Jul-24'!$A:$A,'[1]Jul-24'!$H:$H,0)</f>
        <v>0</v>
      </c>
      <c r="M515" s="17">
        <f>_xlfn.XLOOKUP($B515,'[1]Aug-24'!$A:$A,'[1]Aug-24'!$H:$H,0)</f>
        <v>0</v>
      </c>
      <c r="N515" s="17">
        <f>_xlfn.XLOOKUP($B515,'[1]Sep-24'!$A:$A,'[1]Sep-24'!$H:$H,0)</f>
        <v>0</v>
      </c>
      <c r="O515" s="17">
        <f>_xlfn.XLOOKUP($B515,'[1]Oct-24'!$A:$A,'[1]Oct-24'!$H:$H,0)</f>
        <v>0</v>
      </c>
      <c r="P515" s="17">
        <f>_xlfn.XLOOKUP($B515,'[1]Nov-24'!$A:$A,'[1]Nov-24'!$H:$H,0)</f>
        <v>0</v>
      </c>
      <c r="Q515" s="17">
        <f>_xlfn.XLOOKUP($B515,'[1]Dec-24'!$A:$A,'[1]Dec-24'!$H:$H,0)</f>
        <v>0</v>
      </c>
      <c r="R515" s="17">
        <f>_xlfn.XLOOKUP($B515,'[1]Jan-25'!$A:$A,'[1]Jan-25'!$H:$H,0)</f>
        <v>0</v>
      </c>
      <c r="S515" s="17">
        <f>_xlfn.XLOOKUP($B515,'[1]Feb-25'!$A:$A,'[1]Feb-25'!$H:$H,0)</f>
        <v>0</v>
      </c>
      <c r="T515" s="17">
        <f>_xlfn.XLOOKUP($B515,'[1]Mar-25'!$A:$A,'[1]Mar-25'!$H:$H,0)</f>
        <v>0</v>
      </c>
      <c r="U515" s="17">
        <f>_xlfn.XLOOKUP($B515,'[1]Apr-25'!$A:$A,'[1]Apr-25'!$H:$H,0)</f>
        <v>0</v>
      </c>
      <c r="V515" s="17">
        <f>_xlfn.XLOOKUP($B515,'[1]May-25'!$A:$A,'[1]May-25'!$H:$H,0)</f>
        <v>0</v>
      </c>
      <c r="W515" s="17">
        <f>_xlfn.XLOOKUP($B515,'[1]Jun-25'!$A:$A,'[1]Jun-25'!$H:$H,0)</f>
        <v>0</v>
      </c>
      <c r="X515" s="17">
        <f>_xlfn.XLOOKUP($B515,'[1]Jul-25'!$A:$A,'[1]Jul-25'!$H:$H,0)</f>
        <v>0</v>
      </c>
      <c r="Y515" s="17">
        <f>_xlfn.XLOOKUP($B515,'[1]Aug-25'!$A:$A,'[1]Aug-25'!$H:$H,0)</f>
        <v>0</v>
      </c>
      <c r="Z515" s="17">
        <f>_xlfn.XLOOKUP($B515,'[1]Sep-25'!$A:$A,'[1]Sep-25'!$H:$H,0)</f>
        <v>0</v>
      </c>
      <c r="AA515" s="17">
        <f>_xlfn.XLOOKUP($B515,'[1]Oct-25'!$A:$A,'[1]Oct-25'!$H:$H,0)</f>
        <v>0</v>
      </c>
      <c r="AB515" s="17">
        <f>_xlfn.XLOOKUP($B515,'[1]Nov-25'!$A:$A,'[1]Nov-25'!$H:$H,0)</f>
        <v>0</v>
      </c>
      <c r="AC515" s="17">
        <f>_xlfn.XLOOKUP($B515,'[1]Dec-25'!$A:$A,'[1]Dec-25'!$H:$H,0)</f>
        <v>0</v>
      </c>
      <c r="AD515" s="17">
        <f>_xlfn.XLOOKUP($B515,'[1]Jan-26'!$A:$A,'[1]Jan-26'!$H:$H,0)</f>
        <v>0</v>
      </c>
      <c r="AE515" s="17">
        <f>_xlfn.XLOOKUP($B515,'[1]Feb-26'!$A:$A,'[1]Feb-26'!$H:$H,0)</f>
        <v>0</v>
      </c>
      <c r="AF515" s="17">
        <f>_xlfn.XLOOKUP($B515,'[1]Mar-26'!$A:$A,'[1]Mar-26'!$H:$H,0)</f>
        <v>0</v>
      </c>
      <c r="AG515" s="17">
        <f>_xlfn.XLOOKUP($B515,'[1]Apr-26'!$A:$A,'[1]Apr-26'!$H:$H,0)</f>
        <v>0</v>
      </c>
    </row>
    <row r="516" spans="1:33" x14ac:dyDescent="0.2">
      <c r="A516" s="58">
        <v>67019</v>
      </c>
      <c r="B516" s="56" t="str">
        <f t="shared" si="13"/>
        <v>67019</v>
      </c>
      <c r="C516" s="57" t="s">
        <v>549</v>
      </c>
      <c r="D516" s="57" t="s">
        <v>387</v>
      </c>
      <c r="E516" s="44" t="s">
        <v>698</v>
      </c>
      <c r="F516" s="17">
        <f>_xlfn.XLOOKUP($B516,'[1]Jan-24'!$A:$A,'[1]Jan-24'!$H:$H,0)</f>
        <v>0</v>
      </c>
      <c r="G516" s="17">
        <f>_xlfn.XLOOKUP($B516,'[1]Feb-24'!$A:$A,'[1]Feb-24'!$H:$H,0)</f>
        <v>0</v>
      </c>
      <c r="H516" s="17">
        <f>_xlfn.XLOOKUP($B516,'[1]Mar-24'!$A:$A,'[1]Mar-24'!$H:$H,0)</f>
        <v>0</v>
      </c>
      <c r="I516" s="17">
        <f>_xlfn.XLOOKUP($B516,'[1]Apr-24'!$A:$A,'[1]Apr-24'!$H:$H,0)</f>
        <v>0</v>
      </c>
      <c r="J516" s="17">
        <f>_xlfn.XLOOKUP($B516,'[1]May-24'!$A:$A,'[1]May-24'!$H:$H,0)</f>
        <v>0</v>
      </c>
      <c r="K516" s="17">
        <f>_xlfn.XLOOKUP($B516,'[1]Jun-24'!$A:$A,'[1]Jun-24'!$H:$H,0)</f>
        <v>0</v>
      </c>
      <c r="L516" s="17">
        <f>_xlfn.XLOOKUP($B516,'[1]Jul-24'!$A:$A,'[1]Jul-24'!$H:$H,0)</f>
        <v>0</v>
      </c>
      <c r="M516" s="17">
        <f>_xlfn.XLOOKUP($B516,'[1]Aug-24'!$A:$A,'[1]Aug-24'!$H:$H,0)</f>
        <v>0</v>
      </c>
      <c r="N516" s="17">
        <f>_xlfn.XLOOKUP($B516,'[1]Sep-24'!$A:$A,'[1]Sep-24'!$H:$H,0)</f>
        <v>0</v>
      </c>
      <c r="O516" s="17">
        <f>_xlfn.XLOOKUP($B516,'[1]Oct-24'!$A:$A,'[1]Oct-24'!$H:$H,0)</f>
        <v>0</v>
      </c>
      <c r="P516" s="17">
        <f>_xlfn.XLOOKUP($B516,'[1]Nov-24'!$A:$A,'[1]Nov-24'!$H:$H,0)</f>
        <v>0</v>
      </c>
      <c r="Q516" s="17">
        <f>_xlfn.XLOOKUP($B516,'[1]Dec-24'!$A:$A,'[1]Dec-24'!$H:$H,0)</f>
        <v>0</v>
      </c>
      <c r="R516" s="17">
        <f>_xlfn.XLOOKUP($B516,'[1]Jan-25'!$A:$A,'[1]Jan-25'!$H:$H,0)</f>
        <v>0</v>
      </c>
      <c r="S516" s="17">
        <f>_xlfn.XLOOKUP($B516,'[1]Feb-25'!$A:$A,'[1]Feb-25'!$H:$H,0)</f>
        <v>0</v>
      </c>
      <c r="T516" s="17">
        <f>_xlfn.XLOOKUP($B516,'[1]Mar-25'!$A:$A,'[1]Mar-25'!$H:$H,0)</f>
        <v>0</v>
      </c>
      <c r="U516" s="17">
        <f>_xlfn.XLOOKUP($B516,'[1]Apr-25'!$A:$A,'[1]Apr-25'!$H:$H,0)</f>
        <v>0</v>
      </c>
      <c r="V516" s="17">
        <f>_xlfn.XLOOKUP($B516,'[1]May-25'!$A:$A,'[1]May-25'!$H:$H,0)</f>
        <v>0</v>
      </c>
      <c r="W516" s="17">
        <f>_xlfn.XLOOKUP($B516,'[1]Jun-25'!$A:$A,'[1]Jun-25'!$H:$H,0)</f>
        <v>0</v>
      </c>
      <c r="X516" s="17">
        <f>_xlfn.XLOOKUP($B516,'[1]Jul-25'!$A:$A,'[1]Jul-25'!$H:$H,0)</f>
        <v>0</v>
      </c>
      <c r="Y516" s="17">
        <f>_xlfn.XLOOKUP($B516,'[1]Aug-25'!$A:$A,'[1]Aug-25'!$H:$H,0)</f>
        <v>0</v>
      </c>
      <c r="Z516" s="17">
        <f>_xlfn.XLOOKUP($B516,'[1]Sep-25'!$A:$A,'[1]Sep-25'!$H:$H,0)</f>
        <v>0</v>
      </c>
      <c r="AA516" s="17">
        <f>_xlfn.XLOOKUP($B516,'[1]Oct-25'!$A:$A,'[1]Oct-25'!$H:$H,0)</f>
        <v>0</v>
      </c>
      <c r="AB516" s="17">
        <f>_xlfn.XLOOKUP($B516,'[1]Nov-25'!$A:$A,'[1]Nov-25'!$H:$H,0)</f>
        <v>0</v>
      </c>
      <c r="AC516" s="17">
        <f>_xlfn.XLOOKUP($B516,'[1]Dec-25'!$A:$A,'[1]Dec-25'!$H:$H,0)</f>
        <v>0</v>
      </c>
      <c r="AD516" s="17">
        <f>_xlfn.XLOOKUP($B516,'[1]Jan-26'!$A:$A,'[1]Jan-26'!$H:$H,0)</f>
        <v>0</v>
      </c>
      <c r="AE516" s="17">
        <f>_xlfn.XLOOKUP($B516,'[1]Feb-26'!$A:$A,'[1]Feb-26'!$H:$H,0)</f>
        <v>0</v>
      </c>
      <c r="AF516" s="17">
        <f>_xlfn.XLOOKUP($B516,'[1]Mar-26'!$A:$A,'[1]Mar-26'!$H:$H,0)</f>
        <v>0</v>
      </c>
      <c r="AG516" s="17">
        <f>_xlfn.XLOOKUP($B516,'[1]Apr-26'!$A:$A,'[1]Apr-26'!$H:$H,0)</f>
        <v>0</v>
      </c>
    </row>
    <row r="517" spans="1:33" x14ac:dyDescent="0.2">
      <c r="A517" s="58">
        <v>67020</v>
      </c>
      <c r="B517" s="56" t="str">
        <f t="shared" si="13"/>
        <v>67020</v>
      </c>
      <c r="C517" s="57" t="s">
        <v>549</v>
      </c>
      <c r="D517" s="57" t="s">
        <v>387</v>
      </c>
      <c r="E517" s="44" t="s">
        <v>699</v>
      </c>
      <c r="F517" s="17">
        <f>_xlfn.XLOOKUP($B517,'[1]Jan-24'!$A:$A,'[1]Jan-24'!$H:$H,0)</f>
        <v>0</v>
      </c>
      <c r="G517" s="17">
        <f>_xlfn.XLOOKUP($B517,'[1]Feb-24'!$A:$A,'[1]Feb-24'!$H:$H,0)</f>
        <v>0</v>
      </c>
      <c r="H517" s="17">
        <f>_xlfn.XLOOKUP($B517,'[1]Mar-24'!$A:$A,'[1]Mar-24'!$H:$H,0)</f>
        <v>0</v>
      </c>
      <c r="I517" s="17">
        <f>_xlfn.XLOOKUP($B517,'[1]Apr-24'!$A:$A,'[1]Apr-24'!$H:$H,0)</f>
        <v>0</v>
      </c>
      <c r="J517" s="17">
        <f>_xlfn.XLOOKUP($B517,'[1]May-24'!$A:$A,'[1]May-24'!$H:$H,0)</f>
        <v>0</v>
      </c>
      <c r="K517" s="17">
        <f>_xlfn.XLOOKUP($B517,'[1]Jun-24'!$A:$A,'[1]Jun-24'!$H:$H,0)</f>
        <v>0</v>
      </c>
      <c r="L517" s="17">
        <f>_xlfn.XLOOKUP($B517,'[1]Jul-24'!$A:$A,'[1]Jul-24'!$H:$H,0)</f>
        <v>0</v>
      </c>
      <c r="M517" s="17">
        <f>_xlfn.XLOOKUP($B517,'[1]Aug-24'!$A:$A,'[1]Aug-24'!$H:$H,0)</f>
        <v>0</v>
      </c>
      <c r="N517" s="17">
        <f>_xlfn.XLOOKUP($B517,'[1]Sep-24'!$A:$A,'[1]Sep-24'!$H:$H,0)</f>
        <v>0</v>
      </c>
      <c r="O517" s="17">
        <f>_xlfn.XLOOKUP($B517,'[1]Oct-24'!$A:$A,'[1]Oct-24'!$H:$H,0)</f>
        <v>0</v>
      </c>
      <c r="P517" s="17">
        <f>_xlfn.XLOOKUP($B517,'[1]Nov-24'!$A:$A,'[1]Nov-24'!$H:$H,0)</f>
        <v>0</v>
      </c>
      <c r="Q517" s="17">
        <f>_xlfn.XLOOKUP($B517,'[1]Dec-24'!$A:$A,'[1]Dec-24'!$H:$H,0)</f>
        <v>0</v>
      </c>
      <c r="R517" s="17">
        <f>_xlfn.XLOOKUP($B517,'[1]Jan-25'!$A:$A,'[1]Jan-25'!$H:$H,0)</f>
        <v>0</v>
      </c>
      <c r="S517" s="17">
        <f>_xlfn.XLOOKUP($B517,'[1]Feb-25'!$A:$A,'[1]Feb-25'!$H:$H,0)</f>
        <v>0</v>
      </c>
      <c r="T517" s="17">
        <f>_xlfn.XLOOKUP($B517,'[1]Mar-25'!$A:$A,'[1]Mar-25'!$H:$H,0)</f>
        <v>0</v>
      </c>
      <c r="U517" s="17">
        <f>_xlfn.XLOOKUP($B517,'[1]Apr-25'!$A:$A,'[1]Apr-25'!$H:$H,0)</f>
        <v>0</v>
      </c>
      <c r="V517" s="17">
        <f>_xlfn.XLOOKUP($B517,'[1]May-25'!$A:$A,'[1]May-25'!$H:$H,0)</f>
        <v>0</v>
      </c>
      <c r="W517" s="17">
        <f>_xlfn.XLOOKUP($B517,'[1]Jun-25'!$A:$A,'[1]Jun-25'!$H:$H,0)</f>
        <v>0</v>
      </c>
      <c r="X517" s="17">
        <f>_xlfn.XLOOKUP($B517,'[1]Jul-25'!$A:$A,'[1]Jul-25'!$H:$H,0)</f>
        <v>0</v>
      </c>
      <c r="Y517" s="17">
        <f>_xlfn.XLOOKUP($B517,'[1]Aug-25'!$A:$A,'[1]Aug-25'!$H:$H,0)</f>
        <v>0</v>
      </c>
      <c r="Z517" s="17">
        <f>_xlfn.XLOOKUP($B517,'[1]Sep-25'!$A:$A,'[1]Sep-25'!$H:$H,0)</f>
        <v>0</v>
      </c>
      <c r="AA517" s="17">
        <f>_xlfn.XLOOKUP($B517,'[1]Oct-25'!$A:$A,'[1]Oct-25'!$H:$H,0)</f>
        <v>0</v>
      </c>
      <c r="AB517" s="17">
        <f>_xlfn.XLOOKUP($B517,'[1]Nov-25'!$A:$A,'[1]Nov-25'!$H:$H,0)</f>
        <v>0</v>
      </c>
      <c r="AC517" s="17">
        <f>_xlfn.XLOOKUP($B517,'[1]Dec-25'!$A:$A,'[1]Dec-25'!$H:$H,0)</f>
        <v>0</v>
      </c>
      <c r="AD517" s="17">
        <f>_xlfn.XLOOKUP($B517,'[1]Jan-26'!$A:$A,'[1]Jan-26'!$H:$H,0)</f>
        <v>0</v>
      </c>
      <c r="AE517" s="17">
        <f>_xlfn.XLOOKUP($B517,'[1]Feb-26'!$A:$A,'[1]Feb-26'!$H:$H,0)</f>
        <v>0</v>
      </c>
      <c r="AF517" s="17">
        <f>_xlfn.XLOOKUP($B517,'[1]Mar-26'!$A:$A,'[1]Mar-26'!$H:$H,0)</f>
        <v>0</v>
      </c>
      <c r="AG517" s="17">
        <f>_xlfn.XLOOKUP($B517,'[1]Apr-26'!$A:$A,'[1]Apr-26'!$H:$H,0)</f>
        <v>0</v>
      </c>
    </row>
    <row r="518" spans="1:33" x14ac:dyDescent="0.2">
      <c r="A518" s="58">
        <v>67021</v>
      </c>
      <c r="B518" s="56" t="str">
        <f t="shared" si="13"/>
        <v>67021</v>
      </c>
      <c r="C518" s="57" t="s">
        <v>549</v>
      </c>
      <c r="D518" s="57" t="s">
        <v>387</v>
      </c>
      <c r="E518" s="44" t="s">
        <v>700</v>
      </c>
      <c r="F518" s="17">
        <f>_xlfn.XLOOKUP($B518,'[1]Jan-24'!$A:$A,'[1]Jan-24'!$H:$H,0)</f>
        <v>0</v>
      </c>
      <c r="G518" s="17">
        <f>_xlfn.XLOOKUP($B518,'[1]Feb-24'!$A:$A,'[1]Feb-24'!$H:$H,0)</f>
        <v>0</v>
      </c>
      <c r="H518" s="17">
        <f>_xlfn.XLOOKUP($B518,'[1]Mar-24'!$A:$A,'[1]Mar-24'!$H:$H,0)</f>
        <v>0</v>
      </c>
      <c r="I518" s="17">
        <f>_xlfn.XLOOKUP($B518,'[1]Apr-24'!$A:$A,'[1]Apr-24'!$H:$H,0)</f>
        <v>0</v>
      </c>
      <c r="J518" s="17">
        <f>_xlfn.XLOOKUP($B518,'[1]May-24'!$A:$A,'[1]May-24'!$H:$H,0)</f>
        <v>0</v>
      </c>
      <c r="K518" s="17">
        <f>_xlfn.XLOOKUP($B518,'[1]Jun-24'!$A:$A,'[1]Jun-24'!$H:$H,0)</f>
        <v>0</v>
      </c>
      <c r="L518" s="17">
        <f>_xlfn.XLOOKUP($B518,'[1]Jul-24'!$A:$A,'[1]Jul-24'!$H:$H,0)</f>
        <v>0</v>
      </c>
      <c r="M518" s="17">
        <f>_xlfn.XLOOKUP($B518,'[1]Aug-24'!$A:$A,'[1]Aug-24'!$H:$H,0)</f>
        <v>0</v>
      </c>
      <c r="N518" s="17">
        <f>_xlfn.XLOOKUP($B518,'[1]Sep-24'!$A:$A,'[1]Sep-24'!$H:$H,0)</f>
        <v>0</v>
      </c>
      <c r="O518" s="17">
        <f>_xlfn.XLOOKUP($B518,'[1]Oct-24'!$A:$A,'[1]Oct-24'!$H:$H,0)</f>
        <v>0</v>
      </c>
      <c r="P518" s="17">
        <f>_xlfn.XLOOKUP($B518,'[1]Nov-24'!$A:$A,'[1]Nov-24'!$H:$H,0)</f>
        <v>0</v>
      </c>
      <c r="Q518" s="17">
        <f>_xlfn.XLOOKUP($B518,'[1]Dec-24'!$A:$A,'[1]Dec-24'!$H:$H,0)</f>
        <v>0</v>
      </c>
      <c r="R518" s="17">
        <f>_xlfn.XLOOKUP($B518,'[1]Jan-25'!$A:$A,'[1]Jan-25'!$H:$H,0)</f>
        <v>0</v>
      </c>
      <c r="S518" s="17">
        <f>_xlfn.XLOOKUP($B518,'[1]Feb-25'!$A:$A,'[1]Feb-25'!$H:$H,0)</f>
        <v>0</v>
      </c>
      <c r="T518" s="17">
        <f>_xlfn.XLOOKUP($B518,'[1]Mar-25'!$A:$A,'[1]Mar-25'!$H:$H,0)</f>
        <v>0</v>
      </c>
      <c r="U518" s="17">
        <f>_xlfn.XLOOKUP($B518,'[1]Apr-25'!$A:$A,'[1]Apr-25'!$H:$H,0)</f>
        <v>0</v>
      </c>
      <c r="V518" s="17">
        <f>_xlfn.XLOOKUP($B518,'[1]May-25'!$A:$A,'[1]May-25'!$H:$H,0)</f>
        <v>0</v>
      </c>
      <c r="W518" s="17">
        <f>_xlfn.XLOOKUP($B518,'[1]Jun-25'!$A:$A,'[1]Jun-25'!$H:$H,0)</f>
        <v>0</v>
      </c>
      <c r="X518" s="17">
        <f>_xlfn.XLOOKUP($B518,'[1]Jul-25'!$A:$A,'[1]Jul-25'!$H:$H,0)</f>
        <v>0</v>
      </c>
      <c r="Y518" s="17">
        <f>_xlfn.XLOOKUP($B518,'[1]Aug-25'!$A:$A,'[1]Aug-25'!$H:$H,0)</f>
        <v>0</v>
      </c>
      <c r="Z518" s="17">
        <f>_xlfn.XLOOKUP($B518,'[1]Sep-25'!$A:$A,'[1]Sep-25'!$H:$H,0)</f>
        <v>0</v>
      </c>
      <c r="AA518" s="17">
        <f>_xlfn.XLOOKUP($B518,'[1]Oct-25'!$A:$A,'[1]Oct-25'!$H:$H,0)</f>
        <v>0</v>
      </c>
      <c r="AB518" s="17">
        <f>_xlfn.XLOOKUP($B518,'[1]Nov-25'!$A:$A,'[1]Nov-25'!$H:$H,0)</f>
        <v>0</v>
      </c>
      <c r="AC518" s="17">
        <f>_xlfn.XLOOKUP($B518,'[1]Dec-25'!$A:$A,'[1]Dec-25'!$H:$H,0)</f>
        <v>0</v>
      </c>
      <c r="AD518" s="17">
        <f>_xlfn.XLOOKUP($B518,'[1]Jan-26'!$A:$A,'[1]Jan-26'!$H:$H,0)</f>
        <v>0</v>
      </c>
      <c r="AE518" s="17">
        <f>_xlfn.XLOOKUP($B518,'[1]Feb-26'!$A:$A,'[1]Feb-26'!$H:$H,0)</f>
        <v>0</v>
      </c>
      <c r="AF518" s="17">
        <f>_xlfn.XLOOKUP($B518,'[1]Mar-26'!$A:$A,'[1]Mar-26'!$H:$H,0)</f>
        <v>0</v>
      </c>
      <c r="AG518" s="17">
        <f>_xlfn.XLOOKUP($B518,'[1]Apr-26'!$A:$A,'[1]Apr-26'!$H:$H,0)</f>
        <v>0</v>
      </c>
    </row>
    <row r="519" spans="1:33" x14ac:dyDescent="0.2">
      <c r="A519" s="58">
        <v>67022</v>
      </c>
      <c r="B519" s="56" t="str">
        <f t="shared" si="13"/>
        <v>67022</v>
      </c>
      <c r="C519" s="57" t="s">
        <v>549</v>
      </c>
      <c r="D519" s="57" t="s">
        <v>387</v>
      </c>
      <c r="E519" s="44" t="s">
        <v>701</v>
      </c>
      <c r="F519" s="17">
        <f>_xlfn.XLOOKUP($B519,'[1]Jan-24'!$A:$A,'[1]Jan-24'!$H:$H,0)</f>
        <v>0</v>
      </c>
      <c r="G519" s="17">
        <f>_xlfn.XLOOKUP($B519,'[1]Feb-24'!$A:$A,'[1]Feb-24'!$H:$H,0)</f>
        <v>0</v>
      </c>
      <c r="H519" s="17">
        <f>_xlfn.XLOOKUP($B519,'[1]Mar-24'!$A:$A,'[1]Mar-24'!$H:$H,0)</f>
        <v>0</v>
      </c>
      <c r="I519" s="17">
        <f>_xlfn.XLOOKUP($B519,'[1]Apr-24'!$A:$A,'[1]Apr-24'!$H:$H,0)</f>
        <v>0</v>
      </c>
      <c r="J519" s="17">
        <f>_xlfn.XLOOKUP($B519,'[1]May-24'!$A:$A,'[1]May-24'!$H:$H,0)</f>
        <v>0</v>
      </c>
      <c r="K519" s="17">
        <f>_xlfn.XLOOKUP($B519,'[1]Jun-24'!$A:$A,'[1]Jun-24'!$H:$H,0)</f>
        <v>0</v>
      </c>
      <c r="L519" s="17">
        <f>_xlfn.XLOOKUP($B519,'[1]Jul-24'!$A:$A,'[1]Jul-24'!$H:$H,0)</f>
        <v>0</v>
      </c>
      <c r="M519" s="17">
        <f>_xlfn.XLOOKUP($B519,'[1]Aug-24'!$A:$A,'[1]Aug-24'!$H:$H,0)</f>
        <v>0</v>
      </c>
      <c r="N519" s="17">
        <f>_xlfn.XLOOKUP($B519,'[1]Sep-24'!$A:$A,'[1]Sep-24'!$H:$H,0)</f>
        <v>0</v>
      </c>
      <c r="O519" s="17">
        <f>_xlfn.XLOOKUP($B519,'[1]Oct-24'!$A:$A,'[1]Oct-24'!$H:$H,0)</f>
        <v>0</v>
      </c>
      <c r="P519" s="17">
        <f>_xlfn.XLOOKUP($B519,'[1]Nov-24'!$A:$A,'[1]Nov-24'!$H:$H,0)</f>
        <v>0</v>
      </c>
      <c r="Q519" s="17">
        <f>_xlfn.XLOOKUP($B519,'[1]Dec-24'!$A:$A,'[1]Dec-24'!$H:$H,0)</f>
        <v>0</v>
      </c>
      <c r="R519" s="17">
        <f>_xlfn.XLOOKUP($B519,'[1]Jan-25'!$A:$A,'[1]Jan-25'!$H:$H,0)</f>
        <v>0</v>
      </c>
      <c r="S519" s="17">
        <f>_xlfn.XLOOKUP($B519,'[1]Feb-25'!$A:$A,'[1]Feb-25'!$H:$H,0)</f>
        <v>0</v>
      </c>
      <c r="T519" s="17">
        <f>_xlfn.XLOOKUP($B519,'[1]Mar-25'!$A:$A,'[1]Mar-25'!$H:$H,0)</f>
        <v>0</v>
      </c>
      <c r="U519" s="17">
        <f>_xlfn.XLOOKUP($B519,'[1]Apr-25'!$A:$A,'[1]Apr-25'!$H:$H,0)</f>
        <v>0</v>
      </c>
      <c r="V519" s="17">
        <f>_xlfn.XLOOKUP($B519,'[1]May-25'!$A:$A,'[1]May-25'!$H:$H,0)</f>
        <v>0</v>
      </c>
      <c r="W519" s="17">
        <f>_xlfn.XLOOKUP($B519,'[1]Jun-25'!$A:$A,'[1]Jun-25'!$H:$H,0)</f>
        <v>0</v>
      </c>
      <c r="X519" s="17">
        <f>_xlfn.XLOOKUP($B519,'[1]Jul-25'!$A:$A,'[1]Jul-25'!$H:$H,0)</f>
        <v>0</v>
      </c>
      <c r="Y519" s="17">
        <f>_xlfn.XLOOKUP($B519,'[1]Aug-25'!$A:$A,'[1]Aug-25'!$H:$H,0)</f>
        <v>0</v>
      </c>
      <c r="Z519" s="17">
        <f>_xlfn.XLOOKUP($B519,'[1]Sep-25'!$A:$A,'[1]Sep-25'!$H:$H,0)</f>
        <v>0</v>
      </c>
      <c r="AA519" s="17">
        <f>_xlfn.XLOOKUP($B519,'[1]Oct-25'!$A:$A,'[1]Oct-25'!$H:$H,0)</f>
        <v>0</v>
      </c>
      <c r="AB519" s="17">
        <f>_xlfn.XLOOKUP($B519,'[1]Nov-25'!$A:$A,'[1]Nov-25'!$H:$H,0)</f>
        <v>0</v>
      </c>
      <c r="AC519" s="17">
        <f>_xlfn.XLOOKUP($B519,'[1]Dec-25'!$A:$A,'[1]Dec-25'!$H:$H,0)</f>
        <v>0</v>
      </c>
      <c r="AD519" s="17">
        <f>_xlfn.XLOOKUP($B519,'[1]Jan-26'!$A:$A,'[1]Jan-26'!$H:$H,0)</f>
        <v>0</v>
      </c>
      <c r="AE519" s="17">
        <f>_xlfn.XLOOKUP($B519,'[1]Feb-26'!$A:$A,'[1]Feb-26'!$H:$H,0)</f>
        <v>0</v>
      </c>
      <c r="AF519" s="17">
        <f>_xlfn.XLOOKUP($B519,'[1]Mar-26'!$A:$A,'[1]Mar-26'!$H:$H,0)</f>
        <v>0</v>
      </c>
      <c r="AG519" s="17">
        <f>_xlfn.XLOOKUP($B519,'[1]Apr-26'!$A:$A,'[1]Apr-26'!$H:$H,0)</f>
        <v>0</v>
      </c>
    </row>
    <row r="520" spans="1:33" x14ac:dyDescent="0.2">
      <c r="A520" s="58">
        <v>67023</v>
      </c>
      <c r="B520" s="56" t="str">
        <f t="shared" si="13"/>
        <v>67023</v>
      </c>
      <c r="C520" s="57" t="s">
        <v>549</v>
      </c>
      <c r="D520" s="57" t="s">
        <v>387</v>
      </c>
      <c r="E520" s="44" t="s">
        <v>702</v>
      </c>
      <c r="F520" s="17">
        <f>_xlfn.XLOOKUP($B520,'[1]Jan-24'!$A:$A,'[1]Jan-24'!$H:$H,0)</f>
        <v>0</v>
      </c>
      <c r="G520" s="17">
        <f>_xlfn.XLOOKUP($B520,'[1]Feb-24'!$A:$A,'[1]Feb-24'!$H:$H,0)</f>
        <v>0</v>
      </c>
      <c r="H520" s="17">
        <f>_xlfn.XLOOKUP($B520,'[1]Mar-24'!$A:$A,'[1]Mar-24'!$H:$H,0)</f>
        <v>0</v>
      </c>
      <c r="I520" s="17">
        <f>_xlfn.XLOOKUP($B520,'[1]Apr-24'!$A:$A,'[1]Apr-24'!$H:$H,0)</f>
        <v>0</v>
      </c>
      <c r="J520" s="17">
        <f>_xlfn.XLOOKUP($B520,'[1]May-24'!$A:$A,'[1]May-24'!$H:$H,0)</f>
        <v>0</v>
      </c>
      <c r="K520" s="17">
        <f>_xlfn.XLOOKUP($B520,'[1]Jun-24'!$A:$A,'[1]Jun-24'!$H:$H,0)</f>
        <v>0</v>
      </c>
      <c r="L520" s="17">
        <f>_xlfn.XLOOKUP($B520,'[1]Jul-24'!$A:$A,'[1]Jul-24'!$H:$H,0)</f>
        <v>0</v>
      </c>
      <c r="M520" s="17">
        <f>_xlfn.XLOOKUP($B520,'[1]Aug-24'!$A:$A,'[1]Aug-24'!$H:$H,0)</f>
        <v>0</v>
      </c>
      <c r="N520" s="17">
        <f>_xlfn.XLOOKUP($B520,'[1]Sep-24'!$A:$A,'[1]Sep-24'!$H:$H,0)</f>
        <v>0</v>
      </c>
      <c r="O520" s="17">
        <f>_xlfn.XLOOKUP($B520,'[1]Oct-24'!$A:$A,'[1]Oct-24'!$H:$H,0)</f>
        <v>0</v>
      </c>
      <c r="P520" s="17">
        <f>_xlfn.XLOOKUP($B520,'[1]Nov-24'!$A:$A,'[1]Nov-24'!$H:$H,0)</f>
        <v>0</v>
      </c>
      <c r="Q520" s="17">
        <f>_xlfn.XLOOKUP($B520,'[1]Dec-24'!$A:$A,'[1]Dec-24'!$H:$H,0)</f>
        <v>0</v>
      </c>
      <c r="R520" s="17">
        <f>_xlfn.XLOOKUP($B520,'[1]Jan-25'!$A:$A,'[1]Jan-25'!$H:$H,0)</f>
        <v>0</v>
      </c>
      <c r="S520" s="17">
        <f>_xlfn.XLOOKUP($B520,'[1]Feb-25'!$A:$A,'[1]Feb-25'!$H:$H,0)</f>
        <v>0</v>
      </c>
      <c r="T520" s="17">
        <f>_xlfn.XLOOKUP($B520,'[1]Mar-25'!$A:$A,'[1]Mar-25'!$H:$H,0)</f>
        <v>0</v>
      </c>
      <c r="U520" s="17">
        <f>_xlfn.XLOOKUP($B520,'[1]Apr-25'!$A:$A,'[1]Apr-25'!$H:$H,0)</f>
        <v>0</v>
      </c>
      <c r="V520" s="17">
        <f>_xlfn.XLOOKUP($B520,'[1]May-25'!$A:$A,'[1]May-25'!$H:$H,0)</f>
        <v>0</v>
      </c>
      <c r="W520" s="17">
        <f>_xlfn.XLOOKUP($B520,'[1]Jun-25'!$A:$A,'[1]Jun-25'!$H:$H,0)</f>
        <v>0</v>
      </c>
      <c r="X520" s="17">
        <f>_xlfn.XLOOKUP($B520,'[1]Jul-25'!$A:$A,'[1]Jul-25'!$H:$H,0)</f>
        <v>0</v>
      </c>
      <c r="Y520" s="17">
        <f>_xlfn.XLOOKUP($B520,'[1]Aug-25'!$A:$A,'[1]Aug-25'!$H:$H,0)</f>
        <v>0</v>
      </c>
      <c r="Z520" s="17">
        <f>_xlfn.XLOOKUP($B520,'[1]Sep-25'!$A:$A,'[1]Sep-25'!$H:$H,0)</f>
        <v>0</v>
      </c>
      <c r="AA520" s="17">
        <f>_xlfn.XLOOKUP($B520,'[1]Oct-25'!$A:$A,'[1]Oct-25'!$H:$H,0)</f>
        <v>0</v>
      </c>
      <c r="AB520" s="17">
        <f>_xlfn.XLOOKUP($B520,'[1]Nov-25'!$A:$A,'[1]Nov-25'!$H:$H,0)</f>
        <v>0</v>
      </c>
      <c r="AC520" s="17">
        <f>_xlfn.XLOOKUP($B520,'[1]Dec-25'!$A:$A,'[1]Dec-25'!$H:$H,0)</f>
        <v>0</v>
      </c>
      <c r="AD520" s="17">
        <f>_xlfn.XLOOKUP($B520,'[1]Jan-26'!$A:$A,'[1]Jan-26'!$H:$H,0)</f>
        <v>0</v>
      </c>
      <c r="AE520" s="17">
        <f>_xlfn.XLOOKUP($B520,'[1]Feb-26'!$A:$A,'[1]Feb-26'!$H:$H,0)</f>
        <v>0</v>
      </c>
      <c r="AF520" s="17">
        <f>_xlfn.XLOOKUP($B520,'[1]Mar-26'!$A:$A,'[1]Mar-26'!$H:$H,0)</f>
        <v>0</v>
      </c>
      <c r="AG520" s="17">
        <f>_xlfn.XLOOKUP($B520,'[1]Apr-26'!$A:$A,'[1]Apr-26'!$H:$H,0)</f>
        <v>0</v>
      </c>
    </row>
    <row r="521" spans="1:33" x14ac:dyDescent="0.2">
      <c r="A521" s="58">
        <v>67024</v>
      </c>
      <c r="B521" s="56" t="str">
        <f t="shared" si="13"/>
        <v>67024</v>
      </c>
      <c r="C521" s="57" t="s">
        <v>549</v>
      </c>
      <c r="D521" s="57" t="s">
        <v>387</v>
      </c>
      <c r="E521" s="44" t="s">
        <v>703</v>
      </c>
      <c r="F521" s="17">
        <f>_xlfn.XLOOKUP($B521,'[1]Jan-24'!$A:$A,'[1]Jan-24'!$H:$H,0)</f>
        <v>0</v>
      </c>
      <c r="G521" s="17">
        <f>_xlfn.XLOOKUP($B521,'[1]Feb-24'!$A:$A,'[1]Feb-24'!$H:$H,0)</f>
        <v>0</v>
      </c>
      <c r="H521" s="17">
        <f>_xlfn.XLOOKUP($B521,'[1]Mar-24'!$A:$A,'[1]Mar-24'!$H:$H,0)</f>
        <v>0</v>
      </c>
      <c r="I521" s="17">
        <f>_xlfn.XLOOKUP($B521,'[1]Apr-24'!$A:$A,'[1]Apr-24'!$H:$H,0)</f>
        <v>0</v>
      </c>
      <c r="J521" s="17">
        <f>_xlfn.XLOOKUP($B521,'[1]May-24'!$A:$A,'[1]May-24'!$H:$H,0)</f>
        <v>0</v>
      </c>
      <c r="K521" s="17">
        <f>_xlfn.XLOOKUP($B521,'[1]Jun-24'!$A:$A,'[1]Jun-24'!$H:$H,0)</f>
        <v>0</v>
      </c>
      <c r="L521" s="17">
        <f>_xlfn.XLOOKUP($B521,'[1]Jul-24'!$A:$A,'[1]Jul-24'!$H:$H,0)</f>
        <v>0</v>
      </c>
      <c r="M521" s="17">
        <f>_xlfn.XLOOKUP($B521,'[1]Aug-24'!$A:$A,'[1]Aug-24'!$H:$H,0)</f>
        <v>0</v>
      </c>
      <c r="N521" s="17">
        <f>_xlfn.XLOOKUP($B521,'[1]Sep-24'!$A:$A,'[1]Sep-24'!$H:$H,0)</f>
        <v>0</v>
      </c>
      <c r="O521" s="17">
        <f>_xlfn.XLOOKUP($B521,'[1]Oct-24'!$A:$A,'[1]Oct-24'!$H:$H,0)</f>
        <v>0</v>
      </c>
      <c r="P521" s="17">
        <f>_xlfn.XLOOKUP($B521,'[1]Nov-24'!$A:$A,'[1]Nov-24'!$H:$H,0)</f>
        <v>0</v>
      </c>
      <c r="Q521" s="17">
        <f>_xlfn.XLOOKUP($B521,'[1]Dec-24'!$A:$A,'[1]Dec-24'!$H:$H,0)</f>
        <v>0</v>
      </c>
      <c r="R521" s="17">
        <f>_xlfn.XLOOKUP($B521,'[1]Jan-25'!$A:$A,'[1]Jan-25'!$H:$H,0)</f>
        <v>0</v>
      </c>
      <c r="S521" s="17">
        <f>_xlfn.XLOOKUP($B521,'[1]Feb-25'!$A:$A,'[1]Feb-25'!$H:$H,0)</f>
        <v>0</v>
      </c>
      <c r="T521" s="17">
        <f>_xlfn.XLOOKUP($B521,'[1]Mar-25'!$A:$A,'[1]Mar-25'!$H:$H,0)</f>
        <v>0</v>
      </c>
      <c r="U521" s="17">
        <f>_xlfn.XLOOKUP($B521,'[1]Apr-25'!$A:$A,'[1]Apr-25'!$H:$H,0)</f>
        <v>0</v>
      </c>
      <c r="V521" s="17">
        <f>_xlfn.XLOOKUP($B521,'[1]May-25'!$A:$A,'[1]May-25'!$H:$H,0)</f>
        <v>0</v>
      </c>
      <c r="W521" s="17">
        <f>_xlfn.XLOOKUP($B521,'[1]Jun-25'!$A:$A,'[1]Jun-25'!$H:$H,0)</f>
        <v>0</v>
      </c>
      <c r="X521" s="17">
        <f>_xlfn.XLOOKUP($B521,'[1]Jul-25'!$A:$A,'[1]Jul-25'!$H:$H,0)</f>
        <v>0</v>
      </c>
      <c r="Y521" s="17">
        <f>_xlfn.XLOOKUP($B521,'[1]Aug-25'!$A:$A,'[1]Aug-25'!$H:$H,0)</f>
        <v>0</v>
      </c>
      <c r="Z521" s="17">
        <f>_xlfn.XLOOKUP($B521,'[1]Sep-25'!$A:$A,'[1]Sep-25'!$H:$H,0)</f>
        <v>0</v>
      </c>
      <c r="AA521" s="17">
        <f>_xlfn.XLOOKUP($B521,'[1]Oct-25'!$A:$A,'[1]Oct-25'!$H:$H,0)</f>
        <v>0</v>
      </c>
      <c r="AB521" s="17">
        <f>_xlfn.XLOOKUP($B521,'[1]Nov-25'!$A:$A,'[1]Nov-25'!$H:$H,0)</f>
        <v>0</v>
      </c>
      <c r="AC521" s="17">
        <f>_xlfn.XLOOKUP($B521,'[1]Dec-25'!$A:$A,'[1]Dec-25'!$H:$H,0)</f>
        <v>0</v>
      </c>
      <c r="AD521" s="17">
        <f>_xlfn.XLOOKUP($B521,'[1]Jan-26'!$A:$A,'[1]Jan-26'!$H:$H,0)</f>
        <v>0</v>
      </c>
      <c r="AE521" s="17">
        <f>_xlfn.XLOOKUP($B521,'[1]Feb-26'!$A:$A,'[1]Feb-26'!$H:$H,0)</f>
        <v>0</v>
      </c>
      <c r="AF521" s="17">
        <f>_xlfn.XLOOKUP($B521,'[1]Mar-26'!$A:$A,'[1]Mar-26'!$H:$H,0)</f>
        <v>0</v>
      </c>
      <c r="AG521" s="17">
        <f>_xlfn.XLOOKUP($B521,'[1]Apr-26'!$A:$A,'[1]Apr-26'!$H:$H,0)</f>
        <v>0</v>
      </c>
    </row>
    <row r="522" spans="1:33" x14ac:dyDescent="0.2">
      <c r="A522" s="58">
        <v>67025</v>
      </c>
      <c r="B522" s="56" t="str">
        <f t="shared" si="13"/>
        <v>67025</v>
      </c>
      <c r="C522" s="57" t="s">
        <v>389</v>
      </c>
      <c r="D522" s="57" t="s">
        <v>387</v>
      </c>
      <c r="E522" s="44" t="s">
        <v>704</v>
      </c>
      <c r="F522" s="17">
        <f>_xlfn.XLOOKUP($B522,'[1]Jan-24'!$A:$A,'[1]Jan-24'!$H:$H,0)</f>
        <v>0</v>
      </c>
      <c r="G522" s="17">
        <f>_xlfn.XLOOKUP($B522,'[1]Feb-24'!$A:$A,'[1]Feb-24'!$H:$H,0)</f>
        <v>0</v>
      </c>
      <c r="H522" s="17">
        <f>_xlfn.XLOOKUP($B522,'[1]Mar-24'!$A:$A,'[1]Mar-24'!$H:$H,0)</f>
        <v>0</v>
      </c>
      <c r="I522" s="17">
        <f>_xlfn.XLOOKUP($B522,'[1]Apr-24'!$A:$A,'[1]Apr-24'!$H:$H,0)</f>
        <v>0</v>
      </c>
      <c r="J522" s="17">
        <f>_xlfn.XLOOKUP($B522,'[1]May-24'!$A:$A,'[1]May-24'!$H:$H,0)</f>
        <v>0</v>
      </c>
      <c r="K522" s="17">
        <f>_xlfn.XLOOKUP($B522,'[1]Jun-24'!$A:$A,'[1]Jun-24'!$H:$H,0)</f>
        <v>0</v>
      </c>
      <c r="L522" s="17">
        <f>_xlfn.XLOOKUP($B522,'[1]Jul-24'!$A:$A,'[1]Jul-24'!$H:$H,0)</f>
        <v>0</v>
      </c>
      <c r="M522" s="17">
        <f>_xlfn.XLOOKUP($B522,'[1]Aug-24'!$A:$A,'[1]Aug-24'!$H:$H,0)</f>
        <v>0</v>
      </c>
      <c r="N522" s="17">
        <f>_xlfn.XLOOKUP($B522,'[1]Sep-24'!$A:$A,'[1]Sep-24'!$H:$H,0)</f>
        <v>0</v>
      </c>
      <c r="O522" s="17">
        <f>_xlfn.XLOOKUP($B522,'[1]Oct-24'!$A:$A,'[1]Oct-24'!$H:$H,0)</f>
        <v>0</v>
      </c>
      <c r="P522" s="17">
        <f>_xlfn.XLOOKUP($B522,'[1]Nov-24'!$A:$A,'[1]Nov-24'!$H:$H,0)</f>
        <v>0</v>
      </c>
      <c r="Q522" s="17">
        <f>_xlfn.XLOOKUP($B522,'[1]Dec-24'!$A:$A,'[1]Dec-24'!$H:$H,0)</f>
        <v>0</v>
      </c>
      <c r="R522" s="17">
        <f>_xlfn.XLOOKUP($B522,'[1]Jan-25'!$A:$A,'[1]Jan-25'!$H:$H,0)</f>
        <v>0</v>
      </c>
      <c r="S522" s="17">
        <f>_xlfn.XLOOKUP($B522,'[1]Feb-25'!$A:$A,'[1]Feb-25'!$H:$H,0)</f>
        <v>0</v>
      </c>
      <c r="T522" s="17">
        <f>_xlfn.XLOOKUP($B522,'[1]Mar-25'!$A:$A,'[1]Mar-25'!$H:$H,0)</f>
        <v>0</v>
      </c>
      <c r="U522" s="17">
        <f>_xlfn.XLOOKUP($B522,'[1]Apr-25'!$A:$A,'[1]Apr-25'!$H:$H,0)</f>
        <v>0</v>
      </c>
      <c r="V522" s="17">
        <f>_xlfn.XLOOKUP($B522,'[1]May-25'!$A:$A,'[1]May-25'!$H:$H,0)</f>
        <v>0</v>
      </c>
      <c r="W522" s="17">
        <f>_xlfn.XLOOKUP($B522,'[1]Jun-25'!$A:$A,'[1]Jun-25'!$H:$H,0)</f>
        <v>0</v>
      </c>
      <c r="X522" s="17">
        <f>_xlfn.XLOOKUP($B522,'[1]Jul-25'!$A:$A,'[1]Jul-25'!$H:$H,0)</f>
        <v>0</v>
      </c>
      <c r="Y522" s="17">
        <f>_xlfn.XLOOKUP($B522,'[1]Aug-25'!$A:$A,'[1]Aug-25'!$H:$H,0)</f>
        <v>0</v>
      </c>
      <c r="Z522" s="17">
        <f>_xlfn.XLOOKUP($B522,'[1]Sep-25'!$A:$A,'[1]Sep-25'!$H:$H,0)</f>
        <v>0</v>
      </c>
      <c r="AA522" s="17">
        <f>_xlfn.XLOOKUP($B522,'[1]Oct-25'!$A:$A,'[1]Oct-25'!$H:$H,0)</f>
        <v>0</v>
      </c>
      <c r="AB522" s="17">
        <f>_xlfn.XLOOKUP($B522,'[1]Nov-25'!$A:$A,'[1]Nov-25'!$H:$H,0)</f>
        <v>0</v>
      </c>
      <c r="AC522" s="17">
        <f>_xlfn.XLOOKUP($B522,'[1]Dec-25'!$A:$A,'[1]Dec-25'!$H:$H,0)</f>
        <v>0</v>
      </c>
      <c r="AD522" s="17">
        <f>_xlfn.XLOOKUP($B522,'[1]Jan-26'!$A:$A,'[1]Jan-26'!$H:$H,0)</f>
        <v>0</v>
      </c>
      <c r="AE522" s="17">
        <f>_xlfn.XLOOKUP($B522,'[1]Feb-26'!$A:$A,'[1]Feb-26'!$H:$H,0)</f>
        <v>0</v>
      </c>
      <c r="AF522" s="17">
        <f>_xlfn.XLOOKUP($B522,'[1]Mar-26'!$A:$A,'[1]Mar-26'!$H:$H,0)</f>
        <v>0</v>
      </c>
      <c r="AG522" s="17">
        <f>_xlfn.XLOOKUP($B522,'[1]Apr-26'!$A:$A,'[1]Apr-26'!$H:$H,0)</f>
        <v>0</v>
      </c>
    </row>
    <row r="523" spans="1:33" x14ac:dyDescent="0.2">
      <c r="A523" s="58">
        <v>67026</v>
      </c>
      <c r="B523" s="56" t="str">
        <f t="shared" si="13"/>
        <v>67026</v>
      </c>
      <c r="C523" s="57" t="s">
        <v>389</v>
      </c>
      <c r="D523" s="57" t="s">
        <v>387</v>
      </c>
      <c r="E523" s="44" t="s">
        <v>705</v>
      </c>
      <c r="F523" s="17">
        <f>_xlfn.XLOOKUP($B523,'[1]Jan-24'!$A:$A,'[1]Jan-24'!$H:$H,0)</f>
        <v>0</v>
      </c>
      <c r="G523" s="17">
        <f>_xlfn.XLOOKUP($B523,'[1]Feb-24'!$A:$A,'[1]Feb-24'!$H:$H,0)</f>
        <v>0</v>
      </c>
      <c r="H523" s="17">
        <f>_xlfn.XLOOKUP($B523,'[1]Mar-24'!$A:$A,'[1]Mar-24'!$H:$H,0)</f>
        <v>0</v>
      </c>
      <c r="I523" s="17">
        <f>_xlfn.XLOOKUP($B523,'[1]Apr-24'!$A:$A,'[1]Apr-24'!$H:$H,0)</f>
        <v>0</v>
      </c>
      <c r="J523" s="17">
        <f>_xlfn.XLOOKUP($B523,'[1]May-24'!$A:$A,'[1]May-24'!$H:$H,0)</f>
        <v>0</v>
      </c>
      <c r="K523" s="17">
        <f>_xlfn.XLOOKUP($B523,'[1]Jun-24'!$A:$A,'[1]Jun-24'!$H:$H,0)</f>
        <v>0</v>
      </c>
      <c r="L523" s="17">
        <f>_xlfn.XLOOKUP($B523,'[1]Jul-24'!$A:$A,'[1]Jul-24'!$H:$H,0)</f>
        <v>0</v>
      </c>
      <c r="M523" s="17">
        <f>_xlfn.XLOOKUP($B523,'[1]Aug-24'!$A:$A,'[1]Aug-24'!$H:$H,0)</f>
        <v>0</v>
      </c>
      <c r="N523" s="17">
        <f>_xlfn.XLOOKUP($B523,'[1]Sep-24'!$A:$A,'[1]Sep-24'!$H:$H,0)</f>
        <v>0</v>
      </c>
      <c r="O523" s="17">
        <f>_xlfn.XLOOKUP($B523,'[1]Oct-24'!$A:$A,'[1]Oct-24'!$H:$H,0)</f>
        <v>0</v>
      </c>
      <c r="P523" s="17">
        <f>_xlfn.XLOOKUP($B523,'[1]Nov-24'!$A:$A,'[1]Nov-24'!$H:$H,0)</f>
        <v>0</v>
      </c>
      <c r="Q523" s="17">
        <f>_xlfn.XLOOKUP($B523,'[1]Dec-24'!$A:$A,'[1]Dec-24'!$H:$H,0)</f>
        <v>0</v>
      </c>
      <c r="R523" s="17">
        <f>_xlfn.XLOOKUP($B523,'[1]Jan-25'!$A:$A,'[1]Jan-25'!$H:$H,0)</f>
        <v>0</v>
      </c>
      <c r="S523" s="17">
        <f>_xlfn.XLOOKUP($B523,'[1]Feb-25'!$A:$A,'[1]Feb-25'!$H:$H,0)</f>
        <v>0</v>
      </c>
      <c r="T523" s="17">
        <f>_xlfn.XLOOKUP($B523,'[1]Mar-25'!$A:$A,'[1]Mar-25'!$H:$H,0)</f>
        <v>0</v>
      </c>
      <c r="U523" s="17">
        <f>_xlfn.XLOOKUP($B523,'[1]Apr-25'!$A:$A,'[1]Apr-25'!$H:$H,0)</f>
        <v>0</v>
      </c>
      <c r="V523" s="17">
        <f>_xlfn.XLOOKUP($B523,'[1]May-25'!$A:$A,'[1]May-25'!$H:$H,0)</f>
        <v>0</v>
      </c>
      <c r="W523" s="17">
        <f>_xlfn.XLOOKUP($B523,'[1]Jun-25'!$A:$A,'[1]Jun-25'!$H:$H,0)</f>
        <v>0</v>
      </c>
      <c r="X523" s="17">
        <f>_xlfn.XLOOKUP($B523,'[1]Jul-25'!$A:$A,'[1]Jul-25'!$H:$H,0)</f>
        <v>0</v>
      </c>
      <c r="Y523" s="17">
        <f>_xlfn.XLOOKUP($B523,'[1]Aug-25'!$A:$A,'[1]Aug-25'!$H:$H,0)</f>
        <v>0</v>
      </c>
      <c r="Z523" s="17">
        <f>_xlfn.XLOOKUP($B523,'[1]Sep-25'!$A:$A,'[1]Sep-25'!$H:$H,0)</f>
        <v>0</v>
      </c>
      <c r="AA523" s="17">
        <f>_xlfn.XLOOKUP($B523,'[1]Oct-25'!$A:$A,'[1]Oct-25'!$H:$H,0)</f>
        <v>0</v>
      </c>
      <c r="AB523" s="17">
        <f>_xlfn.XLOOKUP($B523,'[1]Nov-25'!$A:$A,'[1]Nov-25'!$H:$H,0)</f>
        <v>0</v>
      </c>
      <c r="AC523" s="17">
        <f>_xlfn.XLOOKUP($B523,'[1]Dec-25'!$A:$A,'[1]Dec-25'!$H:$H,0)</f>
        <v>0</v>
      </c>
      <c r="AD523" s="17">
        <f>_xlfn.XLOOKUP($B523,'[1]Jan-26'!$A:$A,'[1]Jan-26'!$H:$H,0)</f>
        <v>0</v>
      </c>
      <c r="AE523" s="17">
        <f>_xlfn.XLOOKUP($B523,'[1]Feb-26'!$A:$A,'[1]Feb-26'!$H:$H,0)</f>
        <v>0</v>
      </c>
      <c r="AF523" s="17">
        <f>_xlfn.XLOOKUP($B523,'[1]Mar-26'!$A:$A,'[1]Mar-26'!$H:$H,0)</f>
        <v>0</v>
      </c>
      <c r="AG523" s="17">
        <f>_xlfn.XLOOKUP($B523,'[1]Apr-26'!$A:$A,'[1]Apr-26'!$H:$H,0)</f>
        <v>0</v>
      </c>
    </row>
    <row r="524" spans="1:33" x14ac:dyDescent="0.2">
      <c r="A524" s="58">
        <v>67027</v>
      </c>
      <c r="B524" s="56" t="str">
        <f t="shared" si="13"/>
        <v>67027</v>
      </c>
      <c r="C524" s="57" t="s">
        <v>549</v>
      </c>
      <c r="D524" s="57" t="s">
        <v>387</v>
      </c>
      <c r="E524" s="44" t="s">
        <v>706</v>
      </c>
      <c r="F524" s="17">
        <f>_xlfn.XLOOKUP($B524,'[1]Jan-24'!$A:$A,'[1]Jan-24'!$H:$H,0)</f>
        <v>0</v>
      </c>
      <c r="G524" s="17">
        <f>_xlfn.XLOOKUP($B524,'[1]Feb-24'!$A:$A,'[1]Feb-24'!$H:$H,0)</f>
        <v>0</v>
      </c>
      <c r="H524" s="17">
        <f>_xlfn.XLOOKUP($B524,'[1]Mar-24'!$A:$A,'[1]Mar-24'!$H:$H,0)</f>
        <v>0</v>
      </c>
      <c r="I524" s="17">
        <f>_xlfn.XLOOKUP($B524,'[1]Apr-24'!$A:$A,'[1]Apr-24'!$H:$H,0)</f>
        <v>0</v>
      </c>
      <c r="J524" s="17">
        <f>_xlfn.XLOOKUP($B524,'[1]May-24'!$A:$A,'[1]May-24'!$H:$H,0)</f>
        <v>0</v>
      </c>
      <c r="K524" s="17">
        <f>_xlfn.XLOOKUP($B524,'[1]Jun-24'!$A:$A,'[1]Jun-24'!$H:$H,0)</f>
        <v>0</v>
      </c>
      <c r="L524" s="17">
        <f>_xlfn.XLOOKUP($B524,'[1]Jul-24'!$A:$A,'[1]Jul-24'!$H:$H,0)</f>
        <v>0</v>
      </c>
      <c r="M524" s="17">
        <f>_xlfn.XLOOKUP($B524,'[1]Aug-24'!$A:$A,'[1]Aug-24'!$H:$H,0)</f>
        <v>0</v>
      </c>
      <c r="N524" s="17">
        <f>_xlfn.XLOOKUP($B524,'[1]Sep-24'!$A:$A,'[1]Sep-24'!$H:$H,0)</f>
        <v>0</v>
      </c>
      <c r="O524" s="17">
        <f>_xlfn.XLOOKUP($B524,'[1]Oct-24'!$A:$A,'[1]Oct-24'!$H:$H,0)</f>
        <v>0</v>
      </c>
      <c r="P524" s="17">
        <f>_xlfn.XLOOKUP($B524,'[1]Nov-24'!$A:$A,'[1]Nov-24'!$H:$H,0)</f>
        <v>0</v>
      </c>
      <c r="Q524" s="17">
        <f>_xlfn.XLOOKUP($B524,'[1]Dec-24'!$A:$A,'[1]Dec-24'!$H:$H,0)</f>
        <v>0</v>
      </c>
      <c r="R524" s="17">
        <f>_xlfn.XLOOKUP($B524,'[1]Jan-25'!$A:$A,'[1]Jan-25'!$H:$H,0)</f>
        <v>0</v>
      </c>
      <c r="S524" s="17">
        <f>_xlfn.XLOOKUP($B524,'[1]Feb-25'!$A:$A,'[1]Feb-25'!$H:$H,0)</f>
        <v>0</v>
      </c>
      <c r="T524" s="17">
        <f>_xlfn.XLOOKUP($B524,'[1]Mar-25'!$A:$A,'[1]Mar-25'!$H:$H,0)</f>
        <v>0</v>
      </c>
      <c r="U524" s="17">
        <f>_xlfn.XLOOKUP($B524,'[1]Apr-25'!$A:$A,'[1]Apr-25'!$H:$H,0)</f>
        <v>0</v>
      </c>
      <c r="V524" s="17">
        <f>_xlfn.XLOOKUP($B524,'[1]May-25'!$A:$A,'[1]May-25'!$H:$H,0)</f>
        <v>0</v>
      </c>
      <c r="W524" s="17">
        <f>_xlfn.XLOOKUP($B524,'[1]Jun-25'!$A:$A,'[1]Jun-25'!$H:$H,0)</f>
        <v>0</v>
      </c>
      <c r="X524" s="17">
        <f>_xlfn.XLOOKUP($B524,'[1]Jul-25'!$A:$A,'[1]Jul-25'!$H:$H,0)</f>
        <v>0</v>
      </c>
      <c r="Y524" s="17">
        <f>_xlfn.XLOOKUP($B524,'[1]Aug-25'!$A:$A,'[1]Aug-25'!$H:$H,0)</f>
        <v>0</v>
      </c>
      <c r="Z524" s="17">
        <f>_xlfn.XLOOKUP($B524,'[1]Sep-25'!$A:$A,'[1]Sep-25'!$H:$H,0)</f>
        <v>0</v>
      </c>
      <c r="AA524" s="17">
        <f>_xlfn.XLOOKUP($B524,'[1]Oct-25'!$A:$A,'[1]Oct-25'!$H:$H,0)</f>
        <v>0</v>
      </c>
      <c r="AB524" s="17">
        <f>_xlfn.XLOOKUP($B524,'[1]Nov-25'!$A:$A,'[1]Nov-25'!$H:$H,0)</f>
        <v>0</v>
      </c>
      <c r="AC524" s="17">
        <f>_xlfn.XLOOKUP($B524,'[1]Dec-25'!$A:$A,'[1]Dec-25'!$H:$H,0)</f>
        <v>0</v>
      </c>
      <c r="AD524" s="17">
        <f>_xlfn.XLOOKUP($B524,'[1]Jan-26'!$A:$A,'[1]Jan-26'!$H:$H,0)</f>
        <v>0</v>
      </c>
      <c r="AE524" s="17">
        <f>_xlfn.XLOOKUP($B524,'[1]Feb-26'!$A:$A,'[1]Feb-26'!$H:$H,0)</f>
        <v>0</v>
      </c>
      <c r="AF524" s="17">
        <f>_xlfn.XLOOKUP($B524,'[1]Mar-26'!$A:$A,'[1]Mar-26'!$H:$H,0)</f>
        <v>0</v>
      </c>
      <c r="AG524" s="17">
        <f>_xlfn.XLOOKUP($B524,'[1]Apr-26'!$A:$A,'[1]Apr-26'!$H:$H,0)</f>
        <v>0</v>
      </c>
    </row>
    <row r="525" spans="1:33" x14ac:dyDescent="0.2">
      <c r="A525" s="58">
        <v>67028</v>
      </c>
      <c r="B525" s="56" t="str">
        <f t="shared" ref="B525:B564" si="14">TEXT(A525,"00000")</f>
        <v>67028</v>
      </c>
      <c r="C525" s="57" t="s">
        <v>549</v>
      </c>
      <c r="D525" s="57" t="s">
        <v>387</v>
      </c>
      <c r="E525" s="44" t="s">
        <v>707</v>
      </c>
      <c r="F525" s="17">
        <f>_xlfn.XLOOKUP($B525,'[1]Jan-24'!$A:$A,'[1]Jan-24'!$H:$H,0)</f>
        <v>0</v>
      </c>
      <c r="G525" s="17">
        <f>_xlfn.XLOOKUP($B525,'[1]Feb-24'!$A:$A,'[1]Feb-24'!$H:$H,0)</f>
        <v>0</v>
      </c>
      <c r="H525" s="17">
        <f>_xlfn.XLOOKUP($B525,'[1]Mar-24'!$A:$A,'[1]Mar-24'!$H:$H,0)</f>
        <v>0</v>
      </c>
      <c r="I525" s="17">
        <f>_xlfn.XLOOKUP($B525,'[1]Apr-24'!$A:$A,'[1]Apr-24'!$H:$H,0)</f>
        <v>0</v>
      </c>
      <c r="J525" s="17">
        <f>_xlfn.XLOOKUP($B525,'[1]May-24'!$A:$A,'[1]May-24'!$H:$H,0)</f>
        <v>0</v>
      </c>
      <c r="K525" s="17">
        <f>_xlfn.XLOOKUP($B525,'[1]Jun-24'!$A:$A,'[1]Jun-24'!$H:$H,0)</f>
        <v>0</v>
      </c>
      <c r="L525" s="17">
        <f>_xlfn.XLOOKUP($B525,'[1]Jul-24'!$A:$A,'[1]Jul-24'!$H:$H,0)</f>
        <v>0</v>
      </c>
      <c r="M525" s="17">
        <f>_xlfn.XLOOKUP($B525,'[1]Aug-24'!$A:$A,'[1]Aug-24'!$H:$H,0)</f>
        <v>0</v>
      </c>
      <c r="N525" s="17">
        <f>_xlfn.XLOOKUP($B525,'[1]Sep-24'!$A:$A,'[1]Sep-24'!$H:$H,0)</f>
        <v>0</v>
      </c>
      <c r="O525" s="17">
        <f>_xlfn.XLOOKUP($B525,'[1]Oct-24'!$A:$A,'[1]Oct-24'!$H:$H,0)</f>
        <v>0</v>
      </c>
      <c r="P525" s="17">
        <f>_xlfn.XLOOKUP($B525,'[1]Nov-24'!$A:$A,'[1]Nov-24'!$H:$H,0)</f>
        <v>0</v>
      </c>
      <c r="Q525" s="17">
        <f>_xlfn.XLOOKUP($B525,'[1]Dec-24'!$A:$A,'[1]Dec-24'!$H:$H,0)</f>
        <v>0</v>
      </c>
      <c r="R525" s="17">
        <f>_xlfn.XLOOKUP($B525,'[1]Jan-25'!$A:$A,'[1]Jan-25'!$H:$H,0)</f>
        <v>0</v>
      </c>
      <c r="S525" s="17">
        <f>_xlfn.XLOOKUP($B525,'[1]Feb-25'!$A:$A,'[1]Feb-25'!$H:$H,0)</f>
        <v>0</v>
      </c>
      <c r="T525" s="17">
        <f>_xlfn.XLOOKUP($B525,'[1]Mar-25'!$A:$A,'[1]Mar-25'!$H:$H,0)</f>
        <v>0</v>
      </c>
      <c r="U525" s="17">
        <f>_xlfn.XLOOKUP($B525,'[1]Apr-25'!$A:$A,'[1]Apr-25'!$H:$H,0)</f>
        <v>0</v>
      </c>
      <c r="V525" s="17">
        <f>_xlfn.XLOOKUP($B525,'[1]May-25'!$A:$A,'[1]May-25'!$H:$H,0)</f>
        <v>0</v>
      </c>
      <c r="W525" s="17">
        <f>_xlfn.XLOOKUP($B525,'[1]Jun-25'!$A:$A,'[1]Jun-25'!$H:$H,0)</f>
        <v>0</v>
      </c>
      <c r="X525" s="17">
        <f>_xlfn.XLOOKUP($B525,'[1]Jul-25'!$A:$A,'[1]Jul-25'!$H:$H,0)</f>
        <v>0</v>
      </c>
      <c r="Y525" s="17">
        <f>_xlfn.XLOOKUP($B525,'[1]Aug-25'!$A:$A,'[1]Aug-25'!$H:$H,0)</f>
        <v>0</v>
      </c>
      <c r="Z525" s="17">
        <f>_xlfn.XLOOKUP($B525,'[1]Sep-25'!$A:$A,'[1]Sep-25'!$H:$H,0)</f>
        <v>0</v>
      </c>
      <c r="AA525" s="17">
        <f>_xlfn.XLOOKUP($B525,'[1]Oct-25'!$A:$A,'[1]Oct-25'!$H:$H,0)</f>
        <v>0</v>
      </c>
      <c r="AB525" s="17">
        <f>_xlfn.XLOOKUP($B525,'[1]Nov-25'!$A:$A,'[1]Nov-25'!$H:$H,0)</f>
        <v>0</v>
      </c>
      <c r="AC525" s="17">
        <f>_xlfn.XLOOKUP($B525,'[1]Dec-25'!$A:$A,'[1]Dec-25'!$H:$H,0)</f>
        <v>0</v>
      </c>
      <c r="AD525" s="17">
        <f>_xlfn.XLOOKUP($B525,'[1]Jan-26'!$A:$A,'[1]Jan-26'!$H:$H,0)</f>
        <v>0</v>
      </c>
      <c r="AE525" s="17">
        <f>_xlfn.XLOOKUP($B525,'[1]Feb-26'!$A:$A,'[1]Feb-26'!$H:$H,0)</f>
        <v>0</v>
      </c>
      <c r="AF525" s="17">
        <f>_xlfn.XLOOKUP($B525,'[1]Mar-26'!$A:$A,'[1]Mar-26'!$H:$H,0)</f>
        <v>0</v>
      </c>
      <c r="AG525" s="17">
        <f>_xlfn.XLOOKUP($B525,'[1]Apr-26'!$A:$A,'[1]Apr-26'!$H:$H,0)</f>
        <v>0</v>
      </c>
    </row>
    <row r="526" spans="1:33" x14ac:dyDescent="0.2">
      <c r="A526" s="58">
        <v>67029</v>
      </c>
      <c r="B526" s="56" t="str">
        <f t="shared" si="14"/>
        <v>67029</v>
      </c>
      <c r="C526" s="57" t="s">
        <v>565</v>
      </c>
      <c r="D526" s="57" t="s">
        <v>387</v>
      </c>
      <c r="E526" s="44" t="s">
        <v>708</v>
      </c>
      <c r="F526" s="17">
        <f>_xlfn.XLOOKUP($B526,'[1]Jan-24'!$A:$A,'[1]Jan-24'!$H:$H,0)</f>
        <v>0</v>
      </c>
      <c r="G526" s="17">
        <f>_xlfn.XLOOKUP($B526,'[1]Feb-24'!$A:$A,'[1]Feb-24'!$H:$H,0)</f>
        <v>0</v>
      </c>
      <c r="H526" s="17">
        <f>_xlfn.XLOOKUP($B526,'[1]Mar-24'!$A:$A,'[1]Mar-24'!$H:$H,0)</f>
        <v>0</v>
      </c>
      <c r="I526" s="17">
        <f>_xlfn.XLOOKUP($B526,'[1]Apr-24'!$A:$A,'[1]Apr-24'!$H:$H,0)</f>
        <v>0</v>
      </c>
      <c r="J526" s="17">
        <f>_xlfn.XLOOKUP($B526,'[1]May-24'!$A:$A,'[1]May-24'!$H:$H,0)</f>
        <v>0</v>
      </c>
      <c r="K526" s="17">
        <f>_xlfn.XLOOKUP($B526,'[1]Jun-24'!$A:$A,'[1]Jun-24'!$H:$H,0)</f>
        <v>0</v>
      </c>
      <c r="L526" s="17">
        <f>_xlfn.XLOOKUP($B526,'[1]Jul-24'!$A:$A,'[1]Jul-24'!$H:$H,0)</f>
        <v>0</v>
      </c>
      <c r="M526" s="17">
        <f>_xlfn.XLOOKUP($B526,'[1]Aug-24'!$A:$A,'[1]Aug-24'!$H:$H,0)</f>
        <v>0</v>
      </c>
      <c r="N526" s="17">
        <f>_xlfn.XLOOKUP($B526,'[1]Sep-24'!$A:$A,'[1]Sep-24'!$H:$H,0)</f>
        <v>0</v>
      </c>
      <c r="O526" s="17">
        <f>_xlfn.XLOOKUP($B526,'[1]Oct-24'!$A:$A,'[1]Oct-24'!$H:$H,0)</f>
        <v>0</v>
      </c>
      <c r="P526" s="17">
        <f>_xlfn.XLOOKUP($B526,'[1]Nov-24'!$A:$A,'[1]Nov-24'!$H:$H,0)</f>
        <v>0</v>
      </c>
      <c r="Q526" s="17">
        <f>_xlfn.XLOOKUP($B526,'[1]Dec-24'!$A:$A,'[1]Dec-24'!$H:$H,0)</f>
        <v>0</v>
      </c>
      <c r="R526" s="17">
        <f>_xlfn.XLOOKUP($B526,'[1]Jan-25'!$A:$A,'[1]Jan-25'!$H:$H,0)</f>
        <v>0</v>
      </c>
      <c r="S526" s="17">
        <f>_xlfn.XLOOKUP($B526,'[1]Feb-25'!$A:$A,'[1]Feb-25'!$H:$H,0)</f>
        <v>0</v>
      </c>
      <c r="T526" s="17">
        <f>_xlfn.XLOOKUP($B526,'[1]Mar-25'!$A:$A,'[1]Mar-25'!$H:$H,0)</f>
        <v>0</v>
      </c>
      <c r="U526" s="17">
        <f>_xlfn.XLOOKUP($B526,'[1]Apr-25'!$A:$A,'[1]Apr-25'!$H:$H,0)</f>
        <v>0</v>
      </c>
      <c r="V526" s="17">
        <f>_xlfn.XLOOKUP($B526,'[1]May-25'!$A:$A,'[1]May-25'!$H:$H,0)</f>
        <v>0</v>
      </c>
      <c r="W526" s="17">
        <f>_xlfn.XLOOKUP($B526,'[1]Jun-25'!$A:$A,'[1]Jun-25'!$H:$H,0)</f>
        <v>0</v>
      </c>
      <c r="X526" s="17">
        <f>_xlfn.XLOOKUP($B526,'[1]Jul-25'!$A:$A,'[1]Jul-25'!$H:$H,0)</f>
        <v>0</v>
      </c>
      <c r="Y526" s="17">
        <f>_xlfn.XLOOKUP($B526,'[1]Aug-25'!$A:$A,'[1]Aug-25'!$H:$H,0)</f>
        <v>0</v>
      </c>
      <c r="Z526" s="17">
        <f>_xlfn.XLOOKUP($B526,'[1]Sep-25'!$A:$A,'[1]Sep-25'!$H:$H,0)</f>
        <v>0</v>
      </c>
      <c r="AA526" s="17">
        <f>_xlfn.XLOOKUP($B526,'[1]Oct-25'!$A:$A,'[1]Oct-25'!$H:$H,0)</f>
        <v>0</v>
      </c>
      <c r="AB526" s="17">
        <f>_xlfn.XLOOKUP($B526,'[1]Nov-25'!$A:$A,'[1]Nov-25'!$H:$H,0)</f>
        <v>0</v>
      </c>
      <c r="AC526" s="17">
        <f>_xlfn.XLOOKUP($B526,'[1]Dec-25'!$A:$A,'[1]Dec-25'!$H:$H,0)</f>
        <v>0</v>
      </c>
      <c r="AD526" s="17">
        <f>_xlfn.XLOOKUP($B526,'[1]Jan-26'!$A:$A,'[1]Jan-26'!$H:$H,0)</f>
        <v>0</v>
      </c>
      <c r="AE526" s="17">
        <f>_xlfn.XLOOKUP($B526,'[1]Feb-26'!$A:$A,'[1]Feb-26'!$H:$H,0)</f>
        <v>0</v>
      </c>
      <c r="AF526" s="17">
        <f>_xlfn.XLOOKUP($B526,'[1]Mar-26'!$A:$A,'[1]Mar-26'!$H:$H,0)</f>
        <v>0</v>
      </c>
      <c r="AG526" s="17">
        <f>_xlfn.XLOOKUP($B526,'[1]Apr-26'!$A:$A,'[1]Apr-26'!$H:$H,0)</f>
        <v>0</v>
      </c>
    </row>
    <row r="527" spans="1:33" x14ac:dyDescent="0.2">
      <c r="A527" s="58">
        <v>67030</v>
      </c>
      <c r="B527" s="56" t="str">
        <f t="shared" si="14"/>
        <v>67030</v>
      </c>
      <c r="C527" s="57" t="s">
        <v>565</v>
      </c>
      <c r="D527" s="57" t="s">
        <v>387</v>
      </c>
      <c r="E527" s="44" t="s">
        <v>709</v>
      </c>
      <c r="F527" s="17">
        <f>_xlfn.XLOOKUP($B527,'[1]Jan-24'!$A:$A,'[1]Jan-24'!$H:$H,0)</f>
        <v>0</v>
      </c>
      <c r="G527" s="17">
        <f>_xlfn.XLOOKUP($B527,'[1]Feb-24'!$A:$A,'[1]Feb-24'!$H:$H,0)</f>
        <v>0</v>
      </c>
      <c r="H527" s="17">
        <f>_xlfn.XLOOKUP($B527,'[1]Mar-24'!$A:$A,'[1]Mar-24'!$H:$H,0)</f>
        <v>0</v>
      </c>
      <c r="I527" s="17">
        <f>_xlfn.XLOOKUP($B527,'[1]Apr-24'!$A:$A,'[1]Apr-24'!$H:$H,0)</f>
        <v>0</v>
      </c>
      <c r="J527" s="17">
        <f>_xlfn.XLOOKUP($B527,'[1]May-24'!$A:$A,'[1]May-24'!$H:$H,0)</f>
        <v>0</v>
      </c>
      <c r="K527" s="17">
        <f>_xlfn.XLOOKUP($B527,'[1]Jun-24'!$A:$A,'[1]Jun-24'!$H:$H,0)</f>
        <v>0</v>
      </c>
      <c r="L527" s="17">
        <f>_xlfn.XLOOKUP($B527,'[1]Jul-24'!$A:$A,'[1]Jul-24'!$H:$H,0)</f>
        <v>0</v>
      </c>
      <c r="M527" s="17">
        <f>_xlfn.XLOOKUP($B527,'[1]Aug-24'!$A:$A,'[1]Aug-24'!$H:$H,0)</f>
        <v>0</v>
      </c>
      <c r="N527" s="17">
        <f>_xlfn.XLOOKUP($B527,'[1]Sep-24'!$A:$A,'[1]Sep-24'!$H:$H,0)</f>
        <v>0</v>
      </c>
      <c r="O527" s="17">
        <f>_xlfn.XLOOKUP($B527,'[1]Oct-24'!$A:$A,'[1]Oct-24'!$H:$H,0)</f>
        <v>0</v>
      </c>
      <c r="P527" s="17">
        <f>_xlfn.XLOOKUP($B527,'[1]Nov-24'!$A:$A,'[1]Nov-24'!$H:$H,0)</f>
        <v>0</v>
      </c>
      <c r="Q527" s="17">
        <f>_xlfn.XLOOKUP($B527,'[1]Dec-24'!$A:$A,'[1]Dec-24'!$H:$H,0)</f>
        <v>0</v>
      </c>
      <c r="R527" s="17">
        <f>_xlfn.XLOOKUP($B527,'[1]Jan-25'!$A:$A,'[1]Jan-25'!$H:$H,0)</f>
        <v>0</v>
      </c>
      <c r="S527" s="17">
        <f>_xlfn.XLOOKUP($B527,'[1]Feb-25'!$A:$A,'[1]Feb-25'!$H:$H,0)</f>
        <v>0</v>
      </c>
      <c r="T527" s="17">
        <f>_xlfn.XLOOKUP($B527,'[1]Mar-25'!$A:$A,'[1]Mar-25'!$H:$H,0)</f>
        <v>0</v>
      </c>
      <c r="U527" s="17">
        <f>_xlfn.XLOOKUP($B527,'[1]Apr-25'!$A:$A,'[1]Apr-25'!$H:$H,0)</f>
        <v>0</v>
      </c>
      <c r="V527" s="17">
        <f>_xlfn.XLOOKUP($B527,'[1]May-25'!$A:$A,'[1]May-25'!$H:$H,0)</f>
        <v>0</v>
      </c>
      <c r="W527" s="17">
        <f>_xlfn.XLOOKUP($B527,'[1]Jun-25'!$A:$A,'[1]Jun-25'!$H:$H,0)</f>
        <v>0</v>
      </c>
      <c r="X527" s="17">
        <f>_xlfn.XLOOKUP($B527,'[1]Jul-25'!$A:$A,'[1]Jul-25'!$H:$H,0)</f>
        <v>0</v>
      </c>
      <c r="Y527" s="17">
        <f>_xlfn.XLOOKUP($B527,'[1]Aug-25'!$A:$A,'[1]Aug-25'!$H:$H,0)</f>
        <v>0</v>
      </c>
      <c r="Z527" s="17">
        <f>_xlfn.XLOOKUP($B527,'[1]Sep-25'!$A:$A,'[1]Sep-25'!$H:$H,0)</f>
        <v>0</v>
      </c>
      <c r="AA527" s="17">
        <f>_xlfn.XLOOKUP($B527,'[1]Oct-25'!$A:$A,'[1]Oct-25'!$H:$H,0)</f>
        <v>0</v>
      </c>
      <c r="AB527" s="17">
        <f>_xlfn.XLOOKUP($B527,'[1]Nov-25'!$A:$A,'[1]Nov-25'!$H:$H,0)</f>
        <v>0</v>
      </c>
      <c r="AC527" s="17">
        <f>_xlfn.XLOOKUP($B527,'[1]Dec-25'!$A:$A,'[1]Dec-25'!$H:$H,0)</f>
        <v>0</v>
      </c>
      <c r="AD527" s="17">
        <f>_xlfn.XLOOKUP($B527,'[1]Jan-26'!$A:$A,'[1]Jan-26'!$H:$H,0)</f>
        <v>0</v>
      </c>
      <c r="AE527" s="17">
        <f>_xlfn.XLOOKUP($B527,'[1]Feb-26'!$A:$A,'[1]Feb-26'!$H:$H,0)</f>
        <v>0</v>
      </c>
      <c r="AF527" s="17">
        <f>_xlfn.XLOOKUP($B527,'[1]Mar-26'!$A:$A,'[1]Mar-26'!$H:$H,0)</f>
        <v>0</v>
      </c>
      <c r="AG527" s="17">
        <f>_xlfn.XLOOKUP($B527,'[1]Apr-26'!$A:$A,'[1]Apr-26'!$H:$H,0)</f>
        <v>0</v>
      </c>
    </row>
    <row r="528" spans="1:33" x14ac:dyDescent="0.2">
      <c r="A528" s="58">
        <v>67031</v>
      </c>
      <c r="B528" s="56" t="str">
        <f t="shared" si="14"/>
        <v>67031</v>
      </c>
      <c r="C528" s="57" t="s">
        <v>565</v>
      </c>
      <c r="D528" s="57" t="s">
        <v>387</v>
      </c>
      <c r="E528" s="44" t="s">
        <v>710</v>
      </c>
      <c r="F528" s="17">
        <f>_xlfn.XLOOKUP($B528,'[1]Jan-24'!$A:$A,'[1]Jan-24'!$H:$H,0)</f>
        <v>0</v>
      </c>
      <c r="G528" s="17">
        <f>_xlfn.XLOOKUP($B528,'[1]Feb-24'!$A:$A,'[1]Feb-24'!$H:$H,0)</f>
        <v>0</v>
      </c>
      <c r="H528" s="17">
        <f>_xlfn.XLOOKUP($B528,'[1]Mar-24'!$A:$A,'[1]Mar-24'!$H:$H,0)</f>
        <v>0</v>
      </c>
      <c r="I528" s="17">
        <f>_xlfn.XLOOKUP($B528,'[1]Apr-24'!$A:$A,'[1]Apr-24'!$H:$H,0)</f>
        <v>0</v>
      </c>
      <c r="J528" s="17">
        <f>_xlfn.XLOOKUP($B528,'[1]May-24'!$A:$A,'[1]May-24'!$H:$H,0)</f>
        <v>0</v>
      </c>
      <c r="K528" s="17">
        <f>_xlfn.XLOOKUP($B528,'[1]Jun-24'!$A:$A,'[1]Jun-24'!$H:$H,0)</f>
        <v>0</v>
      </c>
      <c r="L528" s="17">
        <f>_xlfn.XLOOKUP($B528,'[1]Jul-24'!$A:$A,'[1]Jul-24'!$H:$H,0)</f>
        <v>0</v>
      </c>
      <c r="M528" s="17">
        <f>_xlfn.XLOOKUP($B528,'[1]Aug-24'!$A:$A,'[1]Aug-24'!$H:$H,0)</f>
        <v>0</v>
      </c>
      <c r="N528" s="17">
        <f>_xlfn.XLOOKUP($B528,'[1]Sep-24'!$A:$A,'[1]Sep-24'!$H:$H,0)</f>
        <v>0</v>
      </c>
      <c r="O528" s="17">
        <f>_xlfn.XLOOKUP($B528,'[1]Oct-24'!$A:$A,'[1]Oct-24'!$H:$H,0)</f>
        <v>0</v>
      </c>
      <c r="P528" s="17">
        <f>_xlfn.XLOOKUP($B528,'[1]Nov-24'!$A:$A,'[1]Nov-24'!$H:$H,0)</f>
        <v>0</v>
      </c>
      <c r="Q528" s="17">
        <f>_xlfn.XLOOKUP($B528,'[1]Dec-24'!$A:$A,'[1]Dec-24'!$H:$H,0)</f>
        <v>0</v>
      </c>
      <c r="R528" s="17">
        <f>_xlfn.XLOOKUP($B528,'[1]Jan-25'!$A:$A,'[1]Jan-25'!$H:$H,0)</f>
        <v>0</v>
      </c>
      <c r="S528" s="17">
        <f>_xlfn.XLOOKUP($B528,'[1]Feb-25'!$A:$A,'[1]Feb-25'!$H:$H,0)</f>
        <v>0</v>
      </c>
      <c r="T528" s="17">
        <f>_xlfn.XLOOKUP($B528,'[1]Mar-25'!$A:$A,'[1]Mar-25'!$H:$H,0)</f>
        <v>0</v>
      </c>
      <c r="U528" s="17">
        <f>_xlfn.XLOOKUP($B528,'[1]Apr-25'!$A:$A,'[1]Apr-25'!$H:$H,0)</f>
        <v>0</v>
      </c>
      <c r="V528" s="17">
        <f>_xlfn.XLOOKUP($B528,'[1]May-25'!$A:$A,'[1]May-25'!$H:$H,0)</f>
        <v>0</v>
      </c>
      <c r="W528" s="17">
        <f>_xlfn.XLOOKUP($B528,'[1]Jun-25'!$A:$A,'[1]Jun-25'!$H:$H,0)</f>
        <v>0</v>
      </c>
      <c r="X528" s="17">
        <f>_xlfn.XLOOKUP($B528,'[1]Jul-25'!$A:$A,'[1]Jul-25'!$H:$H,0)</f>
        <v>0</v>
      </c>
      <c r="Y528" s="17">
        <f>_xlfn.XLOOKUP($B528,'[1]Aug-25'!$A:$A,'[1]Aug-25'!$H:$H,0)</f>
        <v>0</v>
      </c>
      <c r="Z528" s="17">
        <f>_xlfn.XLOOKUP($B528,'[1]Sep-25'!$A:$A,'[1]Sep-25'!$H:$H,0)</f>
        <v>0</v>
      </c>
      <c r="AA528" s="17">
        <f>_xlfn.XLOOKUP($B528,'[1]Oct-25'!$A:$A,'[1]Oct-25'!$H:$H,0)</f>
        <v>0</v>
      </c>
      <c r="AB528" s="17">
        <f>_xlfn.XLOOKUP($B528,'[1]Nov-25'!$A:$A,'[1]Nov-25'!$H:$H,0)</f>
        <v>0</v>
      </c>
      <c r="AC528" s="17">
        <f>_xlfn.XLOOKUP($B528,'[1]Dec-25'!$A:$A,'[1]Dec-25'!$H:$H,0)</f>
        <v>0</v>
      </c>
      <c r="AD528" s="17">
        <f>_xlfn.XLOOKUP($B528,'[1]Jan-26'!$A:$A,'[1]Jan-26'!$H:$H,0)</f>
        <v>0</v>
      </c>
      <c r="AE528" s="17">
        <f>_xlfn.XLOOKUP($B528,'[1]Feb-26'!$A:$A,'[1]Feb-26'!$H:$H,0)</f>
        <v>0</v>
      </c>
      <c r="AF528" s="17">
        <f>_xlfn.XLOOKUP($B528,'[1]Mar-26'!$A:$A,'[1]Mar-26'!$H:$H,0)</f>
        <v>0</v>
      </c>
      <c r="AG528" s="17">
        <f>_xlfn.XLOOKUP($B528,'[1]Apr-26'!$A:$A,'[1]Apr-26'!$H:$H,0)</f>
        <v>0</v>
      </c>
    </row>
    <row r="529" spans="1:33" x14ac:dyDescent="0.2">
      <c r="A529" s="58">
        <v>67032</v>
      </c>
      <c r="B529" s="56" t="str">
        <f t="shared" si="14"/>
        <v>67032</v>
      </c>
      <c r="C529" s="57" t="s">
        <v>565</v>
      </c>
      <c r="D529" s="57" t="s">
        <v>387</v>
      </c>
      <c r="E529" s="44" t="s">
        <v>711</v>
      </c>
      <c r="F529" s="17">
        <f>_xlfn.XLOOKUP($B529,'[1]Jan-24'!$A:$A,'[1]Jan-24'!$H:$H,0)</f>
        <v>0</v>
      </c>
      <c r="G529" s="17">
        <f>_xlfn.XLOOKUP($B529,'[1]Feb-24'!$A:$A,'[1]Feb-24'!$H:$H,0)</f>
        <v>0</v>
      </c>
      <c r="H529" s="17">
        <f>_xlfn.XLOOKUP($B529,'[1]Mar-24'!$A:$A,'[1]Mar-24'!$H:$H,0)</f>
        <v>0</v>
      </c>
      <c r="I529" s="17">
        <f>_xlfn.XLOOKUP($B529,'[1]Apr-24'!$A:$A,'[1]Apr-24'!$H:$H,0)</f>
        <v>0</v>
      </c>
      <c r="J529" s="17">
        <f>_xlfn.XLOOKUP($B529,'[1]May-24'!$A:$A,'[1]May-24'!$H:$H,0)</f>
        <v>0</v>
      </c>
      <c r="K529" s="17">
        <f>_xlfn.XLOOKUP($B529,'[1]Jun-24'!$A:$A,'[1]Jun-24'!$H:$H,0)</f>
        <v>0</v>
      </c>
      <c r="L529" s="17">
        <f>_xlfn.XLOOKUP($B529,'[1]Jul-24'!$A:$A,'[1]Jul-24'!$H:$H,0)</f>
        <v>0</v>
      </c>
      <c r="M529" s="17">
        <f>_xlfn.XLOOKUP($B529,'[1]Aug-24'!$A:$A,'[1]Aug-24'!$H:$H,0)</f>
        <v>0</v>
      </c>
      <c r="N529" s="17">
        <f>_xlfn.XLOOKUP($B529,'[1]Sep-24'!$A:$A,'[1]Sep-24'!$H:$H,0)</f>
        <v>0</v>
      </c>
      <c r="O529" s="17">
        <f>_xlfn.XLOOKUP($B529,'[1]Oct-24'!$A:$A,'[1]Oct-24'!$H:$H,0)</f>
        <v>0</v>
      </c>
      <c r="P529" s="17">
        <f>_xlfn.XLOOKUP($B529,'[1]Nov-24'!$A:$A,'[1]Nov-24'!$H:$H,0)</f>
        <v>0</v>
      </c>
      <c r="Q529" s="17">
        <f>_xlfn.XLOOKUP($B529,'[1]Dec-24'!$A:$A,'[1]Dec-24'!$H:$H,0)</f>
        <v>0</v>
      </c>
      <c r="R529" s="17">
        <f>_xlfn.XLOOKUP($B529,'[1]Jan-25'!$A:$A,'[1]Jan-25'!$H:$H,0)</f>
        <v>0</v>
      </c>
      <c r="S529" s="17">
        <f>_xlfn.XLOOKUP($B529,'[1]Feb-25'!$A:$A,'[1]Feb-25'!$H:$H,0)</f>
        <v>0</v>
      </c>
      <c r="T529" s="17">
        <f>_xlfn.XLOOKUP($B529,'[1]Mar-25'!$A:$A,'[1]Mar-25'!$H:$H,0)</f>
        <v>0</v>
      </c>
      <c r="U529" s="17">
        <f>_xlfn.XLOOKUP($B529,'[1]Apr-25'!$A:$A,'[1]Apr-25'!$H:$H,0)</f>
        <v>0</v>
      </c>
      <c r="V529" s="17">
        <f>_xlfn.XLOOKUP($B529,'[1]May-25'!$A:$A,'[1]May-25'!$H:$H,0)</f>
        <v>0</v>
      </c>
      <c r="W529" s="17">
        <f>_xlfn.XLOOKUP($B529,'[1]Jun-25'!$A:$A,'[1]Jun-25'!$H:$H,0)</f>
        <v>0</v>
      </c>
      <c r="X529" s="17">
        <f>_xlfn.XLOOKUP($B529,'[1]Jul-25'!$A:$A,'[1]Jul-25'!$H:$H,0)</f>
        <v>0</v>
      </c>
      <c r="Y529" s="17">
        <f>_xlfn.XLOOKUP($B529,'[1]Aug-25'!$A:$A,'[1]Aug-25'!$H:$H,0)</f>
        <v>0</v>
      </c>
      <c r="Z529" s="17">
        <f>_xlfn.XLOOKUP($B529,'[1]Sep-25'!$A:$A,'[1]Sep-25'!$H:$H,0)</f>
        <v>0</v>
      </c>
      <c r="AA529" s="17">
        <f>_xlfn.XLOOKUP($B529,'[1]Oct-25'!$A:$A,'[1]Oct-25'!$H:$H,0)</f>
        <v>0</v>
      </c>
      <c r="AB529" s="17">
        <f>_xlfn.XLOOKUP($B529,'[1]Nov-25'!$A:$A,'[1]Nov-25'!$H:$H,0)</f>
        <v>0</v>
      </c>
      <c r="AC529" s="17">
        <f>_xlfn.XLOOKUP($B529,'[1]Dec-25'!$A:$A,'[1]Dec-25'!$H:$H,0)</f>
        <v>0</v>
      </c>
      <c r="AD529" s="17">
        <f>_xlfn.XLOOKUP($B529,'[1]Jan-26'!$A:$A,'[1]Jan-26'!$H:$H,0)</f>
        <v>0</v>
      </c>
      <c r="AE529" s="17">
        <f>_xlfn.XLOOKUP($B529,'[1]Feb-26'!$A:$A,'[1]Feb-26'!$H:$H,0)</f>
        <v>0</v>
      </c>
      <c r="AF529" s="17">
        <f>_xlfn.XLOOKUP($B529,'[1]Mar-26'!$A:$A,'[1]Mar-26'!$H:$H,0)</f>
        <v>0</v>
      </c>
      <c r="AG529" s="17">
        <f>_xlfn.XLOOKUP($B529,'[1]Apr-26'!$A:$A,'[1]Apr-26'!$H:$H,0)</f>
        <v>0</v>
      </c>
    </row>
    <row r="530" spans="1:33" x14ac:dyDescent="0.2">
      <c r="A530" s="58">
        <v>67033</v>
      </c>
      <c r="B530" s="56" t="str">
        <f t="shared" si="14"/>
        <v>67033</v>
      </c>
      <c r="C530" s="57" t="s">
        <v>565</v>
      </c>
      <c r="D530" s="57" t="s">
        <v>387</v>
      </c>
      <c r="E530" s="44" t="s">
        <v>712</v>
      </c>
      <c r="F530" s="17">
        <f>_xlfn.XLOOKUP($B530,'[1]Jan-24'!$A:$A,'[1]Jan-24'!$H:$H,0)</f>
        <v>0</v>
      </c>
      <c r="G530" s="17">
        <f>_xlfn.XLOOKUP($B530,'[1]Feb-24'!$A:$A,'[1]Feb-24'!$H:$H,0)</f>
        <v>0</v>
      </c>
      <c r="H530" s="17">
        <f>_xlfn.XLOOKUP($B530,'[1]Mar-24'!$A:$A,'[1]Mar-24'!$H:$H,0)</f>
        <v>0</v>
      </c>
      <c r="I530" s="17">
        <f>_xlfn.XLOOKUP($B530,'[1]Apr-24'!$A:$A,'[1]Apr-24'!$H:$H,0)</f>
        <v>0</v>
      </c>
      <c r="J530" s="17">
        <f>_xlfn.XLOOKUP($B530,'[1]May-24'!$A:$A,'[1]May-24'!$H:$H,0)</f>
        <v>0</v>
      </c>
      <c r="K530" s="17">
        <f>_xlfn.XLOOKUP($B530,'[1]Jun-24'!$A:$A,'[1]Jun-24'!$H:$H,0)</f>
        <v>0</v>
      </c>
      <c r="L530" s="17">
        <f>_xlfn.XLOOKUP($B530,'[1]Jul-24'!$A:$A,'[1]Jul-24'!$H:$H,0)</f>
        <v>0</v>
      </c>
      <c r="M530" s="17">
        <f>_xlfn.XLOOKUP($B530,'[1]Aug-24'!$A:$A,'[1]Aug-24'!$H:$H,0)</f>
        <v>0</v>
      </c>
      <c r="N530" s="17">
        <f>_xlfn.XLOOKUP($B530,'[1]Sep-24'!$A:$A,'[1]Sep-24'!$H:$H,0)</f>
        <v>0</v>
      </c>
      <c r="O530" s="17">
        <f>_xlfn.XLOOKUP($B530,'[1]Oct-24'!$A:$A,'[1]Oct-24'!$H:$H,0)</f>
        <v>0</v>
      </c>
      <c r="P530" s="17">
        <f>_xlfn.XLOOKUP($B530,'[1]Nov-24'!$A:$A,'[1]Nov-24'!$H:$H,0)</f>
        <v>0</v>
      </c>
      <c r="Q530" s="17">
        <f>_xlfn.XLOOKUP($B530,'[1]Dec-24'!$A:$A,'[1]Dec-24'!$H:$H,0)</f>
        <v>0</v>
      </c>
      <c r="R530" s="17">
        <f>_xlfn.XLOOKUP($B530,'[1]Jan-25'!$A:$A,'[1]Jan-25'!$H:$H,0)</f>
        <v>0</v>
      </c>
      <c r="S530" s="17">
        <f>_xlfn.XLOOKUP($B530,'[1]Feb-25'!$A:$A,'[1]Feb-25'!$H:$H,0)</f>
        <v>0</v>
      </c>
      <c r="T530" s="17">
        <f>_xlfn.XLOOKUP($B530,'[1]Mar-25'!$A:$A,'[1]Mar-25'!$H:$H,0)</f>
        <v>0</v>
      </c>
      <c r="U530" s="17">
        <f>_xlfn.XLOOKUP($B530,'[1]Apr-25'!$A:$A,'[1]Apr-25'!$H:$H,0)</f>
        <v>0</v>
      </c>
      <c r="V530" s="17">
        <f>_xlfn.XLOOKUP($B530,'[1]May-25'!$A:$A,'[1]May-25'!$H:$H,0)</f>
        <v>0</v>
      </c>
      <c r="W530" s="17">
        <f>_xlfn.XLOOKUP($B530,'[1]Jun-25'!$A:$A,'[1]Jun-25'!$H:$H,0)</f>
        <v>0</v>
      </c>
      <c r="X530" s="17">
        <f>_xlfn.XLOOKUP($B530,'[1]Jul-25'!$A:$A,'[1]Jul-25'!$H:$H,0)</f>
        <v>0</v>
      </c>
      <c r="Y530" s="17">
        <f>_xlfn.XLOOKUP($B530,'[1]Aug-25'!$A:$A,'[1]Aug-25'!$H:$H,0)</f>
        <v>0</v>
      </c>
      <c r="Z530" s="17">
        <f>_xlfn.XLOOKUP($B530,'[1]Sep-25'!$A:$A,'[1]Sep-25'!$H:$H,0)</f>
        <v>0</v>
      </c>
      <c r="AA530" s="17">
        <f>_xlfn.XLOOKUP($B530,'[1]Oct-25'!$A:$A,'[1]Oct-25'!$H:$H,0)</f>
        <v>0</v>
      </c>
      <c r="AB530" s="17">
        <f>_xlfn.XLOOKUP($B530,'[1]Nov-25'!$A:$A,'[1]Nov-25'!$H:$H,0)</f>
        <v>0</v>
      </c>
      <c r="AC530" s="17">
        <f>_xlfn.XLOOKUP($B530,'[1]Dec-25'!$A:$A,'[1]Dec-25'!$H:$H,0)</f>
        <v>0</v>
      </c>
      <c r="AD530" s="17">
        <f>_xlfn.XLOOKUP($B530,'[1]Jan-26'!$A:$A,'[1]Jan-26'!$H:$H,0)</f>
        <v>0</v>
      </c>
      <c r="AE530" s="17">
        <f>_xlfn.XLOOKUP($B530,'[1]Feb-26'!$A:$A,'[1]Feb-26'!$H:$H,0)</f>
        <v>0</v>
      </c>
      <c r="AF530" s="17">
        <f>_xlfn.XLOOKUP($B530,'[1]Mar-26'!$A:$A,'[1]Mar-26'!$H:$H,0)</f>
        <v>0</v>
      </c>
      <c r="AG530" s="17">
        <f>_xlfn.XLOOKUP($B530,'[1]Apr-26'!$A:$A,'[1]Apr-26'!$H:$H,0)</f>
        <v>0</v>
      </c>
    </row>
    <row r="531" spans="1:33" x14ac:dyDescent="0.2">
      <c r="A531" s="58">
        <v>67034</v>
      </c>
      <c r="B531" s="56" t="str">
        <f t="shared" si="14"/>
        <v>67034</v>
      </c>
      <c r="C531" s="57" t="s">
        <v>565</v>
      </c>
      <c r="D531" s="57" t="s">
        <v>387</v>
      </c>
      <c r="E531" s="44" t="s">
        <v>713</v>
      </c>
      <c r="F531" s="17">
        <f>_xlfn.XLOOKUP($B531,'[1]Jan-24'!$A:$A,'[1]Jan-24'!$H:$H,0)</f>
        <v>0</v>
      </c>
      <c r="G531" s="17">
        <f>_xlfn.XLOOKUP($B531,'[1]Feb-24'!$A:$A,'[1]Feb-24'!$H:$H,0)</f>
        <v>0</v>
      </c>
      <c r="H531" s="17">
        <f>_xlfn.XLOOKUP($B531,'[1]Mar-24'!$A:$A,'[1]Mar-24'!$H:$H,0)</f>
        <v>0</v>
      </c>
      <c r="I531" s="17">
        <f>_xlfn.XLOOKUP($B531,'[1]Apr-24'!$A:$A,'[1]Apr-24'!$H:$H,0)</f>
        <v>0</v>
      </c>
      <c r="J531" s="17">
        <f>_xlfn.XLOOKUP($B531,'[1]May-24'!$A:$A,'[1]May-24'!$H:$H,0)</f>
        <v>0</v>
      </c>
      <c r="K531" s="17">
        <f>_xlfn.XLOOKUP($B531,'[1]Jun-24'!$A:$A,'[1]Jun-24'!$H:$H,0)</f>
        <v>0</v>
      </c>
      <c r="L531" s="17">
        <f>_xlfn.XLOOKUP($B531,'[1]Jul-24'!$A:$A,'[1]Jul-24'!$H:$H,0)</f>
        <v>0</v>
      </c>
      <c r="M531" s="17">
        <f>_xlfn.XLOOKUP($B531,'[1]Aug-24'!$A:$A,'[1]Aug-24'!$H:$H,0)</f>
        <v>0</v>
      </c>
      <c r="N531" s="17">
        <f>_xlfn.XLOOKUP($B531,'[1]Sep-24'!$A:$A,'[1]Sep-24'!$H:$H,0)</f>
        <v>0</v>
      </c>
      <c r="O531" s="17">
        <f>_xlfn.XLOOKUP($B531,'[1]Oct-24'!$A:$A,'[1]Oct-24'!$H:$H,0)</f>
        <v>0</v>
      </c>
      <c r="P531" s="17">
        <f>_xlfn.XLOOKUP($B531,'[1]Nov-24'!$A:$A,'[1]Nov-24'!$H:$H,0)</f>
        <v>0</v>
      </c>
      <c r="Q531" s="17">
        <f>_xlfn.XLOOKUP($B531,'[1]Dec-24'!$A:$A,'[1]Dec-24'!$H:$H,0)</f>
        <v>0</v>
      </c>
      <c r="R531" s="17">
        <f>_xlfn.XLOOKUP($B531,'[1]Jan-25'!$A:$A,'[1]Jan-25'!$H:$H,0)</f>
        <v>0</v>
      </c>
      <c r="S531" s="17">
        <f>_xlfn.XLOOKUP($B531,'[1]Feb-25'!$A:$A,'[1]Feb-25'!$H:$H,0)</f>
        <v>0</v>
      </c>
      <c r="T531" s="17">
        <f>_xlfn.XLOOKUP($B531,'[1]Mar-25'!$A:$A,'[1]Mar-25'!$H:$H,0)</f>
        <v>0</v>
      </c>
      <c r="U531" s="17">
        <f>_xlfn.XLOOKUP($B531,'[1]Apr-25'!$A:$A,'[1]Apr-25'!$H:$H,0)</f>
        <v>0</v>
      </c>
      <c r="V531" s="17">
        <f>_xlfn.XLOOKUP($B531,'[1]May-25'!$A:$A,'[1]May-25'!$H:$H,0)</f>
        <v>0</v>
      </c>
      <c r="W531" s="17">
        <f>_xlfn.XLOOKUP($B531,'[1]Jun-25'!$A:$A,'[1]Jun-25'!$H:$H,0)</f>
        <v>0</v>
      </c>
      <c r="X531" s="17">
        <f>_xlfn.XLOOKUP($B531,'[1]Jul-25'!$A:$A,'[1]Jul-25'!$H:$H,0)</f>
        <v>0</v>
      </c>
      <c r="Y531" s="17">
        <f>_xlfn.XLOOKUP($B531,'[1]Aug-25'!$A:$A,'[1]Aug-25'!$H:$H,0)</f>
        <v>0</v>
      </c>
      <c r="Z531" s="17">
        <f>_xlfn.XLOOKUP($B531,'[1]Sep-25'!$A:$A,'[1]Sep-25'!$H:$H,0)</f>
        <v>0</v>
      </c>
      <c r="AA531" s="17">
        <f>_xlfn.XLOOKUP($B531,'[1]Oct-25'!$A:$A,'[1]Oct-25'!$H:$H,0)</f>
        <v>0</v>
      </c>
      <c r="AB531" s="17">
        <f>_xlfn.XLOOKUP($B531,'[1]Nov-25'!$A:$A,'[1]Nov-25'!$H:$H,0)</f>
        <v>0</v>
      </c>
      <c r="AC531" s="17">
        <f>_xlfn.XLOOKUP($B531,'[1]Dec-25'!$A:$A,'[1]Dec-25'!$H:$H,0)</f>
        <v>0</v>
      </c>
      <c r="AD531" s="17">
        <f>_xlfn.XLOOKUP($B531,'[1]Jan-26'!$A:$A,'[1]Jan-26'!$H:$H,0)</f>
        <v>0</v>
      </c>
      <c r="AE531" s="17">
        <f>_xlfn.XLOOKUP($B531,'[1]Feb-26'!$A:$A,'[1]Feb-26'!$H:$H,0)</f>
        <v>0</v>
      </c>
      <c r="AF531" s="17">
        <f>_xlfn.XLOOKUP($B531,'[1]Mar-26'!$A:$A,'[1]Mar-26'!$H:$H,0)</f>
        <v>0</v>
      </c>
      <c r="AG531" s="17">
        <f>_xlfn.XLOOKUP($B531,'[1]Apr-26'!$A:$A,'[1]Apr-26'!$H:$H,0)</f>
        <v>0</v>
      </c>
    </row>
    <row r="532" spans="1:33" x14ac:dyDescent="0.2">
      <c r="A532" s="58">
        <v>67035</v>
      </c>
      <c r="B532" s="56" t="str">
        <f t="shared" si="14"/>
        <v>67035</v>
      </c>
      <c r="C532" s="57" t="s">
        <v>565</v>
      </c>
      <c r="D532" s="57" t="s">
        <v>387</v>
      </c>
      <c r="E532" s="44" t="s">
        <v>714</v>
      </c>
      <c r="F532" s="17">
        <f>_xlfn.XLOOKUP($B532,'[1]Jan-24'!$A:$A,'[1]Jan-24'!$H:$H,0)</f>
        <v>0</v>
      </c>
      <c r="G532" s="17">
        <f>_xlfn.XLOOKUP($B532,'[1]Feb-24'!$A:$A,'[1]Feb-24'!$H:$H,0)</f>
        <v>0</v>
      </c>
      <c r="H532" s="17">
        <f>_xlfn.XLOOKUP($B532,'[1]Mar-24'!$A:$A,'[1]Mar-24'!$H:$H,0)</f>
        <v>0</v>
      </c>
      <c r="I532" s="17">
        <f>_xlfn.XLOOKUP($B532,'[1]Apr-24'!$A:$A,'[1]Apr-24'!$H:$H,0)</f>
        <v>0</v>
      </c>
      <c r="J532" s="17">
        <f>_xlfn.XLOOKUP($B532,'[1]May-24'!$A:$A,'[1]May-24'!$H:$H,0)</f>
        <v>0</v>
      </c>
      <c r="K532" s="17">
        <f>_xlfn.XLOOKUP($B532,'[1]Jun-24'!$A:$A,'[1]Jun-24'!$H:$H,0)</f>
        <v>0</v>
      </c>
      <c r="L532" s="17">
        <f>_xlfn.XLOOKUP($B532,'[1]Jul-24'!$A:$A,'[1]Jul-24'!$H:$H,0)</f>
        <v>0</v>
      </c>
      <c r="M532" s="17">
        <f>_xlfn.XLOOKUP($B532,'[1]Aug-24'!$A:$A,'[1]Aug-24'!$H:$H,0)</f>
        <v>0</v>
      </c>
      <c r="N532" s="17">
        <f>_xlfn.XLOOKUP($B532,'[1]Sep-24'!$A:$A,'[1]Sep-24'!$H:$H,0)</f>
        <v>0</v>
      </c>
      <c r="O532" s="17">
        <f>_xlfn.XLOOKUP($B532,'[1]Oct-24'!$A:$A,'[1]Oct-24'!$H:$H,0)</f>
        <v>0</v>
      </c>
      <c r="P532" s="17">
        <f>_xlfn.XLOOKUP($B532,'[1]Nov-24'!$A:$A,'[1]Nov-24'!$H:$H,0)</f>
        <v>0</v>
      </c>
      <c r="Q532" s="17">
        <f>_xlfn.XLOOKUP($B532,'[1]Dec-24'!$A:$A,'[1]Dec-24'!$H:$H,0)</f>
        <v>0</v>
      </c>
      <c r="R532" s="17">
        <f>_xlfn.XLOOKUP($B532,'[1]Jan-25'!$A:$A,'[1]Jan-25'!$H:$H,0)</f>
        <v>0</v>
      </c>
      <c r="S532" s="17">
        <f>_xlfn.XLOOKUP($B532,'[1]Feb-25'!$A:$A,'[1]Feb-25'!$H:$H,0)</f>
        <v>0</v>
      </c>
      <c r="T532" s="17">
        <f>_xlfn.XLOOKUP($B532,'[1]Mar-25'!$A:$A,'[1]Mar-25'!$H:$H,0)</f>
        <v>0</v>
      </c>
      <c r="U532" s="17">
        <f>_xlfn.XLOOKUP($B532,'[1]Apr-25'!$A:$A,'[1]Apr-25'!$H:$H,0)</f>
        <v>0</v>
      </c>
      <c r="V532" s="17">
        <f>_xlfn.XLOOKUP($B532,'[1]May-25'!$A:$A,'[1]May-25'!$H:$H,0)</f>
        <v>0</v>
      </c>
      <c r="W532" s="17">
        <f>_xlfn.XLOOKUP($B532,'[1]Jun-25'!$A:$A,'[1]Jun-25'!$H:$H,0)</f>
        <v>0</v>
      </c>
      <c r="X532" s="17">
        <f>_xlfn.XLOOKUP($B532,'[1]Jul-25'!$A:$A,'[1]Jul-25'!$H:$H,0)</f>
        <v>0</v>
      </c>
      <c r="Y532" s="17">
        <f>_xlfn.XLOOKUP($B532,'[1]Aug-25'!$A:$A,'[1]Aug-25'!$H:$H,0)</f>
        <v>0</v>
      </c>
      <c r="Z532" s="17">
        <f>_xlfn.XLOOKUP($B532,'[1]Sep-25'!$A:$A,'[1]Sep-25'!$H:$H,0)</f>
        <v>0</v>
      </c>
      <c r="AA532" s="17">
        <f>_xlfn.XLOOKUP($B532,'[1]Oct-25'!$A:$A,'[1]Oct-25'!$H:$H,0)</f>
        <v>0</v>
      </c>
      <c r="AB532" s="17">
        <f>_xlfn.XLOOKUP($B532,'[1]Nov-25'!$A:$A,'[1]Nov-25'!$H:$H,0)</f>
        <v>0</v>
      </c>
      <c r="AC532" s="17">
        <f>_xlfn.XLOOKUP($B532,'[1]Dec-25'!$A:$A,'[1]Dec-25'!$H:$H,0)</f>
        <v>0</v>
      </c>
      <c r="AD532" s="17">
        <f>_xlfn.XLOOKUP($B532,'[1]Jan-26'!$A:$A,'[1]Jan-26'!$H:$H,0)</f>
        <v>0</v>
      </c>
      <c r="AE532" s="17">
        <f>_xlfn.XLOOKUP($B532,'[1]Feb-26'!$A:$A,'[1]Feb-26'!$H:$H,0)</f>
        <v>0</v>
      </c>
      <c r="AF532" s="17">
        <f>_xlfn.XLOOKUP($B532,'[1]Mar-26'!$A:$A,'[1]Mar-26'!$H:$H,0)</f>
        <v>0</v>
      </c>
      <c r="AG532" s="17">
        <f>_xlfn.XLOOKUP($B532,'[1]Apr-26'!$A:$A,'[1]Apr-26'!$H:$H,0)</f>
        <v>0</v>
      </c>
    </row>
    <row r="533" spans="1:33" x14ac:dyDescent="0.2">
      <c r="A533" s="58">
        <v>67036</v>
      </c>
      <c r="B533" s="56" t="str">
        <f t="shared" si="14"/>
        <v>67036</v>
      </c>
      <c r="C533" s="57" t="s">
        <v>565</v>
      </c>
      <c r="D533" s="57" t="s">
        <v>387</v>
      </c>
      <c r="E533" s="44" t="s">
        <v>563</v>
      </c>
      <c r="F533" s="17">
        <f>_xlfn.XLOOKUP($B533,'[1]Jan-24'!$A:$A,'[1]Jan-24'!$H:$H,0)</f>
        <v>0</v>
      </c>
      <c r="G533" s="17">
        <f>_xlfn.XLOOKUP($B533,'[1]Feb-24'!$A:$A,'[1]Feb-24'!$H:$H,0)</f>
        <v>0</v>
      </c>
      <c r="H533" s="17">
        <f>_xlfn.XLOOKUP($B533,'[1]Mar-24'!$A:$A,'[1]Mar-24'!$H:$H,0)</f>
        <v>0</v>
      </c>
      <c r="I533" s="17">
        <f>_xlfn.XLOOKUP($B533,'[1]Apr-24'!$A:$A,'[1]Apr-24'!$H:$H,0)</f>
        <v>0</v>
      </c>
      <c r="J533" s="17">
        <f>_xlfn.XLOOKUP($B533,'[1]May-24'!$A:$A,'[1]May-24'!$H:$H,0)</f>
        <v>0</v>
      </c>
      <c r="K533" s="17">
        <f>_xlfn.XLOOKUP($B533,'[1]Jun-24'!$A:$A,'[1]Jun-24'!$H:$H,0)</f>
        <v>0</v>
      </c>
      <c r="L533" s="17">
        <f>_xlfn.XLOOKUP($B533,'[1]Jul-24'!$A:$A,'[1]Jul-24'!$H:$H,0)</f>
        <v>0</v>
      </c>
      <c r="M533" s="17">
        <f>_xlfn.XLOOKUP($B533,'[1]Aug-24'!$A:$A,'[1]Aug-24'!$H:$H,0)</f>
        <v>0</v>
      </c>
      <c r="N533" s="17">
        <f>_xlfn.XLOOKUP($B533,'[1]Sep-24'!$A:$A,'[1]Sep-24'!$H:$H,0)</f>
        <v>0</v>
      </c>
      <c r="O533" s="17">
        <f>_xlfn.XLOOKUP($B533,'[1]Oct-24'!$A:$A,'[1]Oct-24'!$H:$H,0)</f>
        <v>0</v>
      </c>
      <c r="P533" s="17">
        <f>_xlfn.XLOOKUP($B533,'[1]Nov-24'!$A:$A,'[1]Nov-24'!$H:$H,0)</f>
        <v>0</v>
      </c>
      <c r="Q533" s="17">
        <f>_xlfn.XLOOKUP($B533,'[1]Dec-24'!$A:$A,'[1]Dec-24'!$H:$H,0)</f>
        <v>0</v>
      </c>
      <c r="R533" s="17">
        <f>_xlfn.XLOOKUP($B533,'[1]Jan-25'!$A:$A,'[1]Jan-25'!$H:$H,0)</f>
        <v>0</v>
      </c>
      <c r="S533" s="17">
        <f>_xlfn.XLOOKUP($B533,'[1]Feb-25'!$A:$A,'[1]Feb-25'!$H:$H,0)</f>
        <v>0</v>
      </c>
      <c r="T533" s="17">
        <f>_xlfn.XLOOKUP($B533,'[1]Mar-25'!$A:$A,'[1]Mar-25'!$H:$H,0)</f>
        <v>0</v>
      </c>
      <c r="U533" s="17">
        <f>_xlfn.XLOOKUP($B533,'[1]Apr-25'!$A:$A,'[1]Apr-25'!$H:$H,0)</f>
        <v>0</v>
      </c>
      <c r="V533" s="17">
        <f>_xlfn.XLOOKUP($B533,'[1]May-25'!$A:$A,'[1]May-25'!$H:$H,0)</f>
        <v>0</v>
      </c>
      <c r="W533" s="17">
        <f>_xlfn.XLOOKUP($B533,'[1]Jun-25'!$A:$A,'[1]Jun-25'!$H:$H,0)</f>
        <v>0</v>
      </c>
      <c r="X533" s="17">
        <f>_xlfn.XLOOKUP($B533,'[1]Jul-25'!$A:$A,'[1]Jul-25'!$H:$H,0)</f>
        <v>0</v>
      </c>
      <c r="Y533" s="17">
        <f>_xlfn.XLOOKUP($B533,'[1]Aug-25'!$A:$A,'[1]Aug-25'!$H:$H,0)</f>
        <v>0</v>
      </c>
      <c r="Z533" s="17">
        <f>_xlfn.XLOOKUP($B533,'[1]Sep-25'!$A:$A,'[1]Sep-25'!$H:$H,0)</f>
        <v>0</v>
      </c>
      <c r="AA533" s="17">
        <f>_xlfn.XLOOKUP($B533,'[1]Oct-25'!$A:$A,'[1]Oct-25'!$H:$H,0)</f>
        <v>0</v>
      </c>
      <c r="AB533" s="17">
        <f>_xlfn.XLOOKUP($B533,'[1]Nov-25'!$A:$A,'[1]Nov-25'!$H:$H,0)</f>
        <v>0</v>
      </c>
      <c r="AC533" s="17">
        <f>_xlfn.XLOOKUP($B533,'[1]Dec-25'!$A:$A,'[1]Dec-25'!$H:$H,0)</f>
        <v>0</v>
      </c>
      <c r="AD533" s="17">
        <f>_xlfn.XLOOKUP($B533,'[1]Jan-26'!$A:$A,'[1]Jan-26'!$H:$H,0)</f>
        <v>0</v>
      </c>
      <c r="AE533" s="17">
        <f>_xlfn.XLOOKUP($B533,'[1]Feb-26'!$A:$A,'[1]Feb-26'!$H:$H,0)</f>
        <v>0</v>
      </c>
      <c r="AF533" s="17">
        <f>_xlfn.XLOOKUP($B533,'[1]Mar-26'!$A:$A,'[1]Mar-26'!$H:$H,0)</f>
        <v>0</v>
      </c>
      <c r="AG533" s="17">
        <f>_xlfn.XLOOKUP($B533,'[1]Apr-26'!$A:$A,'[1]Apr-26'!$H:$H,0)</f>
        <v>0</v>
      </c>
    </row>
    <row r="534" spans="1:33" x14ac:dyDescent="0.2">
      <c r="A534" s="58">
        <v>67037</v>
      </c>
      <c r="B534" s="56" t="str">
        <f t="shared" si="14"/>
        <v>67037</v>
      </c>
      <c r="C534" s="57" t="s">
        <v>565</v>
      </c>
      <c r="D534" s="57" t="s">
        <v>387</v>
      </c>
      <c r="E534" s="44" t="s">
        <v>715</v>
      </c>
      <c r="F534" s="17">
        <f>_xlfn.XLOOKUP($B534,'[1]Jan-24'!$A:$A,'[1]Jan-24'!$H:$H,0)</f>
        <v>0</v>
      </c>
      <c r="G534" s="17">
        <f>_xlfn.XLOOKUP($B534,'[1]Feb-24'!$A:$A,'[1]Feb-24'!$H:$H,0)</f>
        <v>0</v>
      </c>
      <c r="H534" s="17">
        <f>_xlfn.XLOOKUP($B534,'[1]Mar-24'!$A:$A,'[1]Mar-24'!$H:$H,0)</f>
        <v>0</v>
      </c>
      <c r="I534" s="17">
        <f>_xlfn.XLOOKUP($B534,'[1]Apr-24'!$A:$A,'[1]Apr-24'!$H:$H,0)</f>
        <v>0</v>
      </c>
      <c r="J534" s="17">
        <f>_xlfn.XLOOKUP($B534,'[1]May-24'!$A:$A,'[1]May-24'!$H:$H,0)</f>
        <v>0</v>
      </c>
      <c r="K534" s="17">
        <f>_xlfn.XLOOKUP($B534,'[1]Jun-24'!$A:$A,'[1]Jun-24'!$H:$H,0)</f>
        <v>0</v>
      </c>
      <c r="L534" s="17">
        <f>_xlfn.XLOOKUP($B534,'[1]Jul-24'!$A:$A,'[1]Jul-24'!$H:$H,0)</f>
        <v>0</v>
      </c>
      <c r="M534" s="17">
        <f>_xlfn.XLOOKUP($B534,'[1]Aug-24'!$A:$A,'[1]Aug-24'!$H:$H,0)</f>
        <v>0</v>
      </c>
      <c r="N534" s="17">
        <f>_xlfn.XLOOKUP($B534,'[1]Sep-24'!$A:$A,'[1]Sep-24'!$H:$H,0)</f>
        <v>0</v>
      </c>
      <c r="O534" s="17">
        <f>_xlfn.XLOOKUP($B534,'[1]Oct-24'!$A:$A,'[1]Oct-24'!$H:$H,0)</f>
        <v>0</v>
      </c>
      <c r="P534" s="17">
        <f>_xlfn.XLOOKUP($B534,'[1]Nov-24'!$A:$A,'[1]Nov-24'!$H:$H,0)</f>
        <v>0</v>
      </c>
      <c r="Q534" s="17">
        <f>_xlfn.XLOOKUP($B534,'[1]Dec-24'!$A:$A,'[1]Dec-24'!$H:$H,0)</f>
        <v>0</v>
      </c>
      <c r="R534" s="17">
        <f>_xlfn.XLOOKUP($B534,'[1]Jan-25'!$A:$A,'[1]Jan-25'!$H:$H,0)</f>
        <v>0</v>
      </c>
      <c r="S534" s="17">
        <f>_xlfn.XLOOKUP($B534,'[1]Feb-25'!$A:$A,'[1]Feb-25'!$H:$H,0)</f>
        <v>0</v>
      </c>
      <c r="T534" s="17">
        <f>_xlfn.XLOOKUP($B534,'[1]Mar-25'!$A:$A,'[1]Mar-25'!$H:$H,0)</f>
        <v>0</v>
      </c>
      <c r="U534" s="17">
        <f>_xlfn.XLOOKUP($B534,'[1]Apr-25'!$A:$A,'[1]Apr-25'!$H:$H,0)</f>
        <v>0</v>
      </c>
      <c r="V534" s="17">
        <f>_xlfn.XLOOKUP($B534,'[1]May-25'!$A:$A,'[1]May-25'!$H:$H,0)</f>
        <v>0</v>
      </c>
      <c r="W534" s="17">
        <f>_xlfn.XLOOKUP($B534,'[1]Jun-25'!$A:$A,'[1]Jun-25'!$H:$H,0)</f>
        <v>0</v>
      </c>
      <c r="X534" s="17">
        <f>_xlfn.XLOOKUP($B534,'[1]Jul-25'!$A:$A,'[1]Jul-25'!$H:$H,0)</f>
        <v>0</v>
      </c>
      <c r="Y534" s="17">
        <f>_xlfn.XLOOKUP($B534,'[1]Aug-25'!$A:$A,'[1]Aug-25'!$H:$H,0)</f>
        <v>0</v>
      </c>
      <c r="Z534" s="17">
        <f>_xlfn.XLOOKUP($B534,'[1]Sep-25'!$A:$A,'[1]Sep-25'!$H:$H,0)</f>
        <v>0</v>
      </c>
      <c r="AA534" s="17">
        <f>_xlfn.XLOOKUP($B534,'[1]Oct-25'!$A:$A,'[1]Oct-25'!$H:$H,0)</f>
        <v>0</v>
      </c>
      <c r="AB534" s="17">
        <f>_xlfn.XLOOKUP($B534,'[1]Nov-25'!$A:$A,'[1]Nov-25'!$H:$H,0)</f>
        <v>0</v>
      </c>
      <c r="AC534" s="17">
        <f>_xlfn.XLOOKUP($B534,'[1]Dec-25'!$A:$A,'[1]Dec-25'!$H:$H,0)</f>
        <v>0</v>
      </c>
      <c r="AD534" s="17">
        <f>_xlfn.XLOOKUP($B534,'[1]Jan-26'!$A:$A,'[1]Jan-26'!$H:$H,0)</f>
        <v>0</v>
      </c>
      <c r="AE534" s="17">
        <f>_xlfn.XLOOKUP($B534,'[1]Feb-26'!$A:$A,'[1]Feb-26'!$H:$H,0)</f>
        <v>0</v>
      </c>
      <c r="AF534" s="17">
        <f>_xlfn.XLOOKUP($B534,'[1]Mar-26'!$A:$A,'[1]Mar-26'!$H:$H,0)</f>
        <v>0</v>
      </c>
      <c r="AG534" s="17">
        <f>_xlfn.XLOOKUP($B534,'[1]Apr-26'!$A:$A,'[1]Apr-26'!$H:$H,0)</f>
        <v>0</v>
      </c>
    </row>
    <row r="535" spans="1:33" x14ac:dyDescent="0.2">
      <c r="A535" s="58">
        <v>67038</v>
      </c>
      <c r="B535" s="56" t="str">
        <f t="shared" si="14"/>
        <v>67038</v>
      </c>
      <c r="C535" s="57" t="s">
        <v>549</v>
      </c>
      <c r="D535" s="57" t="s">
        <v>387</v>
      </c>
      <c r="E535" s="44" t="s">
        <v>716</v>
      </c>
      <c r="F535" s="17">
        <f>_xlfn.XLOOKUP($B535,'[1]Jan-24'!$A:$A,'[1]Jan-24'!$H:$H,0)</f>
        <v>0</v>
      </c>
      <c r="G535" s="17">
        <f>_xlfn.XLOOKUP($B535,'[1]Feb-24'!$A:$A,'[1]Feb-24'!$H:$H,0)</f>
        <v>0</v>
      </c>
      <c r="H535" s="17">
        <f>_xlfn.XLOOKUP($B535,'[1]Mar-24'!$A:$A,'[1]Mar-24'!$H:$H,0)</f>
        <v>0</v>
      </c>
      <c r="I535" s="17">
        <f>_xlfn.XLOOKUP($B535,'[1]Apr-24'!$A:$A,'[1]Apr-24'!$H:$H,0)</f>
        <v>0</v>
      </c>
      <c r="J535" s="17">
        <f>_xlfn.XLOOKUP($B535,'[1]May-24'!$A:$A,'[1]May-24'!$H:$H,0)</f>
        <v>0</v>
      </c>
      <c r="K535" s="17">
        <f>_xlfn.XLOOKUP($B535,'[1]Jun-24'!$A:$A,'[1]Jun-24'!$H:$H,0)</f>
        <v>0</v>
      </c>
      <c r="L535" s="17">
        <f>_xlfn.XLOOKUP($B535,'[1]Jul-24'!$A:$A,'[1]Jul-24'!$H:$H,0)</f>
        <v>0</v>
      </c>
      <c r="M535" s="17">
        <f>_xlfn.XLOOKUP($B535,'[1]Aug-24'!$A:$A,'[1]Aug-24'!$H:$H,0)</f>
        <v>0</v>
      </c>
      <c r="N535" s="17">
        <f>_xlfn.XLOOKUP($B535,'[1]Sep-24'!$A:$A,'[1]Sep-24'!$H:$H,0)</f>
        <v>0</v>
      </c>
      <c r="O535" s="17">
        <f>_xlfn.XLOOKUP($B535,'[1]Oct-24'!$A:$A,'[1]Oct-24'!$H:$H,0)</f>
        <v>0</v>
      </c>
      <c r="P535" s="17">
        <f>_xlfn.XLOOKUP($B535,'[1]Nov-24'!$A:$A,'[1]Nov-24'!$H:$H,0)</f>
        <v>0</v>
      </c>
      <c r="Q535" s="17">
        <f>_xlfn.XLOOKUP($B535,'[1]Dec-24'!$A:$A,'[1]Dec-24'!$H:$H,0)</f>
        <v>0</v>
      </c>
      <c r="R535" s="17">
        <f>_xlfn.XLOOKUP($B535,'[1]Jan-25'!$A:$A,'[1]Jan-25'!$H:$H,0)</f>
        <v>0</v>
      </c>
      <c r="S535" s="17">
        <f>_xlfn.XLOOKUP($B535,'[1]Feb-25'!$A:$A,'[1]Feb-25'!$H:$H,0)</f>
        <v>0</v>
      </c>
      <c r="T535" s="17">
        <f>_xlfn.XLOOKUP($B535,'[1]Mar-25'!$A:$A,'[1]Mar-25'!$H:$H,0)</f>
        <v>0</v>
      </c>
      <c r="U535" s="17">
        <f>_xlfn.XLOOKUP($B535,'[1]Apr-25'!$A:$A,'[1]Apr-25'!$H:$H,0)</f>
        <v>0</v>
      </c>
      <c r="V535" s="17">
        <f>_xlfn.XLOOKUP($B535,'[1]May-25'!$A:$A,'[1]May-25'!$H:$H,0)</f>
        <v>0</v>
      </c>
      <c r="W535" s="17">
        <f>_xlfn.XLOOKUP($B535,'[1]Jun-25'!$A:$A,'[1]Jun-25'!$H:$H,0)</f>
        <v>0</v>
      </c>
      <c r="X535" s="17">
        <f>_xlfn.XLOOKUP($B535,'[1]Jul-25'!$A:$A,'[1]Jul-25'!$H:$H,0)</f>
        <v>0</v>
      </c>
      <c r="Y535" s="17">
        <f>_xlfn.XLOOKUP($B535,'[1]Aug-25'!$A:$A,'[1]Aug-25'!$H:$H,0)</f>
        <v>0</v>
      </c>
      <c r="Z535" s="17">
        <f>_xlfn.XLOOKUP($B535,'[1]Sep-25'!$A:$A,'[1]Sep-25'!$H:$H,0)</f>
        <v>0</v>
      </c>
      <c r="AA535" s="17">
        <f>_xlfn.XLOOKUP($B535,'[1]Oct-25'!$A:$A,'[1]Oct-25'!$H:$H,0)</f>
        <v>0</v>
      </c>
      <c r="AB535" s="17">
        <f>_xlfn.XLOOKUP($B535,'[1]Nov-25'!$A:$A,'[1]Nov-25'!$H:$H,0)</f>
        <v>0</v>
      </c>
      <c r="AC535" s="17">
        <f>_xlfn.XLOOKUP($B535,'[1]Dec-25'!$A:$A,'[1]Dec-25'!$H:$H,0)</f>
        <v>0</v>
      </c>
      <c r="AD535" s="17">
        <f>_xlfn.XLOOKUP($B535,'[1]Jan-26'!$A:$A,'[1]Jan-26'!$H:$H,0)</f>
        <v>0</v>
      </c>
      <c r="AE535" s="17">
        <f>_xlfn.XLOOKUP($B535,'[1]Feb-26'!$A:$A,'[1]Feb-26'!$H:$H,0)</f>
        <v>0</v>
      </c>
      <c r="AF535" s="17">
        <f>_xlfn.XLOOKUP($B535,'[1]Mar-26'!$A:$A,'[1]Mar-26'!$H:$H,0)</f>
        <v>0</v>
      </c>
      <c r="AG535" s="17">
        <f>_xlfn.XLOOKUP($B535,'[1]Apr-26'!$A:$A,'[1]Apr-26'!$H:$H,0)</f>
        <v>0</v>
      </c>
    </row>
    <row r="536" spans="1:33" x14ac:dyDescent="0.2">
      <c r="A536" s="58">
        <v>67039</v>
      </c>
      <c r="B536" s="56" t="str">
        <f t="shared" si="14"/>
        <v>67039</v>
      </c>
      <c r="C536" s="57" t="s">
        <v>389</v>
      </c>
      <c r="D536" s="57" t="s">
        <v>387</v>
      </c>
      <c r="E536" s="44" t="s">
        <v>717</v>
      </c>
      <c r="F536" s="17">
        <f>_xlfn.XLOOKUP($B536,'[1]Jan-24'!$A:$A,'[1]Jan-24'!$H:$H,0)</f>
        <v>0</v>
      </c>
      <c r="G536" s="17">
        <f>_xlfn.XLOOKUP($B536,'[1]Feb-24'!$A:$A,'[1]Feb-24'!$H:$H,0)</f>
        <v>0</v>
      </c>
      <c r="H536" s="17">
        <f>_xlfn.XLOOKUP($B536,'[1]Mar-24'!$A:$A,'[1]Mar-24'!$H:$H,0)</f>
        <v>0</v>
      </c>
      <c r="I536" s="17">
        <f>_xlfn.XLOOKUP($B536,'[1]Apr-24'!$A:$A,'[1]Apr-24'!$H:$H,0)</f>
        <v>0</v>
      </c>
      <c r="J536" s="17">
        <f>_xlfn.XLOOKUP($B536,'[1]May-24'!$A:$A,'[1]May-24'!$H:$H,0)</f>
        <v>0</v>
      </c>
      <c r="K536" s="17">
        <f>_xlfn.XLOOKUP($B536,'[1]Jun-24'!$A:$A,'[1]Jun-24'!$H:$H,0)</f>
        <v>0</v>
      </c>
      <c r="L536" s="17">
        <f>_xlfn.XLOOKUP($B536,'[1]Jul-24'!$A:$A,'[1]Jul-24'!$H:$H,0)</f>
        <v>0</v>
      </c>
      <c r="M536" s="17">
        <f>_xlfn.XLOOKUP($B536,'[1]Aug-24'!$A:$A,'[1]Aug-24'!$H:$H,0)</f>
        <v>0</v>
      </c>
      <c r="N536" s="17">
        <f>_xlfn.XLOOKUP($B536,'[1]Sep-24'!$A:$A,'[1]Sep-24'!$H:$H,0)</f>
        <v>0</v>
      </c>
      <c r="O536" s="17">
        <f>_xlfn.XLOOKUP($B536,'[1]Oct-24'!$A:$A,'[1]Oct-24'!$H:$H,0)</f>
        <v>0</v>
      </c>
      <c r="P536" s="17">
        <f>_xlfn.XLOOKUP($B536,'[1]Nov-24'!$A:$A,'[1]Nov-24'!$H:$H,0)</f>
        <v>0</v>
      </c>
      <c r="Q536" s="17">
        <f>_xlfn.XLOOKUP($B536,'[1]Dec-24'!$A:$A,'[1]Dec-24'!$H:$H,0)</f>
        <v>0</v>
      </c>
      <c r="R536" s="17">
        <f>_xlfn.XLOOKUP($B536,'[1]Jan-25'!$A:$A,'[1]Jan-25'!$H:$H,0)</f>
        <v>0</v>
      </c>
      <c r="S536" s="17">
        <f>_xlfn.XLOOKUP($B536,'[1]Feb-25'!$A:$A,'[1]Feb-25'!$H:$H,0)</f>
        <v>0</v>
      </c>
      <c r="T536" s="17">
        <f>_xlfn.XLOOKUP($B536,'[1]Mar-25'!$A:$A,'[1]Mar-25'!$H:$H,0)</f>
        <v>0</v>
      </c>
      <c r="U536" s="17">
        <f>_xlfn.XLOOKUP($B536,'[1]Apr-25'!$A:$A,'[1]Apr-25'!$H:$H,0)</f>
        <v>0</v>
      </c>
      <c r="V536" s="17">
        <f>_xlfn.XLOOKUP($B536,'[1]May-25'!$A:$A,'[1]May-25'!$H:$H,0)</f>
        <v>0</v>
      </c>
      <c r="W536" s="17">
        <f>_xlfn.XLOOKUP($B536,'[1]Jun-25'!$A:$A,'[1]Jun-25'!$H:$H,0)</f>
        <v>0</v>
      </c>
      <c r="X536" s="17">
        <f>_xlfn.XLOOKUP($B536,'[1]Jul-25'!$A:$A,'[1]Jul-25'!$H:$H,0)</f>
        <v>0</v>
      </c>
      <c r="Y536" s="17">
        <f>_xlfn.XLOOKUP($B536,'[1]Aug-25'!$A:$A,'[1]Aug-25'!$H:$H,0)</f>
        <v>0</v>
      </c>
      <c r="Z536" s="17">
        <f>_xlfn.XLOOKUP($B536,'[1]Sep-25'!$A:$A,'[1]Sep-25'!$H:$H,0)</f>
        <v>0</v>
      </c>
      <c r="AA536" s="17">
        <f>_xlfn.XLOOKUP($B536,'[1]Oct-25'!$A:$A,'[1]Oct-25'!$H:$H,0)</f>
        <v>0</v>
      </c>
      <c r="AB536" s="17">
        <f>_xlfn.XLOOKUP($B536,'[1]Nov-25'!$A:$A,'[1]Nov-25'!$H:$H,0)</f>
        <v>0</v>
      </c>
      <c r="AC536" s="17">
        <f>_xlfn.XLOOKUP($B536,'[1]Dec-25'!$A:$A,'[1]Dec-25'!$H:$H,0)</f>
        <v>0</v>
      </c>
      <c r="AD536" s="17">
        <f>_xlfn.XLOOKUP($B536,'[1]Jan-26'!$A:$A,'[1]Jan-26'!$H:$H,0)</f>
        <v>0</v>
      </c>
      <c r="AE536" s="17">
        <f>_xlfn.XLOOKUP($B536,'[1]Feb-26'!$A:$A,'[1]Feb-26'!$H:$H,0)</f>
        <v>0</v>
      </c>
      <c r="AF536" s="17">
        <f>_xlfn.XLOOKUP($B536,'[1]Mar-26'!$A:$A,'[1]Mar-26'!$H:$H,0)</f>
        <v>0</v>
      </c>
      <c r="AG536" s="17">
        <f>_xlfn.XLOOKUP($B536,'[1]Apr-26'!$A:$A,'[1]Apr-26'!$H:$H,0)</f>
        <v>0</v>
      </c>
    </row>
    <row r="537" spans="1:33" x14ac:dyDescent="0.2">
      <c r="A537" s="58">
        <v>67040</v>
      </c>
      <c r="B537" s="56" t="str">
        <f t="shared" si="14"/>
        <v>67040</v>
      </c>
      <c r="C537" s="57" t="s">
        <v>572</v>
      </c>
      <c r="D537" s="57" t="s">
        <v>387</v>
      </c>
      <c r="E537" s="44" t="s">
        <v>718</v>
      </c>
      <c r="F537" s="17">
        <f>_xlfn.XLOOKUP($B537,'[1]Jan-24'!$A:$A,'[1]Jan-24'!$H:$H,0)</f>
        <v>0</v>
      </c>
      <c r="G537" s="17">
        <f>_xlfn.XLOOKUP($B537,'[1]Feb-24'!$A:$A,'[1]Feb-24'!$H:$H,0)</f>
        <v>0</v>
      </c>
      <c r="H537" s="17">
        <f>_xlfn.XLOOKUP($B537,'[1]Mar-24'!$A:$A,'[1]Mar-24'!$H:$H,0)</f>
        <v>0</v>
      </c>
      <c r="I537" s="17">
        <f>_xlfn.XLOOKUP($B537,'[1]Apr-24'!$A:$A,'[1]Apr-24'!$H:$H,0)</f>
        <v>0</v>
      </c>
      <c r="J537" s="17">
        <f>_xlfn.XLOOKUP($B537,'[1]May-24'!$A:$A,'[1]May-24'!$H:$H,0)</f>
        <v>0</v>
      </c>
      <c r="K537" s="17">
        <f>_xlfn.XLOOKUP($B537,'[1]Jun-24'!$A:$A,'[1]Jun-24'!$H:$H,0)</f>
        <v>0</v>
      </c>
      <c r="L537" s="17">
        <f>_xlfn.XLOOKUP($B537,'[1]Jul-24'!$A:$A,'[1]Jul-24'!$H:$H,0)</f>
        <v>0</v>
      </c>
      <c r="M537" s="17">
        <f>_xlfn.XLOOKUP($B537,'[1]Aug-24'!$A:$A,'[1]Aug-24'!$H:$H,0)</f>
        <v>0</v>
      </c>
      <c r="N537" s="17">
        <f>_xlfn.XLOOKUP($B537,'[1]Sep-24'!$A:$A,'[1]Sep-24'!$H:$H,0)</f>
        <v>0</v>
      </c>
      <c r="O537" s="17">
        <f>_xlfn.XLOOKUP($B537,'[1]Oct-24'!$A:$A,'[1]Oct-24'!$H:$H,0)</f>
        <v>0</v>
      </c>
      <c r="P537" s="17">
        <f>_xlfn.XLOOKUP($B537,'[1]Nov-24'!$A:$A,'[1]Nov-24'!$H:$H,0)</f>
        <v>0</v>
      </c>
      <c r="Q537" s="17">
        <f>_xlfn.XLOOKUP($B537,'[1]Dec-24'!$A:$A,'[1]Dec-24'!$H:$H,0)</f>
        <v>0</v>
      </c>
      <c r="R537" s="17">
        <f>_xlfn.XLOOKUP($B537,'[1]Jan-25'!$A:$A,'[1]Jan-25'!$H:$H,0)</f>
        <v>0</v>
      </c>
      <c r="S537" s="17">
        <f>_xlfn.XLOOKUP($B537,'[1]Feb-25'!$A:$A,'[1]Feb-25'!$H:$H,0)</f>
        <v>0</v>
      </c>
      <c r="T537" s="17">
        <f>_xlfn.XLOOKUP($B537,'[1]Mar-25'!$A:$A,'[1]Mar-25'!$H:$H,0)</f>
        <v>0</v>
      </c>
      <c r="U537" s="17">
        <f>_xlfn.XLOOKUP($B537,'[1]Apr-25'!$A:$A,'[1]Apr-25'!$H:$H,0)</f>
        <v>0</v>
      </c>
      <c r="V537" s="17">
        <f>_xlfn.XLOOKUP($B537,'[1]May-25'!$A:$A,'[1]May-25'!$H:$H,0)</f>
        <v>0</v>
      </c>
      <c r="W537" s="17">
        <f>_xlfn.XLOOKUP($B537,'[1]Jun-25'!$A:$A,'[1]Jun-25'!$H:$H,0)</f>
        <v>0</v>
      </c>
      <c r="X537" s="17">
        <f>_xlfn.XLOOKUP($B537,'[1]Jul-25'!$A:$A,'[1]Jul-25'!$H:$H,0)</f>
        <v>0</v>
      </c>
      <c r="Y537" s="17">
        <f>_xlfn.XLOOKUP($B537,'[1]Aug-25'!$A:$A,'[1]Aug-25'!$H:$H,0)</f>
        <v>0</v>
      </c>
      <c r="Z537" s="17">
        <f>_xlfn.XLOOKUP($B537,'[1]Sep-25'!$A:$A,'[1]Sep-25'!$H:$H,0)</f>
        <v>0</v>
      </c>
      <c r="AA537" s="17">
        <f>_xlfn.XLOOKUP($B537,'[1]Oct-25'!$A:$A,'[1]Oct-25'!$H:$H,0)</f>
        <v>0</v>
      </c>
      <c r="AB537" s="17">
        <f>_xlfn.XLOOKUP($B537,'[1]Nov-25'!$A:$A,'[1]Nov-25'!$H:$H,0)</f>
        <v>0</v>
      </c>
      <c r="AC537" s="17">
        <f>_xlfn.XLOOKUP($B537,'[1]Dec-25'!$A:$A,'[1]Dec-25'!$H:$H,0)</f>
        <v>0</v>
      </c>
      <c r="AD537" s="17">
        <f>_xlfn.XLOOKUP($B537,'[1]Jan-26'!$A:$A,'[1]Jan-26'!$H:$H,0)</f>
        <v>0</v>
      </c>
      <c r="AE537" s="17">
        <f>_xlfn.XLOOKUP($B537,'[1]Feb-26'!$A:$A,'[1]Feb-26'!$H:$H,0)</f>
        <v>0</v>
      </c>
      <c r="AF537" s="17">
        <f>_xlfn.XLOOKUP($B537,'[1]Mar-26'!$A:$A,'[1]Mar-26'!$H:$H,0)</f>
        <v>0</v>
      </c>
      <c r="AG537" s="17">
        <f>_xlfn.XLOOKUP($B537,'[1]Apr-26'!$A:$A,'[1]Apr-26'!$H:$H,0)</f>
        <v>0</v>
      </c>
    </row>
    <row r="538" spans="1:33" x14ac:dyDescent="0.2">
      <c r="A538" s="58">
        <v>67041</v>
      </c>
      <c r="B538" s="56" t="str">
        <f t="shared" si="14"/>
        <v>67041</v>
      </c>
      <c r="C538" s="57" t="s">
        <v>565</v>
      </c>
      <c r="D538" s="57" t="s">
        <v>387</v>
      </c>
      <c r="E538" s="44" t="s">
        <v>719</v>
      </c>
      <c r="F538" s="17">
        <f>_xlfn.XLOOKUP($B538,'[1]Jan-24'!$A:$A,'[1]Jan-24'!$H:$H,0)</f>
        <v>0</v>
      </c>
      <c r="G538" s="17">
        <f>_xlfn.XLOOKUP($B538,'[1]Feb-24'!$A:$A,'[1]Feb-24'!$H:$H,0)</f>
        <v>0</v>
      </c>
      <c r="H538" s="17">
        <f>_xlfn.XLOOKUP($B538,'[1]Mar-24'!$A:$A,'[1]Mar-24'!$H:$H,0)</f>
        <v>0</v>
      </c>
      <c r="I538" s="17">
        <f>_xlfn.XLOOKUP($B538,'[1]Apr-24'!$A:$A,'[1]Apr-24'!$H:$H,0)</f>
        <v>0</v>
      </c>
      <c r="J538" s="17">
        <f>_xlfn.XLOOKUP($B538,'[1]May-24'!$A:$A,'[1]May-24'!$H:$H,0)</f>
        <v>0</v>
      </c>
      <c r="K538" s="17">
        <f>_xlfn.XLOOKUP($B538,'[1]Jun-24'!$A:$A,'[1]Jun-24'!$H:$H,0)</f>
        <v>0</v>
      </c>
      <c r="L538" s="17">
        <f>_xlfn.XLOOKUP($B538,'[1]Jul-24'!$A:$A,'[1]Jul-24'!$H:$H,0)</f>
        <v>0</v>
      </c>
      <c r="M538" s="17">
        <f>_xlfn.XLOOKUP($B538,'[1]Aug-24'!$A:$A,'[1]Aug-24'!$H:$H,0)</f>
        <v>0</v>
      </c>
      <c r="N538" s="17">
        <f>_xlfn.XLOOKUP($B538,'[1]Sep-24'!$A:$A,'[1]Sep-24'!$H:$H,0)</f>
        <v>0</v>
      </c>
      <c r="O538" s="17">
        <f>_xlfn.XLOOKUP($B538,'[1]Oct-24'!$A:$A,'[1]Oct-24'!$H:$H,0)</f>
        <v>0</v>
      </c>
      <c r="P538" s="17">
        <f>_xlfn.XLOOKUP($B538,'[1]Nov-24'!$A:$A,'[1]Nov-24'!$H:$H,0)</f>
        <v>0</v>
      </c>
      <c r="Q538" s="17">
        <f>_xlfn.XLOOKUP($B538,'[1]Dec-24'!$A:$A,'[1]Dec-24'!$H:$H,0)</f>
        <v>0</v>
      </c>
      <c r="R538" s="17">
        <f>_xlfn.XLOOKUP($B538,'[1]Jan-25'!$A:$A,'[1]Jan-25'!$H:$H,0)</f>
        <v>0</v>
      </c>
      <c r="S538" s="17">
        <f>_xlfn.XLOOKUP($B538,'[1]Feb-25'!$A:$A,'[1]Feb-25'!$H:$H,0)</f>
        <v>0</v>
      </c>
      <c r="T538" s="17">
        <f>_xlfn.XLOOKUP($B538,'[1]Mar-25'!$A:$A,'[1]Mar-25'!$H:$H,0)</f>
        <v>0</v>
      </c>
      <c r="U538" s="17">
        <f>_xlfn.XLOOKUP($B538,'[1]Apr-25'!$A:$A,'[1]Apr-25'!$H:$H,0)</f>
        <v>0</v>
      </c>
      <c r="V538" s="17">
        <f>_xlfn.XLOOKUP($B538,'[1]May-25'!$A:$A,'[1]May-25'!$H:$H,0)</f>
        <v>0</v>
      </c>
      <c r="W538" s="17">
        <f>_xlfn.XLOOKUP($B538,'[1]Jun-25'!$A:$A,'[1]Jun-25'!$H:$H,0)</f>
        <v>0</v>
      </c>
      <c r="X538" s="17">
        <f>_xlfn.XLOOKUP($B538,'[1]Jul-25'!$A:$A,'[1]Jul-25'!$H:$H,0)</f>
        <v>0</v>
      </c>
      <c r="Y538" s="17">
        <f>_xlfn.XLOOKUP($B538,'[1]Aug-25'!$A:$A,'[1]Aug-25'!$H:$H,0)</f>
        <v>0</v>
      </c>
      <c r="Z538" s="17">
        <f>_xlfn.XLOOKUP($B538,'[1]Sep-25'!$A:$A,'[1]Sep-25'!$H:$H,0)</f>
        <v>0</v>
      </c>
      <c r="AA538" s="17">
        <f>_xlfn.XLOOKUP($B538,'[1]Oct-25'!$A:$A,'[1]Oct-25'!$H:$H,0)</f>
        <v>0</v>
      </c>
      <c r="AB538" s="17">
        <f>_xlfn.XLOOKUP($B538,'[1]Nov-25'!$A:$A,'[1]Nov-25'!$H:$H,0)</f>
        <v>0</v>
      </c>
      <c r="AC538" s="17">
        <f>_xlfn.XLOOKUP($B538,'[1]Dec-25'!$A:$A,'[1]Dec-25'!$H:$H,0)</f>
        <v>0</v>
      </c>
      <c r="AD538" s="17">
        <f>_xlfn.XLOOKUP($B538,'[1]Jan-26'!$A:$A,'[1]Jan-26'!$H:$H,0)</f>
        <v>0</v>
      </c>
      <c r="AE538" s="17">
        <f>_xlfn.XLOOKUP($B538,'[1]Feb-26'!$A:$A,'[1]Feb-26'!$H:$H,0)</f>
        <v>0</v>
      </c>
      <c r="AF538" s="17">
        <f>_xlfn.XLOOKUP($B538,'[1]Mar-26'!$A:$A,'[1]Mar-26'!$H:$H,0)</f>
        <v>0</v>
      </c>
      <c r="AG538" s="17">
        <f>_xlfn.XLOOKUP($B538,'[1]Apr-26'!$A:$A,'[1]Apr-26'!$H:$H,0)</f>
        <v>0</v>
      </c>
    </row>
    <row r="539" spans="1:33" x14ac:dyDescent="0.2">
      <c r="A539" s="58">
        <v>67042</v>
      </c>
      <c r="B539" s="56" t="str">
        <f t="shared" si="14"/>
        <v>67042</v>
      </c>
      <c r="C539" s="57" t="s">
        <v>389</v>
      </c>
      <c r="D539" s="57" t="s">
        <v>387</v>
      </c>
      <c r="E539" s="44" t="s">
        <v>720</v>
      </c>
      <c r="F539" s="17">
        <f>_xlfn.XLOOKUP($B539,'[1]Jan-24'!$A:$A,'[1]Jan-24'!$H:$H,0)</f>
        <v>0</v>
      </c>
      <c r="G539" s="17">
        <f>_xlfn.XLOOKUP($B539,'[1]Feb-24'!$A:$A,'[1]Feb-24'!$H:$H,0)</f>
        <v>0</v>
      </c>
      <c r="H539" s="17">
        <f>_xlfn.XLOOKUP($B539,'[1]Mar-24'!$A:$A,'[1]Mar-24'!$H:$H,0)</f>
        <v>0</v>
      </c>
      <c r="I539" s="17">
        <f>_xlfn.XLOOKUP($B539,'[1]Apr-24'!$A:$A,'[1]Apr-24'!$H:$H,0)</f>
        <v>0</v>
      </c>
      <c r="J539" s="17">
        <f>_xlfn.XLOOKUP($B539,'[1]May-24'!$A:$A,'[1]May-24'!$H:$H,0)</f>
        <v>0</v>
      </c>
      <c r="K539" s="17">
        <f>_xlfn.XLOOKUP($B539,'[1]Jun-24'!$A:$A,'[1]Jun-24'!$H:$H,0)</f>
        <v>0</v>
      </c>
      <c r="L539" s="17">
        <f>_xlfn.XLOOKUP($B539,'[1]Jul-24'!$A:$A,'[1]Jul-24'!$H:$H,0)</f>
        <v>0</v>
      </c>
      <c r="M539" s="17">
        <f>_xlfn.XLOOKUP($B539,'[1]Aug-24'!$A:$A,'[1]Aug-24'!$H:$H,0)</f>
        <v>0</v>
      </c>
      <c r="N539" s="17">
        <f>_xlfn.XLOOKUP($B539,'[1]Sep-24'!$A:$A,'[1]Sep-24'!$H:$H,0)</f>
        <v>0</v>
      </c>
      <c r="O539" s="17">
        <f>_xlfn.XLOOKUP($B539,'[1]Oct-24'!$A:$A,'[1]Oct-24'!$H:$H,0)</f>
        <v>0</v>
      </c>
      <c r="P539" s="17">
        <f>_xlfn.XLOOKUP($B539,'[1]Nov-24'!$A:$A,'[1]Nov-24'!$H:$H,0)</f>
        <v>0</v>
      </c>
      <c r="Q539" s="17">
        <f>_xlfn.XLOOKUP($B539,'[1]Dec-24'!$A:$A,'[1]Dec-24'!$H:$H,0)</f>
        <v>0</v>
      </c>
      <c r="R539" s="17">
        <f>_xlfn.XLOOKUP($B539,'[1]Jan-25'!$A:$A,'[1]Jan-25'!$H:$H,0)</f>
        <v>0</v>
      </c>
      <c r="S539" s="17">
        <f>_xlfn.XLOOKUP($B539,'[1]Feb-25'!$A:$A,'[1]Feb-25'!$H:$H,0)</f>
        <v>0</v>
      </c>
      <c r="T539" s="17">
        <f>_xlfn.XLOOKUP($B539,'[1]Mar-25'!$A:$A,'[1]Mar-25'!$H:$H,0)</f>
        <v>0</v>
      </c>
      <c r="U539" s="17">
        <f>_xlfn.XLOOKUP($B539,'[1]Apr-25'!$A:$A,'[1]Apr-25'!$H:$H,0)</f>
        <v>0</v>
      </c>
      <c r="V539" s="17">
        <f>_xlfn.XLOOKUP($B539,'[1]May-25'!$A:$A,'[1]May-25'!$H:$H,0)</f>
        <v>0</v>
      </c>
      <c r="W539" s="17">
        <f>_xlfn.XLOOKUP($B539,'[1]Jun-25'!$A:$A,'[1]Jun-25'!$H:$H,0)</f>
        <v>0</v>
      </c>
      <c r="X539" s="17">
        <f>_xlfn.XLOOKUP($B539,'[1]Jul-25'!$A:$A,'[1]Jul-25'!$H:$H,0)</f>
        <v>0</v>
      </c>
      <c r="Y539" s="17">
        <f>_xlfn.XLOOKUP($B539,'[1]Aug-25'!$A:$A,'[1]Aug-25'!$H:$H,0)</f>
        <v>0</v>
      </c>
      <c r="Z539" s="17">
        <f>_xlfn.XLOOKUP($B539,'[1]Sep-25'!$A:$A,'[1]Sep-25'!$H:$H,0)</f>
        <v>0</v>
      </c>
      <c r="AA539" s="17">
        <f>_xlfn.XLOOKUP($B539,'[1]Oct-25'!$A:$A,'[1]Oct-25'!$H:$H,0)</f>
        <v>0</v>
      </c>
      <c r="AB539" s="17">
        <f>_xlfn.XLOOKUP($B539,'[1]Nov-25'!$A:$A,'[1]Nov-25'!$H:$H,0)</f>
        <v>0</v>
      </c>
      <c r="AC539" s="17">
        <f>_xlfn.XLOOKUP($B539,'[1]Dec-25'!$A:$A,'[1]Dec-25'!$H:$H,0)</f>
        <v>0</v>
      </c>
      <c r="AD539" s="17">
        <f>_xlfn.XLOOKUP($B539,'[1]Jan-26'!$A:$A,'[1]Jan-26'!$H:$H,0)</f>
        <v>0</v>
      </c>
      <c r="AE539" s="17">
        <f>_xlfn.XLOOKUP($B539,'[1]Feb-26'!$A:$A,'[1]Feb-26'!$H:$H,0)</f>
        <v>0</v>
      </c>
      <c r="AF539" s="17">
        <f>_xlfn.XLOOKUP($B539,'[1]Mar-26'!$A:$A,'[1]Mar-26'!$H:$H,0)</f>
        <v>0</v>
      </c>
      <c r="AG539" s="17">
        <f>_xlfn.XLOOKUP($B539,'[1]Apr-26'!$A:$A,'[1]Apr-26'!$H:$H,0)</f>
        <v>0</v>
      </c>
    </row>
    <row r="540" spans="1:33" x14ac:dyDescent="0.2">
      <c r="A540" s="58">
        <v>67043</v>
      </c>
      <c r="B540" s="56" t="str">
        <f t="shared" si="14"/>
        <v>67043</v>
      </c>
      <c r="C540" s="57" t="s">
        <v>389</v>
      </c>
      <c r="D540" s="57" t="s">
        <v>387</v>
      </c>
      <c r="E540" s="44" t="s">
        <v>721</v>
      </c>
      <c r="F540" s="17">
        <f>_xlfn.XLOOKUP($B540,'[1]Jan-24'!$A:$A,'[1]Jan-24'!$H:$H,0)</f>
        <v>0</v>
      </c>
      <c r="G540" s="17">
        <f>_xlfn.XLOOKUP($B540,'[1]Feb-24'!$A:$A,'[1]Feb-24'!$H:$H,0)</f>
        <v>0</v>
      </c>
      <c r="H540" s="17">
        <f>_xlfn.XLOOKUP($B540,'[1]Mar-24'!$A:$A,'[1]Mar-24'!$H:$H,0)</f>
        <v>0</v>
      </c>
      <c r="I540" s="17">
        <f>_xlfn.XLOOKUP($B540,'[1]Apr-24'!$A:$A,'[1]Apr-24'!$H:$H,0)</f>
        <v>0</v>
      </c>
      <c r="J540" s="17">
        <f>_xlfn.XLOOKUP($B540,'[1]May-24'!$A:$A,'[1]May-24'!$H:$H,0)</f>
        <v>0</v>
      </c>
      <c r="K540" s="17">
        <f>_xlfn.XLOOKUP($B540,'[1]Jun-24'!$A:$A,'[1]Jun-24'!$H:$H,0)</f>
        <v>0</v>
      </c>
      <c r="L540" s="17">
        <f>_xlfn.XLOOKUP($B540,'[1]Jul-24'!$A:$A,'[1]Jul-24'!$H:$H,0)</f>
        <v>0</v>
      </c>
      <c r="M540" s="17">
        <f>_xlfn.XLOOKUP($B540,'[1]Aug-24'!$A:$A,'[1]Aug-24'!$H:$H,0)</f>
        <v>0</v>
      </c>
      <c r="N540" s="17">
        <f>_xlfn.XLOOKUP($B540,'[1]Sep-24'!$A:$A,'[1]Sep-24'!$H:$H,0)</f>
        <v>0</v>
      </c>
      <c r="O540" s="17">
        <f>_xlfn.XLOOKUP($B540,'[1]Oct-24'!$A:$A,'[1]Oct-24'!$H:$H,0)</f>
        <v>0</v>
      </c>
      <c r="P540" s="17">
        <f>_xlfn.XLOOKUP($B540,'[1]Nov-24'!$A:$A,'[1]Nov-24'!$H:$H,0)</f>
        <v>0</v>
      </c>
      <c r="Q540" s="17">
        <f>_xlfn.XLOOKUP($B540,'[1]Dec-24'!$A:$A,'[1]Dec-24'!$H:$H,0)</f>
        <v>0</v>
      </c>
      <c r="R540" s="17">
        <f>_xlfn.XLOOKUP($B540,'[1]Jan-25'!$A:$A,'[1]Jan-25'!$H:$H,0)</f>
        <v>0</v>
      </c>
      <c r="S540" s="17">
        <f>_xlfn.XLOOKUP($B540,'[1]Feb-25'!$A:$A,'[1]Feb-25'!$H:$H,0)</f>
        <v>0</v>
      </c>
      <c r="T540" s="17">
        <f>_xlfn.XLOOKUP($B540,'[1]Mar-25'!$A:$A,'[1]Mar-25'!$H:$H,0)</f>
        <v>0</v>
      </c>
      <c r="U540" s="17">
        <f>_xlfn.XLOOKUP($B540,'[1]Apr-25'!$A:$A,'[1]Apr-25'!$H:$H,0)</f>
        <v>0</v>
      </c>
      <c r="V540" s="17">
        <f>_xlfn.XLOOKUP($B540,'[1]May-25'!$A:$A,'[1]May-25'!$H:$H,0)</f>
        <v>0</v>
      </c>
      <c r="W540" s="17">
        <f>_xlfn.XLOOKUP($B540,'[1]Jun-25'!$A:$A,'[1]Jun-25'!$H:$H,0)</f>
        <v>0</v>
      </c>
      <c r="X540" s="17">
        <f>_xlfn.XLOOKUP($B540,'[1]Jul-25'!$A:$A,'[1]Jul-25'!$H:$H,0)</f>
        <v>0</v>
      </c>
      <c r="Y540" s="17">
        <f>_xlfn.XLOOKUP($B540,'[1]Aug-25'!$A:$A,'[1]Aug-25'!$H:$H,0)</f>
        <v>0</v>
      </c>
      <c r="Z540" s="17">
        <f>_xlfn.XLOOKUP($B540,'[1]Sep-25'!$A:$A,'[1]Sep-25'!$H:$H,0)</f>
        <v>0</v>
      </c>
      <c r="AA540" s="17">
        <f>_xlfn.XLOOKUP($B540,'[1]Oct-25'!$A:$A,'[1]Oct-25'!$H:$H,0)</f>
        <v>0</v>
      </c>
      <c r="AB540" s="17">
        <f>_xlfn.XLOOKUP($B540,'[1]Nov-25'!$A:$A,'[1]Nov-25'!$H:$H,0)</f>
        <v>0</v>
      </c>
      <c r="AC540" s="17">
        <f>_xlfn.XLOOKUP($B540,'[1]Dec-25'!$A:$A,'[1]Dec-25'!$H:$H,0)</f>
        <v>0</v>
      </c>
      <c r="AD540" s="17">
        <f>_xlfn.XLOOKUP($B540,'[1]Jan-26'!$A:$A,'[1]Jan-26'!$H:$H,0)</f>
        <v>0</v>
      </c>
      <c r="AE540" s="17">
        <f>_xlfn.XLOOKUP($B540,'[1]Feb-26'!$A:$A,'[1]Feb-26'!$H:$H,0)</f>
        <v>0</v>
      </c>
      <c r="AF540" s="17">
        <f>_xlfn.XLOOKUP($B540,'[1]Mar-26'!$A:$A,'[1]Mar-26'!$H:$H,0)</f>
        <v>0</v>
      </c>
      <c r="AG540" s="17">
        <f>_xlfn.XLOOKUP($B540,'[1]Apr-26'!$A:$A,'[1]Apr-26'!$H:$H,0)</f>
        <v>0</v>
      </c>
    </row>
    <row r="541" spans="1:33" x14ac:dyDescent="0.2">
      <c r="A541" s="58">
        <v>67044</v>
      </c>
      <c r="B541" s="56" t="str">
        <f t="shared" si="14"/>
        <v>67044</v>
      </c>
      <c r="C541" s="57" t="s">
        <v>389</v>
      </c>
      <c r="D541" s="57" t="s">
        <v>387</v>
      </c>
      <c r="E541" s="44" t="s">
        <v>722</v>
      </c>
      <c r="F541" s="17">
        <f>_xlfn.XLOOKUP($B541,'[1]Jan-24'!$A:$A,'[1]Jan-24'!$H:$H,0)</f>
        <v>0</v>
      </c>
      <c r="G541" s="17">
        <f>_xlfn.XLOOKUP($B541,'[1]Feb-24'!$A:$A,'[1]Feb-24'!$H:$H,0)</f>
        <v>0</v>
      </c>
      <c r="H541" s="17">
        <f>_xlfn.XLOOKUP($B541,'[1]Mar-24'!$A:$A,'[1]Mar-24'!$H:$H,0)</f>
        <v>0</v>
      </c>
      <c r="I541" s="17">
        <f>_xlfn.XLOOKUP($B541,'[1]Apr-24'!$A:$A,'[1]Apr-24'!$H:$H,0)</f>
        <v>0</v>
      </c>
      <c r="J541" s="17">
        <f>_xlfn.XLOOKUP($B541,'[1]May-24'!$A:$A,'[1]May-24'!$H:$H,0)</f>
        <v>0</v>
      </c>
      <c r="K541" s="17">
        <f>_xlfn.XLOOKUP($B541,'[1]Jun-24'!$A:$A,'[1]Jun-24'!$H:$H,0)</f>
        <v>0</v>
      </c>
      <c r="L541" s="17">
        <f>_xlfn.XLOOKUP($B541,'[1]Jul-24'!$A:$A,'[1]Jul-24'!$H:$H,0)</f>
        <v>0</v>
      </c>
      <c r="M541" s="17">
        <f>_xlfn.XLOOKUP($B541,'[1]Aug-24'!$A:$A,'[1]Aug-24'!$H:$H,0)</f>
        <v>0</v>
      </c>
      <c r="N541" s="17">
        <f>_xlfn.XLOOKUP($B541,'[1]Sep-24'!$A:$A,'[1]Sep-24'!$H:$H,0)</f>
        <v>0</v>
      </c>
      <c r="O541" s="17">
        <f>_xlfn.XLOOKUP($B541,'[1]Oct-24'!$A:$A,'[1]Oct-24'!$H:$H,0)</f>
        <v>0</v>
      </c>
      <c r="P541" s="17">
        <f>_xlfn.XLOOKUP($B541,'[1]Nov-24'!$A:$A,'[1]Nov-24'!$H:$H,0)</f>
        <v>0</v>
      </c>
      <c r="Q541" s="17">
        <f>_xlfn.XLOOKUP($B541,'[1]Dec-24'!$A:$A,'[1]Dec-24'!$H:$H,0)</f>
        <v>0</v>
      </c>
      <c r="R541" s="17">
        <f>_xlfn.XLOOKUP($B541,'[1]Jan-25'!$A:$A,'[1]Jan-25'!$H:$H,0)</f>
        <v>0</v>
      </c>
      <c r="S541" s="17">
        <f>_xlfn.XLOOKUP($B541,'[1]Feb-25'!$A:$A,'[1]Feb-25'!$H:$H,0)</f>
        <v>0</v>
      </c>
      <c r="T541" s="17">
        <f>_xlfn.XLOOKUP($B541,'[1]Mar-25'!$A:$A,'[1]Mar-25'!$H:$H,0)</f>
        <v>0</v>
      </c>
      <c r="U541" s="17">
        <f>_xlfn.XLOOKUP($B541,'[1]Apr-25'!$A:$A,'[1]Apr-25'!$H:$H,0)</f>
        <v>0</v>
      </c>
      <c r="V541" s="17">
        <f>_xlfn.XLOOKUP($B541,'[1]May-25'!$A:$A,'[1]May-25'!$H:$H,0)</f>
        <v>0</v>
      </c>
      <c r="W541" s="17">
        <f>_xlfn.XLOOKUP($B541,'[1]Jun-25'!$A:$A,'[1]Jun-25'!$H:$H,0)</f>
        <v>0</v>
      </c>
      <c r="X541" s="17">
        <f>_xlfn.XLOOKUP($B541,'[1]Jul-25'!$A:$A,'[1]Jul-25'!$H:$H,0)</f>
        <v>0</v>
      </c>
      <c r="Y541" s="17">
        <f>_xlfn.XLOOKUP($B541,'[1]Aug-25'!$A:$A,'[1]Aug-25'!$H:$H,0)</f>
        <v>0</v>
      </c>
      <c r="Z541" s="17">
        <f>_xlfn.XLOOKUP($B541,'[1]Sep-25'!$A:$A,'[1]Sep-25'!$H:$H,0)</f>
        <v>0</v>
      </c>
      <c r="AA541" s="17">
        <f>_xlfn.XLOOKUP($B541,'[1]Oct-25'!$A:$A,'[1]Oct-25'!$H:$H,0)</f>
        <v>0</v>
      </c>
      <c r="AB541" s="17">
        <f>_xlfn.XLOOKUP($B541,'[1]Nov-25'!$A:$A,'[1]Nov-25'!$H:$H,0)</f>
        <v>0</v>
      </c>
      <c r="AC541" s="17">
        <f>_xlfn.XLOOKUP($B541,'[1]Dec-25'!$A:$A,'[1]Dec-25'!$H:$H,0)</f>
        <v>0</v>
      </c>
      <c r="AD541" s="17">
        <f>_xlfn.XLOOKUP($B541,'[1]Jan-26'!$A:$A,'[1]Jan-26'!$H:$H,0)</f>
        <v>0</v>
      </c>
      <c r="AE541" s="17">
        <f>_xlfn.XLOOKUP($B541,'[1]Feb-26'!$A:$A,'[1]Feb-26'!$H:$H,0)</f>
        <v>0</v>
      </c>
      <c r="AF541" s="17">
        <f>_xlfn.XLOOKUP($B541,'[1]Mar-26'!$A:$A,'[1]Mar-26'!$H:$H,0)</f>
        <v>0</v>
      </c>
      <c r="AG541" s="17">
        <f>_xlfn.XLOOKUP($B541,'[1]Apr-26'!$A:$A,'[1]Apr-26'!$H:$H,0)</f>
        <v>0</v>
      </c>
    </row>
    <row r="542" spans="1:33" x14ac:dyDescent="0.2">
      <c r="A542" s="58">
        <v>67045</v>
      </c>
      <c r="B542" s="56" t="str">
        <f t="shared" si="14"/>
        <v>67045</v>
      </c>
      <c r="C542" s="57" t="s">
        <v>389</v>
      </c>
      <c r="D542" s="57" t="s">
        <v>387</v>
      </c>
      <c r="E542" s="44" t="s">
        <v>723</v>
      </c>
      <c r="F542" s="17">
        <f>_xlfn.XLOOKUP($B542,'[1]Jan-24'!$A:$A,'[1]Jan-24'!$H:$H,0)</f>
        <v>0</v>
      </c>
      <c r="G542" s="17">
        <f>_xlfn.XLOOKUP($B542,'[1]Feb-24'!$A:$A,'[1]Feb-24'!$H:$H,0)</f>
        <v>0</v>
      </c>
      <c r="H542" s="17">
        <f>_xlfn.XLOOKUP($B542,'[1]Mar-24'!$A:$A,'[1]Mar-24'!$H:$H,0)</f>
        <v>0</v>
      </c>
      <c r="I542" s="17">
        <f>_xlfn.XLOOKUP($B542,'[1]Apr-24'!$A:$A,'[1]Apr-24'!$H:$H,0)</f>
        <v>0</v>
      </c>
      <c r="J542" s="17">
        <f>_xlfn.XLOOKUP($B542,'[1]May-24'!$A:$A,'[1]May-24'!$H:$H,0)</f>
        <v>0</v>
      </c>
      <c r="K542" s="17">
        <f>_xlfn.XLOOKUP($B542,'[1]Jun-24'!$A:$A,'[1]Jun-24'!$H:$H,0)</f>
        <v>0</v>
      </c>
      <c r="L542" s="17">
        <f>_xlfn.XLOOKUP($B542,'[1]Jul-24'!$A:$A,'[1]Jul-24'!$H:$H,0)</f>
        <v>0</v>
      </c>
      <c r="M542" s="17">
        <f>_xlfn.XLOOKUP($B542,'[1]Aug-24'!$A:$A,'[1]Aug-24'!$H:$H,0)</f>
        <v>0</v>
      </c>
      <c r="N542" s="17">
        <f>_xlfn.XLOOKUP($B542,'[1]Sep-24'!$A:$A,'[1]Sep-24'!$H:$H,0)</f>
        <v>0</v>
      </c>
      <c r="O542" s="17">
        <f>_xlfn.XLOOKUP($B542,'[1]Oct-24'!$A:$A,'[1]Oct-24'!$H:$H,0)</f>
        <v>0</v>
      </c>
      <c r="P542" s="17">
        <f>_xlfn.XLOOKUP($B542,'[1]Nov-24'!$A:$A,'[1]Nov-24'!$H:$H,0)</f>
        <v>0</v>
      </c>
      <c r="Q542" s="17">
        <f>_xlfn.XLOOKUP($B542,'[1]Dec-24'!$A:$A,'[1]Dec-24'!$H:$H,0)</f>
        <v>0</v>
      </c>
      <c r="R542" s="17">
        <f>_xlfn.XLOOKUP($B542,'[1]Jan-25'!$A:$A,'[1]Jan-25'!$H:$H,0)</f>
        <v>0</v>
      </c>
      <c r="S542" s="17">
        <f>_xlfn.XLOOKUP($B542,'[1]Feb-25'!$A:$A,'[1]Feb-25'!$H:$H,0)</f>
        <v>0</v>
      </c>
      <c r="T542" s="17">
        <f>_xlfn.XLOOKUP($B542,'[1]Mar-25'!$A:$A,'[1]Mar-25'!$H:$H,0)</f>
        <v>0</v>
      </c>
      <c r="U542" s="17">
        <f>_xlfn.XLOOKUP($B542,'[1]Apr-25'!$A:$A,'[1]Apr-25'!$H:$H,0)</f>
        <v>0</v>
      </c>
      <c r="V542" s="17">
        <f>_xlfn.XLOOKUP($B542,'[1]May-25'!$A:$A,'[1]May-25'!$H:$H,0)</f>
        <v>0</v>
      </c>
      <c r="W542" s="17">
        <f>_xlfn.XLOOKUP($B542,'[1]Jun-25'!$A:$A,'[1]Jun-25'!$H:$H,0)</f>
        <v>0</v>
      </c>
      <c r="X542" s="17">
        <f>_xlfn.XLOOKUP($B542,'[1]Jul-25'!$A:$A,'[1]Jul-25'!$H:$H,0)</f>
        <v>0</v>
      </c>
      <c r="Y542" s="17">
        <f>_xlfn.XLOOKUP($B542,'[1]Aug-25'!$A:$A,'[1]Aug-25'!$H:$H,0)</f>
        <v>0</v>
      </c>
      <c r="Z542" s="17">
        <f>_xlfn.XLOOKUP($B542,'[1]Sep-25'!$A:$A,'[1]Sep-25'!$H:$H,0)</f>
        <v>0</v>
      </c>
      <c r="AA542" s="17">
        <f>_xlfn.XLOOKUP($B542,'[1]Oct-25'!$A:$A,'[1]Oct-25'!$H:$H,0)</f>
        <v>0</v>
      </c>
      <c r="AB542" s="17">
        <f>_xlfn.XLOOKUP($B542,'[1]Nov-25'!$A:$A,'[1]Nov-25'!$H:$H,0)</f>
        <v>0</v>
      </c>
      <c r="AC542" s="17">
        <f>_xlfn.XLOOKUP($B542,'[1]Dec-25'!$A:$A,'[1]Dec-25'!$H:$H,0)</f>
        <v>0</v>
      </c>
      <c r="AD542" s="17">
        <f>_xlfn.XLOOKUP($B542,'[1]Jan-26'!$A:$A,'[1]Jan-26'!$H:$H,0)</f>
        <v>0</v>
      </c>
      <c r="AE542" s="17">
        <f>_xlfn.XLOOKUP($B542,'[1]Feb-26'!$A:$A,'[1]Feb-26'!$H:$H,0)</f>
        <v>0</v>
      </c>
      <c r="AF542" s="17">
        <f>_xlfn.XLOOKUP($B542,'[1]Mar-26'!$A:$A,'[1]Mar-26'!$H:$H,0)</f>
        <v>0</v>
      </c>
      <c r="AG542" s="17">
        <f>_xlfn.XLOOKUP($B542,'[1]Apr-26'!$A:$A,'[1]Apr-26'!$H:$H,0)</f>
        <v>0</v>
      </c>
    </row>
    <row r="543" spans="1:33" x14ac:dyDescent="0.2">
      <c r="A543" s="58">
        <v>67050</v>
      </c>
      <c r="B543" s="56" t="str">
        <f t="shared" si="14"/>
        <v>67050</v>
      </c>
      <c r="C543" s="57" t="s">
        <v>389</v>
      </c>
      <c r="D543" s="57" t="s">
        <v>387</v>
      </c>
      <c r="E543" s="44" t="s">
        <v>724</v>
      </c>
      <c r="F543" s="17">
        <f>_xlfn.XLOOKUP($B543,'[1]Jan-24'!$A:$A,'[1]Jan-24'!$H:$H,0)</f>
        <v>0</v>
      </c>
      <c r="G543" s="17">
        <f>_xlfn.XLOOKUP($B543,'[1]Feb-24'!$A:$A,'[1]Feb-24'!$H:$H,0)</f>
        <v>0</v>
      </c>
      <c r="H543" s="17">
        <f>_xlfn.XLOOKUP($B543,'[1]Mar-24'!$A:$A,'[1]Mar-24'!$H:$H,0)</f>
        <v>0</v>
      </c>
      <c r="I543" s="17">
        <f>_xlfn.XLOOKUP($B543,'[1]Apr-24'!$A:$A,'[1]Apr-24'!$H:$H,0)</f>
        <v>0</v>
      </c>
      <c r="J543" s="17">
        <f>_xlfn.XLOOKUP($B543,'[1]May-24'!$A:$A,'[1]May-24'!$H:$H,0)</f>
        <v>0</v>
      </c>
      <c r="K543" s="17">
        <f>_xlfn.XLOOKUP($B543,'[1]Jun-24'!$A:$A,'[1]Jun-24'!$H:$H,0)</f>
        <v>0</v>
      </c>
      <c r="L543" s="17">
        <f>_xlfn.XLOOKUP($B543,'[1]Jul-24'!$A:$A,'[1]Jul-24'!$H:$H,0)</f>
        <v>0</v>
      </c>
      <c r="M543" s="17">
        <f>_xlfn.XLOOKUP($B543,'[1]Aug-24'!$A:$A,'[1]Aug-24'!$H:$H,0)</f>
        <v>0</v>
      </c>
      <c r="N543" s="17">
        <f>_xlfn.XLOOKUP($B543,'[1]Sep-24'!$A:$A,'[1]Sep-24'!$H:$H,0)</f>
        <v>0</v>
      </c>
      <c r="O543" s="17">
        <f>_xlfn.XLOOKUP($B543,'[1]Oct-24'!$A:$A,'[1]Oct-24'!$H:$H,0)</f>
        <v>0</v>
      </c>
      <c r="P543" s="17">
        <f>_xlfn.XLOOKUP($B543,'[1]Nov-24'!$A:$A,'[1]Nov-24'!$H:$H,0)</f>
        <v>0</v>
      </c>
      <c r="Q543" s="17">
        <f>_xlfn.XLOOKUP($B543,'[1]Dec-24'!$A:$A,'[1]Dec-24'!$H:$H,0)</f>
        <v>0</v>
      </c>
      <c r="R543" s="17">
        <f>_xlfn.XLOOKUP($B543,'[1]Jan-25'!$A:$A,'[1]Jan-25'!$H:$H,0)</f>
        <v>0</v>
      </c>
      <c r="S543" s="17">
        <f>_xlfn.XLOOKUP($B543,'[1]Feb-25'!$A:$A,'[1]Feb-25'!$H:$H,0)</f>
        <v>0</v>
      </c>
      <c r="T543" s="17">
        <f>_xlfn.XLOOKUP($B543,'[1]Mar-25'!$A:$A,'[1]Mar-25'!$H:$H,0)</f>
        <v>0</v>
      </c>
      <c r="U543" s="17">
        <f>_xlfn.XLOOKUP($B543,'[1]Apr-25'!$A:$A,'[1]Apr-25'!$H:$H,0)</f>
        <v>0</v>
      </c>
      <c r="V543" s="17">
        <f>_xlfn.XLOOKUP($B543,'[1]May-25'!$A:$A,'[1]May-25'!$H:$H,0)</f>
        <v>0</v>
      </c>
      <c r="W543" s="17">
        <f>_xlfn.XLOOKUP($B543,'[1]Jun-25'!$A:$A,'[1]Jun-25'!$H:$H,0)</f>
        <v>0</v>
      </c>
      <c r="X543" s="17">
        <f>_xlfn.XLOOKUP($B543,'[1]Jul-25'!$A:$A,'[1]Jul-25'!$H:$H,0)</f>
        <v>0</v>
      </c>
      <c r="Y543" s="17">
        <f>_xlfn.XLOOKUP($B543,'[1]Aug-25'!$A:$A,'[1]Aug-25'!$H:$H,0)</f>
        <v>0</v>
      </c>
      <c r="Z543" s="17">
        <f>_xlfn.XLOOKUP($B543,'[1]Sep-25'!$A:$A,'[1]Sep-25'!$H:$H,0)</f>
        <v>0</v>
      </c>
      <c r="AA543" s="17">
        <f>_xlfn.XLOOKUP($B543,'[1]Oct-25'!$A:$A,'[1]Oct-25'!$H:$H,0)</f>
        <v>0</v>
      </c>
      <c r="AB543" s="17">
        <f>_xlfn.XLOOKUP($B543,'[1]Nov-25'!$A:$A,'[1]Nov-25'!$H:$H,0)</f>
        <v>0</v>
      </c>
      <c r="AC543" s="17">
        <f>_xlfn.XLOOKUP($B543,'[1]Dec-25'!$A:$A,'[1]Dec-25'!$H:$H,0)</f>
        <v>0</v>
      </c>
      <c r="AD543" s="17">
        <f>_xlfn.XLOOKUP($B543,'[1]Jan-26'!$A:$A,'[1]Jan-26'!$H:$H,0)</f>
        <v>0</v>
      </c>
      <c r="AE543" s="17">
        <f>_xlfn.XLOOKUP($B543,'[1]Feb-26'!$A:$A,'[1]Feb-26'!$H:$H,0)</f>
        <v>0</v>
      </c>
      <c r="AF543" s="17">
        <f>_xlfn.XLOOKUP($B543,'[1]Mar-26'!$A:$A,'[1]Mar-26'!$H:$H,0)</f>
        <v>0</v>
      </c>
      <c r="AG543" s="17">
        <f>_xlfn.XLOOKUP($B543,'[1]Apr-26'!$A:$A,'[1]Apr-26'!$H:$H,0)</f>
        <v>0</v>
      </c>
    </row>
    <row r="544" spans="1:33" x14ac:dyDescent="0.2">
      <c r="A544" s="58">
        <v>67052</v>
      </c>
      <c r="B544" s="56" t="str">
        <f t="shared" si="14"/>
        <v>67052</v>
      </c>
      <c r="C544" s="57" t="s">
        <v>725</v>
      </c>
      <c r="D544" s="57" t="s">
        <v>387</v>
      </c>
      <c r="E544" s="44" t="s">
        <v>726</v>
      </c>
      <c r="F544" s="17">
        <f>_xlfn.XLOOKUP($B544,'[1]Jan-24'!$A:$A,'[1]Jan-24'!$H:$H,0)</f>
        <v>0</v>
      </c>
      <c r="G544" s="17">
        <f>_xlfn.XLOOKUP($B544,'[1]Feb-24'!$A:$A,'[1]Feb-24'!$H:$H,0)</f>
        <v>321442.59999999998</v>
      </c>
      <c r="H544" s="17">
        <f>_xlfn.XLOOKUP($B544,'[1]Mar-24'!$A:$A,'[1]Mar-24'!$H:$H,0)</f>
        <v>1014508.47</v>
      </c>
      <c r="I544" s="17">
        <f>_xlfn.XLOOKUP($B544,'[1]Apr-24'!$A:$A,'[1]Apr-24'!$H:$H,0)</f>
        <v>0</v>
      </c>
      <c r="J544" s="17">
        <f>_xlfn.XLOOKUP($B544,'[1]May-24'!$A:$A,'[1]May-24'!$H:$H,0)</f>
        <v>0</v>
      </c>
      <c r="K544" s="17">
        <f>_xlfn.XLOOKUP($B544,'[1]Jun-24'!$A:$A,'[1]Jun-24'!$H:$H,0)</f>
        <v>0</v>
      </c>
      <c r="L544" s="17">
        <f>_xlfn.XLOOKUP($B544,'[1]Jul-24'!$A:$A,'[1]Jul-24'!$H:$H,0)</f>
        <v>0</v>
      </c>
      <c r="M544" s="17">
        <f>_xlfn.XLOOKUP($B544,'[1]Aug-24'!$A:$A,'[1]Aug-24'!$H:$H,0)</f>
        <v>0</v>
      </c>
      <c r="N544" s="17">
        <f>_xlfn.XLOOKUP($B544,'[1]Sep-24'!$A:$A,'[1]Sep-24'!$H:$H,0)</f>
        <v>0</v>
      </c>
      <c r="O544" s="17">
        <f>_xlfn.XLOOKUP($B544,'[1]Oct-24'!$A:$A,'[1]Oct-24'!$H:$H,0)</f>
        <v>0</v>
      </c>
      <c r="P544" s="17">
        <f>_xlfn.XLOOKUP($B544,'[1]Nov-24'!$A:$A,'[1]Nov-24'!$H:$H,0)</f>
        <v>0</v>
      </c>
      <c r="Q544" s="17">
        <f>_xlfn.XLOOKUP($B544,'[1]Dec-24'!$A:$A,'[1]Dec-24'!$H:$H,0)</f>
        <v>0</v>
      </c>
      <c r="R544" s="17">
        <f>_xlfn.XLOOKUP($B544,'[1]Jan-25'!$A:$A,'[1]Jan-25'!$H:$H,0)</f>
        <v>0</v>
      </c>
      <c r="S544" s="17">
        <f>_xlfn.XLOOKUP($B544,'[1]Feb-25'!$A:$A,'[1]Feb-25'!$H:$H,0)</f>
        <v>0</v>
      </c>
      <c r="T544" s="17">
        <f>_xlfn.XLOOKUP($B544,'[1]Mar-25'!$A:$A,'[1]Mar-25'!$H:$H,0)</f>
        <v>0</v>
      </c>
      <c r="U544" s="17">
        <f>_xlfn.XLOOKUP($B544,'[1]Apr-25'!$A:$A,'[1]Apr-25'!$H:$H,0)</f>
        <v>0</v>
      </c>
      <c r="V544" s="17">
        <f>_xlfn.XLOOKUP($B544,'[1]May-25'!$A:$A,'[1]May-25'!$H:$H,0)</f>
        <v>144180000</v>
      </c>
      <c r="W544" s="17">
        <f>_xlfn.XLOOKUP($B544,'[1]Jun-25'!$A:$A,'[1]Jun-25'!$H:$H,0)</f>
        <v>0</v>
      </c>
      <c r="X544" s="17">
        <f>_xlfn.XLOOKUP($B544,'[1]Jul-25'!$A:$A,'[1]Jul-25'!$H:$H,0)</f>
        <v>0</v>
      </c>
      <c r="Y544" s="17">
        <f>_xlfn.XLOOKUP($B544,'[1]Aug-25'!$A:$A,'[1]Aug-25'!$H:$H,0)</f>
        <v>0</v>
      </c>
      <c r="Z544" s="17">
        <f>_xlfn.XLOOKUP($B544,'[1]Sep-25'!$A:$A,'[1]Sep-25'!$H:$H,0)</f>
        <v>0</v>
      </c>
      <c r="AA544" s="17">
        <f>_xlfn.XLOOKUP($B544,'[1]Oct-25'!$A:$A,'[1]Oct-25'!$H:$H,0)</f>
        <v>134088144</v>
      </c>
      <c r="AB544" s="17">
        <f>_xlfn.XLOOKUP($B544,'[1]Nov-25'!$A:$A,'[1]Nov-25'!$H:$H,0)</f>
        <v>0</v>
      </c>
      <c r="AC544" s="17">
        <f>_xlfn.XLOOKUP($B544,'[1]Dec-25'!$A:$A,'[1]Dec-25'!$H:$H,0)</f>
        <v>0</v>
      </c>
      <c r="AD544" s="17">
        <f>_xlfn.XLOOKUP($B544,'[1]Jan-26'!$A:$A,'[1]Jan-26'!$H:$H,0)</f>
        <v>0</v>
      </c>
      <c r="AE544" s="17">
        <f>_xlfn.XLOOKUP($B544,'[1]Feb-26'!$A:$A,'[1]Feb-26'!$H:$H,0)</f>
        <v>0</v>
      </c>
      <c r="AF544" s="17">
        <f>_xlfn.XLOOKUP($B544,'[1]Mar-26'!$A:$A,'[1]Mar-26'!$H:$H,0)</f>
        <v>0</v>
      </c>
      <c r="AG544" s="17">
        <f>_xlfn.XLOOKUP($B544,'[1]Apr-26'!$A:$A,'[1]Apr-26'!$H:$H,0)</f>
        <v>0</v>
      </c>
    </row>
    <row r="545" spans="1:33" x14ac:dyDescent="0.2">
      <c r="A545" s="58">
        <v>67055</v>
      </c>
      <c r="B545" s="56" t="str">
        <f t="shared" si="14"/>
        <v>67055</v>
      </c>
      <c r="C545" s="57" t="s">
        <v>572</v>
      </c>
      <c r="D545" s="57" t="s">
        <v>387</v>
      </c>
      <c r="E545" s="44" t="s">
        <v>727</v>
      </c>
      <c r="F545" s="17">
        <f>_xlfn.XLOOKUP($B545,'[1]Jan-24'!$A:$A,'[1]Jan-24'!$H:$H,0)</f>
        <v>0</v>
      </c>
      <c r="G545" s="17">
        <f>_xlfn.XLOOKUP($B545,'[1]Feb-24'!$A:$A,'[1]Feb-24'!$H:$H,0)</f>
        <v>0</v>
      </c>
      <c r="H545" s="17">
        <f>_xlfn.XLOOKUP($B545,'[1]Mar-24'!$A:$A,'[1]Mar-24'!$H:$H,0)</f>
        <v>0</v>
      </c>
      <c r="I545" s="17">
        <f>_xlfn.XLOOKUP($B545,'[1]Apr-24'!$A:$A,'[1]Apr-24'!$H:$H,0)</f>
        <v>0</v>
      </c>
      <c r="J545" s="17">
        <f>_xlfn.XLOOKUP($B545,'[1]May-24'!$A:$A,'[1]May-24'!$H:$H,0)</f>
        <v>0</v>
      </c>
      <c r="K545" s="17">
        <f>_xlfn.XLOOKUP($B545,'[1]Jun-24'!$A:$A,'[1]Jun-24'!$H:$H,0)</f>
        <v>0</v>
      </c>
      <c r="L545" s="17">
        <f>_xlfn.XLOOKUP($B545,'[1]Jul-24'!$A:$A,'[1]Jul-24'!$H:$H,0)</f>
        <v>0</v>
      </c>
      <c r="M545" s="17">
        <f>_xlfn.XLOOKUP($B545,'[1]Aug-24'!$A:$A,'[1]Aug-24'!$H:$H,0)</f>
        <v>0</v>
      </c>
      <c r="N545" s="17">
        <f>_xlfn.XLOOKUP($B545,'[1]Sep-24'!$A:$A,'[1]Sep-24'!$H:$H,0)</f>
        <v>0</v>
      </c>
      <c r="O545" s="17">
        <f>_xlfn.XLOOKUP($B545,'[1]Oct-24'!$A:$A,'[1]Oct-24'!$H:$H,0)</f>
        <v>0</v>
      </c>
      <c r="P545" s="17">
        <f>_xlfn.XLOOKUP($B545,'[1]Nov-24'!$A:$A,'[1]Nov-24'!$H:$H,0)</f>
        <v>0</v>
      </c>
      <c r="Q545" s="17">
        <f>_xlfn.XLOOKUP($B545,'[1]Dec-24'!$A:$A,'[1]Dec-24'!$H:$H,0)</f>
        <v>14970357</v>
      </c>
      <c r="R545" s="17">
        <f>_xlfn.XLOOKUP($B545,'[1]Jan-25'!$A:$A,'[1]Jan-25'!$H:$H,0)</f>
        <v>0</v>
      </c>
      <c r="S545" s="17">
        <f>_xlfn.XLOOKUP($B545,'[1]Feb-25'!$A:$A,'[1]Feb-25'!$H:$H,0)</f>
        <v>0</v>
      </c>
      <c r="T545" s="17">
        <f>_xlfn.XLOOKUP($B545,'[1]Mar-25'!$A:$A,'[1]Mar-25'!$H:$H,0)</f>
        <v>0</v>
      </c>
      <c r="U545" s="17">
        <f>_xlfn.XLOOKUP($B545,'[1]Apr-25'!$A:$A,'[1]Apr-25'!$H:$H,0)</f>
        <v>0</v>
      </c>
      <c r="V545" s="17">
        <f>_xlfn.XLOOKUP($B545,'[1]May-25'!$A:$A,'[1]May-25'!$H:$H,0)</f>
        <v>0</v>
      </c>
      <c r="W545" s="17">
        <f>_xlfn.XLOOKUP($B545,'[1]Jun-25'!$A:$A,'[1]Jun-25'!$H:$H,0)</f>
        <v>0</v>
      </c>
      <c r="X545" s="17">
        <f>_xlfn.XLOOKUP($B545,'[1]Jul-25'!$A:$A,'[1]Jul-25'!$H:$H,0)</f>
        <v>0</v>
      </c>
      <c r="Y545" s="17">
        <f>_xlfn.XLOOKUP($B545,'[1]Aug-25'!$A:$A,'[1]Aug-25'!$H:$H,0)</f>
        <v>0</v>
      </c>
      <c r="Z545" s="17">
        <f>_xlfn.XLOOKUP($B545,'[1]Sep-25'!$A:$A,'[1]Sep-25'!$H:$H,0)</f>
        <v>0</v>
      </c>
      <c r="AA545" s="17">
        <f>_xlfn.XLOOKUP($B545,'[1]Oct-25'!$A:$A,'[1]Oct-25'!$H:$H,0)</f>
        <v>0</v>
      </c>
      <c r="AB545" s="17">
        <f>_xlfn.XLOOKUP($B545,'[1]Nov-25'!$A:$A,'[1]Nov-25'!$H:$H,0)</f>
        <v>0</v>
      </c>
      <c r="AC545" s="17">
        <f>_xlfn.XLOOKUP($B545,'[1]Dec-25'!$A:$A,'[1]Dec-25'!$H:$H,0)</f>
        <v>0</v>
      </c>
      <c r="AD545" s="17">
        <f>_xlfn.XLOOKUP($B545,'[1]Jan-26'!$A:$A,'[1]Jan-26'!$H:$H,0)</f>
        <v>0</v>
      </c>
      <c r="AE545" s="17">
        <f>_xlfn.XLOOKUP($B545,'[1]Feb-26'!$A:$A,'[1]Feb-26'!$H:$H,0)</f>
        <v>0</v>
      </c>
      <c r="AF545" s="17">
        <f>_xlfn.XLOOKUP($B545,'[1]Mar-26'!$A:$A,'[1]Mar-26'!$H:$H,0)</f>
        <v>0</v>
      </c>
      <c r="AG545" s="17">
        <f>_xlfn.XLOOKUP($B545,'[1]Apr-26'!$A:$A,'[1]Apr-26'!$H:$H,0)</f>
        <v>0</v>
      </c>
    </row>
    <row r="546" spans="1:33" x14ac:dyDescent="0.2">
      <c r="A546" s="58">
        <v>67065</v>
      </c>
      <c r="B546" s="56" t="str">
        <f t="shared" si="14"/>
        <v>67065</v>
      </c>
      <c r="C546" s="57" t="s">
        <v>552</v>
      </c>
      <c r="D546" s="57" t="s">
        <v>387</v>
      </c>
      <c r="E546" s="44" t="s">
        <v>728</v>
      </c>
      <c r="F546" s="17">
        <f>_xlfn.XLOOKUP($B546,'[1]Jan-24'!$A:$A,'[1]Jan-24'!$H:$H,0)</f>
        <v>0</v>
      </c>
      <c r="G546" s="17">
        <f>_xlfn.XLOOKUP($B546,'[1]Feb-24'!$A:$A,'[1]Feb-24'!$H:$H,0)</f>
        <v>0</v>
      </c>
      <c r="H546" s="17">
        <f>_xlfn.XLOOKUP($B546,'[1]Mar-24'!$A:$A,'[1]Mar-24'!$H:$H,0)</f>
        <v>0</v>
      </c>
      <c r="I546" s="17">
        <f>_xlfn.XLOOKUP($B546,'[1]Apr-24'!$A:$A,'[1]Apr-24'!$H:$H,0)</f>
        <v>0</v>
      </c>
      <c r="J546" s="17">
        <f>_xlfn.XLOOKUP($B546,'[1]May-24'!$A:$A,'[1]May-24'!$H:$H,0)</f>
        <v>0</v>
      </c>
      <c r="K546" s="17">
        <f>_xlfn.XLOOKUP($B546,'[1]Jun-24'!$A:$A,'[1]Jun-24'!$H:$H,0)</f>
        <v>0</v>
      </c>
      <c r="L546" s="17">
        <f>_xlfn.XLOOKUP($B546,'[1]Jul-24'!$A:$A,'[1]Jul-24'!$H:$H,0)</f>
        <v>0</v>
      </c>
      <c r="M546" s="17">
        <f>_xlfn.XLOOKUP($B546,'[1]Aug-24'!$A:$A,'[1]Aug-24'!$H:$H,0)</f>
        <v>0</v>
      </c>
      <c r="N546" s="17">
        <f>_xlfn.XLOOKUP($B546,'[1]Sep-24'!$A:$A,'[1]Sep-24'!$H:$H,0)</f>
        <v>0</v>
      </c>
      <c r="O546" s="17">
        <f>_xlfn.XLOOKUP($B546,'[1]Oct-24'!$A:$A,'[1]Oct-24'!$H:$H,0)</f>
        <v>0</v>
      </c>
      <c r="P546" s="17">
        <f>_xlfn.XLOOKUP($B546,'[1]Nov-24'!$A:$A,'[1]Nov-24'!$H:$H,0)</f>
        <v>0</v>
      </c>
      <c r="Q546" s="17">
        <f>_xlfn.XLOOKUP($B546,'[1]Dec-24'!$A:$A,'[1]Dec-24'!$H:$H,0)</f>
        <v>0</v>
      </c>
      <c r="R546" s="17">
        <f>_xlfn.XLOOKUP($B546,'[1]Jan-25'!$A:$A,'[1]Jan-25'!$H:$H,0)</f>
        <v>0</v>
      </c>
      <c r="S546" s="17">
        <f>_xlfn.XLOOKUP($B546,'[1]Feb-25'!$A:$A,'[1]Feb-25'!$H:$H,0)</f>
        <v>0</v>
      </c>
      <c r="T546" s="17">
        <f>_xlfn.XLOOKUP($B546,'[1]Mar-25'!$A:$A,'[1]Mar-25'!$H:$H,0)</f>
        <v>0</v>
      </c>
      <c r="U546" s="17">
        <f>_xlfn.XLOOKUP($B546,'[1]Apr-25'!$A:$A,'[1]Apr-25'!$H:$H,0)</f>
        <v>0</v>
      </c>
      <c r="V546" s="17">
        <f>_xlfn.XLOOKUP($B546,'[1]May-25'!$A:$A,'[1]May-25'!$H:$H,0)</f>
        <v>0</v>
      </c>
      <c r="W546" s="17">
        <f>_xlfn.XLOOKUP($B546,'[1]Jun-25'!$A:$A,'[1]Jun-25'!$H:$H,0)</f>
        <v>0</v>
      </c>
      <c r="X546" s="17">
        <f>_xlfn.XLOOKUP($B546,'[1]Jul-25'!$A:$A,'[1]Jul-25'!$H:$H,0)</f>
        <v>0</v>
      </c>
      <c r="Y546" s="17">
        <f>_xlfn.XLOOKUP($B546,'[1]Aug-25'!$A:$A,'[1]Aug-25'!$H:$H,0)</f>
        <v>0</v>
      </c>
      <c r="Z546" s="17">
        <f>_xlfn.XLOOKUP($B546,'[1]Sep-25'!$A:$A,'[1]Sep-25'!$H:$H,0)</f>
        <v>0</v>
      </c>
      <c r="AA546" s="17">
        <f>_xlfn.XLOOKUP($B546,'[1]Oct-25'!$A:$A,'[1]Oct-25'!$H:$H,0)</f>
        <v>0</v>
      </c>
      <c r="AB546" s="17">
        <f>_xlfn.XLOOKUP($B546,'[1]Nov-25'!$A:$A,'[1]Nov-25'!$H:$H,0)</f>
        <v>0</v>
      </c>
      <c r="AC546" s="17">
        <f>_xlfn.XLOOKUP($B546,'[1]Dec-25'!$A:$A,'[1]Dec-25'!$H:$H,0)</f>
        <v>0</v>
      </c>
      <c r="AD546" s="17">
        <f>_xlfn.XLOOKUP($B546,'[1]Jan-26'!$A:$A,'[1]Jan-26'!$H:$H,0)</f>
        <v>0</v>
      </c>
      <c r="AE546" s="17">
        <f>_xlfn.XLOOKUP($B546,'[1]Feb-26'!$A:$A,'[1]Feb-26'!$H:$H,0)</f>
        <v>0</v>
      </c>
      <c r="AF546" s="17">
        <f>_xlfn.XLOOKUP($B546,'[1]Mar-26'!$A:$A,'[1]Mar-26'!$H:$H,0)</f>
        <v>0</v>
      </c>
      <c r="AG546" s="17">
        <f>_xlfn.XLOOKUP($B546,'[1]Apr-26'!$A:$A,'[1]Apr-26'!$H:$H,0)</f>
        <v>0</v>
      </c>
    </row>
    <row r="547" spans="1:33" x14ac:dyDescent="0.2">
      <c r="A547" s="58">
        <v>67100</v>
      </c>
      <c r="B547" s="56" t="str">
        <f t="shared" si="14"/>
        <v>67100</v>
      </c>
      <c r="C547" s="57" t="s">
        <v>287</v>
      </c>
      <c r="D547" s="57" t="s">
        <v>387</v>
      </c>
      <c r="E547" s="44" t="s">
        <v>288</v>
      </c>
      <c r="F547" s="17">
        <f>_xlfn.XLOOKUP($B547,'[1]Jan-24'!$A:$A,'[1]Jan-24'!$H:$H,0)</f>
        <v>0</v>
      </c>
      <c r="G547" s="17">
        <f>_xlfn.XLOOKUP($B547,'[1]Feb-24'!$A:$A,'[1]Feb-24'!$H:$H,0)</f>
        <v>0</v>
      </c>
      <c r="H547" s="17">
        <f>_xlfn.XLOOKUP($B547,'[1]Mar-24'!$A:$A,'[1]Mar-24'!$H:$H,0)</f>
        <v>0</v>
      </c>
      <c r="I547" s="17">
        <f>_xlfn.XLOOKUP($B547,'[1]Apr-24'!$A:$A,'[1]Apr-24'!$H:$H,0)</f>
        <v>0</v>
      </c>
      <c r="J547" s="17">
        <f>_xlfn.XLOOKUP($B547,'[1]May-24'!$A:$A,'[1]May-24'!$H:$H,0)</f>
        <v>0</v>
      </c>
      <c r="K547" s="17">
        <f>_xlfn.XLOOKUP($B547,'[1]Jun-24'!$A:$A,'[1]Jun-24'!$H:$H,0)</f>
        <v>0</v>
      </c>
      <c r="L547" s="17">
        <f>_xlfn.XLOOKUP($B547,'[1]Jul-24'!$A:$A,'[1]Jul-24'!$H:$H,0)</f>
        <v>0</v>
      </c>
      <c r="M547" s="17">
        <f>_xlfn.XLOOKUP($B547,'[1]Aug-24'!$A:$A,'[1]Aug-24'!$H:$H,0)</f>
        <v>0</v>
      </c>
      <c r="N547" s="17">
        <f>_xlfn.XLOOKUP($B547,'[1]Sep-24'!$A:$A,'[1]Sep-24'!$H:$H,0)</f>
        <v>0</v>
      </c>
      <c r="O547" s="17">
        <f>_xlfn.XLOOKUP($B547,'[1]Oct-24'!$A:$A,'[1]Oct-24'!$H:$H,0)</f>
        <v>0</v>
      </c>
      <c r="P547" s="17">
        <f>_xlfn.XLOOKUP($B547,'[1]Nov-24'!$A:$A,'[1]Nov-24'!$H:$H,0)</f>
        <v>0</v>
      </c>
      <c r="Q547" s="17">
        <f>_xlfn.XLOOKUP($B547,'[1]Dec-24'!$A:$A,'[1]Dec-24'!$H:$H,0)</f>
        <v>0</v>
      </c>
      <c r="R547" s="17">
        <f>_xlfn.XLOOKUP($B547,'[1]Jan-25'!$A:$A,'[1]Jan-25'!$H:$H,0)</f>
        <v>0</v>
      </c>
      <c r="S547" s="17">
        <f>_xlfn.XLOOKUP($B547,'[1]Feb-25'!$A:$A,'[1]Feb-25'!$H:$H,0)</f>
        <v>0</v>
      </c>
      <c r="T547" s="17">
        <f>_xlfn.XLOOKUP($B547,'[1]Mar-25'!$A:$A,'[1]Mar-25'!$H:$H,0)</f>
        <v>0</v>
      </c>
      <c r="U547" s="17">
        <f>_xlfn.XLOOKUP($B547,'[1]Apr-25'!$A:$A,'[1]Apr-25'!$H:$H,0)</f>
        <v>0</v>
      </c>
      <c r="V547" s="17">
        <f>_xlfn.XLOOKUP($B547,'[1]May-25'!$A:$A,'[1]May-25'!$H:$H,0)</f>
        <v>0</v>
      </c>
      <c r="W547" s="17">
        <f>_xlfn.XLOOKUP($B547,'[1]Jun-25'!$A:$A,'[1]Jun-25'!$H:$H,0)</f>
        <v>0</v>
      </c>
      <c r="X547" s="17">
        <f>_xlfn.XLOOKUP($B547,'[1]Jul-25'!$A:$A,'[1]Jul-25'!$H:$H,0)</f>
        <v>0</v>
      </c>
      <c r="Y547" s="17">
        <f>_xlfn.XLOOKUP($B547,'[1]Aug-25'!$A:$A,'[1]Aug-25'!$H:$H,0)</f>
        <v>0</v>
      </c>
      <c r="Z547" s="17">
        <f>_xlfn.XLOOKUP($B547,'[1]Sep-25'!$A:$A,'[1]Sep-25'!$H:$H,0)</f>
        <v>0</v>
      </c>
      <c r="AA547" s="17">
        <f>_xlfn.XLOOKUP($B547,'[1]Oct-25'!$A:$A,'[1]Oct-25'!$H:$H,0)</f>
        <v>0</v>
      </c>
      <c r="AB547" s="17">
        <f>_xlfn.XLOOKUP($B547,'[1]Nov-25'!$A:$A,'[1]Nov-25'!$H:$H,0)</f>
        <v>0</v>
      </c>
      <c r="AC547" s="17">
        <f>_xlfn.XLOOKUP($B547,'[1]Dec-25'!$A:$A,'[1]Dec-25'!$H:$H,0)</f>
        <v>0</v>
      </c>
      <c r="AD547" s="17">
        <f>_xlfn.XLOOKUP($B547,'[1]Jan-26'!$A:$A,'[1]Jan-26'!$H:$H,0)</f>
        <v>0</v>
      </c>
      <c r="AE547" s="17">
        <f>_xlfn.XLOOKUP($B547,'[1]Feb-26'!$A:$A,'[1]Feb-26'!$H:$H,0)</f>
        <v>0</v>
      </c>
      <c r="AF547" s="17">
        <f>_xlfn.XLOOKUP($B547,'[1]Mar-26'!$A:$A,'[1]Mar-26'!$H:$H,0)</f>
        <v>0</v>
      </c>
      <c r="AG547" s="17">
        <f>_xlfn.XLOOKUP($B547,'[1]Apr-26'!$A:$A,'[1]Apr-26'!$H:$H,0)</f>
        <v>0</v>
      </c>
    </row>
    <row r="548" spans="1:33" x14ac:dyDescent="0.2">
      <c r="A548" s="58">
        <v>67280</v>
      </c>
      <c r="B548" s="56" t="str">
        <f t="shared" si="14"/>
        <v>67280</v>
      </c>
      <c r="C548" s="57" t="s">
        <v>729</v>
      </c>
      <c r="D548" s="57" t="s">
        <v>387</v>
      </c>
      <c r="E548" s="44" t="s">
        <v>730</v>
      </c>
      <c r="F548" s="17">
        <f>_xlfn.XLOOKUP($B548,'[1]Jan-24'!$A:$A,'[1]Jan-24'!$H:$H,0)</f>
        <v>0</v>
      </c>
      <c r="G548" s="17">
        <f>_xlfn.XLOOKUP($B548,'[1]Feb-24'!$A:$A,'[1]Feb-24'!$H:$H,0)</f>
        <v>0</v>
      </c>
      <c r="H548" s="17">
        <f>_xlfn.XLOOKUP($B548,'[1]Mar-24'!$A:$A,'[1]Mar-24'!$H:$H,0)</f>
        <v>0</v>
      </c>
      <c r="I548" s="17">
        <f>_xlfn.XLOOKUP($B548,'[1]Apr-24'!$A:$A,'[1]Apr-24'!$H:$H,0)</f>
        <v>0</v>
      </c>
      <c r="J548" s="17">
        <f>_xlfn.XLOOKUP($B548,'[1]May-24'!$A:$A,'[1]May-24'!$H:$H,0)</f>
        <v>0</v>
      </c>
      <c r="K548" s="17">
        <f>_xlfn.XLOOKUP($B548,'[1]Jun-24'!$A:$A,'[1]Jun-24'!$H:$H,0)</f>
        <v>0</v>
      </c>
      <c r="L548" s="17">
        <f>_xlfn.XLOOKUP($B548,'[1]Jul-24'!$A:$A,'[1]Jul-24'!$H:$H,0)</f>
        <v>0</v>
      </c>
      <c r="M548" s="17">
        <f>_xlfn.XLOOKUP($B548,'[1]Aug-24'!$A:$A,'[1]Aug-24'!$H:$H,0)</f>
        <v>0</v>
      </c>
      <c r="N548" s="17">
        <f>_xlfn.XLOOKUP($B548,'[1]Sep-24'!$A:$A,'[1]Sep-24'!$H:$H,0)</f>
        <v>0</v>
      </c>
      <c r="O548" s="17">
        <f>_xlfn.XLOOKUP($B548,'[1]Oct-24'!$A:$A,'[1]Oct-24'!$H:$H,0)</f>
        <v>0</v>
      </c>
      <c r="P548" s="17">
        <f>_xlfn.XLOOKUP($B548,'[1]Nov-24'!$A:$A,'[1]Nov-24'!$H:$H,0)</f>
        <v>0</v>
      </c>
      <c r="Q548" s="17">
        <f>_xlfn.XLOOKUP($B548,'[1]Dec-24'!$A:$A,'[1]Dec-24'!$H:$H,0)</f>
        <v>0</v>
      </c>
      <c r="R548" s="17">
        <f>_xlfn.XLOOKUP($B548,'[1]Jan-25'!$A:$A,'[1]Jan-25'!$H:$H,0)</f>
        <v>0</v>
      </c>
      <c r="S548" s="17">
        <f>_xlfn.XLOOKUP($B548,'[1]Feb-25'!$A:$A,'[1]Feb-25'!$H:$H,0)</f>
        <v>0</v>
      </c>
      <c r="T548" s="17">
        <f>_xlfn.XLOOKUP($B548,'[1]Mar-25'!$A:$A,'[1]Mar-25'!$H:$H,0)</f>
        <v>0</v>
      </c>
      <c r="U548" s="17">
        <f>_xlfn.XLOOKUP($B548,'[1]Apr-25'!$A:$A,'[1]Apr-25'!$H:$H,0)</f>
        <v>0</v>
      </c>
      <c r="V548" s="17">
        <f>_xlfn.XLOOKUP($B548,'[1]May-25'!$A:$A,'[1]May-25'!$H:$H,0)</f>
        <v>0</v>
      </c>
      <c r="W548" s="17">
        <f>_xlfn.XLOOKUP($B548,'[1]Jun-25'!$A:$A,'[1]Jun-25'!$H:$H,0)</f>
        <v>0</v>
      </c>
      <c r="X548" s="17">
        <f>_xlfn.XLOOKUP($B548,'[1]Jul-25'!$A:$A,'[1]Jul-25'!$H:$H,0)</f>
        <v>0</v>
      </c>
      <c r="Y548" s="17">
        <f>_xlfn.XLOOKUP($B548,'[1]Aug-25'!$A:$A,'[1]Aug-25'!$H:$H,0)</f>
        <v>0</v>
      </c>
      <c r="Z548" s="17">
        <f>_xlfn.XLOOKUP($B548,'[1]Sep-25'!$A:$A,'[1]Sep-25'!$H:$H,0)</f>
        <v>0</v>
      </c>
      <c r="AA548" s="17">
        <f>_xlfn.XLOOKUP($B548,'[1]Oct-25'!$A:$A,'[1]Oct-25'!$H:$H,0)</f>
        <v>0</v>
      </c>
      <c r="AB548" s="17">
        <f>_xlfn.XLOOKUP($B548,'[1]Nov-25'!$A:$A,'[1]Nov-25'!$H:$H,0)</f>
        <v>0</v>
      </c>
      <c r="AC548" s="17">
        <f>_xlfn.XLOOKUP($B548,'[1]Dec-25'!$A:$A,'[1]Dec-25'!$H:$H,0)</f>
        <v>0</v>
      </c>
      <c r="AD548" s="17">
        <f>_xlfn.XLOOKUP($B548,'[1]Jan-26'!$A:$A,'[1]Jan-26'!$H:$H,0)</f>
        <v>0</v>
      </c>
      <c r="AE548" s="17">
        <f>_xlfn.XLOOKUP($B548,'[1]Feb-26'!$A:$A,'[1]Feb-26'!$H:$H,0)</f>
        <v>0</v>
      </c>
      <c r="AF548" s="17">
        <f>_xlfn.XLOOKUP($B548,'[1]Mar-26'!$A:$A,'[1]Mar-26'!$H:$H,0)</f>
        <v>0</v>
      </c>
      <c r="AG548" s="17">
        <f>_xlfn.XLOOKUP($B548,'[1]Apr-26'!$A:$A,'[1]Apr-26'!$H:$H,0)</f>
        <v>0</v>
      </c>
    </row>
    <row r="549" spans="1:33" x14ac:dyDescent="0.2">
      <c r="A549" s="58">
        <v>67770</v>
      </c>
      <c r="B549" s="56" t="str">
        <f t="shared" si="14"/>
        <v>67770</v>
      </c>
      <c r="C549" s="57" t="s">
        <v>389</v>
      </c>
      <c r="D549" s="57" t="s">
        <v>387</v>
      </c>
      <c r="E549" s="44" t="s">
        <v>731</v>
      </c>
      <c r="F549" s="17">
        <f>_xlfn.XLOOKUP($B549,'[1]Jan-24'!$A:$A,'[1]Jan-24'!$H:$H,0)</f>
        <v>0</v>
      </c>
      <c r="G549" s="17">
        <f>_xlfn.XLOOKUP($B549,'[1]Feb-24'!$A:$A,'[1]Feb-24'!$H:$H,0)</f>
        <v>0</v>
      </c>
      <c r="H549" s="17">
        <f>_xlfn.XLOOKUP($B549,'[1]Mar-24'!$A:$A,'[1]Mar-24'!$H:$H,0)</f>
        <v>0</v>
      </c>
      <c r="I549" s="17">
        <f>_xlfn.XLOOKUP($B549,'[1]Apr-24'!$A:$A,'[1]Apr-24'!$H:$H,0)</f>
        <v>0</v>
      </c>
      <c r="J549" s="17">
        <f>_xlfn.XLOOKUP($B549,'[1]May-24'!$A:$A,'[1]May-24'!$H:$H,0)</f>
        <v>0</v>
      </c>
      <c r="K549" s="17">
        <f>_xlfn.XLOOKUP($B549,'[1]Jun-24'!$A:$A,'[1]Jun-24'!$H:$H,0)</f>
        <v>0</v>
      </c>
      <c r="L549" s="17">
        <f>_xlfn.XLOOKUP($B549,'[1]Jul-24'!$A:$A,'[1]Jul-24'!$H:$H,0)</f>
        <v>0</v>
      </c>
      <c r="M549" s="17">
        <f>_xlfn.XLOOKUP($B549,'[1]Aug-24'!$A:$A,'[1]Aug-24'!$H:$H,0)</f>
        <v>0</v>
      </c>
      <c r="N549" s="17">
        <f>_xlfn.XLOOKUP($B549,'[1]Sep-24'!$A:$A,'[1]Sep-24'!$H:$H,0)</f>
        <v>0</v>
      </c>
      <c r="O549" s="17">
        <f>_xlfn.XLOOKUP($B549,'[1]Oct-24'!$A:$A,'[1]Oct-24'!$H:$H,0)</f>
        <v>0</v>
      </c>
      <c r="P549" s="17">
        <f>_xlfn.XLOOKUP($B549,'[1]Nov-24'!$A:$A,'[1]Nov-24'!$H:$H,0)</f>
        <v>0</v>
      </c>
      <c r="Q549" s="17">
        <f>_xlfn.XLOOKUP($B549,'[1]Dec-24'!$A:$A,'[1]Dec-24'!$H:$H,0)</f>
        <v>0</v>
      </c>
      <c r="R549" s="17">
        <f>_xlfn.XLOOKUP($B549,'[1]Jan-25'!$A:$A,'[1]Jan-25'!$H:$H,0)</f>
        <v>0</v>
      </c>
      <c r="S549" s="17">
        <f>_xlfn.XLOOKUP($B549,'[1]Feb-25'!$A:$A,'[1]Feb-25'!$H:$H,0)</f>
        <v>0</v>
      </c>
      <c r="T549" s="17">
        <f>_xlfn.XLOOKUP($B549,'[1]Mar-25'!$A:$A,'[1]Mar-25'!$H:$H,0)</f>
        <v>0</v>
      </c>
      <c r="U549" s="17">
        <f>_xlfn.XLOOKUP($B549,'[1]Apr-25'!$A:$A,'[1]Apr-25'!$H:$H,0)</f>
        <v>0</v>
      </c>
      <c r="V549" s="17">
        <f>_xlfn.XLOOKUP($B549,'[1]May-25'!$A:$A,'[1]May-25'!$H:$H,0)</f>
        <v>0</v>
      </c>
      <c r="W549" s="17">
        <f>_xlfn.XLOOKUP($B549,'[1]Jun-25'!$A:$A,'[1]Jun-25'!$H:$H,0)</f>
        <v>0</v>
      </c>
      <c r="X549" s="17">
        <f>_xlfn.XLOOKUP($B549,'[1]Jul-25'!$A:$A,'[1]Jul-25'!$H:$H,0)</f>
        <v>0</v>
      </c>
      <c r="Y549" s="17">
        <f>_xlfn.XLOOKUP($B549,'[1]Aug-25'!$A:$A,'[1]Aug-25'!$H:$H,0)</f>
        <v>0</v>
      </c>
      <c r="Z549" s="17">
        <f>_xlfn.XLOOKUP($B549,'[1]Sep-25'!$A:$A,'[1]Sep-25'!$H:$H,0)</f>
        <v>0</v>
      </c>
      <c r="AA549" s="17">
        <f>_xlfn.XLOOKUP($B549,'[1]Oct-25'!$A:$A,'[1]Oct-25'!$H:$H,0)</f>
        <v>0</v>
      </c>
      <c r="AB549" s="17">
        <f>_xlfn.XLOOKUP($B549,'[1]Nov-25'!$A:$A,'[1]Nov-25'!$H:$H,0)</f>
        <v>0</v>
      </c>
      <c r="AC549" s="17">
        <f>_xlfn.XLOOKUP($B549,'[1]Dec-25'!$A:$A,'[1]Dec-25'!$H:$H,0)</f>
        <v>0</v>
      </c>
      <c r="AD549" s="17">
        <f>_xlfn.XLOOKUP($B549,'[1]Jan-26'!$A:$A,'[1]Jan-26'!$H:$H,0)</f>
        <v>0</v>
      </c>
      <c r="AE549" s="17">
        <f>_xlfn.XLOOKUP($B549,'[1]Feb-26'!$A:$A,'[1]Feb-26'!$H:$H,0)</f>
        <v>0</v>
      </c>
      <c r="AF549" s="17">
        <f>_xlfn.XLOOKUP($B549,'[1]Mar-26'!$A:$A,'[1]Mar-26'!$H:$H,0)</f>
        <v>0</v>
      </c>
      <c r="AG549" s="17">
        <f>_xlfn.XLOOKUP($B549,'[1]Apr-26'!$A:$A,'[1]Apr-26'!$H:$H,0)</f>
        <v>0</v>
      </c>
    </row>
    <row r="550" spans="1:33" x14ac:dyDescent="0.2">
      <c r="A550" s="58">
        <v>67890</v>
      </c>
      <c r="B550" s="56" t="str">
        <f t="shared" si="14"/>
        <v>67890</v>
      </c>
      <c r="C550" s="57" t="s">
        <v>389</v>
      </c>
      <c r="D550" s="57" t="s">
        <v>387</v>
      </c>
      <c r="E550" s="44" t="s">
        <v>732</v>
      </c>
      <c r="F550" s="17">
        <f>_xlfn.XLOOKUP($B550,'[1]Jan-24'!$A:$A,'[1]Jan-24'!$H:$H,0)</f>
        <v>0</v>
      </c>
      <c r="G550" s="17">
        <f>_xlfn.XLOOKUP($B550,'[1]Feb-24'!$A:$A,'[1]Feb-24'!$H:$H,0)</f>
        <v>0</v>
      </c>
      <c r="H550" s="17">
        <f>_xlfn.XLOOKUP($B550,'[1]Mar-24'!$A:$A,'[1]Mar-24'!$H:$H,0)</f>
        <v>0</v>
      </c>
      <c r="I550" s="17">
        <f>_xlfn.XLOOKUP($B550,'[1]Apr-24'!$A:$A,'[1]Apr-24'!$H:$H,0)</f>
        <v>0</v>
      </c>
      <c r="J550" s="17">
        <f>_xlfn.XLOOKUP($B550,'[1]May-24'!$A:$A,'[1]May-24'!$H:$H,0)</f>
        <v>0</v>
      </c>
      <c r="K550" s="17">
        <f>_xlfn.XLOOKUP($B550,'[1]Jun-24'!$A:$A,'[1]Jun-24'!$H:$H,0)</f>
        <v>0</v>
      </c>
      <c r="L550" s="17">
        <f>_xlfn.XLOOKUP($B550,'[1]Jul-24'!$A:$A,'[1]Jul-24'!$H:$H,0)</f>
        <v>0</v>
      </c>
      <c r="M550" s="17">
        <f>_xlfn.XLOOKUP($B550,'[1]Aug-24'!$A:$A,'[1]Aug-24'!$H:$H,0)</f>
        <v>0</v>
      </c>
      <c r="N550" s="17">
        <f>_xlfn.XLOOKUP($B550,'[1]Sep-24'!$A:$A,'[1]Sep-24'!$H:$H,0)</f>
        <v>0</v>
      </c>
      <c r="O550" s="17">
        <f>_xlfn.XLOOKUP($B550,'[1]Oct-24'!$A:$A,'[1]Oct-24'!$H:$H,0)</f>
        <v>0</v>
      </c>
      <c r="P550" s="17">
        <f>_xlfn.XLOOKUP($B550,'[1]Nov-24'!$A:$A,'[1]Nov-24'!$H:$H,0)</f>
        <v>0</v>
      </c>
      <c r="Q550" s="17">
        <f>_xlfn.XLOOKUP($B550,'[1]Dec-24'!$A:$A,'[1]Dec-24'!$H:$H,0)</f>
        <v>0</v>
      </c>
      <c r="R550" s="17">
        <f>_xlfn.XLOOKUP($B550,'[1]Jan-25'!$A:$A,'[1]Jan-25'!$H:$H,0)</f>
        <v>0</v>
      </c>
      <c r="S550" s="17">
        <f>_xlfn.XLOOKUP($B550,'[1]Feb-25'!$A:$A,'[1]Feb-25'!$H:$H,0)</f>
        <v>0</v>
      </c>
      <c r="T550" s="17">
        <f>_xlfn.XLOOKUP($B550,'[1]Mar-25'!$A:$A,'[1]Mar-25'!$H:$H,0)</f>
        <v>0</v>
      </c>
      <c r="U550" s="17">
        <f>_xlfn.XLOOKUP($B550,'[1]Apr-25'!$A:$A,'[1]Apr-25'!$H:$H,0)</f>
        <v>0</v>
      </c>
      <c r="V550" s="17">
        <f>_xlfn.XLOOKUP($B550,'[1]May-25'!$A:$A,'[1]May-25'!$H:$H,0)</f>
        <v>0</v>
      </c>
      <c r="W550" s="17">
        <f>_xlfn.XLOOKUP($B550,'[1]Jun-25'!$A:$A,'[1]Jun-25'!$H:$H,0)</f>
        <v>0</v>
      </c>
      <c r="X550" s="17">
        <f>_xlfn.XLOOKUP($B550,'[1]Jul-25'!$A:$A,'[1]Jul-25'!$H:$H,0)</f>
        <v>0</v>
      </c>
      <c r="Y550" s="17">
        <f>_xlfn.XLOOKUP($B550,'[1]Aug-25'!$A:$A,'[1]Aug-25'!$H:$H,0)</f>
        <v>0</v>
      </c>
      <c r="Z550" s="17">
        <f>_xlfn.XLOOKUP($B550,'[1]Sep-25'!$A:$A,'[1]Sep-25'!$H:$H,0)</f>
        <v>0</v>
      </c>
      <c r="AA550" s="17">
        <f>_xlfn.XLOOKUP($B550,'[1]Oct-25'!$A:$A,'[1]Oct-25'!$H:$H,0)</f>
        <v>0</v>
      </c>
      <c r="AB550" s="17">
        <f>_xlfn.XLOOKUP($B550,'[1]Nov-25'!$A:$A,'[1]Nov-25'!$H:$H,0)</f>
        <v>0</v>
      </c>
      <c r="AC550" s="17">
        <f>_xlfn.XLOOKUP($B550,'[1]Dec-25'!$A:$A,'[1]Dec-25'!$H:$H,0)</f>
        <v>0</v>
      </c>
      <c r="AD550" s="17">
        <f>_xlfn.XLOOKUP($B550,'[1]Jan-26'!$A:$A,'[1]Jan-26'!$H:$H,0)</f>
        <v>0</v>
      </c>
      <c r="AE550" s="17">
        <f>_xlfn.XLOOKUP($B550,'[1]Feb-26'!$A:$A,'[1]Feb-26'!$H:$H,0)</f>
        <v>0</v>
      </c>
      <c r="AF550" s="17">
        <f>_xlfn.XLOOKUP($B550,'[1]Mar-26'!$A:$A,'[1]Mar-26'!$H:$H,0)</f>
        <v>0</v>
      </c>
      <c r="AG550" s="17">
        <f>_xlfn.XLOOKUP($B550,'[1]Apr-26'!$A:$A,'[1]Apr-26'!$H:$H,0)</f>
        <v>0</v>
      </c>
    </row>
    <row r="551" spans="1:33" x14ac:dyDescent="0.2">
      <c r="A551" s="58">
        <v>67900</v>
      </c>
      <c r="B551" s="56" t="str">
        <f t="shared" si="14"/>
        <v>67900</v>
      </c>
      <c r="C551" s="57" t="s">
        <v>389</v>
      </c>
      <c r="D551" s="57" t="s">
        <v>387</v>
      </c>
      <c r="E551" s="44" t="s">
        <v>733</v>
      </c>
      <c r="F551" s="17">
        <f>_xlfn.XLOOKUP($B551,'[1]Jan-24'!$A:$A,'[1]Jan-24'!$H:$H,0)</f>
        <v>0</v>
      </c>
      <c r="G551" s="17">
        <f>_xlfn.XLOOKUP($B551,'[1]Feb-24'!$A:$A,'[1]Feb-24'!$H:$H,0)</f>
        <v>0</v>
      </c>
      <c r="H551" s="17">
        <f>_xlfn.XLOOKUP($B551,'[1]Mar-24'!$A:$A,'[1]Mar-24'!$H:$H,0)</f>
        <v>0</v>
      </c>
      <c r="I551" s="17">
        <f>_xlfn.XLOOKUP($B551,'[1]Apr-24'!$A:$A,'[1]Apr-24'!$H:$H,0)</f>
        <v>0</v>
      </c>
      <c r="J551" s="17">
        <f>_xlfn.XLOOKUP($B551,'[1]May-24'!$A:$A,'[1]May-24'!$H:$H,0)</f>
        <v>0</v>
      </c>
      <c r="K551" s="17">
        <f>_xlfn.XLOOKUP($B551,'[1]Jun-24'!$A:$A,'[1]Jun-24'!$H:$H,0)</f>
        <v>0</v>
      </c>
      <c r="L551" s="17">
        <f>_xlfn.XLOOKUP($B551,'[1]Jul-24'!$A:$A,'[1]Jul-24'!$H:$H,0)</f>
        <v>0</v>
      </c>
      <c r="M551" s="17">
        <f>_xlfn.XLOOKUP($B551,'[1]Aug-24'!$A:$A,'[1]Aug-24'!$H:$H,0)</f>
        <v>0</v>
      </c>
      <c r="N551" s="17">
        <f>_xlfn.XLOOKUP($B551,'[1]Sep-24'!$A:$A,'[1]Sep-24'!$H:$H,0)</f>
        <v>0</v>
      </c>
      <c r="O551" s="17">
        <f>_xlfn.XLOOKUP($B551,'[1]Oct-24'!$A:$A,'[1]Oct-24'!$H:$H,0)</f>
        <v>0</v>
      </c>
      <c r="P551" s="17">
        <f>_xlfn.XLOOKUP($B551,'[1]Nov-24'!$A:$A,'[1]Nov-24'!$H:$H,0)</f>
        <v>0</v>
      </c>
      <c r="Q551" s="17">
        <f>_xlfn.XLOOKUP($B551,'[1]Dec-24'!$A:$A,'[1]Dec-24'!$H:$H,0)</f>
        <v>0</v>
      </c>
      <c r="R551" s="17">
        <f>_xlfn.XLOOKUP($B551,'[1]Jan-25'!$A:$A,'[1]Jan-25'!$H:$H,0)</f>
        <v>0</v>
      </c>
      <c r="S551" s="17">
        <f>_xlfn.XLOOKUP($B551,'[1]Feb-25'!$A:$A,'[1]Feb-25'!$H:$H,0)</f>
        <v>0</v>
      </c>
      <c r="T551" s="17">
        <f>_xlfn.XLOOKUP($B551,'[1]Mar-25'!$A:$A,'[1]Mar-25'!$H:$H,0)</f>
        <v>0</v>
      </c>
      <c r="U551" s="17">
        <f>_xlfn.XLOOKUP($B551,'[1]Apr-25'!$A:$A,'[1]Apr-25'!$H:$H,0)</f>
        <v>0</v>
      </c>
      <c r="V551" s="17">
        <f>_xlfn.XLOOKUP($B551,'[1]May-25'!$A:$A,'[1]May-25'!$H:$H,0)</f>
        <v>0</v>
      </c>
      <c r="W551" s="17">
        <f>_xlfn.XLOOKUP($B551,'[1]Jun-25'!$A:$A,'[1]Jun-25'!$H:$H,0)</f>
        <v>0</v>
      </c>
      <c r="X551" s="17">
        <f>_xlfn.XLOOKUP($B551,'[1]Jul-25'!$A:$A,'[1]Jul-25'!$H:$H,0)</f>
        <v>0</v>
      </c>
      <c r="Y551" s="17">
        <f>_xlfn.XLOOKUP($B551,'[1]Aug-25'!$A:$A,'[1]Aug-25'!$H:$H,0)</f>
        <v>0</v>
      </c>
      <c r="Z551" s="17">
        <f>_xlfn.XLOOKUP($B551,'[1]Sep-25'!$A:$A,'[1]Sep-25'!$H:$H,0)</f>
        <v>0</v>
      </c>
      <c r="AA551" s="17">
        <f>_xlfn.XLOOKUP($B551,'[1]Oct-25'!$A:$A,'[1]Oct-25'!$H:$H,0)</f>
        <v>0</v>
      </c>
      <c r="AB551" s="17">
        <f>_xlfn.XLOOKUP($B551,'[1]Nov-25'!$A:$A,'[1]Nov-25'!$H:$H,0)</f>
        <v>0</v>
      </c>
      <c r="AC551" s="17">
        <f>_xlfn.XLOOKUP($B551,'[1]Dec-25'!$A:$A,'[1]Dec-25'!$H:$H,0)</f>
        <v>0</v>
      </c>
      <c r="AD551" s="17">
        <f>_xlfn.XLOOKUP($B551,'[1]Jan-26'!$A:$A,'[1]Jan-26'!$H:$H,0)</f>
        <v>0</v>
      </c>
      <c r="AE551" s="17">
        <f>_xlfn.XLOOKUP($B551,'[1]Feb-26'!$A:$A,'[1]Feb-26'!$H:$H,0)</f>
        <v>0</v>
      </c>
      <c r="AF551" s="17">
        <f>_xlfn.XLOOKUP($B551,'[1]Mar-26'!$A:$A,'[1]Mar-26'!$H:$H,0)</f>
        <v>0</v>
      </c>
      <c r="AG551" s="17">
        <f>_xlfn.XLOOKUP($B551,'[1]Apr-26'!$A:$A,'[1]Apr-26'!$H:$H,0)</f>
        <v>0</v>
      </c>
    </row>
    <row r="552" spans="1:33" x14ac:dyDescent="0.2">
      <c r="A552" s="58">
        <v>67901</v>
      </c>
      <c r="B552" s="56" t="str">
        <f t="shared" si="14"/>
        <v>67901</v>
      </c>
      <c r="C552" s="57" t="s">
        <v>389</v>
      </c>
      <c r="D552" s="57" t="s">
        <v>387</v>
      </c>
      <c r="E552" s="44" t="s">
        <v>734</v>
      </c>
      <c r="F552" s="17">
        <f>_xlfn.XLOOKUP($B552,'[1]Jan-24'!$A:$A,'[1]Jan-24'!$H:$H,0)</f>
        <v>0</v>
      </c>
      <c r="G552" s="17">
        <f>_xlfn.XLOOKUP($B552,'[1]Feb-24'!$A:$A,'[1]Feb-24'!$H:$H,0)</f>
        <v>0</v>
      </c>
      <c r="H552" s="17">
        <f>_xlfn.XLOOKUP($B552,'[1]Mar-24'!$A:$A,'[1]Mar-24'!$H:$H,0)</f>
        <v>0</v>
      </c>
      <c r="I552" s="17">
        <f>_xlfn.XLOOKUP($B552,'[1]Apr-24'!$A:$A,'[1]Apr-24'!$H:$H,0)</f>
        <v>0</v>
      </c>
      <c r="J552" s="17">
        <f>_xlfn.XLOOKUP($B552,'[1]May-24'!$A:$A,'[1]May-24'!$H:$H,0)</f>
        <v>0</v>
      </c>
      <c r="K552" s="17">
        <f>_xlfn.XLOOKUP($B552,'[1]Jun-24'!$A:$A,'[1]Jun-24'!$H:$H,0)</f>
        <v>0</v>
      </c>
      <c r="L552" s="17">
        <f>_xlfn.XLOOKUP($B552,'[1]Jul-24'!$A:$A,'[1]Jul-24'!$H:$H,0)</f>
        <v>0</v>
      </c>
      <c r="M552" s="17">
        <f>_xlfn.XLOOKUP($B552,'[1]Aug-24'!$A:$A,'[1]Aug-24'!$H:$H,0)</f>
        <v>0</v>
      </c>
      <c r="N552" s="17">
        <f>_xlfn.XLOOKUP($B552,'[1]Sep-24'!$A:$A,'[1]Sep-24'!$H:$H,0)</f>
        <v>0</v>
      </c>
      <c r="O552" s="17">
        <f>_xlfn.XLOOKUP($B552,'[1]Oct-24'!$A:$A,'[1]Oct-24'!$H:$H,0)</f>
        <v>0</v>
      </c>
      <c r="P552" s="17">
        <f>_xlfn.XLOOKUP($B552,'[1]Nov-24'!$A:$A,'[1]Nov-24'!$H:$H,0)</f>
        <v>0</v>
      </c>
      <c r="Q552" s="17">
        <f>_xlfn.XLOOKUP($B552,'[1]Dec-24'!$A:$A,'[1]Dec-24'!$H:$H,0)</f>
        <v>10024754.609999999</v>
      </c>
      <c r="R552" s="17">
        <f>_xlfn.XLOOKUP($B552,'[1]Jan-25'!$A:$A,'[1]Jan-25'!$H:$H,0)</f>
        <v>0</v>
      </c>
      <c r="S552" s="17">
        <f>_xlfn.XLOOKUP($B552,'[1]Feb-25'!$A:$A,'[1]Feb-25'!$H:$H,0)</f>
        <v>0</v>
      </c>
      <c r="T552" s="17">
        <f>_xlfn.XLOOKUP($B552,'[1]Mar-25'!$A:$A,'[1]Mar-25'!$H:$H,0)</f>
        <v>0</v>
      </c>
      <c r="U552" s="17">
        <f>_xlfn.XLOOKUP($B552,'[1]Apr-25'!$A:$A,'[1]Apr-25'!$H:$H,0)</f>
        <v>0</v>
      </c>
      <c r="V552" s="17">
        <f>_xlfn.XLOOKUP($B552,'[1]May-25'!$A:$A,'[1]May-25'!$H:$H,0)</f>
        <v>0</v>
      </c>
      <c r="W552" s="17">
        <f>_xlfn.XLOOKUP($B552,'[1]Jun-25'!$A:$A,'[1]Jun-25'!$H:$H,0)</f>
        <v>0</v>
      </c>
      <c r="X552" s="17">
        <f>_xlfn.XLOOKUP($B552,'[1]Jul-25'!$A:$A,'[1]Jul-25'!$H:$H,0)</f>
        <v>0</v>
      </c>
      <c r="Y552" s="17">
        <f>_xlfn.XLOOKUP($B552,'[1]Aug-25'!$A:$A,'[1]Aug-25'!$H:$H,0)</f>
        <v>0</v>
      </c>
      <c r="Z552" s="17">
        <f>_xlfn.XLOOKUP($B552,'[1]Sep-25'!$A:$A,'[1]Sep-25'!$H:$H,0)</f>
        <v>0</v>
      </c>
      <c r="AA552" s="17">
        <f>_xlfn.XLOOKUP($B552,'[1]Oct-25'!$A:$A,'[1]Oct-25'!$H:$H,0)</f>
        <v>0</v>
      </c>
      <c r="AB552" s="17">
        <f>_xlfn.XLOOKUP($B552,'[1]Nov-25'!$A:$A,'[1]Nov-25'!$H:$H,0)</f>
        <v>0</v>
      </c>
      <c r="AC552" s="17">
        <f>_xlfn.XLOOKUP($B552,'[1]Dec-25'!$A:$A,'[1]Dec-25'!$H:$H,0)</f>
        <v>0</v>
      </c>
      <c r="AD552" s="17">
        <f>_xlfn.XLOOKUP($B552,'[1]Jan-26'!$A:$A,'[1]Jan-26'!$H:$H,0)</f>
        <v>0</v>
      </c>
      <c r="AE552" s="17">
        <f>_xlfn.XLOOKUP($B552,'[1]Feb-26'!$A:$A,'[1]Feb-26'!$H:$H,0)</f>
        <v>0</v>
      </c>
      <c r="AF552" s="17">
        <f>_xlfn.XLOOKUP($B552,'[1]Mar-26'!$A:$A,'[1]Mar-26'!$H:$H,0)</f>
        <v>0</v>
      </c>
      <c r="AG552" s="17">
        <f>_xlfn.XLOOKUP($B552,'[1]Apr-26'!$A:$A,'[1]Apr-26'!$H:$H,0)</f>
        <v>0</v>
      </c>
    </row>
    <row r="553" spans="1:33" x14ac:dyDescent="0.2">
      <c r="A553" s="58">
        <v>67920</v>
      </c>
      <c r="B553" s="56" t="str">
        <f t="shared" si="14"/>
        <v>67920</v>
      </c>
      <c r="C553" s="57" t="s">
        <v>477</v>
      </c>
      <c r="D553" s="57" t="s">
        <v>387</v>
      </c>
      <c r="E553" s="44" t="s">
        <v>735</v>
      </c>
      <c r="F553" s="17">
        <f>_xlfn.XLOOKUP($B553,'[1]Jan-24'!$A:$A,'[1]Jan-24'!$H:$H,0)</f>
        <v>-87500</v>
      </c>
      <c r="G553" s="17">
        <f>_xlfn.XLOOKUP($B553,'[1]Feb-24'!$A:$A,'[1]Feb-24'!$H:$H,0)</f>
        <v>-13056386.49</v>
      </c>
      <c r="H553" s="17">
        <f>_xlfn.XLOOKUP($B553,'[1]Mar-24'!$A:$A,'[1]Mar-24'!$H:$H,0)</f>
        <v>-1383083.81</v>
      </c>
      <c r="I553" s="17">
        <f>_xlfn.XLOOKUP($B553,'[1]Apr-24'!$A:$A,'[1]Apr-24'!$H:$H,0)</f>
        <v>-24549870.409999967</v>
      </c>
      <c r="J553" s="17">
        <f>_xlfn.XLOOKUP($B553,'[1]May-24'!$A:$A,'[1]May-24'!$H:$H,0)</f>
        <v>44062355.840000004</v>
      </c>
      <c r="K553" s="17">
        <f>_xlfn.XLOOKUP($B553,'[1]Jun-24'!$A:$A,'[1]Jun-24'!$H:$H,0)</f>
        <v>56699031.49000001</v>
      </c>
      <c r="L553" s="17">
        <f>_xlfn.XLOOKUP($B553,'[1]Jul-24'!$A:$A,'[1]Jul-24'!$H:$H,0)</f>
        <v>40860281.339999974</v>
      </c>
      <c r="M553" s="17">
        <f>_xlfn.XLOOKUP($B553,'[1]Aug-24'!$A:$A,'[1]Aug-24'!$H:$H,0)</f>
        <v>-11849483</v>
      </c>
      <c r="N553" s="17">
        <f>_xlfn.XLOOKUP($B553,'[1]Sep-24'!$A:$A,'[1]Sep-24'!$H:$H,0)</f>
        <v>-165902362.72999996</v>
      </c>
      <c r="O553" s="17">
        <f>_xlfn.XLOOKUP($B553,'[1]Oct-24'!$A:$A,'[1]Oct-24'!$H:$H,0)</f>
        <v>142600528.06999999</v>
      </c>
      <c r="P553" s="17">
        <f>_xlfn.XLOOKUP($B553,'[1]Nov-24'!$A:$A,'[1]Nov-24'!$H:$H,0)</f>
        <v>33847644.530000001</v>
      </c>
      <c r="Q553" s="17">
        <f>_xlfn.XLOOKUP($B553,'[1]Dec-24'!$A:$A,'[1]Dec-24'!$H:$H,0)</f>
        <v>-332730012.13999999</v>
      </c>
      <c r="R553" s="17">
        <f>_xlfn.XLOOKUP($B553,'[1]Jan-25'!$A:$A,'[1]Jan-25'!$H:$H,0)</f>
        <v>-12271596.179999996</v>
      </c>
      <c r="S553" s="17">
        <f>_xlfn.XLOOKUP($B553,'[1]Feb-25'!$A:$A,'[1]Feb-25'!$H:$H,0)</f>
        <v>-50837749.50999999</v>
      </c>
      <c r="T553" s="17">
        <f>_xlfn.XLOOKUP($B553,'[1]Mar-25'!$A:$A,'[1]Mar-25'!$H:$H,0)</f>
        <v>-76093279.030000001</v>
      </c>
      <c r="U553" s="17">
        <f>_xlfn.XLOOKUP($B553,'[1]Apr-25'!$A:$A,'[1]Apr-25'!$H:$H,0)</f>
        <v>-177734003.43000001</v>
      </c>
      <c r="V553" s="17">
        <f>_xlfn.XLOOKUP($B553,'[1]May-25'!$A:$A,'[1]May-25'!$H:$H,0)</f>
        <v>28548544.84</v>
      </c>
      <c r="W553" s="17">
        <f>_xlfn.XLOOKUP($B553,'[1]Jun-25'!$A:$A,'[1]Jun-25'!$H:$H,0)</f>
        <v>116538409.28999999</v>
      </c>
      <c r="X553" s="17">
        <f>_xlfn.XLOOKUP($B553,'[1]Jul-25'!$A:$A,'[1]Jul-25'!$H:$H,0)</f>
        <v>24443157.900000002</v>
      </c>
      <c r="Y553" s="17">
        <f>_xlfn.XLOOKUP($B553,'[1]Aug-25'!$A:$A,'[1]Aug-25'!$H:$H,0)</f>
        <v>-16002200.460000001</v>
      </c>
      <c r="Z553" s="17">
        <f>_xlfn.XLOOKUP($B553,'[1]Sep-25'!$A:$A,'[1]Sep-25'!$H:$H,0)</f>
        <v>102896938.59999998</v>
      </c>
      <c r="AA553" s="17">
        <f>_xlfn.XLOOKUP($B553,'[1]Oct-25'!$A:$A,'[1]Oct-25'!$H:$H,0)</f>
        <v>60146857.420000002</v>
      </c>
      <c r="AB553" s="17">
        <f>_xlfn.XLOOKUP($B553,'[1]Nov-25'!$A:$A,'[1]Nov-25'!$H:$H,0)</f>
        <v>4433832.6300000008</v>
      </c>
      <c r="AC553" s="17">
        <f>_xlfn.XLOOKUP($B553,'[1]Dec-25'!$A:$A,'[1]Dec-25'!$H:$H,0)</f>
        <v>-4372886.3699999992</v>
      </c>
      <c r="AD553" s="17">
        <f>_xlfn.XLOOKUP($B553,'[1]Jan-26'!$A:$A,'[1]Jan-26'!$H:$H,0)</f>
        <v>89354483.729999989</v>
      </c>
      <c r="AE553" s="17">
        <f>_xlfn.XLOOKUP($B553,'[1]Feb-26'!$A:$A,'[1]Feb-26'!$H:$H,0)</f>
        <v>47154879.780000001</v>
      </c>
      <c r="AF553" s="17">
        <f>_xlfn.XLOOKUP($B553,'[1]Mar-26'!$A:$A,'[1]Mar-26'!$H:$H,0)</f>
        <v>-44091513.25</v>
      </c>
      <c r="AG553" s="17">
        <f>_xlfn.XLOOKUP($B553,'[1]Apr-26'!$A:$A,'[1]Apr-26'!$H:$H,0)</f>
        <v>18530632.390000001</v>
      </c>
    </row>
    <row r="554" spans="1:33" x14ac:dyDescent="0.2">
      <c r="A554" s="58">
        <v>67940</v>
      </c>
      <c r="B554" s="56" t="str">
        <f t="shared" si="14"/>
        <v>67940</v>
      </c>
      <c r="C554" s="57" t="s">
        <v>389</v>
      </c>
      <c r="D554" s="57" t="s">
        <v>387</v>
      </c>
      <c r="E554" s="44" t="s">
        <v>736</v>
      </c>
      <c r="F554" s="17">
        <f>_xlfn.XLOOKUP($B554,'[1]Jan-24'!$A:$A,'[1]Jan-24'!$H:$H,0)</f>
        <v>0</v>
      </c>
      <c r="G554" s="17">
        <f>_xlfn.XLOOKUP($B554,'[1]Feb-24'!$A:$A,'[1]Feb-24'!$H:$H,0)</f>
        <v>0.01</v>
      </c>
      <c r="H554" s="17">
        <f>_xlfn.XLOOKUP($B554,'[1]Mar-24'!$A:$A,'[1]Mar-24'!$H:$H,0)</f>
        <v>0</v>
      </c>
      <c r="I554" s="17">
        <f>_xlfn.XLOOKUP($B554,'[1]Apr-24'!$A:$A,'[1]Apr-24'!$H:$H,0)</f>
        <v>-0.01</v>
      </c>
      <c r="J554" s="17">
        <f>_xlfn.XLOOKUP($B554,'[1]May-24'!$A:$A,'[1]May-24'!$H:$H,0)</f>
        <v>-0.01</v>
      </c>
      <c r="K554" s="17">
        <f>_xlfn.XLOOKUP($B554,'[1]Jun-24'!$A:$A,'[1]Jun-24'!$H:$H,0)</f>
        <v>2.0000000018626451E-2</v>
      </c>
      <c r="L554" s="17">
        <f>_xlfn.XLOOKUP($B554,'[1]Jul-24'!$A:$A,'[1]Jul-24'!$H:$H,0)</f>
        <v>0</v>
      </c>
      <c r="M554" s="17">
        <f>_xlfn.XLOOKUP($B554,'[1]Aug-24'!$A:$A,'[1]Aug-24'!$H:$H,0)</f>
        <v>0.01</v>
      </c>
      <c r="N554" s="17">
        <f>_xlfn.XLOOKUP($B554,'[1]Sep-24'!$A:$A,'[1]Sep-24'!$H:$H,0)</f>
        <v>0.03</v>
      </c>
      <c r="O554" s="17">
        <f>_xlfn.XLOOKUP($B554,'[1]Oct-24'!$A:$A,'[1]Oct-24'!$H:$H,0)</f>
        <v>2.3199999999999998</v>
      </c>
      <c r="P554" s="17">
        <f>_xlfn.XLOOKUP($B554,'[1]Nov-24'!$A:$A,'[1]Nov-24'!$H:$H,0)</f>
        <v>-0.01</v>
      </c>
      <c r="Q554" s="17">
        <f>_xlfn.XLOOKUP($B554,'[1]Dec-24'!$A:$A,'[1]Dec-24'!$H:$H,0)</f>
        <v>-1.0000000000000002E-2</v>
      </c>
      <c r="R554" s="17">
        <f>_xlfn.XLOOKUP($B554,'[1]Jan-25'!$A:$A,'[1]Jan-25'!$H:$H,0)</f>
        <v>-0.02</v>
      </c>
      <c r="S554" s="17">
        <f>_xlfn.XLOOKUP($B554,'[1]Feb-25'!$A:$A,'[1]Feb-25'!$H:$H,0)</f>
        <v>-0.02</v>
      </c>
      <c r="T554" s="17">
        <f>_xlfn.XLOOKUP($B554,'[1]Mar-25'!$A:$A,'[1]Mar-25'!$H:$H,0)</f>
        <v>-0.01</v>
      </c>
      <c r="U554" s="17">
        <f>_xlfn.XLOOKUP($B554,'[1]Apr-25'!$A:$A,'[1]Apr-25'!$H:$H,0)</f>
        <v>0.01</v>
      </c>
      <c r="V554" s="17">
        <f>_xlfn.XLOOKUP($B554,'[1]May-25'!$A:$A,'[1]May-25'!$H:$H,0)</f>
        <v>0</v>
      </c>
      <c r="W554" s="17">
        <f>_xlfn.XLOOKUP($B554,'[1]Jun-25'!$A:$A,'[1]Jun-25'!$H:$H,0)</f>
        <v>0</v>
      </c>
      <c r="X554" s="17">
        <f>_xlfn.XLOOKUP($B554,'[1]Jul-25'!$A:$A,'[1]Jul-25'!$H:$H,0)</f>
        <v>0</v>
      </c>
      <c r="Y554" s="17">
        <f>_xlfn.XLOOKUP($B554,'[1]Aug-25'!$A:$A,'[1]Aug-25'!$H:$H,0)</f>
        <v>0</v>
      </c>
      <c r="Z554" s="17">
        <f>_xlfn.XLOOKUP($B554,'[1]Sep-25'!$A:$A,'[1]Sep-25'!$H:$H,0)</f>
        <v>9.9999999999999985E-3</v>
      </c>
      <c r="AA554" s="17">
        <f>_xlfn.XLOOKUP($B554,'[1]Oct-25'!$A:$A,'[1]Oct-25'!$H:$H,0)</f>
        <v>-2.0000000000000004E-2</v>
      </c>
      <c r="AB554" s="17">
        <f>_xlfn.XLOOKUP($B554,'[1]Nov-25'!$A:$A,'[1]Nov-25'!$H:$H,0)</f>
        <v>-9.9999999999999985E-3</v>
      </c>
      <c r="AC554" s="17">
        <f>_xlfn.XLOOKUP($B554,'[1]Dec-25'!$A:$A,'[1]Dec-25'!$H:$H,0)</f>
        <v>0</v>
      </c>
      <c r="AD554" s="17">
        <f>_xlfn.XLOOKUP($B554,'[1]Jan-26'!$A:$A,'[1]Jan-26'!$H:$H,0)</f>
        <v>1.9999999999999997E-2</v>
      </c>
      <c r="AE554" s="17">
        <f>_xlfn.XLOOKUP($B554,'[1]Feb-26'!$A:$A,'[1]Feb-26'!$H:$H,0)</f>
        <v>-1.9999999999999997E-2</v>
      </c>
      <c r="AF554" s="17">
        <f>_xlfn.XLOOKUP($B554,'[1]Mar-26'!$A:$A,'[1]Mar-26'!$H:$H,0)</f>
        <v>9.9999999999999985E-3</v>
      </c>
      <c r="AG554" s="17">
        <f>_xlfn.XLOOKUP($B554,'[1]Apr-26'!$A:$A,'[1]Apr-26'!$H:$H,0)</f>
        <v>2877727.04</v>
      </c>
    </row>
    <row r="555" spans="1:33" x14ac:dyDescent="0.2">
      <c r="A555" s="58">
        <v>68500</v>
      </c>
      <c r="B555" s="56" t="str">
        <f t="shared" si="14"/>
        <v>68500</v>
      </c>
      <c r="C555" s="57" t="s">
        <v>629</v>
      </c>
      <c r="D555" s="57" t="s">
        <v>387</v>
      </c>
      <c r="E555" s="44" t="s">
        <v>737</v>
      </c>
      <c r="F555" s="17">
        <f>_xlfn.XLOOKUP($B555,'[1]Jan-24'!$A:$A,'[1]Jan-24'!$H:$H,0)</f>
        <v>0</v>
      </c>
      <c r="G555" s="17">
        <f>_xlfn.XLOOKUP($B555,'[1]Feb-24'!$A:$A,'[1]Feb-24'!$H:$H,0)</f>
        <v>0</v>
      </c>
      <c r="H555" s="17">
        <f>_xlfn.XLOOKUP($B555,'[1]Mar-24'!$A:$A,'[1]Mar-24'!$H:$H,0)</f>
        <v>5805000</v>
      </c>
      <c r="I555" s="17">
        <f>_xlfn.XLOOKUP($B555,'[1]Apr-24'!$A:$A,'[1]Apr-24'!$H:$H,0)</f>
        <v>1781666.67</v>
      </c>
      <c r="J555" s="17">
        <f>_xlfn.XLOOKUP($B555,'[1]May-24'!$A:$A,'[1]May-24'!$H:$H,0)</f>
        <v>1691666.67</v>
      </c>
      <c r="K555" s="17">
        <f>_xlfn.XLOOKUP($B555,'[1]Jun-24'!$A:$A,'[1]Jun-24'!$H:$H,0)</f>
        <v>2452873.4700000002</v>
      </c>
      <c r="L555" s="17">
        <f>_xlfn.XLOOKUP($B555,'[1]Jul-24'!$A:$A,'[1]Jul-24'!$H:$H,0)</f>
        <v>1791666.67</v>
      </c>
      <c r="M555" s="17">
        <f>_xlfn.XLOOKUP($B555,'[1]Aug-24'!$A:$A,'[1]Aug-24'!$H:$H,0)</f>
        <v>1791666.67</v>
      </c>
      <c r="N555" s="17">
        <f>_xlfn.XLOOKUP($B555,'[1]Sep-24'!$A:$A,'[1]Sep-24'!$H:$H,0)</f>
        <v>1798166.67</v>
      </c>
      <c r="O555" s="17">
        <f>_xlfn.XLOOKUP($B555,'[1]Oct-24'!$A:$A,'[1]Oct-24'!$H:$H,0)</f>
        <v>1791666.67</v>
      </c>
      <c r="P555" s="17">
        <f>_xlfn.XLOOKUP($B555,'[1]Nov-24'!$A:$A,'[1]Nov-24'!$H:$H,0)</f>
        <v>2550916.67</v>
      </c>
      <c r="Q555" s="17">
        <f>_xlfn.XLOOKUP($B555,'[1]Dec-24'!$A:$A,'[1]Dec-24'!$H:$H,0)</f>
        <v>2236666.67</v>
      </c>
      <c r="R555" s="17">
        <f>_xlfn.XLOOKUP($B555,'[1]Jan-25'!$A:$A,'[1]Jan-25'!$H:$H,0)</f>
        <v>1791666.67</v>
      </c>
      <c r="S555" s="17">
        <f>_xlfn.XLOOKUP($B555,'[1]Feb-25'!$A:$A,'[1]Feb-25'!$H:$H,0)</f>
        <v>1791666.67</v>
      </c>
      <c r="T555" s="17">
        <f>_xlfn.XLOOKUP($B555,'[1]Mar-25'!$A:$A,'[1]Mar-25'!$H:$H,0)</f>
        <v>1791666.67</v>
      </c>
      <c r="U555" s="17">
        <f>_xlfn.XLOOKUP($B555,'[1]Apr-25'!$A:$A,'[1]Apr-25'!$H:$H,0)</f>
        <v>1791666.67</v>
      </c>
      <c r="V555" s="17">
        <f>_xlfn.XLOOKUP($B555,'[1]May-25'!$A:$A,'[1]May-25'!$H:$H,0)</f>
        <v>1791666.67</v>
      </c>
      <c r="W555" s="17">
        <f>_xlfn.XLOOKUP($B555,'[1]Jun-25'!$A:$A,'[1]Jun-25'!$H:$H,0)</f>
        <v>1806666.67</v>
      </c>
      <c r="X555" s="17">
        <f>_xlfn.XLOOKUP($B555,'[1]Jul-25'!$A:$A,'[1]Jul-25'!$H:$H,0)</f>
        <v>1791666.67</v>
      </c>
      <c r="Y555" s="17">
        <f>_xlfn.XLOOKUP($B555,'[1]Aug-25'!$A:$A,'[1]Aug-25'!$H:$H,0)</f>
        <v>1791666.67</v>
      </c>
      <c r="Z555" s="17">
        <f>_xlfn.XLOOKUP($B555,'[1]Sep-25'!$A:$A,'[1]Sep-25'!$H:$H,0)</f>
        <v>1791666.67</v>
      </c>
      <c r="AA555" s="17">
        <f>_xlfn.XLOOKUP($B555,'[1]Oct-25'!$A:$A,'[1]Oct-25'!$H:$H,0)</f>
        <v>1791666.67</v>
      </c>
      <c r="AB555" s="17">
        <f>_xlfn.XLOOKUP($B555,'[1]Nov-25'!$A:$A,'[1]Nov-25'!$H:$H,0)</f>
        <v>1791666.67</v>
      </c>
      <c r="AC555" s="17">
        <f>_xlfn.XLOOKUP($B555,'[1]Dec-25'!$A:$A,'[1]Dec-25'!$H:$H,0)</f>
        <v>1791666.67</v>
      </c>
      <c r="AD555" s="17">
        <f>_xlfn.XLOOKUP($B555,'[1]Jan-26'!$A:$A,'[1]Jan-26'!$H:$H,0)</f>
        <v>1666666.67</v>
      </c>
      <c r="AE555" s="17">
        <f>_xlfn.XLOOKUP($B555,'[1]Feb-26'!$A:$A,'[1]Feb-26'!$H:$H,0)</f>
        <v>1666666.67</v>
      </c>
      <c r="AF555" s="17">
        <f>_xlfn.XLOOKUP($B555,'[1]Mar-26'!$A:$A,'[1]Mar-26'!$H:$H,0)</f>
        <v>1666666.67</v>
      </c>
      <c r="AG555" s="17">
        <f>_xlfn.XLOOKUP($B555,'[1]Apr-26'!$A:$A,'[1]Apr-26'!$H:$H,0)</f>
        <v>1666666.67</v>
      </c>
    </row>
    <row r="556" spans="1:33" x14ac:dyDescent="0.2">
      <c r="A556" s="58">
        <v>68501</v>
      </c>
      <c r="B556" s="56" t="str">
        <f t="shared" si="14"/>
        <v>68501</v>
      </c>
      <c r="C556" s="57" t="s">
        <v>629</v>
      </c>
      <c r="D556" s="57" t="s">
        <v>387</v>
      </c>
      <c r="E556" s="44" t="s">
        <v>738</v>
      </c>
      <c r="F556" s="17">
        <f>_xlfn.XLOOKUP($B556,'[1]Jan-24'!$A:$A,'[1]Jan-24'!$H:$H,0)</f>
        <v>0</v>
      </c>
      <c r="G556" s="17">
        <f>_xlfn.XLOOKUP($B556,'[1]Feb-24'!$A:$A,'[1]Feb-24'!$H:$H,0)</f>
        <v>0</v>
      </c>
      <c r="H556" s="17">
        <f>_xlfn.XLOOKUP($B556,'[1]Mar-24'!$A:$A,'[1]Mar-24'!$H:$H,0)</f>
        <v>0</v>
      </c>
      <c r="I556" s="17">
        <f>_xlfn.XLOOKUP($B556,'[1]Apr-24'!$A:$A,'[1]Apr-24'!$H:$H,0)</f>
        <v>0</v>
      </c>
      <c r="J556" s="17">
        <f>_xlfn.XLOOKUP($B556,'[1]May-24'!$A:$A,'[1]May-24'!$H:$H,0)</f>
        <v>0</v>
      </c>
      <c r="K556" s="17">
        <f>_xlfn.XLOOKUP($B556,'[1]Jun-24'!$A:$A,'[1]Jun-24'!$H:$H,0)</f>
        <v>0</v>
      </c>
      <c r="L556" s="17">
        <f>_xlfn.XLOOKUP($B556,'[1]Jul-24'!$A:$A,'[1]Jul-24'!$H:$H,0)</f>
        <v>0</v>
      </c>
      <c r="M556" s="17">
        <f>_xlfn.XLOOKUP($B556,'[1]Aug-24'!$A:$A,'[1]Aug-24'!$H:$H,0)</f>
        <v>0</v>
      </c>
      <c r="N556" s="17">
        <f>_xlfn.XLOOKUP($B556,'[1]Sep-24'!$A:$A,'[1]Sep-24'!$H:$H,0)</f>
        <v>0</v>
      </c>
      <c r="O556" s="17">
        <f>_xlfn.XLOOKUP($B556,'[1]Oct-24'!$A:$A,'[1]Oct-24'!$H:$H,0)</f>
        <v>0</v>
      </c>
      <c r="P556" s="17">
        <f>_xlfn.XLOOKUP($B556,'[1]Nov-24'!$A:$A,'[1]Nov-24'!$H:$H,0)</f>
        <v>0</v>
      </c>
      <c r="Q556" s="17">
        <f>_xlfn.XLOOKUP($B556,'[1]Dec-24'!$A:$A,'[1]Dec-24'!$H:$H,0)</f>
        <v>9675000</v>
      </c>
      <c r="R556" s="17">
        <f>_xlfn.XLOOKUP($B556,'[1]Jan-25'!$A:$A,'[1]Jan-25'!$H:$H,0)</f>
        <v>0</v>
      </c>
      <c r="S556" s="17">
        <f>_xlfn.XLOOKUP($B556,'[1]Feb-25'!$A:$A,'[1]Feb-25'!$H:$H,0)</f>
        <v>0</v>
      </c>
      <c r="T556" s="17">
        <f>_xlfn.XLOOKUP($B556,'[1]Mar-25'!$A:$A,'[1]Mar-25'!$H:$H,0)</f>
        <v>0</v>
      </c>
      <c r="U556" s="17">
        <f>_xlfn.XLOOKUP($B556,'[1]Apr-25'!$A:$A,'[1]Apr-25'!$H:$H,0)</f>
        <v>0</v>
      </c>
      <c r="V556" s="17">
        <f>_xlfn.XLOOKUP($B556,'[1]May-25'!$A:$A,'[1]May-25'!$H:$H,0)</f>
        <v>0</v>
      </c>
      <c r="W556" s="17">
        <f>_xlfn.XLOOKUP($B556,'[1]Jun-25'!$A:$A,'[1]Jun-25'!$H:$H,0)</f>
        <v>0</v>
      </c>
      <c r="X556" s="17">
        <f>_xlfn.XLOOKUP($B556,'[1]Jul-25'!$A:$A,'[1]Jul-25'!$H:$H,0)</f>
        <v>0</v>
      </c>
      <c r="Y556" s="17">
        <f>_xlfn.XLOOKUP($B556,'[1]Aug-25'!$A:$A,'[1]Aug-25'!$H:$H,0)</f>
        <v>0</v>
      </c>
      <c r="Z556" s="17">
        <f>_xlfn.XLOOKUP($B556,'[1]Sep-25'!$A:$A,'[1]Sep-25'!$H:$H,0)</f>
        <v>0</v>
      </c>
      <c r="AA556" s="17">
        <f>_xlfn.XLOOKUP($B556,'[1]Oct-25'!$A:$A,'[1]Oct-25'!$H:$H,0)</f>
        <v>0</v>
      </c>
      <c r="AB556" s="17">
        <f>_xlfn.XLOOKUP($B556,'[1]Nov-25'!$A:$A,'[1]Nov-25'!$H:$H,0)</f>
        <v>0</v>
      </c>
      <c r="AC556" s="17">
        <f>_xlfn.XLOOKUP($B556,'[1]Dec-25'!$A:$A,'[1]Dec-25'!$H:$H,0)</f>
        <v>0</v>
      </c>
      <c r="AD556" s="17">
        <f>_xlfn.XLOOKUP($B556,'[1]Jan-26'!$A:$A,'[1]Jan-26'!$H:$H,0)</f>
        <v>0</v>
      </c>
      <c r="AE556" s="17">
        <f>_xlfn.XLOOKUP($B556,'[1]Feb-26'!$A:$A,'[1]Feb-26'!$H:$H,0)</f>
        <v>0</v>
      </c>
      <c r="AF556" s="17">
        <f>_xlfn.XLOOKUP($B556,'[1]Mar-26'!$A:$A,'[1]Mar-26'!$H:$H,0)</f>
        <v>0</v>
      </c>
      <c r="AG556" s="17">
        <f>_xlfn.XLOOKUP($B556,'[1]Apr-26'!$A:$A,'[1]Apr-26'!$H:$H,0)</f>
        <v>0</v>
      </c>
    </row>
    <row r="557" spans="1:33" x14ac:dyDescent="0.2">
      <c r="A557" s="58">
        <v>68502</v>
      </c>
      <c r="B557" s="56" t="str">
        <f t="shared" si="14"/>
        <v>68502</v>
      </c>
      <c r="C557" s="57" t="s">
        <v>629</v>
      </c>
      <c r="D557" s="57" t="s">
        <v>387</v>
      </c>
      <c r="E557" s="44" t="s">
        <v>739</v>
      </c>
      <c r="F557" s="17">
        <f>_xlfn.XLOOKUP($B557,'[1]Jan-24'!$A:$A,'[1]Jan-24'!$H:$H,0)</f>
        <v>0</v>
      </c>
      <c r="G557" s="17">
        <f>_xlfn.XLOOKUP($B557,'[1]Feb-24'!$A:$A,'[1]Feb-24'!$H:$H,0)</f>
        <v>-5750000</v>
      </c>
      <c r="H557" s="17">
        <f>_xlfn.XLOOKUP($B557,'[1]Mar-24'!$A:$A,'[1]Mar-24'!$H:$H,0)</f>
        <v>3242468.75</v>
      </c>
      <c r="I557" s="17">
        <f>_xlfn.XLOOKUP($B557,'[1]Apr-24'!$A:$A,'[1]Apr-24'!$H:$H,0)</f>
        <v>-1023750</v>
      </c>
      <c r="J557" s="17">
        <f>_xlfn.XLOOKUP($B557,'[1]May-24'!$A:$A,'[1]May-24'!$H:$H,0)</f>
        <v>0</v>
      </c>
      <c r="K557" s="17">
        <f>_xlfn.XLOOKUP($B557,'[1]Jun-24'!$A:$A,'[1]Jun-24'!$H:$H,0)</f>
        <v>460476</v>
      </c>
      <c r="L557" s="17">
        <f>_xlfn.XLOOKUP($B557,'[1]Jul-24'!$A:$A,'[1]Jul-24'!$H:$H,0)</f>
        <v>967110</v>
      </c>
      <c r="M557" s="17">
        <f>_xlfn.XLOOKUP($B557,'[1]Aug-24'!$A:$A,'[1]Aug-24'!$H:$H,0)</f>
        <v>477045</v>
      </c>
      <c r="N557" s="17">
        <f>_xlfn.XLOOKUP($B557,'[1]Sep-24'!$A:$A,'[1]Sep-24'!$H:$H,0)</f>
        <v>495510</v>
      </c>
      <c r="O557" s="17">
        <f>_xlfn.XLOOKUP($B557,'[1]Oct-24'!$A:$A,'[1]Oct-24'!$H:$H,0)</f>
        <v>492765</v>
      </c>
      <c r="P557" s="17">
        <f>_xlfn.XLOOKUP($B557,'[1]Nov-24'!$A:$A,'[1]Nov-24'!$H:$H,0)</f>
        <v>0</v>
      </c>
      <c r="Q557" s="17">
        <f>_xlfn.XLOOKUP($B557,'[1]Dec-24'!$A:$A,'[1]Dec-24'!$H:$H,0)</f>
        <v>0</v>
      </c>
      <c r="R557" s="17">
        <f>_xlfn.XLOOKUP($B557,'[1]Jan-25'!$A:$A,'[1]Jan-25'!$H:$H,0)</f>
        <v>0</v>
      </c>
      <c r="S557" s="17">
        <f>_xlfn.XLOOKUP($B557,'[1]Feb-25'!$A:$A,'[1]Feb-25'!$H:$H,0)</f>
        <v>0</v>
      </c>
      <c r="T557" s="17">
        <f>_xlfn.XLOOKUP($B557,'[1]Mar-25'!$A:$A,'[1]Mar-25'!$H:$H,0)</f>
        <v>0</v>
      </c>
      <c r="U557" s="17">
        <f>_xlfn.XLOOKUP($B557,'[1]Apr-25'!$A:$A,'[1]Apr-25'!$H:$H,0)</f>
        <v>0</v>
      </c>
      <c r="V557" s="17">
        <f>_xlfn.XLOOKUP($B557,'[1]May-25'!$A:$A,'[1]May-25'!$H:$H,0)</f>
        <v>0</v>
      </c>
      <c r="W557" s="17">
        <f>_xlfn.XLOOKUP($B557,'[1]Jun-25'!$A:$A,'[1]Jun-25'!$H:$H,0)</f>
        <v>0</v>
      </c>
      <c r="X557" s="17">
        <f>_xlfn.XLOOKUP($B557,'[1]Jul-25'!$A:$A,'[1]Jul-25'!$H:$H,0)</f>
        <v>0</v>
      </c>
      <c r="Y557" s="17">
        <f>_xlfn.XLOOKUP($B557,'[1]Aug-25'!$A:$A,'[1]Aug-25'!$H:$H,0)</f>
        <v>0</v>
      </c>
      <c r="Z557" s="17">
        <f>_xlfn.XLOOKUP($B557,'[1]Sep-25'!$A:$A,'[1]Sep-25'!$H:$H,0)</f>
        <v>0</v>
      </c>
      <c r="AA557" s="17">
        <f>_xlfn.XLOOKUP($B557,'[1]Oct-25'!$A:$A,'[1]Oct-25'!$H:$H,0)</f>
        <v>0</v>
      </c>
      <c r="AB557" s="17">
        <f>_xlfn.XLOOKUP($B557,'[1]Nov-25'!$A:$A,'[1]Nov-25'!$H:$H,0)</f>
        <v>0</v>
      </c>
      <c r="AC557" s="17">
        <f>_xlfn.XLOOKUP($B557,'[1]Dec-25'!$A:$A,'[1]Dec-25'!$H:$H,0)</f>
        <v>0</v>
      </c>
      <c r="AD557" s="17">
        <f>_xlfn.XLOOKUP($B557,'[1]Jan-26'!$A:$A,'[1]Jan-26'!$H:$H,0)</f>
        <v>0</v>
      </c>
      <c r="AE557" s="17">
        <f>_xlfn.XLOOKUP($B557,'[1]Feb-26'!$A:$A,'[1]Feb-26'!$H:$H,0)</f>
        <v>0</v>
      </c>
      <c r="AF557" s="17">
        <f>_xlfn.XLOOKUP($B557,'[1]Mar-26'!$A:$A,'[1]Mar-26'!$H:$H,0)</f>
        <v>0</v>
      </c>
      <c r="AG557" s="17">
        <f>_xlfn.XLOOKUP($B557,'[1]Apr-26'!$A:$A,'[1]Apr-26'!$H:$H,0)</f>
        <v>0</v>
      </c>
    </row>
    <row r="558" spans="1:33" x14ac:dyDescent="0.2">
      <c r="A558" s="58">
        <v>68503</v>
      </c>
      <c r="B558" s="56" t="str">
        <f t="shared" si="14"/>
        <v>68503</v>
      </c>
      <c r="C558" s="57" t="s">
        <v>629</v>
      </c>
      <c r="D558" s="57" t="s">
        <v>387</v>
      </c>
      <c r="E558" s="44" t="s">
        <v>740</v>
      </c>
      <c r="F558" s="17">
        <f>_xlfn.XLOOKUP($B558,'[1]Jan-24'!$A:$A,'[1]Jan-24'!$H:$H,0)</f>
        <v>700000</v>
      </c>
      <c r="G558" s="17">
        <f>_xlfn.XLOOKUP($B558,'[1]Feb-24'!$A:$A,'[1]Feb-24'!$H:$H,0)</f>
        <v>1517998.23</v>
      </c>
      <c r="H558" s="17">
        <f>_xlfn.XLOOKUP($B558,'[1]Mar-24'!$A:$A,'[1]Mar-24'!$H:$H,0)</f>
        <v>3264340</v>
      </c>
      <c r="I558" s="17">
        <f>_xlfn.XLOOKUP($B558,'[1]Apr-24'!$A:$A,'[1]Apr-24'!$H:$H,0)</f>
        <v>1505000</v>
      </c>
      <c r="J558" s="17">
        <f>_xlfn.XLOOKUP($B558,'[1]May-24'!$A:$A,'[1]May-24'!$H:$H,0)</f>
        <v>500000</v>
      </c>
      <c r="K558" s="17">
        <f>_xlfn.XLOOKUP($B558,'[1]Jun-24'!$A:$A,'[1]Jun-24'!$H:$H,0)</f>
        <v>5751250</v>
      </c>
      <c r="L558" s="17">
        <f>_xlfn.XLOOKUP($B558,'[1]Jul-24'!$A:$A,'[1]Jul-24'!$H:$H,0)</f>
        <v>0</v>
      </c>
      <c r="M558" s="17">
        <f>_xlfn.XLOOKUP($B558,'[1]Aug-24'!$A:$A,'[1]Aug-24'!$H:$H,0)</f>
        <v>500000</v>
      </c>
      <c r="N558" s="17">
        <f>_xlfn.XLOOKUP($B558,'[1]Sep-24'!$A:$A,'[1]Sep-24'!$H:$H,0)</f>
        <v>0</v>
      </c>
      <c r="O558" s="17">
        <f>_xlfn.XLOOKUP($B558,'[1]Oct-24'!$A:$A,'[1]Oct-24'!$H:$H,0)</f>
        <v>0</v>
      </c>
      <c r="P558" s="17">
        <f>_xlfn.XLOOKUP($B558,'[1]Nov-24'!$A:$A,'[1]Nov-24'!$H:$H,0)</f>
        <v>0</v>
      </c>
      <c r="Q558" s="17">
        <f>_xlfn.XLOOKUP($B558,'[1]Dec-24'!$A:$A,'[1]Dec-24'!$H:$H,0)</f>
        <v>1145000</v>
      </c>
      <c r="R558" s="17">
        <f>_xlfn.XLOOKUP($B558,'[1]Jan-25'!$A:$A,'[1]Jan-25'!$H:$H,0)</f>
        <v>0</v>
      </c>
      <c r="S558" s="17">
        <f>_xlfn.XLOOKUP($B558,'[1]Feb-25'!$A:$A,'[1]Feb-25'!$H:$H,0)</f>
        <v>1400000</v>
      </c>
      <c r="T558" s="17">
        <f>_xlfn.XLOOKUP($B558,'[1]Mar-25'!$A:$A,'[1]Mar-25'!$H:$H,0)</f>
        <v>0</v>
      </c>
      <c r="U558" s="17">
        <f>_xlfn.XLOOKUP($B558,'[1]Apr-25'!$A:$A,'[1]Apr-25'!$H:$H,0)</f>
        <v>0</v>
      </c>
      <c r="V558" s="17">
        <f>_xlfn.XLOOKUP($B558,'[1]May-25'!$A:$A,'[1]May-25'!$H:$H,0)</f>
        <v>1881250</v>
      </c>
      <c r="W558" s="17">
        <f>_xlfn.XLOOKUP($B558,'[1]Jun-25'!$A:$A,'[1]Jun-25'!$H:$H,0)</f>
        <v>0</v>
      </c>
      <c r="X558" s="17">
        <f>_xlfn.XLOOKUP($B558,'[1]Jul-25'!$A:$A,'[1]Jul-25'!$H:$H,0)</f>
        <v>0</v>
      </c>
      <c r="Y558" s="17">
        <f>_xlfn.XLOOKUP($B558,'[1]Aug-25'!$A:$A,'[1]Aug-25'!$H:$H,0)</f>
        <v>0</v>
      </c>
      <c r="Z558" s="17">
        <f>_xlfn.XLOOKUP($B558,'[1]Sep-25'!$A:$A,'[1]Sep-25'!$H:$H,0)</f>
        <v>0</v>
      </c>
      <c r="AA558" s="17">
        <f>_xlfn.XLOOKUP($B558,'[1]Oct-25'!$A:$A,'[1]Oct-25'!$H:$H,0)</f>
        <v>450000</v>
      </c>
      <c r="AB558" s="17">
        <f>_xlfn.XLOOKUP($B558,'[1]Nov-25'!$A:$A,'[1]Nov-25'!$H:$H,0)</f>
        <v>0</v>
      </c>
      <c r="AC558" s="17">
        <f>_xlfn.XLOOKUP($B558,'[1]Dec-25'!$A:$A,'[1]Dec-25'!$H:$H,0)</f>
        <v>1556250</v>
      </c>
      <c r="AD558" s="17">
        <f>_xlfn.XLOOKUP($B558,'[1]Jan-26'!$A:$A,'[1]Jan-26'!$H:$H,0)</f>
        <v>0</v>
      </c>
      <c r="AE558" s="17">
        <f>_xlfn.XLOOKUP($B558,'[1]Feb-26'!$A:$A,'[1]Feb-26'!$H:$H,0)</f>
        <v>0</v>
      </c>
      <c r="AF558" s="17">
        <f>_xlfn.XLOOKUP($B558,'[1]Mar-26'!$A:$A,'[1]Mar-26'!$H:$H,0)</f>
        <v>1473684.21</v>
      </c>
      <c r="AG558" s="17">
        <f>_xlfn.XLOOKUP($B558,'[1]Apr-26'!$A:$A,'[1]Apr-26'!$H:$H,0)</f>
        <v>0</v>
      </c>
    </row>
    <row r="559" spans="1:33" x14ac:dyDescent="0.2">
      <c r="A559" s="58">
        <v>69500</v>
      </c>
      <c r="B559" s="56" t="str">
        <f t="shared" si="14"/>
        <v>69500</v>
      </c>
      <c r="C559" s="57" t="s">
        <v>565</v>
      </c>
      <c r="D559" s="57" t="s">
        <v>387</v>
      </c>
      <c r="E559" s="44" t="s">
        <v>741</v>
      </c>
      <c r="F559" s="17">
        <f>_xlfn.XLOOKUP($B559,'[1]Jan-24'!$A:$A,'[1]Jan-24'!$H:$H,0)</f>
        <v>0</v>
      </c>
      <c r="G559" s="17">
        <f>_xlfn.XLOOKUP($B559,'[1]Feb-24'!$A:$A,'[1]Feb-24'!$H:$H,0)</f>
        <v>0</v>
      </c>
      <c r="H559" s="17">
        <f>_xlfn.XLOOKUP($B559,'[1]Mar-24'!$A:$A,'[1]Mar-24'!$H:$H,0)</f>
        <v>0</v>
      </c>
      <c r="I559" s="17">
        <f>_xlfn.XLOOKUP($B559,'[1]Apr-24'!$A:$A,'[1]Apr-24'!$H:$H,0)</f>
        <v>0</v>
      </c>
      <c r="J559" s="17">
        <f>_xlfn.XLOOKUP($B559,'[1]May-24'!$A:$A,'[1]May-24'!$H:$H,0)</f>
        <v>0</v>
      </c>
      <c r="K559" s="17">
        <f>_xlfn.XLOOKUP($B559,'[1]Jun-24'!$A:$A,'[1]Jun-24'!$H:$H,0)</f>
        <v>0</v>
      </c>
      <c r="L559" s="17">
        <f>_xlfn.XLOOKUP($B559,'[1]Jul-24'!$A:$A,'[1]Jul-24'!$H:$H,0)</f>
        <v>0</v>
      </c>
      <c r="M559" s="17">
        <f>_xlfn.XLOOKUP($B559,'[1]Aug-24'!$A:$A,'[1]Aug-24'!$H:$H,0)</f>
        <v>0</v>
      </c>
      <c r="N559" s="17">
        <f>_xlfn.XLOOKUP($B559,'[1]Sep-24'!$A:$A,'[1]Sep-24'!$H:$H,0)</f>
        <v>0</v>
      </c>
      <c r="O559" s="17">
        <f>_xlfn.XLOOKUP($B559,'[1]Oct-24'!$A:$A,'[1]Oct-24'!$H:$H,0)</f>
        <v>0</v>
      </c>
      <c r="P559" s="17">
        <f>_xlfn.XLOOKUP($B559,'[1]Nov-24'!$A:$A,'[1]Nov-24'!$H:$H,0)</f>
        <v>0</v>
      </c>
      <c r="Q559" s="17">
        <f>_xlfn.XLOOKUP($B559,'[1]Dec-24'!$A:$A,'[1]Dec-24'!$H:$H,0)</f>
        <v>0</v>
      </c>
      <c r="R559" s="17">
        <f>_xlfn.XLOOKUP($B559,'[1]Jan-25'!$A:$A,'[1]Jan-25'!$H:$H,0)</f>
        <v>0</v>
      </c>
      <c r="S559" s="17">
        <f>_xlfn.XLOOKUP($B559,'[1]Feb-25'!$A:$A,'[1]Feb-25'!$H:$H,0)</f>
        <v>0</v>
      </c>
      <c r="T559" s="17">
        <f>_xlfn.XLOOKUP($B559,'[1]Mar-25'!$A:$A,'[1]Mar-25'!$H:$H,0)</f>
        <v>0</v>
      </c>
      <c r="U559" s="17">
        <f>_xlfn.XLOOKUP($B559,'[1]Apr-25'!$A:$A,'[1]Apr-25'!$H:$H,0)</f>
        <v>0</v>
      </c>
      <c r="V559" s="17">
        <f>_xlfn.XLOOKUP($B559,'[1]May-25'!$A:$A,'[1]May-25'!$H:$H,0)</f>
        <v>0</v>
      </c>
      <c r="W559" s="17">
        <f>_xlfn.XLOOKUP($B559,'[1]Jun-25'!$A:$A,'[1]Jun-25'!$H:$H,0)</f>
        <v>0</v>
      </c>
      <c r="X559" s="17">
        <f>_xlfn.XLOOKUP($B559,'[1]Jul-25'!$A:$A,'[1]Jul-25'!$H:$H,0)</f>
        <v>0</v>
      </c>
      <c r="Y559" s="17">
        <f>_xlfn.XLOOKUP($B559,'[1]Aug-25'!$A:$A,'[1]Aug-25'!$H:$H,0)</f>
        <v>0</v>
      </c>
      <c r="Z559" s="17">
        <f>_xlfn.XLOOKUP($B559,'[1]Sep-25'!$A:$A,'[1]Sep-25'!$H:$H,0)</f>
        <v>0</v>
      </c>
      <c r="AA559" s="17">
        <f>_xlfn.XLOOKUP($B559,'[1]Oct-25'!$A:$A,'[1]Oct-25'!$H:$H,0)</f>
        <v>0</v>
      </c>
      <c r="AB559" s="17">
        <f>_xlfn.XLOOKUP($B559,'[1]Nov-25'!$A:$A,'[1]Nov-25'!$H:$H,0)</f>
        <v>0</v>
      </c>
      <c r="AC559" s="17">
        <f>_xlfn.XLOOKUP($B559,'[1]Dec-25'!$A:$A,'[1]Dec-25'!$H:$H,0)</f>
        <v>0</v>
      </c>
      <c r="AD559" s="17">
        <f>_xlfn.XLOOKUP($B559,'[1]Jan-26'!$A:$A,'[1]Jan-26'!$H:$H,0)</f>
        <v>0</v>
      </c>
      <c r="AE559" s="17">
        <f>_xlfn.XLOOKUP($B559,'[1]Feb-26'!$A:$A,'[1]Feb-26'!$H:$H,0)</f>
        <v>0</v>
      </c>
      <c r="AF559" s="17">
        <f>_xlfn.XLOOKUP($B559,'[1]Mar-26'!$A:$A,'[1]Mar-26'!$H:$H,0)</f>
        <v>0</v>
      </c>
      <c r="AG559" s="17">
        <f>_xlfn.XLOOKUP($B559,'[1]Apr-26'!$A:$A,'[1]Apr-26'!$H:$H,0)</f>
        <v>0</v>
      </c>
    </row>
    <row r="560" spans="1:33" x14ac:dyDescent="0.2">
      <c r="A560" s="58">
        <v>69600</v>
      </c>
      <c r="B560" s="56" t="str">
        <f t="shared" si="14"/>
        <v>69600</v>
      </c>
      <c r="C560" s="57" t="s">
        <v>517</v>
      </c>
      <c r="D560" s="57" t="s">
        <v>387</v>
      </c>
      <c r="E560" s="44" t="s">
        <v>118</v>
      </c>
      <c r="F560" s="17">
        <f>_xlfn.XLOOKUP($B560,'[1]Jan-24'!$A:$A,'[1]Jan-24'!$H:$H,0)</f>
        <v>-179850</v>
      </c>
      <c r="G560" s="17">
        <f>_xlfn.XLOOKUP($B560,'[1]Feb-24'!$A:$A,'[1]Feb-24'!$H:$H,0)</f>
        <v>1251227.25</v>
      </c>
      <c r="H560" s="17">
        <f>_xlfn.XLOOKUP($B560,'[1]Mar-24'!$A:$A,'[1]Mar-24'!$H:$H,0)</f>
        <v>8716183.5</v>
      </c>
      <c r="I560" s="17">
        <f>_xlfn.XLOOKUP($B560,'[1]Apr-24'!$A:$A,'[1]Apr-24'!$H:$H,0)</f>
        <v>946924.4299999997</v>
      </c>
      <c r="J560" s="17">
        <f>_xlfn.XLOOKUP($B560,'[1]May-24'!$A:$A,'[1]May-24'!$H:$H,0)</f>
        <v>8354823.5600000005</v>
      </c>
      <c r="K560" s="17">
        <f>_xlfn.XLOOKUP($B560,'[1]Jun-24'!$A:$A,'[1]Jun-24'!$H:$H,0)</f>
        <v>764823.55999999866</v>
      </c>
      <c r="L560" s="17">
        <f>_xlfn.XLOOKUP($B560,'[1]Jul-24'!$A:$A,'[1]Jul-24'!$H:$H,0)</f>
        <v>0</v>
      </c>
      <c r="M560" s="17">
        <f>_xlfn.XLOOKUP($B560,'[1]Aug-24'!$A:$A,'[1]Aug-24'!$H:$H,0)</f>
        <v>0</v>
      </c>
      <c r="N560" s="17">
        <f>_xlfn.XLOOKUP($B560,'[1]Sep-24'!$A:$A,'[1]Sep-24'!$H:$H,0)</f>
        <v>0</v>
      </c>
      <c r="O560" s="17">
        <f>_xlfn.XLOOKUP($B560,'[1]Oct-24'!$A:$A,'[1]Oct-24'!$H:$H,0)</f>
        <v>3327763.5</v>
      </c>
      <c r="P560" s="17">
        <f>_xlfn.XLOOKUP($B560,'[1]Nov-24'!$A:$A,'[1]Nov-24'!$H:$H,0)</f>
        <v>15098711.949999999</v>
      </c>
      <c r="Q560" s="17">
        <f>_xlfn.XLOOKUP($B560,'[1]Dec-24'!$A:$A,'[1]Dec-24'!$H:$H,0)</f>
        <v>14272827.699999999</v>
      </c>
      <c r="R560" s="17">
        <f>_xlfn.XLOOKUP($B560,'[1]Jan-25'!$A:$A,'[1]Jan-25'!$H:$H,0)</f>
        <v>10026315.539999999</v>
      </c>
      <c r="S560" s="17">
        <f>_xlfn.XLOOKUP($B560,'[1]Feb-25'!$A:$A,'[1]Feb-25'!$H:$H,0)</f>
        <v>4586375.9800000004</v>
      </c>
      <c r="T560" s="17">
        <f>_xlfn.XLOOKUP($B560,'[1]Mar-25'!$A:$A,'[1]Mar-25'!$H:$H,0)</f>
        <v>0</v>
      </c>
      <c r="U560" s="17">
        <f>_xlfn.XLOOKUP($B560,'[1]Apr-25'!$A:$A,'[1]Apr-25'!$H:$H,0)</f>
        <v>1444913.8</v>
      </c>
      <c r="V560" s="17">
        <f>_xlfn.XLOOKUP($B560,'[1]May-25'!$A:$A,'[1]May-25'!$H:$H,0)</f>
        <v>14347752.109999999</v>
      </c>
      <c r="W560" s="17">
        <f>_xlfn.XLOOKUP($B560,'[1]Jun-25'!$A:$A,'[1]Jun-25'!$H:$H,0)</f>
        <v>17379043.280000001</v>
      </c>
      <c r="X560" s="17">
        <f>_xlfn.XLOOKUP($B560,'[1]Jul-25'!$A:$A,'[1]Jul-25'!$H:$H,0)</f>
        <v>8341279.5</v>
      </c>
      <c r="Y560" s="17">
        <f>_xlfn.XLOOKUP($B560,'[1]Aug-25'!$A:$A,'[1]Aug-25'!$H:$H,0)</f>
        <v>-32173496.649999999</v>
      </c>
      <c r="Z560" s="17">
        <f>_xlfn.XLOOKUP($B560,'[1]Sep-25'!$A:$A,'[1]Sep-25'!$H:$H,0)</f>
        <v>2878666.67</v>
      </c>
      <c r="AA560" s="17">
        <f>_xlfn.XLOOKUP($B560,'[1]Oct-25'!$A:$A,'[1]Oct-25'!$H:$H,0)</f>
        <v>2556900.36</v>
      </c>
      <c r="AB560" s="17">
        <f>_xlfn.XLOOKUP($B560,'[1]Nov-25'!$A:$A,'[1]Nov-25'!$H:$H,0)</f>
        <v>3282363</v>
      </c>
      <c r="AC560" s="17">
        <f>_xlfn.XLOOKUP($B560,'[1]Dec-25'!$A:$A,'[1]Dec-25'!$H:$H,0)</f>
        <v>8041264.0199999996</v>
      </c>
      <c r="AD560" s="17">
        <f>_xlfn.XLOOKUP($B560,'[1]Jan-26'!$A:$A,'[1]Jan-26'!$H:$H,0)</f>
        <v>7671260.8799999999</v>
      </c>
      <c r="AE560" s="17">
        <f>_xlfn.XLOOKUP($B560,'[1]Feb-26'!$A:$A,'[1]Feb-26'!$H:$H,0)</f>
        <v>6925230.2699999996</v>
      </c>
      <c r="AF560" s="17">
        <f>_xlfn.XLOOKUP($B560,'[1]Mar-26'!$A:$A,'[1]Mar-26'!$H:$H,0)</f>
        <v>7840249.2000000002</v>
      </c>
      <c r="AG560" s="17">
        <f>_xlfn.XLOOKUP($B560,'[1]Apr-26'!$A:$A,'[1]Apr-26'!$H:$H,0)</f>
        <v>3896849.25</v>
      </c>
    </row>
    <row r="561" spans="1:33" x14ac:dyDescent="0.2">
      <c r="A561" s="58">
        <v>69900</v>
      </c>
      <c r="B561" s="56" t="str">
        <f t="shared" si="14"/>
        <v>69900</v>
      </c>
      <c r="C561" s="57" t="s">
        <v>389</v>
      </c>
      <c r="D561" s="57" t="s">
        <v>387</v>
      </c>
      <c r="E561" s="44" t="s">
        <v>742</v>
      </c>
      <c r="F561" s="17">
        <f>_xlfn.XLOOKUP($B561,'[1]Jan-24'!$A:$A,'[1]Jan-24'!$H:$H,0)</f>
        <v>0</v>
      </c>
      <c r="G561" s="17">
        <f>_xlfn.XLOOKUP($B561,'[1]Feb-24'!$A:$A,'[1]Feb-24'!$H:$H,0)</f>
        <v>0</v>
      </c>
      <c r="H561" s="17">
        <f>_xlfn.XLOOKUP($B561,'[1]Mar-24'!$A:$A,'[1]Mar-24'!$H:$H,0)</f>
        <v>0</v>
      </c>
      <c r="I561" s="17">
        <f>_xlfn.XLOOKUP($B561,'[1]Apr-24'!$A:$A,'[1]Apr-24'!$H:$H,0)</f>
        <v>0</v>
      </c>
      <c r="J561" s="17">
        <f>_xlfn.XLOOKUP($B561,'[1]May-24'!$A:$A,'[1]May-24'!$H:$H,0)</f>
        <v>0</v>
      </c>
      <c r="K561" s="17">
        <f>_xlfn.XLOOKUP($B561,'[1]Jun-24'!$A:$A,'[1]Jun-24'!$H:$H,0)</f>
        <v>0</v>
      </c>
      <c r="L561" s="17">
        <f>_xlfn.XLOOKUP($B561,'[1]Jul-24'!$A:$A,'[1]Jul-24'!$H:$H,0)</f>
        <v>0</v>
      </c>
      <c r="M561" s="17">
        <f>_xlfn.XLOOKUP($B561,'[1]Aug-24'!$A:$A,'[1]Aug-24'!$H:$H,0)</f>
        <v>0</v>
      </c>
      <c r="N561" s="17">
        <f>_xlfn.XLOOKUP($B561,'[1]Sep-24'!$A:$A,'[1]Sep-24'!$H:$H,0)</f>
        <v>0</v>
      </c>
      <c r="O561" s="17">
        <f>_xlfn.XLOOKUP($B561,'[1]Oct-24'!$A:$A,'[1]Oct-24'!$H:$H,0)</f>
        <v>0</v>
      </c>
      <c r="P561" s="17">
        <f>_xlfn.XLOOKUP($B561,'[1]Nov-24'!$A:$A,'[1]Nov-24'!$H:$H,0)</f>
        <v>0</v>
      </c>
      <c r="Q561" s="17">
        <f>_xlfn.XLOOKUP($B561,'[1]Dec-24'!$A:$A,'[1]Dec-24'!$H:$H,0)</f>
        <v>0</v>
      </c>
      <c r="R561" s="17">
        <f>_xlfn.XLOOKUP($B561,'[1]Jan-25'!$A:$A,'[1]Jan-25'!$H:$H,0)</f>
        <v>0</v>
      </c>
      <c r="S561" s="17">
        <f>_xlfn.XLOOKUP($B561,'[1]Feb-25'!$A:$A,'[1]Feb-25'!$H:$H,0)</f>
        <v>0</v>
      </c>
      <c r="T561" s="17">
        <f>_xlfn.XLOOKUP($B561,'[1]Mar-25'!$A:$A,'[1]Mar-25'!$H:$H,0)</f>
        <v>0</v>
      </c>
      <c r="U561" s="17">
        <f>_xlfn.XLOOKUP($B561,'[1]Apr-25'!$A:$A,'[1]Apr-25'!$H:$H,0)</f>
        <v>0</v>
      </c>
      <c r="V561" s="17">
        <f>_xlfn.XLOOKUP($B561,'[1]May-25'!$A:$A,'[1]May-25'!$H:$H,0)</f>
        <v>0</v>
      </c>
      <c r="W561" s="17">
        <f>_xlfn.XLOOKUP($B561,'[1]Jun-25'!$A:$A,'[1]Jun-25'!$H:$H,0)</f>
        <v>0</v>
      </c>
      <c r="X561" s="17">
        <f>_xlfn.XLOOKUP($B561,'[1]Jul-25'!$A:$A,'[1]Jul-25'!$H:$H,0)</f>
        <v>0</v>
      </c>
      <c r="Y561" s="17">
        <f>_xlfn.XLOOKUP($B561,'[1]Aug-25'!$A:$A,'[1]Aug-25'!$H:$H,0)</f>
        <v>0</v>
      </c>
      <c r="Z561" s="17">
        <f>_xlfn.XLOOKUP($B561,'[1]Sep-25'!$A:$A,'[1]Sep-25'!$H:$H,0)</f>
        <v>0</v>
      </c>
      <c r="AA561" s="17">
        <f>_xlfn.XLOOKUP($B561,'[1]Oct-25'!$A:$A,'[1]Oct-25'!$H:$H,0)</f>
        <v>0</v>
      </c>
      <c r="AB561" s="17">
        <f>_xlfn.XLOOKUP($B561,'[1]Nov-25'!$A:$A,'[1]Nov-25'!$H:$H,0)</f>
        <v>0</v>
      </c>
      <c r="AC561" s="17">
        <f>_xlfn.XLOOKUP($B561,'[1]Dec-25'!$A:$A,'[1]Dec-25'!$H:$H,0)</f>
        <v>0</v>
      </c>
      <c r="AD561" s="17">
        <f>_xlfn.XLOOKUP($B561,'[1]Jan-26'!$A:$A,'[1]Jan-26'!$H:$H,0)</f>
        <v>0</v>
      </c>
      <c r="AE561" s="17">
        <f>_xlfn.XLOOKUP($B561,'[1]Feb-26'!$A:$A,'[1]Feb-26'!$H:$H,0)</f>
        <v>0</v>
      </c>
      <c r="AF561" s="17">
        <f>_xlfn.XLOOKUP($B561,'[1]Mar-26'!$A:$A,'[1]Mar-26'!$H:$H,0)</f>
        <v>0</v>
      </c>
      <c r="AG561" s="17">
        <f>_xlfn.XLOOKUP($B561,'[1]Apr-26'!$A:$A,'[1]Apr-26'!$H:$H,0)</f>
        <v>0</v>
      </c>
    </row>
    <row r="562" spans="1:33" x14ac:dyDescent="0.2">
      <c r="A562" s="58">
        <v>69901</v>
      </c>
      <c r="B562" s="56" t="str">
        <f t="shared" si="14"/>
        <v>69901</v>
      </c>
      <c r="C562" s="57" t="s">
        <v>420</v>
      </c>
      <c r="D562" s="57" t="s">
        <v>387</v>
      </c>
      <c r="E562" s="44" t="s">
        <v>743</v>
      </c>
      <c r="F562" s="17">
        <f>_xlfn.XLOOKUP($B562,'[1]Jan-24'!$A:$A,'[1]Jan-24'!$H:$H,0)</f>
        <v>0</v>
      </c>
      <c r="G562" s="17">
        <f>_xlfn.XLOOKUP($B562,'[1]Feb-24'!$A:$A,'[1]Feb-24'!$H:$H,0)</f>
        <v>278799.92</v>
      </c>
      <c r="H562" s="17">
        <f>_xlfn.XLOOKUP($B562,'[1]Mar-24'!$A:$A,'[1]Mar-24'!$H:$H,0)</f>
        <v>0</v>
      </c>
      <c r="I562" s="17">
        <f>_xlfn.XLOOKUP($B562,'[1]Apr-24'!$A:$A,'[1]Apr-24'!$H:$H,0)</f>
        <v>-278799.93</v>
      </c>
      <c r="J562" s="17">
        <f>_xlfn.XLOOKUP($B562,'[1]May-24'!$A:$A,'[1]May-24'!$H:$H,0)</f>
        <v>0</v>
      </c>
      <c r="K562" s="17">
        <f>_xlfn.XLOOKUP($B562,'[1]Jun-24'!$A:$A,'[1]Jun-24'!$H:$H,0)</f>
        <v>0</v>
      </c>
      <c r="L562" s="17">
        <f>_xlfn.XLOOKUP($B562,'[1]Jul-24'!$A:$A,'[1]Jul-24'!$H:$H,0)</f>
        <v>0</v>
      </c>
      <c r="M562" s="17">
        <f>_xlfn.XLOOKUP($B562,'[1]Aug-24'!$A:$A,'[1]Aug-24'!$H:$H,0)</f>
        <v>1201076.6599999999</v>
      </c>
      <c r="N562" s="17">
        <f>_xlfn.XLOOKUP($B562,'[1]Sep-24'!$A:$A,'[1]Sep-24'!$H:$H,0)</f>
        <v>1201076.6599999999</v>
      </c>
      <c r="O562" s="17">
        <f>_xlfn.XLOOKUP($B562,'[1]Oct-24'!$A:$A,'[1]Oct-24'!$H:$H,0)</f>
        <v>1201076.6599999999</v>
      </c>
      <c r="P562" s="17">
        <f>_xlfn.XLOOKUP($B562,'[1]Nov-24'!$A:$A,'[1]Nov-24'!$H:$H,0)</f>
        <v>1201076.6599999999</v>
      </c>
      <c r="Q562" s="17">
        <f>_xlfn.XLOOKUP($B562,'[1]Dec-24'!$A:$A,'[1]Dec-24'!$H:$H,0)</f>
        <v>1201076.6599999999</v>
      </c>
      <c r="R562" s="17">
        <f>_xlfn.XLOOKUP($B562,'[1]Jan-25'!$A:$A,'[1]Jan-25'!$H:$H,0)</f>
        <v>1201076.6599999999</v>
      </c>
      <c r="S562" s="17">
        <f>_xlfn.XLOOKUP($B562,'[1]Feb-25'!$A:$A,'[1]Feb-25'!$H:$H,0)</f>
        <v>1201076.6599999999</v>
      </c>
      <c r="T562" s="17">
        <f>_xlfn.XLOOKUP($B562,'[1]Mar-25'!$A:$A,'[1]Mar-25'!$H:$H,0)</f>
        <v>1201076.6599999999</v>
      </c>
      <c r="U562" s="17">
        <f>_xlfn.XLOOKUP($B562,'[1]Apr-25'!$A:$A,'[1]Apr-25'!$H:$H,0)</f>
        <v>1201076.6599999999</v>
      </c>
      <c r="V562" s="17">
        <f>_xlfn.XLOOKUP($B562,'[1]May-25'!$A:$A,'[1]May-25'!$H:$H,0)</f>
        <v>1201076.6599999999</v>
      </c>
      <c r="W562" s="17">
        <f>_xlfn.XLOOKUP($B562,'[1]Jun-25'!$A:$A,'[1]Jun-25'!$H:$H,0)</f>
        <v>1201076.6599999999</v>
      </c>
      <c r="X562" s="17">
        <f>_xlfn.XLOOKUP($B562,'[1]Jul-25'!$A:$A,'[1]Jul-25'!$H:$H,0)</f>
        <v>3630697.14</v>
      </c>
      <c r="Y562" s="17">
        <f>_xlfn.XLOOKUP($B562,'[1]Aug-25'!$A:$A,'[1]Aug-25'!$H:$H,0)</f>
        <v>2415886.9</v>
      </c>
      <c r="Z562" s="17">
        <f>_xlfn.XLOOKUP($B562,'[1]Sep-25'!$A:$A,'[1]Sep-25'!$H:$H,0)</f>
        <v>2415886.9</v>
      </c>
      <c r="AA562" s="17">
        <f>_xlfn.XLOOKUP($B562,'[1]Oct-25'!$A:$A,'[1]Oct-25'!$H:$H,0)</f>
        <v>2415886.9</v>
      </c>
      <c r="AB562" s="17">
        <f>_xlfn.XLOOKUP($B562,'[1]Nov-25'!$A:$A,'[1]Nov-25'!$H:$H,0)</f>
        <v>2415886.9</v>
      </c>
      <c r="AC562" s="17">
        <f>_xlfn.XLOOKUP($B562,'[1]Dec-25'!$A:$A,'[1]Dec-25'!$H:$H,0)</f>
        <v>2415886.9</v>
      </c>
      <c r="AD562" s="17">
        <f>_xlfn.XLOOKUP($B562,'[1]Jan-26'!$A:$A,'[1]Jan-26'!$H:$H,0)</f>
        <v>8357590.9900000002</v>
      </c>
      <c r="AE562" s="17">
        <f>_xlfn.XLOOKUP($B562,'[1]Feb-26'!$A:$A,'[1]Feb-26'!$H:$H,0)</f>
        <v>8357590.9900000002</v>
      </c>
      <c r="AF562" s="17">
        <f>_xlfn.XLOOKUP($B562,'[1]Mar-26'!$A:$A,'[1]Mar-26'!$H:$H,0)</f>
        <v>8357590.9900000002</v>
      </c>
      <c r="AG562" s="17">
        <f>_xlfn.XLOOKUP($B562,'[1]Apr-26'!$A:$A,'[1]Apr-26'!$H:$H,0)</f>
        <v>8357590.9900000002</v>
      </c>
    </row>
    <row r="563" spans="1:33" x14ac:dyDescent="0.2">
      <c r="A563" s="58">
        <v>69902</v>
      </c>
      <c r="B563" s="56" t="str">
        <f t="shared" si="14"/>
        <v>69902</v>
      </c>
      <c r="C563" s="57" t="s">
        <v>565</v>
      </c>
      <c r="D563" s="57" t="s">
        <v>387</v>
      </c>
      <c r="E563" s="44" t="s">
        <v>744</v>
      </c>
      <c r="F563" s="17">
        <f>_xlfn.XLOOKUP($B563,'[1]Jan-24'!$A:$A,'[1]Jan-24'!$H:$H,0)</f>
        <v>0</v>
      </c>
      <c r="G563" s="17">
        <f>_xlfn.XLOOKUP($B563,'[1]Feb-24'!$A:$A,'[1]Feb-24'!$H:$H,0)</f>
        <v>0</v>
      </c>
      <c r="H563" s="17">
        <f>_xlfn.XLOOKUP($B563,'[1]Mar-24'!$A:$A,'[1]Mar-24'!$H:$H,0)</f>
        <v>0</v>
      </c>
      <c r="I563" s="17">
        <f>_xlfn.XLOOKUP($B563,'[1]Apr-24'!$A:$A,'[1]Apr-24'!$H:$H,0)</f>
        <v>0</v>
      </c>
      <c r="J563" s="17">
        <f>_xlfn.XLOOKUP($B563,'[1]May-24'!$A:$A,'[1]May-24'!$H:$H,0)</f>
        <v>0</v>
      </c>
      <c r="K563" s="17">
        <f>_xlfn.XLOOKUP($B563,'[1]Jun-24'!$A:$A,'[1]Jun-24'!$H:$H,0)</f>
        <v>0</v>
      </c>
      <c r="L563" s="17">
        <f>_xlfn.XLOOKUP($B563,'[1]Jul-24'!$A:$A,'[1]Jul-24'!$H:$H,0)</f>
        <v>0</v>
      </c>
      <c r="M563" s="17">
        <f>_xlfn.XLOOKUP($B563,'[1]Aug-24'!$A:$A,'[1]Aug-24'!$H:$H,0)</f>
        <v>0</v>
      </c>
      <c r="N563" s="17">
        <f>_xlfn.XLOOKUP($B563,'[1]Sep-24'!$A:$A,'[1]Sep-24'!$H:$H,0)</f>
        <v>0</v>
      </c>
      <c r="O563" s="17">
        <f>_xlfn.XLOOKUP($B563,'[1]Oct-24'!$A:$A,'[1]Oct-24'!$H:$H,0)</f>
        <v>0</v>
      </c>
      <c r="P563" s="17">
        <f>_xlfn.XLOOKUP($B563,'[1]Nov-24'!$A:$A,'[1]Nov-24'!$H:$H,0)</f>
        <v>0</v>
      </c>
      <c r="Q563" s="17">
        <f>_xlfn.XLOOKUP($B563,'[1]Dec-24'!$A:$A,'[1]Dec-24'!$H:$H,0)</f>
        <v>0</v>
      </c>
      <c r="R563" s="17">
        <f>_xlfn.XLOOKUP($B563,'[1]Jan-25'!$A:$A,'[1]Jan-25'!$H:$H,0)</f>
        <v>0</v>
      </c>
      <c r="S563" s="17">
        <f>_xlfn.XLOOKUP($B563,'[1]Feb-25'!$A:$A,'[1]Feb-25'!$H:$H,0)</f>
        <v>0</v>
      </c>
      <c r="T563" s="17">
        <f>_xlfn.XLOOKUP($B563,'[1]Mar-25'!$A:$A,'[1]Mar-25'!$H:$H,0)</f>
        <v>0</v>
      </c>
      <c r="U563" s="17">
        <f>_xlfn.XLOOKUP($B563,'[1]Apr-25'!$A:$A,'[1]Apr-25'!$H:$H,0)</f>
        <v>0</v>
      </c>
      <c r="V563" s="17">
        <f>_xlfn.XLOOKUP($B563,'[1]May-25'!$A:$A,'[1]May-25'!$H:$H,0)</f>
        <v>0</v>
      </c>
      <c r="W563" s="17">
        <f>_xlfn.XLOOKUP($B563,'[1]Jun-25'!$A:$A,'[1]Jun-25'!$H:$H,0)</f>
        <v>0</v>
      </c>
      <c r="X563" s="17">
        <f>_xlfn.XLOOKUP($B563,'[1]Jul-25'!$A:$A,'[1]Jul-25'!$H:$H,0)</f>
        <v>0</v>
      </c>
      <c r="Y563" s="17">
        <f>_xlfn.XLOOKUP($B563,'[1]Aug-25'!$A:$A,'[1]Aug-25'!$H:$H,0)</f>
        <v>0</v>
      </c>
      <c r="Z563" s="17">
        <f>_xlfn.XLOOKUP($B563,'[1]Sep-25'!$A:$A,'[1]Sep-25'!$H:$H,0)</f>
        <v>0</v>
      </c>
      <c r="AA563" s="17">
        <f>_xlfn.XLOOKUP($B563,'[1]Oct-25'!$A:$A,'[1]Oct-25'!$H:$H,0)</f>
        <v>0</v>
      </c>
      <c r="AB563" s="17">
        <f>_xlfn.XLOOKUP($B563,'[1]Nov-25'!$A:$A,'[1]Nov-25'!$H:$H,0)</f>
        <v>0</v>
      </c>
      <c r="AC563" s="17">
        <f>_xlfn.XLOOKUP($B563,'[1]Dec-25'!$A:$A,'[1]Dec-25'!$H:$H,0)</f>
        <v>0</v>
      </c>
      <c r="AD563" s="17">
        <f>_xlfn.XLOOKUP($B563,'[1]Jan-26'!$A:$A,'[1]Jan-26'!$H:$H,0)</f>
        <v>0</v>
      </c>
      <c r="AE563" s="17">
        <f>_xlfn.XLOOKUP($B563,'[1]Feb-26'!$A:$A,'[1]Feb-26'!$H:$H,0)</f>
        <v>0</v>
      </c>
      <c r="AF563" s="17">
        <f>_xlfn.XLOOKUP($B563,'[1]Mar-26'!$A:$A,'[1]Mar-26'!$H:$H,0)</f>
        <v>0</v>
      </c>
      <c r="AG563" s="17">
        <f>_xlfn.XLOOKUP($B563,'[1]Apr-26'!$A:$A,'[1]Apr-26'!$H:$H,0)</f>
        <v>0</v>
      </c>
    </row>
    <row r="564" spans="1:33" x14ac:dyDescent="0.2">
      <c r="A564" s="58">
        <v>69903</v>
      </c>
      <c r="B564" s="56" t="str">
        <f t="shared" si="14"/>
        <v>69903</v>
      </c>
      <c r="C564" s="57" t="s">
        <v>565</v>
      </c>
      <c r="D564" s="57" t="s">
        <v>387</v>
      </c>
      <c r="E564" s="44" t="s">
        <v>745</v>
      </c>
      <c r="F564" s="17">
        <f>_xlfn.XLOOKUP($B564,'[1]Jan-24'!$A:$A,'[1]Jan-24'!$H:$H,0)</f>
        <v>0</v>
      </c>
      <c r="G564" s="17">
        <f>_xlfn.XLOOKUP($B564,'[1]Feb-24'!$A:$A,'[1]Feb-24'!$H:$H,0)</f>
        <v>0</v>
      </c>
      <c r="H564" s="17">
        <f>_xlfn.XLOOKUP($B564,'[1]Mar-24'!$A:$A,'[1]Mar-24'!$H:$H,0)</f>
        <v>0</v>
      </c>
      <c r="I564" s="17">
        <f>_xlfn.XLOOKUP($B564,'[1]Apr-24'!$A:$A,'[1]Apr-24'!$H:$H,0)</f>
        <v>0</v>
      </c>
      <c r="J564" s="17">
        <f>_xlfn.XLOOKUP($B564,'[1]May-24'!$A:$A,'[1]May-24'!$H:$H,0)</f>
        <v>0</v>
      </c>
      <c r="K564" s="17">
        <f>_xlfn.XLOOKUP($B564,'[1]Jun-24'!$A:$A,'[1]Jun-24'!$H:$H,0)</f>
        <v>0</v>
      </c>
      <c r="L564" s="17">
        <f>_xlfn.XLOOKUP($B564,'[1]Jul-24'!$A:$A,'[1]Jul-24'!$H:$H,0)</f>
        <v>0</v>
      </c>
      <c r="M564" s="17">
        <f>_xlfn.XLOOKUP($B564,'[1]Aug-24'!$A:$A,'[1]Aug-24'!$H:$H,0)</f>
        <v>0</v>
      </c>
      <c r="N564" s="17">
        <f>_xlfn.XLOOKUP($B564,'[1]Sep-24'!$A:$A,'[1]Sep-24'!$H:$H,0)</f>
        <v>0</v>
      </c>
      <c r="O564" s="17">
        <f>_xlfn.XLOOKUP($B564,'[1]Oct-24'!$A:$A,'[1]Oct-24'!$H:$H,0)</f>
        <v>0</v>
      </c>
      <c r="P564" s="17">
        <f>_xlfn.XLOOKUP($B564,'[1]Nov-24'!$A:$A,'[1]Nov-24'!$H:$H,0)</f>
        <v>0</v>
      </c>
      <c r="Q564" s="17">
        <f>_xlfn.XLOOKUP($B564,'[1]Dec-24'!$A:$A,'[1]Dec-24'!$H:$H,0)</f>
        <v>0</v>
      </c>
      <c r="R564" s="17">
        <f>_xlfn.XLOOKUP($B564,'[1]Jan-25'!$A:$A,'[1]Jan-25'!$H:$H,0)</f>
        <v>1846763.0300000003</v>
      </c>
      <c r="S564" s="17">
        <f>_xlfn.XLOOKUP($B564,'[1]Feb-25'!$A:$A,'[1]Feb-25'!$H:$H,0)</f>
        <v>2374696.5</v>
      </c>
      <c r="T564" s="17">
        <f>_xlfn.XLOOKUP($B564,'[1]Mar-25'!$A:$A,'[1]Mar-25'!$H:$H,0)</f>
        <v>2530590.15</v>
      </c>
      <c r="U564" s="17">
        <f>_xlfn.XLOOKUP($B564,'[1]Apr-25'!$A:$A,'[1]Apr-25'!$H:$H,0)</f>
        <v>2559459.98</v>
      </c>
      <c r="V564" s="17">
        <f>_xlfn.XLOOKUP($B564,'[1]May-25'!$A:$A,'[1]May-25'!$H:$H,0)</f>
        <v>2679734.48</v>
      </c>
      <c r="W564" s="17">
        <f>_xlfn.XLOOKUP($B564,'[1]Jun-25'!$A:$A,'[1]Jun-25'!$H:$H,0)</f>
        <v>2300405.3899999997</v>
      </c>
      <c r="X564" s="17">
        <f>_xlfn.XLOOKUP($B564,'[1]Jul-25'!$A:$A,'[1]Jul-25'!$H:$H,0)</f>
        <v>2555131.4900000002</v>
      </c>
      <c r="Y564" s="17">
        <f>_xlfn.XLOOKUP($B564,'[1]Aug-25'!$A:$A,'[1]Aug-25'!$H:$H,0)</f>
        <v>2699413.6899999995</v>
      </c>
      <c r="Z564" s="17">
        <f>_xlfn.XLOOKUP($B564,'[1]Sep-25'!$A:$A,'[1]Sep-25'!$H:$H,0)</f>
        <v>2682570.0499999998</v>
      </c>
      <c r="AA564" s="17">
        <f>_xlfn.XLOOKUP($B564,'[1]Oct-25'!$A:$A,'[1]Oct-25'!$H:$H,0)</f>
        <v>3027752.01</v>
      </c>
      <c r="AB564" s="17">
        <f>_xlfn.XLOOKUP($B564,'[1]Nov-25'!$A:$A,'[1]Nov-25'!$H:$H,0)</f>
        <v>2489574.23</v>
      </c>
      <c r="AC564" s="17">
        <f>_xlfn.XLOOKUP($B564,'[1]Dec-25'!$A:$A,'[1]Dec-25'!$H:$H,0)</f>
        <v>1901620.18</v>
      </c>
      <c r="AD564" s="17">
        <f>_xlfn.XLOOKUP($B564,'[1]Jan-26'!$A:$A,'[1]Jan-26'!$H:$H,0)</f>
        <v>1600689.51</v>
      </c>
      <c r="AE564" s="17">
        <f>_xlfn.XLOOKUP($B564,'[1]Feb-26'!$A:$A,'[1]Feb-26'!$H:$H,0)</f>
        <v>388473</v>
      </c>
      <c r="AF564" s="17">
        <f>_xlfn.XLOOKUP($B564,'[1]Mar-26'!$A:$A,'[1]Mar-26'!$H:$H,0)</f>
        <v>375900.5</v>
      </c>
      <c r="AG564" s="17">
        <f>_xlfn.XLOOKUP($B564,'[1]Apr-26'!$A:$A,'[1]Apr-26'!$H:$H,0)</f>
        <v>490183</v>
      </c>
    </row>
    <row r="565" spans="1:33" x14ac:dyDescent="0.2">
      <c r="A565" s="58">
        <v>69904</v>
      </c>
      <c r="B565" s="56" t="str">
        <f>TEXT(A565,"00000")</f>
        <v>69904</v>
      </c>
      <c r="C565" s="57" t="s">
        <v>419</v>
      </c>
      <c r="D565" s="57" t="s">
        <v>303</v>
      </c>
      <c r="E565" s="44" t="s">
        <v>255</v>
      </c>
      <c r="F565" s="17">
        <f>_xlfn.XLOOKUP($B565,'[1]Jan-24'!$A:$A,'[1]Jan-24'!$H:$H,0)</f>
        <v>-16048298.060000001</v>
      </c>
      <c r="G565" s="17">
        <f>_xlfn.XLOOKUP($B565,'[1]Feb-24'!$A:$A,'[1]Feb-24'!$H:$H,0)</f>
        <v>-16327097.98</v>
      </c>
      <c r="H565" s="17">
        <f>_xlfn.XLOOKUP($B565,'[1]Mar-24'!$A:$A,'[1]Mar-24'!$H:$H,0)</f>
        <v>-16327097.98</v>
      </c>
      <c r="I565" s="17">
        <f>_xlfn.XLOOKUP($B565,'[1]Apr-24'!$A:$A,'[1]Apr-24'!$H:$H,0)</f>
        <v>-16048298.050000001</v>
      </c>
      <c r="J565" s="17">
        <f>_xlfn.XLOOKUP($B565,'[1]May-24'!$A:$A,'[1]May-24'!$H:$H,0)</f>
        <v>-16048298.050000001</v>
      </c>
      <c r="K565" s="17">
        <f>_xlfn.XLOOKUP($B565,'[1]Jun-24'!$A:$A,'[1]Jun-24'!$H:$H,0)</f>
        <v>-16048298.050000001</v>
      </c>
      <c r="L565" s="17">
        <f>_xlfn.XLOOKUP($B565,'[1]Jul-24'!$A:$A,'[1]Jul-24'!$H:$H,0)</f>
        <v>-16048298.050000001</v>
      </c>
      <c r="M565" s="17">
        <f>_xlfn.XLOOKUP($B565,'[1]Aug-24'!$A:$A,'[1]Aug-24'!$H:$H,0)</f>
        <v>-17249374.710000001</v>
      </c>
      <c r="N565" s="17">
        <f>_xlfn.XLOOKUP($B565,'[1]Sep-24'!$A:$A,'[1]Sep-24'!$H:$H,0)</f>
        <v>-18450451.370000001</v>
      </c>
      <c r="O565" s="17">
        <f>_xlfn.XLOOKUP($B565,'[1]Oct-24'!$A:$A,'[1]Oct-24'!$H:$H,0)</f>
        <v>-19651528.030000001</v>
      </c>
      <c r="P565" s="17">
        <f>_xlfn.XLOOKUP($B565,'[1]Nov-24'!$A:$A,'[1]Nov-24'!$H:$H,0)</f>
        <v>-20852604.690000001</v>
      </c>
      <c r="Q565" s="17">
        <f>_xlfn.XLOOKUP($B565,'[1]Dec-24'!$A:$A,'[1]Dec-24'!$H:$H,0)</f>
        <v>-22053681.350000001</v>
      </c>
      <c r="R565" s="17">
        <f>_xlfn.XLOOKUP($B565,'[1]Jan-25'!$A:$A,'[1]Jan-25'!$H:$H,0)</f>
        <v>-23254758.010000002</v>
      </c>
      <c r="S565" s="17">
        <f>_xlfn.XLOOKUP($B565,'[1]Feb-25'!$A:$A,'[1]Feb-25'!$H:$H,0)</f>
        <v>-24455834.670000002</v>
      </c>
      <c r="T565" s="17">
        <f>_xlfn.XLOOKUP($B565,'[1]Mar-25'!$A:$A,'[1]Mar-25'!$H:$H,0)</f>
        <v>-25656911.329999998</v>
      </c>
      <c r="U565" s="17">
        <f>_xlfn.XLOOKUP($B565,'[1]Apr-25'!$A:$A,'[1]Apr-25'!$H:$H,0)</f>
        <v>-26857987.989999998</v>
      </c>
      <c r="V565" s="17">
        <f>_xlfn.XLOOKUP($B565,'[1]May-25'!$A:$A,'[1]May-25'!$H:$H,0)</f>
        <v>-28059064.649999999</v>
      </c>
      <c r="W565" s="17">
        <f>_xlfn.XLOOKUP($B565,'[1]Jun-25'!$A:$A,'[1]Jun-25'!$H:$H,0)</f>
        <v>-28045331.07</v>
      </c>
      <c r="X565" s="17">
        <f>_xlfn.XLOOKUP($B565,'[1]Jul-25'!$A:$A,'[1]Jul-25'!$H:$H,0)</f>
        <v>-32890838.449999999</v>
      </c>
      <c r="Y565" s="17">
        <f>_xlfn.XLOOKUP($B565,'[1]Aug-25'!$A:$A,'[1]Aug-25'!$H:$H,0)</f>
        <v>-35306725.350000001</v>
      </c>
      <c r="Z565" s="17">
        <f>_xlfn.XLOOKUP($B565,'[1]Sep-25'!$A:$A,'[1]Sep-25'!$H:$H,0)</f>
        <v>-37722612.25</v>
      </c>
      <c r="AA565" s="17">
        <f>_xlfn.XLOOKUP($B565,'[1]Oct-25'!$A:$A,'[1]Oct-25'!$H:$H,0)</f>
        <v>-40138499.149999999</v>
      </c>
      <c r="AB565" s="17">
        <f>_xlfn.XLOOKUP($B565,'[1]Nov-25'!$A:$A,'[1]Nov-25'!$H:$H,0)</f>
        <v>-42554386.049999997</v>
      </c>
      <c r="AC565" s="17">
        <f>_xlfn.XLOOKUP($B565,'[1]Dec-25'!$A:$A,'[1]Dec-25'!$H:$H,0)</f>
        <v>-36466601.439999998</v>
      </c>
      <c r="AD565" s="17">
        <f>_xlfn.XLOOKUP($B565,'[1]Jan-26'!$A:$A,'[1]Jan-26'!$H:$H,0)</f>
        <v>-37667678.100000001</v>
      </c>
      <c r="AE565" s="17">
        <f>_xlfn.XLOOKUP($B565,'[1]Feb-26'!$A:$A,'[1]Feb-26'!$H:$H,0)</f>
        <v>-38868754.759999998</v>
      </c>
      <c r="AF565" s="17">
        <f>_xlfn.XLOOKUP($B565,'[1]Mar-26'!$A:$A,'[1]Mar-26'!$H:$H,0)</f>
        <v>-40069831.420000002</v>
      </c>
      <c r="AG565" s="17">
        <f>_xlfn.XLOOKUP($B565,'[1]Apr-26'!$A:$A,'[1]Apr-26'!$H:$H,0)</f>
        <v>-41270908.079999998</v>
      </c>
    </row>
    <row r="566" spans="1:33" ht="16" thickBot="1" x14ac:dyDescent="0.25">
      <c r="A566" s="46"/>
      <c r="B566" s="46"/>
      <c r="C566" s="46"/>
      <c r="D566" s="46"/>
      <c r="E566" s="47"/>
      <c r="F566" s="59" cm="1">
        <f t="array" ref="F566">SUMPRODUCT(($D$4:$D$565="Income")+($D$4:$D$565="Expense"), F$4:F$565)</f>
        <v>18463052.159999996</v>
      </c>
      <c r="G566" s="59" cm="1">
        <f t="array" ref="G566">SUMPRODUCT(($D$4:$D$565="Income")+($D$4:$D$565="Expense"), G$4:G$565)</f>
        <v>-314842318.63999987</v>
      </c>
      <c r="H566" s="59" cm="1">
        <f t="array" ref="H566">SUMPRODUCT(($D$4:$D$565="Income")+($D$4:$D$565="Expense"), H$4:H$565)</f>
        <v>-262248589.04999995</v>
      </c>
      <c r="I566" s="59" cm="1">
        <f t="array" ref="I566">SUMPRODUCT(($D$4:$D$565="Income")+($D$4:$D$565="Expense"), I$4:I$565)</f>
        <v>-244100116.12999991</v>
      </c>
      <c r="J566" s="59" cm="1">
        <f t="array" ref="J566">SUMPRODUCT(($D$4:$D$565="Income")+($D$4:$D$565="Expense"), J$4:J$565)</f>
        <v>207008883.66999996</v>
      </c>
      <c r="K566" s="59" cm="1">
        <f t="array" ref="K566">SUMPRODUCT(($D$4:$D$565="Income")+($D$4:$D$565="Expense"), K$4:K$565)</f>
        <v>89085548.849999994</v>
      </c>
      <c r="L566" s="59" cm="1">
        <f t="array" ref="L566">SUMPRODUCT(($D$4:$D$565="Income")+($D$4:$D$565="Expense"), L$4:L$565)</f>
        <v>39419305.959999949</v>
      </c>
      <c r="M566" s="59" cm="1">
        <f t="array" ref="M566">SUMPRODUCT(($D$4:$D$565="Income")+($D$4:$D$565="Expense"), M$4:M$565)</f>
        <v>-76824353.520000055</v>
      </c>
      <c r="N566" s="59" cm="1">
        <f t="array" ref="N566">SUMPRODUCT(($D$4:$D$565="Income")+($D$4:$D$565="Expense"), N$4:N$565)</f>
        <v>21413563.880000044</v>
      </c>
      <c r="O566" s="59" cm="1">
        <f t="array" ref="O566">SUMPRODUCT(($D$4:$D$565="Income")+($D$4:$D$565="Expense"), O$4:O$565)</f>
        <v>267428354.7899999</v>
      </c>
      <c r="P566" s="59" cm="1">
        <f t="array" ref="P566">SUMPRODUCT(($D$4:$D$565="Income")+($D$4:$D$565="Expense"), P$4:P$565)</f>
        <v>234490471</v>
      </c>
      <c r="Q566" s="59" cm="1">
        <f t="array" ref="Q566">SUMPRODUCT(($D$4:$D$565="Income")+($D$4:$D$565="Expense"), Q$4:Q$565)</f>
        <v>13102443.379999954</v>
      </c>
      <c r="R566" s="59" cm="1">
        <f t="array" ref="R566">SUMPRODUCT(($D$4:$D$565="Income")+($D$4:$D$565="Expense"), R$4:R$565)</f>
        <v>17275109.190000035</v>
      </c>
      <c r="S566" s="59" cm="1">
        <f t="array" ref="S566">SUMPRODUCT(($D$4:$D$565="Income")+($D$4:$D$565="Expense"), S$4:S$565)</f>
        <v>48228565.320000023</v>
      </c>
      <c r="T566" s="59" cm="1">
        <f t="array" ref="T566">SUMPRODUCT(($D$4:$D$565="Income")+($D$4:$D$565="Expense"), T$4:T$565)</f>
        <v>1301780.1499999922</v>
      </c>
      <c r="U566" s="59" cm="1">
        <f t="array" ref="U566">SUMPRODUCT(($D$4:$D$565="Income")+($D$4:$D$565="Expense"), U$4:U$565)</f>
        <v>-113135642.95999993</v>
      </c>
      <c r="V566" s="59" cm="1">
        <f t="array" ref="V566">SUMPRODUCT(($D$4:$D$565="Income")+($D$4:$D$565="Expense"), V$4:V$565)</f>
        <v>410640336.83999997</v>
      </c>
      <c r="W566" s="59" cm="1">
        <f t="array" ref="W566">SUMPRODUCT(($D$4:$D$565="Income")+($D$4:$D$565="Expense"), W$4:W$565)</f>
        <v>248555009.74999997</v>
      </c>
      <c r="X566" s="59" cm="1">
        <f t="array" ref="X566">SUMPRODUCT(($D$4:$D$565="Income")+($D$4:$D$565="Expense"), X$4:X$565)</f>
        <v>164196234.21999997</v>
      </c>
      <c r="Y566" s="59" cm="1">
        <f t="array" ref="Y566">SUMPRODUCT(($D$4:$D$565="Income")+($D$4:$D$565="Expense"), Y$4:Y$565)</f>
        <v>37737615.490000106</v>
      </c>
      <c r="Z566" s="59" cm="1">
        <f t="array" ref="Z566">SUMPRODUCT(($D$4:$D$565="Income")+($D$4:$D$565="Expense"), Z$4:Z$565)</f>
        <v>135347304.86999995</v>
      </c>
      <c r="AA566" s="59" cm="1">
        <f t="array" ref="AA566">SUMPRODUCT(($D$4:$D$565="Income")+($D$4:$D$565="Expense"), AA$4:AA$565)</f>
        <v>-229332350.26000014</v>
      </c>
      <c r="AB566" s="59" cm="1">
        <f t="array" ref="AB566">SUMPRODUCT(($D$4:$D$565="Income")+($D$4:$D$565="Expense"), AB$4:AB$565)</f>
        <v>36352030.45000004</v>
      </c>
      <c r="AC566" s="59" cm="1">
        <f t="array" ref="AC566">SUMPRODUCT(($D$4:$D$565="Income")+($D$4:$D$565="Expense"), AC$4:AC$565)</f>
        <v>741305825.8900001</v>
      </c>
      <c r="AD566" s="59" cm="1">
        <f t="array" ref="AD566">SUMPRODUCT(($D$4:$D$565="Income")+($D$4:$D$565="Expense"), AD$4:AD$565)</f>
        <v>-257254587.51000005</v>
      </c>
      <c r="AE566" s="59" cm="1">
        <f t="array" ref="AE566">SUMPRODUCT(($D$4:$D$565="Income")+($D$4:$D$565="Expense"), AE$4:AE$565)</f>
        <v>-351190518.55999988</v>
      </c>
      <c r="AF566" s="59" cm="1">
        <f t="array" ref="AF566">SUMPRODUCT(($D$4:$D$565="Income")+($D$4:$D$565="Expense"), AF$4:AF$565)</f>
        <v>-134884006.98999989</v>
      </c>
      <c r="AG566" s="59" cm="1">
        <f t="array" ref="AG566">SUMPRODUCT(($D$4:$D$565="Income")+($D$4:$D$565="Expense"), AG$4:AG$565)</f>
        <v>-85097771.859999925</v>
      </c>
    </row>
    <row r="567" spans="1:33" x14ac:dyDescent="0.2">
      <c r="A567" s="46"/>
      <c r="B567" s="46"/>
      <c r="C567" s="46"/>
      <c r="D567" s="46"/>
      <c r="E567" s="47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</row>
    <row r="568" spans="1:33" x14ac:dyDescent="0.2">
      <c r="A568" s="46"/>
      <c r="B568" s="46"/>
      <c r="C568" s="46"/>
      <c r="D568" s="46"/>
      <c r="E568" s="47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</row>
    <row r="569" spans="1:33" x14ac:dyDescent="0.2">
      <c r="A569" s="46"/>
      <c r="B569" s="46"/>
      <c r="C569" s="46"/>
      <c r="D569" s="46"/>
      <c r="E569" s="47" t="s">
        <v>746</v>
      </c>
      <c r="F569" s="62" cm="1">
        <f t="array" ref="F569">SUMPRODUCT(($D$4:$D$565="Asset")+($D$4:$D$565="Liability"), F$4:F$565)</f>
        <v>-18463052.15999943</v>
      </c>
      <c r="G569" s="62" cm="1">
        <f t="array" ref="G569">SUMPRODUCT(($D$4:$D$565="Asset")+($D$4:$D$565="Liability"), G$4:G$565)</f>
        <v>296379266.48000073</v>
      </c>
      <c r="H569" s="62" cm="1">
        <f t="array" ref="H569">SUMPRODUCT(($D$4:$D$565="Asset")+($D$4:$D$565="Liability"), H$4:H$565)</f>
        <v>558627855.53000307</v>
      </c>
      <c r="I569" s="62" cm="1">
        <f t="array" ref="I569">SUMPRODUCT(($D$4:$D$565="Asset")+($D$4:$D$565="Liability"), I$4:I$565)</f>
        <v>802727971.65999818</v>
      </c>
      <c r="J569" s="62" cm="1">
        <f t="array" ref="J569">SUMPRODUCT(($D$4:$D$565="Asset")+($D$4:$D$565="Liability"), J$4:J$565)</f>
        <v>595719087.99000382</v>
      </c>
      <c r="K569" s="62" cm="1">
        <f t="array" ref="K569">SUMPRODUCT(($D$4:$D$565="Asset")+($D$4:$D$565="Liability"), K$4:K$565)</f>
        <v>506633539.14000052</v>
      </c>
      <c r="L569" s="62" cm="1">
        <f t="array" ref="L569">SUMPRODUCT(($D$4:$D$565="Asset")+($D$4:$D$565="Liability"), L$4:L$565)</f>
        <v>467214233.18000239</v>
      </c>
      <c r="M569" s="62" cm="1">
        <f t="array" ref="M569">SUMPRODUCT(($D$4:$D$565="Asset")+($D$4:$D$565="Liability"), M$4:M$565)</f>
        <v>544038586.70000076</v>
      </c>
      <c r="N569" s="62" cm="1">
        <f t="array" ref="N569">SUMPRODUCT(($D$4:$D$565="Asset")+($D$4:$D$565="Liability"), N$4:N$565)</f>
        <v>522625022.81999767</v>
      </c>
      <c r="O569" s="62" cm="1">
        <f t="array" ref="O569">SUMPRODUCT(($D$4:$D$565="Asset")+($D$4:$D$565="Liability"), O$4:O$565)</f>
        <v>255196668.03000233</v>
      </c>
      <c r="P569" s="62" cm="1">
        <f t="array" ref="P569">SUMPRODUCT(($D$4:$D$565="Asset")+($D$4:$D$565="Liability"), P$4:P$565)</f>
        <v>20706197.030000266</v>
      </c>
      <c r="Q569" s="62" cm="1">
        <f t="array" ref="Q569">SUMPRODUCT(($D$4:$D$565="Asset")+($D$4:$D$565="Liability"), Q$4:Q$565)</f>
        <v>7603753.6500028595</v>
      </c>
      <c r="R569" s="62" cm="1">
        <f t="array" ref="R569">SUMPRODUCT(($D$4:$D$565="Asset")+($D$4:$D$565="Liability"), R$4:R$565)</f>
        <v>-17275109.189999592</v>
      </c>
      <c r="S569" s="62" cm="1">
        <f t="array" ref="S569">SUMPRODUCT(($D$4:$D$565="Asset")+($D$4:$D$565="Liability"), S$4:S$565)</f>
        <v>-65503674.509998485</v>
      </c>
      <c r="T569" s="62" cm="1">
        <f t="array" ref="T569">SUMPRODUCT(($D$4:$D$565="Asset")+($D$4:$D$565="Liability"), T$4:T$565)</f>
        <v>-66805454.66000016</v>
      </c>
      <c r="U569" s="62" cm="1">
        <f t="array" ref="U569">SUMPRODUCT(($D$4:$D$565="Asset")+($D$4:$D$565="Liability"), U$4:U$565)</f>
        <v>46330188.300000682</v>
      </c>
      <c r="V569" s="62" cm="1">
        <f t="array" ref="V569">SUMPRODUCT(($D$4:$D$565="Asset")+($D$4:$D$565="Liability"), V$4:V$565)</f>
        <v>-364310148.5399996</v>
      </c>
      <c r="W569" s="62" cm="1">
        <f t="array" ref="W569">SUMPRODUCT(($D$4:$D$565="Asset")+($D$4:$D$565="Liability"), W$4:W$565)</f>
        <v>-612865158.29000056</v>
      </c>
      <c r="X569" s="62" cm="1">
        <f t="array" ref="X569">SUMPRODUCT(($D$4:$D$565="Asset")+($D$4:$D$565="Liability"), X$4:X$565)</f>
        <v>-777061392.51000166</v>
      </c>
      <c r="Y569" s="62" cm="1">
        <f t="array" ref="Y569">SUMPRODUCT(($D$4:$D$565="Asset")+($D$4:$D$565="Liability"), Y$4:Y$565)</f>
        <v>-814799007.99999964</v>
      </c>
      <c r="Z569" s="62" cm="1">
        <f t="array" ref="Z569">SUMPRODUCT(($D$4:$D$565="Asset")+($D$4:$D$565="Liability"), Z$4:Z$565)</f>
        <v>-950146312.87000084</v>
      </c>
      <c r="AA569" s="62" cm="1">
        <f t="array" ref="AA569">SUMPRODUCT(($D$4:$D$565="Asset")+($D$4:$D$565="Liability"), AA$4:AA$565)</f>
        <v>-720813962.60999811</v>
      </c>
      <c r="AB569" s="62" cm="1">
        <f t="array" ref="AB569">SUMPRODUCT(($D$4:$D$565="Asset")+($D$4:$D$565="Liability"), AB$4:AB$565)</f>
        <v>-757165993.05999923</v>
      </c>
      <c r="AC569" s="62" cm="1">
        <f t="array" ref="AC569">SUMPRODUCT(($D$4:$D$565="Asset")+($D$4:$D$565="Liability"), AC$4:AC$565)</f>
        <v>-1711724018.9499965</v>
      </c>
      <c r="AD569" s="62" cm="1">
        <f t="array" ref="AD569">SUMPRODUCT(($D$4:$D$565="Asset")+($D$4:$D$565="Liability"), AD$4:AD$565)</f>
        <v>257254587.50999847</v>
      </c>
      <c r="AE569" s="62" cm="1">
        <f t="array" ref="AE569">SUMPRODUCT(($D$4:$D$565="Asset")+($D$4:$D$565="Liability"), AE$4:AE$565)</f>
        <v>608445106.06999874</v>
      </c>
      <c r="AF569" s="62" cm="1">
        <f t="array" ref="AF569">SUMPRODUCT(($D$4:$D$565="Asset")+($D$4:$D$565="Liability"), AF$4:AF$565)</f>
        <v>743329113.05999935</v>
      </c>
      <c r="AG569" s="62" cm="1">
        <f t="array" ref="AG569">SUMPRODUCT(($D$4:$D$565="Asset")+($D$4:$D$565="Liability"), AG$4:AG$565)</f>
        <v>828426884.92000163</v>
      </c>
    </row>
    <row r="570" spans="1:33" x14ac:dyDescent="0.2">
      <c r="A570" s="46"/>
      <c r="B570" s="46"/>
      <c r="C570" s="46"/>
      <c r="D570" s="46"/>
      <c r="E570" s="47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</row>
    <row r="571" spans="1:33" x14ac:dyDescent="0.2">
      <c r="A571" s="46"/>
      <c r="B571" s="46"/>
      <c r="C571" s="46"/>
      <c r="D571" s="46"/>
      <c r="E571" s="47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</row>
    <row r="572" spans="1:33" x14ac:dyDescent="0.2">
      <c r="A572" s="46"/>
      <c r="B572" s="46"/>
      <c r="C572" s="46"/>
      <c r="D572" s="46"/>
      <c r="E572" s="47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</row>
    <row r="573" spans="1:33" x14ac:dyDescent="0.2">
      <c r="A573" s="46"/>
      <c r="B573" s="46"/>
      <c r="C573" s="46"/>
      <c r="D573" s="46"/>
      <c r="E573" s="47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</row>
    <row r="574" spans="1:33" x14ac:dyDescent="0.2">
      <c r="A574" s="46"/>
      <c r="B574" s="46"/>
      <c r="C574" s="46"/>
      <c r="D574" s="46"/>
      <c r="E574" s="47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</row>
    <row r="575" spans="1:33" x14ac:dyDescent="0.2">
      <c r="A575" s="46"/>
      <c r="B575" s="46"/>
      <c r="C575" s="46"/>
      <c r="D575" s="46"/>
      <c r="E575" s="47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</row>
    <row r="576" spans="1:33" x14ac:dyDescent="0.2">
      <c r="A576" s="46"/>
      <c r="B576" s="46"/>
      <c r="C576" s="46"/>
      <c r="D576" s="46"/>
      <c r="E576" s="47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</row>
    <row r="577" spans="1:33" x14ac:dyDescent="0.2">
      <c r="A577" s="46"/>
      <c r="B577" s="46"/>
      <c r="C577" s="46"/>
      <c r="D577" s="46"/>
      <c r="E577" s="47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</row>
    <row r="578" spans="1:33" x14ac:dyDescent="0.2">
      <c r="A578" s="46"/>
      <c r="B578" s="46"/>
      <c r="C578" s="46"/>
      <c r="D578" s="46"/>
      <c r="E578" s="47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</row>
    <row r="579" spans="1:33" x14ac:dyDescent="0.2">
      <c r="A579" s="46"/>
      <c r="B579" s="46"/>
      <c r="C579" s="46"/>
      <c r="D579" s="46"/>
      <c r="E579" s="47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</row>
    <row r="580" spans="1:33" x14ac:dyDescent="0.2">
      <c r="A580" s="46"/>
      <c r="B580" s="46"/>
      <c r="C580" s="46"/>
      <c r="D580" s="46"/>
      <c r="E580" s="47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</row>
    <row r="581" spans="1:33" x14ac:dyDescent="0.2">
      <c r="A581" s="46"/>
      <c r="B581" s="46"/>
      <c r="C581" s="46"/>
      <c r="D581" s="46"/>
      <c r="E581" s="47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</row>
    <row r="582" spans="1:33" x14ac:dyDescent="0.2">
      <c r="A582" s="46"/>
      <c r="B582" s="46"/>
      <c r="C582" s="46"/>
      <c r="D582" s="46"/>
      <c r="E582" s="47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</row>
    <row r="583" spans="1:33" x14ac:dyDescent="0.2">
      <c r="A583" s="46"/>
      <c r="B583" s="46"/>
      <c r="C583" s="46"/>
      <c r="D583" s="46"/>
      <c r="E583" s="47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</row>
    <row r="584" spans="1:33" x14ac:dyDescent="0.2">
      <c r="A584" s="46"/>
      <c r="B584" s="46"/>
      <c r="C584" s="46"/>
      <c r="D584" s="46"/>
      <c r="E584" s="47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</row>
    <row r="585" spans="1:33" x14ac:dyDescent="0.2">
      <c r="A585" s="46"/>
      <c r="B585" s="46"/>
      <c r="C585" s="46"/>
      <c r="D585" s="46"/>
      <c r="E585" s="47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</row>
    <row r="586" spans="1:33" x14ac:dyDescent="0.2">
      <c r="A586" s="46"/>
      <c r="B586" s="46"/>
      <c r="C586" s="46"/>
      <c r="D586" s="46"/>
      <c r="E586" s="47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</row>
    <row r="587" spans="1:33" x14ac:dyDescent="0.2">
      <c r="A587" s="46"/>
      <c r="B587" s="46"/>
      <c r="C587" s="46"/>
      <c r="D587" s="46"/>
      <c r="E587" s="47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</row>
    <row r="588" spans="1:33" x14ac:dyDescent="0.2">
      <c r="A588" s="46"/>
      <c r="B588" s="46"/>
      <c r="C588" s="46"/>
      <c r="D588" s="46"/>
      <c r="E588" s="47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</row>
    <row r="589" spans="1:33" x14ac:dyDescent="0.2">
      <c r="A589" s="46"/>
      <c r="B589" s="46"/>
      <c r="C589" s="46"/>
      <c r="D589" s="46"/>
      <c r="E589" s="47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</row>
    <row r="590" spans="1:33" x14ac:dyDescent="0.2">
      <c r="A590" s="46"/>
      <c r="B590" s="46"/>
      <c r="C590" s="46"/>
      <c r="D590" s="46"/>
      <c r="E590" s="47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</row>
    <row r="591" spans="1:33" x14ac:dyDescent="0.2">
      <c r="A591" s="46"/>
      <c r="B591" s="46"/>
      <c r="C591" s="46"/>
      <c r="D591" s="46"/>
      <c r="E591" s="47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</row>
    <row r="592" spans="1:33" x14ac:dyDescent="0.2">
      <c r="A592" s="46"/>
      <c r="B592" s="46"/>
      <c r="C592" s="46"/>
      <c r="D592" s="46"/>
      <c r="E592" s="47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</row>
    <row r="593" spans="1:33" x14ac:dyDescent="0.2">
      <c r="A593" s="46"/>
      <c r="B593" s="46"/>
      <c r="C593" s="46"/>
      <c r="D593" s="46"/>
      <c r="E593" s="47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</row>
    <row r="594" spans="1:33" x14ac:dyDescent="0.2">
      <c r="A594" s="46"/>
      <c r="B594" s="46"/>
      <c r="C594" s="46"/>
      <c r="D594" s="46"/>
      <c r="E594" s="47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</row>
    <row r="595" spans="1:33" x14ac:dyDescent="0.2">
      <c r="A595" s="46"/>
      <c r="B595" s="46"/>
      <c r="C595" s="46"/>
      <c r="D595" s="46"/>
      <c r="E595" s="47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</row>
    <row r="596" spans="1:33" x14ac:dyDescent="0.2">
      <c r="A596" s="46"/>
      <c r="B596" s="46"/>
      <c r="C596" s="46"/>
      <c r="D596" s="46"/>
      <c r="E596" s="47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</row>
    <row r="597" spans="1:33" x14ac:dyDescent="0.2">
      <c r="A597" s="46"/>
      <c r="B597" s="46"/>
      <c r="C597" s="46"/>
      <c r="D597" s="46"/>
      <c r="E597" s="47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</row>
    <row r="598" spans="1:33" x14ac:dyDescent="0.2">
      <c r="A598" s="46"/>
      <c r="B598" s="46"/>
      <c r="C598" s="46"/>
      <c r="D598" s="46"/>
      <c r="E598" s="47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</row>
    <row r="599" spans="1:33" x14ac:dyDescent="0.2">
      <c r="A599" s="46"/>
      <c r="B599" s="46"/>
      <c r="C599" s="46"/>
      <c r="D599" s="46"/>
      <c r="E599" s="47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</row>
    <row r="600" spans="1:33" x14ac:dyDescent="0.2">
      <c r="A600" s="46"/>
      <c r="B600" s="46"/>
      <c r="C600" s="46"/>
      <c r="D600" s="46"/>
      <c r="E600" s="47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</row>
    <row r="601" spans="1:33" x14ac:dyDescent="0.2">
      <c r="A601" s="46"/>
      <c r="B601" s="46"/>
      <c r="C601" s="46"/>
      <c r="D601" s="46"/>
      <c r="E601" s="47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</row>
    <row r="602" spans="1:33" x14ac:dyDescent="0.2">
      <c r="A602" s="46"/>
      <c r="B602" s="46"/>
      <c r="C602" s="46"/>
      <c r="D602" s="46"/>
      <c r="E602" s="47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</row>
    <row r="603" spans="1:33" x14ac:dyDescent="0.2">
      <c r="A603" s="46"/>
      <c r="B603" s="46"/>
      <c r="C603" s="46"/>
      <c r="D603" s="46"/>
      <c r="E603" s="47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</row>
    <row r="604" spans="1:33" x14ac:dyDescent="0.2">
      <c r="A604" s="46"/>
      <c r="B604" s="46"/>
      <c r="C604" s="46"/>
      <c r="D604" s="46"/>
      <c r="E604" s="47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</row>
    <row r="605" spans="1:33" x14ac:dyDescent="0.2">
      <c r="A605" s="46"/>
      <c r="B605" s="46"/>
      <c r="C605" s="46"/>
      <c r="D605" s="46"/>
      <c r="E605" s="47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</row>
    <row r="606" spans="1:33" x14ac:dyDescent="0.2">
      <c r="A606" s="46"/>
      <c r="B606" s="46"/>
      <c r="C606" s="46"/>
      <c r="D606" s="46"/>
      <c r="E606" s="47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</row>
    <row r="607" spans="1:33" x14ac:dyDescent="0.2">
      <c r="A607" s="46"/>
      <c r="B607" s="46"/>
      <c r="C607" s="46"/>
      <c r="D607" s="46"/>
      <c r="E607" s="47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</row>
    <row r="608" spans="1:33" x14ac:dyDescent="0.2">
      <c r="A608" s="46"/>
      <c r="B608" s="46"/>
      <c r="C608" s="46"/>
      <c r="D608" s="46"/>
      <c r="E608" s="47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</row>
    <row r="609" spans="1:33" x14ac:dyDescent="0.2">
      <c r="A609" s="46"/>
      <c r="B609" s="46"/>
      <c r="C609" s="46"/>
      <c r="D609" s="46"/>
      <c r="E609" s="47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</row>
    <row r="610" spans="1:33" x14ac:dyDescent="0.2">
      <c r="A610" s="46"/>
      <c r="B610" s="46"/>
      <c r="C610" s="46"/>
      <c r="D610" s="46"/>
      <c r="E610" s="47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</row>
    <row r="611" spans="1:33" x14ac:dyDescent="0.2">
      <c r="A611" s="46"/>
      <c r="B611" s="46"/>
      <c r="C611" s="46"/>
      <c r="D611" s="46"/>
      <c r="E611" s="47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</row>
    <row r="612" spans="1:33" x14ac:dyDescent="0.2">
      <c r="A612" s="46"/>
      <c r="B612" s="46"/>
      <c r="C612" s="46"/>
      <c r="D612" s="46"/>
      <c r="E612" s="47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</row>
    <row r="613" spans="1:33" x14ac:dyDescent="0.2">
      <c r="A613" s="46"/>
      <c r="B613" s="46"/>
      <c r="C613" s="46"/>
      <c r="D613" s="46"/>
      <c r="E613" s="47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</row>
    <row r="614" spans="1:33" x14ac:dyDescent="0.2">
      <c r="A614" s="46"/>
      <c r="B614" s="46"/>
      <c r="C614" s="46"/>
      <c r="D614" s="46"/>
      <c r="E614" s="47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</row>
    <row r="615" spans="1:33" x14ac:dyDescent="0.2">
      <c r="A615" s="46"/>
      <c r="B615" s="46"/>
      <c r="C615" s="46"/>
      <c r="D615" s="46"/>
      <c r="E615" s="47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</row>
    <row r="616" spans="1:33" x14ac:dyDescent="0.2">
      <c r="A616" s="46"/>
      <c r="B616" s="46"/>
      <c r="C616" s="46"/>
      <c r="D616" s="46"/>
      <c r="E616" s="47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</row>
    <row r="617" spans="1:33" x14ac:dyDescent="0.2">
      <c r="A617" s="46"/>
      <c r="B617" s="46"/>
      <c r="C617" s="46"/>
      <c r="D617" s="46"/>
      <c r="E617" s="47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</row>
    <row r="618" spans="1:33" x14ac:dyDescent="0.2">
      <c r="A618" s="46"/>
      <c r="B618" s="46"/>
      <c r="C618" s="46"/>
      <c r="D618" s="46"/>
      <c r="E618" s="47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</row>
    <row r="619" spans="1:33" x14ac:dyDescent="0.2">
      <c r="A619" s="46"/>
      <c r="B619" s="46"/>
      <c r="C619" s="46"/>
      <c r="D619" s="46"/>
      <c r="E619" s="47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</row>
    <row r="620" spans="1:33" x14ac:dyDescent="0.2">
      <c r="A620" s="46"/>
      <c r="B620" s="46"/>
      <c r="C620" s="46"/>
      <c r="D620" s="46"/>
      <c r="E620" s="47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</row>
    <row r="621" spans="1:33" x14ac:dyDescent="0.2">
      <c r="A621" s="46"/>
      <c r="B621" s="46"/>
      <c r="C621" s="46"/>
      <c r="D621" s="46"/>
      <c r="E621" s="47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</row>
    <row r="622" spans="1:33" x14ac:dyDescent="0.2">
      <c r="A622" s="46"/>
      <c r="B622" s="46"/>
      <c r="C622" s="46"/>
      <c r="D622" s="46"/>
      <c r="E622" s="47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</row>
    <row r="623" spans="1:33" x14ac:dyDescent="0.2">
      <c r="A623" s="46"/>
      <c r="B623" s="46"/>
      <c r="C623" s="46"/>
      <c r="D623" s="46"/>
      <c r="E623" s="47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</row>
    <row r="624" spans="1:33" x14ac:dyDescent="0.2">
      <c r="A624" s="46"/>
      <c r="B624" s="46"/>
      <c r="C624" s="46"/>
      <c r="D624" s="46"/>
      <c r="E624" s="47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</row>
    <row r="625" spans="1:33" x14ac:dyDescent="0.2">
      <c r="A625" s="46"/>
      <c r="B625" s="46"/>
      <c r="C625" s="46"/>
      <c r="D625" s="46"/>
      <c r="E625" s="47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</row>
    <row r="626" spans="1:33" x14ac:dyDescent="0.2">
      <c r="A626" s="46"/>
      <c r="B626" s="46"/>
      <c r="C626" s="46"/>
      <c r="D626" s="46"/>
      <c r="E626" s="47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</row>
    <row r="627" spans="1:33" x14ac:dyDescent="0.2">
      <c r="A627" s="46"/>
      <c r="B627" s="46"/>
      <c r="C627" s="46"/>
      <c r="D627" s="46"/>
      <c r="E627" s="47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</row>
    <row r="628" spans="1:33" x14ac:dyDescent="0.2">
      <c r="A628" s="46"/>
      <c r="B628" s="46"/>
      <c r="C628" s="46"/>
      <c r="D628" s="46"/>
      <c r="E628" s="47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</row>
    <row r="629" spans="1:33" x14ac:dyDescent="0.2">
      <c r="A629" s="46"/>
      <c r="B629" s="46"/>
      <c r="C629" s="46"/>
      <c r="D629" s="46"/>
      <c r="E629" s="47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</row>
    <row r="630" spans="1:33" x14ac:dyDescent="0.2">
      <c r="A630" s="46"/>
      <c r="B630" s="46"/>
      <c r="C630" s="46"/>
      <c r="D630" s="46"/>
      <c r="E630" s="47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</row>
    <row r="631" spans="1:33" x14ac:dyDescent="0.2">
      <c r="A631" s="46"/>
      <c r="B631" s="46"/>
      <c r="C631" s="46"/>
      <c r="D631" s="46"/>
      <c r="E631" s="47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</row>
    <row r="632" spans="1:33" x14ac:dyDescent="0.2">
      <c r="A632" s="46"/>
      <c r="B632" s="46"/>
      <c r="C632" s="46"/>
      <c r="D632" s="46"/>
      <c r="E632" s="47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</row>
    <row r="633" spans="1:33" x14ac:dyDescent="0.2">
      <c r="A633" s="46"/>
      <c r="B633" s="46"/>
      <c r="C633" s="46"/>
      <c r="D633" s="46"/>
      <c r="E633" s="47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</row>
    <row r="634" spans="1:33" x14ac:dyDescent="0.2">
      <c r="A634" s="46"/>
      <c r="B634" s="46"/>
      <c r="C634" s="46"/>
      <c r="D634" s="46"/>
      <c r="E634" s="47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</row>
    <row r="635" spans="1:33" x14ac:dyDescent="0.2">
      <c r="A635" s="46"/>
      <c r="B635" s="46"/>
      <c r="C635" s="46"/>
      <c r="D635" s="46"/>
      <c r="E635" s="47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</row>
    <row r="636" spans="1:33" x14ac:dyDescent="0.2">
      <c r="A636" s="46"/>
      <c r="B636" s="46"/>
      <c r="C636" s="46"/>
      <c r="D636" s="46"/>
      <c r="E636" s="47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</row>
    <row r="637" spans="1:33" x14ac:dyDescent="0.2">
      <c r="A637" s="46"/>
      <c r="B637" s="46"/>
      <c r="C637" s="46"/>
      <c r="D637" s="46"/>
      <c r="E637" s="47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</row>
    <row r="638" spans="1:33" x14ac:dyDescent="0.2">
      <c r="A638" s="46"/>
      <c r="B638" s="46"/>
      <c r="C638" s="46"/>
      <c r="D638" s="46"/>
      <c r="E638" s="47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</row>
    <row r="639" spans="1:33" x14ac:dyDescent="0.2">
      <c r="A639" s="46"/>
      <c r="B639" s="46"/>
      <c r="C639" s="46"/>
      <c r="D639" s="46"/>
      <c r="E639" s="47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</row>
    <row r="640" spans="1:33" x14ac:dyDescent="0.2">
      <c r="A640" s="46"/>
      <c r="B640" s="46"/>
      <c r="C640" s="46"/>
      <c r="D640" s="46"/>
      <c r="E640" s="47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</row>
    <row r="641" spans="1:33" x14ac:dyDescent="0.2">
      <c r="A641" s="46"/>
      <c r="B641" s="46"/>
      <c r="C641" s="46"/>
      <c r="D641" s="46"/>
      <c r="E641" s="47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</row>
    <row r="642" spans="1:33" x14ac:dyDescent="0.2">
      <c r="A642" s="46"/>
      <c r="B642" s="46"/>
      <c r="C642" s="46"/>
      <c r="D642" s="46"/>
      <c r="E642" s="47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</row>
    <row r="643" spans="1:33" x14ac:dyDescent="0.2">
      <c r="A643" s="46"/>
      <c r="B643" s="46"/>
      <c r="C643" s="46"/>
      <c r="D643" s="46"/>
      <c r="E643" s="47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</row>
    <row r="644" spans="1:33" x14ac:dyDescent="0.2">
      <c r="A644" s="46"/>
      <c r="B644" s="46"/>
      <c r="C644" s="46"/>
      <c r="D644" s="46"/>
      <c r="E644" s="47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</row>
    <row r="645" spans="1:33" x14ac:dyDescent="0.2">
      <c r="A645" s="46"/>
      <c r="B645" s="46"/>
      <c r="C645" s="46"/>
      <c r="D645" s="46"/>
      <c r="E645" s="47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</row>
    <row r="646" spans="1:33" x14ac:dyDescent="0.2">
      <c r="A646" s="46"/>
      <c r="B646" s="46"/>
      <c r="C646" s="46"/>
      <c r="D646" s="46"/>
      <c r="E646" s="47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</row>
    <row r="647" spans="1:33" x14ac:dyDescent="0.2">
      <c r="A647" s="46"/>
      <c r="B647" s="46"/>
      <c r="C647" s="46"/>
      <c r="D647" s="46"/>
      <c r="E647" s="47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</row>
    <row r="648" spans="1:33" x14ac:dyDescent="0.2">
      <c r="A648" s="46"/>
      <c r="B648" s="46"/>
      <c r="C648" s="46"/>
      <c r="D648" s="46"/>
      <c r="E648" s="47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</row>
    <row r="649" spans="1:33" x14ac:dyDescent="0.2">
      <c r="A649" s="46"/>
      <c r="B649" s="46"/>
      <c r="C649" s="46"/>
      <c r="D649" s="46"/>
      <c r="E649" s="47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</row>
    <row r="650" spans="1:33" x14ac:dyDescent="0.2">
      <c r="A650" s="46"/>
      <c r="B650" s="46"/>
      <c r="C650" s="46"/>
      <c r="D650" s="46"/>
      <c r="E650" s="47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</row>
    <row r="651" spans="1:33" x14ac:dyDescent="0.2">
      <c r="A651" s="46"/>
      <c r="B651" s="46"/>
      <c r="C651" s="46"/>
      <c r="D651" s="46"/>
      <c r="E651" s="47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</row>
    <row r="652" spans="1:33" x14ac:dyDescent="0.2">
      <c r="A652" s="46"/>
      <c r="B652" s="46"/>
      <c r="C652" s="46"/>
      <c r="D652" s="46"/>
      <c r="E652" s="47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</row>
    <row r="653" spans="1:33" x14ac:dyDescent="0.2">
      <c r="A653" s="46"/>
      <c r="B653" s="46"/>
      <c r="C653" s="46"/>
      <c r="D653" s="46"/>
      <c r="E653" s="47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</row>
    <row r="654" spans="1:33" x14ac:dyDescent="0.2">
      <c r="A654" s="46"/>
      <c r="B654" s="46"/>
      <c r="C654" s="46"/>
      <c r="D654" s="46"/>
      <c r="E654" s="47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</row>
    <row r="655" spans="1:33" x14ac:dyDescent="0.2">
      <c r="A655" s="46"/>
      <c r="B655" s="46"/>
      <c r="C655" s="46"/>
      <c r="D655" s="46"/>
      <c r="E655" s="47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</row>
    <row r="656" spans="1:33" x14ac:dyDescent="0.2">
      <c r="A656" s="46"/>
      <c r="B656" s="46"/>
      <c r="C656" s="46"/>
      <c r="D656" s="46"/>
      <c r="E656" s="47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</row>
    <row r="657" spans="1:33" x14ac:dyDescent="0.2">
      <c r="A657" s="46"/>
      <c r="B657" s="46"/>
      <c r="C657" s="46"/>
      <c r="D657" s="46"/>
      <c r="E657" s="47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</row>
    <row r="658" spans="1:33" x14ac:dyDescent="0.2">
      <c r="A658" s="46"/>
      <c r="B658" s="46"/>
      <c r="C658" s="46"/>
      <c r="D658" s="46"/>
      <c r="E658" s="47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</row>
    <row r="659" spans="1:33" x14ac:dyDescent="0.2">
      <c r="A659" s="46"/>
      <c r="B659" s="46"/>
      <c r="C659" s="46"/>
      <c r="D659" s="46"/>
      <c r="E659" s="47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</row>
    <row r="660" spans="1:33" x14ac:dyDescent="0.2">
      <c r="A660" s="46"/>
      <c r="B660" s="46"/>
      <c r="C660" s="46"/>
      <c r="D660" s="46"/>
      <c r="E660" s="47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</row>
    <row r="661" spans="1:33" x14ac:dyDescent="0.2">
      <c r="A661" s="46"/>
      <c r="B661" s="46"/>
      <c r="C661" s="46"/>
      <c r="D661" s="46"/>
      <c r="E661" s="47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</row>
    <row r="662" spans="1:33" x14ac:dyDescent="0.2">
      <c r="A662" s="46"/>
      <c r="B662" s="46"/>
      <c r="C662" s="46"/>
      <c r="D662" s="46"/>
      <c r="E662" s="47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</row>
    <row r="663" spans="1:33" x14ac:dyDescent="0.2">
      <c r="A663" s="46"/>
      <c r="B663" s="46"/>
      <c r="C663" s="46"/>
      <c r="D663" s="46"/>
      <c r="E663" s="47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</row>
    <row r="664" spans="1:33" x14ac:dyDescent="0.2">
      <c r="A664" s="46"/>
      <c r="B664" s="46"/>
      <c r="C664" s="46"/>
      <c r="D664" s="46"/>
      <c r="E664" s="47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</row>
    <row r="665" spans="1:33" x14ac:dyDescent="0.2">
      <c r="A665" s="46"/>
      <c r="B665" s="46"/>
      <c r="C665" s="46"/>
      <c r="D665" s="46"/>
      <c r="E665" s="47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</row>
    <row r="666" spans="1:33" x14ac:dyDescent="0.2">
      <c r="A666" s="46"/>
      <c r="B666" s="46"/>
      <c r="C666" s="46"/>
      <c r="D666" s="46"/>
      <c r="E666" s="47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</row>
    <row r="667" spans="1:33" x14ac:dyDescent="0.2">
      <c r="A667" s="46"/>
      <c r="B667" s="46"/>
      <c r="C667" s="46"/>
      <c r="D667" s="46"/>
      <c r="E667" s="47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</row>
    <row r="668" spans="1:33" x14ac:dyDescent="0.2">
      <c r="A668" s="46"/>
      <c r="B668" s="46"/>
      <c r="C668" s="46"/>
      <c r="D668" s="46"/>
      <c r="E668" s="47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</row>
    <row r="669" spans="1:33" x14ac:dyDescent="0.2">
      <c r="A669" s="46"/>
      <c r="B669" s="46"/>
      <c r="C669" s="46"/>
      <c r="D669" s="46"/>
      <c r="E669" s="47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</row>
    <row r="670" spans="1:33" x14ac:dyDescent="0.2">
      <c r="A670" s="46"/>
      <c r="B670" s="46"/>
      <c r="C670" s="46"/>
      <c r="D670" s="46"/>
      <c r="E670" s="47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</row>
    <row r="671" spans="1:33" x14ac:dyDescent="0.2">
      <c r="A671" s="46"/>
      <c r="B671" s="46"/>
      <c r="C671" s="46"/>
      <c r="D671" s="46"/>
      <c r="E671" s="47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</row>
    <row r="672" spans="1:33" x14ac:dyDescent="0.2">
      <c r="A672" s="46"/>
      <c r="B672" s="46"/>
      <c r="C672" s="46"/>
      <c r="D672" s="46"/>
      <c r="E672" s="47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</row>
    <row r="673" spans="1:33" x14ac:dyDescent="0.2">
      <c r="A673" s="46"/>
      <c r="B673" s="46"/>
      <c r="C673" s="46"/>
      <c r="D673" s="46"/>
      <c r="E673" s="47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</row>
    <row r="674" spans="1:33" x14ac:dyDescent="0.2">
      <c r="A674" s="46"/>
      <c r="B674" s="46"/>
      <c r="C674" s="46"/>
      <c r="D674" s="46"/>
      <c r="E674" s="47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</row>
    <row r="675" spans="1:33" x14ac:dyDescent="0.2">
      <c r="A675" s="46"/>
      <c r="B675" s="46"/>
      <c r="C675" s="46"/>
      <c r="D675" s="46"/>
      <c r="E675" s="47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</row>
    <row r="676" spans="1:33" x14ac:dyDescent="0.2">
      <c r="A676" s="46"/>
      <c r="B676" s="46"/>
      <c r="C676" s="46"/>
      <c r="D676" s="46"/>
      <c r="E676" s="47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</row>
    <row r="677" spans="1:33" x14ac:dyDescent="0.2">
      <c r="A677" s="46"/>
      <c r="B677" s="46"/>
      <c r="C677" s="46"/>
      <c r="D677" s="46"/>
      <c r="E677" s="47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</row>
    <row r="678" spans="1:33" x14ac:dyDescent="0.2">
      <c r="A678" s="46"/>
      <c r="B678" s="46"/>
      <c r="C678" s="46"/>
      <c r="D678" s="46"/>
      <c r="E678" s="47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</row>
    <row r="679" spans="1:33" x14ac:dyDescent="0.2">
      <c r="A679" s="46"/>
      <c r="B679" s="46"/>
      <c r="C679" s="46"/>
      <c r="D679" s="46"/>
      <c r="E679" s="47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</row>
    <row r="680" spans="1:33" x14ac:dyDescent="0.2">
      <c r="A680" s="46"/>
      <c r="B680" s="46"/>
      <c r="C680" s="46"/>
      <c r="D680" s="46"/>
      <c r="E680" s="47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</row>
    <row r="681" spans="1:33" x14ac:dyDescent="0.2">
      <c r="A681" s="46"/>
      <c r="B681" s="46"/>
      <c r="C681" s="46"/>
      <c r="D681" s="46"/>
      <c r="E681" s="47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</row>
    <row r="682" spans="1:33" x14ac:dyDescent="0.2">
      <c r="A682" s="46"/>
      <c r="B682" s="46"/>
      <c r="C682" s="46"/>
      <c r="D682" s="46"/>
      <c r="E682" s="47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</row>
    <row r="683" spans="1:33" x14ac:dyDescent="0.2">
      <c r="A683" s="46"/>
      <c r="B683" s="46"/>
      <c r="C683" s="46"/>
      <c r="D683" s="46"/>
      <c r="E683" s="47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</row>
    <row r="684" spans="1:33" x14ac:dyDescent="0.2">
      <c r="A684" s="46"/>
      <c r="B684" s="46"/>
      <c r="C684" s="46"/>
      <c r="D684" s="46"/>
      <c r="E684" s="47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</row>
    <row r="685" spans="1:33" x14ac:dyDescent="0.2">
      <c r="A685" s="46"/>
      <c r="B685" s="46"/>
      <c r="C685" s="46"/>
      <c r="D685" s="46"/>
      <c r="E685" s="47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</row>
    <row r="686" spans="1:33" x14ac:dyDescent="0.2">
      <c r="A686" s="46"/>
      <c r="B686" s="46"/>
      <c r="C686" s="46"/>
      <c r="D686" s="46"/>
      <c r="E686" s="47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</row>
    <row r="687" spans="1:33" x14ac:dyDescent="0.2">
      <c r="A687" s="46"/>
      <c r="B687" s="46"/>
      <c r="C687" s="46"/>
      <c r="D687" s="46"/>
      <c r="E687" s="47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</row>
    <row r="688" spans="1:33" x14ac:dyDescent="0.2">
      <c r="A688" s="46"/>
      <c r="B688" s="46"/>
      <c r="C688" s="46"/>
      <c r="D688" s="46"/>
      <c r="E688" s="47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</row>
    <row r="689" spans="1:33" x14ac:dyDescent="0.2">
      <c r="A689" s="46"/>
      <c r="B689" s="46"/>
      <c r="C689" s="46"/>
      <c r="D689" s="46"/>
      <c r="E689" s="47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</row>
    <row r="690" spans="1:33" x14ac:dyDescent="0.2">
      <c r="A690" s="46"/>
      <c r="B690" s="46"/>
      <c r="C690" s="46"/>
      <c r="D690" s="46"/>
      <c r="E690" s="47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</row>
    <row r="691" spans="1:33" x14ac:dyDescent="0.2">
      <c r="A691" s="46"/>
      <c r="B691" s="46"/>
      <c r="C691" s="46"/>
      <c r="D691" s="46"/>
      <c r="E691" s="47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</row>
    <row r="692" spans="1:33" x14ac:dyDescent="0.2">
      <c r="A692" s="46"/>
      <c r="B692" s="46"/>
      <c r="C692" s="46"/>
      <c r="D692" s="46"/>
      <c r="E692" s="47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</row>
    <row r="693" spans="1:33" x14ac:dyDescent="0.2">
      <c r="A693" s="46"/>
      <c r="B693" s="46"/>
      <c r="C693" s="46"/>
      <c r="D693" s="46"/>
      <c r="E693" s="47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</row>
    <row r="694" spans="1:33" x14ac:dyDescent="0.2">
      <c r="A694" s="46"/>
      <c r="B694" s="46"/>
      <c r="C694" s="46"/>
      <c r="D694" s="46"/>
      <c r="E694" s="47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</row>
    <row r="695" spans="1:33" x14ac:dyDescent="0.2">
      <c r="A695" s="46"/>
      <c r="B695" s="46"/>
      <c r="C695" s="46"/>
      <c r="D695" s="46"/>
      <c r="E695" s="47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</row>
    <row r="696" spans="1:33" x14ac:dyDescent="0.2">
      <c r="A696" s="46"/>
      <c r="B696" s="46"/>
      <c r="C696" s="46"/>
      <c r="D696" s="46"/>
      <c r="E696" s="47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</row>
    <row r="697" spans="1:33" x14ac:dyDescent="0.2">
      <c r="A697" s="46"/>
      <c r="B697" s="46"/>
      <c r="C697" s="46"/>
      <c r="D697" s="46"/>
      <c r="E697" s="47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</row>
    <row r="698" spans="1:33" x14ac:dyDescent="0.2">
      <c r="A698" s="46"/>
      <c r="B698" s="46"/>
      <c r="C698" s="46"/>
      <c r="D698" s="46"/>
      <c r="E698" s="47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</row>
    <row r="699" spans="1:33" x14ac:dyDescent="0.2">
      <c r="A699" s="46"/>
      <c r="B699" s="46"/>
      <c r="C699" s="46"/>
      <c r="D699" s="46"/>
      <c r="E699" s="47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</row>
    <row r="700" spans="1:33" x14ac:dyDescent="0.2">
      <c r="A700" s="46"/>
      <c r="B700" s="46"/>
      <c r="C700" s="46"/>
      <c r="D700" s="46"/>
      <c r="E700" s="47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</row>
    <row r="701" spans="1:33" x14ac:dyDescent="0.2">
      <c r="A701" s="46"/>
      <c r="B701" s="46"/>
      <c r="C701" s="46"/>
      <c r="D701" s="46"/>
      <c r="E701" s="47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</row>
    <row r="702" spans="1:33" x14ac:dyDescent="0.2">
      <c r="A702" s="46"/>
      <c r="B702" s="46"/>
      <c r="C702" s="46"/>
      <c r="D702" s="46"/>
      <c r="E702" s="47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</row>
    <row r="703" spans="1:33" x14ac:dyDescent="0.2">
      <c r="A703" s="46"/>
      <c r="B703" s="46"/>
      <c r="C703" s="46"/>
      <c r="D703" s="46"/>
      <c r="E703" s="47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</row>
    <row r="704" spans="1:33" x14ac:dyDescent="0.2">
      <c r="A704" s="46"/>
      <c r="B704" s="46"/>
      <c r="C704" s="46"/>
      <c r="D704" s="46"/>
      <c r="E704" s="47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</row>
    <row r="705" spans="1:33" x14ac:dyDescent="0.2">
      <c r="A705" s="46"/>
      <c r="B705" s="46"/>
      <c r="C705" s="46"/>
      <c r="D705" s="46"/>
      <c r="E705" s="47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</row>
    <row r="706" spans="1:33" x14ac:dyDescent="0.2">
      <c r="A706" s="46"/>
      <c r="B706" s="46"/>
      <c r="C706" s="46"/>
      <c r="D706" s="46"/>
      <c r="E706" s="47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</row>
    <row r="707" spans="1:33" x14ac:dyDescent="0.2">
      <c r="A707" s="46"/>
      <c r="B707" s="46"/>
      <c r="C707" s="46"/>
      <c r="D707" s="46"/>
      <c r="E707" s="47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</row>
    <row r="708" spans="1:33" x14ac:dyDescent="0.2">
      <c r="A708" s="46"/>
      <c r="B708" s="46"/>
      <c r="C708" s="46"/>
      <c r="D708" s="46"/>
      <c r="E708" s="47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</row>
    <row r="709" spans="1:33" x14ac:dyDescent="0.2">
      <c r="A709" s="46"/>
      <c r="B709" s="46"/>
      <c r="C709" s="46"/>
      <c r="D709" s="46"/>
      <c r="E709" s="47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</row>
    <row r="710" spans="1:33" x14ac:dyDescent="0.2">
      <c r="A710" s="46"/>
      <c r="B710" s="46"/>
      <c r="C710" s="46"/>
      <c r="D710" s="46"/>
      <c r="E710" s="47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</row>
    <row r="711" spans="1:33" x14ac:dyDescent="0.2">
      <c r="A711" s="46"/>
      <c r="B711" s="46"/>
      <c r="C711" s="46"/>
      <c r="D711" s="46"/>
      <c r="E711" s="47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</row>
    <row r="712" spans="1:33" x14ac:dyDescent="0.2">
      <c r="A712" s="46"/>
      <c r="B712" s="46"/>
      <c r="C712" s="46"/>
      <c r="D712" s="46"/>
      <c r="E712" s="47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</row>
    <row r="713" spans="1:33" x14ac:dyDescent="0.2">
      <c r="A713" s="46"/>
      <c r="B713" s="46"/>
      <c r="C713" s="46"/>
      <c r="D713" s="46"/>
      <c r="E713" s="47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</row>
    <row r="714" spans="1:33" x14ac:dyDescent="0.2">
      <c r="A714" s="46"/>
      <c r="B714" s="46"/>
      <c r="C714" s="46"/>
      <c r="D714" s="46"/>
      <c r="E714" s="47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</row>
    <row r="715" spans="1:33" x14ac:dyDescent="0.2">
      <c r="A715" s="46"/>
      <c r="B715" s="46"/>
      <c r="C715" s="46"/>
      <c r="D715" s="46"/>
      <c r="E715" s="47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</row>
    <row r="716" spans="1:33" x14ac:dyDescent="0.2">
      <c r="A716" s="46"/>
      <c r="B716" s="46"/>
      <c r="C716" s="46"/>
      <c r="D716" s="46"/>
      <c r="E716" s="47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</row>
    <row r="717" spans="1:33" x14ac:dyDescent="0.2">
      <c r="A717" s="46"/>
      <c r="B717" s="46"/>
      <c r="C717" s="46"/>
      <c r="D717" s="46"/>
      <c r="E717" s="47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</row>
    <row r="718" spans="1:33" x14ac:dyDescent="0.2">
      <c r="A718" s="46"/>
      <c r="B718" s="46"/>
      <c r="C718" s="46"/>
      <c r="D718" s="46"/>
      <c r="E718" s="47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</row>
    <row r="719" spans="1:33" x14ac:dyDescent="0.2">
      <c r="A719" s="46"/>
      <c r="B719" s="46"/>
      <c r="C719" s="46"/>
      <c r="D719" s="46"/>
      <c r="E719" s="47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</row>
    <row r="720" spans="1:33" x14ac:dyDescent="0.2">
      <c r="A720" s="46"/>
      <c r="B720" s="46"/>
      <c r="C720" s="46"/>
      <c r="D720" s="46"/>
      <c r="E720" s="47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</row>
    <row r="721" spans="1:33" x14ac:dyDescent="0.2">
      <c r="A721" s="46"/>
      <c r="B721" s="46"/>
      <c r="C721" s="46"/>
      <c r="D721" s="46"/>
      <c r="E721" s="47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</row>
    <row r="722" spans="1:33" x14ac:dyDescent="0.2">
      <c r="A722" s="46"/>
      <c r="B722" s="46"/>
      <c r="C722" s="46"/>
      <c r="D722" s="46"/>
      <c r="E722" s="47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</row>
    <row r="723" spans="1:33" x14ac:dyDescent="0.2">
      <c r="A723" s="46"/>
      <c r="B723" s="46"/>
      <c r="C723" s="46"/>
      <c r="D723" s="46"/>
      <c r="E723" s="47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</row>
    <row r="724" spans="1:33" x14ac:dyDescent="0.2">
      <c r="A724" s="46"/>
      <c r="B724" s="46"/>
      <c r="C724" s="46"/>
      <c r="D724" s="46"/>
      <c r="E724" s="47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</row>
    <row r="725" spans="1:33" x14ac:dyDescent="0.2">
      <c r="A725" s="46"/>
      <c r="B725" s="46"/>
      <c r="C725" s="46"/>
      <c r="D725" s="46"/>
      <c r="E725" s="47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</row>
    <row r="726" spans="1:33" x14ac:dyDescent="0.2">
      <c r="A726" s="46"/>
      <c r="B726" s="46"/>
      <c r="C726" s="46"/>
      <c r="D726" s="46"/>
      <c r="E726" s="47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</row>
    <row r="727" spans="1:33" x14ac:dyDescent="0.2">
      <c r="A727" s="46"/>
      <c r="B727" s="46"/>
      <c r="C727" s="46"/>
      <c r="D727" s="46"/>
      <c r="E727" s="47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</row>
    <row r="728" spans="1:33" x14ac:dyDescent="0.2">
      <c r="A728" s="46"/>
      <c r="B728" s="46"/>
      <c r="C728" s="46"/>
      <c r="D728" s="46"/>
      <c r="E728" s="47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</row>
    <row r="729" spans="1:33" x14ac:dyDescent="0.2">
      <c r="A729" s="46"/>
      <c r="B729" s="46"/>
      <c r="C729" s="46"/>
      <c r="D729" s="46"/>
      <c r="E729" s="47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</row>
    <row r="730" spans="1:33" x14ac:dyDescent="0.2">
      <c r="A730" s="46"/>
      <c r="B730" s="46"/>
      <c r="C730" s="46"/>
      <c r="D730" s="46"/>
      <c r="E730" s="47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</row>
    <row r="731" spans="1:33" x14ac:dyDescent="0.2">
      <c r="A731" s="46"/>
      <c r="B731" s="46"/>
      <c r="C731" s="46"/>
      <c r="D731" s="46"/>
      <c r="E731" s="47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</row>
    <row r="732" spans="1:33" x14ac:dyDescent="0.2">
      <c r="A732" s="46"/>
      <c r="B732" s="46"/>
      <c r="C732" s="46"/>
      <c r="D732" s="46"/>
      <c r="E732" s="47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</row>
    <row r="733" spans="1:33" x14ac:dyDescent="0.2">
      <c r="A733" s="46"/>
      <c r="B733" s="46"/>
      <c r="C733" s="46"/>
      <c r="D733" s="46"/>
      <c r="E733" s="47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</row>
    <row r="734" spans="1:33" x14ac:dyDescent="0.2">
      <c r="A734" s="46"/>
      <c r="B734" s="46"/>
      <c r="C734" s="46"/>
      <c r="D734" s="46"/>
      <c r="E734" s="47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</row>
    <row r="735" spans="1:33" x14ac:dyDescent="0.2">
      <c r="A735" s="46"/>
      <c r="B735" s="46"/>
      <c r="C735" s="46"/>
      <c r="D735" s="46"/>
      <c r="E735" s="47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</row>
    <row r="736" spans="1:33" x14ac:dyDescent="0.2">
      <c r="A736" s="46"/>
      <c r="B736" s="46"/>
      <c r="C736" s="46"/>
      <c r="D736" s="46"/>
      <c r="E736" s="47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</row>
    <row r="737" spans="1:33" x14ac:dyDescent="0.2">
      <c r="A737" s="46"/>
      <c r="B737" s="46"/>
      <c r="C737" s="46"/>
      <c r="D737" s="46"/>
      <c r="E737" s="47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</row>
    <row r="738" spans="1:33" x14ac:dyDescent="0.2">
      <c r="A738" s="46"/>
      <c r="B738" s="46"/>
      <c r="C738" s="46"/>
      <c r="D738" s="46"/>
      <c r="E738" s="47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</row>
    <row r="739" spans="1:33" x14ac:dyDescent="0.2">
      <c r="A739" s="46"/>
      <c r="B739" s="46"/>
      <c r="C739" s="46"/>
      <c r="D739" s="46"/>
      <c r="E739" s="47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</row>
    <row r="740" spans="1:33" x14ac:dyDescent="0.2">
      <c r="A740" s="46"/>
      <c r="B740" s="46"/>
      <c r="C740" s="46"/>
      <c r="D740" s="46"/>
      <c r="E740" s="47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</row>
    <row r="741" spans="1:33" x14ac:dyDescent="0.2">
      <c r="A741" s="46"/>
      <c r="B741" s="46"/>
      <c r="C741" s="46"/>
      <c r="D741" s="46"/>
      <c r="E741" s="47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</row>
    <row r="742" spans="1:33" x14ac:dyDescent="0.2">
      <c r="A742" s="46"/>
      <c r="B742" s="46"/>
      <c r="C742" s="46"/>
      <c r="D742" s="46"/>
      <c r="E742" s="47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</row>
    <row r="743" spans="1:33" x14ac:dyDescent="0.2">
      <c r="A743" s="46"/>
      <c r="B743" s="46"/>
      <c r="C743" s="46"/>
      <c r="D743" s="46"/>
      <c r="E743" s="47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</row>
    <row r="744" spans="1:33" x14ac:dyDescent="0.2">
      <c r="A744" s="46"/>
      <c r="B744" s="46"/>
      <c r="C744" s="46"/>
      <c r="D744" s="46"/>
      <c r="E744" s="47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</row>
    <row r="745" spans="1:33" x14ac:dyDescent="0.2">
      <c r="A745" s="46"/>
      <c r="B745" s="46"/>
      <c r="C745" s="46"/>
      <c r="D745" s="46"/>
      <c r="E745" s="47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</row>
    <row r="746" spans="1:33" x14ac:dyDescent="0.2">
      <c r="A746" s="46"/>
      <c r="B746" s="46"/>
      <c r="C746" s="46"/>
      <c r="D746" s="46"/>
      <c r="E746" s="47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</row>
    <row r="747" spans="1:33" x14ac:dyDescent="0.2">
      <c r="A747" s="46"/>
      <c r="B747" s="46"/>
      <c r="C747" s="46"/>
      <c r="D747" s="46"/>
      <c r="E747" s="47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</row>
    <row r="748" spans="1:33" x14ac:dyDescent="0.2">
      <c r="A748" s="46"/>
      <c r="B748" s="46"/>
      <c r="C748" s="46"/>
      <c r="D748" s="46"/>
      <c r="E748" s="47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</row>
    <row r="749" spans="1:33" x14ac:dyDescent="0.2">
      <c r="A749" s="46"/>
      <c r="B749" s="46"/>
      <c r="C749" s="46"/>
      <c r="D749" s="46"/>
      <c r="E749" s="47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</row>
    <row r="750" spans="1:33" x14ac:dyDescent="0.2">
      <c r="A750" s="46"/>
      <c r="B750" s="46"/>
      <c r="C750" s="46"/>
      <c r="D750" s="46"/>
      <c r="E750" s="47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</row>
    <row r="751" spans="1:33" x14ac:dyDescent="0.2">
      <c r="A751" s="46"/>
      <c r="B751" s="46"/>
      <c r="C751" s="46"/>
      <c r="D751" s="46"/>
      <c r="E751" s="47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</row>
    <row r="752" spans="1:33" x14ac:dyDescent="0.2">
      <c r="A752" s="46"/>
      <c r="B752" s="46"/>
      <c r="C752" s="46"/>
      <c r="D752" s="46"/>
      <c r="E752" s="47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</row>
    <row r="753" spans="1:33" x14ac:dyDescent="0.2">
      <c r="A753" s="46"/>
      <c r="B753" s="46"/>
      <c r="C753" s="46"/>
      <c r="D753" s="46"/>
      <c r="E753" s="47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</row>
    <row r="754" spans="1:33" x14ac:dyDescent="0.2">
      <c r="A754" s="46"/>
      <c r="B754" s="46"/>
      <c r="C754" s="46"/>
      <c r="D754" s="46"/>
      <c r="E754" s="47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</row>
    <row r="755" spans="1:33" x14ac:dyDescent="0.2">
      <c r="A755" s="46"/>
      <c r="B755" s="46"/>
      <c r="C755" s="46"/>
      <c r="D755" s="46"/>
      <c r="E755" s="47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</row>
    <row r="756" spans="1:33" x14ac:dyDescent="0.2">
      <c r="A756" s="46"/>
      <c r="B756" s="46"/>
      <c r="C756" s="46"/>
      <c r="D756" s="46"/>
      <c r="E756" s="47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</row>
    <row r="757" spans="1:33" x14ac:dyDescent="0.2">
      <c r="A757" s="46"/>
      <c r="B757" s="46"/>
      <c r="C757" s="46"/>
      <c r="D757" s="46"/>
      <c r="E757" s="47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</row>
    <row r="758" spans="1:33" x14ac:dyDescent="0.2">
      <c r="A758" s="46"/>
      <c r="B758" s="46"/>
      <c r="C758" s="46"/>
      <c r="D758" s="46"/>
      <c r="E758" s="47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</row>
    <row r="759" spans="1:33" x14ac:dyDescent="0.2">
      <c r="A759" s="46"/>
      <c r="B759" s="46"/>
      <c r="C759" s="46"/>
      <c r="D759" s="46"/>
      <c r="E759" s="47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</row>
    <row r="760" spans="1:33" x14ac:dyDescent="0.2">
      <c r="A760" s="46"/>
      <c r="B760" s="46"/>
      <c r="C760" s="46"/>
      <c r="D760" s="46"/>
      <c r="E760" s="47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</row>
    <row r="761" spans="1:33" x14ac:dyDescent="0.2">
      <c r="A761" s="46"/>
      <c r="B761" s="46"/>
      <c r="C761" s="46"/>
      <c r="D761" s="46"/>
      <c r="E761" s="47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</row>
    <row r="762" spans="1:33" x14ac:dyDescent="0.2">
      <c r="A762" s="46"/>
      <c r="B762" s="46"/>
      <c r="C762" s="46"/>
      <c r="D762" s="46"/>
      <c r="E762" s="47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</row>
    <row r="763" spans="1:33" x14ac:dyDescent="0.2">
      <c r="A763" s="46"/>
      <c r="B763" s="46"/>
      <c r="C763" s="46"/>
      <c r="D763" s="46"/>
      <c r="E763" s="47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</row>
    <row r="764" spans="1:33" x14ac:dyDescent="0.2">
      <c r="A764" s="46"/>
      <c r="B764" s="46"/>
      <c r="C764" s="46"/>
      <c r="D764" s="46"/>
      <c r="E764" s="47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</row>
    <row r="765" spans="1:33" x14ac:dyDescent="0.2">
      <c r="A765" s="46"/>
      <c r="B765" s="46"/>
      <c r="C765" s="46"/>
      <c r="D765" s="46"/>
      <c r="E765" s="47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</row>
    <row r="766" spans="1:33" x14ac:dyDescent="0.2">
      <c r="A766" s="46"/>
      <c r="B766" s="46"/>
      <c r="C766" s="46"/>
      <c r="D766" s="46"/>
      <c r="E766" s="47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</row>
    <row r="767" spans="1:33" x14ac:dyDescent="0.2">
      <c r="A767" s="46"/>
      <c r="B767" s="46"/>
      <c r="C767" s="46"/>
      <c r="D767" s="46"/>
      <c r="E767" s="47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</row>
    <row r="768" spans="1:33" x14ac:dyDescent="0.2">
      <c r="A768" s="46"/>
      <c r="B768" s="46"/>
      <c r="C768" s="46"/>
      <c r="D768" s="46"/>
      <c r="E768" s="47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</row>
    <row r="769" spans="1:33" x14ac:dyDescent="0.2">
      <c r="A769" s="46"/>
      <c r="B769" s="46"/>
      <c r="C769" s="46"/>
      <c r="D769" s="46"/>
      <c r="E769" s="47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</row>
    <row r="770" spans="1:33" x14ac:dyDescent="0.2">
      <c r="A770" s="46"/>
      <c r="B770" s="46"/>
      <c r="C770" s="46"/>
      <c r="D770" s="46"/>
      <c r="E770" s="47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</row>
    <row r="771" spans="1:33" x14ac:dyDescent="0.2">
      <c r="A771" s="46"/>
      <c r="B771" s="46"/>
      <c r="C771" s="46"/>
      <c r="D771" s="46"/>
      <c r="E771" s="47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</row>
    <row r="772" spans="1:33" x14ac:dyDescent="0.2">
      <c r="A772" s="46"/>
      <c r="B772" s="46"/>
      <c r="C772" s="46"/>
      <c r="D772" s="46"/>
      <c r="E772" s="47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</row>
    <row r="773" spans="1:33" x14ac:dyDescent="0.2">
      <c r="A773" s="46"/>
      <c r="B773" s="46"/>
      <c r="C773" s="46"/>
      <c r="D773" s="46"/>
      <c r="E773" s="47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</row>
    <row r="774" spans="1:33" x14ac:dyDescent="0.2">
      <c r="A774" s="46"/>
      <c r="B774" s="46"/>
      <c r="C774" s="46"/>
      <c r="D774" s="46"/>
      <c r="E774" s="47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</row>
    <row r="775" spans="1:33" x14ac:dyDescent="0.2">
      <c r="A775" s="46"/>
      <c r="B775" s="46"/>
      <c r="C775" s="46"/>
      <c r="D775" s="46"/>
      <c r="E775" s="47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</row>
    <row r="776" spans="1:33" x14ac:dyDescent="0.2">
      <c r="A776" s="46"/>
      <c r="B776" s="46"/>
      <c r="C776" s="46"/>
      <c r="D776" s="46"/>
      <c r="E776" s="47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</row>
    <row r="777" spans="1:33" x14ac:dyDescent="0.2">
      <c r="A777" s="46"/>
      <c r="B777" s="46"/>
      <c r="C777" s="46"/>
      <c r="D777" s="46"/>
      <c r="E777" s="47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</row>
    <row r="778" spans="1:33" x14ac:dyDescent="0.2">
      <c r="A778" s="46"/>
      <c r="B778" s="46"/>
      <c r="C778" s="46"/>
      <c r="D778" s="46"/>
      <c r="E778" s="47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</row>
    <row r="779" spans="1:33" x14ac:dyDescent="0.2">
      <c r="A779" s="46"/>
      <c r="B779" s="46"/>
      <c r="C779" s="46"/>
      <c r="D779" s="46"/>
      <c r="E779" s="47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</row>
    <row r="780" spans="1:33" x14ac:dyDescent="0.2">
      <c r="A780" s="46"/>
      <c r="B780" s="46"/>
      <c r="C780" s="46"/>
      <c r="D780" s="46"/>
      <c r="E780" s="47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</row>
    <row r="781" spans="1:33" x14ac:dyDescent="0.2">
      <c r="A781" s="46"/>
      <c r="B781" s="46"/>
      <c r="C781" s="46"/>
      <c r="D781" s="46"/>
      <c r="E781" s="47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</row>
    <row r="782" spans="1:33" x14ac:dyDescent="0.2">
      <c r="A782" s="46"/>
      <c r="B782" s="46"/>
      <c r="C782" s="46"/>
      <c r="D782" s="46"/>
      <c r="E782" s="47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</row>
    <row r="783" spans="1:33" x14ac:dyDescent="0.2">
      <c r="A783" s="46"/>
      <c r="B783" s="46"/>
      <c r="C783" s="46"/>
      <c r="D783" s="46"/>
      <c r="E783" s="47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</row>
    <row r="784" spans="1:33" x14ac:dyDescent="0.2">
      <c r="A784" s="46"/>
      <c r="B784" s="46"/>
      <c r="C784" s="46"/>
      <c r="D784" s="46"/>
      <c r="E784" s="47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</row>
    <row r="785" spans="1:33" x14ac:dyDescent="0.2">
      <c r="A785" s="46"/>
      <c r="B785" s="46"/>
      <c r="C785" s="46"/>
      <c r="D785" s="46"/>
      <c r="E785" s="47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</row>
    <row r="786" spans="1:33" x14ac:dyDescent="0.2">
      <c r="A786" s="46"/>
      <c r="B786" s="46"/>
      <c r="C786" s="46"/>
      <c r="D786" s="46"/>
      <c r="E786" s="47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</row>
    <row r="787" spans="1:33" x14ac:dyDescent="0.2">
      <c r="A787" s="46"/>
      <c r="B787" s="46"/>
      <c r="C787" s="46"/>
      <c r="D787" s="46"/>
      <c r="E787" s="47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</row>
    <row r="788" spans="1:33" x14ac:dyDescent="0.2">
      <c r="A788" s="46"/>
      <c r="B788" s="46"/>
      <c r="C788" s="46"/>
      <c r="D788" s="46"/>
      <c r="E788" s="47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</row>
    <row r="789" spans="1:33" x14ac:dyDescent="0.2">
      <c r="A789" s="46"/>
      <c r="B789" s="46"/>
      <c r="C789" s="46"/>
      <c r="D789" s="46"/>
      <c r="E789" s="47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</row>
    <row r="790" spans="1:33" x14ac:dyDescent="0.2">
      <c r="A790" s="46"/>
      <c r="B790" s="46"/>
      <c r="C790" s="46"/>
      <c r="D790" s="46"/>
      <c r="E790" s="47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</row>
    <row r="791" spans="1:33" x14ac:dyDescent="0.2">
      <c r="A791" s="46"/>
      <c r="B791" s="46"/>
      <c r="C791" s="46"/>
      <c r="D791" s="46"/>
      <c r="E791" s="47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</row>
    <row r="792" spans="1:33" x14ac:dyDescent="0.2">
      <c r="A792" s="46"/>
      <c r="B792" s="46"/>
      <c r="C792" s="46"/>
      <c r="D792" s="46"/>
      <c r="E792" s="47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</row>
    <row r="793" spans="1:33" x14ac:dyDescent="0.2">
      <c r="A793" s="46"/>
      <c r="B793" s="46"/>
      <c r="C793" s="46"/>
      <c r="D793" s="46"/>
      <c r="E793" s="47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</row>
    <row r="794" spans="1:33" x14ac:dyDescent="0.2">
      <c r="A794" s="46"/>
      <c r="B794" s="46"/>
      <c r="C794" s="46"/>
      <c r="D794" s="46"/>
      <c r="E794" s="47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</row>
    <row r="795" spans="1:33" x14ac:dyDescent="0.2">
      <c r="A795" s="46"/>
      <c r="B795" s="46"/>
      <c r="C795" s="46"/>
      <c r="D795" s="46"/>
      <c r="E795" s="47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</row>
    <row r="796" spans="1:33" x14ac:dyDescent="0.2">
      <c r="A796" s="46"/>
      <c r="B796" s="46"/>
      <c r="C796" s="46"/>
      <c r="D796" s="46"/>
      <c r="E796" s="47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</row>
    <row r="797" spans="1:33" x14ac:dyDescent="0.2">
      <c r="A797" s="46"/>
      <c r="B797" s="46"/>
      <c r="C797" s="46"/>
      <c r="D797" s="46"/>
      <c r="E797" s="47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</row>
    <row r="798" spans="1:33" x14ac:dyDescent="0.2">
      <c r="A798" s="46"/>
      <c r="B798" s="46"/>
      <c r="C798" s="46"/>
      <c r="D798" s="46"/>
      <c r="E798" s="47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</row>
    <row r="799" spans="1:33" x14ac:dyDescent="0.2">
      <c r="A799" s="46"/>
      <c r="B799" s="46"/>
      <c r="C799" s="46"/>
      <c r="D799" s="46"/>
      <c r="E799" s="47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</row>
    <row r="800" spans="1:33" x14ac:dyDescent="0.2">
      <c r="A800" s="46"/>
      <c r="B800" s="46"/>
      <c r="C800" s="46"/>
      <c r="D800" s="46"/>
      <c r="E800" s="47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</row>
    <row r="801" spans="1:33" x14ac:dyDescent="0.2">
      <c r="A801" s="46"/>
      <c r="B801" s="46"/>
      <c r="C801" s="46"/>
      <c r="D801" s="46"/>
      <c r="E801" s="47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</row>
    <row r="802" spans="1:33" x14ac:dyDescent="0.2">
      <c r="A802" s="46"/>
      <c r="B802" s="46"/>
      <c r="C802" s="46"/>
      <c r="D802" s="46"/>
      <c r="E802" s="47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</row>
    <row r="803" spans="1:33" x14ac:dyDescent="0.2">
      <c r="A803" s="46"/>
      <c r="B803" s="46"/>
      <c r="C803" s="46"/>
      <c r="D803" s="46"/>
      <c r="E803" s="47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</row>
    <row r="804" spans="1:33" x14ac:dyDescent="0.2">
      <c r="A804" s="46"/>
      <c r="B804" s="46"/>
      <c r="C804" s="46"/>
      <c r="D804" s="46"/>
      <c r="E804" s="47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</row>
    <row r="805" spans="1:33" x14ac:dyDescent="0.2">
      <c r="A805" s="46"/>
      <c r="B805" s="46"/>
      <c r="C805" s="46"/>
      <c r="D805" s="46"/>
      <c r="E805" s="47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</row>
    <row r="806" spans="1:33" x14ac:dyDescent="0.2">
      <c r="A806" s="46"/>
      <c r="B806" s="46"/>
      <c r="C806" s="46"/>
      <c r="D806" s="46"/>
      <c r="E806" s="47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</row>
    <row r="807" spans="1:33" x14ac:dyDescent="0.2">
      <c r="A807" s="46"/>
      <c r="B807" s="46"/>
      <c r="C807" s="46"/>
      <c r="D807" s="46"/>
      <c r="E807" s="47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</row>
    <row r="808" spans="1:33" x14ac:dyDescent="0.2">
      <c r="A808" s="46"/>
      <c r="B808" s="46"/>
      <c r="C808" s="46"/>
      <c r="D808" s="46"/>
      <c r="E808" s="47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</row>
    <row r="809" spans="1:33" x14ac:dyDescent="0.2">
      <c r="A809" s="46"/>
      <c r="B809" s="46"/>
      <c r="C809" s="46"/>
      <c r="D809" s="46"/>
      <c r="E809" s="47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</row>
    <row r="810" spans="1:33" x14ac:dyDescent="0.2">
      <c r="A810" s="46"/>
      <c r="B810" s="46"/>
      <c r="C810" s="46"/>
      <c r="D810" s="46"/>
      <c r="E810" s="47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</row>
    <row r="811" spans="1:33" x14ac:dyDescent="0.2">
      <c r="A811" s="46"/>
      <c r="B811" s="46"/>
      <c r="C811" s="46"/>
      <c r="D811" s="46"/>
      <c r="E811" s="47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</row>
    <row r="812" spans="1:33" x14ac:dyDescent="0.2">
      <c r="A812" s="46"/>
      <c r="B812" s="46"/>
      <c r="C812" s="46"/>
      <c r="D812" s="46"/>
      <c r="E812" s="47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</row>
    <row r="813" spans="1:33" x14ac:dyDescent="0.2">
      <c r="A813" s="46"/>
      <c r="B813" s="46"/>
      <c r="C813" s="46"/>
      <c r="D813" s="46"/>
      <c r="E813" s="47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</row>
    <row r="814" spans="1:33" x14ac:dyDescent="0.2">
      <c r="A814" s="46"/>
      <c r="B814" s="46"/>
      <c r="C814" s="46"/>
      <c r="D814" s="46"/>
      <c r="E814" s="47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</row>
    <row r="815" spans="1:33" x14ac:dyDescent="0.2">
      <c r="A815" s="46"/>
      <c r="B815" s="46"/>
      <c r="C815" s="46"/>
      <c r="D815" s="46"/>
      <c r="E815" s="47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</row>
    <row r="816" spans="1:33" x14ac:dyDescent="0.2">
      <c r="A816" s="46"/>
      <c r="B816" s="46"/>
      <c r="C816" s="46"/>
      <c r="D816" s="46"/>
      <c r="E816" s="47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</row>
    <row r="817" spans="1:33" x14ac:dyDescent="0.2">
      <c r="A817" s="46"/>
      <c r="B817" s="46"/>
      <c r="C817" s="46"/>
      <c r="D817" s="46"/>
      <c r="E817" s="47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</row>
    <row r="818" spans="1:33" x14ac:dyDescent="0.2">
      <c r="A818" s="46"/>
      <c r="B818" s="46"/>
      <c r="C818" s="46"/>
      <c r="D818" s="46"/>
      <c r="E818" s="47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</row>
    <row r="819" spans="1:33" x14ac:dyDescent="0.2">
      <c r="A819" s="46"/>
      <c r="B819" s="46"/>
      <c r="C819" s="46"/>
      <c r="D819" s="46"/>
      <c r="E819" s="47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</row>
    <row r="820" spans="1:33" x14ac:dyDescent="0.2">
      <c r="A820" s="46"/>
      <c r="B820" s="46"/>
      <c r="C820" s="46"/>
      <c r="D820" s="46"/>
      <c r="E820" s="47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</row>
    <row r="821" spans="1:33" x14ac:dyDescent="0.2">
      <c r="A821" s="46"/>
      <c r="B821" s="46"/>
      <c r="C821" s="46"/>
      <c r="D821" s="46"/>
      <c r="E821" s="47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</row>
    <row r="822" spans="1:33" x14ac:dyDescent="0.2">
      <c r="A822" s="46"/>
      <c r="B822" s="46"/>
      <c r="C822" s="46"/>
      <c r="D822" s="46"/>
      <c r="E822" s="47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</row>
    <row r="823" spans="1:33" x14ac:dyDescent="0.2">
      <c r="A823" s="46"/>
      <c r="B823" s="46"/>
      <c r="C823" s="46"/>
      <c r="D823" s="46"/>
      <c r="E823" s="47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</row>
    <row r="824" spans="1:33" x14ac:dyDescent="0.2">
      <c r="A824" s="46"/>
      <c r="B824" s="46"/>
      <c r="C824" s="46"/>
      <c r="D824" s="46"/>
      <c r="E824" s="47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</row>
    <row r="825" spans="1:33" x14ac:dyDescent="0.2">
      <c r="A825" s="46"/>
      <c r="B825" s="46"/>
      <c r="C825" s="46"/>
      <c r="D825" s="46"/>
      <c r="E825" s="47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</row>
    <row r="826" spans="1:33" x14ac:dyDescent="0.2">
      <c r="A826" s="46"/>
      <c r="B826" s="46"/>
      <c r="C826" s="46"/>
      <c r="D826" s="46"/>
      <c r="E826" s="47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</row>
    <row r="827" spans="1:33" x14ac:dyDescent="0.2">
      <c r="A827" s="46"/>
      <c r="B827" s="46"/>
      <c r="C827" s="46"/>
      <c r="D827" s="46"/>
      <c r="E827" s="47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</row>
    <row r="828" spans="1:33" x14ac:dyDescent="0.2">
      <c r="A828" s="46"/>
      <c r="B828" s="46"/>
      <c r="C828" s="46"/>
      <c r="D828" s="46"/>
      <c r="E828" s="47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</row>
    <row r="829" spans="1:33" x14ac:dyDescent="0.2">
      <c r="A829" s="46"/>
      <c r="B829" s="46"/>
      <c r="C829" s="46"/>
      <c r="D829" s="46"/>
      <c r="E829" s="47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</row>
    <row r="830" spans="1:33" x14ac:dyDescent="0.2">
      <c r="A830" s="46"/>
      <c r="B830" s="46"/>
      <c r="C830" s="46"/>
      <c r="D830" s="46"/>
      <c r="E830" s="47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</row>
    <row r="831" spans="1:33" x14ac:dyDescent="0.2">
      <c r="A831" s="46"/>
      <c r="B831" s="46"/>
      <c r="C831" s="46"/>
      <c r="D831" s="46"/>
      <c r="E831" s="47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</row>
    <row r="832" spans="1:33" x14ac:dyDescent="0.2">
      <c r="A832" s="46"/>
      <c r="B832" s="46"/>
      <c r="C832" s="46"/>
      <c r="D832" s="46"/>
      <c r="E832" s="47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</row>
    <row r="833" spans="1:33" x14ac:dyDescent="0.2">
      <c r="A833" s="46"/>
      <c r="B833" s="46"/>
      <c r="C833" s="46"/>
      <c r="D833" s="46"/>
      <c r="E833" s="47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</row>
    <row r="834" spans="1:33" x14ac:dyDescent="0.2">
      <c r="A834" s="46"/>
      <c r="B834" s="46"/>
      <c r="C834" s="46"/>
      <c r="D834" s="46"/>
      <c r="E834" s="47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</row>
    <row r="835" spans="1:33" x14ac:dyDescent="0.2">
      <c r="A835" s="46"/>
      <c r="B835" s="46"/>
      <c r="C835" s="46"/>
      <c r="D835" s="46"/>
      <c r="E835" s="47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</row>
    <row r="836" spans="1:33" x14ac:dyDescent="0.2">
      <c r="A836" s="46"/>
      <c r="B836" s="46"/>
      <c r="C836" s="46"/>
      <c r="D836" s="46"/>
      <c r="E836" s="47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</row>
    <row r="837" spans="1:33" x14ac:dyDescent="0.2">
      <c r="A837" s="46"/>
      <c r="B837" s="46"/>
      <c r="C837" s="46"/>
      <c r="D837" s="46"/>
      <c r="E837" s="47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</row>
    <row r="838" spans="1:33" x14ac:dyDescent="0.2">
      <c r="A838" s="46"/>
      <c r="B838" s="46"/>
      <c r="C838" s="46"/>
      <c r="D838" s="46"/>
      <c r="E838" s="47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</row>
    <row r="839" spans="1:33" x14ac:dyDescent="0.2">
      <c r="A839" s="46"/>
      <c r="B839" s="46"/>
      <c r="C839" s="46"/>
      <c r="D839" s="46"/>
      <c r="E839" s="47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</row>
    <row r="840" spans="1:33" x14ac:dyDescent="0.2">
      <c r="A840" s="46"/>
      <c r="B840" s="46"/>
      <c r="C840" s="46"/>
      <c r="D840" s="46"/>
      <c r="E840" s="47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</row>
    <row r="841" spans="1:33" x14ac:dyDescent="0.2">
      <c r="A841" s="46"/>
      <c r="B841" s="46"/>
      <c r="C841" s="46"/>
      <c r="D841" s="46"/>
      <c r="E841" s="47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</row>
    <row r="842" spans="1:33" x14ac:dyDescent="0.2">
      <c r="A842" s="46"/>
      <c r="B842" s="46"/>
      <c r="C842" s="46"/>
      <c r="D842" s="46"/>
      <c r="E842" s="47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</row>
    <row r="843" spans="1:33" x14ac:dyDescent="0.2">
      <c r="A843" s="46"/>
      <c r="B843" s="46"/>
      <c r="C843" s="46"/>
      <c r="D843" s="46"/>
      <c r="E843" s="47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</row>
    <row r="844" spans="1:33" x14ac:dyDescent="0.2">
      <c r="A844" s="46"/>
      <c r="B844" s="46"/>
      <c r="C844" s="46"/>
      <c r="D844" s="46"/>
      <c r="E844" s="47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</row>
    <row r="845" spans="1:33" x14ac:dyDescent="0.2">
      <c r="A845" s="46"/>
      <c r="B845" s="46"/>
      <c r="C845" s="46"/>
      <c r="D845" s="46"/>
      <c r="E845" s="47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</row>
    <row r="846" spans="1:33" x14ac:dyDescent="0.2">
      <c r="A846" s="46"/>
      <c r="B846" s="46"/>
      <c r="C846" s="46"/>
      <c r="D846" s="46"/>
      <c r="E846" s="47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</row>
    <row r="847" spans="1:33" x14ac:dyDescent="0.2">
      <c r="A847" s="46"/>
      <c r="B847" s="46"/>
      <c r="C847" s="46"/>
      <c r="D847" s="46"/>
      <c r="E847" s="47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</row>
    <row r="848" spans="1:33" x14ac:dyDescent="0.2">
      <c r="A848" s="46"/>
      <c r="B848" s="46"/>
      <c r="C848" s="46"/>
      <c r="D848" s="46"/>
      <c r="E848" s="47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</row>
    <row r="849" spans="1:33" x14ac:dyDescent="0.2">
      <c r="A849" s="46"/>
      <c r="B849" s="46"/>
      <c r="C849" s="46"/>
      <c r="D849" s="46"/>
      <c r="E849" s="47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</row>
    <row r="850" spans="1:33" x14ac:dyDescent="0.2">
      <c r="A850" s="46"/>
      <c r="B850" s="46"/>
      <c r="C850" s="46"/>
      <c r="D850" s="46"/>
      <c r="E850" s="47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</row>
    <row r="851" spans="1:33" x14ac:dyDescent="0.2">
      <c r="A851" s="46"/>
      <c r="B851" s="46"/>
      <c r="C851" s="46"/>
      <c r="D851" s="46"/>
      <c r="E851" s="47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</row>
    <row r="852" spans="1:33" x14ac:dyDescent="0.2">
      <c r="A852" s="46"/>
      <c r="B852" s="46"/>
      <c r="C852" s="46"/>
      <c r="D852" s="46"/>
      <c r="E852" s="47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</row>
    <row r="853" spans="1:33" x14ac:dyDescent="0.2">
      <c r="A853" s="46"/>
      <c r="B853" s="46"/>
      <c r="C853" s="46"/>
      <c r="D853" s="46"/>
      <c r="E853" s="47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</row>
    <row r="854" spans="1:33" x14ac:dyDescent="0.2">
      <c r="A854" s="46"/>
      <c r="B854" s="46"/>
      <c r="C854" s="46"/>
      <c r="D854" s="46"/>
      <c r="E854" s="47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</row>
    <row r="855" spans="1:33" x14ac:dyDescent="0.2">
      <c r="A855" s="46"/>
      <c r="B855" s="46"/>
      <c r="C855" s="46"/>
      <c r="D855" s="46"/>
      <c r="E855" s="47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</row>
    <row r="856" spans="1:33" x14ac:dyDescent="0.2">
      <c r="A856" s="46"/>
      <c r="B856" s="46"/>
      <c r="C856" s="46"/>
      <c r="D856" s="46"/>
      <c r="E856" s="47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</row>
    <row r="857" spans="1:33" x14ac:dyDescent="0.2">
      <c r="A857" s="46"/>
      <c r="B857" s="46"/>
      <c r="C857" s="46"/>
      <c r="D857" s="46"/>
      <c r="E857" s="47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</row>
    <row r="858" spans="1:33" x14ac:dyDescent="0.2">
      <c r="A858" s="46"/>
      <c r="B858" s="46"/>
      <c r="C858" s="46"/>
      <c r="D858" s="46"/>
      <c r="E858" s="47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</row>
    <row r="859" spans="1:33" x14ac:dyDescent="0.2">
      <c r="A859" s="46"/>
      <c r="B859" s="46"/>
      <c r="C859" s="46"/>
      <c r="D859" s="46"/>
      <c r="E859" s="47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</row>
    <row r="860" spans="1:33" x14ac:dyDescent="0.2">
      <c r="A860" s="46"/>
      <c r="B860" s="46"/>
      <c r="C860" s="46"/>
      <c r="D860" s="46"/>
      <c r="E860" s="47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</row>
    <row r="861" spans="1:33" x14ac:dyDescent="0.2">
      <c r="A861" s="46"/>
      <c r="B861" s="46"/>
      <c r="C861" s="46"/>
      <c r="D861" s="46"/>
      <c r="E861" s="47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</row>
    <row r="862" spans="1:33" x14ac:dyDescent="0.2">
      <c r="A862" s="46"/>
      <c r="B862" s="46"/>
      <c r="C862" s="46"/>
      <c r="D862" s="46"/>
      <c r="E862" s="47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</row>
    <row r="863" spans="1:33" x14ac:dyDescent="0.2">
      <c r="A863" s="46"/>
      <c r="B863" s="46"/>
      <c r="C863" s="46"/>
      <c r="D863" s="46"/>
      <c r="E863" s="47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</row>
    <row r="864" spans="1:33" x14ac:dyDescent="0.2">
      <c r="A864" s="46"/>
      <c r="B864" s="46"/>
      <c r="C864" s="46"/>
      <c r="D864" s="46"/>
      <c r="E864" s="47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</row>
    <row r="865" spans="1:33" x14ac:dyDescent="0.2">
      <c r="A865" s="46"/>
      <c r="B865" s="46"/>
      <c r="C865" s="46"/>
      <c r="D865" s="46"/>
      <c r="E865" s="47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</row>
    <row r="866" spans="1:33" x14ac:dyDescent="0.2">
      <c r="A866" s="46"/>
      <c r="B866" s="46"/>
      <c r="C866" s="46"/>
      <c r="D866" s="46"/>
      <c r="E866" s="47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</row>
    <row r="867" spans="1:33" x14ac:dyDescent="0.2">
      <c r="A867" s="46"/>
      <c r="B867" s="46"/>
      <c r="C867" s="46"/>
      <c r="D867" s="46"/>
      <c r="E867" s="47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</row>
    <row r="868" spans="1:33" x14ac:dyDescent="0.2">
      <c r="A868" s="46"/>
      <c r="B868" s="46"/>
      <c r="C868" s="46"/>
      <c r="D868" s="46"/>
      <c r="E868" s="47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</row>
    <row r="869" spans="1:33" x14ac:dyDescent="0.2">
      <c r="A869" s="46"/>
      <c r="B869" s="46"/>
      <c r="C869" s="46"/>
      <c r="D869" s="46"/>
      <c r="E869" s="47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</row>
    <row r="870" spans="1:33" x14ac:dyDescent="0.2">
      <c r="A870" s="46"/>
      <c r="B870" s="46"/>
      <c r="C870" s="46"/>
      <c r="D870" s="46"/>
      <c r="E870" s="47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</row>
    <row r="871" spans="1:33" x14ac:dyDescent="0.2">
      <c r="A871" s="46"/>
      <c r="B871" s="46"/>
      <c r="C871" s="46"/>
      <c r="D871" s="46"/>
      <c r="E871" s="47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</row>
    <row r="872" spans="1:33" x14ac:dyDescent="0.2">
      <c r="A872" s="46"/>
      <c r="B872" s="46"/>
      <c r="C872" s="46"/>
      <c r="D872" s="46"/>
      <c r="E872" s="47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</row>
    <row r="873" spans="1:33" x14ac:dyDescent="0.2">
      <c r="A873" s="46"/>
      <c r="B873" s="46"/>
      <c r="C873" s="46"/>
      <c r="D873" s="46"/>
      <c r="E873" s="47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</row>
    <row r="874" spans="1:33" x14ac:dyDescent="0.2">
      <c r="A874" s="46"/>
      <c r="B874" s="46"/>
      <c r="C874" s="46"/>
      <c r="D874" s="46"/>
      <c r="E874" s="47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</row>
    <row r="875" spans="1:33" x14ac:dyDescent="0.2">
      <c r="A875" s="46"/>
      <c r="B875" s="46"/>
      <c r="C875" s="46"/>
      <c r="D875" s="46"/>
      <c r="E875" s="47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</row>
    <row r="876" spans="1:33" x14ac:dyDescent="0.2">
      <c r="A876" s="46"/>
      <c r="B876" s="46"/>
      <c r="C876" s="46"/>
      <c r="D876" s="46"/>
      <c r="E876" s="47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</row>
    <row r="877" spans="1:33" x14ac:dyDescent="0.2">
      <c r="A877" s="46"/>
      <c r="B877" s="46"/>
      <c r="C877" s="46"/>
      <c r="D877" s="46"/>
      <c r="E877" s="47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</row>
    <row r="878" spans="1:33" x14ac:dyDescent="0.2">
      <c r="A878" s="46"/>
      <c r="B878" s="46"/>
      <c r="C878" s="46"/>
      <c r="D878" s="46"/>
      <c r="E878" s="47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</row>
    <row r="879" spans="1:33" x14ac:dyDescent="0.2">
      <c r="A879" s="46"/>
      <c r="B879" s="46"/>
      <c r="C879" s="46"/>
      <c r="D879" s="46"/>
      <c r="E879" s="47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</row>
    <row r="880" spans="1:33" x14ac:dyDescent="0.2">
      <c r="A880" s="46"/>
      <c r="B880" s="46"/>
      <c r="C880" s="46"/>
      <c r="D880" s="46"/>
      <c r="E880" s="47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</row>
    <row r="881" spans="1:33" x14ac:dyDescent="0.2">
      <c r="A881" s="46"/>
      <c r="B881" s="46"/>
      <c r="C881" s="46"/>
      <c r="D881" s="46"/>
      <c r="E881" s="47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</row>
    <row r="882" spans="1:33" x14ac:dyDescent="0.2">
      <c r="A882" s="46"/>
      <c r="B882" s="46"/>
      <c r="C882" s="46"/>
      <c r="D882" s="46"/>
      <c r="E882" s="47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</row>
    <row r="883" spans="1:33" x14ac:dyDescent="0.2">
      <c r="A883" s="46"/>
      <c r="B883" s="46"/>
      <c r="C883" s="46"/>
      <c r="D883" s="46"/>
      <c r="E883" s="47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</row>
    <row r="884" spans="1:33" x14ac:dyDescent="0.2">
      <c r="A884" s="46"/>
      <c r="B884" s="46"/>
      <c r="C884" s="46"/>
      <c r="D884" s="46"/>
      <c r="E884" s="47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</row>
    <row r="885" spans="1:33" x14ac:dyDescent="0.2">
      <c r="A885" s="46"/>
      <c r="B885" s="46"/>
      <c r="C885" s="46"/>
      <c r="D885" s="46"/>
      <c r="E885" s="47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</row>
    <row r="886" spans="1:33" x14ac:dyDescent="0.2">
      <c r="A886" s="46"/>
      <c r="B886" s="46"/>
      <c r="C886" s="46"/>
      <c r="D886" s="46"/>
      <c r="E886" s="47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</row>
    <row r="887" spans="1:33" x14ac:dyDescent="0.2">
      <c r="A887" s="46"/>
      <c r="B887" s="46"/>
      <c r="C887" s="46"/>
      <c r="D887" s="46"/>
      <c r="E887" s="47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</row>
    <row r="888" spans="1:33" x14ac:dyDescent="0.2">
      <c r="A888" s="46"/>
      <c r="B888" s="46"/>
      <c r="C888" s="46"/>
      <c r="D888" s="46"/>
      <c r="E888" s="47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</row>
    <row r="889" spans="1:33" x14ac:dyDescent="0.2">
      <c r="A889" s="46"/>
      <c r="B889" s="46"/>
      <c r="C889" s="46"/>
      <c r="D889" s="46"/>
      <c r="E889" s="47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</row>
    <row r="890" spans="1:33" x14ac:dyDescent="0.2">
      <c r="A890" s="46"/>
      <c r="B890" s="46"/>
      <c r="C890" s="46"/>
      <c r="D890" s="46"/>
      <c r="E890" s="47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</row>
    <row r="891" spans="1:33" x14ac:dyDescent="0.2">
      <c r="A891" s="46"/>
      <c r="B891" s="46"/>
      <c r="C891" s="46"/>
      <c r="D891" s="46"/>
      <c r="E891" s="47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</row>
    <row r="892" spans="1:33" x14ac:dyDescent="0.2">
      <c r="A892" s="46"/>
      <c r="B892" s="46"/>
      <c r="C892" s="46"/>
      <c r="D892" s="46"/>
      <c r="E892" s="47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</row>
    <row r="893" spans="1:33" x14ac:dyDescent="0.2">
      <c r="A893" s="46"/>
      <c r="B893" s="46"/>
      <c r="C893" s="46"/>
      <c r="D893" s="46"/>
      <c r="E893" s="47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</row>
    <row r="894" spans="1:33" x14ac:dyDescent="0.2">
      <c r="A894" s="46"/>
      <c r="B894" s="46"/>
      <c r="C894" s="46"/>
      <c r="D894" s="46"/>
      <c r="E894" s="47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</row>
    <row r="895" spans="1:33" x14ac:dyDescent="0.2">
      <c r="A895" s="46"/>
      <c r="B895" s="46"/>
      <c r="C895" s="46"/>
      <c r="D895" s="46"/>
      <c r="E895" s="47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</row>
    <row r="896" spans="1:33" x14ac:dyDescent="0.2">
      <c r="A896" s="46"/>
      <c r="B896" s="46"/>
      <c r="C896" s="46"/>
      <c r="D896" s="46"/>
      <c r="E896" s="47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</row>
    <row r="897" spans="1:33" x14ac:dyDescent="0.2">
      <c r="A897" s="46"/>
      <c r="B897" s="46"/>
      <c r="C897" s="46"/>
      <c r="D897" s="46"/>
      <c r="E897" s="47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</row>
    <row r="898" spans="1:33" x14ac:dyDescent="0.2">
      <c r="A898" s="46"/>
      <c r="B898" s="46"/>
      <c r="C898" s="46"/>
      <c r="D898" s="46"/>
      <c r="E898" s="47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</row>
    <row r="899" spans="1:33" x14ac:dyDescent="0.2">
      <c r="A899" s="46"/>
      <c r="B899" s="46"/>
      <c r="C899" s="46"/>
      <c r="D899" s="46"/>
      <c r="E899" s="47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</row>
    <row r="900" spans="1:33" x14ac:dyDescent="0.2">
      <c r="A900" s="46"/>
      <c r="B900" s="46"/>
      <c r="C900" s="46"/>
      <c r="D900" s="46"/>
      <c r="E900" s="47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</row>
    <row r="901" spans="1:33" x14ac:dyDescent="0.2">
      <c r="A901" s="46"/>
      <c r="B901" s="46"/>
      <c r="C901" s="46"/>
      <c r="D901" s="46"/>
      <c r="E901" s="47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</row>
    <row r="902" spans="1:33" x14ac:dyDescent="0.2">
      <c r="A902" s="46"/>
      <c r="B902" s="46"/>
      <c r="C902" s="46"/>
      <c r="D902" s="46"/>
      <c r="E902" s="47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</row>
    <row r="903" spans="1:33" x14ac:dyDescent="0.2">
      <c r="A903" s="46"/>
      <c r="B903" s="46"/>
      <c r="C903" s="46"/>
      <c r="D903" s="46"/>
      <c r="E903" s="47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</row>
    <row r="904" spans="1:33" x14ac:dyDescent="0.2">
      <c r="A904" s="46"/>
      <c r="B904" s="46"/>
      <c r="C904" s="46"/>
      <c r="D904" s="46"/>
      <c r="E904" s="47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</row>
    <row r="905" spans="1:33" x14ac:dyDescent="0.2">
      <c r="A905" s="46"/>
      <c r="B905" s="46"/>
      <c r="C905" s="46"/>
      <c r="D905" s="46"/>
      <c r="E905" s="47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</row>
    <row r="906" spans="1:33" x14ac:dyDescent="0.2">
      <c r="A906" s="46"/>
      <c r="B906" s="46"/>
      <c r="C906" s="46"/>
      <c r="D906" s="46"/>
      <c r="E906" s="47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</row>
    <row r="907" spans="1:33" x14ac:dyDescent="0.2">
      <c r="A907" s="46"/>
      <c r="B907" s="46"/>
      <c r="C907" s="46"/>
      <c r="D907" s="46"/>
      <c r="E907" s="47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</row>
    <row r="908" spans="1:33" x14ac:dyDescent="0.2">
      <c r="A908" s="46"/>
      <c r="B908" s="46"/>
      <c r="C908" s="46"/>
      <c r="D908" s="46"/>
      <c r="E908" s="47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</row>
    <row r="909" spans="1:33" x14ac:dyDescent="0.2">
      <c r="A909" s="46"/>
      <c r="B909" s="46"/>
      <c r="C909" s="46"/>
      <c r="D909" s="46"/>
      <c r="E909" s="47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</row>
    <row r="910" spans="1:33" x14ac:dyDescent="0.2">
      <c r="A910" s="46"/>
      <c r="B910" s="46"/>
      <c r="C910" s="46"/>
      <c r="D910" s="46"/>
      <c r="E910" s="47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</row>
    <row r="911" spans="1:33" x14ac:dyDescent="0.2">
      <c r="A911" s="46"/>
      <c r="B911" s="46"/>
      <c r="C911" s="46"/>
      <c r="D911" s="46"/>
      <c r="E911" s="47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</row>
    <row r="912" spans="1:33" x14ac:dyDescent="0.2">
      <c r="A912" s="46"/>
      <c r="B912" s="46"/>
      <c r="C912" s="46"/>
      <c r="D912" s="46"/>
      <c r="E912" s="47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</row>
    <row r="913" spans="1:33" x14ac:dyDescent="0.2">
      <c r="A913" s="46"/>
      <c r="B913" s="46"/>
      <c r="C913" s="46"/>
      <c r="D913" s="46"/>
      <c r="E913" s="47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</row>
    <row r="914" spans="1:33" x14ac:dyDescent="0.2">
      <c r="A914" s="46"/>
      <c r="B914" s="46"/>
      <c r="C914" s="46"/>
      <c r="D914" s="46"/>
      <c r="E914" s="47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</row>
    <row r="915" spans="1:33" x14ac:dyDescent="0.2">
      <c r="A915" s="46"/>
      <c r="B915" s="46"/>
      <c r="C915" s="46"/>
      <c r="D915" s="46"/>
      <c r="E915" s="47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</row>
    <row r="916" spans="1:33" x14ac:dyDescent="0.2">
      <c r="A916" s="46"/>
      <c r="B916" s="46"/>
      <c r="C916" s="46"/>
      <c r="D916" s="46"/>
      <c r="E916" s="47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</row>
    <row r="917" spans="1:33" x14ac:dyDescent="0.2">
      <c r="A917" s="46"/>
      <c r="B917" s="46"/>
      <c r="C917" s="46"/>
      <c r="D917" s="46"/>
      <c r="E917" s="47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</row>
    <row r="918" spans="1:33" x14ac:dyDescent="0.2">
      <c r="A918" s="46"/>
      <c r="B918" s="46"/>
      <c r="C918" s="46"/>
      <c r="D918" s="46"/>
      <c r="E918" s="47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</row>
    <row r="919" spans="1:33" x14ac:dyDescent="0.2">
      <c r="A919" s="46"/>
      <c r="B919" s="46"/>
      <c r="C919" s="46"/>
      <c r="D919" s="46"/>
      <c r="E919" s="47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</row>
    <row r="920" spans="1:33" x14ac:dyDescent="0.2">
      <c r="A920" s="46"/>
      <c r="B920" s="46"/>
      <c r="C920" s="46"/>
      <c r="D920" s="46"/>
      <c r="E920" s="47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</row>
    <row r="921" spans="1:33" x14ac:dyDescent="0.2">
      <c r="A921" s="46"/>
      <c r="B921" s="46"/>
      <c r="C921" s="46"/>
      <c r="D921" s="46"/>
      <c r="E921" s="47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</row>
    <row r="922" spans="1:33" x14ac:dyDescent="0.2">
      <c r="A922" s="46"/>
      <c r="B922" s="46"/>
      <c r="C922" s="46"/>
      <c r="D922" s="46"/>
      <c r="E922" s="47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</row>
    <row r="923" spans="1:33" x14ac:dyDescent="0.2">
      <c r="A923" s="46"/>
      <c r="B923" s="46"/>
      <c r="C923" s="46"/>
      <c r="D923" s="46"/>
      <c r="E923" s="47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</row>
    <row r="924" spans="1:33" x14ac:dyDescent="0.2">
      <c r="A924" s="46"/>
      <c r="B924" s="46"/>
      <c r="C924" s="46"/>
      <c r="D924" s="46"/>
      <c r="E924" s="47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</row>
    <row r="925" spans="1:33" x14ac:dyDescent="0.2">
      <c r="A925" s="46"/>
      <c r="B925" s="46"/>
      <c r="C925" s="46"/>
      <c r="D925" s="46"/>
      <c r="E925" s="47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</row>
    <row r="926" spans="1:33" x14ac:dyDescent="0.2">
      <c r="A926" s="46"/>
      <c r="B926" s="46"/>
      <c r="C926" s="46"/>
      <c r="D926" s="46"/>
      <c r="E926" s="47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</row>
    <row r="927" spans="1:33" x14ac:dyDescent="0.2">
      <c r="A927" s="46"/>
      <c r="B927" s="46"/>
      <c r="C927" s="46"/>
      <c r="D927" s="46"/>
      <c r="E927" s="47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</row>
    <row r="928" spans="1:33" x14ac:dyDescent="0.2">
      <c r="A928" s="46"/>
      <c r="B928" s="46"/>
      <c r="C928" s="46"/>
      <c r="D928" s="46"/>
      <c r="E928" s="47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</row>
    <row r="929" spans="1:33" x14ac:dyDescent="0.2">
      <c r="A929" s="46"/>
      <c r="B929" s="46"/>
      <c r="C929" s="46"/>
      <c r="D929" s="46"/>
      <c r="E929" s="47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</row>
    <row r="930" spans="1:33" x14ac:dyDescent="0.2">
      <c r="A930" s="46"/>
      <c r="B930" s="46"/>
      <c r="C930" s="46"/>
      <c r="D930" s="46"/>
      <c r="E930" s="47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</row>
    <row r="931" spans="1:33" x14ac:dyDescent="0.2">
      <c r="A931" s="46"/>
      <c r="B931" s="46"/>
      <c r="C931" s="46"/>
      <c r="D931" s="46"/>
      <c r="E931" s="47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</row>
    <row r="932" spans="1:33" x14ac:dyDescent="0.2">
      <c r="A932" s="46"/>
      <c r="B932" s="46"/>
      <c r="C932" s="46"/>
      <c r="D932" s="46"/>
      <c r="E932" s="47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</row>
    <row r="933" spans="1:33" x14ac:dyDescent="0.2">
      <c r="A933" s="46"/>
      <c r="B933" s="46"/>
      <c r="C933" s="46"/>
      <c r="D933" s="46"/>
      <c r="E933" s="47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</row>
    <row r="934" spans="1:33" x14ac:dyDescent="0.2">
      <c r="A934" s="46"/>
      <c r="B934" s="46"/>
      <c r="C934" s="46"/>
      <c r="D934" s="46"/>
      <c r="E934" s="47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</row>
    <row r="935" spans="1:33" x14ac:dyDescent="0.2">
      <c r="A935" s="46"/>
      <c r="B935" s="46"/>
      <c r="C935" s="46"/>
      <c r="D935" s="46"/>
      <c r="E935" s="47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</row>
    <row r="936" spans="1:33" x14ac:dyDescent="0.2">
      <c r="A936" s="46"/>
      <c r="B936" s="46"/>
      <c r="C936" s="46"/>
      <c r="D936" s="46"/>
      <c r="E936" s="47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</row>
    <row r="937" spans="1:33" x14ac:dyDescent="0.2">
      <c r="A937" s="46"/>
      <c r="B937" s="46"/>
      <c r="C937" s="46"/>
      <c r="D937" s="46"/>
      <c r="E937" s="47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</row>
    <row r="938" spans="1:33" x14ac:dyDescent="0.2">
      <c r="A938" s="46"/>
      <c r="B938" s="46"/>
      <c r="C938" s="46"/>
      <c r="D938" s="46"/>
      <c r="E938" s="47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</row>
    <row r="939" spans="1:33" x14ac:dyDescent="0.2">
      <c r="A939" s="46"/>
      <c r="B939" s="46"/>
      <c r="C939" s="46"/>
      <c r="D939" s="46"/>
      <c r="E939" s="47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</row>
    <row r="940" spans="1:33" x14ac:dyDescent="0.2">
      <c r="A940" s="46"/>
      <c r="B940" s="46"/>
      <c r="C940" s="46"/>
      <c r="D940" s="46"/>
      <c r="E940" s="47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</row>
    <row r="941" spans="1:33" x14ac:dyDescent="0.2">
      <c r="A941" s="46"/>
      <c r="B941" s="46"/>
      <c r="C941" s="46"/>
      <c r="D941" s="46"/>
      <c r="E941" s="47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</row>
    <row r="942" spans="1:33" x14ac:dyDescent="0.2">
      <c r="A942" s="46"/>
      <c r="B942" s="46"/>
      <c r="C942" s="46"/>
      <c r="D942" s="46"/>
      <c r="E942" s="47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</row>
    <row r="943" spans="1:33" x14ac:dyDescent="0.2">
      <c r="A943" s="46"/>
      <c r="B943" s="46"/>
      <c r="C943" s="46"/>
      <c r="D943" s="46"/>
      <c r="E943" s="47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</row>
    <row r="944" spans="1:33" x14ac:dyDescent="0.2">
      <c r="A944" s="46"/>
      <c r="B944" s="46"/>
      <c r="C944" s="46"/>
      <c r="D944" s="46"/>
      <c r="E944" s="47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</row>
    <row r="945" spans="1:33" x14ac:dyDescent="0.2">
      <c r="A945" s="46"/>
      <c r="B945" s="46"/>
      <c r="C945" s="46"/>
      <c r="D945" s="46"/>
      <c r="E945" s="47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</row>
    <row r="946" spans="1:33" x14ac:dyDescent="0.2">
      <c r="A946" s="46"/>
      <c r="B946" s="46"/>
      <c r="C946" s="46"/>
      <c r="D946" s="46"/>
      <c r="E946" s="47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</row>
    <row r="947" spans="1:33" x14ac:dyDescent="0.2">
      <c r="A947" s="46"/>
      <c r="B947" s="46"/>
      <c r="C947" s="46"/>
      <c r="D947" s="46"/>
      <c r="E947" s="47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</row>
    <row r="948" spans="1:33" x14ac:dyDescent="0.2">
      <c r="A948" s="46"/>
      <c r="B948" s="46"/>
      <c r="C948" s="46"/>
      <c r="D948" s="46"/>
      <c r="E948" s="47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</row>
    <row r="949" spans="1:33" x14ac:dyDescent="0.2">
      <c r="A949" s="46"/>
      <c r="B949" s="46"/>
      <c r="C949" s="46"/>
      <c r="D949" s="46"/>
      <c r="E949" s="47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</row>
    <row r="950" spans="1:33" x14ac:dyDescent="0.2">
      <c r="A950" s="46"/>
      <c r="B950" s="46"/>
      <c r="C950" s="46"/>
      <c r="D950" s="46"/>
      <c r="E950" s="47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</row>
    <row r="951" spans="1:33" x14ac:dyDescent="0.2">
      <c r="A951" s="46"/>
      <c r="B951" s="46"/>
      <c r="C951" s="46"/>
      <c r="D951" s="46"/>
      <c r="E951" s="47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</row>
    <row r="952" spans="1:33" x14ac:dyDescent="0.2">
      <c r="A952" s="46"/>
      <c r="B952" s="46"/>
      <c r="C952" s="46"/>
      <c r="D952" s="46"/>
      <c r="E952" s="47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</row>
    <row r="953" spans="1:33" x14ac:dyDescent="0.2">
      <c r="A953" s="46"/>
      <c r="B953" s="46"/>
      <c r="C953" s="46"/>
      <c r="D953" s="46"/>
      <c r="E953" s="47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</row>
    <row r="954" spans="1:33" x14ac:dyDescent="0.2">
      <c r="A954" s="46"/>
      <c r="B954" s="46"/>
      <c r="C954" s="46"/>
      <c r="D954" s="46"/>
      <c r="E954" s="47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</row>
    <row r="955" spans="1:33" x14ac:dyDescent="0.2">
      <c r="A955" s="46"/>
      <c r="B955" s="46"/>
      <c r="C955" s="46"/>
      <c r="D955" s="46"/>
      <c r="E955" s="47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</row>
    <row r="956" spans="1:33" x14ac:dyDescent="0.2">
      <c r="A956" s="46"/>
      <c r="B956" s="46"/>
      <c r="C956" s="46"/>
      <c r="D956" s="46"/>
      <c r="E956" s="47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</row>
    <row r="957" spans="1:33" x14ac:dyDescent="0.2">
      <c r="A957" s="46"/>
      <c r="B957" s="46"/>
      <c r="C957" s="46"/>
      <c r="D957" s="46"/>
      <c r="E957" s="47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</row>
    <row r="958" spans="1:33" x14ac:dyDescent="0.2">
      <c r="A958" s="46"/>
      <c r="B958" s="46"/>
      <c r="C958" s="46"/>
      <c r="D958" s="46"/>
      <c r="E958" s="47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</row>
    <row r="959" spans="1:33" x14ac:dyDescent="0.2">
      <c r="A959" s="46"/>
      <c r="B959" s="46"/>
      <c r="C959" s="46"/>
      <c r="D959" s="46"/>
      <c r="E959" s="47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</row>
    <row r="960" spans="1:33" x14ac:dyDescent="0.2">
      <c r="A960" s="46"/>
      <c r="B960" s="46"/>
      <c r="C960" s="46"/>
      <c r="D960" s="46"/>
      <c r="E960" s="47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</row>
    <row r="961" spans="1:33" x14ac:dyDescent="0.2">
      <c r="A961" s="46"/>
      <c r="B961" s="46"/>
      <c r="C961" s="46"/>
      <c r="D961" s="46"/>
      <c r="E961" s="47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</row>
    <row r="962" spans="1:33" x14ac:dyDescent="0.2">
      <c r="A962" s="46"/>
      <c r="B962" s="46"/>
      <c r="C962" s="46"/>
      <c r="D962" s="46"/>
      <c r="E962" s="47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</row>
    <row r="963" spans="1:33" x14ac:dyDescent="0.2">
      <c r="A963" s="46"/>
      <c r="B963" s="46"/>
      <c r="C963" s="46"/>
      <c r="D963" s="46"/>
      <c r="E963" s="47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</row>
    <row r="964" spans="1:33" x14ac:dyDescent="0.2">
      <c r="A964" s="46"/>
      <c r="B964" s="46"/>
      <c r="C964" s="46"/>
      <c r="D964" s="46"/>
      <c r="E964" s="47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</row>
    <row r="965" spans="1:33" x14ac:dyDescent="0.2">
      <c r="A965" s="46"/>
      <c r="B965" s="46"/>
      <c r="C965" s="46"/>
      <c r="D965" s="46"/>
      <c r="E965" s="47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</row>
    <row r="966" spans="1:33" x14ac:dyDescent="0.2">
      <c r="A966" s="46"/>
      <c r="B966" s="46"/>
      <c r="C966" s="46"/>
      <c r="D966" s="46"/>
      <c r="E966" s="47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</row>
    <row r="967" spans="1:33" x14ac:dyDescent="0.2">
      <c r="A967" s="46"/>
      <c r="B967" s="46"/>
      <c r="C967" s="46"/>
      <c r="D967" s="46"/>
      <c r="E967" s="47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</row>
    <row r="968" spans="1:33" x14ac:dyDescent="0.2">
      <c r="A968" s="46"/>
      <c r="B968" s="46"/>
      <c r="C968" s="46"/>
      <c r="D968" s="46"/>
      <c r="E968" s="47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</row>
    <row r="969" spans="1:33" x14ac:dyDescent="0.2">
      <c r="A969" s="46"/>
      <c r="B969" s="46"/>
      <c r="C969" s="46"/>
      <c r="D969" s="46"/>
      <c r="E969" s="47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</row>
    <row r="970" spans="1:33" x14ac:dyDescent="0.2">
      <c r="A970" s="46"/>
      <c r="B970" s="46"/>
      <c r="C970" s="46"/>
      <c r="D970" s="46"/>
      <c r="E970" s="47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</row>
    <row r="971" spans="1:33" x14ac:dyDescent="0.2">
      <c r="A971" s="46"/>
      <c r="B971" s="46"/>
      <c r="C971" s="46"/>
      <c r="D971" s="46"/>
      <c r="E971" s="47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</row>
    <row r="972" spans="1:33" x14ac:dyDescent="0.2">
      <c r="A972" s="46"/>
      <c r="B972" s="46"/>
      <c r="C972" s="46"/>
      <c r="D972" s="46"/>
      <c r="E972" s="47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</row>
    <row r="973" spans="1:33" x14ac:dyDescent="0.2">
      <c r="A973" s="46"/>
      <c r="B973" s="46"/>
      <c r="C973" s="46"/>
      <c r="D973" s="46"/>
      <c r="E973" s="47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</row>
    <row r="974" spans="1:33" x14ac:dyDescent="0.2">
      <c r="A974" s="46"/>
      <c r="B974" s="46"/>
      <c r="C974" s="46"/>
      <c r="D974" s="46"/>
      <c r="E974" s="47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</row>
    <row r="975" spans="1:33" x14ac:dyDescent="0.2">
      <c r="A975" s="46"/>
      <c r="B975" s="46"/>
      <c r="C975" s="46"/>
      <c r="D975" s="46"/>
      <c r="E975" s="47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</row>
    <row r="976" spans="1:33" x14ac:dyDescent="0.2">
      <c r="A976" s="46"/>
      <c r="B976" s="46"/>
      <c r="C976" s="46"/>
      <c r="D976" s="46"/>
      <c r="E976" s="47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</row>
    <row r="977" spans="1:33" x14ac:dyDescent="0.2">
      <c r="A977" s="46"/>
      <c r="B977" s="46"/>
      <c r="C977" s="46"/>
      <c r="D977" s="46"/>
      <c r="E977" s="47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</row>
    <row r="978" spans="1:33" x14ac:dyDescent="0.2">
      <c r="A978" s="46"/>
      <c r="B978" s="46"/>
      <c r="C978" s="46"/>
      <c r="D978" s="46"/>
      <c r="E978" s="47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</row>
    <row r="979" spans="1:33" x14ac:dyDescent="0.2">
      <c r="A979" s="46"/>
      <c r="B979" s="46"/>
      <c r="C979" s="46"/>
      <c r="D979" s="46"/>
      <c r="E979" s="47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</row>
    <row r="980" spans="1:33" x14ac:dyDescent="0.2">
      <c r="A980" s="46"/>
      <c r="B980" s="46"/>
      <c r="C980" s="46"/>
      <c r="D980" s="46"/>
      <c r="E980" s="47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</row>
    <row r="981" spans="1:33" x14ac:dyDescent="0.2">
      <c r="A981" s="46"/>
      <c r="B981" s="46"/>
      <c r="C981" s="46"/>
      <c r="D981" s="46"/>
      <c r="E981" s="47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</row>
    <row r="982" spans="1:33" x14ac:dyDescent="0.2">
      <c r="A982" s="46"/>
      <c r="B982" s="46"/>
      <c r="C982" s="46"/>
      <c r="D982" s="46"/>
      <c r="E982" s="47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</row>
    <row r="983" spans="1:33" x14ac:dyDescent="0.2">
      <c r="A983" s="46"/>
      <c r="B983" s="46"/>
      <c r="C983" s="46"/>
      <c r="D983" s="46"/>
      <c r="E983" s="47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</row>
    <row r="984" spans="1:33" x14ac:dyDescent="0.2">
      <c r="A984" s="46"/>
      <c r="B984" s="46"/>
      <c r="C984" s="46"/>
      <c r="D984" s="46"/>
      <c r="E984" s="47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</row>
    <row r="985" spans="1:33" x14ac:dyDescent="0.2">
      <c r="A985" s="46"/>
      <c r="B985" s="46"/>
      <c r="C985" s="46"/>
      <c r="D985" s="46"/>
      <c r="E985" s="47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</row>
    <row r="986" spans="1:33" x14ac:dyDescent="0.2">
      <c r="A986" s="46"/>
      <c r="B986" s="46"/>
      <c r="C986" s="46"/>
      <c r="D986" s="46"/>
      <c r="E986" s="47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</row>
    <row r="987" spans="1:33" x14ac:dyDescent="0.2">
      <c r="A987" s="46"/>
      <c r="B987" s="46"/>
      <c r="C987" s="46"/>
      <c r="D987" s="46"/>
      <c r="E987" s="47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</row>
    <row r="988" spans="1:33" x14ac:dyDescent="0.2">
      <c r="A988" s="46"/>
      <c r="B988" s="46"/>
      <c r="C988" s="46"/>
      <c r="D988" s="46"/>
      <c r="E988" s="47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</row>
    <row r="989" spans="1:33" x14ac:dyDescent="0.2">
      <c r="A989" s="46"/>
      <c r="B989" s="46"/>
      <c r="C989" s="46"/>
      <c r="D989" s="46"/>
      <c r="E989" s="47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</row>
    <row r="990" spans="1:33" x14ac:dyDescent="0.2">
      <c r="A990" s="46"/>
      <c r="B990" s="46"/>
      <c r="C990" s="46"/>
      <c r="D990" s="46"/>
      <c r="E990" s="47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</row>
    <row r="991" spans="1:33" x14ac:dyDescent="0.2">
      <c r="A991" s="46"/>
      <c r="B991" s="46"/>
      <c r="C991" s="46"/>
      <c r="D991" s="46"/>
      <c r="E991" s="47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</row>
    <row r="992" spans="1:33" x14ac:dyDescent="0.2">
      <c r="A992" s="46"/>
      <c r="B992" s="46"/>
      <c r="C992" s="46"/>
      <c r="D992" s="46"/>
      <c r="E992" s="47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</row>
    <row r="993" spans="1:33" x14ac:dyDescent="0.2">
      <c r="A993" s="46"/>
      <c r="B993" s="46"/>
      <c r="C993" s="46"/>
      <c r="D993" s="46"/>
      <c r="E993" s="47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</row>
    <row r="994" spans="1:33" x14ac:dyDescent="0.2">
      <c r="A994" s="46"/>
      <c r="B994" s="46"/>
      <c r="C994" s="46"/>
      <c r="D994" s="46"/>
      <c r="E994" s="47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</row>
    <row r="995" spans="1:33" x14ac:dyDescent="0.2">
      <c r="A995" s="46"/>
      <c r="B995" s="46"/>
      <c r="C995" s="46"/>
      <c r="D995" s="46"/>
      <c r="E995" s="47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</row>
    <row r="996" spans="1:33" x14ac:dyDescent="0.2">
      <c r="A996" s="46"/>
      <c r="B996" s="46"/>
      <c r="C996" s="46"/>
      <c r="D996" s="46"/>
      <c r="E996" s="47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</row>
    <row r="997" spans="1:33" x14ac:dyDescent="0.2">
      <c r="A997" s="46"/>
      <c r="B997" s="46"/>
      <c r="C997" s="46"/>
      <c r="D997" s="46"/>
      <c r="E997" s="47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</row>
    <row r="998" spans="1:33" x14ac:dyDescent="0.2">
      <c r="A998" s="46"/>
      <c r="B998" s="46"/>
      <c r="C998" s="46"/>
      <c r="D998" s="46"/>
      <c r="E998" s="47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</row>
    <row r="999" spans="1:33" x14ac:dyDescent="0.2">
      <c r="A999" s="46"/>
      <c r="B999" s="46"/>
      <c r="C999" s="46"/>
      <c r="D999" s="46"/>
      <c r="E999" s="47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</row>
    <row r="1000" spans="1:33" x14ac:dyDescent="0.2">
      <c r="A1000" s="46"/>
      <c r="B1000" s="46"/>
      <c r="C1000" s="46"/>
      <c r="D1000" s="46"/>
      <c r="E1000" s="47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</row>
    <row r="1001" spans="1:33" x14ac:dyDescent="0.2">
      <c r="A1001" s="46"/>
      <c r="B1001" s="46"/>
      <c r="C1001" s="46"/>
      <c r="D1001" s="46"/>
      <c r="E1001" s="47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</row>
    <row r="1002" spans="1:33" x14ac:dyDescent="0.2">
      <c r="A1002" s="46"/>
      <c r="B1002" s="46"/>
      <c r="C1002" s="46"/>
      <c r="D1002" s="46"/>
      <c r="E1002" s="47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</row>
    <row r="1003" spans="1:33" x14ac:dyDescent="0.2">
      <c r="A1003" s="46"/>
      <c r="B1003" s="46"/>
      <c r="C1003" s="46"/>
      <c r="D1003" s="46"/>
      <c r="E1003" s="47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</row>
    <row r="1004" spans="1:33" x14ac:dyDescent="0.2">
      <c r="A1004" s="46"/>
      <c r="B1004" s="46"/>
      <c r="C1004" s="46"/>
      <c r="D1004" s="46"/>
      <c r="E1004" s="47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</row>
    <row r="1005" spans="1:33" x14ac:dyDescent="0.2">
      <c r="A1005" s="46"/>
      <c r="B1005" s="46"/>
      <c r="C1005" s="46"/>
      <c r="D1005" s="46"/>
      <c r="E1005" s="47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</row>
    <row r="1006" spans="1:33" x14ac:dyDescent="0.2">
      <c r="A1006" s="46"/>
      <c r="B1006" s="46"/>
      <c r="C1006" s="46"/>
      <c r="D1006" s="46"/>
      <c r="E1006" s="47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</row>
    <row r="1007" spans="1:33" x14ac:dyDescent="0.2">
      <c r="A1007" s="46"/>
      <c r="B1007" s="46"/>
      <c r="C1007" s="46"/>
      <c r="D1007" s="46"/>
      <c r="E1007" s="47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46"/>
      <c r="AF1007" s="46"/>
      <c r="AG1007" s="46"/>
    </row>
    <row r="1008" spans="1:33" x14ac:dyDescent="0.2">
      <c r="A1008" s="46"/>
      <c r="B1008" s="46"/>
      <c r="C1008" s="46"/>
      <c r="D1008" s="46"/>
      <c r="E1008" s="47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</row>
    <row r="1009" spans="1:33" x14ac:dyDescent="0.2">
      <c r="A1009" s="46"/>
      <c r="B1009" s="46"/>
      <c r="C1009" s="46"/>
      <c r="D1009" s="46"/>
      <c r="E1009" s="47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</row>
  </sheetData>
  <autoFilter ref="A3:AE566" xr:uid="{8CFA59D6-1361-4492-9B36-F00223A1E0CA}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56A7-1EBA-4FA9-9C14-83B4A0B84F0D}">
  <sheetPr codeName="Sheet13">
    <tabColor theme="4"/>
  </sheetPr>
  <dimension ref="A1:AY148"/>
  <sheetViews>
    <sheetView showGridLines="0" zoomScale="140" zoomScaleNormal="140" workbookViewId="0">
      <pane xSplit="3" ySplit="3" topLeftCell="X134" activePane="bottomRight" state="frozen"/>
      <selection activeCell="C2" sqref="C2"/>
      <selection pane="topRight" activeCell="C2" sqref="C2"/>
      <selection pane="bottomLeft" activeCell="C2" sqref="C2"/>
      <selection pane="bottomRight" activeCell="AE2" sqref="AE2"/>
    </sheetView>
  </sheetViews>
  <sheetFormatPr baseColWidth="10" defaultColWidth="8.83203125" defaultRowHeight="15" outlineLevelCol="1" x14ac:dyDescent="0.2"/>
  <cols>
    <col min="1" max="1" width="10.83203125" bestFit="1" customWidth="1"/>
    <col min="2" max="2" width="8.83203125" style="10" customWidth="1"/>
    <col min="3" max="3" width="32.6640625" style="10" customWidth="1"/>
    <col min="4" max="7" width="10.6640625" customWidth="1"/>
    <col min="8" max="8" width="11.33203125" bestFit="1" customWidth="1"/>
    <col min="9" max="9" width="10.6640625" customWidth="1"/>
    <col min="10" max="10" width="13.1640625" bestFit="1" customWidth="1"/>
    <col min="11" max="15" width="10.6640625" customWidth="1"/>
    <col min="16" max="20" width="13.33203125" bestFit="1" customWidth="1"/>
    <col min="21" max="22" width="12.83203125" bestFit="1" customWidth="1"/>
    <col min="23" max="24" width="10.6640625" bestFit="1" customWidth="1"/>
    <col min="25" max="27" width="10.6640625" customWidth="1"/>
    <col min="28" max="39" width="10.6640625" customWidth="1" outlineLevel="1"/>
    <col min="42" max="42" width="12.1640625" customWidth="1"/>
    <col min="45" max="45" width="10.5" bestFit="1" customWidth="1"/>
    <col min="46" max="47" width="14.5" bestFit="1" customWidth="1"/>
    <col min="49" max="51" width="12.83203125" bestFit="1" customWidth="1"/>
  </cols>
  <sheetData>
    <row r="1" spans="1:47" s="83" customFormat="1" ht="13" x14ac:dyDescent="0.2">
      <c r="B1" s="104"/>
      <c r="C1" s="104"/>
      <c r="P1" s="114">
        <f>P115+P124</f>
        <v>-58784026.434900008</v>
      </c>
      <c r="Q1" s="114">
        <f t="shared" ref="Q1:Y1" si="0">Q115+Q124</f>
        <v>-43103470.490001716</v>
      </c>
      <c r="R1" s="114">
        <f t="shared" si="0"/>
        <v>-72810155.837500006</v>
      </c>
      <c r="S1" s="114">
        <f t="shared" si="0"/>
        <v>-58101332.839900009</v>
      </c>
      <c r="T1" s="114">
        <f t="shared" si="0"/>
        <v>-73519326.325499997</v>
      </c>
      <c r="U1" s="114">
        <f t="shared" si="0"/>
        <v>-73783373.523299992</v>
      </c>
      <c r="V1" s="114">
        <f t="shared" si="0"/>
        <v>-61921457.968000002</v>
      </c>
      <c r="W1" s="114">
        <f t="shared" si="0"/>
        <v>-53547833.807999998</v>
      </c>
      <c r="X1" s="114">
        <f t="shared" si="0"/>
        <v>-61828568.629800007</v>
      </c>
      <c r="Y1" s="114">
        <f t="shared" si="0"/>
        <v>-72427683.237000003</v>
      </c>
      <c r="Z1" s="114">
        <f>Z115+Z124</f>
        <v>-45411176.765099995</v>
      </c>
    </row>
    <row r="2" spans="1:47" x14ac:dyDescent="0.2">
      <c r="C2" s="63" t="s">
        <v>750</v>
      </c>
      <c r="D2" s="31">
        <f>_xlfn.IFNA(INDEX('FX Rate'!$B$3:$ZZ$10,MATCH(PL_UK!$C$2,'FX Rate'!$B$3:$B$10,0),MATCH(PL_UK!D$3,'FX Rate'!$B$3:$ZZ$3,0)),0)</f>
        <v>1136.1400000000001</v>
      </c>
      <c r="E2" s="31">
        <f>_xlfn.IFNA(INDEX('FX Rate'!$B$3:$ZZ$10,MATCH(PL_UK!$C$2,'FX Rate'!$B$3:$B$10,0),MATCH(PL_UK!E$3,'FX Rate'!$B$3:$ZZ$3,0)),0)</f>
        <v>2010.12</v>
      </c>
      <c r="F2" s="31">
        <f>_xlfn.IFNA(INDEX('FX Rate'!$B$3:$ZZ$10,MATCH(PL_UK!$C$2,'FX Rate'!$B$3:$B$10,0),MATCH(PL_UK!F$3,'FX Rate'!$B$3:$ZZ$3,0)),0)</f>
        <v>1756.41</v>
      </c>
      <c r="G2" s="31">
        <f>_xlfn.IFNA(INDEX('FX Rate'!$B$3:$ZZ$10,MATCH(PL_UK!$C$2,'FX Rate'!$B$3:$B$10,0),MATCH(PL_UK!G$3,'FX Rate'!$B$3:$ZZ$3,0)),0)</f>
        <v>1676.37</v>
      </c>
      <c r="H2" s="31">
        <f>_xlfn.IFNA(INDEX('FX Rate'!$B$3:$ZZ$10,MATCH(PL_UK!$C$2,'FX Rate'!$B$3:$B$10,0),MATCH(PL_UK!H$3,'FX Rate'!$B$3:$ZZ$3,0)),0)</f>
        <v>1741.06</v>
      </c>
      <c r="I2" s="31">
        <f>_xlfn.IFNA(INDEX('FX Rate'!$B$3:$ZZ$10,MATCH(PL_UK!$C$2,'FX Rate'!$B$3:$B$10,0),MATCH(PL_UK!I$3,'FX Rate'!$B$3:$ZZ$3,0)),0)</f>
        <v>1940.77</v>
      </c>
      <c r="J2" s="31">
        <f>_xlfn.IFNA(INDEX('FX Rate'!$B$3:$ZZ$10,MATCH(PL_UK!$C$2,'FX Rate'!$B$3:$B$10,0),MATCH(PL_UK!J$3,'FX Rate'!$B$3:$ZZ$3,0)),0)</f>
        <v>2091.4499999999998</v>
      </c>
      <c r="K2" s="31">
        <f>_xlfn.IFNA(INDEX('FX Rate'!$B$3:$ZZ$10,MATCH(PL_UK!$C$2,'FX Rate'!$B$3:$B$10,0),MATCH(PL_UK!K$3,'FX Rate'!$B$3:$ZZ$3,0)),0)</f>
        <v>2091.38</v>
      </c>
      <c r="L2" s="31">
        <f>_xlfn.IFNA(INDEX('FX Rate'!$B$3:$ZZ$10,MATCH(PL_UK!$C$2,'FX Rate'!$B$3:$B$10,0),MATCH(PL_UK!L$3,'FX Rate'!$B$3:$ZZ$3,0)),0)</f>
        <v>2230.4299999999998</v>
      </c>
      <c r="M2" s="31">
        <f>_xlfn.IFNA(INDEX('FX Rate'!$B$3:$ZZ$10,MATCH(PL_UK!$C$2,'FX Rate'!$B$3:$B$10,0),MATCH(PL_UK!M$3,'FX Rate'!$B$3:$ZZ$3,0)),0)</f>
        <v>2134.63</v>
      </c>
      <c r="N2" s="31">
        <f>_xlfn.IFNA(INDEX('FX Rate'!$B$3:$ZZ$10,MATCH(PL_UK!$C$2,'FX Rate'!$B$3:$B$10,0),MATCH(PL_UK!N$3,'FX Rate'!$B$3:$ZZ$3,0)),0)</f>
        <v>2138.85</v>
      </c>
      <c r="O2" s="31">
        <f>_xlfn.IFNA(INDEX('FX Rate'!$B$3:$ZZ$10,MATCH(PL_UK!$C$2,'FX Rate'!$B$3:$B$10,0),MATCH(PL_UK!O$3,'FX Rate'!$B$3:$ZZ$3,0)),0)</f>
        <v>1943.56</v>
      </c>
      <c r="P2" s="31">
        <f>_xlfn.IFNA(INDEX('FX Rate'!$B$3:$ZZ$10,MATCH(PL_UK!$C$2,'FX Rate'!$B$3:$B$10,0),MATCH(PL_UK!P$3,'FX Rate'!$B$3:$ZZ$3,0)),0)</f>
        <v>1913.37</v>
      </c>
      <c r="Q2" s="31">
        <f>_xlfn.IFNA(INDEX('FX Rate'!$B$3:$ZZ$10,MATCH(PL_UK!$C$2,'FX Rate'!$B$3:$B$10,0),MATCH(PL_UK!Q$3,'FX Rate'!$B$3:$ZZ$3,0)),0)</f>
        <v>1894.3</v>
      </c>
      <c r="R2" s="31">
        <f>_xlfn.IFNA(INDEX('FX Rate'!$B$3:$ZZ$10,MATCH(PL_UK!$C$2,'FX Rate'!$B$3:$B$10,0),MATCH(PL_UK!R$3,'FX Rate'!$B$3:$ZZ$3,0)),0)</f>
        <v>1986.35</v>
      </c>
      <c r="S2" s="31">
        <f>_xlfn.IFNA(INDEX('FX Rate'!$B$3:$ZZ$10,MATCH(PL_UK!$C$2,'FX Rate'!$B$3:$B$10,0),MATCH(PL_UK!S$3,'FX Rate'!$B$3:$ZZ$3,0)),0)</f>
        <v>2147.71</v>
      </c>
      <c r="T2" s="31">
        <f>_xlfn.IFNA(INDEX('FX Rate'!$B$3:$ZZ$10,MATCH(PL_UK!$C$2,'FX Rate'!$B$3:$B$10,0),MATCH(PL_UK!T$3,'FX Rate'!$B$3:$ZZ$3,0)),0)</f>
        <v>2138.9499999999998</v>
      </c>
      <c r="U2" s="31">
        <f>_xlfn.IFNA(INDEX('FX Rate'!$B$3:$ZZ$10,MATCH(PL_UK!$C$2,'FX Rate'!$B$3:$B$10,0),MATCH(PL_UK!U$3,'FX Rate'!$B$3:$ZZ$3,0)),0)</f>
        <v>2114.4899999999998</v>
      </c>
      <c r="V2" s="31">
        <f>_xlfn.IFNA(INDEX('FX Rate'!$B$3:$ZZ$10,MATCH(PL_UK!$C$2,'FX Rate'!$B$3:$B$10,0),MATCH(PL_UK!V$3,'FX Rate'!$B$3:$ZZ$3,0)),0)</f>
        <v>2038.07</v>
      </c>
      <c r="W2" s="31">
        <f>_xlfn.IFNA(INDEX('FX Rate'!$B$3:$ZZ$10,MATCH(PL_UK!$C$2,'FX Rate'!$B$3:$B$10,0),MATCH(PL_UK!W$3,'FX Rate'!$B$3:$ZZ$3,0)),0)</f>
        <v>2076.27</v>
      </c>
      <c r="X2" s="31">
        <f>_xlfn.IFNA(INDEX('FX Rate'!$B$3:$ZZ$10,MATCH(PL_UK!$C$2,'FX Rate'!$B$3:$B$10,0),MATCH(PL_UK!X$3,'FX Rate'!$B$3:$ZZ$3,0)),0)</f>
        <v>1992.99</v>
      </c>
      <c r="Y2" s="31">
        <f>_xlfn.IFNA(INDEX('FX Rate'!$B$3:$ZZ$10,MATCH(PL_UK!$C$2,'FX Rate'!$B$3:$B$10,0),MATCH(PL_UK!Y$3,'FX Rate'!$B$3:$ZZ$3,0)),0)</f>
        <v>1909.7</v>
      </c>
      <c r="Z2" s="31">
        <f>_xlfn.IFNA(INDEX('FX Rate'!$B$3:$ZZ$10,MATCH(PL_UK!$C$2,'FX Rate'!$B$3:$B$10,0),MATCH(PL_UK!Z$3,'FX Rate'!$B$3:$ZZ$3,0)),0)</f>
        <v>1914.07</v>
      </c>
      <c r="AA2" s="31">
        <f>_xlfn.IFNA(INDEX('FX Rate'!$B$3:$ZZ$10,MATCH(PL_UK!$C$2,'FX Rate'!$B$3:$B$10,0),MATCH(PL_UK!AA$3,'FX Rate'!$B$3:$ZZ$3,0)),0)</f>
        <v>1955.75</v>
      </c>
      <c r="AB2" s="31">
        <f>_xlfn.IFNA(INDEX('FX Rate'!$B$3:$ZZ$10,MATCH(PL_UK!$C$2,'FX Rate'!$B$3:$B$10,0),MATCH(PL_UK!AB$3,'FX Rate'!$B$3:$ZZ$3,0)),0)</f>
        <v>1906.26</v>
      </c>
      <c r="AC2" s="31">
        <f>_xlfn.IFNA(INDEX('FX Rate'!$B$3:$ZZ$10,MATCH(PL_UK!$C$2,'FX Rate'!$B$3:$B$10,0),MATCH(PL_UK!AC$3,'FX Rate'!$B$3:$ZZ$3,0)),0)</f>
        <v>1828.92</v>
      </c>
      <c r="AD2" s="31">
        <f>_xlfn.IFNA(INDEX('FX Rate'!$B$3:$ZZ$10,MATCH(PL_UK!$C$2,'FX Rate'!$B$3:$B$10,0),MATCH(PL_UK!AD$3,'FX Rate'!$B$3:$ZZ$3,0)),0)</f>
        <v>1828.1</v>
      </c>
      <c r="AE2" s="31">
        <f>_xlfn.IFNA(INDEX('FX Rate'!$B$3:$ZZ$10,MATCH(PL_UK!$C$2,'FX Rate'!$B$3:$B$10,0),MATCH(PL_UK!AE$3,'FX Rate'!$B$3:$ZZ$3,0)),0)</f>
        <v>1855.1</v>
      </c>
      <c r="AF2" s="31">
        <f>_xlfn.IFNA(INDEX('FX Rate'!$B$3:$ZZ$10,MATCH(PL_UK!$C$2,'FX Rate'!$B$3:$B$10,0),MATCH(PL_UK!AF$3,'FX Rate'!$B$3:$ZZ$3,0)),0)</f>
        <v>0</v>
      </c>
      <c r="AG2" s="31">
        <f>_xlfn.IFNA(INDEX('FX Rate'!$B$3:$ZZ$10,MATCH(PL_UK!$C$2,'FX Rate'!$B$3:$B$10,0),MATCH(PL_UK!AG$3,'FX Rate'!$B$3:$ZZ$3,0)),0)</f>
        <v>0</v>
      </c>
      <c r="AH2" s="31">
        <f>_xlfn.IFNA(INDEX('FX Rate'!$B$3:$ZZ$10,MATCH(PL_UK!$C$2,'FX Rate'!$B$3:$B$10,0),MATCH(PL_UK!AH$3,'FX Rate'!$B$3:$ZZ$3,0)),0)</f>
        <v>0</v>
      </c>
      <c r="AI2" s="31">
        <f>_xlfn.IFNA(INDEX('FX Rate'!$B$3:$ZZ$10,MATCH(PL_UK!$C$2,'FX Rate'!$B$3:$B$10,0),MATCH(PL_UK!AI$3,'FX Rate'!$B$3:$ZZ$3,0)),0)</f>
        <v>0</v>
      </c>
      <c r="AJ2" s="31">
        <f>_xlfn.IFNA(INDEX('FX Rate'!$B$3:$ZZ$10,MATCH(PL_UK!$C$2,'FX Rate'!$B$3:$B$10,0),MATCH(PL_UK!AJ$3,'FX Rate'!$B$3:$ZZ$3,0)),0)</f>
        <v>0</v>
      </c>
      <c r="AK2" s="31">
        <f>_xlfn.IFNA(INDEX('FX Rate'!$B$3:$ZZ$10,MATCH(PL_UK!$C$2,'FX Rate'!$B$3:$B$10,0),MATCH(PL_UK!AK$3,'FX Rate'!$B$3:$ZZ$3,0)),0)</f>
        <v>0</v>
      </c>
      <c r="AL2" s="31">
        <f>_xlfn.IFNA(INDEX('FX Rate'!$B$3:$ZZ$10,MATCH(PL_UK!$C$2,'FX Rate'!$B$3:$B$10,0),MATCH(PL_UK!AL$3,'FX Rate'!$B$3:$ZZ$3,0)),0)</f>
        <v>0</v>
      </c>
      <c r="AM2" s="31">
        <f>_xlfn.IFNA(INDEX('FX Rate'!$B$3:$ZZ$10,MATCH(PL_UK!$C$2,'FX Rate'!$B$3:$B$10,0),MATCH(PL_UK!AM$3,'FX Rate'!$B$3:$ZZ$3,0)),0)</f>
        <v>0</v>
      </c>
    </row>
    <row r="3" spans="1:47" ht="16" x14ac:dyDescent="0.2">
      <c r="B3" s="12" t="s">
        <v>90</v>
      </c>
      <c r="C3" s="13" t="s">
        <v>91</v>
      </c>
      <c r="D3" s="14">
        <v>45322</v>
      </c>
      <c r="E3" s="14">
        <f t="shared" ref="E3:AM3" si="1">EOMONTH(D3,1)</f>
        <v>45351</v>
      </c>
      <c r="F3" s="14">
        <f t="shared" si="1"/>
        <v>45382</v>
      </c>
      <c r="G3" s="14">
        <f t="shared" si="1"/>
        <v>45412</v>
      </c>
      <c r="H3" s="14">
        <f t="shared" si="1"/>
        <v>45443</v>
      </c>
      <c r="I3" s="14">
        <f t="shared" si="1"/>
        <v>45473</v>
      </c>
      <c r="J3" s="14">
        <f t="shared" si="1"/>
        <v>45504</v>
      </c>
      <c r="K3" s="14">
        <f t="shared" si="1"/>
        <v>45535</v>
      </c>
      <c r="L3" s="14">
        <f t="shared" si="1"/>
        <v>45565</v>
      </c>
      <c r="M3" s="14">
        <f t="shared" si="1"/>
        <v>45596</v>
      </c>
      <c r="N3" s="14">
        <f t="shared" si="1"/>
        <v>45626</v>
      </c>
      <c r="O3" s="14">
        <f t="shared" si="1"/>
        <v>45657</v>
      </c>
      <c r="P3" s="14">
        <f t="shared" si="1"/>
        <v>45688</v>
      </c>
      <c r="Q3" s="14">
        <f t="shared" si="1"/>
        <v>45716</v>
      </c>
      <c r="R3" s="14">
        <f t="shared" si="1"/>
        <v>45747</v>
      </c>
      <c r="S3" s="14">
        <f t="shared" si="1"/>
        <v>45777</v>
      </c>
      <c r="T3" s="14">
        <f t="shared" si="1"/>
        <v>45808</v>
      </c>
      <c r="U3" s="14">
        <f t="shared" si="1"/>
        <v>45838</v>
      </c>
      <c r="V3" s="14">
        <f t="shared" si="1"/>
        <v>45869</v>
      </c>
      <c r="W3" s="14">
        <f t="shared" si="1"/>
        <v>45900</v>
      </c>
      <c r="X3" s="14">
        <f t="shared" si="1"/>
        <v>45930</v>
      </c>
      <c r="Y3" s="14">
        <f t="shared" si="1"/>
        <v>45961</v>
      </c>
      <c r="Z3" s="14">
        <f t="shared" si="1"/>
        <v>45991</v>
      </c>
      <c r="AA3" s="14">
        <f t="shared" si="1"/>
        <v>46022</v>
      </c>
      <c r="AB3" s="14">
        <f t="shared" si="1"/>
        <v>46053</v>
      </c>
      <c r="AC3" s="14">
        <f t="shared" si="1"/>
        <v>46081</v>
      </c>
      <c r="AD3" s="14">
        <f t="shared" si="1"/>
        <v>46112</v>
      </c>
      <c r="AE3" s="14">
        <f t="shared" si="1"/>
        <v>46142</v>
      </c>
      <c r="AF3" s="14">
        <f t="shared" si="1"/>
        <v>46173</v>
      </c>
      <c r="AG3" s="14">
        <f t="shared" si="1"/>
        <v>46203</v>
      </c>
      <c r="AH3" s="14">
        <f t="shared" si="1"/>
        <v>46234</v>
      </c>
      <c r="AI3" s="14">
        <f t="shared" si="1"/>
        <v>46265</v>
      </c>
      <c r="AJ3" s="14">
        <f t="shared" si="1"/>
        <v>46295</v>
      </c>
      <c r="AK3" s="14">
        <f t="shared" si="1"/>
        <v>46326</v>
      </c>
      <c r="AL3" s="14">
        <f t="shared" si="1"/>
        <v>46356</v>
      </c>
      <c r="AM3" s="14">
        <f t="shared" si="1"/>
        <v>46387</v>
      </c>
      <c r="AS3" s="14" t="s">
        <v>1636</v>
      </c>
      <c r="AT3" s="14" t="s">
        <v>1635</v>
      </c>
      <c r="AU3" s="14" t="s">
        <v>1721</v>
      </c>
    </row>
    <row r="4" spans="1:47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1:47" x14ac:dyDescent="0.2">
      <c r="B5" s="19"/>
      <c r="C5" s="20" t="s">
        <v>92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1:47" x14ac:dyDescent="0.2">
      <c r="B6" s="21">
        <v>40025</v>
      </c>
      <c r="C6" s="16" t="str">
        <f>_xlfn.XLOOKUP(B6,TB_UK!A:A,TB_UK!E:E)</f>
        <v>NIMC Income</v>
      </c>
      <c r="D6" s="17">
        <f>-_xlfn.XLOOKUP($C6,TB_UK!$E:$E,TB_UK!F:F)*D$2</f>
        <v>21737164.465800002</v>
      </c>
      <c r="E6" s="17">
        <f>-_xlfn.XLOOKUP($C6,TB_UK!$E:$E,TB_UK!G:G)*E$2</f>
        <v>36431173.665600002</v>
      </c>
      <c r="F6" s="17">
        <f>-_xlfn.XLOOKUP($C6,TB_UK!$E:$E,TB_UK!H:H)*F$2</f>
        <v>34515318.294600002</v>
      </c>
      <c r="G6" s="17">
        <f>-_xlfn.XLOOKUP($C6,TB_UK!$E:$E,TB_UK!I:I)*G$2</f>
        <v>24276553.319400001</v>
      </c>
      <c r="H6" s="17">
        <f>-_xlfn.XLOOKUP($C6,TB_UK!$E:$E,TB_UK!J:J)*H$2</f>
        <v>23585130.005199999</v>
      </c>
      <c r="I6" s="17">
        <f>-_xlfn.XLOOKUP($C6,TB_UK!$E:$E,TB_UK!K:K)*I$2</f>
        <v>21654607.059799999</v>
      </c>
      <c r="J6" s="17">
        <f>-_xlfn.XLOOKUP($C6,TB_UK!$E:$E,TB_UK!L:L)*J$2</f>
        <v>7095997.0469999993</v>
      </c>
      <c r="K6" s="17">
        <f>-_xlfn.XLOOKUP($C6,TB_UK!$E:$E,TB_UK!M:M)*K$2</f>
        <v>45135912.194400005</v>
      </c>
      <c r="L6" s="17">
        <f>-_xlfn.XLOOKUP($C6,TB_UK!$E:$E,TB_UK!N:N)*L$2</f>
        <v>25705928.792999998</v>
      </c>
      <c r="M6" s="17">
        <f>-_xlfn.XLOOKUP($C6,TB_UK!$E:$E,TB_UK!O:O)*M$2</f>
        <v>19548237.112100001</v>
      </c>
      <c r="N6" s="17">
        <f>-_xlfn.XLOOKUP($C6,TB_UK!$E:$E,TB_UK!P:P)*N$2</f>
        <v>17469314.037</v>
      </c>
      <c r="O6" s="17">
        <f>-_xlfn.XLOOKUP($C6,TB_UK!$E:$E,TB_UK!Q:Q)*O$2</f>
        <v>8369047.1023999993</v>
      </c>
      <c r="P6" s="17">
        <f>-_xlfn.XLOOKUP($C6,TB_UK!$E:$E,TB_UK!R:R)*P$2</f>
        <v>22378450.247099999</v>
      </c>
      <c r="Q6" s="17">
        <f>-_xlfn.XLOOKUP($C6,TB_UK!$E:$E,TB_UK!S:S)*Q$2</f>
        <v>18256846.654002257</v>
      </c>
      <c r="R6" s="17">
        <f>-_xlfn.XLOOKUP($C6,TB_UK!$E:$E,TB_UK!T:T)*R$2</f>
        <v>10547121.229999999</v>
      </c>
      <c r="S6" s="17">
        <f>-_xlfn.XLOOKUP($C6,TB_UK!$E:$E,TB_UK!U:U)*S$2</f>
        <v>0</v>
      </c>
      <c r="T6" s="17">
        <f>-_xlfn.XLOOKUP($C6,TB_UK!$E:$E,TB_UK!V:V)*T$2</f>
        <v>1090372.5414999998</v>
      </c>
      <c r="U6" s="17">
        <f>-_xlfn.XLOOKUP($C6,TB_UK!$E:$E,TB_UK!W:W)*U$2</f>
        <v>-352422.04829999997</v>
      </c>
      <c r="V6" s="17">
        <f>-_xlfn.XLOOKUP($C6,TB_UK!$E:$E,TB_UK!X:X)*V$2</f>
        <v>0</v>
      </c>
      <c r="W6" s="17">
        <f>-_xlfn.XLOOKUP($C6,TB_UK!$E:$E,TB_UK!Y:Y)*W$2</f>
        <v>0</v>
      </c>
      <c r="X6" s="17">
        <f>-_xlfn.XLOOKUP($C6,TB_UK!$E:$E,TB_UK!Z:Z)*X$2</f>
        <v>0</v>
      </c>
      <c r="Y6" s="17">
        <f>-_xlfn.XLOOKUP($C6,TB_UK!$E:$E,TB_UK!AA:AA)*Y$2</f>
        <v>0</v>
      </c>
      <c r="Z6" s="17">
        <f>-_xlfn.XLOOKUP($C6,TB_UK!$E:$E,TB_UK!AB:AB)*Z$2</f>
        <v>0</v>
      </c>
      <c r="AA6" s="17">
        <f>-_xlfn.XLOOKUP($C6,TB_UK!$E:$E,TB_UK!AC:AC)*AA$2</f>
        <v>0</v>
      </c>
      <c r="AB6" s="17">
        <f>-_xlfn.XLOOKUP($C6,TB_UK!$E:$E,TB_UK!AD:AD)*AB$2</f>
        <v>0</v>
      </c>
      <c r="AC6" s="17">
        <f>-_xlfn.XLOOKUP($C6,TB_UK!$E:$E,TB_UK!AE:AE)*AC$2</f>
        <v>0</v>
      </c>
      <c r="AD6" s="17">
        <f>-_xlfn.XLOOKUP($C6,TB_UK!$E:$E,TB_UK!AF:AF)*AD$2</f>
        <v>0</v>
      </c>
      <c r="AE6" s="17">
        <f>-_xlfn.XLOOKUP($C6,TB_UK!$E:$E,TB_UK!AG:AG)*AE$2</f>
        <v>0</v>
      </c>
      <c r="AF6" s="17">
        <f>-_xlfn.XLOOKUP($C6,TB_UK!$E:$E,TB_UK!AH:AH)*AF$2</f>
        <v>0</v>
      </c>
      <c r="AG6" s="17">
        <f>-_xlfn.XLOOKUP($C6,TB_UK!$E:$E,TB_UK!AI:AI)*AG$2</f>
        <v>0</v>
      </c>
      <c r="AH6" s="17">
        <f>-_xlfn.XLOOKUP($C6,TB_UK!$E:$E,TB_UK!AJ:AJ)*AH$2</f>
        <v>0</v>
      </c>
      <c r="AI6" s="17">
        <f>-_xlfn.XLOOKUP($C6,TB_UK!$E:$E,TB_UK!AK:AK)*AI$2</f>
        <v>0</v>
      </c>
      <c r="AJ6" s="17">
        <f>-_xlfn.XLOOKUP($C6,TB_UK!$E:$E,TB_UK!AL:AL)*AJ$2</f>
        <v>0</v>
      </c>
      <c r="AK6" s="17">
        <f>-_xlfn.XLOOKUP($C6,TB_UK!$E:$E,TB_UK!AM:AM)*AK$2</f>
        <v>0</v>
      </c>
      <c r="AL6" s="17">
        <f>-_xlfn.XLOOKUP($C6,TB_UK!$E:$E,TB_UK!AN:AN)*AL$2</f>
        <v>0</v>
      </c>
      <c r="AM6" s="17">
        <f>-_xlfn.XLOOKUP($C6,TB_UK!$E:$E,TB_UK!AO:AO)*AM$2</f>
        <v>0</v>
      </c>
    </row>
    <row r="7" spans="1:47" x14ac:dyDescent="0.2">
      <c r="B7" s="21">
        <v>40026</v>
      </c>
      <c r="C7" s="16" t="str">
        <f>_xlfn.XLOOKUP(B7,TB_UK!A:A,TB_UK!E:E)</f>
        <v>MFA Project Income</v>
      </c>
      <c r="D7" s="17">
        <f>-_xlfn.XLOOKUP($C7,TB_UK!$E:$E,TB_UK!F:F)*D$2</f>
        <v>0</v>
      </c>
      <c r="E7" s="17">
        <f>-_xlfn.XLOOKUP($C7,TB_UK!$E:$E,TB_UK!G:G)*E$2</f>
        <v>0</v>
      </c>
      <c r="F7" s="17">
        <f>-_xlfn.XLOOKUP($C7,TB_UK!$E:$E,TB_UK!H:H)*F$2</f>
        <v>0</v>
      </c>
      <c r="G7" s="17">
        <f>-_xlfn.XLOOKUP($C7,TB_UK!$E:$E,TB_UK!I:I)*G$2</f>
        <v>0</v>
      </c>
      <c r="H7" s="17">
        <f>-_xlfn.XLOOKUP($C7,TB_UK!$E:$E,TB_UK!J:J)*H$2</f>
        <v>0</v>
      </c>
      <c r="I7" s="17">
        <f>-_xlfn.XLOOKUP($C7,TB_UK!$E:$E,TB_UK!K:K)*I$2</f>
        <v>0</v>
      </c>
      <c r="J7" s="17">
        <f>-_xlfn.XLOOKUP($C7,TB_UK!$E:$E,TB_UK!L:L)*J$2</f>
        <v>0</v>
      </c>
      <c r="K7" s="17">
        <f>-_xlfn.XLOOKUP($C7,TB_UK!$E:$E,TB_UK!M:M)*K$2</f>
        <v>0</v>
      </c>
      <c r="L7" s="17">
        <f>-_xlfn.XLOOKUP($C7,TB_UK!$E:$E,TB_UK!N:N)*L$2</f>
        <v>0</v>
      </c>
      <c r="M7" s="17">
        <f>-_xlfn.XLOOKUP($C7,TB_UK!$E:$E,TB_UK!O:O)*M$2</f>
        <v>0</v>
      </c>
      <c r="N7" s="17">
        <f>-_xlfn.XLOOKUP($C7,TB_UK!$E:$E,TB_UK!P:P)*N$2</f>
        <v>0</v>
      </c>
      <c r="O7" s="17">
        <f>-_xlfn.XLOOKUP($C7,TB_UK!$E:$E,TB_UK!Q:Q)*O$2</f>
        <v>0</v>
      </c>
      <c r="P7" s="17">
        <f>-_xlfn.XLOOKUP($C7,TB_UK!$E:$E,TB_UK!R:R)*P$2</f>
        <v>0</v>
      </c>
      <c r="Q7" s="17">
        <f>-_xlfn.XLOOKUP($C7,TB_UK!$E:$E,TB_UK!S:S)*Q$2</f>
        <v>0</v>
      </c>
      <c r="R7" s="17">
        <f>-_xlfn.XLOOKUP($C7,TB_UK!$E:$E,TB_UK!T:T)*R$2</f>
        <v>0</v>
      </c>
      <c r="S7" s="17">
        <f>-_xlfn.XLOOKUP($C7,TB_UK!$E:$E,TB_UK!U:U)*S$2</f>
        <v>0</v>
      </c>
      <c r="T7" s="17">
        <f>-_xlfn.XLOOKUP($C7,TB_UK!$E:$E,TB_UK!V:V)*T$2</f>
        <v>0</v>
      </c>
      <c r="U7" s="17">
        <f>-_xlfn.XLOOKUP($C7,TB_UK!$E:$E,TB_UK!W:W)*U$2</f>
        <v>0</v>
      </c>
      <c r="V7" s="17">
        <f>-_xlfn.XLOOKUP($C7,TB_UK!$E:$E,TB_UK!X:X)*V$2</f>
        <v>1318019.8689999999</v>
      </c>
      <c r="W7" s="17">
        <f>-_xlfn.XLOOKUP($C7,TB_UK!$E:$E,TB_UK!Y:Y)*W$2</f>
        <v>7638597.3300000001</v>
      </c>
      <c r="X7" s="17">
        <f>-_xlfn.XLOOKUP($C7,TB_UK!$E:$E,TB_UK!Z:Z)*X$2</f>
        <v>4147910.4375</v>
      </c>
      <c r="Y7" s="17">
        <f>-_xlfn.XLOOKUP($C7,TB_UK!$E:$E,TB_UK!AA:AA)*Y$2</f>
        <v>-12235352.415000001</v>
      </c>
      <c r="Z7" s="17">
        <f>-_xlfn.XLOOKUP($C7,TB_UK!$E:$E,TB_UK!AB:AB)*Z$2</f>
        <v>0</v>
      </c>
      <c r="AA7" s="17">
        <f>-_xlfn.XLOOKUP($C7,TB_UK!$E:$E,TB_UK!AC:AC)*AA$2</f>
        <v>0</v>
      </c>
      <c r="AB7" s="17">
        <f>-_xlfn.XLOOKUP($C7,TB_UK!$E:$E,TB_UK!AD:AD)*AB$2</f>
        <v>0</v>
      </c>
      <c r="AC7" s="17">
        <f>-_xlfn.XLOOKUP($C7,TB_UK!$E:$E,TB_UK!AE:AE)*AC$2</f>
        <v>0</v>
      </c>
      <c r="AD7" s="17">
        <f>-_xlfn.XLOOKUP($C7,TB_UK!$E:$E,TB_UK!AF:AF)*AD$2</f>
        <v>0</v>
      </c>
      <c r="AE7" s="17">
        <f>-_xlfn.XLOOKUP($C7,TB_UK!$E:$E,TB_UK!AG:AG)*AE$2</f>
        <v>0</v>
      </c>
      <c r="AF7" s="17">
        <f>-_xlfn.XLOOKUP($C7,TB_UK!$E:$E,TB_UK!AH:AH)*AF$2</f>
        <v>0</v>
      </c>
      <c r="AG7" s="17">
        <f>-_xlfn.XLOOKUP($C7,TB_UK!$E:$E,TB_UK!AI:AI)*AG$2</f>
        <v>0</v>
      </c>
      <c r="AH7" s="17">
        <f>-_xlfn.XLOOKUP($C7,TB_UK!$E:$E,TB_UK!AJ:AJ)*AH$2</f>
        <v>0</v>
      </c>
      <c r="AI7" s="17">
        <f>-_xlfn.XLOOKUP($C7,TB_UK!$E:$E,TB_UK!AK:AK)*AI$2</f>
        <v>0</v>
      </c>
      <c r="AJ7" s="17">
        <f>-_xlfn.XLOOKUP($C7,TB_UK!$E:$E,TB_UK!AL:AL)*AJ$2</f>
        <v>0</v>
      </c>
      <c r="AK7" s="17">
        <f>-_xlfn.XLOOKUP($C7,TB_UK!$E:$E,TB_UK!AM:AM)*AK$2</f>
        <v>0</v>
      </c>
      <c r="AL7" s="17">
        <f>-_xlfn.XLOOKUP($C7,TB_UK!$E:$E,TB_UK!AN:AN)*AL$2</f>
        <v>0</v>
      </c>
      <c r="AM7" s="17">
        <f>-_xlfn.XLOOKUP($C7,TB_UK!$E:$E,TB_UK!AO:AO)*AM$2</f>
        <v>0</v>
      </c>
    </row>
    <row r="8" spans="1:47" x14ac:dyDescent="0.2">
      <c r="B8" s="21">
        <v>40027</v>
      </c>
      <c r="C8" s="16" t="str">
        <f>_xlfn.XLOOKUP(B8,TB_UK!A:A,TB_UK!E:E)</f>
        <v>FixIAM Income</v>
      </c>
      <c r="D8" s="17">
        <f>-_xlfn.XLOOKUP($C8,TB_UK!$E:$E,TB_UK!F:F)*D$2</f>
        <v>0</v>
      </c>
      <c r="E8" s="17">
        <f>-_xlfn.XLOOKUP($C8,TB_UK!$E:$E,TB_UK!G:G)*E$2</f>
        <v>0</v>
      </c>
      <c r="F8" s="17">
        <f>-_xlfn.XLOOKUP($C8,TB_UK!$E:$E,TB_UK!H:H)*F$2</f>
        <v>0</v>
      </c>
      <c r="G8" s="17">
        <f>-_xlfn.XLOOKUP($C8,TB_UK!$E:$E,TB_UK!I:I)*G$2</f>
        <v>0</v>
      </c>
      <c r="H8" s="17">
        <f>-_xlfn.XLOOKUP($C8,TB_UK!$E:$E,TB_UK!J:J)*H$2</f>
        <v>0</v>
      </c>
      <c r="I8" s="17">
        <f>-_xlfn.XLOOKUP($C8,TB_UK!$E:$E,TB_UK!K:K)*I$2</f>
        <v>0</v>
      </c>
      <c r="J8" s="17">
        <f>-_xlfn.XLOOKUP($C8,TB_UK!$E:$E,TB_UK!L:L)*J$2</f>
        <v>0</v>
      </c>
      <c r="K8" s="17">
        <f>-_xlfn.XLOOKUP($C8,TB_UK!$E:$E,TB_UK!M:M)*K$2</f>
        <v>0</v>
      </c>
      <c r="L8" s="17">
        <f>-_xlfn.XLOOKUP($C8,TB_UK!$E:$E,TB_UK!N:N)*L$2</f>
        <v>0</v>
      </c>
      <c r="M8" s="17">
        <f>-_xlfn.XLOOKUP($C8,TB_UK!$E:$E,TB_UK!O:O)*M$2</f>
        <v>0</v>
      </c>
      <c r="N8" s="17">
        <f>-_xlfn.XLOOKUP($C8,TB_UK!$E:$E,TB_UK!P:P)*N$2</f>
        <v>0</v>
      </c>
      <c r="O8" s="17">
        <f>-_xlfn.XLOOKUP($C8,TB_UK!$E:$E,TB_UK!Q:Q)*O$2</f>
        <v>0</v>
      </c>
      <c r="P8" s="17">
        <f>-_xlfn.XLOOKUP($C8,TB_UK!$E:$E,TB_UK!R:R)*P$2</f>
        <v>0</v>
      </c>
      <c r="Q8" s="17">
        <f>-_xlfn.XLOOKUP($C8,TB_UK!$E:$E,TB_UK!S:S)*Q$2</f>
        <v>0</v>
      </c>
      <c r="R8" s="17">
        <f>-_xlfn.XLOOKUP($C8,TB_UK!$E:$E,TB_UK!T:T)*R$2</f>
        <v>0</v>
      </c>
      <c r="S8" s="17">
        <f>-_xlfn.XLOOKUP($C8,TB_UK!$E:$E,TB_UK!U:U)*S$2</f>
        <v>0</v>
      </c>
      <c r="T8" s="17">
        <f>-_xlfn.XLOOKUP($C8,TB_UK!$E:$E,TB_UK!V:V)*T$2</f>
        <v>0</v>
      </c>
      <c r="U8" s="17">
        <f>-_xlfn.XLOOKUP($C8,TB_UK!$E:$E,TB_UK!W:W)*U$2</f>
        <v>0</v>
      </c>
      <c r="V8" s="17">
        <f>-_xlfn.XLOOKUP($C8,TB_UK!$E:$E,TB_UK!X:X)*V$2</f>
        <v>0</v>
      </c>
      <c r="W8" s="17">
        <f>-_xlfn.XLOOKUP($C8,TB_UK!$E:$E,TB_UK!Y:Y)*W$2</f>
        <v>403356.97289999999</v>
      </c>
      <c r="X8" s="17">
        <f>-_xlfn.XLOOKUP($C8,TB_UK!$E:$E,TB_UK!Z:Z)*X$2</f>
        <v>170699.59350000002</v>
      </c>
      <c r="Y8" s="17">
        <f>-_xlfn.XLOOKUP($C8,TB_UK!$E:$E,TB_UK!AA:AA)*Y$2</f>
        <v>-15984.189000000009</v>
      </c>
      <c r="Z8" s="17">
        <f>-_xlfn.XLOOKUP($C8,TB_UK!$E:$E,TB_UK!AB:AB)*Z$2</f>
        <v>103953.14170000001</v>
      </c>
      <c r="AA8" s="17">
        <f>-_xlfn.XLOOKUP($C8,TB_UK!$E:$E,TB_UK!AC:AC)*AA$2</f>
        <v>106216.7825</v>
      </c>
      <c r="AB8" s="17">
        <f>-_xlfn.XLOOKUP($C8,TB_UK!$E:$E,TB_UK!AD:AD)*AB$2</f>
        <v>103528.98060000001</v>
      </c>
      <c r="AC8" s="17">
        <f>-_xlfn.XLOOKUP($C8,TB_UK!$E:$E,TB_UK!AE:AE)*AC$2</f>
        <v>99328.645200000014</v>
      </c>
      <c r="AD8" s="17">
        <f>-_xlfn.XLOOKUP($C8,TB_UK!$E:$E,TB_UK!AF:AF)*AD$2</f>
        <v>99284.111000000004</v>
      </c>
      <c r="AE8" s="17">
        <f>-_xlfn.XLOOKUP($C8,TB_UK!$E:$E,TB_UK!AG:AG)*AE$2</f>
        <v>100750.481</v>
      </c>
      <c r="AF8" s="17">
        <f>-_xlfn.XLOOKUP($C8,TB_UK!$E:$E,TB_UK!AH:AH)*AF$2</f>
        <v>0</v>
      </c>
      <c r="AG8" s="17">
        <f>-_xlfn.XLOOKUP($C8,TB_UK!$E:$E,TB_UK!AI:AI)*AG$2</f>
        <v>0</v>
      </c>
      <c r="AH8" s="17">
        <f>-_xlfn.XLOOKUP($C8,TB_UK!$E:$E,TB_UK!AJ:AJ)*AH$2</f>
        <v>0</v>
      </c>
      <c r="AI8" s="17">
        <f>-_xlfn.XLOOKUP($C8,TB_UK!$E:$E,TB_UK!AK:AK)*AI$2</f>
        <v>0</v>
      </c>
      <c r="AJ8" s="17">
        <f>-_xlfn.XLOOKUP($C8,TB_UK!$E:$E,TB_UK!AL:AL)*AJ$2</f>
        <v>0</v>
      </c>
      <c r="AK8" s="17">
        <f>-_xlfn.XLOOKUP($C8,TB_UK!$E:$E,TB_UK!AM:AM)*AK$2</f>
        <v>0</v>
      </c>
      <c r="AL8" s="17">
        <f>-_xlfn.XLOOKUP($C8,TB_UK!$E:$E,TB_UK!AN:AN)*AL$2</f>
        <v>0</v>
      </c>
      <c r="AM8" s="17">
        <f>-_xlfn.XLOOKUP($C8,TB_UK!$E:$E,TB_UK!AO:AO)*AM$2</f>
        <v>0</v>
      </c>
    </row>
    <row r="9" spans="1:47" x14ac:dyDescent="0.2">
      <c r="B9" s="21">
        <v>40032</v>
      </c>
      <c r="C9" s="16" t="str">
        <f>_xlfn.XLOOKUP(B9,TB_UK!A:A,TB_UK!E:E)</f>
        <v>Verification services Income</v>
      </c>
      <c r="D9" s="17">
        <f>-_xlfn.XLOOKUP($C9,TB_UK!$E:$E,TB_UK!F:F)*D$2</f>
        <v>1550706.1246000002</v>
      </c>
      <c r="E9" s="17">
        <f>-_xlfn.XLOOKUP($C9,TB_UK!$E:$E,TB_UK!G:G)*E$2</f>
        <v>2826992.5655999999</v>
      </c>
      <c r="F9" s="17">
        <f>-_xlfn.XLOOKUP($C9,TB_UK!$E:$E,TB_UK!H:H)*F$2</f>
        <v>2029039.9602000001</v>
      </c>
      <c r="G9" s="17">
        <f>-_xlfn.XLOOKUP($C9,TB_UK!$E:$E,TB_UK!I:I)*G$2</f>
        <v>1704868.2899999998</v>
      </c>
      <c r="H9" s="17">
        <f>-_xlfn.XLOOKUP($C9,TB_UK!$E:$E,TB_UK!J:J)*H$2</f>
        <v>2042263.38</v>
      </c>
      <c r="I9" s="17">
        <f>-_xlfn.XLOOKUP($C9,TB_UK!$E:$E,TB_UK!K:K)*I$2</f>
        <v>2718067.7927000001</v>
      </c>
      <c r="J9" s="17">
        <f>-_xlfn.XLOOKUP($C9,TB_UK!$E:$E,TB_UK!L:L)*J$2</f>
        <v>0</v>
      </c>
      <c r="K9" s="17">
        <f>-_xlfn.XLOOKUP($C9,TB_UK!$E:$E,TB_UK!M:M)*K$2</f>
        <v>1788631.8312000001</v>
      </c>
      <c r="L9" s="17">
        <f>-_xlfn.XLOOKUP($C9,TB_UK!$E:$E,TB_UK!N:N)*L$2</f>
        <v>3750267.3062999998</v>
      </c>
      <c r="M9" s="17">
        <f>-_xlfn.XLOOKUP($C9,TB_UK!$E:$E,TB_UK!O:O)*M$2</f>
        <v>2441824.6033000001</v>
      </c>
      <c r="N9" s="17">
        <f>-_xlfn.XLOOKUP($C9,TB_UK!$E:$E,TB_UK!P:P)*N$2</f>
        <v>2053638.2159999998</v>
      </c>
      <c r="O9" s="17">
        <f>-_xlfn.XLOOKUP($C9,TB_UK!$E:$E,TB_UK!Q:Q)*O$2</f>
        <v>2149266.3903999999</v>
      </c>
      <c r="P9" s="17">
        <f>-_xlfn.XLOOKUP($C9,TB_UK!$E:$E,TB_UK!R:R)*P$2</f>
        <v>879767.52599999995</v>
      </c>
      <c r="Q9" s="17">
        <f>-_xlfn.XLOOKUP($C9,TB_UK!$E:$E,TB_UK!S:S)*Q$2</f>
        <v>1094715.9699998235</v>
      </c>
      <c r="R9" s="17">
        <f>-_xlfn.XLOOKUP($C9,TB_UK!$E:$E,TB_UK!T:T)*R$2</f>
        <v>1189267.4720000001</v>
      </c>
      <c r="S9" s="17">
        <f>-_xlfn.XLOOKUP($C9,TB_UK!$E:$E,TB_UK!U:U)*S$2</f>
        <v>1841188.8288</v>
      </c>
      <c r="T9" s="17">
        <f>-_xlfn.XLOOKUP($C9,TB_UK!$E:$E,TB_UK!V:V)*T$2</f>
        <v>1244205.8255</v>
      </c>
      <c r="U9" s="17">
        <f>-_xlfn.XLOOKUP($C9,TB_UK!$E:$E,TB_UK!W:W)*U$2</f>
        <v>805197.7919999999</v>
      </c>
      <c r="V9" s="17">
        <f>-_xlfn.XLOOKUP($C9,TB_UK!$E:$E,TB_UK!X:X)*V$2</f>
        <v>1658214.5134000001</v>
      </c>
      <c r="W9" s="17">
        <f>-_xlfn.XLOOKUP($C9,TB_UK!$E:$E,TB_UK!Y:Y)*W$2</f>
        <v>2470636.7238000003</v>
      </c>
      <c r="X9" s="17">
        <f>-_xlfn.XLOOKUP($C9,TB_UK!$E:$E,TB_UK!Z:Z)*X$2</f>
        <v>1738784.1255000001</v>
      </c>
      <c r="Y9" s="17">
        <f>-_xlfn.XLOOKUP($C9,TB_UK!$E:$E,TB_UK!AA:AA)*Y$2</f>
        <v>1609972.585</v>
      </c>
      <c r="Z9" s="17">
        <f>-_xlfn.XLOOKUP($C9,TB_UK!$E:$E,TB_UK!AB:AB)*Z$2</f>
        <v>1967128.0204</v>
      </c>
      <c r="AA9" s="17">
        <f>-_xlfn.XLOOKUP($C9,TB_UK!$E:$E,TB_UK!AC:AC)*AA$2</f>
        <v>985502.42499999993</v>
      </c>
      <c r="AB9" s="17">
        <f>-_xlfn.XLOOKUP($C9,TB_UK!$E:$E,TB_UK!AD:AD)*AB$2</f>
        <v>939347.7402</v>
      </c>
      <c r="AC9" s="17">
        <f>-_xlfn.XLOOKUP($C9,TB_UK!$E:$E,TB_UK!AE:AE)*AC$2</f>
        <v>2137312.4904</v>
      </c>
      <c r="AD9" s="17">
        <f>-_xlfn.XLOOKUP($C9,TB_UK!$E:$E,TB_UK!AF:AF)*AD$2</f>
        <v>1815047.3659999999</v>
      </c>
      <c r="AE9" s="17">
        <f>-_xlfn.XLOOKUP($C9,TB_UK!$E:$E,TB_UK!AG:AG)*AE$2</f>
        <v>1515171.476</v>
      </c>
      <c r="AF9" s="17">
        <f>-_xlfn.XLOOKUP($C9,TB_UK!$E:$E,TB_UK!AH:AH)*AF$2</f>
        <v>0</v>
      </c>
      <c r="AG9" s="17">
        <f>-_xlfn.XLOOKUP($C9,TB_UK!$E:$E,TB_UK!AI:AI)*AG$2</f>
        <v>0</v>
      </c>
      <c r="AH9" s="17">
        <f>-_xlfn.XLOOKUP($C9,TB_UK!$E:$E,TB_UK!AJ:AJ)*AH$2</f>
        <v>0</v>
      </c>
      <c r="AI9" s="17">
        <f>-_xlfn.XLOOKUP($C9,TB_UK!$E:$E,TB_UK!AK:AK)*AI$2</f>
        <v>0</v>
      </c>
      <c r="AJ9" s="17">
        <f>-_xlfn.XLOOKUP($C9,TB_UK!$E:$E,TB_UK!AL:AL)*AJ$2</f>
        <v>0</v>
      </c>
      <c r="AK9" s="17">
        <f>-_xlfn.XLOOKUP($C9,TB_UK!$E:$E,TB_UK!AM:AM)*AK$2</f>
        <v>0</v>
      </c>
      <c r="AL9" s="17">
        <f>-_xlfn.XLOOKUP($C9,TB_UK!$E:$E,TB_UK!AN:AN)*AL$2</f>
        <v>0</v>
      </c>
      <c r="AM9" s="17">
        <f>-_xlfn.XLOOKUP($C9,TB_UK!$E:$E,TB_UK!AO:AO)*AM$2</f>
        <v>0</v>
      </c>
    </row>
    <row r="10" spans="1:47" x14ac:dyDescent="0.2">
      <c r="B10" s="15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8"/>
    </row>
    <row r="11" spans="1:47" x14ac:dyDescent="0.2">
      <c r="B11" s="15"/>
      <c r="C11" s="22" t="s">
        <v>4</v>
      </c>
      <c r="D11" s="23">
        <f t="shared" ref="D11:AM11" si="2">SUM(D6:D10)</f>
        <v>23287870.590400003</v>
      </c>
      <c r="E11" s="23">
        <f t="shared" si="2"/>
        <v>39258166.231200002</v>
      </c>
      <c r="F11" s="23">
        <f t="shared" si="2"/>
        <v>36544358.254799999</v>
      </c>
      <c r="G11" s="23">
        <f t="shared" si="2"/>
        <v>25981421.6094</v>
      </c>
      <c r="H11" s="23">
        <f t="shared" si="2"/>
        <v>25627393.385199998</v>
      </c>
      <c r="I11" s="23">
        <f t="shared" si="2"/>
        <v>24372674.852499999</v>
      </c>
      <c r="J11" s="23">
        <f t="shared" si="2"/>
        <v>7095997.0469999993</v>
      </c>
      <c r="K11" s="23">
        <f t="shared" si="2"/>
        <v>46924544.025600009</v>
      </c>
      <c r="L11" s="23">
        <f t="shared" si="2"/>
        <v>29456196.099299997</v>
      </c>
      <c r="M11" s="23">
        <f t="shared" si="2"/>
        <v>21990061.715400003</v>
      </c>
      <c r="N11" s="23">
        <f t="shared" si="2"/>
        <v>19522952.252999999</v>
      </c>
      <c r="O11" s="23">
        <f t="shared" si="2"/>
        <v>10518313.492799999</v>
      </c>
      <c r="P11" s="23">
        <f t="shared" si="2"/>
        <v>23258217.7731</v>
      </c>
      <c r="Q11" s="23">
        <f t="shared" si="2"/>
        <v>19351562.62400208</v>
      </c>
      <c r="R11" s="23">
        <f t="shared" si="2"/>
        <v>11736388.702</v>
      </c>
      <c r="S11" s="23">
        <f t="shared" si="2"/>
        <v>1841188.8288</v>
      </c>
      <c r="T11" s="23">
        <f t="shared" si="2"/>
        <v>2334578.3669999996</v>
      </c>
      <c r="U11" s="23">
        <f t="shared" si="2"/>
        <v>452775.74369999993</v>
      </c>
      <c r="V11" s="23">
        <f t="shared" si="2"/>
        <v>2976234.3824</v>
      </c>
      <c r="W11" s="23">
        <f t="shared" si="2"/>
        <v>10512591.026700001</v>
      </c>
      <c r="X11" s="23">
        <f>SUM(X6:X10)</f>
        <v>6057394.1565000005</v>
      </c>
      <c r="Y11" s="23">
        <f t="shared" si="2"/>
        <v>-10641364.019000001</v>
      </c>
      <c r="Z11" s="23">
        <f t="shared" si="2"/>
        <v>2071081.1621000001</v>
      </c>
      <c r="AA11" s="23">
        <f t="shared" si="2"/>
        <v>1091719.2075</v>
      </c>
      <c r="AB11" s="23">
        <f t="shared" si="2"/>
        <v>1042876.7208</v>
      </c>
      <c r="AC11" s="23">
        <f t="shared" si="2"/>
        <v>2236641.1356000002</v>
      </c>
      <c r="AD11" s="23">
        <f t="shared" si="2"/>
        <v>1914331.477</v>
      </c>
      <c r="AE11" s="23">
        <f t="shared" si="2"/>
        <v>1615921.9569999999</v>
      </c>
      <c r="AF11" s="23">
        <f t="shared" si="2"/>
        <v>0</v>
      </c>
      <c r="AG11" s="23">
        <f t="shared" si="2"/>
        <v>0</v>
      </c>
      <c r="AH11" s="23">
        <f t="shared" si="2"/>
        <v>0</v>
      </c>
      <c r="AI11" s="23">
        <f t="shared" si="2"/>
        <v>0</v>
      </c>
      <c r="AJ11" s="23">
        <f t="shared" si="2"/>
        <v>0</v>
      </c>
      <c r="AK11" s="23">
        <f t="shared" si="2"/>
        <v>0</v>
      </c>
      <c r="AL11" s="23">
        <f t="shared" si="2"/>
        <v>0</v>
      </c>
      <c r="AM11" s="23">
        <f t="shared" si="2"/>
        <v>0</v>
      </c>
      <c r="AS11" s="23">
        <f>SUM(D11:O11)</f>
        <v>310579949.55660003</v>
      </c>
      <c r="AT11" s="23">
        <f>SUM(P11:AA11)</f>
        <v>71042367.954802066</v>
      </c>
      <c r="AU11" s="23">
        <f>SUM(AB11:AM11)</f>
        <v>6809771.2904000003</v>
      </c>
    </row>
    <row r="12" spans="1:47" x14ac:dyDescent="0.2">
      <c r="B12" s="15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8"/>
    </row>
    <row r="13" spans="1:47" x14ac:dyDescent="0.2">
      <c r="A13" s="83"/>
      <c r="B13" s="15"/>
      <c r="C13" s="20" t="s">
        <v>103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8"/>
    </row>
    <row r="14" spans="1:47" x14ac:dyDescent="0.2">
      <c r="A14" s="114">
        <f>SUM(P14:Z14)</f>
        <v>-8281316.7702007052</v>
      </c>
      <c r="B14" s="21">
        <v>50070</v>
      </c>
      <c r="C14" s="16" t="str">
        <f>_xlfn.XLOOKUP(B14,TB_UK!A:A,TB_UK!E:E)</f>
        <v>COS - NIMC Split</v>
      </c>
      <c r="D14" s="17">
        <f>-_xlfn.XLOOKUP($C14,TB_UK!$E:$E,TB_UK!F:F)*D$2</f>
        <v>-4202365.9934</v>
      </c>
      <c r="E14" s="17">
        <f>-_xlfn.XLOOKUP($C14,TB_UK!$E:$E,TB_UK!G:G)*E$2</f>
        <v>-8013303.1776000001</v>
      </c>
      <c r="F14" s="17">
        <f>-_xlfn.XLOOKUP($C14,TB_UK!$E:$E,TB_UK!H:H)*F$2</f>
        <v>-7183189.977</v>
      </c>
      <c r="G14" s="17">
        <f>-_xlfn.XLOOKUP($C14,TB_UK!$E:$E,TB_UK!I:I)*G$2</f>
        <v>-5018146.5401999997</v>
      </c>
      <c r="H14" s="17">
        <f>-_xlfn.XLOOKUP($C14,TB_UK!$E:$E,TB_UK!J:J)*H$2</f>
        <v>19790054.470199998</v>
      </c>
      <c r="I14" s="17">
        <f>-_xlfn.XLOOKUP($C14,TB_UK!$E:$E,TB_UK!K:K)*I$2</f>
        <v>-4356698.7190999994</v>
      </c>
      <c r="J14" s="17">
        <f>-_xlfn.XLOOKUP($C14,TB_UK!$E:$E,TB_UK!L:L)*J$2</f>
        <v>-3012064.4609999997</v>
      </c>
      <c r="K14" s="17">
        <f>-_xlfn.XLOOKUP($C14,TB_UK!$E:$E,TB_UK!M:M)*K$2</f>
        <v>-4084569.7090000003</v>
      </c>
      <c r="L14" s="17">
        <f>-_xlfn.XLOOKUP($C14,TB_UK!$E:$E,TB_UK!N:N)*L$2</f>
        <v>-2876496.3538000002</v>
      </c>
      <c r="M14" s="17">
        <f>-_xlfn.XLOOKUP($C14,TB_UK!$E:$E,TB_UK!O:O)*M$2</f>
        <v>-2785030.4147000001</v>
      </c>
      <c r="N14" s="17">
        <f>-_xlfn.XLOOKUP($C14,TB_UK!$E:$E,TB_UK!P:P)*N$2</f>
        <v>-2813036.9084999999</v>
      </c>
      <c r="O14" s="17">
        <f>-_xlfn.XLOOKUP($C14,TB_UK!$E:$E,TB_UK!Q:Q)*O$2</f>
        <v>-1908420.4351999999</v>
      </c>
      <c r="P14" s="17">
        <f>-_xlfn.XLOOKUP($C14,TB_UK!$E:$E,TB_UK!R:R)*P$2</f>
        <v>-3440641.0677</v>
      </c>
      <c r="Q14" s="17">
        <f>-_xlfn.XLOOKUP($C14,TB_UK!$E:$E,TB_UK!S:S)*Q$2</f>
        <v>-3030216.9950007056</v>
      </c>
      <c r="R14" s="17">
        <f>-_xlfn.XLOOKUP($C14,TB_UK!$E:$E,TB_UK!T:T)*R$2</f>
        <v>-1810458.7074999998</v>
      </c>
      <c r="S14" s="17">
        <f>-_xlfn.XLOOKUP($C14,TB_UK!$E:$E,TB_UK!U:U)*S$2</f>
        <v>0</v>
      </c>
      <c r="T14" s="17">
        <f>-_xlfn.XLOOKUP($C14,TB_UK!$E:$E,TB_UK!V:V)*T$2</f>
        <v>0</v>
      </c>
      <c r="U14" s="17">
        <f>-_xlfn.XLOOKUP($C14,TB_UK!$E:$E,TB_UK!W:W)*U$2</f>
        <v>0</v>
      </c>
      <c r="V14" s="17">
        <f>-_xlfn.XLOOKUP($C14,TB_UK!$E:$E,TB_UK!X:X)*V$2</f>
        <v>0</v>
      </c>
      <c r="W14" s="17">
        <f>-_xlfn.XLOOKUP($C14,TB_UK!$E:$E,TB_UK!Y:Y)*W$2</f>
        <v>0</v>
      </c>
      <c r="X14" s="17">
        <f>-_xlfn.XLOOKUP($C14,TB_UK!$E:$E,TB_UK!Z:Z)*X$2</f>
        <v>0</v>
      </c>
      <c r="Y14" s="17">
        <f>-_xlfn.XLOOKUP($C14,TB_UK!$E:$E,TB_UK!AA:AA)*Y$2</f>
        <v>0</v>
      </c>
      <c r="Z14" s="17">
        <f>-_xlfn.XLOOKUP($C14,TB_UK!$E:$E,TB_UK!AB:AB)*Z$2</f>
        <v>0</v>
      </c>
      <c r="AA14" s="17">
        <f>-_xlfn.XLOOKUP($C14,TB_UK!$E:$E,TB_UK!AC:AC)*AA$2</f>
        <v>0</v>
      </c>
      <c r="AB14" s="17">
        <f>-_xlfn.XLOOKUP($C14,TB_UK!$E:$E,TB_UK!AD:AD)*AB$2</f>
        <v>0</v>
      </c>
      <c r="AC14" s="17">
        <f>-_xlfn.XLOOKUP($C14,TB_UK!$E:$E,TB_UK!AE:AE)*AC$2</f>
        <v>0</v>
      </c>
      <c r="AD14" s="17">
        <f>-_xlfn.XLOOKUP($C14,TB_UK!$E:$E,TB_UK!AF:AF)*AD$2</f>
        <v>0</v>
      </c>
      <c r="AE14" s="17">
        <f>-_xlfn.XLOOKUP($C14,TB_UK!$E:$E,TB_UK!AG:AG)*AE$2</f>
        <v>0</v>
      </c>
      <c r="AF14" s="17">
        <f>-_xlfn.XLOOKUP($C14,TB_UK!$E:$E,TB_UK!AH:AH)*AF$2</f>
        <v>0</v>
      </c>
      <c r="AG14" s="17">
        <f>-_xlfn.XLOOKUP($C14,TB_UK!$E:$E,TB_UK!AI:AI)*AG$2</f>
        <v>0</v>
      </c>
      <c r="AH14" s="17">
        <f>-_xlfn.XLOOKUP($C14,TB_UK!$E:$E,TB_UK!AJ:AJ)*AH$2</f>
        <v>0</v>
      </c>
      <c r="AI14" s="17">
        <f>-_xlfn.XLOOKUP($C14,TB_UK!$E:$E,TB_UK!AK:AK)*AI$2</f>
        <v>0</v>
      </c>
      <c r="AJ14" s="17">
        <f>-_xlfn.XLOOKUP($C14,TB_UK!$E:$E,TB_UK!AL:AL)*AJ$2</f>
        <v>0</v>
      </c>
      <c r="AK14" s="17">
        <f>-_xlfn.XLOOKUP($C14,TB_UK!$E:$E,TB_UK!AM:AM)*AK$2</f>
        <v>0</v>
      </c>
      <c r="AL14" s="17">
        <f>-_xlfn.XLOOKUP($C14,TB_UK!$E:$E,TB_UK!AN:AN)*AL$2</f>
        <v>0</v>
      </c>
      <c r="AM14" s="17">
        <f>-_xlfn.XLOOKUP($C14,TB_UK!$E:$E,TB_UK!AO:AO)*AM$2</f>
        <v>0</v>
      </c>
    </row>
    <row r="15" spans="1:47" x14ac:dyDescent="0.2">
      <c r="A15" s="114">
        <f>SUM(P15:Z15)</f>
        <v>-21007455.573598798</v>
      </c>
      <c r="B15" s="21">
        <v>53045</v>
      </c>
      <c r="C15" s="16" t="str">
        <f>_xlfn.XLOOKUP(B15,TB_UK!A:A,TB_UK!E:E)</f>
        <v>COS -  Hosting &amp; Storage</v>
      </c>
      <c r="D15" s="17">
        <f>-_xlfn.XLOOKUP($C15,TB_UK!$E:$E,TB_UK!F:F)*D$2</f>
        <v>0</v>
      </c>
      <c r="E15" s="17">
        <f>-_xlfn.XLOOKUP($C15,TB_UK!$E:$E,TB_UK!G:G)*E$2</f>
        <v>0</v>
      </c>
      <c r="F15" s="17">
        <f>-_xlfn.XLOOKUP($C15,TB_UK!$E:$E,TB_UK!H:H)*F$2</f>
        <v>0</v>
      </c>
      <c r="G15" s="17">
        <f>-_xlfn.XLOOKUP($C15,TB_UK!$E:$E,TB_UK!I:I)*G$2</f>
        <v>0</v>
      </c>
      <c r="H15" s="17">
        <f>-_xlfn.XLOOKUP($C15,TB_UK!$E:$E,TB_UK!J:J)*H$2</f>
        <v>0</v>
      </c>
      <c r="I15" s="17">
        <f>-_xlfn.XLOOKUP($C15,TB_UK!$E:$E,TB_UK!K:K)*I$2</f>
        <v>0</v>
      </c>
      <c r="J15" s="17">
        <f>-_xlfn.XLOOKUP($C15,TB_UK!$E:$E,TB_UK!L:L)*J$2</f>
        <v>0</v>
      </c>
      <c r="K15" s="17">
        <f>-_xlfn.XLOOKUP($C15,TB_UK!$E:$E,TB_UK!M:M)*K$2</f>
        <v>0</v>
      </c>
      <c r="L15" s="17">
        <f>-_xlfn.XLOOKUP($C15,TB_UK!$E:$E,TB_UK!N:N)*L$2</f>
        <v>0</v>
      </c>
      <c r="M15" s="17">
        <f>-_xlfn.XLOOKUP($C15,TB_UK!$E:$E,TB_UK!O:O)*M$2</f>
        <v>0</v>
      </c>
      <c r="N15" s="17">
        <f>-_xlfn.XLOOKUP($C15,TB_UK!$E:$E,TB_UK!P:P)*N$2</f>
        <v>0</v>
      </c>
      <c r="O15" s="17">
        <f>-_xlfn.XLOOKUP($C15,TB_UK!$E:$E,TB_UK!Q:Q)*O$2</f>
        <v>0</v>
      </c>
      <c r="P15" s="17">
        <f>-_xlfn.XLOOKUP($C15,TB_UK!$E:$E,TB_UK!R:R)*P$2</f>
        <v>-3252040.1867999998</v>
      </c>
      <c r="Q15" s="17">
        <f>-_xlfn.XLOOKUP($C15,TB_UK!$E:$E,TB_UK!S:S)*Q$2</f>
        <v>-3263537.9259988004</v>
      </c>
      <c r="R15" s="17">
        <f>-_xlfn.XLOOKUP($C15,TB_UK!$E:$E,TB_UK!T:T)*R$2</f>
        <v>-2380024.7064999999</v>
      </c>
      <c r="S15" s="17">
        <f>-_xlfn.XLOOKUP($C15,TB_UK!$E:$E,TB_UK!U:U)*S$2</f>
        <v>-1501614.4006999999</v>
      </c>
      <c r="T15" s="17">
        <f>-_xlfn.XLOOKUP($C15,TB_UK!$E:$E,TB_UK!V:V)*T$2</f>
        <v>-1461480.3664999998</v>
      </c>
      <c r="U15" s="17">
        <f>-_xlfn.XLOOKUP($C15,TB_UK!$E:$E,TB_UK!W:W)*U$2</f>
        <v>-1608682.8470999997</v>
      </c>
      <c r="V15" s="17">
        <f>-_xlfn.XLOOKUP($C15,TB_UK!$E:$E,TB_UK!X:X)*V$2</f>
        <v>-1418007.5832</v>
      </c>
      <c r="W15" s="17">
        <f>-_xlfn.XLOOKUP($C15,TB_UK!$E:$E,TB_UK!Y:Y)*W$2</f>
        <v>-1571632.5765</v>
      </c>
      <c r="X15" s="17">
        <f>-_xlfn.XLOOKUP($C15,TB_UK!$E:$E,TB_UK!Z:Z)*X$2</f>
        <v>-1532768.7492000002</v>
      </c>
      <c r="Y15" s="17">
        <f>-_xlfn.XLOOKUP($C15,TB_UK!$E:$E,TB_UK!AA:AA)*Y$2</f>
        <v>-1438309.652</v>
      </c>
      <c r="Z15" s="17">
        <f>-_xlfn.XLOOKUP($C15,TB_UK!$E:$E,TB_UK!AB:AB)*Z$2</f>
        <v>-1579356.5791</v>
      </c>
      <c r="AA15" s="17">
        <f>-_xlfn.XLOOKUP($C15,TB_UK!$E:$E,TB_UK!AC:AC)*AA$2</f>
        <v>-1615019.2349999999</v>
      </c>
      <c r="AB15" s="17">
        <f>-_xlfn.XLOOKUP($C15,TB_UK!$E:$E,TB_UK!AD:AD)*AB$2</f>
        <v>-3069478.9146000003</v>
      </c>
      <c r="AC15" s="17">
        <f>-_xlfn.XLOOKUP($C15,TB_UK!$E:$E,TB_UK!AE:AE)*AC$2</f>
        <v>-1559648.1084</v>
      </c>
      <c r="AD15" s="17">
        <f>-_xlfn.XLOOKUP($C15,TB_UK!$E:$E,TB_UK!AF:AF)*AD$2</f>
        <v>-1472516.2689999999</v>
      </c>
      <c r="AE15" s="17">
        <f>-_xlfn.XLOOKUP($C15,TB_UK!$E:$E,TB_UK!AG:AG)*AE$2</f>
        <v>-1726356.06</v>
      </c>
      <c r="AF15" s="17">
        <f>-_xlfn.XLOOKUP($C15,TB_UK!$E:$E,TB_UK!AH:AH)*AF$2</f>
        <v>0</v>
      </c>
      <c r="AG15" s="17">
        <f>-_xlfn.XLOOKUP($C15,TB_UK!$E:$E,TB_UK!AI:AI)*AG$2</f>
        <v>0</v>
      </c>
      <c r="AH15" s="17">
        <f>-_xlfn.XLOOKUP($C15,TB_UK!$E:$E,TB_UK!AJ:AJ)*AH$2</f>
        <v>0</v>
      </c>
      <c r="AI15" s="17">
        <f>-_xlfn.XLOOKUP($C15,TB_UK!$E:$E,TB_UK!AK:AK)*AI$2</f>
        <v>0</v>
      </c>
      <c r="AJ15" s="17">
        <f>-_xlfn.XLOOKUP($C15,TB_UK!$E:$E,TB_UK!AL:AL)*AJ$2</f>
        <v>0</v>
      </c>
      <c r="AK15" s="17">
        <f>-_xlfn.XLOOKUP($C15,TB_UK!$E:$E,TB_UK!AM:AM)*AK$2</f>
        <v>0</v>
      </c>
      <c r="AL15" s="17">
        <f>-_xlfn.XLOOKUP($C15,TB_UK!$E:$E,TB_UK!AN:AN)*AL$2</f>
        <v>0</v>
      </c>
      <c r="AM15" s="17">
        <f>-_xlfn.XLOOKUP($C15,TB_UK!$E:$E,TB_UK!AO:AO)*AM$2</f>
        <v>0</v>
      </c>
    </row>
    <row r="16" spans="1:47" x14ac:dyDescent="0.2">
      <c r="A16" s="114">
        <f>SUM(P16:Z16)</f>
        <v>-5275413.7595998058</v>
      </c>
      <c r="B16" s="21">
        <v>53080</v>
      </c>
      <c r="C16" s="16" t="str">
        <f>_xlfn.XLOOKUP(B16,TB_UK!A:A,TB_UK!E:E)</f>
        <v>COS - Professional Services</v>
      </c>
      <c r="D16" s="17">
        <f>-_xlfn.XLOOKUP($C16,TB_UK!$E:$E,TB_UK!F:F)*D$2</f>
        <v>-727.1296000000001</v>
      </c>
      <c r="E16" s="17">
        <f>-_xlfn.XLOOKUP($C16,TB_UK!$E:$E,TB_UK!G:G)*E$2</f>
        <v>0</v>
      </c>
      <c r="F16" s="17">
        <f>-_xlfn.XLOOKUP($C16,TB_UK!$E:$E,TB_UK!H:H)*F$2</f>
        <v>0</v>
      </c>
      <c r="G16" s="17">
        <f>-_xlfn.XLOOKUP($C16,TB_UK!$E:$E,TB_UK!I:I)*G$2</f>
        <v>-1546266.9242999998</v>
      </c>
      <c r="H16" s="17">
        <f>-_xlfn.XLOOKUP($C16,TB_UK!$E:$E,TB_UK!J:J)*H$2</f>
        <v>-874760.77579999994</v>
      </c>
      <c r="I16" s="17">
        <f>-_xlfn.XLOOKUP($C16,TB_UK!$E:$E,TB_UK!K:K)*I$2</f>
        <v>0</v>
      </c>
      <c r="J16" s="17">
        <f>-_xlfn.XLOOKUP($C16,TB_UK!$E:$E,TB_UK!L:L)*J$2</f>
        <v>-2209909.7280000001</v>
      </c>
      <c r="K16" s="17">
        <f>-_xlfn.XLOOKUP($C16,TB_UK!$E:$E,TB_UK!M:M)*K$2</f>
        <v>0</v>
      </c>
      <c r="L16" s="17">
        <f>-_xlfn.XLOOKUP($C16,TB_UK!$E:$E,TB_UK!N:N)*L$2</f>
        <v>0</v>
      </c>
      <c r="M16" s="17">
        <f>-_xlfn.XLOOKUP($C16,TB_UK!$E:$E,TB_UK!O:O)*M$2</f>
        <v>-1706786.1091000002</v>
      </c>
      <c r="N16" s="17">
        <f>-_xlfn.XLOOKUP($C16,TB_UK!$E:$E,TB_UK!P:P)*N$2</f>
        <v>-1711828.5974999999</v>
      </c>
      <c r="O16" s="17">
        <f>-_xlfn.XLOOKUP($C16,TB_UK!$E:$E,TB_UK!Q:Q)*O$2</f>
        <v>-1634767.1872</v>
      </c>
      <c r="P16" s="17">
        <f>-_xlfn.XLOOKUP($C16,TB_UK!$E:$E,TB_UK!R:R)*P$2</f>
        <v>0</v>
      </c>
      <c r="Q16" s="17">
        <f>-_xlfn.XLOOKUP($C16,TB_UK!$E:$E,TB_UK!S:S)*Q$2</f>
        <v>-764141.67699980596</v>
      </c>
      <c r="R16" s="17">
        <f>-_xlfn.XLOOKUP($C16,TB_UK!$E:$E,TB_UK!T:T)*R$2</f>
        <v>0</v>
      </c>
      <c r="S16" s="17">
        <f>-_xlfn.XLOOKUP($C16,TB_UK!$E:$E,TB_UK!U:U)*S$2</f>
        <v>0</v>
      </c>
      <c r="T16" s="17">
        <f>-_xlfn.XLOOKUP($C16,TB_UK!$E:$E,TB_UK!V:V)*T$2</f>
        <v>-974612.56749999989</v>
      </c>
      <c r="U16" s="17">
        <f>-_xlfn.XLOOKUP($C16,TB_UK!$E:$E,TB_UK!W:W)*U$2</f>
        <v>0</v>
      </c>
      <c r="V16" s="17">
        <f>-_xlfn.XLOOKUP($C16,TB_UK!$E:$E,TB_UK!X:X)*V$2</f>
        <v>-1136142.5022</v>
      </c>
      <c r="W16" s="17">
        <f>-_xlfn.XLOOKUP($C16,TB_UK!$E:$E,TB_UK!Y:Y)*W$2</f>
        <v>0</v>
      </c>
      <c r="X16" s="17">
        <f>-_xlfn.XLOOKUP($C16,TB_UK!$E:$E,TB_UK!Z:Z)*X$2</f>
        <v>-1747074.9639000001</v>
      </c>
      <c r="Y16" s="17">
        <f>-_xlfn.XLOOKUP($C16,TB_UK!$E:$E,TB_UK!AA:AA)*Y$2</f>
        <v>-653442.049</v>
      </c>
      <c r="Z16" s="17">
        <f>-_xlfn.XLOOKUP($C16,TB_UK!$E:$E,TB_UK!AB:AB)*Z$2</f>
        <v>0</v>
      </c>
      <c r="AA16" s="17">
        <f>-_xlfn.XLOOKUP($C16,TB_UK!$E:$E,TB_UK!AC:AC)*AA$2</f>
        <v>-1394743.1125</v>
      </c>
      <c r="AB16" s="17">
        <f>-_xlfn.XLOOKUP($C16,TB_UK!$E:$E,TB_UK!AD:AD)*AB$2</f>
        <v>-114337.4748</v>
      </c>
      <c r="AC16" s="17">
        <f>-_xlfn.XLOOKUP($C16,TB_UK!$E:$E,TB_UK!AE:AE)*AC$2</f>
        <v>0</v>
      </c>
      <c r="AD16" s="17">
        <f>-_xlfn.XLOOKUP($C16,TB_UK!$E:$E,TB_UK!AF:AF)*AD$2</f>
        <v>-667951.17799999996</v>
      </c>
      <c r="AE16" s="17">
        <f>-_xlfn.XLOOKUP($C16,TB_UK!$E:$E,TB_UK!AG:AG)*AE$2</f>
        <v>-1878010.4849999999</v>
      </c>
      <c r="AF16" s="17">
        <f>-_xlfn.XLOOKUP($C16,TB_UK!$E:$E,TB_UK!AH:AH)*AF$2</f>
        <v>0</v>
      </c>
      <c r="AG16" s="17">
        <f>-_xlfn.XLOOKUP($C16,TB_UK!$E:$E,TB_UK!AI:AI)*AG$2</f>
        <v>0</v>
      </c>
      <c r="AH16" s="17">
        <f>-_xlfn.XLOOKUP($C16,TB_UK!$E:$E,TB_UK!AJ:AJ)*AH$2</f>
        <v>0</v>
      </c>
      <c r="AI16" s="17">
        <f>-_xlfn.XLOOKUP($C16,TB_UK!$E:$E,TB_UK!AK:AK)*AI$2</f>
        <v>0</v>
      </c>
      <c r="AJ16" s="17">
        <f>-_xlfn.XLOOKUP($C16,TB_UK!$E:$E,TB_UK!AL:AL)*AJ$2</f>
        <v>0</v>
      </c>
      <c r="AK16" s="17">
        <f>-_xlfn.XLOOKUP($C16,TB_UK!$E:$E,TB_UK!AM:AM)*AK$2</f>
        <v>0</v>
      </c>
      <c r="AL16" s="17">
        <f>-_xlfn.XLOOKUP($C16,TB_UK!$E:$E,TB_UK!AN:AN)*AL$2</f>
        <v>0</v>
      </c>
      <c r="AM16" s="17">
        <f>-_xlfn.XLOOKUP($C16,TB_UK!$E:$E,TB_UK!AO:AO)*AM$2</f>
        <v>0</v>
      </c>
    </row>
    <row r="17" spans="1:47" x14ac:dyDescent="0.2">
      <c r="A17" s="114">
        <f>SUM(P17:Z17)</f>
        <v>-3265742.2913000006</v>
      </c>
      <c r="B17" s="21">
        <v>53095</v>
      </c>
      <c r="C17" s="16" t="str">
        <f>_xlfn.XLOOKUP(B17,TB_UK!A:A,TB_UK!E:E)</f>
        <v>COS - Sundry expenses</v>
      </c>
      <c r="D17" s="17">
        <f>-_xlfn.XLOOKUP($C17,TB_UK!$E:$E,TB_UK!F:F)*D$2</f>
        <v>0</v>
      </c>
      <c r="E17" s="17">
        <f>-_xlfn.XLOOKUP($C17,TB_UK!$E:$E,TB_UK!G:G)*E$2</f>
        <v>0</v>
      </c>
      <c r="F17" s="17">
        <f>-_xlfn.XLOOKUP($C17,TB_UK!$E:$E,TB_UK!H:H)*F$2</f>
        <v>-1055672.6664</v>
      </c>
      <c r="G17" s="17">
        <f>-_xlfn.XLOOKUP($C17,TB_UK!$E:$E,TB_UK!I:I)*G$2</f>
        <v>0</v>
      </c>
      <c r="H17" s="17">
        <f>-_xlfn.XLOOKUP($C17,TB_UK!$E:$E,TB_UK!J:J)*H$2</f>
        <v>0</v>
      </c>
      <c r="I17" s="17">
        <f>-_xlfn.XLOOKUP($C17,TB_UK!$E:$E,TB_UK!K:K)*I$2</f>
        <v>0</v>
      </c>
      <c r="J17" s="17">
        <f>-_xlfn.XLOOKUP($C17,TB_UK!$E:$E,TB_UK!L:L)*J$2</f>
        <v>0</v>
      </c>
      <c r="K17" s="17">
        <f>-_xlfn.XLOOKUP($C17,TB_UK!$E:$E,TB_UK!M:M)*K$2</f>
        <v>-393304.9228</v>
      </c>
      <c r="L17" s="17">
        <f>-_xlfn.XLOOKUP($C17,TB_UK!$E:$E,TB_UK!N:N)*L$2</f>
        <v>0</v>
      </c>
      <c r="M17" s="17">
        <f>-_xlfn.XLOOKUP($C17,TB_UK!$E:$E,TB_UK!O:O)*M$2</f>
        <v>0</v>
      </c>
      <c r="N17" s="17">
        <f>-_xlfn.XLOOKUP($C17,TB_UK!$E:$E,TB_UK!P:P)*N$2</f>
        <v>-92205.823499999999</v>
      </c>
      <c r="O17" s="17">
        <f>-_xlfn.XLOOKUP($C17,TB_UK!$E:$E,TB_UK!Q:Q)*O$2</f>
        <v>0</v>
      </c>
      <c r="P17" s="17">
        <f>-_xlfn.XLOOKUP($C17,TB_UK!$E:$E,TB_UK!R:R)*P$2</f>
        <v>-51067.845300000001</v>
      </c>
      <c r="Q17" s="17">
        <f>-_xlfn.XLOOKUP($C17,TB_UK!$E:$E,TB_UK!S:S)*Q$2</f>
        <v>-79882.631000000008</v>
      </c>
      <c r="R17" s="17">
        <f>-_xlfn.XLOOKUP($C17,TB_UK!$E:$E,TB_UK!T:T)*R$2</f>
        <v>-125001.0055</v>
      </c>
      <c r="S17" s="17">
        <f>-_xlfn.XLOOKUP($C17,TB_UK!$E:$E,TB_UK!U:U)*S$2</f>
        <v>-105001.5419</v>
      </c>
      <c r="T17" s="17">
        <f>-_xlfn.XLOOKUP($C17,TB_UK!$E:$E,TB_UK!V:V)*T$2</f>
        <v>-61452.033499999998</v>
      </c>
      <c r="U17" s="17">
        <f>-_xlfn.XLOOKUP($C17,TB_UK!$E:$E,TB_UK!W:W)*U$2</f>
        <v>-34889.084999999999</v>
      </c>
      <c r="V17" s="17">
        <f>-_xlfn.XLOOKUP($C17,TB_UK!$E:$E,TB_UK!X:X)*V$2</f>
        <v>-34993.661899999999</v>
      </c>
      <c r="W17" s="17">
        <f>-_xlfn.XLOOKUP($C17,TB_UK!$E:$E,TB_UK!Y:Y)*W$2</f>
        <v>-140002.8861</v>
      </c>
      <c r="X17" s="17">
        <f>-_xlfn.XLOOKUP($C17,TB_UK!$E:$E,TB_UK!Z:Z)*X$2</f>
        <v>-109993.11809999999</v>
      </c>
      <c r="Y17" s="17">
        <f>-_xlfn.XLOOKUP($C17,TB_UK!$E:$E,TB_UK!AA:AA)*Y$2</f>
        <v>-2523458.4830000005</v>
      </c>
      <c r="Z17" s="17">
        <f>-_xlfn.XLOOKUP($C17,TB_UK!$E:$E,TB_UK!AB:AB)*Z$2</f>
        <v>0</v>
      </c>
      <c r="AA17" s="17">
        <f>-_xlfn.XLOOKUP($C17,TB_UK!$E:$E,TB_UK!AC:AC)*AA$2</f>
        <v>-260192.97999999998</v>
      </c>
      <c r="AB17" s="17">
        <f>-_xlfn.XLOOKUP($C17,TB_UK!$E:$E,TB_UK!AD:AD)*AB$2</f>
        <v>0</v>
      </c>
      <c r="AC17" s="17">
        <f>-_xlfn.XLOOKUP($C17,TB_UK!$E:$E,TB_UK!AE:AE)*AC$2</f>
        <v>0</v>
      </c>
      <c r="AD17" s="17">
        <f>-_xlfn.XLOOKUP($C17,TB_UK!$E:$E,TB_UK!AF:AF)*AD$2</f>
        <v>-29962.559000000001</v>
      </c>
      <c r="AE17" s="17">
        <f>-_xlfn.XLOOKUP($C17,TB_UK!$E:$E,TB_UK!AG:AG)*AE$2</f>
        <v>0</v>
      </c>
      <c r="AF17" s="17">
        <f>-_xlfn.XLOOKUP($C17,TB_UK!$E:$E,TB_UK!AH:AH)*AF$2</f>
        <v>0</v>
      </c>
      <c r="AG17" s="17">
        <f>-_xlfn.XLOOKUP($C17,TB_UK!$E:$E,TB_UK!AI:AI)*AG$2</f>
        <v>0</v>
      </c>
      <c r="AH17" s="17">
        <f>-_xlfn.XLOOKUP($C17,TB_UK!$E:$E,TB_UK!AJ:AJ)*AH$2</f>
        <v>0</v>
      </c>
      <c r="AI17" s="17">
        <f>-_xlfn.XLOOKUP($C17,TB_UK!$E:$E,TB_UK!AK:AK)*AI$2</f>
        <v>0</v>
      </c>
      <c r="AJ17" s="17">
        <f>-_xlfn.XLOOKUP($C17,TB_UK!$E:$E,TB_UK!AL:AL)*AJ$2</f>
        <v>0</v>
      </c>
      <c r="AK17" s="17">
        <f>-_xlfn.XLOOKUP($C17,TB_UK!$E:$E,TB_UK!AM:AM)*AK$2</f>
        <v>0</v>
      </c>
      <c r="AL17" s="17">
        <f>-_xlfn.XLOOKUP($C17,TB_UK!$E:$E,TB_UK!AN:AN)*AL$2</f>
        <v>0</v>
      </c>
      <c r="AM17" s="17">
        <f>-_xlfn.XLOOKUP($C17,TB_UK!$E:$E,TB_UK!AO:AO)*AM$2</f>
        <v>0</v>
      </c>
    </row>
    <row r="18" spans="1:47" x14ac:dyDescent="0.2">
      <c r="A18" s="83"/>
      <c r="B18" s="21">
        <v>53035</v>
      </c>
      <c r="C18" s="16" t="str">
        <f>_xlfn.XLOOKUP(B18,TB_UK!A:A,TB_UK!E:E)</f>
        <v>COS - Freight and Shipping</v>
      </c>
      <c r="D18" s="17">
        <f>-_xlfn.XLOOKUP($C18,TB_UK!$E:$E,TB_UK!F:F)*D$2</f>
        <v>0</v>
      </c>
      <c r="E18" s="17">
        <f>-_xlfn.XLOOKUP($C18,TB_UK!$E:$E,TB_UK!G:G)*E$2</f>
        <v>0</v>
      </c>
      <c r="F18" s="17">
        <f>-_xlfn.XLOOKUP($C18,TB_UK!$E:$E,TB_UK!H:H)*F$2</f>
        <v>0</v>
      </c>
      <c r="G18" s="17">
        <f>-_xlfn.XLOOKUP($C18,TB_UK!$E:$E,TB_UK!I:I)*G$2</f>
        <v>-12505.7202</v>
      </c>
      <c r="H18" s="17">
        <f>-_xlfn.XLOOKUP($C18,TB_UK!$E:$E,TB_UK!J:J)*H$2</f>
        <v>0</v>
      </c>
      <c r="I18" s="17">
        <f>-_xlfn.XLOOKUP($C18,TB_UK!$E:$E,TB_UK!K:K)*I$2</f>
        <v>0</v>
      </c>
      <c r="J18" s="17">
        <f>-_xlfn.XLOOKUP($C18,TB_UK!$E:$E,TB_UK!L:L)*J$2</f>
        <v>0</v>
      </c>
      <c r="K18" s="17">
        <f>-_xlfn.XLOOKUP($C18,TB_UK!$E:$E,TB_UK!M:M)*K$2</f>
        <v>0</v>
      </c>
      <c r="L18" s="17">
        <f>-_xlfn.XLOOKUP($C18,TB_UK!$E:$E,TB_UK!N:N)*L$2</f>
        <v>0</v>
      </c>
      <c r="M18" s="17">
        <f>-_xlfn.XLOOKUP($C18,TB_UK!$E:$E,TB_UK!O:O)*M$2</f>
        <v>0</v>
      </c>
      <c r="N18" s="17">
        <f>-_xlfn.XLOOKUP($C18,TB_UK!$E:$E,TB_UK!P:P)*N$2</f>
        <v>-53492.638500000001</v>
      </c>
      <c r="O18" s="17">
        <f>-_xlfn.XLOOKUP($C18,TB_UK!$E:$E,TB_UK!Q:Q)*O$2</f>
        <v>0</v>
      </c>
      <c r="P18" s="17">
        <f>-_xlfn.XLOOKUP($C18,TB_UK!$E:$E,TB_UK!R:R)*P$2</f>
        <v>0</v>
      </c>
      <c r="Q18" s="17">
        <f>-_xlfn.XLOOKUP($C18,TB_UK!$E:$E,TB_UK!S:S)*Q$2</f>
        <v>0</v>
      </c>
      <c r="R18" s="17">
        <f>-_xlfn.XLOOKUP($C18,TB_UK!$E:$E,TB_UK!T:T)*R$2</f>
        <v>0</v>
      </c>
      <c r="S18" s="17">
        <f>-_xlfn.XLOOKUP($C18,TB_UK!$E:$E,TB_UK!U:U)*S$2</f>
        <v>0</v>
      </c>
      <c r="T18" s="17">
        <f>-_xlfn.XLOOKUP($C18,TB_UK!$E:$E,TB_UK!V:V)*T$2</f>
        <v>0</v>
      </c>
      <c r="U18" s="17">
        <f>-_xlfn.XLOOKUP($C18,TB_UK!$E:$E,TB_UK!W:W)*U$2</f>
        <v>0</v>
      </c>
      <c r="V18" s="17">
        <f>-_xlfn.XLOOKUP($C18,TB_UK!$E:$E,TB_UK!X:X)*V$2</f>
        <v>0</v>
      </c>
      <c r="W18" s="17">
        <f>-_xlfn.XLOOKUP($C18,TB_UK!$E:$E,TB_UK!Y:Y)*W$2</f>
        <v>0</v>
      </c>
      <c r="X18" s="17">
        <f>-_xlfn.XLOOKUP($C18,TB_UK!$E:$E,TB_UK!Z:Z)*X$2</f>
        <v>0</v>
      </c>
      <c r="Y18" s="17">
        <f>-_xlfn.XLOOKUP($C18,TB_UK!$E:$E,TB_UK!AA:AA)*Y$2</f>
        <v>0</v>
      </c>
      <c r="Z18" s="17">
        <f>-_xlfn.XLOOKUP($C18,TB_UK!$E:$E,TB_UK!AB:AB)*Z$2</f>
        <v>0</v>
      </c>
      <c r="AA18" s="17">
        <f>-_xlfn.XLOOKUP($C18,TB_UK!$E:$E,TB_UK!AC:AC)*AA$2</f>
        <v>0</v>
      </c>
      <c r="AB18" s="17">
        <f>-_xlfn.XLOOKUP($C18,TB_UK!$E:$E,TB_UK!AD:AD)*AB$2</f>
        <v>0</v>
      </c>
      <c r="AC18" s="17">
        <f>-_xlfn.XLOOKUP($C18,TB_UK!$E:$E,TB_UK!AE:AE)*AC$2</f>
        <v>0</v>
      </c>
      <c r="AD18" s="17">
        <f>-_xlfn.XLOOKUP($C18,TB_UK!$E:$E,TB_UK!AF:AF)*AD$2</f>
        <v>0</v>
      </c>
      <c r="AE18" s="17">
        <f>-_xlfn.XLOOKUP($C18,TB_UK!$E:$E,TB_UK!AG:AG)*AE$2</f>
        <v>0</v>
      </c>
      <c r="AF18" s="17">
        <f>-_xlfn.XLOOKUP($C18,TB_UK!$E:$E,TB_UK!AH:AH)*AF$2</f>
        <v>0</v>
      </c>
      <c r="AG18" s="17">
        <f>-_xlfn.XLOOKUP($C18,TB_UK!$E:$E,TB_UK!AI:AI)*AG$2</f>
        <v>0</v>
      </c>
      <c r="AH18" s="17">
        <f>-_xlfn.XLOOKUP($C18,TB_UK!$E:$E,TB_UK!AJ:AJ)*AH$2</f>
        <v>0</v>
      </c>
      <c r="AI18" s="17">
        <f>-_xlfn.XLOOKUP($C18,TB_UK!$E:$E,TB_UK!AK:AK)*AI$2</f>
        <v>0</v>
      </c>
      <c r="AJ18" s="17">
        <f>-_xlfn.XLOOKUP($C18,TB_UK!$E:$E,TB_UK!AL:AL)*AJ$2</f>
        <v>0</v>
      </c>
      <c r="AK18" s="17">
        <f>-_xlfn.XLOOKUP($C18,TB_UK!$E:$E,TB_UK!AM:AM)*AK$2</f>
        <v>0</v>
      </c>
      <c r="AL18" s="17">
        <f>-_xlfn.XLOOKUP($C18,TB_UK!$E:$E,TB_UK!AN:AN)*AL$2</f>
        <v>0</v>
      </c>
      <c r="AM18" s="17">
        <f>-_xlfn.XLOOKUP($C18,TB_UK!$E:$E,TB_UK!AO:AO)*AM$2</f>
        <v>0</v>
      </c>
    </row>
    <row r="19" spans="1:47" x14ac:dyDescent="0.2">
      <c r="B19" s="21">
        <v>50000</v>
      </c>
      <c r="C19" s="16" t="str">
        <f>_xlfn.XLOOKUP(B19,TB_UK!A:A,TB_UK!E:E)</f>
        <v>COS - Hardware Purchases</v>
      </c>
      <c r="D19" s="17">
        <f>-_xlfn.XLOOKUP($C19,TB_UK!$E:$E,TB_UK!F:F)*D$2</f>
        <v>0</v>
      </c>
      <c r="E19" s="17">
        <f>-_xlfn.XLOOKUP($C19,TB_UK!$E:$E,TB_UK!G:G)*E$2</f>
        <v>0</v>
      </c>
      <c r="F19" s="17">
        <f>-_xlfn.XLOOKUP($C19,TB_UK!$E:$E,TB_UK!H:H)*F$2</f>
        <v>0</v>
      </c>
      <c r="G19" s="17">
        <f>-_xlfn.XLOOKUP($C19,TB_UK!$E:$E,TB_UK!I:I)*G$2</f>
        <v>-563729.70359999989</v>
      </c>
      <c r="H19" s="17">
        <f>-_xlfn.XLOOKUP($C19,TB_UK!$E:$E,TB_UK!J:J)*H$2</f>
        <v>0</v>
      </c>
      <c r="I19" s="17">
        <f>-_xlfn.XLOOKUP($C19,TB_UK!$E:$E,TB_UK!K:K)*I$2</f>
        <v>0</v>
      </c>
      <c r="J19" s="17">
        <f>-_xlfn.XLOOKUP($C19,TB_UK!$E:$E,TB_UK!L:L)*J$2</f>
        <v>0</v>
      </c>
      <c r="K19" s="17">
        <f>-_xlfn.XLOOKUP($C19,TB_UK!$E:$E,TB_UK!M:M)*K$2</f>
        <v>0</v>
      </c>
      <c r="L19" s="17">
        <f>-_xlfn.XLOOKUP($C19,TB_UK!$E:$E,TB_UK!N:N)*L$2</f>
        <v>0</v>
      </c>
      <c r="M19" s="17">
        <f>-_xlfn.XLOOKUP($C19,TB_UK!$E:$E,TB_UK!O:O)*M$2</f>
        <v>0</v>
      </c>
      <c r="N19" s="17">
        <f>-_xlfn.XLOOKUP($C19,TB_UK!$E:$E,TB_UK!P:P)*N$2</f>
        <v>0</v>
      </c>
      <c r="O19" s="17">
        <f>-_xlfn.XLOOKUP($C19,TB_UK!$E:$E,TB_UK!Q:Q)*O$2</f>
        <v>0</v>
      </c>
      <c r="P19" s="17">
        <f>-_xlfn.XLOOKUP($C19,TB_UK!$E:$E,TB_UK!R:R)*P$2</f>
        <v>0</v>
      </c>
      <c r="Q19" s="17">
        <f>-_xlfn.XLOOKUP($C19,TB_UK!$E:$E,TB_UK!S:S)*Q$2</f>
        <v>0</v>
      </c>
      <c r="R19" s="17">
        <f>-_xlfn.XLOOKUP($C19,TB_UK!$E:$E,TB_UK!T:T)*R$2</f>
        <v>0</v>
      </c>
      <c r="S19" s="17">
        <f>-_xlfn.XLOOKUP($C19,TB_UK!$E:$E,TB_UK!U:U)*S$2</f>
        <v>0</v>
      </c>
      <c r="T19" s="17">
        <f>-_xlfn.XLOOKUP($C19,TB_UK!$E:$E,TB_UK!V:V)*T$2</f>
        <v>0</v>
      </c>
      <c r="U19" s="17">
        <f>-_xlfn.XLOOKUP($C19,TB_UK!$E:$E,TB_UK!W:W)*U$2</f>
        <v>0</v>
      </c>
      <c r="V19" s="17">
        <f>-_xlfn.XLOOKUP($C19,TB_UK!$E:$E,TB_UK!X:X)*V$2</f>
        <v>0</v>
      </c>
      <c r="W19" s="17">
        <f>-_xlfn.XLOOKUP($C19,TB_UK!$E:$E,TB_UK!Y:Y)*W$2</f>
        <v>0</v>
      </c>
      <c r="X19" s="17">
        <f>-_xlfn.XLOOKUP($C19,TB_UK!$E:$E,TB_UK!Z:Z)*X$2</f>
        <v>0</v>
      </c>
      <c r="Y19" s="17">
        <f>-_xlfn.XLOOKUP($C19,TB_UK!$E:$E,TB_UK!AA:AA)*Y$2</f>
        <v>0</v>
      </c>
      <c r="Z19" s="17">
        <f>-_xlfn.XLOOKUP($C19,TB_UK!$E:$E,TB_UK!AB:AB)*Z$2</f>
        <v>0</v>
      </c>
      <c r="AA19" s="17">
        <f>-_xlfn.XLOOKUP($C19,TB_UK!$E:$E,TB_UK!AC:AC)*AA$2</f>
        <v>0</v>
      </c>
      <c r="AB19" s="17">
        <f>-_xlfn.XLOOKUP($C19,TB_UK!$E:$E,TB_UK!AD:AD)*AB$2</f>
        <v>0</v>
      </c>
      <c r="AC19" s="17">
        <f>-_xlfn.XLOOKUP($C19,TB_UK!$E:$E,TB_UK!AE:AE)*AC$2</f>
        <v>0</v>
      </c>
      <c r="AD19" s="17">
        <f>-_xlfn.XLOOKUP($C19,TB_UK!$E:$E,TB_UK!AF:AF)*AD$2</f>
        <v>0</v>
      </c>
      <c r="AE19" s="17">
        <f>-_xlfn.XLOOKUP($C19,TB_UK!$E:$E,TB_UK!AG:AG)*AE$2</f>
        <v>0</v>
      </c>
      <c r="AF19" s="17">
        <f>-_xlfn.XLOOKUP($C19,TB_UK!$E:$E,TB_UK!AH:AH)*AF$2</f>
        <v>0</v>
      </c>
      <c r="AG19" s="17">
        <f>-_xlfn.XLOOKUP($C19,TB_UK!$E:$E,TB_UK!AI:AI)*AG$2</f>
        <v>0</v>
      </c>
      <c r="AH19" s="17">
        <f>-_xlfn.XLOOKUP($C19,TB_UK!$E:$E,TB_UK!AJ:AJ)*AH$2</f>
        <v>0</v>
      </c>
      <c r="AI19" s="17">
        <f>-_xlfn.XLOOKUP($C19,TB_UK!$E:$E,TB_UK!AK:AK)*AI$2</f>
        <v>0</v>
      </c>
      <c r="AJ19" s="17">
        <f>-_xlfn.XLOOKUP($C19,TB_UK!$E:$E,TB_UK!AL:AL)*AJ$2</f>
        <v>0</v>
      </c>
      <c r="AK19" s="17">
        <f>-_xlfn.XLOOKUP($C19,TB_UK!$E:$E,TB_UK!AM:AM)*AK$2</f>
        <v>0</v>
      </c>
      <c r="AL19" s="17">
        <f>-_xlfn.XLOOKUP($C19,TB_UK!$E:$E,TB_UK!AN:AN)*AL$2</f>
        <v>0</v>
      </c>
      <c r="AM19" s="17">
        <f>-_xlfn.XLOOKUP($C19,TB_UK!$E:$E,TB_UK!AO:AO)*AM$2</f>
        <v>0</v>
      </c>
    </row>
    <row r="20" spans="1:47" x14ac:dyDescent="0.2">
      <c r="B20" s="21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8"/>
    </row>
    <row r="21" spans="1:47" x14ac:dyDescent="0.2">
      <c r="B21" s="15"/>
      <c r="C21" s="22" t="s">
        <v>5</v>
      </c>
      <c r="D21" s="23">
        <f t="shared" ref="D21:AM21" si="3">SUM(D14:D20)</f>
        <v>-4203093.1229999997</v>
      </c>
      <c r="E21" s="23">
        <f t="shared" si="3"/>
        <v>-8013303.1776000001</v>
      </c>
      <c r="F21" s="23">
        <f t="shared" si="3"/>
        <v>-8238862.6434000004</v>
      </c>
      <c r="G21" s="23">
        <f t="shared" si="3"/>
        <v>-7140648.8882999998</v>
      </c>
      <c r="H21" s="23">
        <f t="shared" si="3"/>
        <v>18915293.694399998</v>
      </c>
      <c r="I21" s="23">
        <f t="shared" si="3"/>
        <v>-4356698.7190999994</v>
      </c>
      <c r="J21" s="23">
        <f t="shared" si="3"/>
        <v>-5221974.1889999993</v>
      </c>
      <c r="K21" s="23">
        <f t="shared" si="3"/>
        <v>-4477874.6318000006</v>
      </c>
      <c r="L21" s="23">
        <f t="shared" si="3"/>
        <v>-2876496.3538000002</v>
      </c>
      <c r="M21" s="23">
        <f t="shared" si="3"/>
        <v>-4491816.5238000005</v>
      </c>
      <c r="N21" s="23">
        <f t="shared" si="3"/>
        <v>-4670563.9680000003</v>
      </c>
      <c r="O21" s="23">
        <f t="shared" si="3"/>
        <v>-3543187.6223999998</v>
      </c>
      <c r="P21" s="23">
        <f t="shared" si="3"/>
        <v>-6743749.0998</v>
      </c>
      <c r="Q21" s="23">
        <f t="shared" si="3"/>
        <v>-7137779.228999312</v>
      </c>
      <c r="R21" s="23">
        <f t="shared" si="3"/>
        <v>-4315484.4194999998</v>
      </c>
      <c r="S21" s="23">
        <f t="shared" si="3"/>
        <v>-1606615.9426</v>
      </c>
      <c r="T21" s="23">
        <f t="shared" si="3"/>
        <v>-2497544.9674999993</v>
      </c>
      <c r="U21" s="23">
        <f t="shared" si="3"/>
        <v>-1643571.9320999996</v>
      </c>
      <c r="V21" s="23">
        <f t="shared" si="3"/>
        <v>-2589143.7473000004</v>
      </c>
      <c r="W21" s="23">
        <f t="shared" si="3"/>
        <v>-1711635.4626</v>
      </c>
      <c r="X21" s="23">
        <f>SUM(X14:X20)</f>
        <v>-3389836.8312000004</v>
      </c>
      <c r="Y21" s="23">
        <f t="shared" si="3"/>
        <v>-4615210.1840000004</v>
      </c>
      <c r="Z21" s="23">
        <f t="shared" si="3"/>
        <v>-1579356.5791</v>
      </c>
      <c r="AA21" s="23">
        <f t="shared" si="3"/>
        <v>-3269955.3275000001</v>
      </c>
      <c r="AB21" s="23">
        <f t="shared" si="3"/>
        <v>-3183816.3894000002</v>
      </c>
      <c r="AC21" s="23">
        <f t="shared" si="3"/>
        <v>-1559648.1084</v>
      </c>
      <c r="AD21" s="23">
        <f t="shared" si="3"/>
        <v>-2170430.0059999996</v>
      </c>
      <c r="AE21" s="23">
        <f t="shared" si="3"/>
        <v>-3604366.5449999999</v>
      </c>
      <c r="AF21" s="23">
        <f t="shared" si="3"/>
        <v>0</v>
      </c>
      <c r="AG21" s="23">
        <f t="shared" si="3"/>
        <v>0</v>
      </c>
      <c r="AH21" s="23">
        <f t="shared" si="3"/>
        <v>0</v>
      </c>
      <c r="AI21" s="23">
        <f t="shared" si="3"/>
        <v>0</v>
      </c>
      <c r="AJ21" s="23">
        <f t="shared" si="3"/>
        <v>0</v>
      </c>
      <c r="AK21" s="23">
        <f t="shared" si="3"/>
        <v>0</v>
      </c>
      <c r="AL21" s="23">
        <f t="shared" si="3"/>
        <v>0</v>
      </c>
      <c r="AM21" s="23">
        <f t="shared" si="3"/>
        <v>0</v>
      </c>
      <c r="AS21" s="23">
        <f>SUM(D21:O21)</f>
        <v>-38319226.145800002</v>
      </c>
      <c r="AT21" s="23">
        <f>SUM(P21:AA21)</f>
        <v>-41099883.722199306</v>
      </c>
      <c r="AU21" s="23">
        <f>SUM(AB21:AM21)</f>
        <v>-10518261.048799999</v>
      </c>
    </row>
    <row r="22" spans="1:47" x14ac:dyDescent="0.2">
      <c r="B22" s="15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8"/>
    </row>
    <row r="23" spans="1:47" s="27" customFormat="1" x14ac:dyDescent="0.2">
      <c r="B23" s="24"/>
      <c r="C23" s="25" t="s">
        <v>119</v>
      </c>
      <c r="D23" s="26">
        <f t="shared" ref="D23:AM23" si="4">D11+D21</f>
        <v>19084777.467400003</v>
      </c>
      <c r="E23" s="26">
        <f t="shared" si="4"/>
        <v>31244863.053600002</v>
      </c>
      <c r="F23" s="26">
        <f t="shared" si="4"/>
        <v>28305495.611400001</v>
      </c>
      <c r="G23" s="26">
        <f t="shared" si="4"/>
        <v>18840772.721100003</v>
      </c>
      <c r="H23" s="26">
        <f t="shared" si="4"/>
        <v>44542687.079599991</v>
      </c>
      <c r="I23" s="26">
        <f t="shared" si="4"/>
        <v>20015976.133400001</v>
      </c>
      <c r="J23" s="26">
        <f t="shared" si="4"/>
        <v>1874022.858</v>
      </c>
      <c r="K23" s="26">
        <f t="shared" si="4"/>
        <v>42446669.393800005</v>
      </c>
      <c r="L23" s="26">
        <f t="shared" si="4"/>
        <v>26579699.745499998</v>
      </c>
      <c r="M23" s="26">
        <f t="shared" si="4"/>
        <v>17498245.191600002</v>
      </c>
      <c r="N23" s="26">
        <f t="shared" si="4"/>
        <v>14852388.284999998</v>
      </c>
      <c r="O23" s="26">
        <f t="shared" si="4"/>
        <v>6975125.8703999994</v>
      </c>
      <c r="P23" s="26">
        <f t="shared" si="4"/>
        <v>16514468.6733</v>
      </c>
      <c r="Q23" s="26">
        <f t="shared" si="4"/>
        <v>12213783.395002767</v>
      </c>
      <c r="R23" s="26">
        <f t="shared" si="4"/>
        <v>7420904.2824999997</v>
      </c>
      <c r="S23" s="26">
        <f t="shared" si="4"/>
        <v>234572.88620000007</v>
      </c>
      <c r="T23" s="26">
        <f t="shared" si="4"/>
        <v>-162966.60049999971</v>
      </c>
      <c r="U23" s="26">
        <f t="shared" si="4"/>
        <v>-1190796.1883999996</v>
      </c>
      <c r="V23" s="26">
        <f t="shared" si="4"/>
        <v>387090.63509999961</v>
      </c>
      <c r="W23" s="26">
        <f t="shared" si="4"/>
        <v>8800955.564100001</v>
      </c>
      <c r="X23" s="26">
        <f>X11+X21</f>
        <v>2667557.3253000001</v>
      </c>
      <c r="Y23" s="26">
        <f t="shared" si="4"/>
        <v>-15256574.203000002</v>
      </c>
      <c r="Z23" s="26">
        <f t="shared" si="4"/>
        <v>491724.5830000001</v>
      </c>
      <c r="AA23" s="26">
        <f t="shared" si="4"/>
        <v>-2178236.12</v>
      </c>
      <c r="AB23" s="26">
        <f t="shared" si="4"/>
        <v>-2140939.6686000004</v>
      </c>
      <c r="AC23" s="26">
        <f t="shared" si="4"/>
        <v>676993.02720000013</v>
      </c>
      <c r="AD23" s="26">
        <f t="shared" si="4"/>
        <v>-256098.52899999963</v>
      </c>
      <c r="AE23" s="26">
        <f t="shared" si="4"/>
        <v>-1988444.588</v>
      </c>
      <c r="AF23" s="26">
        <f t="shared" si="4"/>
        <v>0</v>
      </c>
      <c r="AG23" s="26">
        <f t="shared" si="4"/>
        <v>0</v>
      </c>
      <c r="AH23" s="26">
        <f t="shared" si="4"/>
        <v>0</v>
      </c>
      <c r="AI23" s="26">
        <f t="shared" si="4"/>
        <v>0</v>
      </c>
      <c r="AJ23" s="26">
        <f t="shared" si="4"/>
        <v>0</v>
      </c>
      <c r="AK23" s="26">
        <f t="shared" si="4"/>
        <v>0</v>
      </c>
      <c r="AL23" s="26">
        <f t="shared" si="4"/>
        <v>0</v>
      </c>
      <c r="AM23" s="26">
        <f t="shared" si="4"/>
        <v>0</v>
      </c>
      <c r="AS23" s="26">
        <f>AS11+AS21</f>
        <v>272260723.41080004</v>
      </c>
      <c r="AT23" s="26">
        <f>AT11+AT21</f>
        <v>29942484.23260276</v>
      </c>
      <c r="AU23" s="26">
        <f>AU11+AU21</f>
        <v>-3708489.7583999988</v>
      </c>
    </row>
    <row r="24" spans="1:47" s="31" customFormat="1" x14ac:dyDescent="0.2">
      <c r="B24" s="28"/>
      <c r="C24" s="29" t="s">
        <v>120</v>
      </c>
      <c r="D24" s="30">
        <f t="shared" ref="D24:AM24" si="5">D23/D11</f>
        <v>0.81951578154455018</v>
      </c>
      <c r="E24" s="30">
        <f t="shared" si="5"/>
        <v>0.79588187766061491</v>
      </c>
      <c r="F24" s="30">
        <f t="shared" si="5"/>
        <v>0.7745517218839697</v>
      </c>
      <c r="G24" s="30">
        <f t="shared" si="5"/>
        <v>0.72516327260104452</v>
      </c>
      <c r="H24" s="30">
        <f t="shared" si="5"/>
        <v>1.7380888649145141</v>
      </c>
      <c r="I24" s="30">
        <f t="shared" si="5"/>
        <v>0.82124659088646912</v>
      </c>
      <c r="J24" s="30">
        <f t="shared" si="5"/>
        <v>0.26409577760355574</v>
      </c>
      <c r="K24" s="30">
        <f t="shared" si="5"/>
        <v>0.90457286853214669</v>
      </c>
      <c r="L24" s="30">
        <f t="shared" si="5"/>
        <v>0.90234664570730649</v>
      </c>
      <c r="M24" s="30">
        <f t="shared" si="5"/>
        <v>0.79573424659129954</v>
      </c>
      <c r="N24" s="30">
        <f t="shared" si="5"/>
        <v>0.76076548733646077</v>
      </c>
      <c r="O24" s="30">
        <f t="shared" si="5"/>
        <v>0.66314108960287366</v>
      </c>
      <c r="P24" s="30">
        <f t="shared" si="5"/>
        <v>0.71004875929918898</v>
      </c>
      <c r="Q24" s="30">
        <f t="shared" si="5"/>
        <v>0.63115230704179925</v>
      </c>
      <c r="R24" s="30">
        <f t="shared" si="5"/>
        <v>0.63229878209771651</v>
      </c>
      <c r="S24" s="30">
        <f t="shared" si="5"/>
        <v>0.12740294886151551</v>
      </c>
      <c r="T24" s="30">
        <f t="shared" si="5"/>
        <v>-6.9805581514668313E-2</v>
      </c>
      <c r="U24" s="30">
        <f t="shared" si="5"/>
        <v>-2.6299911268855363</v>
      </c>
      <c r="V24" s="30">
        <f t="shared" si="5"/>
        <v>0.13006053467733086</v>
      </c>
      <c r="W24" s="30">
        <f t="shared" si="5"/>
        <v>0.83718234084701204</v>
      </c>
      <c r="X24" s="30">
        <f>X23/X11</f>
        <v>0.44038034448155033</v>
      </c>
      <c r="Y24" s="30">
        <f t="shared" si="5"/>
        <v>1.433704755871485</v>
      </c>
      <c r="Z24" s="30">
        <f t="shared" si="5"/>
        <v>0.23742410099535138</v>
      </c>
      <c r="AA24" s="30">
        <f t="shared" si="5"/>
        <v>-1.9952347682771718</v>
      </c>
      <c r="AB24" s="30">
        <f t="shared" si="5"/>
        <v>-2.0529173064268482</v>
      </c>
      <c r="AC24" s="30">
        <f t="shared" si="5"/>
        <v>0.30268290090193228</v>
      </c>
      <c r="AD24" s="30">
        <f t="shared" si="5"/>
        <v>-0.1337796155352042</v>
      </c>
      <c r="AE24" s="30">
        <f t="shared" si="5"/>
        <v>-1.230532563399038</v>
      </c>
      <c r="AF24" s="30" t="e">
        <f t="shared" si="5"/>
        <v>#DIV/0!</v>
      </c>
      <c r="AG24" s="30" t="e">
        <f t="shared" si="5"/>
        <v>#DIV/0!</v>
      </c>
      <c r="AH24" s="30" t="e">
        <f t="shared" si="5"/>
        <v>#DIV/0!</v>
      </c>
      <c r="AI24" s="30" t="e">
        <f t="shared" si="5"/>
        <v>#DIV/0!</v>
      </c>
      <c r="AJ24" s="30" t="e">
        <f t="shared" si="5"/>
        <v>#DIV/0!</v>
      </c>
      <c r="AK24" s="30" t="e">
        <f t="shared" si="5"/>
        <v>#DIV/0!</v>
      </c>
      <c r="AL24" s="30" t="e">
        <f t="shared" si="5"/>
        <v>#DIV/0!</v>
      </c>
      <c r="AM24" s="30" t="e">
        <f t="shared" si="5"/>
        <v>#DIV/0!</v>
      </c>
      <c r="AS24" s="30">
        <f>AS23/AS11</f>
        <v>0.87662041223038867</v>
      </c>
      <c r="AT24" s="30">
        <f>AT23/AT11</f>
        <v>0.42147362334054655</v>
      </c>
      <c r="AU24" s="30">
        <f>AU23/AU11</f>
        <v>-0.54458359910383503</v>
      </c>
    </row>
    <row r="25" spans="1:47" x14ac:dyDescent="0.2">
      <c r="B25" s="15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8"/>
    </row>
    <row r="26" spans="1:47" x14ac:dyDescent="0.2">
      <c r="B26" s="15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8"/>
    </row>
    <row r="27" spans="1:47" x14ac:dyDescent="0.2">
      <c r="B27" s="15"/>
      <c r="C27" s="20" t="s">
        <v>121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8"/>
    </row>
    <row r="28" spans="1:47" x14ac:dyDescent="0.2">
      <c r="B28" s="21">
        <v>49401</v>
      </c>
      <c r="C28" s="16" t="str">
        <f>_xlfn.XLOOKUP(B28,TB_UK!A:A,TB_UK!E:E)</f>
        <v>Other income</v>
      </c>
      <c r="D28" s="17">
        <f>-_xlfn.XLOOKUP($C28,TB_UK!$E:$E,TB_UK!F:F)*D$2</f>
        <v>0</v>
      </c>
      <c r="E28" s="17">
        <f>-_xlfn.XLOOKUP($C28,TB_UK!$E:$E,TB_UK!G:G)*E$2</f>
        <v>0</v>
      </c>
      <c r="F28" s="17">
        <f>-_xlfn.XLOOKUP($C28,TB_UK!$E:$E,TB_UK!H:H)*F$2</f>
        <v>0</v>
      </c>
      <c r="G28" s="17">
        <f>-_xlfn.XLOOKUP($C28,TB_UK!$E:$E,TB_UK!I:I)*G$2</f>
        <v>0</v>
      </c>
      <c r="H28" s="17">
        <f>-_xlfn.XLOOKUP($C28,TB_UK!$E:$E,TB_UK!J:J)*H$2</f>
        <v>0</v>
      </c>
      <c r="I28" s="17">
        <f>-_xlfn.XLOOKUP($C28,TB_UK!$E:$E,TB_UK!K:K)*I$2</f>
        <v>0</v>
      </c>
      <c r="J28" s="17">
        <f>-_xlfn.XLOOKUP($C28,TB_UK!$E:$E,TB_UK!L:L)*J$2</f>
        <v>0</v>
      </c>
      <c r="K28" s="17">
        <f>-_xlfn.XLOOKUP($C28,TB_UK!$E:$E,TB_UK!M:M)*K$2</f>
        <v>0</v>
      </c>
      <c r="L28" s="17">
        <f>-_xlfn.XLOOKUP($C28,TB_UK!$E:$E,TB_UK!N:N)*L$2</f>
        <v>0</v>
      </c>
      <c r="M28" s="17">
        <f>-_xlfn.XLOOKUP($C28,TB_UK!$E:$E,TB_UK!O:O)*M$2</f>
        <v>0</v>
      </c>
      <c r="N28" s="17">
        <f>-_xlfn.XLOOKUP($C28,TB_UK!$E:$E,TB_UK!P:P)*N$2</f>
        <v>0</v>
      </c>
      <c r="O28" s="17">
        <f>-_xlfn.XLOOKUP($C28,TB_UK!$E:$E,TB_UK!Q:Q)*O$2</f>
        <v>0</v>
      </c>
      <c r="P28" s="17">
        <f>-_xlfn.XLOOKUP($C28,TB_UK!$E:$E,TB_UK!R:R)*P$2</f>
        <v>3654.5366999999997</v>
      </c>
      <c r="Q28" s="17">
        <f>-_xlfn.XLOOKUP($C28,TB_UK!$E:$E,TB_UK!S:S)*Q$2</f>
        <v>0</v>
      </c>
      <c r="R28" s="17">
        <f>-_xlfn.XLOOKUP($C28,TB_UK!$E:$E,TB_UK!T:T)*R$2</f>
        <v>0</v>
      </c>
      <c r="S28" s="17">
        <f>-_xlfn.XLOOKUP($C28,TB_UK!$E:$E,TB_UK!U:U)*S$2</f>
        <v>0</v>
      </c>
      <c r="T28" s="17">
        <f>-_xlfn.XLOOKUP($C28,TB_UK!$E:$E,TB_UK!V:V)*T$2</f>
        <v>0</v>
      </c>
      <c r="U28" s="17">
        <f>-_xlfn.XLOOKUP($C28,TB_UK!$E:$E,TB_UK!W:W)*U$2</f>
        <v>0</v>
      </c>
      <c r="V28" s="17">
        <f>-_xlfn.XLOOKUP($C28,TB_UK!$E:$E,TB_UK!X:X)*V$2</f>
        <v>0</v>
      </c>
      <c r="W28" s="17">
        <f>-_xlfn.XLOOKUP($C28,TB_UK!$E:$E,TB_UK!Y:Y)*W$2</f>
        <v>173015.5791</v>
      </c>
      <c r="X28" s="17">
        <f>-_xlfn.XLOOKUP($C28,TB_UK!$E:$E,TB_UK!Z:Z)*X$2</f>
        <v>0</v>
      </c>
      <c r="Y28" s="17">
        <f>-_xlfn.XLOOKUP($C28,TB_UK!$E:$E,TB_UK!AA:AA)*Y$2</f>
        <v>0</v>
      </c>
      <c r="Z28" s="17">
        <f>-_xlfn.XLOOKUP($C28,TB_UK!$E:$E,TB_UK!AB:AB)*Z$2</f>
        <v>0</v>
      </c>
      <c r="AA28" s="17">
        <f>-_xlfn.XLOOKUP($C28,TB_UK!$E:$E,TB_UK!AC:AC)*AA$2</f>
        <v>22170323.327499997</v>
      </c>
      <c r="AB28" s="17">
        <f>-_xlfn.XLOOKUP($C28,TB_UK!$E:$E,TB_UK!AD:AD)*AB$2</f>
        <v>0</v>
      </c>
      <c r="AC28" s="17">
        <f>-_xlfn.XLOOKUP($C28,TB_UK!$E:$E,TB_UK!AE:AE)*AC$2</f>
        <v>0</v>
      </c>
      <c r="AD28" s="17">
        <f>-_xlfn.XLOOKUP($C28,TB_UK!$E:$E,TB_UK!AF:AF)*AD$2</f>
        <v>0</v>
      </c>
      <c r="AE28" s="17">
        <f>-_xlfn.XLOOKUP($C28,TB_UK!$E:$E,TB_UK!AG:AG)*AE$2</f>
        <v>0</v>
      </c>
      <c r="AF28" s="17">
        <f>-_xlfn.XLOOKUP($C28,TB_UK!$E:$E,TB_UK!AH:AH)*AF$2</f>
        <v>0</v>
      </c>
      <c r="AG28" s="17">
        <f>-_xlfn.XLOOKUP($C28,TB_UK!$E:$E,TB_UK!AI:AI)*AG$2</f>
        <v>0</v>
      </c>
      <c r="AH28" s="17">
        <f>-_xlfn.XLOOKUP($C28,TB_UK!$E:$E,TB_UK!AJ:AJ)*AH$2</f>
        <v>0</v>
      </c>
      <c r="AI28" s="17">
        <f>-_xlfn.XLOOKUP($C28,TB_UK!$E:$E,TB_UK!AK:AK)*AI$2</f>
        <v>0</v>
      </c>
      <c r="AJ28" s="17">
        <f>-_xlfn.XLOOKUP($C28,TB_UK!$E:$E,TB_UK!AL:AL)*AJ$2</f>
        <v>0</v>
      </c>
      <c r="AK28" s="17">
        <f>-_xlfn.XLOOKUP($C28,TB_UK!$E:$E,TB_UK!AM:AM)*AK$2</f>
        <v>0</v>
      </c>
      <c r="AL28" s="17">
        <f>-_xlfn.XLOOKUP($C28,TB_UK!$E:$E,TB_UK!AN:AN)*AL$2</f>
        <v>0</v>
      </c>
      <c r="AM28" s="17">
        <f>-_xlfn.XLOOKUP($C28,TB_UK!$E:$E,TB_UK!AO:AO)*AM$2</f>
        <v>0</v>
      </c>
    </row>
    <row r="29" spans="1:47" x14ac:dyDescent="0.2">
      <c r="B29" s="21">
        <v>40060</v>
      </c>
      <c r="C29" s="16" t="str">
        <f>_xlfn.XLOOKUP(B29,TB_UK!A:A,TB_UK!E:E)</f>
        <v>Interest income</v>
      </c>
      <c r="D29" s="17">
        <f>-_xlfn.XLOOKUP($C29,TB_UK!$E:$E,TB_UK!F:F)*D$2</f>
        <v>0</v>
      </c>
      <c r="E29" s="17">
        <f>-_xlfn.XLOOKUP($C29,TB_UK!$E:$E,TB_UK!G:G)*E$2</f>
        <v>0</v>
      </c>
      <c r="F29" s="17">
        <f>-_xlfn.XLOOKUP($C29,TB_UK!$E:$E,TB_UK!H:H)*F$2</f>
        <v>0</v>
      </c>
      <c r="G29" s="17">
        <f>-_xlfn.XLOOKUP($C29,TB_UK!$E:$E,TB_UK!I:I)*G$2</f>
        <v>0</v>
      </c>
      <c r="H29" s="17">
        <f>-_xlfn.XLOOKUP($C29,TB_UK!$E:$E,TB_UK!J:J)*H$2</f>
        <v>0</v>
      </c>
      <c r="I29" s="17">
        <f>-_xlfn.XLOOKUP($C29,TB_UK!$E:$E,TB_UK!K:K)*I$2</f>
        <v>0</v>
      </c>
      <c r="J29" s="17">
        <f>-_xlfn.XLOOKUP($C29,TB_UK!$E:$E,TB_UK!L:L)*J$2</f>
        <v>0</v>
      </c>
      <c r="K29" s="17">
        <f>-_xlfn.XLOOKUP($C29,TB_UK!$E:$E,TB_UK!M:M)*K$2</f>
        <v>0</v>
      </c>
      <c r="L29" s="17">
        <f>-_xlfn.XLOOKUP($C29,TB_UK!$E:$E,TB_UK!N:N)*L$2</f>
        <v>0</v>
      </c>
      <c r="M29" s="17">
        <f>-_xlfn.XLOOKUP($C29,TB_UK!$E:$E,TB_UK!O:O)*M$2</f>
        <v>0</v>
      </c>
      <c r="N29" s="17">
        <f>-_xlfn.XLOOKUP($C29,TB_UK!$E:$E,TB_UK!P:P)*N$2</f>
        <v>0</v>
      </c>
      <c r="O29" s="17">
        <f>-_xlfn.XLOOKUP($C29,TB_UK!$E:$E,TB_UK!Q:Q)*O$2</f>
        <v>0</v>
      </c>
      <c r="P29" s="17">
        <f>-_xlfn.XLOOKUP($C29,TB_UK!$E:$E,TB_UK!R:R)*P$2</f>
        <v>0</v>
      </c>
      <c r="Q29" s="17">
        <f>-_xlfn.XLOOKUP($C29,TB_UK!$E:$E,TB_UK!S:S)*Q$2</f>
        <v>0</v>
      </c>
      <c r="R29" s="17">
        <f>-_xlfn.XLOOKUP($C29,TB_UK!$E:$E,TB_UK!T:T)*R$2</f>
        <v>0</v>
      </c>
      <c r="S29" s="17">
        <f>-_xlfn.XLOOKUP($C29,TB_UK!$E:$E,TB_UK!U:U)*S$2</f>
        <v>0</v>
      </c>
      <c r="T29" s="17">
        <f>-_xlfn.XLOOKUP($C29,TB_UK!$E:$E,TB_UK!V:V)*T$2</f>
        <v>0</v>
      </c>
      <c r="U29" s="17">
        <f>-_xlfn.XLOOKUP($C29,TB_UK!$E:$E,TB_UK!W:W)*U$2</f>
        <v>0</v>
      </c>
      <c r="V29" s="17">
        <f>-_xlfn.XLOOKUP($C29,TB_UK!$E:$E,TB_UK!X:X)*V$2</f>
        <v>0</v>
      </c>
      <c r="W29" s="17">
        <f>-_xlfn.XLOOKUP($C29,TB_UK!$E:$E,TB_UK!Y:Y)*W$2</f>
        <v>0</v>
      </c>
      <c r="X29" s="17">
        <f>-_xlfn.XLOOKUP($C29,TB_UK!$E:$E,TB_UK!Z:Z)*X$2</f>
        <v>0</v>
      </c>
      <c r="Y29" s="17">
        <f>-_xlfn.XLOOKUP($C29,TB_UK!$E:$E,TB_UK!AA:AA)*Y$2</f>
        <v>0</v>
      </c>
      <c r="Z29" s="17">
        <f>-_xlfn.XLOOKUP($C29,TB_UK!$E:$E,TB_UK!AB:AB)*Z$2</f>
        <v>0</v>
      </c>
      <c r="AA29" s="17">
        <f>-_xlfn.XLOOKUP($C29,TB_UK!$E:$E,TB_UK!AC:AC)*AA$2</f>
        <v>0</v>
      </c>
      <c r="AB29" s="17">
        <f>-_xlfn.XLOOKUP($C29,TB_UK!$E:$E,TB_UK!AD:AD)*AB$2</f>
        <v>0</v>
      </c>
      <c r="AC29" s="17">
        <f>-_xlfn.XLOOKUP($C29,TB_UK!$E:$E,TB_UK!AE:AE)*AC$2</f>
        <v>0</v>
      </c>
      <c r="AD29" s="17">
        <f>-_xlfn.XLOOKUP($C29,TB_UK!$E:$E,TB_UK!AF:AF)*AD$2</f>
        <v>0</v>
      </c>
      <c r="AE29" s="17">
        <f>-_xlfn.XLOOKUP($C29,TB_UK!$E:$E,TB_UK!AG:AG)*AE$2</f>
        <v>0</v>
      </c>
      <c r="AF29" s="17">
        <f>-_xlfn.XLOOKUP($C29,TB_UK!$E:$E,TB_UK!AH:AH)*AF$2</f>
        <v>0</v>
      </c>
      <c r="AG29" s="17">
        <f>-_xlfn.XLOOKUP($C29,TB_UK!$E:$E,TB_UK!AI:AI)*AG$2</f>
        <v>0</v>
      </c>
      <c r="AH29" s="17">
        <f>-_xlfn.XLOOKUP($C29,TB_UK!$E:$E,TB_UK!AJ:AJ)*AH$2</f>
        <v>0</v>
      </c>
      <c r="AI29" s="17">
        <f>-_xlfn.XLOOKUP($C29,TB_UK!$E:$E,TB_UK!AK:AK)*AI$2</f>
        <v>0</v>
      </c>
      <c r="AJ29" s="17">
        <f>-_xlfn.XLOOKUP($C29,TB_UK!$E:$E,TB_UK!AL:AL)*AJ$2</f>
        <v>0</v>
      </c>
      <c r="AK29" s="17">
        <f>-_xlfn.XLOOKUP($C29,TB_UK!$E:$E,TB_UK!AM:AM)*AK$2</f>
        <v>0</v>
      </c>
      <c r="AL29" s="17">
        <f>-_xlfn.XLOOKUP($C29,TB_UK!$E:$E,TB_UK!AN:AN)*AL$2</f>
        <v>0</v>
      </c>
      <c r="AM29" s="17">
        <f>-_xlfn.XLOOKUP($C29,TB_UK!$E:$E,TB_UK!AO:AO)*AM$2</f>
        <v>0</v>
      </c>
    </row>
    <row r="30" spans="1:47" x14ac:dyDescent="0.2">
      <c r="B30" s="21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1:47" x14ac:dyDescent="0.2">
      <c r="B31" s="15"/>
      <c r="C31" s="22" t="s">
        <v>8</v>
      </c>
      <c r="D31" s="23">
        <f>SUM(D28:D30)</f>
        <v>0</v>
      </c>
      <c r="E31" s="23">
        <f t="shared" ref="E31:AM31" si="6">SUM(E28:E30)</f>
        <v>0</v>
      </c>
      <c r="F31" s="23">
        <f t="shared" si="6"/>
        <v>0</v>
      </c>
      <c r="G31" s="23">
        <f t="shared" si="6"/>
        <v>0</v>
      </c>
      <c r="H31" s="23">
        <f t="shared" si="6"/>
        <v>0</v>
      </c>
      <c r="I31" s="23">
        <f t="shared" si="6"/>
        <v>0</v>
      </c>
      <c r="J31" s="23">
        <f t="shared" si="6"/>
        <v>0</v>
      </c>
      <c r="K31" s="23">
        <f t="shared" si="6"/>
        <v>0</v>
      </c>
      <c r="L31" s="23">
        <f t="shared" si="6"/>
        <v>0</v>
      </c>
      <c r="M31" s="23">
        <f t="shared" si="6"/>
        <v>0</v>
      </c>
      <c r="N31" s="23">
        <f t="shared" si="6"/>
        <v>0</v>
      </c>
      <c r="O31" s="23">
        <f t="shared" si="6"/>
        <v>0</v>
      </c>
      <c r="P31" s="23">
        <f>SUM(P28:P30)</f>
        <v>3654.5366999999997</v>
      </c>
      <c r="Q31" s="23">
        <f t="shared" si="6"/>
        <v>0</v>
      </c>
      <c r="R31" s="23">
        <f t="shared" si="6"/>
        <v>0</v>
      </c>
      <c r="S31" s="23">
        <f t="shared" si="6"/>
        <v>0</v>
      </c>
      <c r="T31" s="23">
        <f t="shared" si="6"/>
        <v>0</v>
      </c>
      <c r="U31" s="23">
        <f t="shared" si="6"/>
        <v>0</v>
      </c>
      <c r="V31" s="23">
        <f t="shared" si="6"/>
        <v>0</v>
      </c>
      <c r="W31" s="23">
        <f t="shared" si="6"/>
        <v>173015.5791</v>
      </c>
      <c r="X31" s="23">
        <f>SUM(X28:X30)</f>
        <v>0</v>
      </c>
      <c r="Y31" s="23">
        <f t="shared" si="6"/>
        <v>0</v>
      </c>
      <c r="Z31" s="23">
        <f t="shared" si="6"/>
        <v>0</v>
      </c>
      <c r="AA31" s="23">
        <f t="shared" si="6"/>
        <v>22170323.327499997</v>
      </c>
      <c r="AB31" s="23">
        <f t="shared" si="6"/>
        <v>0</v>
      </c>
      <c r="AC31" s="23">
        <f t="shared" si="6"/>
        <v>0</v>
      </c>
      <c r="AD31" s="23">
        <f t="shared" si="6"/>
        <v>0</v>
      </c>
      <c r="AE31" s="23">
        <f t="shared" si="6"/>
        <v>0</v>
      </c>
      <c r="AF31" s="23">
        <f t="shared" si="6"/>
        <v>0</v>
      </c>
      <c r="AG31" s="23">
        <f t="shared" si="6"/>
        <v>0</v>
      </c>
      <c r="AH31" s="23">
        <f t="shared" si="6"/>
        <v>0</v>
      </c>
      <c r="AI31" s="23">
        <f t="shared" si="6"/>
        <v>0</v>
      </c>
      <c r="AJ31" s="23">
        <f t="shared" si="6"/>
        <v>0</v>
      </c>
      <c r="AK31" s="23">
        <f t="shared" si="6"/>
        <v>0</v>
      </c>
      <c r="AL31" s="23">
        <f t="shared" si="6"/>
        <v>0</v>
      </c>
      <c r="AM31" s="23">
        <f t="shared" si="6"/>
        <v>0</v>
      </c>
      <c r="AS31" s="23">
        <f>SUM(D31:O31)</f>
        <v>0</v>
      </c>
      <c r="AT31" s="23">
        <f>SUM(P31:AA31)</f>
        <v>22346993.443299998</v>
      </c>
      <c r="AU31" s="23">
        <f>SUM(AB31:AM31)</f>
        <v>0</v>
      </c>
    </row>
    <row r="32" spans="1:47" x14ac:dyDescent="0.2">
      <c r="B32" s="15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8"/>
    </row>
    <row r="33" spans="2:51" x14ac:dyDescent="0.2">
      <c r="B33" s="15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8"/>
    </row>
    <row r="34" spans="2:51" x14ac:dyDescent="0.2">
      <c r="B34" s="15"/>
      <c r="C34" s="20" t="s">
        <v>123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8"/>
    </row>
    <row r="35" spans="2:51" x14ac:dyDescent="0.2">
      <c r="B35" s="15"/>
      <c r="C35" s="20" t="s">
        <v>124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8"/>
    </row>
    <row r="36" spans="2:51" x14ac:dyDescent="0.2">
      <c r="B36" s="21">
        <v>51270</v>
      </c>
      <c r="C36" s="16" t="str">
        <f>_xlfn.XLOOKUP(B36,TB_UK!A:A,TB_UK!E:E)</f>
        <v>Employers NI</v>
      </c>
      <c r="D36" s="17">
        <f>-_xlfn.XLOOKUP($C36,TB_UK!$E:$E,TB_UK!F:F)*D$2</f>
        <v>-1722161.0120000001</v>
      </c>
      <c r="E36" s="17">
        <f>-_xlfn.XLOOKUP($C36,TB_UK!$E:$E,TB_UK!G:G)*E$2</f>
        <v>-3046939.8959999997</v>
      </c>
      <c r="F36" s="17">
        <f>-_xlfn.XLOOKUP($C36,TB_UK!$E:$E,TB_UK!H:H)*F$2</f>
        <v>-3681119.2062000004</v>
      </c>
      <c r="G36" s="17">
        <f>-_xlfn.XLOOKUP($C36,TB_UK!$E:$E,TB_UK!I:I)*G$2</f>
        <v>0</v>
      </c>
      <c r="H36" s="17">
        <f>-_xlfn.XLOOKUP($C36,TB_UK!$E:$E,TB_UK!J:J)*H$2</f>
        <v>0</v>
      </c>
      <c r="I36" s="17">
        <f>-_xlfn.XLOOKUP($C36,TB_UK!$E:$E,TB_UK!K:K)*I$2</f>
        <v>-2033461.1751999999</v>
      </c>
      <c r="J36" s="17">
        <f>-_xlfn.XLOOKUP($C36,TB_UK!$E:$E,TB_UK!L:L)*J$2</f>
        <v>-5220217.3709999993</v>
      </c>
      <c r="K36" s="17">
        <f>-_xlfn.XLOOKUP($C36,TB_UK!$E:$E,TB_UK!M:M)*K$2</f>
        <v>-5161734.9780000001</v>
      </c>
      <c r="L36" s="17">
        <f>-_xlfn.XLOOKUP($C36,TB_UK!$E:$E,TB_UK!N:N)*L$2</f>
        <v>-4814829.2409999995</v>
      </c>
      <c r="M36" s="17">
        <f>-_xlfn.XLOOKUP($C36,TB_UK!$E:$E,TB_UK!O:O)*M$2</f>
        <v>-4608025.7809999995</v>
      </c>
      <c r="N36" s="17">
        <f>-_xlfn.XLOOKUP($C36,TB_UK!$E:$E,TB_UK!P:P)*N$2</f>
        <v>-4617135.4949999992</v>
      </c>
      <c r="O36" s="17">
        <f>-_xlfn.XLOOKUP($C36,TB_UK!$E:$E,TB_UK!Q:Q)*O$2</f>
        <v>-4195562.9719999991</v>
      </c>
      <c r="P36" s="17">
        <f>-_xlfn.XLOOKUP($C36,TB_UK!$E:$E,TB_UK!R:R)*P$2</f>
        <v>-4130391.8189999992</v>
      </c>
      <c r="Q36" s="17">
        <f>-_xlfn.XLOOKUP($C36,TB_UK!$E:$E,TB_UK!S:S)*Q$2</f>
        <v>-4089225.4100003527</v>
      </c>
      <c r="R36" s="17">
        <f>-_xlfn.XLOOKUP($C36,TB_UK!$E:$E,TB_UK!T:T)*R$2</f>
        <v>-4286741.9349999996</v>
      </c>
      <c r="S36" s="17">
        <f>-_xlfn.XLOOKUP($C36,TB_UK!$E:$E,TB_UK!U:U)*S$2</f>
        <v>0</v>
      </c>
      <c r="T36" s="17">
        <f>-_xlfn.XLOOKUP($C36,TB_UK!$E:$E,TB_UK!V:V)*T$2</f>
        <v>0</v>
      </c>
      <c r="U36" s="17">
        <f>-_xlfn.XLOOKUP($C36,TB_UK!$E:$E,TB_UK!W:W)*U$2</f>
        <v>0</v>
      </c>
      <c r="V36" s="17">
        <f>-_xlfn.XLOOKUP($C36,TB_UK!$E:$E,TB_UK!X:X)*V$2</f>
        <v>0</v>
      </c>
      <c r="W36" s="17">
        <f>-_xlfn.XLOOKUP($C36,TB_UK!$E:$E,TB_UK!Y:Y)*W$2</f>
        <v>0</v>
      </c>
      <c r="X36" s="17">
        <f>-_xlfn.XLOOKUP($C36,TB_UK!$E:$E,TB_UK!Z:Z)*X$2</f>
        <v>-2634672.9903000002</v>
      </c>
      <c r="Y36" s="17">
        <f>-_xlfn.XLOOKUP($C36,TB_UK!$E:$E,TB_UK!AA:AA)*Y$2</f>
        <v>-2745098.2650000001</v>
      </c>
      <c r="Z36" s="17">
        <f>-_xlfn.XLOOKUP($C36,TB_UK!$E:$E,TB_UK!AB:AB)*Z$2</f>
        <v>-2890054.2930000001</v>
      </c>
      <c r="AA36" s="17">
        <f>-_xlfn.XLOOKUP($C36,TB_UK!$E:$E,TB_UK!AC:AC)*AA$2</f>
        <v>-2952986.9250000003</v>
      </c>
      <c r="AB36" s="17">
        <f>-_xlfn.XLOOKUP($C36,TB_UK!$E:$E,TB_UK!AD:AD)*AB$2</f>
        <v>-3240451.3740000003</v>
      </c>
      <c r="AC36" s="17">
        <f>-_xlfn.XLOOKUP($C36,TB_UK!$E:$E,TB_UK!AE:AE)*AC$2</f>
        <v>-2816353.9080000003</v>
      </c>
      <c r="AD36" s="17">
        <f>-_xlfn.XLOOKUP($C36,TB_UK!$E:$E,TB_UK!AF:AF)*AD$2</f>
        <v>-2628899.2049999996</v>
      </c>
      <c r="AE36" s="17">
        <f>-_xlfn.XLOOKUP($C36,TB_UK!$E:$E,TB_UK!AG:AG)*AE$2</f>
        <v>-2666613.4950000001</v>
      </c>
      <c r="AF36" s="17">
        <f>-_xlfn.XLOOKUP($C36,TB_UK!$E:$E,TB_UK!AH:AH)*AF$2</f>
        <v>0</v>
      </c>
      <c r="AG36" s="17">
        <f>-_xlfn.XLOOKUP($C36,TB_UK!$E:$E,TB_UK!AI:AI)*AG$2</f>
        <v>0</v>
      </c>
      <c r="AH36" s="17">
        <f>-_xlfn.XLOOKUP($C36,TB_UK!$E:$E,TB_UK!AJ:AJ)*AH$2</f>
        <v>0</v>
      </c>
      <c r="AI36" s="17">
        <f>-_xlfn.XLOOKUP($C36,TB_UK!$E:$E,TB_UK!AK:AK)*AI$2</f>
        <v>0</v>
      </c>
      <c r="AJ36" s="17">
        <f>-_xlfn.XLOOKUP($C36,TB_UK!$E:$E,TB_UK!AL:AL)*AJ$2</f>
        <v>0</v>
      </c>
      <c r="AK36" s="17">
        <f>-_xlfn.XLOOKUP($C36,TB_UK!$E:$E,TB_UK!AM:AM)*AK$2</f>
        <v>0</v>
      </c>
      <c r="AL36" s="17">
        <f>-_xlfn.XLOOKUP($C36,TB_UK!$E:$E,TB_UK!AN:AN)*AL$2</f>
        <v>0</v>
      </c>
      <c r="AM36" s="17">
        <f>-_xlfn.XLOOKUP($C36,TB_UK!$E:$E,TB_UK!AO:AO)*AM$2</f>
        <v>0</v>
      </c>
    </row>
    <row r="37" spans="2:51" x14ac:dyDescent="0.2">
      <c r="B37" s="21">
        <v>51280</v>
      </c>
      <c r="C37" s="16" t="str">
        <f>_xlfn.XLOOKUP(B37,TB_UK!A:A,TB_UK!E:E)</f>
        <v>Employee Wages and Salaries</v>
      </c>
      <c r="D37" s="17">
        <f>-_xlfn.XLOOKUP($C37,TB_UK!$E:$E,TB_UK!F:F)*D$2</f>
        <v>-14201750.000000002</v>
      </c>
      <c r="E37" s="17">
        <f>-_xlfn.XLOOKUP($C37,TB_UK!$E:$E,TB_UK!G:G)*E$2</f>
        <v>-25126500</v>
      </c>
      <c r="F37" s="17">
        <f>-_xlfn.XLOOKUP($C37,TB_UK!$E:$E,TB_UK!H:H)*F$2</f>
        <v>-32007639.045300003</v>
      </c>
      <c r="G37" s="17">
        <f>-_xlfn.XLOOKUP($C37,TB_UK!$E:$E,TB_UK!I:I)*G$2</f>
        <v>-22894939.456500001</v>
      </c>
      <c r="H37" s="17">
        <f>-_xlfn.XLOOKUP($C37,TB_UK!$E:$E,TB_UK!J:J)*H$2</f>
        <v>-23110517.049199998</v>
      </c>
      <c r="I37" s="17">
        <f>-_xlfn.XLOOKUP($C37,TB_UK!$E:$E,TB_UK!K:K)*I$2</f>
        <v>-36413716.532699995</v>
      </c>
      <c r="J37" s="17">
        <f>-_xlfn.XLOOKUP($C37,TB_UK!$E:$E,TB_UK!L:L)*J$2</f>
        <v>-39626075.714999996</v>
      </c>
      <c r="K37" s="17">
        <f>-_xlfn.XLOOKUP($C37,TB_UK!$E:$E,TB_UK!M:M)*K$2</f>
        <v>-38644875.174599998</v>
      </c>
      <c r="L37" s="17">
        <f>-_xlfn.XLOOKUP($C37,TB_UK!$E:$E,TB_UK!N:N)*L$2</f>
        <v>-39301715.596699998</v>
      </c>
      <c r="M37" s="17">
        <f>-_xlfn.XLOOKUP($C37,TB_UK!$E:$E,TB_UK!O:O)*M$2</f>
        <v>-37616620.630400002</v>
      </c>
      <c r="N37" s="17">
        <f>-_xlfn.XLOOKUP($C37,TB_UK!$E:$E,TB_UK!P:P)*N$2</f>
        <v>-37722191.629499994</v>
      </c>
      <c r="O37" s="17">
        <f>-_xlfn.XLOOKUP($C37,TB_UK!$E:$E,TB_UK!Q:Q)*O$2</f>
        <v>-41422997.101999998</v>
      </c>
      <c r="P37" s="17">
        <f>-_xlfn.XLOOKUP($C37,TB_UK!$E:$E,TB_UK!R:R)*P$2</f>
        <v>-34668523.2333</v>
      </c>
      <c r="Q37" s="17">
        <f>-_xlfn.XLOOKUP($C37,TB_UK!$E:$E,TB_UK!S:S)*Q$2</f>
        <v>-34975199.677001126</v>
      </c>
      <c r="R37" s="17">
        <f>-_xlfn.XLOOKUP($C37,TB_UK!$E:$E,TB_UK!T:T)*R$2</f>
        <v>-37723944.796500005</v>
      </c>
      <c r="S37" s="17">
        <f>-_xlfn.XLOOKUP($C37,TB_UK!$E:$E,TB_UK!U:U)*S$2</f>
        <v>-38617393.628300011</v>
      </c>
      <c r="T37" s="17">
        <f>-_xlfn.XLOOKUP($C37,TB_UK!$E:$E,TB_UK!V:V)*T$2</f>
        <v>-39756813.376499996</v>
      </c>
      <c r="U37" s="17">
        <f>-_xlfn.XLOOKUP($C37,TB_UK!$E:$E,TB_UK!W:W)*U$2</f>
        <v>-30146875.987199999</v>
      </c>
      <c r="V37" s="17">
        <f>-_xlfn.XLOOKUP($C37,TB_UK!$E:$E,TB_UK!X:X)*V$2</f>
        <v>-25967844.717299998</v>
      </c>
      <c r="W37" s="17">
        <f>-_xlfn.XLOOKUP($C37,TB_UK!$E:$E,TB_UK!Y:Y)*W$2</f>
        <v>-26614563.181499999</v>
      </c>
      <c r="X37" s="17">
        <f>-_xlfn.XLOOKUP($C37,TB_UK!$E:$E,TB_UK!Z:Z)*X$2</f>
        <v>-22794105.648599997</v>
      </c>
      <c r="Y37" s="17">
        <f>-_xlfn.XLOOKUP($C37,TB_UK!$E:$E,TB_UK!AA:AA)*Y$2</f>
        <v>-28356428.710999999</v>
      </c>
      <c r="Z37" s="17">
        <f>-_xlfn.XLOOKUP($C37,TB_UK!$E:$E,TB_UK!AB:AB)*Z$2</f>
        <v>-26687935.432100002</v>
      </c>
      <c r="AA37" s="17">
        <f>-_xlfn.XLOOKUP($C37,TB_UK!$E:$E,TB_UK!AC:AC)*AA$2</f>
        <v>221951965.56</v>
      </c>
      <c r="AB37" s="17">
        <f>-_xlfn.XLOOKUP($C37,TB_UK!$E:$E,TB_UK!AD:AD)*AB$2</f>
        <v>-28626058.606200002</v>
      </c>
      <c r="AC37" s="17">
        <f>-_xlfn.XLOOKUP($C37,TB_UK!$E:$E,TB_UK!AE:AE)*AC$2</f>
        <v>-26216982.945600003</v>
      </c>
      <c r="AD37" s="17">
        <f>-_xlfn.XLOOKUP($C37,TB_UK!$E:$E,TB_UK!AF:AF)*AD$2</f>
        <v>-24302377.499000002</v>
      </c>
      <c r="AE37" s="17">
        <f>-_xlfn.XLOOKUP($C37,TB_UK!$E:$E,TB_UK!AG:AG)*AE$2</f>
        <v>-24626062.929000001</v>
      </c>
      <c r="AF37" s="17">
        <f>-_xlfn.XLOOKUP($C37,TB_UK!$E:$E,TB_UK!AH:AH)*AF$2</f>
        <v>0</v>
      </c>
      <c r="AG37" s="17">
        <f>-_xlfn.XLOOKUP($C37,TB_UK!$E:$E,TB_UK!AI:AI)*AG$2</f>
        <v>0</v>
      </c>
      <c r="AH37" s="17">
        <f>-_xlfn.XLOOKUP($C37,TB_UK!$E:$E,TB_UK!AJ:AJ)*AH$2</f>
        <v>0</v>
      </c>
      <c r="AI37" s="17">
        <f>-_xlfn.XLOOKUP($C37,TB_UK!$E:$E,TB_UK!AK:AK)*AI$2</f>
        <v>0</v>
      </c>
      <c r="AJ37" s="17">
        <f>-_xlfn.XLOOKUP($C37,TB_UK!$E:$E,TB_UK!AL:AL)*AJ$2</f>
        <v>0</v>
      </c>
      <c r="AK37" s="17">
        <f>-_xlfn.XLOOKUP($C37,TB_UK!$E:$E,TB_UK!AM:AM)*AK$2</f>
        <v>0</v>
      </c>
      <c r="AL37" s="17">
        <f>-_xlfn.XLOOKUP($C37,TB_UK!$E:$E,TB_UK!AN:AN)*AL$2</f>
        <v>0</v>
      </c>
      <c r="AM37" s="17">
        <f>-_xlfn.XLOOKUP($C37,TB_UK!$E:$E,TB_UK!AO:AO)*AM$2</f>
        <v>0</v>
      </c>
    </row>
    <row r="38" spans="2:51" x14ac:dyDescent="0.2">
      <c r="B38" s="21">
        <v>51530</v>
      </c>
      <c r="C38" s="16" t="str">
        <f>_xlfn.XLOOKUP(B38,TB_UK!A:A,TB_UK!E:E)</f>
        <v>Employer's Pension</v>
      </c>
      <c r="D38" s="17">
        <f>-_xlfn.XLOOKUP($C38,TB_UK!$E:$E,TB_UK!F:F)*D$2</f>
        <v>-192541.64580000003</v>
      </c>
      <c r="E38" s="17">
        <f>-_xlfn.XLOOKUP($C38,TB_UK!$E:$E,TB_UK!G:G)*E$2</f>
        <v>-340655.03639999998</v>
      </c>
      <c r="F38" s="17">
        <f>-_xlfn.XLOOKUP($C38,TB_UK!$E:$E,TB_UK!H:H)*F$2</f>
        <v>-490986.85140000004</v>
      </c>
      <c r="G38" s="17">
        <f>-_xlfn.XLOOKUP($C38,TB_UK!$E:$E,TB_UK!I:I)*G$2</f>
        <v>-383670.80189999996</v>
      </c>
      <c r="H38" s="17">
        <f>-_xlfn.XLOOKUP($C38,TB_UK!$E:$E,TB_UK!J:J)*H$2</f>
        <v>-398476.40220000001</v>
      </c>
      <c r="I38" s="17">
        <f>-_xlfn.XLOOKUP($C38,TB_UK!$E:$E,TB_UK!K:K)*I$2</f>
        <v>-741645.84779999999</v>
      </c>
      <c r="J38" s="17">
        <f>-_xlfn.XLOOKUP($C38,TB_UK!$E:$E,TB_UK!L:L)*J$2</f>
        <v>-767854.95299999986</v>
      </c>
      <c r="K38" s="17">
        <f>-_xlfn.XLOOKUP($C38,TB_UK!$E:$E,TB_UK!M:M)*K$2</f>
        <v>-740223.03720000002</v>
      </c>
      <c r="L38" s="17">
        <f>-_xlfn.XLOOKUP($C38,TB_UK!$E:$E,TB_UK!N:N)*L$2</f>
        <v>-623494.40220000001</v>
      </c>
      <c r="M38" s="17">
        <f>-_xlfn.XLOOKUP($C38,TB_UK!$E:$E,TB_UK!O:O)*M$2</f>
        <v>-596714.4702000001</v>
      </c>
      <c r="N38" s="17">
        <f>-_xlfn.XLOOKUP($C38,TB_UK!$E:$E,TB_UK!P:P)*N$2</f>
        <v>-597894.12900000007</v>
      </c>
      <c r="O38" s="17">
        <f>-_xlfn.XLOOKUP($C38,TB_UK!$E:$E,TB_UK!Q:Q)*O$2</f>
        <v>-543302.76240000001</v>
      </c>
      <c r="P38" s="17">
        <f>-_xlfn.XLOOKUP($C38,TB_UK!$E:$E,TB_UK!R:R)*P$2</f>
        <v>-534863.44980000006</v>
      </c>
      <c r="Q38" s="17">
        <f>-_xlfn.XLOOKUP($C38,TB_UK!$E:$E,TB_UK!S:S)*Q$2</f>
        <v>-529532.62200007052</v>
      </c>
      <c r="R38" s="17">
        <f>-_xlfn.XLOOKUP($C38,TB_UK!$E:$E,TB_UK!T:T)*R$2</f>
        <v>-555264.27899999998</v>
      </c>
      <c r="S38" s="17">
        <f>-_xlfn.XLOOKUP($C38,TB_UK!$E:$E,TB_UK!U:U)*S$2</f>
        <v>-600370.85339999991</v>
      </c>
      <c r="T38" s="17">
        <f>-_xlfn.XLOOKUP($C38,TB_UK!$E:$E,TB_UK!V:V)*T$2</f>
        <v>-597922.08299999998</v>
      </c>
      <c r="U38" s="17">
        <f>-_xlfn.XLOOKUP($C38,TB_UK!$E:$E,TB_UK!W:W)*U$2</f>
        <v>-358342.62029999995</v>
      </c>
      <c r="V38" s="17">
        <f>-_xlfn.XLOOKUP($C38,TB_UK!$E:$E,TB_UK!X:X)*V$2</f>
        <v>-345391.72289999999</v>
      </c>
      <c r="W38" s="17">
        <f>-_xlfn.XLOOKUP($C38,TB_UK!$E:$E,TB_UK!Y:Y)*W$2</f>
        <v>-311129.05949999997</v>
      </c>
      <c r="X38" s="17">
        <f>-_xlfn.XLOOKUP($C38,TB_UK!$E:$E,TB_UK!Z:Z)*X$2</f>
        <v>-219368.4093</v>
      </c>
      <c r="Y38" s="17">
        <f>-_xlfn.XLOOKUP($C38,TB_UK!$E:$E,TB_UK!AA:AA)*Y$2</f>
        <v>-210200.679</v>
      </c>
      <c r="Z38" s="17">
        <f>-_xlfn.XLOOKUP($C38,TB_UK!$E:$E,TB_UK!AB:AB)*Z$2</f>
        <v>-232502.08289999998</v>
      </c>
      <c r="AA38" s="17">
        <f>-_xlfn.XLOOKUP($C38,TB_UK!$E:$E,TB_UK!AC:AC)*AA$2</f>
        <v>-311883.45250000001</v>
      </c>
      <c r="AB38" s="17">
        <f>-_xlfn.XLOOKUP($C38,TB_UK!$E:$E,TB_UK!AD:AD)*AB$2</f>
        <v>-303991.28220000002</v>
      </c>
      <c r="AC38" s="17">
        <f>-_xlfn.XLOOKUP($C38,TB_UK!$E:$E,TB_UK!AE:AE)*AC$2</f>
        <v>-233132.43240000002</v>
      </c>
      <c r="AD38" s="17">
        <f>-_xlfn.XLOOKUP($C38,TB_UK!$E:$E,TB_UK!AF:AF)*AD$2</f>
        <v>-201218.96699999998</v>
      </c>
      <c r="AE38" s="17">
        <f>-_xlfn.XLOOKUP($C38,TB_UK!$E:$E,TB_UK!AG:AG)*AE$2</f>
        <v>-204190.85699999999</v>
      </c>
      <c r="AF38" s="17">
        <f>-_xlfn.XLOOKUP($C38,TB_UK!$E:$E,TB_UK!AH:AH)*AF$2</f>
        <v>0</v>
      </c>
      <c r="AG38" s="17">
        <f>-_xlfn.XLOOKUP($C38,TB_UK!$E:$E,TB_UK!AI:AI)*AG$2</f>
        <v>0</v>
      </c>
      <c r="AH38" s="17">
        <f>-_xlfn.XLOOKUP($C38,TB_UK!$E:$E,TB_UK!AJ:AJ)*AH$2</f>
        <v>0</v>
      </c>
      <c r="AI38" s="17">
        <f>-_xlfn.XLOOKUP($C38,TB_UK!$E:$E,TB_UK!AK:AK)*AI$2</f>
        <v>0</v>
      </c>
      <c r="AJ38" s="17">
        <f>-_xlfn.XLOOKUP($C38,TB_UK!$E:$E,TB_UK!AL:AL)*AJ$2</f>
        <v>0</v>
      </c>
      <c r="AK38" s="17">
        <f>-_xlfn.XLOOKUP($C38,TB_UK!$E:$E,TB_UK!AM:AM)*AK$2</f>
        <v>0</v>
      </c>
      <c r="AL38" s="17">
        <f>-_xlfn.XLOOKUP($C38,TB_UK!$E:$E,TB_UK!AN:AN)*AL$2</f>
        <v>0</v>
      </c>
      <c r="AM38" s="17">
        <f>-_xlfn.XLOOKUP($C38,TB_UK!$E:$E,TB_UK!AO:AO)*AM$2</f>
        <v>0</v>
      </c>
    </row>
    <row r="39" spans="2:51" x14ac:dyDescent="0.2">
      <c r="B39" s="21">
        <v>51540</v>
      </c>
      <c r="C39" s="16" t="str">
        <f>_xlfn.XLOOKUP(B39,TB_UK!A:A,TB_UK!E:E)</f>
        <v>Intercompany Recharges</v>
      </c>
      <c r="D39" s="17">
        <f>-_xlfn.XLOOKUP($C39,TB_UK!$E:$E,TB_UK!F:F)*D$2</f>
        <v>-258096.92380000002</v>
      </c>
      <c r="E39" s="17">
        <f>-_xlfn.XLOOKUP($C39,TB_UK!$E:$E,TB_UK!G:G)*E$2</f>
        <v>1544556.1068</v>
      </c>
      <c r="F39" s="17">
        <f>-_xlfn.XLOOKUP($C39,TB_UK!$E:$E,TB_UK!H:H)*F$2</f>
        <v>-280863237.45960003</v>
      </c>
      <c r="G39" s="17">
        <f>-_xlfn.XLOOKUP($C39,TB_UK!$E:$E,TB_UK!I:I)*G$2</f>
        <v>0</v>
      </c>
      <c r="H39" s="17">
        <f>-_xlfn.XLOOKUP($C39,TB_UK!$E:$E,TB_UK!J:J)*H$2</f>
        <v>0</v>
      </c>
      <c r="I39" s="17">
        <f>-_xlfn.XLOOKUP($C39,TB_UK!$E:$E,TB_UK!K:K)*I$2</f>
        <v>0</v>
      </c>
      <c r="J39" s="17">
        <f>-_xlfn.XLOOKUP($C39,TB_UK!$E:$E,TB_UK!L:L)*J$2</f>
        <v>0</v>
      </c>
      <c r="K39" s="17">
        <f>-_xlfn.XLOOKUP($C39,TB_UK!$E:$E,TB_UK!M:M)*K$2</f>
        <v>0</v>
      </c>
      <c r="L39" s="17">
        <f>-_xlfn.XLOOKUP($C39,TB_UK!$E:$E,TB_UK!N:N)*L$2</f>
        <v>0</v>
      </c>
      <c r="M39" s="17">
        <f>-_xlfn.XLOOKUP($C39,TB_UK!$E:$E,TB_UK!O:O)*M$2</f>
        <v>-61712.153300000005</v>
      </c>
      <c r="N39" s="17">
        <f>-_xlfn.XLOOKUP($C39,TB_UK!$E:$E,TB_UK!P:P)*N$2</f>
        <v>0</v>
      </c>
      <c r="O39" s="17">
        <f>-_xlfn.XLOOKUP($C39,TB_UK!$E:$E,TB_UK!Q:Q)*O$2</f>
        <v>173609177.24599999</v>
      </c>
      <c r="P39" s="17">
        <f>-_xlfn.XLOOKUP($C39,TB_UK!$E:$E,TB_UK!R:R)*P$2</f>
        <v>0</v>
      </c>
      <c r="Q39" s="17">
        <f>-_xlfn.XLOOKUP($C39,TB_UK!$E:$E,TB_UK!S:S)*Q$2</f>
        <v>0</v>
      </c>
      <c r="R39" s="17">
        <f>-_xlfn.XLOOKUP($C39,TB_UK!$E:$E,TB_UK!T:T)*R$2</f>
        <v>0</v>
      </c>
      <c r="S39" s="17">
        <f>-_xlfn.XLOOKUP($C39,TB_UK!$E:$E,TB_UK!U:U)*S$2</f>
        <v>0</v>
      </c>
      <c r="T39" s="17">
        <f>-_xlfn.XLOOKUP($C39,TB_UK!$E:$E,TB_UK!V:V)*T$2</f>
        <v>0</v>
      </c>
      <c r="U39" s="17">
        <f>-_xlfn.XLOOKUP($C39,TB_UK!$E:$E,TB_UK!W:W)*U$2</f>
        <v>0</v>
      </c>
      <c r="V39" s="17">
        <f>-_xlfn.XLOOKUP($C39,TB_UK!$E:$E,TB_UK!X:X)*V$2</f>
        <v>0</v>
      </c>
      <c r="W39" s="17">
        <f>-_xlfn.XLOOKUP($C39,TB_UK!$E:$E,TB_UK!Y:Y)*W$2</f>
        <v>0</v>
      </c>
      <c r="X39" s="17">
        <f>-_xlfn.XLOOKUP($C39,TB_UK!$E:$E,TB_UK!Z:Z)*X$2</f>
        <v>0</v>
      </c>
      <c r="Y39" s="17">
        <f>-_xlfn.XLOOKUP($C39,TB_UK!$E:$E,TB_UK!AA:AA)*Y$2</f>
        <v>0</v>
      </c>
      <c r="Z39" s="17">
        <f>-_xlfn.XLOOKUP($C39,TB_UK!$E:$E,TB_UK!AB:AB)*Z$2</f>
        <v>0</v>
      </c>
      <c r="AA39" s="17">
        <f>-_xlfn.XLOOKUP($C39,TB_UK!$E:$E,TB_UK!AC:AC)*AA$2</f>
        <v>0</v>
      </c>
      <c r="AB39" s="17">
        <f>-_xlfn.XLOOKUP($C39,TB_UK!$E:$E,TB_UK!AD:AD)*AB$2</f>
        <v>0</v>
      </c>
      <c r="AC39" s="17">
        <f>-_xlfn.XLOOKUP($C39,TB_UK!$E:$E,TB_UK!AE:AE)*AC$2</f>
        <v>0</v>
      </c>
      <c r="AD39" s="17">
        <f>-_xlfn.XLOOKUP($C39,TB_UK!$E:$E,TB_UK!AF:AF)*AD$2</f>
        <v>0</v>
      </c>
      <c r="AE39" s="17">
        <f>-_xlfn.XLOOKUP($C39,TB_UK!$E:$E,TB_UK!AG:AG)*AE$2</f>
        <v>0</v>
      </c>
      <c r="AF39" s="17">
        <f>-_xlfn.XLOOKUP($C39,TB_UK!$E:$E,TB_UK!AH:AH)*AF$2</f>
        <v>0</v>
      </c>
      <c r="AG39" s="17">
        <f>-_xlfn.XLOOKUP($C39,TB_UK!$E:$E,TB_UK!AI:AI)*AG$2</f>
        <v>0</v>
      </c>
      <c r="AH39" s="17">
        <f>-_xlfn.XLOOKUP($C39,TB_UK!$E:$E,TB_UK!AJ:AJ)*AH$2</f>
        <v>0</v>
      </c>
      <c r="AI39" s="17">
        <f>-_xlfn.XLOOKUP($C39,TB_UK!$E:$E,TB_UK!AK:AK)*AI$2</f>
        <v>0</v>
      </c>
      <c r="AJ39" s="17">
        <f>-_xlfn.XLOOKUP($C39,TB_UK!$E:$E,TB_UK!AL:AL)*AJ$2</f>
        <v>0</v>
      </c>
      <c r="AK39" s="17">
        <f>-_xlfn.XLOOKUP($C39,TB_UK!$E:$E,TB_UK!AM:AM)*AK$2</f>
        <v>0</v>
      </c>
      <c r="AL39" s="17">
        <f>-_xlfn.XLOOKUP($C39,TB_UK!$E:$E,TB_UK!AN:AN)*AL$2</f>
        <v>0</v>
      </c>
      <c r="AM39" s="17">
        <f>-_xlfn.XLOOKUP($C39,TB_UK!$E:$E,TB_UK!AO:AO)*AM$2</f>
        <v>0</v>
      </c>
    </row>
    <row r="40" spans="2:51" x14ac:dyDescent="0.2">
      <c r="B40" s="21">
        <v>51620</v>
      </c>
      <c r="C40" s="16" t="str">
        <f>_xlfn.XLOOKUP(B40,TB_UK!A:A,TB_UK!E:E)</f>
        <v>Staff Welfare</v>
      </c>
      <c r="D40" s="17">
        <f>-_xlfn.XLOOKUP($C40,TB_UK!$E:$E,TB_UK!F:F)*D$2</f>
        <v>0</v>
      </c>
      <c r="E40" s="17">
        <f>-_xlfn.XLOOKUP($C40,TB_UK!$E:$E,TB_UK!G:G)*E$2</f>
        <v>0</v>
      </c>
      <c r="F40" s="17">
        <f>-_xlfn.XLOOKUP($C40,TB_UK!$E:$E,TB_UK!H:H)*F$2</f>
        <v>-417920.19540000003</v>
      </c>
      <c r="G40" s="17">
        <f>-_xlfn.XLOOKUP($C40,TB_UK!$E:$E,TB_UK!I:I)*G$2</f>
        <v>0</v>
      </c>
      <c r="H40" s="17">
        <f>-_xlfn.XLOOKUP($C40,TB_UK!$E:$E,TB_UK!J:J)*H$2</f>
        <v>0</v>
      </c>
      <c r="I40" s="17">
        <f>-_xlfn.XLOOKUP($C40,TB_UK!$E:$E,TB_UK!K:K)*I$2</f>
        <v>-226429.63589999999</v>
      </c>
      <c r="J40" s="17">
        <f>-_xlfn.XLOOKUP($C40,TB_UK!$E:$E,TB_UK!L:L)*J$2</f>
        <v>-4182.8999999999996</v>
      </c>
      <c r="K40" s="17">
        <f>-_xlfn.XLOOKUP($C40,TB_UK!$E:$E,TB_UK!M:M)*K$2</f>
        <v>0</v>
      </c>
      <c r="L40" s="17">
        <f>-_xlfn.XLOOKUP($C40,TB_UK!$E:$E,TB_UK!N:N)*L$2</f>
        <v>0</v>
      </c>
      <c r="M40" s="17">
        <f>-_xlfn.XLOOKUP($C40,TB_UK!$E:$E,TB_UK!O:O)*M$2</f>
        <v>0</v>
      </c>
      <c r="N40" s="17">
        <f>-_xlfn.XLOOKUP($C40,TB_UK!$E:$E,TB_UK!P:P)*N$2</f>
        <v>0</v>
      </c>
      <c r="O40" s="17">
        <f>-_xlfn.XLOOKUP($C40,TB_UK!$E:$E,TB_UK!Q:Q)*O$2</f>
        <v>0</v>
      </c>
      <c r="P40" s="17">
        <f>-_xlfn.XLOOKUP($C40,TB_UK!$E:$E,TB_UK!R:R)*P$2</f>
        <v>0</v>
      </c>
      <c r="Q40" s="17">
        <f>-_xlfn.XLOOKUP($C40,TB_UK!$E:$E,TB_UK!S:S)*Q$2</f>
        <v>0</v>
      </c>
      <c r="R40" s="17">
        <f>-_xlfn.XLOOKUP($C40,TB_UK!$E:$E,TB_UK!T:T)*R$2</f>
        <v>0</v>
      </c>
      <c r="S40" s="17">
        <f>-_xlfn.XLOOKUP($C40,TB_UK!$E:$E,TB_UK!U:U)*S$2</f>
        <v>0</v>
      </c>
      <c r="T40" s="17">
        <f>-_xlfn.XLOOKUP($C40,TB_UK!$E:$E,TB_UK!V:V)*T$2</f>
        <v>0</v>
      </c>
      <c r="U40" s="17">
        <f>-_xlfn.XLOOKUP($C40,TB_UK!$E:$E,TB_UK!W:W)*U$2</f>
        <v>0</v>
      </c>
      <c r="V40" s="17">
        <f>-_xlfn.XLOOKUP($C40,TB_UK!$E:$E,TB_UK!X:X)*V$2</f>
        <v>0</v>
      </c>
      <c r="W40" s="17">
        <f>-_xlfn.XLOOKUP($C40,TB_UK!$E:$E,TB_UK!Y:Y)*W$2</f>
        <v>0</v>
      </c>
      <c r="X40" s="17">
        <f>-_xlfn.XLOOKUP($C40,TB_UK!$E:$E,TB_UK!Z:Z)*X$2</f>
        <v>0</v>
      </c>
      <c r="Y40" s="17">
        <f>-_xlfn.XLOOKUP($C40,TB_UK!$E:$E,TB_UK!AA:AA)*Y$2</f>
        <v>0</v>
      </c>
      <c r="Z40" s="17">
        <f>-_xlfn.XLOOKUP($C40,TB_UK!$E:$E,TB_UK!AB:AB)*Z$2</f>
        <v>-381187.0405</v>
      </c>
      <c r="AA40" s="17">
        <f>-_xlfn.XLOOKUP($C40,TB_UK!$E:$E,TB_UK!AC:AC)*AA$2</f>
        <v>0</v>
      </c>
      <c r="AB40" s="17">
        <f>-_xlfn.XLOOKUP($C40,TB_UK!$E:$E,TB_UK!AD:AD)*AB$2</f>
        <v>0</v>
      </c>
      <c r="AC40" s="17">
        <f>-_xlfn.XLOOKUP($C40,TB_UK!$E:$E,TB_UK!AE:AE)*AC$2</f>
        <v>-246904.2</v>
      </c>
      <c r="AD40" s="17">
        <f>-_xlfn.XLOOKUP($C40,TB_UK!$E:$E,TB_UK!AF:AF)*AD$2</f>
        <v>0</v>
      </c>
      <c r="AE40" s="17">
        <f>-_xlfn.XLOOKUP($C40,TB_UK!$E:$E,TB_UK!AG:AG)*AE$2</f>
        <v>0</v>
      </c>
      <c r="AF40" s="17">
        <f>-_xlfn.XLOOKUP($C40,TB_UK!$E:$E,TB_UK!AH:AH)*AF$2</f>
        <v>0</v>
      </c>
      <c r="AG40" s="17">
        <f>-_xlfn.XLOOKUP($C40,TB_UK!$E:$E,TB_UK!AI:AI)*AG$2</f>
        <v>0</v>
      </c>
      <c r="AH40" s="17">
        <f>-_xlfn.XLOOKUP($C40,TB_UK!$E:$E,TB_UK!AJ:AJ)*AH$2</f>
        <v>0</v>
      </c>
      <c r="AI40" s="17">
        <f>-_xlfn.XLOOKUP($C40,TB_UK!$E:$E,TB_UK!AK:AK)*AI$2</f>
        <v>0</v>
      </c>
      <c r="AJ40" s="17">
        <f>-_xlfn.XLOOKUP($C40,TB_UK!$E:$E,TB_UK!AL:AL)*AJ$2</f>
        <v>0</v>
      </c>
      <c r="AK40" s="17">
        <f>-_xlfn.XLOOKUP($C40,TB_UK!$E:$E,TB_UK!AM:AM)*AK$2</f>
        <v>0</v>
      </c>
      <c r="AL40" s="17">
        <f>-_xlfn.XLOOKUP($C40,TB_UK!$E:$E,TB_UK!AN:AN)*AL$2</f>
        <v>0</v>
      </c>
      <c r="AM40" s="17">
        <f>-_xlfn.XLOOKUP($C40,TB_UK!$E:$E,TB_UK!AO:AO)*AM$2</f>
        <v>0</v>
      </c>
    </row>
    <row r="41" spans="2:51" x14ac:dyDescent="0.2">
      <c r="B41" s="21">
        <v>51630</v>
      </c>
      <c r="C41" s="16" t="str">
        <f>_xlfn.XLOOKUP(B41,TB_UK!A:A,TB_UK!E:E)</f>
        <v>Sub-Contractors</v>
      </c>
      <c r="D41" s="17">
        <f>-_xlfn.XLOOKUP($C41,TB_UK!$E:$E,TB_UK!F:F)*D$2</f>
        <v>0</v>
      </c>
      <c r="E41" s="17">
        <f>-_xlfn.XLOOKUP($C41,TB_UK!$E:$E,TB_UK!G:G)*E$2</f>
        <v>0</v>
      </c>
      <c r="F41" s="17">
        <f>-_xlfn.XLOOKUP($C41,TB_UK!$E:$E,TB_UK!H:H)*F$2</f>
        <v>0</v>
      </c>
      <c r="G41" s="17">
        <f>-_xlfn.XLOOKUP($C41,TB_UK!$E:$E,TB_UK!I:I)*G$2</f>
        <v>0</v>
      </c>
      <c r="H41" s="17">
        <f>-_xlfn.XLOOKUP($C41,TB_UK!$E:$E,TB_UK!J:J)*H$2</f>
        <v>0</v>
      </c>
      <c r="I41" s="17">
        <f>-_xlfn.XLOOKUP($C41,TB_UK!$E:$E,TB_UK!K:K)*I$2</f>
        <v>0</v>
      </c>
      <c r="J41" s="17">
        <f>-_xlfn.XLOOKUP($C41,TB_UK!$E:$E,TB_UK!L:L)*J$2</f>
        <v>0</v>
      </c>
      <c r="K41" s="17">
        <f>-_xlfn.XLOOKUP($C41,TB_UK!$E:$E,TB_UK!M:M)*K$2</f>
        <v>0</v>
      </c>
      <c r="L41" s="17">
        <f>-_xlfn.XLOOKUP($C41,TB_UK!$E:$E,TB_UK!N:N)*L$2</f>
        <v>0</v>
      </c>
      <c r="M41" s="17">
        <f>-_xlfn.XLOOKUP($C41,TB_UK!$E:$E,TB_UK!O:O)*M$2</f>
        <v>0</v>
      </c>
      <c r="N41" s="17">
        <f>-_xlfn.XLOOKUP($C41,TB_UK!$E:$E,TB_UK!P:P)*N$2</f>
        <v>0</v>
      </c>
      <c r="O41" s="17">
        <f>-_xlfn.XLOOKUP($C41,TB_UK!$E:$E,TB_UK!Q:Q)*O$2</f>
        <v>0</v>
      </c>
      <c r="P41" s="17">
        <f>-_xlfn.XLOOKUP($C41,TB_UK!$E:$E,TB_UK!R:R)*P$2</f>
        <v>0</v>
      </c>
      <c r="Q41" s="17">
        <f>-_xlfn.XLOOKUP($C41,TB_UK!$E:$E,TB_UK!S:S)*Q$2</f>
        <v>0</v>
      </c>
      <c r="R41" s="17">
        <f>-_xlfn.XLOOKUP($C41,TB_UK!$E:$E,TB_UK!T:T)*R$2</f>
        <v>0</v>
      </c>
      <c r="S41" s="17">
        <f>-_xlfn.XLOOKUP($C41,TB_UK!$E:$E,TB_UK!U:U)*S$2</f>
        <v>0</v>
      </c>
      <c r="T41" s="17">
        <f>-_xlfn.XLOOKUP($C41,TB_UK!$E:$E,TB_UK!V:V)*T$2</f>
        <v>0</v>
      </c>
      <c r="U41" s="17">
        <f>-_xlfn.XLOOKUP($C41,TB_UK!$E:$E,TB_UK!W:W)*U$2</f>
        <v>0</v>
      </c>
      <c r="V41" s="17">
        <f>-_xlfn.XLOOKUP($C41,TB_UK!$E:$E,TB_UK!X:X)*V$2</f>
        <v>0</v>
      </c>
      <c r="W41" s="17">
        <f>-_xlfn.XLOOKUP($C41,TB_UK!$E:$E,TB_UK!Y:Y)*W$2</f>
        <v>0</v>
      </c>
      <c r="X41" s="17">
        <f>-_xlfn.XLOOKUP($C41,TB_UK!$E:$E,TB_UK!Z:Z)*X$2</f>
        <v>0</v>
      </c>
      <c r="Y41" s="17">
        <f>-_xlfn.XLOOKUP($C41,TB_UK!$E:$E,TB_UK!AA:AA)*Y$2</f>
        <v>0</v>
      </c>
      <c r="Z41" s="17">
        <f>-_xlfn.XLOOKUP($C41,TB_UK!$E:$E,TB_UK!AB:AB)*Z$2</f>
        <v>0</v>
      </c>
      <c r="AA41" s="17">
        <f>-_xlfn.XLOOKUP($C41,TB_UK!$E:$E,TB_UK!AC:AC)*AA$2</f>
        <v>0</v>
      </c>
      <c r="AB41" s="17">
        <f>-_xlfn.XLOOKUP($C41,TB_UK!$E:$E,TB_UK!AD:AD)*AB$2</f>
        <v>0</v>
      </c>
      <c r="AC41" s="17">
        <f>-_xlfn.XLOOKUP($C41,TB_UK!$E:$E,TB_UK!AE:AE)*AC$2</f>
        <v>0</v>
      </c>
      <c r="AD41" s="17">
        <f>-_xlfn.XLOOKUP($C41,TB_UK!$E:$E,TB_UK!AF:AF)*AD$2</f>
        <v>0</v>
      </c>
      <c r="AE41" s="17">
        <f>-_xlfn.XLOOKUP($C41,TB_UK!$E:$E,TB_UK!AG:AG)*AE$2</f>
        <v>0</v>
      </c>
      <c r="AF41" s="17">
        <f>-_xlfn.XLOOKUP($C41,TB_UK!$E:$E,TB_UK!AH:AH)*AF$2</f>
        <v>0</v>
      </c>
      <c r="AG41" s="17">
        <f>-_xlfn.XLOOKUP($C41,TB_UK!$E:$E,TB_UK!AI:AI)*AG$2</f>
        <v>0</v>
      </c>
      <c r="AH41" s="17">
        <f>-_xlfn.XLOOKUP($C41,TB_UK!$E:$E,TB_UK!AJ:AJ)*AH$2</f>
        <v>0</v>
      </c>
      <c r="AI41" s="17">
        <f>-_xlfn.XLOOKUP($C41,TB_UK!$E:$E,TB_UK!AK:AK)*AI$2</f>
        <v>0</v>
      </c>
      <c r="AJ41" s="17">
        <f>-_xlfn.XLOOKUP($C41,TB_UK!$E:$E,TB_UK!AL:AL)*AJ$2</f>
        <v>0</v>
      </c>
      <c r="AK41" s="17">
        <f>-_xlfn.XLOOKUP($C41,TB_UK!$E:$E,TB_UK!AM:AM)*AK$2</f>
        <v>0</v>
      </c>
      <c r="AL41" s="17">
        <f>-_xlfn.XLOOKUP($C41,TB_UK!$E:$E,TB_UK!AN:AN)*AL$2</f>
        <v>0</v>
      </c>
      <c r="AM41" s="17">
        <f>-_xlfn.XLOOKUP($C41,TB_UK!$E:$E,TB_UK!AO:AO)*AM$2</f>
        <v>0</v>
      </c>
      <c r="AX41">
        <v>2025</v>
      </c>
      <c r="AY41">
        <v>2024</v>
      </c>
    </row>
    <row r="42" spans="2:51" x14ac:dyDescent="0.2">
      <c r="B42" s="21">
        <v>60070</v>
      </c>
      <c r="C42" s="16" t="str">
        <f>_xlfn.XLOOKUP(B42,TB_UK!A:A,TB_UK!E:E)</f>
        <v>Staff Welfare: Gifts expense</v>
      </c>
      <c r="D42" s="17">
        <f>-_xlfn.XLOOKUP($C42,TB_UK!$E:$E,TB_UK!F:F)*D$2</f>
        <v>0</v>
      </c>
      <c r="E42" s="17">
        <f>-_xlfn.XLOOKUP($C42,TB_UK!$E:$E,TB_UK!G:G)*E$2</f>
        <v>0</v>
      </c>
      <c r="F42" s="17">
        <f>-_xlfn.XLOOKUP($C42,TB_UK!$E:$E,TB_UK!H:H)*F$2</f>
        <v>0</v>
      </c>
      <c r="G42" s="17">
        <f>-_xlfn.XLOOKUP($C42,TB_UK!$E:$E,TB_UK!I:I)*G$2</f>
        <v>0</v>
      </c>
      <c r="H42" s="17">
        <f>-_xlfn.XLOOKUP($C42,TB_UK!$E:$E,TB_UK!J:J)*H$2</f>
        <v>0</v>
      </c>
      <c r="I42" s="17">
        <f>-_xlfn.XLOOKUP($C42,TB_UK!$E:$E,TB_UK!K:K)*I$2</f>
        <v>0</v>
      </c>
      <c r="J42" s="17">
        <f>-_xlfn.XLOOKUP($C42,TB_UK!$E:$E,TB_UK!L:L)*J$2</f>
        <v>0</v>
      </c>
      <c r="K42" s="17">
        <f>-_xlfn.XLOOKUP($C42,TB_UK!$E:$E,TB_UK!M:M)*K$2</f>
        <v>0</v>
      </c>
      <c r="L42" s="17">
        <f>-_xlfn.XLOOKUP($C42,TB_UK!$E:$E,TB_UK!N:N)*L$2</f>
        <v>0</v>
      </c>
      <c r="M42" s="17">
        <f>-_xlfn.XLOOKUP($C42,TB_UK!$E:$E,TB_UK!O:O)*M$2</f>
        <v>0</v>
      </c>
      <c r="N42" s="17">
        <f>-_xlfn.XLOOKUP($C42,TB_UK!$E:$E,TB_UK!P:P)*N$2</f>
        <v>0</v>
      </c>
      <c r="O42" s="17">
        <f>-_xlfn.XLOOKUP($C42,TB_UK!$E:$E,TB_UK!Q:Q)*O$2</f>
        <v>0</v>
      </c>
      <c r="P42" s="17">
        <f>-_xlfn.XLOOKUP($C42,TB_UK!$E:$E,TB_UK!R:R)*P$2</f>
        <v>0</v>
      </c>
      <c r="Q42" s="17">
        <f>-_xlfn.XLOOKUP($C42,TB_UK!$E:$E,TB_UK!S:S)*Q$2</f>
        <v>0</v>
      </c>
      <c r="R42" s="17">
        <f>-_xlfn.XLOOKUP($C42,TB_UK!$E:$E,TB_UK!T:T)*R$2</f>
        <v>0</v>
      </c>
      <c r="S42" s="17">
        <f>-_xlfn.XLOOKUP($C42,TB_UK!$E:$E,TB_UK!U:U)*S$2</f>
        <v>0</v>
      </c>
      <c r="T42" s="17">
        <f>-_xlfn.XLOOKUP($C42,TB_UK!$E:$E,TB_UK!V:V)*T$2</f>
        <v>0</v>
      </c>
      <c r="U42" s="17">
        <f>-_xlfn.XLOOKUP($C42,TB_UK!$E:$E,TB_UK!W:W)*U$2</f>
        <v>0</v>
      </c>
      <c r="V42" s="17">
        <f>-_xlfn.XLOOKUP($C42,TB_UK!$E:$E,TB_UK!X:X)*V$2</f>
        <v>0</v>
      </c>
      <c r="W42" s="17">
        <f>-_xlfn.XLOOKUP($C42,TB_UK!$E:$E,TB_UK!Y:Y)*W$2</f>
        <v>0</v>
      </c>
      <c r="X42" s="17">
        <f>-_xlfn.XLOOKUP($C42,TB_UK!$E:$E,TB_UK!Z:Z)*X$2</f>
        <v>0</v>
      </c>
      <c r="Y42" s="17">
        <f>-_xlfn.XLOOKUP($C42,TB_UK!$E:$E,TB_UK!AA:AA)*Y$2</f>
        <v>0</v>
      </c>
      <c r="Z42" s="17">
        <f>-_xlfn.XLOOKUP($C42,TB_UK!$E:$E,TB_UK!AB:AB)*Z$2</f>
        <v>0</v>
      </c>
      <c r="AA42" s="17">
        <f>-_xlfn.XLOOKUP($C42,TB_UK!$E:$E,TB_UK!AC:AC)*AA$2</f>
        <v>0</v>
      </c>
      <c r="AB42" s="17">
        <f>-_xlfn.XLOOKUP($C42,TB_UK!$E:$E,TB_UK!AD:AD)*AB$2</f>
        <v>0</v>
      </c>
      <c r="AC42" s="17">
        <f>-_xlfn.XLOOKUP($C42,TB_UK!$E:$E,TB_UK!AE:AE)*AC$2</f>
        <v>0</v>
      </c>
      <c r="AD42" s="17">
        <f>-_xlfn.XLOOKUP($C42,TB_UK!$E:$E,TB_UK!AF:AF)*AD$2</f>
        <v>0</v>
      </c>
      <c r="AE42" s="17">
        <f>-_xlfn.XLOOKUP($C42,TB_UK!$E:$E,TB_UK!AG:AG)*AE$2</f>
        <v>0</v>
      </c>
      <c r="AF42" s="17">
        <f>-_xlfn.XLOOKUP($C42,TB_UK!$E:$E,TB_UK!AH:AH)*AF$2</f>
        <v>0</v>
      </c>
      <c r="AG42" s="17">
        <f>-_xlfn.XLOOKUP($C42,TB_UK!$E:$E,TB_UK!AI:AI)*AG$2</f>
        <v>0</v>
      </c>
      <c r="AH42" s="17">
        <f>-_xlfn.XLOOKUP($C42,TB_UK!$E:$E,TB_UK!AJ:AJ)*AH$2</f>
        <v>0</v>
      </c>
      <c r="AI42" s="17">
        <f>-_xlfn.XLOOKUP($C42,TB_UK!$E:$E,TB_UK!AK:AK)*AI$2</f>
        <v>0</v>
      </c>
      <c r="AJ42" s="17">
        <f>-_xlfn.XLOOKUP($C42,TB_UK!$E:$E,TB_UK!AL:AL)*AJ$2</f>
        <v>0</v>
      </c>
      <c r="AK42" s="17">
        <f>-_xlfn.XLOOKUP($C42,TB_UK!$E:$E,TB_UK!AM:AM)*AK$2</f>
        <v>0</v>
      </c>
      <c r="AL42" s="17">
        <f>-_xlfn.XLOOKUP($C42,TB_UK!$E:$E,TB_UK!AN:AN)*AL$2</f>
        <v>0</v>
      </c>
      <c r="AM42" s="17">
        <f>-_xlfn.XLOOKUP($C42,TB_UK!$E:$E,TB_UK!AO:AO)*AM$2</f>
        <v>0</v>
      </c>
    </row>
    <row r="43" spans="2:51" x14ac:dyDescent="0.2">
      <c r="B43" s="21">
        <v>60080</v>
      </c>
      <c r="C43" s="16" t="str">
        <f>_xlfn.XLOOKUP(B43,TB_UK!A:A,TB_UK!E:E)</f>
        <v>Staff Welfare: Medicals</v>
      </c>
      <c r="D43" s="17">
        <f>-_xlfn.XLOOKUP($C43,TB_UK!$E:$E,TB_UK!F:F)*D$2</f>
        <v>0</v>
      </c>
      <c r="E43" s="17">
        <f>-_xlfn.XLOOKUP($C43,TB_UK!$E:$E,TB_UK!G:G)*E$2</f>
        <v>0</v>
      </c>
      <c r="F43" s="17">
        <f>-_xlfn.XLOOKUP($C43,TB_UK!$E:$E,TB_UK!H:H)*F$2</f>
        <v>0</v>
      </c>
      <c r="G43" s="17">
        <f>-_xlfn.XLOOKUP($C43,TB_UK!$E:$E,TB_UK!I:I)*G$2</f>
        <v>0</v>
      </c>
      <c r="H43" s="17">
        <f>-_xlfn.XLOOKUP($C43,TB_UK!$E:$E,TB_UK!J:J)*H$2</f>
        <v>0</v>
      </c>
      <c r="I43" s="17">
        <f>-_xlfn.XLOOKUP($C43,TB_UK!$E:$E,TB_UK!K:K)*I$2</f>
        <v>0</v>
      </c>
      <c r="J43" s="17">
        <f>-_xlfn.XLOOKUP($C43,TB_UK!$E:$E,TB_UK!L:L)*J$2</f>
        <v>0</v>
      </c>
      <c r="K43" s="17">
        <f>-_xlfn.XLOOKUP($C43,TB_UK!$E:$E,TB_UK!M:M)*K$2</f>
        <v>0</v>
      </c>
      <c r="L43" s="17">
        <f>-_xlfn.XLOOKUP($C43,TB_UK!$E:$E,TB_UK!N:N)*L$2</f>
        <v>0</v>
      </c>
      <c r="M43" s="17">
        <f>-_xlfn.XLOOKUP($C43,TB_UK!$E:$E,TB_UK!O:O)*M$2</f>
        <v>0</v>
      </c>
      <c r="N43" s="17">
        <f>-_xlfn.XLOOKUP($C43,TB_UK!$E:$E,TB_UK!P:P)*N$2</f>
        <v>0</v>
      </c>
      <c r="O43" s="17">
        <f>-_xlfn.XLOOKUP($C43,TB_UK!$E:$E,TB_UK!Q:Q)*O$2</f>
        <v>0</v>
      </c>
      <c r="P43" s="17">
        <f>-_xlfn.XLOOKUP($C43,TB_UK!$E:$E,TB_UK!R:R)*P$2</f>
        <v>0</v>
      </c>
      <c r="Q43" s="17">
        <f>-_xlfn.XLOOKUP($C43,TB_UK!$E:$E,TB_UK!S:S)*Q$2</f>
        <v>0</v>
      </c>
      <c r="R43" s="17">
        <f>-_xlfn.XLOOKUP($C43,TB_UK!$E:$E,TB_UK!T:T)*R$2</f>
        <v>-404222.22499999998</v>
      </c>
      <c r="S43" s="17">
        <f>-_xlfn.XLOOKUP($C43,TB_UK!$E:$E,TB_UK!U:U)*S$2</f>
        <v>0</v>
      </c>
      <c r="T43" s="17">
        <f>-_xlfn.XLOOKUP($C43,TB_UK!$E:$E,TB_UK!V:V)*T$2</f>
        <v>0</v>
      </c>
      <c r="U43" s="17">
        <f>-_xlfn.XLOOKUP($C43,TB_UK!$E:$E,TB_UK!W:W)*U$2</f>
        <v>0</v>
      </c>
      <c r="V43" s="17">
        <f>-_xlfn.XLOOKUP($C43,TB_UK!$E:$E,TB_UK!X:X)*V$2</f>
        <v>0</v>
      </c>
      <c r="W43" s="17">
        <f>-_xlfn.XLOOKUP($C43,TB_UK!$E:$E,TB_UK!Y:Y)*W$2</f>
        <v>0</v>
      </c>
      <c r="X43" s="17">
        <f>-_xlfn.XLOOKUP($C43,TB_UK!$E:$E,TB_UK!Z:Z)*X$2</f>
        <v>0</v>
      </c>
      <c r="Y43" s="17">
        <f>-_xlfn.XLOOKUP($C43,TB_UK!$E:$E,TB_UK!AA:AA)*Y$2</f>
        <v>0</v>
      </c>
      <c r="Z43" s="17">
        <f>-_xlfn.XLOOKUP($C43,TB_UK!$E:$E,TB_UK!AB:AB)*Z$2</f>
        <v>0</v>
      </c>
      <c r="AA43" s="17">
        <f>-_xlfn.XLOOKUP($C43,TB_UK!$E:$E,TB_UK!AC:AC)*AA$2</f>
        <v>0</v>
      </c>
      <c r="AB43" s="17">
        <f>-_xlfn.XLOOKUP($C43,TB_UK!$E:$E,TB_UK!AD:AD)*AB$2</f>
        <v>0</v>
      </c>
      <c r="AC43" s="17">
        <f>-_xlfn.XLOOKUP($C43,TB_UK!$E:$E,TB_UK!AE:AE)*AC$2</f>
        <v>0</v>
      </c>
      <c r="AD43" s="17">
        <f>-_xlfn.XLOOKUP($C43,TB_UK!$E:$E,TB_UK!AF:AF)*AD$2</f>
        <v>0</v>
      </c>
      <c r="AE43" s="17">
        <f>-_xlfn.XLOOKUP($C43,TB_UK!$E:$E,TB_UK!AG:AG)*AE$2</f>
        <v>0</v>
      </c>
      <c r="AF43" s="17">
        <f>-_xlfn.XLOOKUP($C43,TB_UK!$E:$E,TB_UK!AH:AH)*AF$2</f>
        <v>0</v>
      </c>
      <c r="AG43" s="17">
        <f>-_xlfn.XLOOKUP($C43,TB_UK!$E:$E,TB_UK!AI:AI)*AG$2</f>
        <v>0</v>
      </c>
      <c r="AH43" s="17">
        <f>-_xlfn.XLOOKUP($C43,TB_UK!$E:$E,TB_UK!AJ:AJ)*AH$2</f>
        <v>0</v>
      </c>
      <c r="AI43" s="17">
        <f>-_xlfn.XLOOKUP($C43,TB_UK!$E:$E,TB_UK!AK:AK)*AI$2</f>
        <v>0</v>
      </c>
      <c r="AJ43" s="17">
        <f>-_xlfn.XLOOKUP($C43,TB_UK!$E:$E,TB_UK!AL:AL)*AJ$2</f>
        <v>0</v>
      </c>
      <c r="AK43" s="17">
        <f>-_xlfn.XLOOKUP($C43,TB_UK!$E:$E,TB_UK!AM:AM)*AK$2</f>
        <v>0</v>
      </c>
      <c r="AL43" s="17">
        <f>-_xlfn.XLOOKUP($C43,TB_UK!$E:$E,TB_UK!AN:AN)*AL$2</f>
        <v>0</v>
      </c>
      <c r="AM43" s="17">
        <f>-_xlfn.XLOOKUP($C43,TB_UK!$E:$E,TB_UK!AO:AO)*AM$2</f>
        <v>0</v>
      </c>
      <c r="AV43" t="s">
        <v>1637</v>
      </c>
      <c r="AX43" s="45">
        <f>AT45+AT58</f>
        <v>-250093133.86620164</v>
      </c>
      <c r="AY43" s="45">
        <f>AS45+AS58</f>
        <v>-574043233.68960011</v>
      </c>
    </row>
    <row r="44" spans="2:51" x14ac:dyDescent="0.2">
      <c r="B44" s="21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V44" t="s">
        <v>1638</v>
      </c>
      <c r="AX44" s="45">
        <f>AT82+AT89</f>
        <v>-220255119.45210022</v>
      </c>
      <c r="AY44" s="45">
        <f>AS82+AS89</f>
        <v>-179131572.16840002</v>
      </c>
    </row>
    <row r="45" spans="2:51" x14ac:dyDescent="0.2">
      <c r="B45" s="15"/>
      <c r="C45" s="22" t="s">
        <v>125</v>
      </c>
      <c r="D45" s="23">
        <f t="shared" ref="D45:AM45" si="7">SUM(D36:D44)</f>
        <v>-16374549.581600003</v>
      </c>
      <c r="E45" s="23">
        <f t="shared" si="7"/>
        <v>-26969538.825599998</v>
      </c>
      <c r="F45" s="23">
        <f t="shared" si="7"/>
        <v>-317460902.75790006</v>
      </c>
      <c r="G45" s="23">
        <f t="shared" si="7"/>
        <v>-23278610.258400001</v>
      </c>
      <c r="H45" s="23">
        <f t="shared" si="7"/>
        <v>-23508993.451399997</v>
      </c>
      <c r="I45" s="23">
        <f t="shared" si="7"/>
        <v>-39415253.191599995</v>
      </c>
      <c r="J45" s="23">
        <f t="shared" si="7"/>
        <v>-45618330.938999996</v>
      </c>
      <c r="K45" s="23">
        <f t="shared" si="7"/>
        <v>-44546833.189799994</v>
      </c>
      <c r="L45" s="23">
        <f t="shared" si="7"/>
        <v>-44740039.239899993</v>
      </c>
      <c r="M45" s="23">
        <f t="shared" si="7"/>
        <v>-42883073.03490001</v>
      </c>
      <c r="N45" s="23">
        <f t="shared" si="7"/>
        <v>-42937221.253499992</v>
      </c>
      <c r="O45" s="23">
        <f t="shared" si="7"/>
        <v>127447314.40959999</v>
      </c>
      <c r="P45" s="23">
        <f t="shared" si="7"/>
        <v>-39333778.502099998</v>
      </c>
      <c r="Q45" s="23">
        <f t="shared" si="7"/>
        <v>-39593957.709001549</v>
      </c>
      <c r="R45" s="23">
        <f t="shared" si="7"/>
        <v>-42970173.235500008</v>
      </c>
      <c r="S45" s="23">
        <f t="shared" si="7"/>
        <v>-39217764.481700011</v>
      </c>
      <c r="T45" s="23">
        <f t="shared" si="7"/>
        <v>-40354735.459499992</v>
      </c>
      <c r="U45" s="23">
        <f t="shared" si="7"/>
        <v>-30505218.607499998</v>
      </c>
      <c r="V45" s="23">
        <f t="shared" si="7"/>
        <v>-26313236.440199997</v>
      </c>
      <c r="W45" s="23">
        <f t="shared" si="7"/>
        <v>-26925692.241</v>
      </c>
      <c r="X45" s="23">
        <f>SUM(X36:X44)</f>
        <v>-25648147.048199996</v>
      </c>
      <c r="Y45" s="23">
        <f t="shared" si="7"/>
        <v>-31311727.655000001</v>
      </c>
      <c r="Z45" s="23">
        <f t="shared" si="7"/>
        <v>-30191678.848500002</v>
      </c>
      <c r="AA45" s="23">
        <f t="shared" si="7"/>
        <v>218687095.1825</v>
      </c>
      <c r="AB45" s="23">
        <f t="shared" si="7"/>
        <v>-32170501.262400005</v>
      </c>
      <c r="AC45" s="23">
        <f t="shared" si="7"/>
        <v>-29513373.486000001</v>
      </c>
      <c r="AD45" s="23">
        <f t="shared" si="7"/>
        <v>-27132495.671</v>
      </c>
      <c r="AE45" s="23">
        <f t="shared" si="7"/>
        <v>-27496867.281000003</v>
      </c>
      <c r="AF45" s="23">
        <f t="shared" si="7"/>
        <v>0</v>
      </c>
      <c r="AG45" s="23">
        <f t="shared" si="7"/>
        <v>0</v>
      </c>
      <c r="AH45" s="23">
        <f t="shared" si="7"/>
        <v>0</v>
      </c>
      <c r="AI45" s="23">
        <f t="shared" si="7"/>
        <v>0</v>
      </c>
      <c r="AJ45" s="23">
        <f t="shared" si="7"/>
        <v>0</v>
      </c>
      <c r="AK45" s="23">
        <f t="shared" si="7"/>
        <v>0</v>
      </c>
      <c r="AL45" s="23">
        <f t="shared" si="7"/>
        <v>0</v>
      </c>
      <c r="AM45" s="23">
        <f t="shared" si="7"/>
        <v>0</v>
      </c>
      <c r="AS45" s="23">
        <f>SUM(D45:O45)</f>
        <v>-540286031.31400013</v>
      </c>
      <c r="AT45" s="23">
        <f>SUM(P45:AA45)</f>
        <v>-153679015.04570162</v>
      </c>
      <c r="AU45" s="23">
        <f>SUM(AB45:AM45)</f>
        <v>-116313237.70040001</v>
      </c>
      <c r="AV45" t="s">
        <v>1639</v>
      </c>
      <c r="AX45" s="45">
        <f>AT71+AT99+AT103+AT107+AT112+AT94</f>
        <v>-36157898.897099994</v>
      </c>
      <c r="AY45" s="45">
        <f>AS71+AS99+AS103+AS107+AS112+AS94</f>
        <v>-40340640.106899999</v>
      </c>
    </row>
    <row r="46" spans="2:51" x14ac:dyDescent="0.2"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8"/>
      <c r="AV46" t="s">
        <v>1431</v>
      </c>
    </row>
    <row r="47" spans="2:51" x14ac:dyDescent="0.2">
      <c r="B47" s="15"/>
      <c r="C47" s="20" t="s">
        <v>126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8"/>
      <c r="AX47" s="315">
        <f>SUM(AX43:AX46)</f>
        <v>-506506152.21540183</v>
      </c>
      <c r="AY47" s="315">
        <f>SUM(AY43:AY46)</f>
        <v>-793515445.96490014</v>
      </c>
    </row>
    <row r="48" spans="2:51" x14ac:dyDescent="0.2">
      <c r="B48" s="21">
        <v>63120</v>
      </c>
      <c r="C48" s="16" t="str">
        <f>_xlfn.XLOOKUP(B48,TB_UK!A:A,TB_UK!E:E)</f>
        <v>Training</v>
      </c>
      <c r="D48" s="17">
        <f>-_xlfn.XLOOKUP($C48,TB_UK!$E:$E,TB_UK!F:F)*D$2</f>
        <v>0</v>
      </c>
      <c r="E48" s="17">
        <f>-_xlfn.XLOOKUP($C48,TB_UK!$E:$E,TB_UK!G:G)*E$2</f>
        <v>0</v>
      </c>
      <c r="F48" s="17">
        <f>-_xlfn.XLOOKUP($C48,TB_UK!$E:$E,TB_UK!H:H)*F$2</f>
        <v>0</v>
      </c>
      <c r="G48" s="17">
        <f>-_xlfn.XLOOKUP($C48,TB_UK!$E:$E,TB_UK!I:I)*G$2</f>
        <v>0</v>
      </c>
      <c r="H48" s="17">
        <f>-_xlfn.XLOOKUP($C48,TB_UK!$E:$E,TB_UK!J:J)*H$2</f>
        <v>0</v>
      </c>
      <c r="I48" s="17">
        <f>-_xlfn.XLOOKUP($C48,TB_UK!$E:$E,TB_UK!K:K)*I$2</f>
        <v>0</v>
      </c>
      <c r="J48" s="17">
        <f>-_xlfn.XLOOKUP($C48,TB_UK!$E:$E,TB_UK!L:L)*J$2</f>
        <v>0</v>
      </c>
      <c r="K48" s="17">
        <f>-_xlfn.XLOOKUP($C48,TB_UK!$E:$E,TB_UK!M:M)*K$2</f>
        <v>0</v>
      </c>
      <c r="L48" s="17">
        <f>-_xlfn.XLOOKUP($C48,TB_UK!$E:$E,TB_UK!N:N)*L$2</f>
        <v>0</v>
      </c>
      <c r="M48" s="17">
        <f>-_xlfn.XLOOKUP($C48,TB_UK!$E:$E,TB_UK!O:O)*M$2</f>
        <v>0</v>
      </c>
      <c r="N48" s="17">
        <f>-_xlfn.XLOOKUP($C48,TB_UK!$E:$E,TB_UK!P:P)*N$2</f>
        <v>0</v>
      </c>
      <c r="O48" s="17">
        <f>-_xlfn.XLOOKUP($C48,TB_UK!$E:$E,TB_UK!Q:Q)*O$2</f>
        <v>0</v>
      </c>
      <c r="P48" s="17">
        <f>-_xlfn.XLOOKUP($C48,TB_UK!$E:$E,TB_UK!R:R)*P$2</f>
        <v>0</v>
      </c>
      <c r="Q48" s="17">
        <f>-_xlfn.XLOOKUP($C48,TB_UK!$E:$E,TB_UK!S:S)*Q$2</f>
        <v>0</v>
      </c>
      <c r="R48" s="17">
        <f>-_xlfn.XLOOKUP($C48,TB_UK!$E:$E,TB_UK!T:T)*R$2</f>
        <v>0</v>
      </c>
      <c r="S48" s="17">
        <f>-_xlfn.XLOOKUP($C48,TB_UK!$E:$E,TB_UK!U:U)*S$2</f>
        <v>0</v>
      </c>
      <c r="T48" s="17">
        <f>-_xlfn.XLOOKUP($C48,TB_UK!$E:$E,TB_UK!V:V)*T$2</f>
        <v>0</v>
      </c>
      <c r="U48" s="17">
        <f>-_xlfn.XLOOKUP($C48,TB_UK!$E:$E,TB_UK!W:W)*U$2</f>
        <v>0</v>
      </c>
      <c r="V48" s="17">
        <f>-_xlfn.XLOOKUP($C48,TB_UK!$E:$E,TB_UK!X:X)*V$2</f>
        <v>0</v>
      </c>
      <c r="W48" s="17">
        <f>-_xlfn.XLOOKUP($C48,TB_UK!$E:$E,TB_UK!Y:Y)*W$2</f>
        <v>0</v>
      </c>
      <c r="X48" s="17">
        <f>-_xlfn.XLOOKUP($C48,TB_UK!$E:$E,TB_UK!Z:Z)*X$2</f>
        <v>0</v>
      </c>
      <c r="Y48" s="17">
        <f>-_xlfn.XLOOKUP($C48,TB_UK!$E:$E,TB_UK!AA:AA)*Y$2</f>
        <v>0</v>
      </c>
      <c r="Z48" s="17">
        <f>-_xlfn.XLOOKUP($C48,TB_UK!$E:$E,TB_UK!AB:AB)*Z$2</f>
        <v>0</v>
      </c>
      <c r="AA48" s="17">
        <f>-_xlfn.XLOOKUP($C48,TB_UK!$E:$E,TB_UK!AC:AC)*AA$2</f>
        <v>0</v>
      </c>
      <c r="AB48" s="17">
        <f>-_xlfn.XLOOKUP($C48,TB_UK!$E:$E,TB_UK!AD:AD)*AB$2</f>
        <v>0</v>
      </c>
      <c r="AC48" s="17">
        <f>-_xlfn.XLOOKUP($C48,TB_UK!$E:$E,TB_UK!AE:AE)*AC$2</f>
        <v>0</v>
      </c>
      <c r="AD48" s="17">
        <f>-_xlfn.XLOOKUP($C48,TB_UK!$E:$E,TB_UK!AF:AF)*AD$2</f>
        <v>0</v>
      </c>
      <c r="AE48" s="17">
        <f>-_xlfn.XLOOKUP($C48,TB_UK!$E:$E,TB_UK!AG:AG)*AE$2</f>
        <v>0</v>
      </c>
      <c r="AF48" s="17">
        <f>-_xlfn.XLOOKUP($C48,TB_UK!$E:$E,TB_UK!AH:AH)*AF$2</f>
        <v>0</v>
      </c>
      <c r="AG48" s="17">
        <f>-_xlfn.XLOOKUP($C48,TB_UK!$E:$E,TB_UK!AI:AI)*AG$2</f>
        <v>0</v>
      </c>
      <c r="AH48" s="17">
        <f>-_xlfn.XLOOKUP($C48,TB_UK!$E:$E,TB_UK!AJ:AJ)*AH$2</f>
        <v>0</v>
      </c>
      <c r="AI48" s="17">
        <f>-_xlfn.XLOOKUP($C48,TB_UK!$E:$E,TB_UK!AK:AK)*AI$2</f>
        <v>0</v>
      </c>
      <c r="AJ48" s="17">
        <f>-_xlfn.XLOOKUP($C48,TB_UK!$E:$E,TB_UK!AL:AL)*AJ$2</f>
        <v>0</v>
      </c>
      <c r="AK48" s="17">
        <f>-_xlfn.XLOOKUP($C48,TB_UK!$E:$E,TB_UK!AM:AM)*AK$2</f>
        <v>0</v>
      </c>
      <c r="AL48" s="17">
        <f>-_xlfn.XLOOKUP($C48,TB_UK!$E:$E,TB_UK!AN:AN)*AL$2</f>
        <v>0</v>
      </c>
      <c r="AM48" s="17">
        <f>-_xlfn.XLOOKUP($C48,TB_UK!$E:$E,TB_UK!AO:AO)*AM$2</f>
        <v>0</v>
      </c>
    </row>
    <row r="49" spans="2:47" x14ac:dyDescent="0.2">
      <c r="B49" s="21">
        <v>67036</v>
      </c>
      <c r="C49" s="16" t="str">
        <f>_xlfn.XLOOKUP(B49,TB_UK!A:A,TB_UK!E:E)</f>
        <v>Research &amp; Development</v>
      </c>
      <c r="D49" s="17">
        <f>-_xlfn.XLOOKUP($C49,TB_UK!$E:$E,TB_UK!F:F)*D$2</f>
        <v>0</v>
      </c>
      <c r="E49" s="17">
        <f>-_xlfn.XLOOKUP($C49,TB_UK!$E:$E,TB_UK!G:G)*E$2</f>
        <v>0</v>
      </c>
      <c r="F49" s="17">
        <f>-_xlfn.XLOOKUP($C49,TB_UK!$E:$E,TB_UK!H:H)*F$2</f>
        <v>0</v>
      </c>
      <c r="G49" s="17">
        <f>-_xlfn.XLOOKUP($C49,TB_UK!$E:$E,TB_UK!I:I)*G$2</f>
        <v>0</v>
      </c>
      <c r="H49" s="17">
        <f>-_xlfn.XLOOKUP($C49,TB_UK!$E:$E,TB_UK!J:J)*H$2</f>
        <v>0</v>
      </c>
      <c r="I49" s="17">
        <f>-_xlfn.XLOOKUP($C49,TB_UK!$E:$E,TB_UK!K:K)*I$2</f>
        <v>0</v>
      </c>
      <c r="J49" s="17">
        <f>-_xlfn.XLOOKUP($C49,TB_UK!$E:$E,TB_UK!L:L)*J$2</f>
        <v>0</v>
      </c>
      <c r="K49" s="17">
        <f>-_xlfn.XLOOKUP($C49,TB_UK!$E:$E,TB_UK!M:M)*K$2</f>
        <v>0</v>
      </c>
      <c r="L49" s="17">
        <f>-_xlfn.XLOOKUP($C49,TB_UK!$E:$E,TB_UK!N:N)*L$2</f>
        <v>0</v>
      </c>
      <c r="M49" s="17">
        <f>-_xlfn.XLOOKUP($C49,TB_UK!$E:$E,TB_UK!O:O)*M$2</f>
        <v>0</v>
      </c>
      <c r="N49" s="17">
        <f>-_xlfn.XLOOKUP($C49,TB_UK!$E:$E,TB_UK!P:P)*N$2</f>
        <v>0</v>
      </c>
      <c r="O49" s="17">
        <f>-_xlfn.XLOOKUP($C49,TB_UK!$E:$E,TB_UK!Q:Q)*O$2</f>
        <v>0</v>
      </c>
      <c r="P49" s="17">
        <f>-_xlfn.XLOOKUP($C49,TB_UK!$E:$E,TB_UK!R:R)*P$2</f>
        <v>0</v>
      </c>
      <c r="Q49" s="17">
        <f>-_xlfn.XLOOKUP($C49,TB_UK!$E:$E,TB_UK!S:S)*Q$2</f>
        <v>0</v>
      </c>
      <c r="R49" s="17">
        <f>-_xlfn.XLOOKUP($C49,TB_UK!$E:$E,TB_UK!T:T)*R$2</f>
        <v>0</v>
      </c>
      <c r="S49" s="17">
        <f>-_xlfn.XLOOKUP($C49,TB_UK!$E:$E,TB_UK!U:U)*S$2</f>
        <v>0</v>
      </c>
      <c r="T49" s="17">
        <f>-_xlfn.XLOOKUP($C49,TB_UK!$E:$E,TB_UK!V:V)*T$2</f>
        <v>0</v>
      </c>
      <c r="U49" s="17">
        <f>-_xlfn.XLOOKUP($C49,TB_UK!$E:$E,TB_UK!W:W)*U$2</f>
        <v>0</v>
      </c>
      <c r="V49" s="17">
        <f>-_xlfn.XLOOKUP($C49,TB_UK!$E:$E,TB_UK!X:X)*V$2</f>
        <v>0</v>
      </c>
      <c r="W49" s="17">
        <f>-_xlfn.XLOOKUP($C49,TB_UK!$E:$E,TB_UK!Y:Y)*W$2</f>
        <v>0</v>
      </c>
      <c r="X49" s="17">
        <f>-_xlfn.XLOOKUP($C49,TB_UK!$E:$E,TB_UK!Z:Z)*X$2</f>
        <v>0</v>
      </c>
      <c r="Y49" s="17">
        <f>-_xlfn.XLOOKUP($C49,TB_UK!$E:$E,TB_UK!AA:AA)*Y$2</f>
        <v>0</v>
      </c>
      <c r="Z49" s="17">
        <f>-_xlfn.XLOOKUP($C49,TB_UK!$E:$E,TB_UK!AB:AB)*Z$2</f>
        <v>0</v>
      </c>
      <c r="AA49" s="17">
        <f>-_xlfn.XLOOKUP($C49,TB_UK!$E:$E,TB_UK!AC:AC)*AA$2</f>
        <v>0</v>
      </c>
      <c r="AB49" s="17">
        <f>-_xlfn.XLOOKUP($C49,TB_UK!$E:$E,TB_UK!AD:AD)*AB$2</f>
        <v>0</v>
      </c>
      <c r="AC49" s="17">
        <f>-_xlfn.XLOOKUP($C49,TB_UK!$E:$E,TB_UK!AE:AE)*AC$2</f>
        <v>0</v>
      </c>
      <c r="AD49" s="17">
        <f>-_xlfn.XLOOKUP($C49,TB_UK!$E:$E,TB_UK!AF:AF)*AD$2</f>
        <v>0</v>
      </c>
      <c r="AE49" s="17">
        <f>-_xlfn.XLOOKUP($C49,TB_UK!$E:$E,TB_UK!AG:AG)*AE$2</f>
        <v>0</v>
      </c>
      <c r="AF49" s="17">
        <f>-_xlfn.XLOOKUP($C49,TB_UK!$E:$E,TB_UK!AH:AH)*AF$2</f>
        <v>0</v>
      </c>
      <c r="AG49" s="17">
        <f>-_xlfn.XLOOKUP($C49,TB_UK!$E:$E,TB_UK!AI:AI)*AG$2</f>
        <v>0</v>
      </c>
      <c r="AH49" s="17">
        <f>-_xlfn.XLOOKUP($C49,TB_UK!$E:$E,TB_UK!AJ:AJ)*AH$2</f>
        <v>0</v>
      </c>
      <c r="AI49" s="17">
        <f>-_xlfn.XLOOKUP($C49,TB_UK!$E:$E,TB_UK!AK:AK)*AI$2</f>
        <v>0</v>
      </c>
      <c r="AJ49" s="17">
        <f>-_xlfn.XLOOKUP($C49,TB_UK!$E:$E,TB_UK!AL:AL)*AJ$2</f>
        <v>0</v>
      </c>
      <c r="AK49" s="17">
        <f>-_xlfn.XLOOKUP($C49,TB_UK!$E:$E,TB_UK!AM:AM)*AK$2</f>
        <v>0</v>
      </c>
      <c r="AL49" s="17">
        <f>-_xlfn.XLOOKUP($C49,TB_UK!$E:$E,TB_UK!AN:AN)*AL$2</f>
        <v>0</v>
      </c>
      <c r="AM49" s="17">
        <f>-_xlfn.XLOOKUP($C49,TB_UK!$E:$E,TB_UK!AO:AO)*AM$2</f>
        <v>0</v>
      </c>
    </row>
    <row r="50" spans="2:47" s="20" customFormat="1" ht="13.5" customHeight="1" x14ac:dyDescent="0.15">
      <c r="C50" s="22" t="s">
        <v>127</v>
      </c>
      <c r="D50" s="23">
        <f>SUM(D48:D49)</f>
        <v>0</v>
      </c>
      <c r="E50" s="23">
        <f t="shared" ref="E50:AM50" si="8">SUM(E48:E49)</f>
        <v>0</v>
      </c>
      <c r="F50" s="23">
        <f t="shared" si="8"/>
        <v>0</v>
      </c>
      <c r="G50" s="23">
        <f t="shared" si="8"/>
        <v>0</v>
      </c>
      <c r="H50" s="23">
        <f t="shared" si="8"/>
        <v>0</v>
      </c>
      <c r="I50" s="23">
        <f t="shared" si="8"/>
        <v>0</v>
      </c>
      <c r="J50" s="23">
        <f t="shared" si="8"/>
        <v>0</v>
      </c>
      <c r="K50" s="23">
        <f t="shared" si="8"/>
        <v>0</v>
      </c>
      <c r="L50" s="23">
        <f t="shared" si="8"/>
        <v>0</v>
      </c>
      <c r="M50" s="23">
        <f t="shared" si="8"/>
        <v>0</v>
      </c>
      <c r="N50" s="23">
        <f t="shared" si="8"/>
        <v>0</v>
      </c>
      <c r="O50" s="23">
        <f t="shared" si="8"/>
        <v>0</v>
      </c>
      <c r="P50" s="23">
        <f t="shared" si="8"/>
        <v>0</v>
      </c>
      <c r="Q50" s="23">
        <f t="shared" si="8"/>
        <v>0</v>
      </c>
      <c r="R50" s="23">
        <f t="shared" si="8"/>
        <v>0</v>
      </c>
      <c r="S50" s="23">
        <f t="shared" si="8"/>
        <v>0</v>
      </c>
      <c r="T50" s="23">
        <f t="shared" si="8"/>
        <v>0</v>
      </c>
      <c r="U50" s="23">
        <f t="shared" si="8"/>
        <v>0</v>
      </c>
      <c r="V50" s="23">
        <f t="shared" si="8"/>
        <v>0</v>
      </c>
      <c r="W50" s="23">
        <f t="shared" si="8"/>
        <v>0</v>
      </c>
      <c r="X50" s="23">
        <f>SUM(X48:X49)</f>
        <v>0</v>
      </c>
      <c r="Y50" s="23">
        <f t="shared" si="8"/>
        <v>0</v>
      </c>
      <c r="Z50" s="23">
        <f t="shared" si="8"/>
        <v>0</v>
      </c>
      <c r="AA50" s="23">
        <f t="shared" si="8"/>
        <v>0</v>
      </c>
      <c r="AB50" s="23">
        <f t="shared" si="8"/>
        <v>0</v>
      </c>
      <c r="AC50" s="23">
        <f t="shared" si="8"/>
        <v>0</v>
      </c>
      <c r="AD50" s="23">
        <f t="shared" si="8"/>
        <v>0</v>
      </c>
      <c r="AE50" s="23">
        <f t="shared" si="8"/>
        <v>0</v>
      </c>
      <c r="AF50" s="23">
        <f t="shared" si="8"/>
        <v>0</v>
      </c>
      <c r="AG50" s="23">
        <f t="shared" si="8"/>
        <v>0</v>
      </c>
      <c r="AH50" s="23">
        <f t="shared" si="8"/>
        <v>0</v>
      </c>
      <c r="AI50" s="23">
        <f t="shared" si="8"/>
        <v>0</v>
      </c>
      <c r="AJ50" s="23">
        <f t="shared" si="8"/>
        <v>0</v>
      </c>
      <c r="AK50" s="23">
        <f t="shared" si="8"/>
        <v>0</v>
      </c>
      <c r="AL50" s="23">
        <f t="shared" si="8"/>
        <v>0</v>
      </c>
      <c r="AM50" s="23">
        <f t="shared" si="8"/>
        <v>0</v>
      </c>
      <c r="AS50" s="23">
        <f>SUM(D50:O50)</f>
        <v>0</v>
      </c>
      <c r="AT50" s="23">
        <f>SUM(P50:AA50)</f>
        <v>0</v>
      </c>
      <c r="AU50" s="23">
        <f>SUM(AB50:AM50)</f>
        <v>0</v>
      </c>
    </row>
    <row r="51" spans="2:47" x14ac:dyDescent="0.2">
      <c r="B51" s="21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8"/>
    </row>
    <row r="52" spans="2:47" x14ac:dyDescent="0.2">
      <c r="B52" s="21"/>
      <c r="C52" s="20" t="s">
        <v>747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8"/>
    </row>
    <row r="53" spans="2:47" x14ac:dyDescent="0.2">
      <c r="B53" s="21">
        <v>51610</v>
      </c>
      <c r="C53" s="16" t="str">
        <f>_xlfn.XLOOKUP(B53,TB_UK!A:A,TB_UK!E:E)</f>
        <v>Consultancy &amp; Professional Fees</v>
      </c>
      <c r="D53" s="17">
        <f>-_xlfn.XLOOKUP($C53,TB_UK!$E:$E,TB_UK!F:F)*D$2</f>
        <v>-1278384.7280000001</v>
      </c>
      <c r="E53" s="17">
        <f>-_xlfn.XLOOKUP($C53,TB_UK!$E:$E,TB_UK!G:G)*E$2</f>
        <v>-8777249.2835999988</v>
      </c>
      <c r="F53" s="17">
        <f>-_xlfn.XLOOKUP($C53,TB_UK!$E:$E,TB_UK!H:H)*F$2</f>
        <v>4018894.4133000006</v>
      </c>
      <c r="G53" s="17">
        <f>-_xlfn.XLOOKUP($C53,TB_UK!$E:$E,TB_UK!I:I)*G$2</f>
        <v>-2415984.4440000001</v>
      </c>
      <c r="H53" s="17">
        <f>-_xlfn.XLOOKUP($C53,TB_UK!$E:$E,TB_UK!J:J)*H$2</f>
        <v>-1159894.172</v>
      </c>
      <c r="I53" s="17">
        <f>-_xlfn.XLOOKUP($C53,TB_UK!$E:$E,TB_UK!K:K)*I$2</f>
        <v>-4834846.2239999995</v>
      </c>
      <c r="J53" s="17">
        <f>-_xlfn.XLOOKUP($C53,TB_UK!$E:$E,TB_UK!L:L)*J$2</f>
        <v>-3014197.7399999998</v>
      </c>
      <c r="K53" s="17">
        <f>-_xlfn.XLOOKUP($C53,TB_UK!$E:$E,TB_UK!M:M)*K$2</f>
        <v>-190733.85600000003</v>
      </c>
      <c r="L53" s="17">
        <f>-_xlfn.XLOOKUP($C53,TB_UK!$E:$E,TB_UK!N:N)*L$2</f>
        <v>-203415.21599999999</v>
      </c>
      <c r="M53" s="17">
        <f>-_xlfn.XLOOKUP($C53,TB_UK!$E:$E,TB_UK!O:O)*M$2</f>
        <v>-3076428.7560000001</v>
      </c>
      <c r="N53" s="17">
        <f>-_xlfn.XLOOKUP($C53,TB_UK!$E:$E,TB_UK!P:P)*N$2</f>
        <v>-844845.75</v>
      </c>
      <c r="O53" s="17">
        <f>-_xlfn.XLOOKUP($C53,TB_UK!$E:$E,TB_UK!Q:Q)*O$2</f>
        <v>-354505.34399999998</v>
      </c>
      <c r="P53" s="17">
        <f>-_xlfn.XLOOKUP($C53,TB_UK!$E:$E,TB_UK!R:R)*P$2</f>
        <v>-3513329.9939999995</v>
      </c>
      <c r="Q53" s="17">
        <f>-_xlfn.XLOOKUP($C53,TB_UK!$E:$E,TB_UK!S:S)*Q$2</f>
        <v>-172760.16000002204</v>
      </c>
      <c r="R53" s="17">
        <f>-_xlfn.XLOOKUP($C53,TB_UK!$E:$E,TB_UK!T:T)*R$2</f>
        <v>-181155.12</v>
      </c>
      <c r="S53" s="17">
        <f>-_xlfn.XLOOKUP($C53,TB_UK!$E:$E,TB_UK!U:U)*S$2</f>
        <v>-3095279.6520000002</v>
      </c>
      <c r="T53" s="17">
        <f>-_xlfn.XLOOKUP($C53,TB_UK!$E:$E,TB_UK!V:V)*T$2</f>
        <v>-1467747.49</v>
      </c>
      <c r="U53" s="17">
        <f>-_xlfn.XLOOKUP($C53,TB_UK!$E:$E,TB_UK!W:W)*U$2</f>
        <v>-5479066.487999999</v>
      </c>
      <c r="V53" s="17">
        <f>-_xlfn.XLOOKUP($C53,TB_UK!$E:$E,TB_UK!X:X)*V$2</f>
        <v>-12456683.84</v>
      </c>
      <c r="W53" s="17">
        <f>-_xlfn.XLOOKUP($C53,TB_UK!$E:$E,TB_UK!Y:Y)*W$2</f>
        <v>-5522982.0135000004</v>
      </c>
      <c r="X53" s="17">
        <f>-_xlfn.XLOOKUP($C53,TB_UK!$E:$E,TB_UK!Z:Z)*X$2</f>
        <v>-6162424.7295000004</v>
      </c>
      <c r="Y53" s="17">
        <f>-_xlfn.XLOOKUP($C53,TB_UK!$E:$E,TB_UK!AA:AA)*Y$2</f>
        <v>-7642714.8850000007</v>
      </c>
      <c r="Z53" s="17">
        <f>-_xlfn.XLOOKUP($C53,TB_UK!$E:$E,TB_UK!AB:AB)*Z$2</f>
        <v>-750411.14350000001</v>
      </c>
      <c r="AA53" s="17">
        <f>-_xlfn.XLOOKUP($C53,TB_UK!$E:$E,TB_UK!AC:AC)*AA$2</f>
        <v>-40863714.305</v>
      </c>
      <c r="AB53" s="17">
        <f>-_xlfn.XLOOKUP($C53,TB_UK!$E:$E,TB_UK!AD:AD)*AB$2</f>
        <v>-11615719.059599999</v>
      </c>
      <c r="AC53" s="17">
        <f>-_xlfn.XLOOKUP($C53,TB_UK!$E:$E,TB_UK!AE:AE)*AC$2</f>
        <v>-4217928.4607999995</v>
      </c>
      <c r="AD53" s="17">
        <f>-_xlfn.XLOOKUP($C53,TB_UK!$E:$E,TB_UK!AF:AF)*AD$2</f>
        <v>-5652576.6050000004</v>
      </c>
      <c r="AE53" s="17">
        <f>-_xlfn.XLOOKUP($C53,TB_UK!$E:$E,TB_UK!AG:AG)*AE$2</f>
        <v>-170761.95499999999</v>
      </c>
      <c r="AF53" s="17">
        <f>-_xlfn.XLOOKUP($C53,TB_UK!$E:$E,TB_UK!AH:AH)*AF$2</f>
        <v>0</v>
      </c>
      <c r="AG53" s="17">
        <f>-_xlfn.XLOOKUP($C53,TB_UK!$E:$E,TB_UK!AI:AI)*AG$2</f>
        <v>0</v>
      </c>
      <c r="AH53" s="17">
        <f>-_xlfn.XLOOKUP($C53,TB_UK!$E:$E,TB_UK!AJ:AJ)*AH$2</f>
        <v>0</v>
      </c>
      <c r="AI53" s="17">
        <f>-_xlfn.XLOOKUP($C53,TB_UK!$E:$E,TB_UK!AK:AK)*AI$2</f>
        <v>0</v>
      </c>
      <c r="AJ53" s="17">
        <f>-_xlfn.XLOOKUP($C53,TB_UK!$E:$E,TB_UK!AL:AL)*AJ$2</f>
        <v>0</v>
      </c>
      <c r="AK53" s="17">
        <f>-_xlfn.XLOOKUP($C53,TB_UK!$E:$E,TB_UK!AM:AM)*AK$2</f>
        <v>0</v>
      </c>
      <c r="AL53" s="17">
        <f>-_xlfn.XLOOKUP($C53,TB_UK!$E:$E,TB_UK!AN:AN)*AL$2</f>
        <v>0</v>
      </c>
      <c r="AM53" s="17">
        <f>-_xlfn.XLOOKUP($C53,TB_UK!$E:$E,TB_UK!AO:AO)*AM$2</f>
        <v>0</v>
      </c>
      <c r="AT53">
        <f>SUM(P53:AA53)</f>
        <v>-87308269.820500016</v>
      </c>
      <c r="AU53" s="45">
        <f>SUM(AB53:AM53)</f>
        <v>-21656986.080399998</v>
      </c>
    </row>
    <row r="54" spans="2:47" x14ac:dyDescent="0.2">
      <c r="B54" s="21">
        <v>61400</v>
      </c>
      <c r="C54" s="16" t="str">
        <f>_xlfn.XLOOKUP(B54,TB_UK!A:A,TB_UK!E:E)</f>
        <v>Conferences and Seminars</v>
      </c>
      <c r="D54" s="17">
        <f>-_xlfn.XLOOKUP($C54,TB_UK!$E:$E,TB_UK!F:F)*D$2</f>
        <v>0</v>
      </c>
      <c r="E54" s="17">
        <f>-_xlfn.XLOOKUP($C54,TB_UK!$E:$E,TB_UK!G:G)*E$2</f>
        <v>0</v>
      </c>
      <c r="F54" s="17">
        <f>-_xlfn.XLOOKUP($C54,TB_UK!$E:$E,TB_UK!H:H)*F$2</f>
        <v>0</v>
      </c>
      <c r="G54" s="17">
        <f>-_xlfn.XLOOKUP($C54,TB_UK!$E:$E,TB_UK!I:I)*G$2</f>
        <v>0</v>
      </c>
      <c r="H54" s="17">
        <f>-_xlfn.XLOOKUP($C54,TB_UK!$E:$E,TB_UK!J:J)*H$2</f>
        <v>0</v>
      </c>
      <c r="I54" s="17">
        <f>-_xlfn.XLOOKUP($C54,TB_UK!$E:$E,TB_UK!K:K)*I$2</f>
        <v>0</v>
      </c>
      <c r="J54" s="17">
        <f>-_xlfn.XLOOKUP($C54,TB_UK!$E:$E,TB_UK!L:L)*J$2</f>
        <v>0</v>
      </c>
      <c r="K54" s="17">
        <f>-_xlfn.XLOOKUP($C54,TB_UK!$E:$E,TB_UK!M:M)*K$2</f>
        <v>0</v>
      </c>
      <c r="L54" s="17">
        <f>-_xlfn.XLOOKUP($C54,TB_UK!$E:$E,TB_UK!N:N)*L$2</f>
        <v>0</v>
      </c>
      <c r="M54" s="17">
        <f>-_xlfn.XLOOKUP($C54,TB_UK!$E:$E,TB_UK!O:O)*M$2</f>
        <v>0</v>
      </c>
      <c r="N54" s="17">
        <f>-_xlfn.XLOOKUP($C54,TB_UK!$E:$E,TB_UK!P:P)*N$2</f>
        <v>0</v>
      </c>
      <c r="O54" s="17">
        <f>-_xlfn.XLOOKUP($C54,TB_UK!$E:$E,TB_UK!Q:Q)*O$2</f>
        <v>0</v>
      </c>
      <c r="P54" s="17">
        <f>-_xlfn.XLOOKUP($C54,TB_UK!$E:$E,TB_UK!R:R)*P$2</f>
        <v>0</v>
      </c>
      <c r="Q54" s="17">
        <f>-_xlfn.XLOOKUP($C54,TB_UK!$E:$E,TB_UK!S:S)*Q$2</f>
        <v>0</v>
      </c>
      <c r="R54" s="17">
        <f>-_xlfn.XLOOKUP($C54,TB_UK!$E:$E,TB_UK!T:T)*R$2</f>
        <v>0</v>
      </c>
      <c r="S54" s="17">
        <f>-_xlfn.XLOOKUP($C54,TB_UK!$E:$E,TB_UK!U:U)*S$2</f>
        <v>0</v>
      </c>
      <c r="T54" s="17">
        <f>-_xlfn.XLOOKUP($C54,TB_UK!$E:$E,TB_UK!V:V)*T$2</f>
        <v>0</v>
      </c>
      <c r="U54" s="17">
        <f>-_xlfn.XLOOKUP($C54,TB_UK!$E:$E,TB_UK!W:W)*U$2</f>
        <v>0</v>
      </c>
      <c r="V54" s="17">
        <f>-_xlfn.XLOOKUP($C54,TB_UK!$E:$E,TB_UK!X:X)*V$2</f>
        <v>0</v>
      </c>
      <c r="W54" s="17">
        <f>-_xlfn.XLOOKUP($C54,TB_UK!$E:$E,TB_UK!Y:Y)*W$2</f>
        <v>0</v>
      </c>
      <c r="X54" s="17">
        <f>-_xlfn.XLOOKUP($C54,TB_UK!$E:$E,TB_UK!Z:Z)*X$2</f>
        <v>0</v>
      </c>
      <c r="Y54" s="17">
        <f>-_xlfn.XLOOKUP($C54,TB_UK!$E:$E,TB_UK!AA:AA)*Y$2</f>
        <v>0</v>
      </c>
      <c r="Z54" s="17">
        <f>-_xlfn.XLOOKUP($C54,TB_UK!$E:$E,TB_UK!AB:AB)*Z$2</f>
        <v>0</v>
      </c>
      <c r="AA54" s="17">
        <f>-_xlfn.XLOOKUP($C54,TB_UK!$E:$E,TB_UK!AC:AC)*AA$2</f>
        <v>0</v>
      </c>
      <c r="AB54" s="17">
        <f>-_xlfn.XLOOKUP($C54,TB_UK!$E:$E,TB_UK!AD:AD)*AB$2</f>
        <v>0</v>
      </c>
      <c r="AC54" s="17">
        <f>-_xlfn.XLOOKUP($C54,TB_UK!$E:$E,TB_UK!AE:AE)*AC$2</f>
        <v>0</v>
      </c>
      <c r="AD54" s="17">
        <f>-_xlfn.XLOOKUP($C54,TB_UK!$E:$E,TB_UK!AF:AF)*AD$2</f>
        <v>0</v>
      </c>
      <c r="AE54" s="17">
        <f>-_xlfn.XLOOKUP($C54,TB_UK!$E:$E,TB_UK!AG:AG)*AE$2</f>
        <v>0</v>
      </c>
      <c r="AF54" s="17">
        <f>-_xlfn.XLOOKUP($C54,TB_UK!$E:$E,TB_UK!AH:AH)*AF$2</f>
        <v>0</v>
      </c>
      <c r="AG54" s="17">
        <f>-_xlfn.XLOOKUP($C54,TB_UK!$E:$E,TB_UK!AI:AI)*AG$2</f>
        <v>0</v>
      </c>
      <c r="AH54" s="17">
        <f>-_xlfn.XLOOKUP($C54,TB_UK!$E:$E,TB_UK!AJ:AJ)*AH$2</f>
        <v>0</v>
      </c>
      <c r="AI54" s="17">
        <f>-_xlfn.XLOOKUP($C54,TB_UK!$E:$E,TB_UK!AK:AK)*AI$2</f>
        <v>0</v>
      </c>
      <c r="AJ54" s="17">
        <f>-_xlfn.XLOOKUP($C54,TB_UK!$E:$E,TB_UK!AL:AL)*AJ$2</f>
        <v>0</v>
      </c>
      <c r="AK54" s="17">
        <f>-_xlfn.XLOOKUP($C54,TB_UK!$E:$E,TB_UK!AM:AM)*AK$2</f>
        <v>0</v>
      </c>
      <c r="AL54" s="17">
        <f>-_xlfn.XLOOKUP($C54,TB_UK!$E:$E,TB_UK!AN:AN)*AL$2</f>
        <v>0</v>
      </c>
      <c r="AM54" s="17">
        <f>-_xlfn.XLOOKUP($C54,TB_UK!$E:$E,TB_UK!AO:AO)*AM$2</f>
        <v>0</v>
      </c>
      <c r="AT54">
        <f>SUM(P54:AA54)</f>
        <v>0</v>
      </c>
      <c r="AU54" s="45">
        <f>SUM(AB54:AM54)</f>
        <v>0</v>
      </c>
    </row>
    <row r="55" spans="2:47" x14ac:dyDescent="0.2">
      <c r="B55" s="21">
        <v>62700</v>
      </c>
      <c r="C55" s="16" t="str">
        <f>_xlfn.XLOOKUP(B55,TB_UK!A:A,TB_UK!E:E)</f>
        <v>Professional Fees - Others</v>
      </c>
      <c r="D55" s="17">
        <f>-_xlfn.XLOOKUP($C55,TB_UK!$E:$E,TB_UK!F:F)*D$2</f>
        <v>0</v>
      </c>
      <c r="E55" s="17">
        <f>-_xlfn.XLOOKUP($C55,TB_UK!$E:$E,TB_UK!G:G)*E$2</f>
        <v>0</v>
      </c>
      <c r="F55" s="17">
        <f>-_xlfn.XLOOKUP($C55,TB_UK!$E:$E,TB_UK!H:H)*F$2</f>
        <v>0</v>
      </c>
      <c r="G55" s="17">
        <f>-_xlfn.XLOOKUP($C55,TB_UK!$E:$E,TB_UK!I:I)*G$2</f>
        <v>0</v>
      </c>
      <c r="H55" s="17">
        <f>-_xlfn.XLOOKUP($C55,TB_UK!$E:$E,TB_UK!J:J)*H$2</f>
        <v>0</v>
      </c>
      <c r="I55" s="17">
        <f>-_xlfn.XLOOKUP($C55,TB_UK!$E:$E,TB_UK!K:K)*I$2</f>
        <v>0</v>
      </c>
      <c r="J55" s="17">
        <f>-_xlfn.XLOOKUP($C55,TB_UK!$E:$E,TB_UK!L:L)*J$2</f>
        <v>0</v>
      </c>
      <c r="K55" s="17">
        <f>-_xlfn.XLOOKUP($C55,TB_UK!$E:$E,TB_UK!M:M)*K$2</f>
        <v>0</v>
      </c>
      <c r="L55" s="17">
        <f>-_xlfn.XLOOKUP($C55,TB_UK!$E:$E,TB_UK!N:N)*L$2</f>
        <v>0</v>
      </c>
      <c r="M55" s="17">
        <f>-_xlfn.XLOOKUP($C55,TB_UK!$E:$E,TB_UK!O:O)*M$2</f>
        <v>0</v>
      </c>
      <c r="N55" s="17">
        <f>-_xlfn.XLOOKUP($C55,TB_UK!$E:$E,TB_UK!P:P)*N$2</f>
        <v>0</v>
      </c>
      <c r="O55" s="17">
        <f>-_xlfn.XLOOKUP($C55,TB_UK!$E:$E,TB_UK!Q:Q)*O$2</f>
        <v>0</v>
      </c>
      <c r="P55" s="17">
        <f>-_xlfn.XLOOKUP($C55,TB_UK!$E:$E,TB_UK!R:R)*P$2</f>
        <v>0</v>
      </c>
      <c r="Q55" s="17">
        <f>-_xlfn.XLOOKUP($C55,TB_UK!$E:$E,TB_UK!S:S)*Q$2</f>
        <v>0</v>
      </c>
      <c r="R55" s="17">
        <f>-_xlfn.XLOOKUP($C55,TB_UK!$E:$E,TB_UK!T:T)*R$2</f>
        <v>0</v>
      </c>
      <c r="S55" s="17">
        <f>-_xlfn.XLOOKUP($C55,TB_UK!$E:$E,TB_UK!U:U)*S$2</f>
        <v>0</v>
      </c>
      <c r="T55" s="17">
        <f>-_xlfn.XLOOKUP($C55,TB_UK!$E:$E,TB_UK!V:V)*T$2</f>
        <v>0</v>
      </c>
      <c r="U55" s="17">
        <f>-_xlfn.XLOOKUP($C55,TB_UK!$E:$E,TB_UK!W:W)*U$2</f>
        <v>0</v>
      </c>
      <c r="V55" s="17">
        <f>-_xlfn.XLOOKUP($C55,TB_UK!$E:$E,TB_UK!X:X)*V$2</f>
        <v>0</v>
      </c>
      <c r="W55" s="17">
        <f>-_xlfn.XLOOKUP($C55,TB_UK!$E:$E,TB_UK!Y:Y)*W$2</f>
        <v>0</v>
      </c>
      <c r="X55" s="17">
        <f>-_xlfn.XLOOKUP($C55,TB_UK!$E:$E,TB_UK!Z:Z)*X$2</f>
        <v>0</v>
      </c>
      <c r="Y55" s="17">
        <f>-_xlfn.XLOOKUP($C55,TB_UK!$E:$E,TB_UK!AA:AA)*Y$2</f>
        <v>0</v>
      </c>
      <c r="Z55" s="17">
        <f>-_xlfn.XLOOKUP($C55,TB_UK!$E:$E,TB_UK!AB:AB)*Z$2</f>
        <v>0</v>
      </c>
      <c r="AA55" s="17">
        <f>-_xlfn.XLOOKUP($C55,TB_UK!$E:$E,TB_UK!AC:AC)*AA$2</f>
        <v>0</v>
      </c>
      <c r="AB55" s="17">
        <f>-_xlfn.XLOOKUP($C55,TB_UK!$E:$E,TB_UK!AD:AD)*AB$2</f>
        <v>0</v>
      </c>
      <c r="AC55" s="17">
        <f>-_xlfn.XLOOKUP($C55,TB_UK!$E:$E,TB_UK!AE:AE)*AC$2</f>
        <v>0</v>
      </c>
      <c r="AD55" s="17">
        <f>-_xlfn.XLOOKUP($C55,TB_UK!$E:$E,TB_UK!AF:AF)*AD$2</f>
        <v>0</v>
      </c>
      <c r="AE55" s="17">
        <f>-_xlfn.XLOOKUP($C55,TB_UK!$E:$E,TB_UK!AG:AG)*AE$2</f>
        <v>0</v>
      </c>
      <c r="AF55" s="17">
        <f>-_xlfn.XLOOKUP($C55,TB_UK!$E:$E,TB_UK!AH:AH)*AF$2</f>
        <v>0</v>
      </c>
      <c r="AG55" s="17">
        <f>-_xlfn.XLOOKUP($C55,TB_UK!$E:$E,TB_UK!AI:AI)*AG$2</f>
        <v>0</v>
      </c>
      <c r="AH55" s="17">
        <f>-_xlfn.XLOOKUP($C55,TB_UK!$E:$E,TB_UK!AJ:AJ)*AH$2</f>
        <v>0</v>
      </c>
      <c r="AI55" s="17">
        <f>-_xlfn.XLOOKUP($C55,TB_UK!$E:$E,TB_UK!AK:AK)*AI$2</f>
        <v>0</v>
      </c>
      <c r="AJ55" s="17">
        <f>-_xlfn.XLOOKUP($C55,TB_UK!$E:$E,TB_UK!AL:AL)*AJ$2</f>
        <v>0</v>
      </c>
      <c r="AK55" s="17">
        <f>-_xlfn.XLOOKUP($C55,TB_UK!$E:$E,TB_UK!AM:AM)*AK$2</f>
        <v>0</v>
      </c>
      <c r="AL55" s="17">
        <f>-_xlfn.XLOOKUP($C55,TB_UK!$E:$E,TB_UK!AN:AN)*AL$2</f>
        <v>0</v>
      </c>
      <c r="AM55" s="17">
        <f>-_xlfn.XLOOKUP($C55,TB_UK!$E:$E,TB_UK!AO:AO)*AM$2</f>
        <v>0</v>
      </c>
      <c r="AT55">
        <f>SUM(P55:AA55)</f>
        <v>0</v>
      </c>
      <c r="AU55" s="45">
        <f>SUM(AB55:AM55)</f>
        <v>0</v>
      </c>
    </row>
    <row r="56" spans="2:47" x14ac:dyDescent="0.2">
      <c r="B56" s="21">
        <v>62710</v>
      </c>
      <c r="C56" s="16" t="str">
        <f>_xlfn.XLOOKUP(B56,TB_UK!A:A,TB_UK!E:E)</f>
        <v>Professional Fees:Accounting Fees</v>
      </c>
      <c r="D56" s="17">
        <f>-_xlfn.XLOOKUP($C56,TB_UK!$E:$E,TB_UK!F:F)*D$2</f>
        <v>0</v>
      </c>
      <c r="E56" s="17">
        <f>-_xlfn.XLOOKUP($C56,TB_UK!$E:$E,TB_UK!G:G)*E$2</f>
        <v>0</v>
      </c>
      <c r="F56" s="17">
        <f>-_xlfn.XLOOKUP($C56,TB_UK!$E:$E,TB_UK!H:H)*F$2</f>
        <v>-10479321.6753</v>
      </c>
      <c r="G56" s="17">
        <f>-_xlfn.XLOOKUP($C56,TB_UK!$E:$E,TB_UK!I:I)*G$2</f>
        <v>0</v>
      </c>
      <c r="H56" s="17">
        <f>-_xlfn.XLOOKUP($C56,TB_UK!$E:$E,TB_UK!J:J)*H$2</f>
        <v>0</v>
      </c>
      <c r="I56" s="17">
        <f>-_xlfn.XLOOKUP($C56,TB_UK!$E:$E,TB_UK!K:K)*I$2</f>
        <v>0</v>
      </c>
      <c r="J56" s="17">
        <f>-_xlfn.XLOOKUP($C56,TB_UK!$E:$E,TB_UK!L:L)*J$2</f>
        <v>0</v>
      </c>
      <c r="K56" s="17">
        <f>-_xlfn.XLOOKUP($C56,TB_UK!$E:$E,TB_UK!M:M)*K$2</f>
        <v>-826095.10000000009</v>
      </c>
      <c r="L56" s="17">
        <f>-_xlfn.XLOOKUP($C56,TB_UK!$E:$E,TB_UK!N:N)*L$2</f>
        <v>0</v>
      </c>
      <c r="M56" s="17">
        <f>-_xlfn.XLOOKUP($C56,TB_UK!$E:$E,TB_UK!O:O)*M$2</f>
        <v>-320194.5</v>
      </c>
      <c r="N56" s="17">
        <f>-_xlfn.XLOOKUP($C56,TB_UK!$E:$E,TB_UK!P:P)*N$2</f>
        <v>0</v>
      </c>
      <c r="O56" s="17">
        <f>-_xlfn.XLOOKUP($C56,TB_UK!$E:$E,TB_UK!Q:Q)*O$2</f>
        <v>0</v>
      </c>
      <c r="P56" s="17">
        <f>-_xlfn.XLOOKUP($C56,TB_UK!$E:$E,TB_UK!R:R)*P$2</f>
        <v>0</v>
      </c>
      <c r="Q56" s="17">
        <f>-_xlfn.XLOOKUP($C56,TB_UK!$E:$E,TB_UK!S:S)*Q$2</f>
        <v>0</v>
      </c>
      <c r="R56" s="17">
        <f>-_xlfn.XLOOKUP($C56,TB_UK!$E:$E,TB_UK!T:T)*R$2</f>
        <v>-8819394</v>
      </c>
      <c r="S56" s="17">
        <f>-_xlfn.XLOOKUP($C56,TB_UK!$E:$E,TB_UK!U:U)*S$2</f>
        <v>0</v>
      </c>
      <c r="T56" s="17">
        <f>-_xlfn.XLOOKUP($C56,TB_UK!$E:$E,TB_UK!V:V)*T$2</f>
        <v>0</v>
      </c>
      <c r="U56" s="17">
        <f>-_xlfn.XLOOKUP($C56,TB_UK!$E:$E,TB_UK!W:W)*U$2</f>
        <v>0</v>
      </c>
      <c r="V56" s="17">
        <f>-_xlfn.XLOOKUP($C56,TB_UK!$E:$E,TB_UK!X:X)*V$2</f>
        <v>0</v>
      </c>
      <c r="W56" s="17">
        <f>-_xlfn.XLOOKUP($C56,TB_UK!$E:$E,TB_UK!Y:Y)*W$2</f>
        <v>0</v>
      </c>
      <c r="X56" s="17">
        <f>-_xlfn.XLOOKUP($C56,TB_UK!$E:$E,TB_UK!Z:Z)*X$2</f>
        <v>0</v>
      </c>
      <c r="Y56" s="17">
        <f>-_xlfn.XLOOKUP($C56,TB_UK!$E:$E,TB_UK!AA:AA)*Y$2</f>
        <v>-286455</v>
      </c>
      <c r="Z56" s="17">
        <f>-_xlfn.XLOOKUP($C56,TB_UK!$E:$E,TB_UK!AB:AB)*Z$2</f>
        <v>0</v>
      </c>
      <c r="AA56" s="17">
        <f>-_xlfn.XLOOKUP($C56,TB_UK!$E:$E,TB_UK!AC:AC)*AA$2</f>
        <v>0</v>
      </c>
      <c r="AB56" s="17">
        <f>-_xlfn.XLOOKUP($C56,TB_UK!$E:$E,TB_UK!AD:AD)*AB$2</f>
        <v>0</v>
      </c>
      <c r="AC56" s="17">
        <f>-_xlfn.XLOOKUP($C56,TB_UK!$E:$E,TB_UK!AE:AE)*AC$2</f>
        <v>0</v>
      </c>
      <c r="AD56" s="17">
        <f>-_xlfn.XLOOKUP($C56,TB_UK!$E:$E,TB_UK!AF:AF)*AD$2</f>
        <v>0</v>
      </c>
      <c r="AE56" s="17">
        <f>-_xlfn.XLOOKUP($C56,TB_UK!$E:$E,TB_UK!AG:AG)*AE$2</f>
        <v>0</v>
      </c>
      <c r="AF56" s="17">
        <f>-_xlfn.XLOOKUP($C56,TB_UK!$E:$E,TB_UK!AH:AH)*AF$2</f>
        <v>0</v>
      </c>
      <c r="AG56" s="17">
        <f>-_xlfn.XLOOKUP($C56,TB_UK!$E:$E,TB_UK!AI:AI)*AG$2</f>
        <v>0</v>
      </c>
      <c r="AH56" s="17">
        <f>-_xlfn.XLOOKUP($C56,TB_UK!$E:$E,TB_UK!AJ:AJ)*AH$2</f>
        <v>0</v>
      </c>
      <c r="AI56" s="17">
        <f>-_xlfn.XLOOKUP($C56,TB_UK!$E:$E,TB_UK!AK:AK)*AI$2</f>
        <v>0</v>
      </c>
      <c r="AJ56" s="17">
        <f>-_xlfn.XLOOKUP($C56,TB_UK!$E:$E,TB_UK!AL:AL)*AJ$2</f>
        <v>0</v>
      </c>
      <c r="AK56" s="17">
        <f>-_xlfn.XLOOKUP($C56,TB_UK!$E:$E,TB_UK!AM:AM)*AK$2</f>
        <v>0</v>
      </c>
      <c r="AL56" s="17">
        <f>-_xlfn.XLOOKUP($C56,TB_UK!$E:$E,TB_UK!AN:AN)*AL$2</f>
        <v>0</v>
      </c>
      <c r="AM56" s="17">
        <f>-_xlfn.XLOOKUP($C56,TB_UK!$E:$E,TB_UK!AO:AO)*AM$2</f>
        <v>0</v>
      </c>
      <c r="AT56">
        <f>SUM(P56:AA56)</f>
        <v>-9105849</v>
      </c>
      <c r="AU56" s="45">
        <f>SUM(AB56:AM56)</f>
        <v>0</v>
      </c>
    </row>
    <row r="57" spans="2:47" x14ac:dyDescent="0.2">
      <c r="B57" s="21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</row>
    <row r="58" spans="2:47" s="20" customFormat="1" ht="13.5" customHeight="1" x14ac:dyDescent="0.15">
      <c r="C58" s="22" t="s">
        <v>748</v>
      </c>
      <c r="D58" s="23">
        <f t="shared" ref="D58:AM58" si="9">SUM(D53:D57)</f>
        <v>-1278384.7280000001</v>
      </c>
      <c r="E58" s="23">
        <f t="shared" si="9"/>
        <v>-8777249.2835999988</v>
      </c>
      <c r="F58" s="23">
        <f t="shared" si="9"/>
        <v>-6460427.2620000001</v>
      </c>
      <c r="G58" s="23">
        <f t="shared" si="9"/>
        <v>-2415984.4440000001</v>
      </c>
      <c r="H58" s="23">
        <f t="shared" si="9"/>
        <v>-1159894.172</v>
      </c>
      <c r="I58" s="23">
        <f t="shared" si="9"/>
        <v>-4834846.2239999995</v>
      </c>
      <c r="J58" s="23">
        <f t="shared" si="9"/>
        <v>-3014197.7399999998</v>
      </c>
      <c r="K58" s="23">
        <f t="shared" si="9"/>
        <v>-1016828.9560000001</v>
      </c>
      <c r="L58" s="23">
        <f t="shared" si="9"/>
        <v>-203415.21599999999</v>
      </c>
      <c r="M58" s="23">
        <f t="shared" si="9"/>
        <v>-3396623.2560000001</v>
      </c>
      <c r="N58" s="23">
        <f t="shared" si="9"/>
        <v>-844845.75</v>
      </c>
      <c r="O58" s="23">
        <f t="shared" si="9"/>
        <v>-354505.34399999998</v>
      </c>
      <c r="P58" s="23">
        <f t="shared" si="9"/>
        <v>-3513329.9939999995</v>
      </c>
      <c r="Q58" s="23">
        <f t="shared" si="9"/>
        <v>-172760.16000002204</v>
      </c>
      <c r="R58" s="23">
        <f t="shared" si="9"/>
        <v>-9000549.1199999992</v>
      </c>
      <c r="S58" s="23">
        <f t="shared" si="9"/>
        <v>-3095279.6520000002</v>
      </c>
      <c r="T58" s="23">
        <f t="shared" si="9"/>
        <v>-1467747.49</v>
      </c>
      <c r="U58" s="23">
        <f t="shared" si="9"/>
        <v>-5479066.487999999</v>
      </c>
      <c r="V58" s="23">
        <f t="shared" si="9"/>
        <v>-12456683.84</v>
      </c>
      <c r="W58" s="23">
        <f t="shared" si="9"/>
        <v>-5522982.0135000004</v>
      </c>
      <c r="X58" s="23">
        <f>SUM(X53:X57)</f>
        <v>-6162424.7295000004</v>
      </c>
      <c r="Y58" s="23">
        <f t="shared" si="9"/>
        <v>-7929169.8850000007</v>
      </c>
      <c r="Z58" s="23">
        <f t="shared" si="9"/>
        <v>-750411.14350000001</v>
      </c>
      <c r="AA58" s="23">
        <f t="shared" si="9"/>
        <v>-40863714.305</v>
      </c>
      <c r="AB58" s="23">
        <f t="shared" si="9"/>
        <v>-11615719.059599999</v>
      </c>
      <c r="AC58" s="23">
        <f t="shared" si="9"/>
        <v>-4217928.4607999995</v>
      </c>
      <c r="AD58" s="23">
        <f t="shared" si="9"/>
        <v>-5652576.6050000004</v>
      </c>
      <c r="AE58" s="23">
        <f t="shared" si="9"/>
        <v>-170761.95499999999</v>
      </c>
      <c r="AF58" s="23">
        <f t="shared" si="9"/>
        <v>0</v>
      </c>
      <c r="AG58" s="23">
        <f t="shared" si="9"/>
        <v>0</v>
      </c>
      <c r="AH58" s="23">
        <f t="shared" si="9"/>
        <v>0</v>
      </c>
      <c r="AI58" s="23">
        <f t="shared" si="9"/>
        <v>0</v>
      </c>
      <c r="AJ58" s="23">
        <f t="shared" si="9"/>
        <v>0</v>
      </c>
      <c r="AK58" s="23">
        <f t="shared" si="9"/>
        <v>0</v>
      </c>
      <c r="AL58" s="23">
        <f t="shared" si="9"/>
        <v>0</v>
      </c>
      <c r="AM58" s="23">
        <f t="shared" si="9"/>
        <v>0</v>
      </c>
      <c r="AS58" s="23">
        <f>SUM(D58:O58)</f>
        <v>-33757202.375599995</v>
      </c>
      <c r="AT58" s="23">
        <f>SUM(P58:AA58)</f>
        <v>-96414118.820500016</v>
      </c>
      <c r="AU58" s="23">
        <f>SUM(AB58:AM58)</f>
        <v>-21656986.080399998</v>
      </c>
    </row>
    <row r="59" spans="2:47" x14ac:dyDescent="0.2">
      <c r="B59" s="21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8"/>
    </row>
    <row r="60" spans="2:47" x14ac:dyDescent="0.2">
      <c r="B60" s="21"/>
      <c r="C60" s="20" t="s">
        <v>130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8"/>
    </row>
    <row r="61" spans="2:47" x14ac:dyDescent="0.2">
      <c r="B61" s="21">
        <v>61600</v>
      </c>
      <c r="C61" s="16" t="str">
        <f>_xlfn.XLOOKUP(B61,TB_UK!A:A,TB_UK!E:E)</f>
        <v>Dues and Subscriptions</v>
      </c>
      <c r="D61" s="17">
        <f>-_xlfn.XLOOKUP($C61,TB_UK!$E:$E,TB_UK!F:F)*D$2</f>
        <v>-1294938.2878</v>
      </c>
      <c r="E61" s="17">
        <f>-_xlfn.XLOOKUP($C61,TB_UK!$E:$E,TB_UK!G:G)*E$2</f>
        <v>-74836.767599999992</v>
      </c>
      <c r="F61" s="17">
        <f>-_xlfn.XLOOKUP($C61,TB_UK!$E:$E,TB_UK!H:H)*F$2</f>
        <v>-55748.453399999999</v>
      </c>
      <c r="G61" s="17">
        <f>-_xlfn.XLOOKUP($C61,TB_UK!$E:$E,TB_UK!I:I)*G$2</f>
        <v>-33527.399999999994</v>
      </c>
      <c r="H61" s="17">
        <f>-_xlfn.XLOOKUP($C61,TB_UK!$E:$E,TB_UK!J:J)*H$2</f>
        <v>-3484209.2719999999</v>
      </c>
      <c r="I61" s="17">
        <f>-_xlfn.XLOOKUP($C61,TB_UK!$E:$E,TB_UK!K:K)*I$2</f>
        <v>-38815.4</v>
      </c>
      <c r="J61" s="17">
        <f>-_xlfn.XLOOKUP($C61,TB_UK!$E:$E,TB_UK!L:L)*J$2</f>
        <v>-4890291.1334999995</v>
      </c>
      <c r="K61" s="17">
        <f>-_xlfn.XLOOKUP($C61,TB_UK!$E:$E,TB_UK!M:M)*K$2</f>
        <v>-41827.600000000006</v>
      </c>
      <c r="L61" s="17">
        <f>-_xlfn.XLOOKUP($C61,TB_UK!$E:$E,TB_UK!N:N)*L$2</f>
        <v>-44608.6</v>
      </c>
      <c r="M61" s="17">
        <f>-_xlfn.XLOOKUP($C61,TB_UK!$E:$E,TB_UK!O:O)*M$2</f>
        <v>-42692.600000000006</v>
      </c>
      <c r="N61" s="17">
        <f>-_xlfn.XLOOKUP($C61,TB_UK!$E:$E,TB_UK!P:P)*N$2</f>
        <v>-42777</v>
      </c>
      <c r="O61" s="17">
        <f>-_xlfn.XLOOKUP($C61,TB_UK!$E:$E,TB_UK!Q:Q)*O$2</f>
        <v>-2290193.926</v>
      </c>
      <c r="P61" s="17">
        <f>-_xlfn.XLOOKUP($C61,TB_UK!$E:$E,TB_UK!R:R)*P$2</f>
        <v>-38267.399999999994</v>
      </c>
      <c r="Q61" s="17">
        <f>-_xlfn.XLOOKUP($C61,TB_UK!$E:$E,TB_UK!S:S)*Q$2</f>
        <v>-37886</v>
      </c>
      <c r="R61" s="17">
        <f>-_xlfn.XLOOKUP($C61,TB_UK!$E:$E,TB_UK!T:T)*R$2</f>
        <v>436997</v>
      </c>
      <c r="S61" s="17">
        <f>-_xlfn.XLOOKUP($C61,TB_UK!$E:$E,TB_UK!U:U)*S$2</f>
        <v>-42954.2</v>
      </c>
      <c r="T61" s="17">
        <f>-_xlfn.XLOOKUP($C61,TB_UK!$E:$E,TB_UK!V:V)*T$2</f>
        <v>-42779</v>
      </c>
      <c r="U61" s="17">
        <f>-_xlfn.XLOOKUP($C61,TB_UK!$E:$E,TB_UK!W:W)*U$2</f>
        <v>-42289.799999999996</v>
      </c>
      <c r="V61" s="17">
        <f>-_xlfn.XLOOKUP($C61,TB_UK!$E:$E,TB_UK!X:X)*V$2</f>
        <v>-40761.4</v>
      </c>
      <c r="W61" s="17">
        <f>-_xlfn.XLOOKUP($C61,TB_UK!$E:$E,TB_UK!Y:Y)*W$2</f>
        <v>-41525.4</v>
      </c>
      <c r="X61" s="17">
        <f>-_xlfn.XLOOKUP($C61,TB_UK!$E:$E,TB_UK!Z:Z)*X$2</f>
        <v>-39859.800000000003</v>
      </c>
      <c r="Y61" s="17">
        <f>-_xlfn.XLOOKUP($C61,TB_UK!$E:$E,TB_UK!AA:AA)*Y$2</f>
        <v>-38194</v>
      </c>
      <c r="Z61" s="17">
        <f>-_xlfn.XLOOKUP($C61,TB_UK!$E:$E,TB_UK!AB:AB)*Z$2</f>
        <v>-81290.552899999995</v>
      </c>
      <c r="AA61" s="17">
        <f>-_xlfn.XLOOKUP($C61,TB_UK!$E:$E,TB_UK!AC:AC)*AA$2</f>
        <v>-2426440.3525</v>
      </c>
      <c r="AB61" s="17">
        <f>-_xlfn.XLOOKUP($C61,TB_UK!$E:$E,TB_UK!AD:AD)*AB$2</f>
        <v>-79586.354999999996</v>
      </c>
      <c r="AC61" s="17">
        <f>-_xlfn.XLOOKUP($C61,TB_UK!$E:$E,TB_UK!AE:AE)*AC$2</f>
        <v>-171223.49040000001</v>
      </c>
      <c r="AD61" s="17">
        <f>-_xlfn.XLOOKUP($C61,TB_UK!$E:$E,TB_UK!AF:AF)*AD$2</f>
        <v>-249133.46799999999</v>
      </c>
      <c r="AE61" s="17">
        <f>-_xlfn.XLOOKUP($C61,TB_UK!$E:$E,TB_UK!AG:AG)*AE$2</f>
        <v>-1817831.0409999997</v>
      </c>
      <c r="AF61" s="17">
        <f>-_xlfn.XLOOKUP($C61,TB_UK!$E:$E,TB_UK!AH:AH)*AF$2</f>
        <v>0</v>
      </c>
      <c r="AG61" s="17">
        <f>-_xlfn.XLOOKUP($C61,TB_UK!$E:$E,TB_UK!AI:AI)*AG$2</f>
        <v>0</v>
      </c>
      <c r="AH61" s="17">
        <f>-_xlfn.XLOOKUP($C61,TB_UK!$E:$E,TB_UK!AJ:AJ)*AH$2</f>
        <v>0</v>
      </c>
      <c r="AI61" s="17">
        <f>-_xlfn.XLOOKUP($C61,TB_UK!$E:$E,TB_UK!AK:AK)*AI$2</f>
        <v>0</v>
      </c>
      <c r="AJ61" s="17">
        <f>-_xlfn.XLOOKUP($C61,TB_UK!$E:$E,TB_UK!AL:AL)*AJ$2</f>
        <v>0</v>
      </c>
      <c r="AK61" s="17">
        <f>-_xlfn.XLOOKUP($C61,TB_UK!$E:$E,TB_UK!AM:AM)*AK$2</f>
        <v>0</v>
      </c>
      <c r="AL61" s="17">
        <f>-_xlfn.XLOOKUP($C61,TB_UK!$E:$E,TB_UK!AN:AN)*AL$2</f>
        <v>0</v>
      </c>
      <c r="AM61" s="17">
        <f>-_xlfn.XLOOKUP($C61,TB_UK!$E:$E,TB_UK!AO:AO)*AM$2</f>
        <v>0</v>
      </c>
    </row>
    <row r="62" spans="2:47" x14ac:dyDescent="0.2">
      <c r="B62" s="21">
        <v>51022</v>
      </c>
      <c r="C62" s="16" t="str">
        <f>_xlfn.XLOOKUP(B62,TB_UK!A:A,TB_UK!E:E)</f>
        <v>Printing Expense</v>
      </c>
      <c r="D62" s="17">
        <f>-_xlfn.XLOOKUP($C62,TB_UK!$E:$E,TB_UK!F:F)*D$2</f>
        <v>0</v>
      </c>
      <c r="E62" s="17">
        <f>-_xlfn.XLOOKUP($C62,TB_UK!$E:$E,TB_UK!G:G)*E$2</f>
        <v>0</v>
      </c>
      <c r="F62" s="17">
        <f>-_xlfn.XLOOKUP($C62,TB_UK!$E:$E,TB_UK!H:H)*F$2</f>
        <v>0</v>
      </c>
      <c r="G62" s="17">
        <f>-_xlfn.XLOOKUP($C62,TB_UK!$E:$E,TB_UK!I:I)*G$2</f>
        <v>0</v>
      </c>
      <c r="H62" s="17">
        <f>-_xlfn.XLOOKUP($C62,TB_UK!$E:$E,TB_UK!J:J)*H$2</f>
        <v>0</v>
      </c>
      <c r="I62" s="17">
        <f>-_xlfn.XLOOKUP($C62,TB_UK!$E:$E,TB_UK!K:K)*I$2</f>
        <v>0</v>
      </c>
      <c r="J62" s="17">
        <f>-_xlfn.XLOOKUP($C62,TB_UK!$E:$E,TB_UK!L:L)*J$2</f>
        <v>0</v>
      </c>
      <c r="K62" s="17">
        <f>-_xlfn.XLOOKUP($C62,TB_UK!$E:$E,TB_UK!M:M)*K$2</f>
        <v>0</v>
      </c>
      <c r="L62" s="17">
        <f>-_xlfn.XLOOKUP($C62,TB_UK!$E:$E,TB_UK!N:N)*L$2</f>
        <v>0</v>
      </c>
      <c r="M62" s="17">
        <f>-_xlfn.XLOOKUP($C62,TB_UK!$E:$E,TB_UK!O:O)*M$2</f>
        <v>0</v>
      </c>
      <c r="N62" s="17">
        <f>-_xlfn.XLOOKUP($C62,TB_UK!$E:$E,TB_UK!P:P)*N$2</f>
        <v>0</v>
      </c>
      <c r="O62" s="17">
        <f>-_xlfn.XLOOKUP($C62,TB_UK!$E:$E,TB_UK!Q:Q)*O$2</f>
        <v>0</v>
      </c>
      <c r="P62" s="17">
        <f>-_xlfn.XLOOKUP($C62,TB_UK!$E:$E,TB_UK!R:R)*P$2</f>
        <v>0</v>
      </c>
      <c r="Q62" s="17">
        <f>-_xlfn.XLOOKUP($C62,TB_UK!$E:$E,TB_UK!S:S)*Q$2</f>
        <v>0</v>
      </c>
      <c r="R62" s="17">
        <f>-_xlfn.XLOOKUP($C62,TB_UK!$E:$E,TB_UK!T:T)*R$2</f>
        <v>0</v>
      </c>
      <c r="S62" s="17">
        <f>-_xlfn.XLOOKUP($C62,TB_UK!$E:$E,TB_UK!U:U)*S$2</f>
        <v>0</v>
      </c>
      <c r="T62" s="17">
        <f>-_xlfn.XLOOKUP($C62,TB_UK!$E:$E,TB_UK!V:V)*T$2</f>
        <v>-1178133.6599999999</v>
      </c>
      <c r="U62" s="17">
        <f>-_xlfn.XLOOKUP($C62,TB_UK!$E:$E,TB_UK!W:W)*U$2</f>
        <v>0</v>
      </c>
      <c r="V62" s="17">
        <f>-_xlfn.XLOOKUP($C62,TB_UK!$E:$E,TB_UK!X:X)*V$2</f>
        <v>0</v>
      </c>
      <c r="W62" s="17">
        <f>-_xlfn.XLOOKUP($C62,TB_UK!$E:$E,TB_UK!Y:Y)*W$2</f>
        <v>0</v>
      </c>
      <c r="X62" s="17">
        <f>-_xlfn.XLOOKUP($C62,TB_UK!$E:$E,TB_UK!Z:Z)*X$2</f>
        <v>0</v>
      </c>
      <c r="Y62" s="17">
        <f>-_xlfn.XLOOKUP($C62,TB_UK!$E:$E,TB_UK!AA:AA)*Y$2</f>
        <v>0</v>
      </c>
      <c r="Z62" s="17">
        <f>-_xlfn.XLOOKUP($C62,TB_UK!$E:$E,TB_UK!AB:AB)*Z$2</f>
        <v>0</v>
      </c>
      <c r="AA62" s="17">
        <f>-_xlfn.XLOOKUP($C62,TB_UK!$E:$E,TB_UK!AC:AC)*AA$2</f>
        <v>0</v>
      </c>
      <c r="AB62" s="17">
        <f>-_xlfn.XLOOKUP($C62,TB_UK!$E:$E,TB_UK!AD:AD)*AB$2</f>
        <v>0</v>
      </c>
      <c r="AC62" s="17">
        <f>-_xlfn.XLOOKUP($C62,TB_UK!$E:$E,TB_UK!AE:AE)*AC$2</f>
        <v>0</v>
      </c>
      <c r="AD62" s="17">
        <f>-_xlfn.XLOOKUP($C62,TB_UK!$E:$E,TB_UK!AF:AF)*AD$2</f>
        <v>-229188.897</v>
      </c>
      <c r="AE62" s="17">
        <f>-_xlfn.XLOOKUP($C62,TB_UK!$E:$E,TB_UK!AG:AG)*AE$2</f>
        <v>0</v>
      </c>
      <c r="AF62" s="17">
        <f>-_xlfn.XLOOKUP($C62,TB_UK!$E:$E,TB_UK!AH:AH)*AF$2</f>
        <v>0</v>
      </c>
      <c r="AG62" s="17">
        <f>-_xlfn.XLOOKUP($C62,TB_UK!$E:$E,TB_UK!AI:AI)*AG$2</f>
        <v>0</v>
      </c>
      <c r="AH62" s="17">
        <f>-_xlfn.XLOOKUP($C62,TB_UK!$E:$E,TB_UK!AJ:AJ)*AH$2</f>
        <v>0</v>
      </c>
      <c r="AI62" s="17">
        <f>-_xlfn.XLOOKUP($C62,TB_UK!$E:$E,TB_UK!AK:AK)*AI$2</f>
        <v>0</v>
      </c>
      <c r="AJ62" s="17">
        <f>-_xlfn.XLOOKUP($C62,TB_UK!$E:$E,TB_UK!AL:AL)*AJ$2</f>
        <v>0</v>
      </c>
      <c r="AK62" s="17">
        <f>-_xlfn.XLOOKUP($C62,TB_UK!$E:$E,TB_UK!AM:AM)*AK$2</f>
        <v>0</v>
      </c>
      <c r="AL62" s="17">
        <f>-_xlfn.XLOOKUP($C62,TB_UK!$E:$E,TB_UK!AN:AN)*AL$2</f>
        <v>0</v>
      </c>
      <c r="AM62" s="17">
        <f>-_xlfn.XLOOKUP($C62,TB_UK!$E:$E,TB_UK!AO:AO)*AM$2</f>
        <v>0</v>
      </c>
    </row>
    <row r="63" spans="2:47" x14ac:dyDescent="0.2">
      <c r="B63" s="21">
        <v>60010</v>
      </c>
      <c r="C63" s="16" t="str">
        <f>_xlfn.XLOOKUP(B63,TB_UK!A:A,TB_UK!E:E)</f>
        <v>Rental Expense</v>
      </c>
      <c r="D63" s="17">
        <f>-_xlfn.XLOOKUP($C63,TB_UK!$E:$E,TB_UK!F:F)*D$2</f>
        <v>-681684.00000000012</v>
      </c>
      <c r="E63" s="17">
        <f>-_xlfn.XLOOKUP($C63,TB_UK!$E:$E,TB_UK!G:G)*E$2</f>
        <v>-1206072</v>
      </c>
      <c r="F63" s="17">
        <f>-_xlfn.XLOOKUP($C63,TB_UK!$E:$E,TB_UK!H:H)*F$2</f>
        <v>-1053846</v>
      </c>
      <c r="G63" s="17">
        <f>-_xlfn.XLOOKUP($C63,TB_UK!$E:$E,TB_UK!I:I)*G$2</f>
        <v>-1005821.9999999999</v>
      </c>
      <c r="H63" s="17">
        <f>-_xlfn.XLOOKUP($C63,TB_UK!$E:$E,TB_UK!J:J)*H$2</f>
        <v>-1116019.46</v>
      </c>
      <c r="I63" s="17">
        <f>-_xlfn.XLOOKUP($C63,TB_UK!$E:$E,TB_UK!K:K)*I$2</f>
        <v>-1244033.57</v>
      </c>
      <c r="J63" s="17">
        <f>-_xlfn.XLOOKUP($C63,TB_UK!$E:$E,TB_UK!L:L)*J$2</f>
        <v>-1340619.45</v>
      </c>
      <c r="K63" s="17">
        <f>-_xlfn.XLOOKUP($C63,TB_UK!$E:$E,TB_UK!M:M)*K$2</f>
        <v>-1355214.24</v>
      </c>
      <c r="L63" s="17">
        <f>-_xlfn.XLOOKUP($C63,TB_UK!$E:$E,TB_UK!N:N)*L$2</f>
        <v>-1429705.63</v>
      </c>
      <c r="M63" s="17">
        <f>-_xlfn.XLOOKUP($C63,TB_UK!$E:$E,TB_UK!O:O)*M$2</f>
        <v>-1368618.0245000001</v>
      </c>
      <c r="N63" s="17">
        <f>-_xlfn.XLOOKUP($C63,TB_UK!$E:$E,TB_UK!P:P)*N$2</f>
        <v>-1371002.8499999999</v>
      </c>
      <c r="O63" s="17">
        <f>-_xlfn.XLOOKUP($C63,TB_UK!$E:$E,TB_UK!Q:Q)*O$2</f>
        <v>-1245821.96</v>
      </c>
      <c r="P63" s="17">
        <f>-_xlfn.XLOOKUP($C63,TB_UK!$E:$E,TB_UK!R:R)*P$2</f>
        <v>-1226470.17</v>
      </c>
      <c r="Q63" s="17">
        <f>-_xlfn.XLOOKUP($C63,TB_UK!$E:$E,TB_UK!S:S)*Q$2</f>
        <v>-1214246.3</v>
      </c>
      <c r="R63" s="17">
        <f>-_xlfn.XLOOKUP($C63,TB_UK!$E:$E,TB_UK!T:T)*R$2</f>
        <v>-1273250.3499999999</v>
      </c>
      <c r="S63" s="17">
        <f>-_xlfn.XLOOKUP($C63,TB_UK!$E:$E,TB_UK!U:U)*S$2</f>
        <v>-1376682.11</v>
      </c>
      <c r="T63" s="17">
        <f>-_xlfn.XLOOKUP($C63,TB_UK!$E:$E,TB_UK!V:V)*T$2</f>
        <v>-1542182.95</v>
      </c>
      <c r="U63" s="17">
        <f>-_xlfn.XLOOKUP($C63,TB_UK!$E:$E,TB_UK!W:W)*U$2</f>
        <v>-2247702.8699999996</v>
      </c>
      <c r="V63" s="17">
        <f>-_xlfn.XLOOKUP($C63,TB_UK!$E:$E,TB_UK!X:X)*V$2</f>
        <v>-1473728.4169999999</v>
      </c>
      <c r="W63" s="17">
        <f>-_xlfn.XLOOKUP($C63,TB_UK!$E:$E,TB_UK!Y:Y)*W$2</f>
        <v>-1496990.67</v>
      </c>
      <c r="X63" s="17">
        <f>-_xlfn.XLOOKUP($C63,TB_UK!$E:$E,TB_UK!Z:Z)*X$2</f>
        <v>-1436945.79</v>
      </c>
      <c r="Y63" s="17">
        <f>-_xlfn.XLOOKUP($C63,TB_UK!$E:$E,TB_UK!AA:AA)*Y$2</f>
        <v>-1378230.4900000002</v>
      </c>
      <c r="Z63" s="17">
        <f>-_xlfn.XLOOKUP($C63,TB_UK!$E:$E,TB_UK!AB:AB)*Z$2</f>
        <v>-1380044.47</v>
      </c>
      <c r="AA63" s="17">
        <f>-_xlfn.XLOOKUP($C63,TB_UK!$E:$E,TB_UK!AC:AC)*AA$2</f>
        <v>-1410095.75</v>
      </c>
      <c r="AB63" s="17">
        <f>-_xlfn.XLOOKUP($C63,TB_UK!$E:$E,TB_UK!AD:AD)*AB$2</f>
        <v>-1374413.46</v>
      </c>
      <c r="AC63" s="17">
        <f>-_xlfn.XLOOKUP($C63,TB_UK!$E:$E,TB_UK!AE:AE)*AC$2</f>
        <v>-1318651.32</v>
      </c>
      <c r="AD63" s="17">
        <f>-_xlfn.XLOOKUP($C63,TB_UK!$E:$E,TB_UK!AF:AF)*AD$2</f>
        <v>-1318060.0999999999</v>
      </c>
      <c r="AE63" s="17">
        <f>-_xlfn.XLOOKUP($C63,TB_UK!$E:$E,TB_UK!AG:AG)*AE$2</f>
        <v>-1345541.132</v>
      </c>
      <c r="AF63" s="17">
        <f>-_xlfn.XLOOKUP($C63,TB_UK!$E:$E,TB_UK!AH:AH)*AF$2</f>
        <v>0</v>
      </c>
      <c r="AG63" s="17">
        <f>-_xlfn.XLOOKUP($C63,TB_UK!$E:$E,TB_UK!AI:AI)*AG$2</f>
        <v>0</v>
      </c>
      <c r="AH63" s="17">
        <f>-_xlfn.XLOOKUP($C63,TB_UK!$E:$E,TB_UK!AJ:AJ)*AH$2</f>
        <v>0</v>
      </c>
      <c r="AI63" s="17">
        <f>-_xlfn.XLOOKUP($C63,TB_UK!$E:$E,TB_UK!AK:AK)*AI$2</f>
        <v>0</v>
      </c>
      <c r="AJ63" s="17">
        <f>-_xlfn.XLOOKUP($C63,TB_UK!$E:$E,TB_UK!AL:AL)*AJ$2</f>
        <v>0</v>
      </c>
      <c r="AK63" s="17">
        <f>-_xlfn.XLOOKUP($C63,TB_UK!$E:$E,TB_UK!AM:AM)*AK$2</f>
        <v>0</v>
      </c>
      <c r="AL63" s="17">
        <f>-_xlfn.XLOOKUP($C63,TB_UK!$E:$E,TB_UK!AN:AN)*AL$2</f>
        <v>0</v>
      </c>
      <c r="AM63" s="17">
        <f>-_xlfn.XLOOKUP($C63,TB_UK!$E:$E,TB_UK!AO:AO)*AM$2</f>
        <v>0</v>
      </c>
    </row>
    <row r="64" spans="2:47" x14ac:dyDescent="0.2">
      <c r="B64" s="21">
        <v>62200</v>
      </c>
      <c r="C64" s="16" t="str">
        <f>_xlfn.XLOOKUP(B64,TB_UK!A:A,TB_UK!E:E)</f>
        <v>Meals and Entertainment</v>
      </c>
      <c r="D64" s="17">
        <f>-_xlfn.XLOOKUP($C64,TB_UK!$E:$E,TB_UK!F:F)*D$2</f>
        <v>0</v>
      </c>
      <c r="E64" s="17">
        <f>-_xlfn.XLOOKUP($C64,TB_UK!$E:$E,TB_UK!G:G)*E$2</f>
        <v>-26533.583999999999</v>
      </c>
      <c r="F64" s="17">
        <f>-_xlfn.XLOOKUP($C64,TB_UK!$E:$E,TB_UK!H:H)*F$2</f>
        <v>749091.30090000003</v>
      </c>
      <c r="G64" s="17">
        <f>-_xlfn.XLOOKUP($C64,TB_UK!$E:$E,TB_UK!I:I)*G$2</f>
        <v>0</v>
      </c>
      <c r="H64" s="17">
        <f>-_xlfn.XLOOKUP($C64,TB_UK!$E:$E,TB_UK!J:J)*H$2</f>
        <v>0</v>
      </c>
      <c r="I64" s="17">
        <f>-_xlfn.XLOOKUP($C64,TB_UK!$E:$E,TB_UK!K:K)*I$2</f>
        <v>-4832.5173000000004</v>
      </c>
      <c r="J64" s="17">
        <f>-_xlfn.XLOOKUP($C64,TB_UK!$E:$E,TB_UK!L:L)*J$2</f>
        <v>0</v>
      </c>
      <c r="K64" s="17">
        <f>-_xlfn.XLOOKUP($C64,TB_UK!$E:$E,TB_UK!M:M)*K$2</f>
        <v>0</v>
      </c>
      <c r="L64" s="17">
        <f>-_xlfn.XLOOKUP($C64,TB_UK!$E:$E,TB_UK!N:N)*L$2</f>
        <v>0</v>
      </c>
      <c r="M64" s="17">
        <f>-_xlfn.XLOOKUP($C64,TB_UK!$E:$E,TB_UK!O:O)*M$2</f>
        <v>0</v>
      </c>
      <c r="N64" s="17">
        <f>-_xlfn.XLOOKUP($C64,TB_UK!$E:$E,TB_UK!P:P)*N$2</f>
        <v>-52059.608999999997</v>
      </c>
      <c r="O64" s="17">
        <f>-_xlfn.XLOOKUP($C64,TB_UK!$E:$E,TB_UK!Q:Q)*O$2</f>
        <v>0</v>
      </c>
      <c r="P64" s="17">
        <f>-_xlfn.XLOOKUP($C64,TB_UK!$E:$E,TB_UK!R:R)*P$2</f>
        <v>0</v>
      </c>
      <c r="Q64" s="17">
        <f>-_xlfn.XLOOKUP($C64,TB_UK!$E:$E,TB_UK!S:S)*Q$2</f>
        <v>0</v>
      </c>
      <c r="R64" s="17">
        <f>-_xlfn.XLOOKUP($C64,TB_UK!$E:$E,TB_UK!T:T)*R$2</f>
        <v>0</v>
      </c>
      <c r="S64" s="17">
        <f>-_xlfn.XLOOKUP($C64,TB_UK!$E:$E,TB_UK!U:U)*S$2</f>
        <v>0</v>
      </c>
      <c r="T64" s="17">
        <f>-_xlfn.XLOOKUP($C64,TB_UK!$E:$E,TB_UK!V:V)*T$2</f>
        <v>0</v>
      </c>
      <c r="U64" s="17">
        <f>-_xlfn.XLOOKUP($C64,TB_UK!$E:$E,TB_UK!W:W)*U$2</f>
        <v>0</v>
      </c>
      <c r="V64" s="17">
        <f>-_xlfn.XLOOKUP($C64,TB_UK!$E:$E,TB_UK!X:X)*V$2</f>
        <v>0</v>
      </c>
      <c r="W64" s="17">
        <f>-_xlfn.XLOOKUP($C64,TB_UK!$E:$E,TB_UK!Y:Y)*W$2</f>
        <v>0</v>
      </c>
      <c r="X64" s="17">
        <f>-_xlfn.XLOOKUP($C64,TB_UK!$E:$E,TB_UK!Z:Z)*X$2</f>
        <v>-3985.98</v>
      </c>
      <c r="Y64" s="17">
        <f>-_xlfn.XLOOKUP($C64,TB_UK!$E:$E,TB_UK!AA:AA)*Y$2</f>
        <v>0</v>
      </c>
      <c r="Z64" s="17">
        <f>-_xlfn.XLOOKUP($C64,TB_UK!$E:$E,TB_UK!AB:AB)*Z$2</f>
        <v>-9187.5360000000001</v>
      </c>
      <c r="AA64" s="17">
        <f>-_xlfn.XLOOKUP($C64,TB_UK!$E:$E,TB_UK!AC:AC)*AA$2</f>
        <v>0</v>
      </c>
      <c r="AB64" s="17">
        <f>-_xlfn.XLOOKUP($C64,TB_UK!$E:$E,TB_UK!AD:AD)*AB$2</f>
        <v>0</v>
      </c>
      <c r="AC64" s="17">
        <f>-_xlfn.XLOOKUP($C64,TB_UK!$E:$E,TB_UK!AE:AE)*AC$2</f>
        <v>0</v>
      </c>
      <c r="AD64" s="17">
        <f>-_xlfn.XLOOKUP($C64,TB_UK!$E:$E,TB_UK!AF:AF)*AD$2</f>
        <v>0</v>
      </c>
      <c r="AE64" s="17">
        <f>-_xlfn.XLOOKUP($C64,TB_UK!$E:$E,TB_UK!AG:AG)*AE$2</f>
        <v>0</v>
      </c>
      <c r="AF64" s="17">
        <f>-_xlfn.XLOOKUP($C64,TB_UK!$E:$E,TB_UK!AH:AH)*AF$2</f>
        <v>0</v>
      </c>
      <c r="AG64" s="17">
        <f>-_xlfn.XLOOKUP($C64,TB_UK!$E:$E,TB_UK!AI:AI)*AG$2</f>
        <v>0</v>
      </c>
      <c r="AH64" s="17">
        <f>-_xlfn.XLOOKUP($C64,TB_UK!$E:$E,TB_UK!AJ:AJ)*AH$2</f>
        <v>0</v>
      </c>
      <c r="AI64" s="17">
        <f>-_xlfn.XLOOKUP($C64,TB_UK!$E:$E,TB_UK!AK:AK)*AI$2</f>
        <v>0</v>
      </c>
      <c r="AJ64" s="17">
        <f>-_xlfn.XLOOKUP($C64,TB_UK!$E:$E,TB_UK!AL:AL)*AJ$2</f>
        <v>0</v>
      </c>
      <c r="AK64" s="17">
        <f>-_xlfn.XLOOKUP($C64,TB_UK!$E:$E,TB_UK!AM:AM)*AK$2</f>
        <v>0</v>
      </c>
      <c r="AL64" s="17">
        <f>-_xlfn.XLOOKUP($C64,TB_UK!$E:$E,TB_UK!AN:AN)*AL$2</f>
        <v>0</v>
      </c>
      <c r="AM64" s="17">
        <f>-_xlfn.XLOOKUP($C64,TB_UK!$E:$E,TB_UK!AO:AO)*AM$2</f>
        <v>0</v>
      </c>
    </row>
    <row r="65" spans="2:47" x14ac:dyDescent="0.2">
      <c r="B65" s="21">
        <v>62400</v>
      </c>
      <c r="C65" s="16" t="str">
        <f>_xlfn.XLOOKUP(B65,TB_UK!A:A,TB_UK!E:E)</f>
        <v>Office Expense</v>
      </c>
      <c r="D65" s="17">
        <f>-_xlfn.XLOOKUP($C65,TB_UK!$E:$E,TB_UK!F:F)*D$2</f>
        <v>0</v>
      </c>
      <c r="E65" s="17">
        <f>-_xlfn.XLOOKUP($C65,TB_UK!$E:$E,TB_UK!G:G)*E$2</f>
        <v>0</v>
      </c>
      <c r="F65" s="17">
        <f>-_xlfn.XLOOKUP($C65,TB_UK!$E:$E,TB_UK!H:H)*F$2</f>
        <v>-22833.33</v>
      </c>
      <c r="G65" s="17">
        <f>-_xlfn.XLOOKUP($C65,TB_UK!$E:$E,TB_UK!I:I)*G$2</f>
        <v>0</v>
      </c>
      <c r="H65" s="17">
        <f>-_xlfn.XLOOKUP($C65,TB_UK!$E:$E,TB_UK!J:J)*H$2</f>
        <v>0</v>
      </c>
      <c r="I65" s="17">
        <f>-_xlfn.XLOOKUP($C65,TB_UK!$E:$E,TB_UK!K:K)*I$2</f>
        <v>0</v>
      </c>
      <c r="J65" s="17">
        <f>-_xlfn.XLOOKUP($C65,TB_UK!$E:$E,TB_UK!L:L)*J$2</f>
        <v>0</v>
      </c>
      <c r="K65" s="17">
        <f>-_xlfn.XLOOKUP($C65,TB_UK!$E:$E,TB_UK!M:M)*K$2</f>
        <v>0</v>
      </c>
      <c r="L65" s="17">
        <f>-_xlfn.XLOOKUP($C65,TB_UK!$E:$E,TB_UK!N:N)*L$2</f>
        <v>0</v>
      </c>
      <c r="M65" s="17">
        <f>-_xlfn.XLOOKUP($C65,TB_UK!$E:$E,TB_UK!O:O)*M$2</f>
        <v>0</v>
      </c>
      <c r="N65" s="17">
        <f>-_xlfn.XLOOKUP($C65,TB_UK!$E:$E,TB_UK!P:P)*N$2</f>
        <v>0</v>
      </c>
      <c r="O65" s="17">
        <f>-_xlfn.XLOOKUP($C65,TB_UK!$E:$E,TB_UK!Q:Q)*O$2</f>
        <v>0</v>
      </c>
      <c r="P65" s="17">
        <f>-_xlfn.XLOOKUP($C65,TB_UK!$E:$E,TB_UK!R:R)*P$2</f>
        <v>0</v>
      </c>
      <c r="Q65" s="17">
        <f>-_xlfn.XLOOKUP($C65,TB_UK!$E:$E,TB_UK!S:S)*Q$2</f>
        <v>0</v>
      </c>
      <c r="R65" s="17">
        <f>-_xlfn.XLOOKUP($C65,TB_UK!$E:$E,TB_UK!T:T)*R$2</f>
        <v>0</v>
      </c>
      <c r="S65" s="17">
        <f>-_xlfn.XLOOKUP($C65,TB_UK!$E:$E,TB_UK!U:U)*S$2</f>
        <v>0</v>
      </c>
      <c r="T65" s="17">
        <f>-_xlfn.XLOOKUP($C65,TB_UK!$E:$E,TB_UK!V:V)*T$2</f>
        <v>0</v>
      </c>
      <c r="U65" s="17">
        <f>-_xlfn.XLOOKUP($C65,TB_UK!$E:$E,TB_UK!W:W)*U$2</f>
        <v>-76121.639999999985</v>
      </c>
      <c r="V65" s="17">
        <f>-_xlfn.XLOOKUP($C65,TB_UK!$E:$E,TB_UK!X:X)*V$2</f>
        <v>0</v>
      </c>
      <c r="W65" s="17">
        <f>-_xlfn.XLOOKUP($C65,TB_UK!$E:$E,TB_UK!Y:Y)*W$2</f>
        <v>0</v>
      </c>
      <c r="X65" s="17">
        <f>-_xlfn.XLOOKUP($C65,TB_UK!$E:$E,TB_UK!Z:Z)*X$2</f>
        <v>-179369.1</v>
      </c>
      <c r="Y65" s="17">
        <f>-_xlfn.XLOOKUP($C65,TB_UK!$E:$E,TB_UK!AA:AA)*Y$2</f>
        <v>0</v>
      </c>
      <c r="Z65" s="17">
        <f>-_xlfn.XLOOKUP($C65,TB_UK!$E:$E,TB_UK!AB:AB)*Z$2</f>
        <v>0</v>
      </c>
      <c r="AA65" s="17">
        <f>-_xlfn.XLOOKUP($C65,TB_UK!$E:$E,TB_UK!AC:AC)*AA$2</f>
        <v>0</v>
      </c>
      <c r="AB65" s="17">
        <f>-_xlfn.XLOOKUP($C65,TB_UK!$E:$E,TB_UK!AD:AD)*AB$2</f>
        <v>0</v>
      </c>
      <c r="AC65" s="17">
        <f>-_xlfn.XLOOKUP($C65,TB_UK!$E:$E,TB_UK!AE:AE)*AC$2</f>
        <v>0</v>
      </c>
      <c r="AD65" s="17">
        <f>-_xlfn.XLOOKUP($C65,TB_UK!$E:$E,TB_UK!AF:AF)*AD$2</f>
        <v>0</v>
      </c>
      <c r="AE65" s="17">
        <f>-_xlfn.XLOOKUP($C65,TB_UK!$E:$E,TB_UK!AG:AG)*AE$2</f>
        <v>0</v>
      </c>
      <c r="AF65" s="17">
        <f>-_xlfn.XLOOKUP($C65,TB_UK!$E:$E,TB_UK!AH:AH)*AF$2</f>
        <v>0</v>
      </c>
      <c r="AG65" s="17">
        <f>-_xlfn.XLOOKUP($C65,TB_UK!$E:$E,TB_UK!AI:AI)*AG$2</f>
        <v>0</v>
      </c>
      <c r="AH65" s="17">
        <f>-_xlfn.XLOOKUP($C65,TB_UK!$E:$E,TB_UK!AJ:AJ)*AH$2</f>
        <v>0</v>
      </c>
      <c r="AI65" s="17">
        <f>-_xlfn.XLOOKUP($C65,TB_UK!$E:$E,TB_UK!AK:AK)*AI$2</f>
        <v>0</v>
      </c>
      <c r="AJ65" s="17">
        <f>-_xlfn.XLOOKUP($C65,TB_UK!$E:$E,TB_UK!AL:AL)*AJ$2</f>
        <v>0</v>
      </c>
      <c r="AK65" s="17">
        <f>-_xlfn.XLOOKUP($C65,TB_UK!$E:$E,TB_UK!AM:AM)*AK$2</f>
        <v>0</v>
      </c>
      <c r="AL65" s="17">
        <f>-_xlfn.XLOOKUP($C65,TB_UK!$E:$E,TB_UK!AN:AN)*AL$2</f>
        <v>0</v>
      </c>
      <c r="AM65" s="17">
        <f>-_xlfn.XLOOKUP($C65,TB_UK!$E:$E,TB_UK!AO:AO)*AM$2</f>
        <v>0</v>
      </c>
    </row>
    <row r="66" spans="2:47" x14ac:dyDescent="0.2">
      <c r="B66" s="21">
        <v>62415</v>
      </c>
      <c r="C66" s="16" t="str">
        <f>_xlfn.XLOOKUP(B66,TB_UK!A:A,TB_UK!E:E)</f>
        <v>Office Expense: Computer accessories &amp; Supplies</v>
      </c>
      <c r="D66" s="17">
        <f>-_xlfn.XLOOKUP($C66,TB_UK!$E:$E,TB_UK!F:F)*D$2</f>
        <v>0</v>
      </c>
      <c r="E66" s="17">
        <f>-_xlfn.XLOOKUP($C66,TB_UK!$E:$E,TB_UK!G:G)*E$2</f>
        <v>0</v>
      </c>
      <c r="F66" s="17">
        <f>-_xlfn.XLOOKUP($C66,TB_UK!$E:$E,TB_UK!H:H)*F$2</f>
        <v>0</v>
      </c>
      <c r="G66" s="17">
        <f>-_xlfn.XLOOKUP($C66,TB_UK!$E:$E,TB_UK!I:I)*G$2</f>
        <v>0</v>
      </c>
      <c r="H66" s="17">
        <f>-_xlfn.XLOOKUP($C66,TB_UK!$E:$E,TB_UK!J:J)*H$2</f>
        <v>-46399.248999999996</v>
      </c>
      <c r="I66" s="17">
        <f>-_xlfn.XLOOKUP($C66,TB_UK!$E:$E,TB_UK!K:K)*I$2</f>
        <v>-99833.208799999993</v>
      </c>
      <c r="J66" s="17">
        <f>-_xlfn.XLOOKUP($C66,TB_UK!$E:$E,TB_UK!L:L)*J$2</f>
        <v>0</v>
      </c>
      <c r="K66" s="17">
        <f>-_xlfn.XLOOKUP($C66,TB_UK!$E:$E,TB_UK!M:M)*K$2</f>
        <v>0</v>
      </c>
      <c r="L66" s="17">
        <f>-_xlfn.XLOOKUP($C66,TB_UK!$E:$E,TB_UK!N:N)*L$2</f>
        <v>0</v>
      </c>
      <c r="M66" s="17">
        <f>-_xlfn.XLOOKUP($C66,TB_UK!$E:$E,TB_UK!O:O)*M$2</f>
        <v>0</v>
      </c>
      <c r="N66" s="17">
        <f>-_xlfn.XLOOKUP($C66,TB_UK!$E:$E,TB_UK!P:P)*N$2</f>
        <v>0</v>
      </c>
      <c r="O66" s="17">
        <f>-_xlfn.XLOOKUP($C66,TB_UK!$E:$E,TB_UK!Q:Q)*O$2</f>
        <v>0</v>
      </c>
      <c r="P66" s="17">
        <f>-_xlfn.XLOOKUP($C66,TB_UK!$E:$E,TB_UK!R:R)*P$2</f>
        <v>-115414.47839999999</v>
      </c>
      <c r="Q66" s="17">
        <f>-_xlfn.XLOOKUP($C66,TB_UK!$E:$E,TB_UK!S:S)*Q$2</f>
        <v>0</v>
      </c>
      <c r="R66" s="17">
        <f>-_xlfn.XLOOKUP($C66,TB_UK!$E:$E,TB_UK!T:T)*R$2</f>
        <v>0</v>
      </c>
      <c r="S66" s="17">
        <f>-_xlfn.XLOOKUP($C66,TB_UK!$E:$E,TB_UK!U:U)*S$2</f>
        <v>0</v>
      </c>
      <c r="T66" s="17">
        <f>-_xlfn.XLOOKUP($C66,TB_UK!$E:$E,TB_UK!V:V)*T$2</f>
        <v>0</v>
      </c>
      <c r="U66" s="17">
        <f>-_xlfn.XLOOKUP($C66,TB_UK!$E:$E,TB_UK!W:W)*U$2</f>
        <v>0</v>
      </c>
      <c r="V66" s="17">
        <f>-_xlfn.XLOOKUP($C66,TB_UK!$E:$E,TB_UK!X:X)*V$2</f>
        <v>0</v>
      </c>
      <c r="W66" s="17">
        <f>-_xlfn.XLOOKUP($C66,TB_UK!$E:$E,TB_UK!Y:Y)*W$2</f>
        <v>0</v>
      </c>
      <c r="X66" s="17">
        <f>-_xlfn.XLOOKUP($C66,TB_UK!$E:$E,TB_UK!Z:Z)*X$2</f>
        <v>0</v>
      </c>
      <c r="Y66" s="17">
        <f>-_xlfn.XLOOKUP($C66,TB_UK!$E:$E,TB_UK!AA:AA)*Y$2</f>
        <v>0</v>
      </c>
      <c r="Z66" s="17">
        <f>-_xlfn.XLOOKUP($C66,TB_UK!$E:$E,TB_UK!AB:AB)*Z$2</f>
        <v>0</v>
      </c>
      <c r="AA66" s="17">
        <f>-_xlfn.XLOOKUP($C66,TB_UK!$E:$E,TB_UK!AC:AC)*AA$2</f>
        <v>0</v>
      </c>
      <c r="AB66" s="17">
        <f>-_xlfn.XLOOKUP($C66,TB_UK!$E:$E,TB_UK!AD:AD)*AB$2</f>
        <v>0</v>
      </c>
      <c r="AC66" s="17">
        <f>-_xlfn.XLOOKUP($C66,TB_UK!$E:$E,TB_UK!AE:AE)*AC$2</f>
        <v>0</v>
      </c>
      <c r="AD66" s="17">
        <f>-_xlfn.XLOOKUP($C66,TB_UK!$E:$E,TB_UK!AF:AF)*AD$2</f>
        <v>0</v>
      </c>
      <c r="AE66" s="17">
        <f>-_xlfn.XLOOKUP($C66,TB_UK!$E:$E,TB_UK!AG:AG)*AE$2</f>
        <v>0</v>
      </c>
      <c r="AF66" s="17">
        <f>-_xlfn.XLOOKUP($C66,TB_UK!$E:$E,TB_UK!AH:AH)*AF$2</f>
        <v>0</v>
      </c>
      <c r="AG66" s="17">
        <f>-_xlfn.XLOOKUP($C66,TB_UK!$E:$E,TB_UK!AI:AI)*AG$2</f>
        <v>0</v>
      </c>
      <c r="AH66" s="17">
        <f>-_xlfn.XLOOKUP($C66,TB_UK!$E:$E,TB_UK!AJ:AJ)*AH$2</f>
        <v>0</v>
      </c>
      <c r="AI66" s="17">
        <f>-_xlfn.XLOOKUP($C66,TB_UK!$E:$E,TB_UK!AK:AK)*AI$2</f>
        <v>0</v>
      </c>
      <c r="AJ66" s="17">
        <f>-_xlfn.XLOOKUP($C66,TB_UK!$E:$E,TB_UK!AL:AL)*AJ$2</f>
        <v>0</v>
      </c>
      <c r="AK66" s="17">
        <f>-_xlfn.XLOOKUP($C66,TB_UK!$E:$E,TB_UK!AM:AM)*AK$2</f>
        <v>0</v>
      </c>
      <c r="AL66" s="17">
        <f>-_xlfn.XLOOKUP($C66,TB_UK!$E:$E,TB_UK!AN:AN)*AL$2</f>
        <v>0</v>
      </c>
      <c r="AM66" s="17">
        <f>-_xlfn.XLOOKUP($C66,TB_UK!$E:$E,TB_UK!AO:AO)*AM$2</f>
        <v>0</v>
      </c>
    </row>
    <row r="67" spans="2:47" x14ac:dyDescent="0.2">
      <c r="B67" s="21">
        <v>62435</v>
      </c>
      <c r="C67" s="16" t="str">
        <f>_xlfn.XLOOKUP(B67,TB_UK!A:A,TB_UK!E:E)</f>
        <v>Office Expense: Stationery</v>
      </c>
      <c r="D67" s="17">
        <f>-_xlfn.XLOOKUP($C67,TB_UK!$E:$E,TB_UK!F:F)*D$2</f>
        <v>0</v>
      </c>
      <c r="E67" s="17">
        <f>-_xlfn.XLOOKUP($C67,TB_UK!$E:$E,TB_UK!G:G)*E$2</f>
        <v>0</v>
      </c>
      <c r="F67" s="17">
        <f>-_xlfn.XLOOKUP($C67,TB_UK!$E:$E,TB_UK!H:H)*F$2</f>
        <v>0</v>
      </c>
      <c r="G67" s="17">
        <f>-_xlfn.XLOOKUP($C67,TB_UK!$E:$E,TB_UK!I:I)*G$2</f>
        <v>0</v>
      </c>
      <c r="H67" s="17">
        <f>-_xlfn.XLOOKUP($C67,TB_UK!$E:$E,TB_UK!J:J)*H$2</f>
        <v>0</v>
      </c>
      <c r="I67" s="17">
        <f>-_xlfn.XLOOKUP($C67,TB_UK!$E:$E,TB_UK!K:K)*I$2</f>
        <v>0</v>
      </c>
      <c r="J67" s="17">
        <f>-_xlfn.XLOOKUP($C67,TB_UK!$E:$E,TB_UK!L:L)*J$2</f>
        <v>0</v>
      </c>
      <c r="K67" s="17">
        <f>-_xlfn.XLOOKUP($C67,TB_UK!$E:$E,TB_UK!M:M)*K$2</f>
        <v>0</v>
      </c>
      <c r="L67" s="17">
        <f>-_xlfn.XLOOKUP($C67,TB_UK!$E:$E,TB_UK!N:N)*L$2</f>
        <v>0</v>
      </c>
      <c r="M67" s="17">
        <f>-_xlfn.XLOOKUP($C67,TB_UK!$E:$E,TB_UK!O:O)*M$2</f>
        <v>0</v>
      </c>
      <c r="N67" s="17">
        <f>-_xlfn.XLOOKUP($C67,TB_UK!$E:$E,TB_UK!P:P)*N$2</f>
        <v>0</v>
      </c>
      <c r="O67" s="17">
        <f>-_xlfn.XLOOKUP($C67,TB_UK!$E:$E,TB_UK!Q:Q)*O$2</f>
        <v>0</v>
      </c>
      <c r="P67" s="17">
        <f>-_xlfn.XLOOKUP($C67,TB_UK!$E:$E,TB_UK!R:R)*P$2</f>
        <v>0</v>
      </c>
      <c r="Q67" s="17">
        <f>-_xlfn.XLOOKUP($C67,TB_UK!$E:$E,TB_UK!S:S)*Q$2</f>
        <v>0</v>
      </c>
      <c r="R67" s="17">
        <f>-_xlfn.XLOOKUP($C67,TB_UK!$E:$E,TB_UK!T:T)*R$2</f>
        <v>0</v>
      </c>
      <c r="S67" s="17">
        <f>-_xlfn.XLOOKUP($C67,TB_UK!$E:$E,TB_UK!U:U)*S$2</f>
        <v>0</v>
      </c>
      <c r="T67" s="17">
        <f>-_xlfn.XLOOKUP($C67,TB_UK!$E:$E,TB_UK!V:V)*T$2</f>
        <v>0</v>
      </c>
      <c r="U67" s="17">
        <f>-_xlfn.XLOOKUP($C67,TB_UK!$E:$E,TB_UK!W:W)*U$2</f>
        <v>0</v>
      </c>
      <c r="V67" s="17">
        <f>-_xlfn.XLOOKUP($C67,TB_UK!$E:$E,TB_UK!X:X)*V$2</f>
        <v>0</v>
      </c>
      <c r="W67" s="17">
        <f>-_xlfn.XLOOKUP($C67,TB_UK!$E:$E,TB_UK!Y:Y)*W$2</f>
        <v>0</v>
      </c>
      <c r="X67" s="17">
        <f>-_xlfn.XLOOKUP($C67,TB_UK!$E:$E,TB_UK!Z:Z)*X$2</f>
        <v>0</v>
      </c>
      <c r="Y67" s="17">
        <f>-_xlfn.XLOOKUP($C67,TB_UK!$E:$E,TB_UK!AA:AA)*Y$2</f>
        <v>0</v>
      </c>
      <c r="Z67" s="17">
        <f>-_xlfn.XLOOKUP($C67,TB_UK!$E:$E,TB_UK!AB:AB)*Z$2</f>
        <v>0</v>
      </c>
      <c r="AA67" s="17">
        <f>-_xlfn.XLOOKUP($C67,TB_UK!$E:$E,TB_UK!AC:AC)*AA$2</f>
        <v>0</v>
      </c>
      <c r="AB67" s="17">
        <f>-_xlfn.XLOOKUP($C67,TB_UK!$E:$E,TB_UK!AD:AD)*AB$2</f>
        <v>0</v>
      </c>
      <c r="AC67" s="17">
        <f>-_xlfn.XLOOKUP($C67,TB_UK!$E:$E,TB_UK!AE:AE)*AC$2</f>
        <v>0</v>
      </c>
      <c r="AD67" s="17">
        <f>-_xlfn.XLOOKUP($C67,TB_UK!$E:$E,TB_UK!AF:AF)*AD$2</f>
        <v>-198074.63499999998</v>
      </c>
      <c r="AE67" s="17">
        <f>-_xlfn.XLOOKUP($C67,TB_UK!$E:$E,TB_UK!AG:AG)*AE$2</f>
        <v>0</v>
      </c>
      <c r="AF67" s="17">
        <f>-_xlfn.XLOOKUP($C67,TB_UK!$E:$E,TB_UK!AH:AH)*AF$2</f>
        <v>0</v>
      </c>
      <c r="AG67" s="17">
        <f>-_xlfn.XLOOKUP($C67,TB_UK!$E:$E,TB_UK!AI:AI)*AG$2</f>
        <v>0</v>
      </c>
      <c r="AH67" s="17">
        <f>-_xlfn.XLOOKUP($C67,TB_UK!$E:$E,TB_UK!AJ:AJ)*AH$2</f>
        <v>0</v>
      </c>
      <c r="AI67" s="17">
        <f>-_xlfn.XLOOKUP($C67,TB_UK!$E:$E,TB_UK!AK:AK)*AI$2</f>
        <v>0</v>
      </c>
      <c r="AJ67" s="17">
        <f>-_xlfn.XLOOKUP($C67,TB_UK!$E:$E,TB_UK!AL:AL)*AJ$2</f>
        <v>0</v>
      </c>
      <c r="AK67" s="17">
        <f>-_xlfn.XLOOKUP($C67,TB_UK!$E:$E,TB_UK!AM:AM)*AK$2</f>
        <v>0</v>
      </c>
      <c r="AL67" s="17">
        <f>-_xlfn.XLOOKUP($C67,TB_UK!$E:$E,TB_UK!AN:AN)*AL$2</f>
        <v>0</v>
      </c>
      <c r="AM67" s="17">
        <f>-_xlfn.XLOOKUP($C67,TB_UK!$E:$E,TB_UK!AO:AO)*AM$2</f>
        <v>0</v>
      </c>
    </row>
    <row r="68" spans="2:47" x14ac:dyDescent="0.2">
      <c r="B68" s="21">
        <v>63100</v>
      </c>
      <c r="C68" s="16" t="str">
        <f>_xlfn.XLOOKUP(B68,TB_UK!A:A,TB_UK!E:E)</f>
        <v>Telephone</v>
      </c>
      <c r="D68" s="17">
        <f>-_xlfn.XLOOKUP($C68,TB_UK!$E:$E,TB_UK!F:F)*D$2</f>
        <v>0</v>
      </c>
      <c r="E68" s="17">
        <f>-_xlfn.XLOOKUP($C68,TB_UK!$E:$E,TB_UK!G:G)*E$2</f>
        <v>0</v>
      </c>
      <c r="F68" s="17">
        <f>-_xlfn.XLOOKUP($C68,TB_UK!$E:$E,TB_UK!H:H)*F$2</f>
        <v>-28366.021499999999</v>
      </c>
      <c r="G68" s="17">
        <f>-_xlfn.XLOOKUP($C68,TB_UK!$E:$E,TB_UK!I:I)*G$2</f>
        <v>-118821.10559999998</v>
      </c>
      <c r="H68" s="17">
        <f>-_xlfn.XLOOKUP($C68,TB_UK!$E:$E,TB_UK!J:J)*H$2</f>
        <v>26516.343799999999</v>
      </c>
      <c r="I68" s="17">
        <f>-_xlfn.XLOOKUP($C68,TB_UK!$E:$E,TB_UK!K:K)*I$2</f>
        <v>-102860.81</v>
      </c>
      <c r="J68" s="17">
        <f>-_xlfn.XLOOKUP($C68,TB_UK!$E:$E,TB_UK!L:L)*J$2</f>
        <v>-760032.92999999993</v>
      </c>
      <c r="K68" s="17">
        <f>-_xlfn.XLOOKUP($C68,TB_UK!$E:$E,TB_UK!M:M)*K$2</f>
        <v>-92648.134000000005</v>
      </c>
      <c r="L68" s="17">
        <f>-_xlfn.XLOOKUP($C68,TB_UK!$E:$E,TB_UK!N:N)*L$2</f>
        <v>-114867.14499999999</v>
      </c>
      <c r="M68" s="17">
        <f>-_xlfn.XLOOKUP($C68,TB_UK!$E:$E,TB_UK!O:O)*M$2</f>
        <v>-93923.72</v>
      </c>
      <c r="N68" s="17">
        <f>-_xlfn.XLOOKUP($C68,TB_UK!$E:$E,TB_UK!P:P)*N$2</f>
        <v>-94109.4</v>
      </c>
      <c r="O68" s="17">
        <f>-_xlfn.XLOOKUP($C68,TB_UK!$E:$E,TB_UK!Q:Q)*O$2</f>
        <v>-85516.64</v>
      </c>
      <c r="P68" s="17">
        <f>-_xlfn.XLOOKUP($C68,TB_UK!$E:$E,TB_UK!R:R)*P$2</f>
        <v>-84570.953999999998</v>
      </c>
      <c r="Q68" s="17">
        <f>-_xlfn.XLOOKUP($C68,TB_UK!$E:$E,TB_UK!S:S)*Q$2</f>
        <v>-83349.2</v>
      </c>
      <c r="R68" s="17">
        <f>-_xlfn.XLOOKUP($C68,TB_UK!$E:$E,TB_UK!T:T)*R$2</f>
        <v>-88114.48599999999</v>
      </c>
      <c r="S68" s="17">
        <f>-_xlfn.XLOOKUP($C68,TB_UK!$E:$E,TB_UK!U:U)*S$2</f>
        <v>-94499.24</v>
      </c>
      <c r="T68" s="17">
        <f>-_xlfn.XLOOKUP($C68,TB_UK!$E:$E,TB_UK!V:V)*T$2</f>
        <v>-94113.799999999988</v>
      </c>
      <c r="U68" s="17">
        <f>-_xlfn.XLOOKUP($C68,TB_UK!$E:$E,TB_UK!W:W)*U$2</f>
        <v>-145899.81</v>
      </c>
      <c r="V68" s="17">
        <f>-_xlfn.XLOOKUP($C68,TB_UK!$E:$E,TB_UK!X:X)*V$2</f>
        <v>-91264.774600000004</v>
      </c>
      <c r="W68" s="17">
        <f>-_xlfn.XLOOKUP($C68,TB_UK!$E:$E,TB_UK!Y:Y)*W$2</f>
        <v>0</v>
      </c>
      <c r="X68" s="17">
        <f>-_xlfn.XLOOKUP($C68,TB_UK!$E:$E,TB_UK!Z:Z)*X$2</f>
        <v>0</v>
      </c>
      <c r="Y68" s="17">
        <f>-_xlfn.XLOOKUP($C68,TB_UK!$E:$E,TB_UK!AA:AA)*Y$2</f>
        <v>-57291</v>
      </c>
      <c r="Z68" s="17">
        <f>-_xlfn.XLOOKUP($C68,TB_UK!$E:$E,TB_UK!AB:AB)*Z$2</f>
        <v>-7043.7776000000003</v>
      </c>
      <c r="AA68" s="17">
        <f>-_xlfn.XLOOKUP($C68,TB_UK!$E:$E,TB_UK!AC:AC)*AA$2</f>
        <v>-117345</v>
      </c>
      <c r="AB68" s="17">
        <f>-_xlfn.XLOOKUP($C68,TB_UK!$E:$E,TB_UK!AD:AD)*AB$2</f>
        <v>-57187.8</v>
      </c>
      <c r="AC68" s="17">
        <f>-_xlfn.XLOOKUP($C68,TB_UK!$E:$E,TB_UK!AE:AE)*AC$2</f>
        <v>0</v>
      </c>
      <c r="AD68" s="17">
        <f>-_xlfn.XLOOKUP($C68,TB_UK!$E:$E,TB_UK!AF:AF)*AD$2</f>
        <v>-73124</v>
      </c>
      <c r="AE68" s="17">
        <f>-_xlfn.XLOOKUP($C68,TB_UK!$E:$E,TB_UK!AG:AG)*AE$2</f>
        <v>-55653</v>
      </c>
      <c r="AF68" s="17">
        <f>-_xlfn.XLOOKUP($C68,TB_UK!$E:$E,TB_UK!AH:AH)*AF$2</f>
        <v>0</v>
      </c>
      <c r="AG68" s="17">
        <f>-_xlfn.XLOOKUP($C68,TB_UK!$E:$E,TB_UK!AI:AI)*AG$2</f>
        <v>0</v>
      </c>
      <c r="AH68" s="17">
        <f>-_xlfn.XLOOKUP($C68,TB_UK!$E:$E,TB_UK!AJ:AJ)*AH$2</f>
        <v>0</v>
      </c>
      <c r="AI68" s="17">
        <f>-_xlfn.XLOOKUP($C68,TB_UK!$E:$E,TB_UK!AK:AK)*AI$2</f>
        <v>0</v>
      </c>
      <c r="AJ68" s="17">
        <f>-_xlfn.XLOOKUP($C68,TB_UK!$E:$E,TB_UK!AL:AL)*AJ$2</f>
        <v>0</v>
      </c>
      <c r="AK68" s="17">
        <f>-_xlfn.XLOOKUP($C68,TB_UK!$E:$E,TB_UK!AM:AM)*AK$2</f>
        <v>0</v>
      </c>
      <c r="AL68" s="17">
        <f>-_xlfn.XLOOKUP($C68,TB_UK!$E:$E,TB_UK!AN:AN)*AL$2</f>
        <v>0</v>
      </c>
      <c r="AM68" s="17">
        <f>-_xlfn.XLOOKUP($C68,TB_UK!$E:$E,TB_UK!AO:AO)*AM$2</f>
        <v>0</v>
      </c>
    </row>
    <row r="69" spans="2:47" x14ac:dyDescent="0.2">
      <c r="B69" s="21">
        <v>65095</v>
      </c>
      <c r="C69" s="16" t="str">
        <f>_xlfn.XLOOKUP(B69,TB_UK!A:A,TB_UK!E:E)</f>
        <v>Hosting Expenses</v>
      </c>
      <c r="D69" s="17">
        <f>-_xlfn.XLOOKUP($C69,TB_UK!$E:$E,TB_UK!F:F)*D$2</f>
        <v>-874.82780000000014</v>
      </c>
      <c r="E69" s="17">
        <f>-_xlfn.XLOOKUP($C69,TB_UK!$E:$E,TB_UK!G:G)*E$2</f>
        <v>-1547.7924</v>
      </c>
      <c r="F69" s="17">
        <f>-_xlfn.XLOOKUP($C69,TB_UK!$E:$E,TB_UK!H:H)*F$2</f>
        <v>-1352.4357</v>
      </c>
      <c r="G69" s="17">
        <f>-_xlfn.XLOOKUP($C69,TB_UK!$E:$E,TB_UK!I:I)*G$2</f>
        <v>-50743.719899999996</v>
      </c>
      <c r="H69" s="17">
        <f>-_xlfn.XLOOKUP($C69,TB_UK!$E:$E,TB_UK!J:J)*H$2</f>
        <v>-352529.82879999996</v>
      </c>
      <c r="I69" s="17">
        <f>-_xlfn.XLOOKUP($C69,TB_UK!$E:$E,TB_UK!K:K)*I$2</f>
        <v>-43279.171000000002</v>
      </c>
      <c r="J69" s="17">
        <f>-_xlfn.XLOOKUP($C69,TB_UK!$E:$E,TB_UK!L:L)*J$2</f>
        <v>-139855.26149999999</v>
      </c>
      <c r="K69" s="17">
        <f>-_xlfn.XLOOKUP($C69,TB_UK!$E:$E,TB_UK!M:M)*K$2</f>
        <v>-1610.3626000000002</v>
      </c>
      <c r="L69" s="17">
        <f>-_xlfn.XLOOKUP($C69,TB_UK!$E:$E,TB_UK!N:N)*L$2</f>
        <v>-41664.432399999998</v>
      </c>
      <c r="M69" s="17">
        <f>-_xlfn.XLOOKUP($C69,TB_UK!$E:$E,TB_UK!O:O)*M$2</f>
        <v>-1643.6651000000002</v>
      </c>
      <c r="N69" s="17">
        <f>-_xlfn.XLOOKUP($C69,TB_UK!$E:$E,TB_UK!P:P)*N$2</f>
        <v>-3068693.6489999997</v>
      </c>
      <c r="O69" s="17">
        <f>-_xlfn.XLOOKUP($C69,TB_UK!$E:$E,TB_UK!Q:Q)*O$2</f>
        <v>-3264014.6639999999</v>
      </c>
      <c r="P69" s="17">
        <f>-_xlfn.XLOOKUP($C69,TB_UK!$E:$E,TB_UK!R:R)*P$2</f>
        <v>-1473.2948999999999</v>
      </c>
      <c r="Q69" s="17">
        <f>-_xlfn.XLOOKUP($C69,TB_UK!$E:$E,TB_UK!S:S)*Q$2</f>
        <v>-1704.8700000001722</v>
      </c>
      <c r="R69" s="17">
        <f>-_xlfn.XLOOKUP($C69,TB_UK!$E:$E,TB_UK!T:T)*R$2</f>
        <v>-1529.4894999999999</v>
      </c>
      <c r="S69" s="17">
        <f>-_xlfn.XLOOKUP($C69,TB_UK!$E:$E,TB_UK!U:U)*S$2</f>
        <v>-1653.7367000000002</v>
      </c>
      <c r="T69" s="17">
        <f>-_xlfn.XLOOKUP($C69,TB_UK!$E:$E,TB_UK!V:V)*T$2</f>
        <v>0</v>
      </c>
      <c r="U69" s="17">
        <f>-_xlfn.XLOOKUP($C69,TB_UK!$E:$E,TB_UK!W:W)*U$2</f>
        <v>0</v>
      </c>
      <c r="V69" s="17">
        <f>-_xlfn.XLOOKUP($C69,TB_UK!$E:$E,TB_UK!X:X)*V$2</f>
        <v>0</v>
      </c>
      <c r="W69" s="17">
        <f>-_xlfn.XLOOKUP($C69,TB_UK!$E:$E,TB_UK!Y:Y)*W$2</f>
        <v>0</v>
      </c>
      <c r="X69" s="17">
        <f>-_xlfn.XLOOKUP($C69,TB_UK!$E:$E,TB_UK!Z:Z)*X$2</f>
        <v>0</v>
      </c>
      <c r="Y69" s="17">
        <f>-_xlfn.XLOOKUP($C69,TB_UK!$E:$E,TB_UK!AA:AA)*Y$2</f>
        <v>0</v>
      </c>
      <c r="Z69" s="17">
        <f>-_xlfn.XLOOKUP($C69,TB_UK!$E:$E,TB_UK!AB:AB)*Z$2</f>
        <v>0</v>
      </c>
      <c r="AA69" s="17">
        <f>-_xlfn.XLOOKUP($C69,TB_UK!$E:$E,TB_UK!AC:AC)*AA$2</f>
        <v>0</v>
      </c>
      <c r="AB69" s="17">
        <f>-_xlfn.XLOOKUP($C69,TB_UK!$E:$E,TB_UK!AD:AD)*AB$2</f>
        <v>0</v>
      </c>
      <c r="AC69" s="17">
        <f>-_xlfn.XLOOKUP($C69,TB_UK!$E:$E,TB_UK!AE:AE)*AC$2</f>
        <v>0</v>
      </c>
      <c r="AD69" s="17">
        <f>-_xlfn.XLOOKUP($C69,TB_UK!$E:$E,TB_UK!AF:AF)*AD$2</f>
        <v>0</v>
      </c>
      <c r="AE69" s="17">
        <f>-_xlfn.XLOOKUP($C69,TB_UK!$E:$E,TB_UK!AG:AG)*AE$2</f>
        <v>0</v>
      </c>
      <c r="AF69" s="17">
        <f>-_xlfn.XLOOKUP($C69,TB_UK!$E:$E,TB_UK!AH:AH)*AF$2</f>
        <v>0</v>
      </c>
      <c r="AG69" s="17">
        <f>-_xlfn.XLOOKUP($C69,TB_UK!$E:$E,TB_UK!AI:AI)*AG$2</f>
        <v>0</v>
      </c>
      <c r="AH69" s="17">
        <f>-_xlfn.XLOOKUP($C69,TB_UK!$E:$E,TB_UK!AJ:AJ)*AH$2</f>
        <v>0</v>
      </c>
      <c r="AI69" s="17">
        <f>-_xlfn.XLOOKUP($C69,TB_UK!$E:$E,TB_UK!AK:AK)*AI$2</f>
        <v>0</v>
      </c>
      <c r="AJ69" s="17">
        <f>-_xlfn.XLOOKUP($C69,TB_UK!$E:$E,TB_UK!AL:AL)*AJ$2</f>
        <v>0</v>
      </c>
      <c r="AK69" s="17">
        <f>-_xlfn.XLOOKUP($C69,TB_UK!$E:$E,TB_UK!AM:AM)*AK$2</f>
        <v>0</v>
      </c>
      <c r="AL69" s="17">
        <f>-_xlfn.XLOOKUP($C69,TB_UK!$E:$E,TB_UK!AN:AN)*AL$2</f>
        <v>0</v>
      </c>
      <c r="AM69" s="17">
        <f>-_xlfn.XLOOKUP($C69,TB_UK!$E:$E,TB_UK!AO:AO)*AM$2</f>
        <v>0</v>
      </c>
    </row>
    <row r="70" spans="2:47" x14ac:dyDescent="0.2">
      <c r="B70" s="21"/>
      <c r="C70" s="1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</row>
    <row r="71" spans="2:47" s="20" customFormat="1" ht="13.5" customHeight="1" x14ac:dyDescent="0.15">
      <c r="C71" s="22" t="s">
        <v>131</v>
      </c>
      <c r="D71" s="23">
        <f t="shared" ref="D71:AM71" si="10">SUM(D61:D70)</f>
        <v>-1977497.1156000001</v>
      </c>
      <c r="E71" s="23">
        <f t="shared" si="10"/>
        <v>-1308990.1439999999</v>
      </c>
      <c r="F71" s="23">
        <f t="shared" si="10"/>
        <v>-413054.93969999993</v>
      </c>
      <c r="G71" s="23">
        <f t="shared" si="10"/>
        <v>-1208914.2254999997</v>
      </c>
      <c r="H71" s="23">
        <f t="shared" si="10"/>
        <v>-4972641.466</v>
      </c>
      <c r="I71" s="23">
        <f t="shared" si="10"/>
        <v>-1533654.6771</v>
      </c>
      <c r="J71" s="23">
        <f t="shared" si="10"/>
        <v>-7130798.7749999994</v>
      </c>
      <c r="K71" s="23">
        <f t="shared" si="10"/>
        <v>-1491300.3366000003</v>
      </c>
      <c r="L71" s="23">
        <f t="shared" si="10"/>
        <v>-1630845.8074</v>
      </c>
      <c r="M71" s="23">
        <f t="shared" si="10"/>
        <v>-1506878.0096000002</v>
      </c>
      <c r="N71" s="23">
        <f t="shared" si="10"/>
        <v>-4628642.5079999994</v>
      </c>
      <c r="O71" s="23">
        <f t="shared" si="10"/>
        <v>-6885547.1899999995</v>
      </c>
      <c r="P71" s="23">
        <f t="shared" si="10"/>
        <v>-1466196.2972999997</v>
      </c>
      <c r="Q71" s="23">
        <f t="shared" si="10"/>
        <v>-1337186.3700000001</v>
      </c>
      <c r="R71" s="23">
        <f t="shared" si="10"/>
        <v>-925897.32549999992</v>
      </c>
      <c r="S71" s="23">
        <f t="shared" si="10"/>
        <v>-1515789.2867000001</v>
      </c>
      <c r="T71" s="23">
        <f t="shared" si="10"/>
        <v>-2857209.4099999997</v>
      </c>
      <c r="U71" s="23">
        <f t="shared" si="10"/>
        <v>-2512014.1199999996</v>
      </c>
      <c r="V71" s="23">
        <f t="shared" si="10"/>
        <v>-1605754.5915999999</v>
      </c>
      <c r="W71" s="23">
        <f t="shared" si="10"/>
        <v>-1538516.0699999998</v>
      </c>
      <c r="X71" s="23">
        <f>SUM(X61:X70)</f>
        <v>-1660160.6700000002</v>
      </c>
      <c r="Y71" s="23">
        <f t="shared" si="10"/>
        <v>-1473715.4900000002</v>
      </c>
      <c r="Z71" s="23">
        <f t="shared" si="10"/>
        <v>-1477566.3365</v>
      </c>
      <c r="AA71" s="23">
        <f t="shared" si="10"/>
        <v>-3953881.1025</v>
      </c>
      <c r="AB71" s="23">
        <f t="shared" si="10"/>
        <v>-1511187.615</v>
      </c>
      <c r="AC71" s="23">
        <f t="shared" si="10"/>
        <v>-1489874.8104000001</v>
      </c>
      <c r="AD71" s="23">
        <f t="shared" si="10"/>
        <v>-2067581.0999999999</v>
      </c>
      <c r="AE71" s="23">
        <f t="shared" si="10"/>
        <v>-3219025.1729999995</v>
      </c>
      <c r="AF71" s="23">
        <f t="shared" si="10"/>
        <v>0</v>
      </c>
      <c r="AG71" s="23">
        <f t="shared" si="10"/>
        <v>0</v>
      </c>
      <c r="AH71" s="23">
        <f t="shared" si="10"/>
        <v>0</v>
      </c>
      <c r="AI71" s="23">
        <f t="shared" si="10"/>
        <v>0</v>
      </c>
      <c r="AJ71" s="23">
        <f t="shared" si="10"/>
        <v>0</v>
      </c>
      <c r="AK71" s="23">
        <f t="shared" si="10"/>
        <v>0</v>
      </c>
      <c r="AL71" s="23">
        <f t="shared" si="10"/>
        <v>0</v>
      </c>
      <c r="AM71" s="23">
        <f t="shared" si="10"/>
        <v>0</v>
      </c>
      <c r="AS71" s="23">
        <f>SUM(D71:O71)</f>
        <v>-34688765.194499992</v>
      </c>
      <c r="AT71" s="23">
        <f>SUM(P71:AA71)</f>
        <v>-22323887.070099998</v>
      </c>
      <c r="AU71" s="23">
        <f>SUM(AB71:AM71)</f>
        <v>-8287668.6983999992</v>
      </c>
    </row>
    <row r="72" spans="2:47" x14ac:dyDescent="0.2">
      <c r="B72" s="21"/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8"/>
    </row>
    <row r="73" spans="2:47" x14ac:dyDescent="0.2">
      <c r="B73" s="21"/>
      <c r="C73" s="20" t="s">
        <v>749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8"/>
    </row>
    <row r="74" spans="2:47" x14ac:dyDescent="0.2">
      <c r="B74" s="21">
        <v>60100</v>
      </c>
      <c r="C74" s="16" t="str">
        <f>_xlfn.XLOOKUP(B74,TB_UK!A:A,TB_UK!E:E)</f>
        <v>Marketing &amp; Branding - Digital</v>
      </c>
      <c r="D74" s="17">
        <f>-_xlfn.XLOOKUP($C74,TB_UK!$E:$E,TB_UK!F:F)*D$2</f>
        <v>0</v>
      </c>
      <c r="E74" s="17">
        <f>-_xlfn.XLOOKUP($C74,TB_UK!$E:$E,TB_UK!G:G)*E$2</f>
        <v>0</v>
      </c>
      <c r="F74" s="17">
        <f>-_xlfn.XLOOKUP($C74,TB_UK!$E:$E,TB_UK!H:H)*F$2</f>
        <v>0</v>
      </c>
      <c r="G74" s="17">
        <f>-_xlfn.XLOOKUP($C74,TB_UK!$E:$E,TB_UK!I:I)*G$2</f>
        <v>0</v>
      </c>
      <c r="H74" s="17">
        <f>-_xlfn.XLOOKUP($C74,TB_UK!$E:$E,TB_UK!J:J)*H$2</f>
        <v>0</v>
      </c>
      <c r="I74" s="17">
        <f>-_xlfn.XLOOKUP($C74,TB_UK!$E:$E,TB_UK!K:K)*I$2</f>
        <v>0</v>
      </c>
      <c r="J74" s="17">
        <f>-_xlfn.XLOOKUP($C74,TB_UK!$E:$E,TB_UK!L:L)*J$2</f>
        <v>0</v>
      </c>
      <c r="K74" s="17">
        <f>-_xlfn.XLOOKUP($C74,TB_UK!$E:$E,TB_UK!M:M)*K$2</f>
        <v>0</v>
      </c>
      <c r="L74" s="17">
        <f>-_xlfn.XLOOKUP($C74,TB_UK!$E:$E,TB_UK!N:N)*L$2</f>
        <v>0</v>
      </c>
      <c r="M74" s="17">
        <f>-_xlfn.XLOOKUP($C74,TB_UK!$E:$E,TB_UK!O:O)*M$2</f>
        <v>0</v>
      </c>
      <c r="N74" s="17">
        <f>-_xlfn.XLOOKUP($C74,TB_UK!$E:$E,TB_UK!P:P)*N$2</f>
        <v>0</v>
      </c>
      <c r="O74" s="17">
        <f>-_xlfn.XLOOKUP($C74,TB_UK!$E:$E,TB_UK!Q:Q)*O$2</f>
        <v>0</v>
      </c>
      <c r="P74" s="17">
        <f>-_xlfn.XLOOKUP($C74,TB_UK!$E:$E,TB_UK!R:R)*P$2</f>
        <v>0</v>
      </c>
      <c r="Q74" s="17">
        <f>-_xlfn.XLOOKUP($C74,TB_UK!$E:$E,TB_UK!S:S)*Q$2</f>
        <v>0</v>
      </c>
      <c r="R74" s="17">
        <f>-_xlfn.XLOOKUP($C74,TB_UK!$E:$E,TB_UK!T:T)*R$2</f>
        <v>0</v>
      </c>
      <c r="S74" s="17">
        <f>-_xlfn.XLOOKUP($C74,TB_UK!$E:$E,TB_UK!U:U)*S$2</f>
        <v>0</v>
      </c>
      <c r="T74" s="17">
        <f>-_xlfn.XLOOKUP($C74,TB_UK!$E:$E,TB_UK!V:V)*T$2</f>
        <v>0</v>
      </c>
      <c r="U74" s="17">
        <f>-_xlfn.XLOOKUP($C74,TB_UK!$E:$E,TB_UK!W:W)*U$2</f>
        <v>0</v>
      </c>
      <c r="V74" s="17">
        <f>-_xlfn.XLOOKUP($C74,TB_UK!$E:$E,TB_UK!X:X)*V$2</f>
        <v>-122284.2</v>
      </c>
      <c r="W74" s="17">
        <f>-_xlfn.XLOOKUP($C74,TB_UK!$E:$E,TB_UK!Y:Y)*W$2</f>
        <v>0</v>
      </c>
      <c r="X74" s="17">
        <f>-_xlfn.XLOOKUP($C74,TB_UK!$E:$E,TB_UK!Z:Z)*X$2</f>
        <v>0</v>
      </c>
      <c r="Y74" s="17">
        <f>-_xlfn.XLOOKUP($C74,TB_UK!$E:$E,TB_UK!AA:AA)*Y$2</f>
        <v>0</v>
      </c>
      <c r="Z74" s="17">
        <f>-_xlfn.XLOOKUP($C74,TB_UK!$E:$E,TB_UK!AB:AB)*Z$2</f>
        <v>0</v>
      </c>
      <c r="AA74" s="17">
        <f>-_xlfn.XLOOKUP($C74,TB_UK!$E:$E,TB_UK!AC:AC)*AA$2</f>
        <v>0</v>
      </c>
      <c r="AB74" s="17">
        <f>-_xlfn.XLOOKUP($C74,TB_UK!$E:$E,TB_UK!AD:AD)*AB$2</f>
        <v>0</v>
      </c>
      <c r="AC74" s="17">
        <f>-_xlfn.XLOOKUP($C74,TB_UK!$E:$E,TB_UK!AE:AE)*AC$2</f>
        <v>0</v>
      </c>
      <c r="AD74" s="17">
        <f>-_xlfn.XLOOKUP($C74,TB_UK!$E:$E,TB_UK!AF:AF)*AD$2</f>
        <v>0</v>
      </c>
      <c r="AE74" s="17">
        <f>-_xlfn.XLOOKUP($C74,TB_UK!$E:$E,TB_UK!AG:AG)*AE$2</f>
        <v>0</v>
      </c>
      <c r="AF74" s="17">
        <f>-_xlfn.XLOOKUP($C74,TB_UK!$E:$E,TB_UK!AH:AH)*AF$2</f>
        <v>0</v>
      </c>
      <c r="AG74" s="17">
        <f>-_xlfn.XLOOKUP($C74,TB_UK!$E:$E,TB_UK!AI:AI)*AG$2</f>
        <v>0</v>
      </c>
      <c r="AH74" s="17">
        <f>-_xlfn.XLOOKUP($C74,TB_UK!$E:$E,TB_UK!AJ:AJ)*AH$2</f>
        <v>0</v>
      </c>
      <c r="AI74" s="17">
        <f>-_xlfn.XLOOKUP($C74,TB_UK!$E:$E,TB_UK!AK:AK)*AI$2</f>
        <v>0</v>
      </c>
      <c r="AJ74" s="17">
        <f>-_xlfn.XLOOKUP($C74,TB_UK!$E:$E,TB_UK!AL:AL)*AJ$2</f>
        <v>0</v>
      </c>
      <c r="AK74" s="17">
        <f>-_xlfn.XLOOKUP($C74,TB_UK!$E:$E,TB_UK!AM:AM)*AK$2</f>
        <v>0</v>
      </c>
      <c r="AL74" s="17">
        <f>-_xlfn.XLOOKUP($C74,TB_UK!$E:$E,TB_UK!AN:AN)*AL$2</f>
        <v>0</v>
      </c>
      <c r="AM74" s="17">
        <f>-_xlfn.XLOOKUP($C74,TB_UK!$E:$E,TB_UK!AO:AO)*AM$2</f>
        <v>0</v>
      </c>
      <c r="AT74" s="216">
        <f t="shared" ref="AT74:AT80" si="11">SUM(P74:AA74)</f>
        <v>-122284.2</v>
      </c>
      <c r="AU74" s="216">
        <f t="shared" ref="AU74:AU80" si="12">SUM(AB74:AM74)</f>
        <v>0</v>
      </c>
    </row>
    <row r="75" spans="2:47" x14ac:dyDescent="0.2">
      <c r="B75" s="21">
        <v>60115</v>
      </c>
      <c r="C75" s="16" t="str">
        <f>_xlfn.XLOOKUP(B75,TB_UK!A:A,TB_UK!E:E)</f>
        <v>Marketing &amp; Branding - Events</v>
      </c>
      <c r="D75" s="17">
        <f>-_xlfn.XLOOKUP($C75,TB_UK!$E:$E,TB_UK!F:F)*D$2</f>
        <v>0</v>
      </c>
      <c r="E75" s="17">
        <f>-_xlfn.XLOOKUP($C75,TB_UK!$E:$E,TB_UK!G:G)*E$2</f>
        <v>0</v>
      </c>
      <c r="F75" s="17">
        <f>-_xlfn.XLOOKUP($C75,TB_UK!$E:$E,TB_UK!H:H)*F$2</f>
        <v>0</v>
      </c>
      <c r="G75" s="17">
        <f>-_xlfn.XLOOKUP($C75,TB_UK!$E:$E,TB_UK!I:I)*G$2</f>
        <v>-3352740</v>
      </c>
      <c r="H75" s="17">
        <f>-_xlfn.XLOOKUP($C75,TB_UK!$E:$E,TB_UK!J:J)*H$2</f>
        <v>0</v>
      </c>
      <c r="I75" s="17">
        <f>-_xlfn.XLOOKUP($C75,TB_UK!$E:$E,TB_UK!K:K)*I$2</f>
        <v>0</v>
      </c>
      <c r="J75" s="17">
        <f>-_xlfn.XLOOKUP($C75,TB_UK!$E:$E,TB_UK!L:L)*J$2</f>
        <v>0</v>
      </c>
      <c r="K75" s="17">
        <f>-_xlfn.XLOOKUP($C75,TB_UK!$E:$E,TB_UK!M:M)*K$2</f>
        <v>0</v>
      </c>
      <c r="L75" s="17">
        <f>-_xlfn.XLOOKUP($C75,TB_UK!$E:$E,TB_UK!N:N)*L$2</f>
        <v>0</v>
      </c>
      <c r="M75" s="17">
        <f>-_xlfn.XLOOKUP($C75,TB_UK!$E:$E,TB_UK!O:O)*M$2</f>
        <v>0</v>
      </c>
      <c r="N75" s="17">
        <f>-_xlfn.XLOOKUP($C75,TB_UK!$E:$E,TB_UK!P:P)*N$2</f>
        <v>0</v>
      </c>
      <c r="O75" s="17">
        <f>-_xlfn.XLOOKUP($C75,TB_UK!$E:$E,TB_UK!Q:Q)*O$2</f>
        <v>-242945</v>
      </c>
      <c r="P75" s="17">
        <f>-_xlfn.XLOOKUP($C75,TB_UK!$E:$E,TB_UK!R:R)*P$2</f>
        <v>0</v>
      </c>
      <c r="Q75" s="17">
        <f>-_xlfn.XLOOKUP($C75,TB_UK!$E:$E,TB_UK!S:S)*Q$2</f>
        <v>0</v>
      </c>
      <c r="R75" s="17">
        <f>-_xlfn.XLOOKUP($C75,TB_UK!$E:$E,TB_UK!T:T)*R$2</f>
        <v>0</v>
      </c>
      <c r="S75" s="17">
        <f>-_xlfn.XLOOKUP($C75,TB_UK!$E:$E,TB_UK!U:U)*S$2</f>
        <v>0</v>
      </c>
      <c r="T75" s="17">
        <f>-_xlfn.XLOOKUP($C75,TB_UK!$E:$E,TB_UK!V:V)*T$2</f>
        <v>0</v>
      </c>
      <c r="U75" s="17">
        <f>-_xlfn.XLOOKUP($C75,TB_UK!$E:$E,TB_UK!W:W)*U$2</f>
        <v>0</v>
      </c>
      <c r="V75" s="17">
        <f>-_xlfn.XLOOKUP($C75,TB_UK!$E:$E,TB_UK!X:X)*V$2</f>
        <v>0</v>
      </c>
      <c r="W75" s="17">
        <f>-_xlfn.XLOOKUP($C75,TB_UK!$E:$E,TB_UK!Y:Y)*W$2</f>
        <v>0</v>
      </c>
      <c r="X75" s="17">
        <f>-_xlfn.XLOOKUP($C75,TB_UK!$E:$E,TB_UK!Z:Z)*X$2</f>
        <v>-13437356.406900002</v>
      </c>
      <c r="Y75" s="17">
        <f>-_xlfn.XLOOKUP($C75,TB_UK!$E:$E,TB_UK!AA:AA)*Y$2</f>
        <v>0</v>
      </c>
      <c r="Z75" s="17">
        <f>-_xlfn.XLOOKUP($C75,TB_UK!$E:$E,TB_UK!AB:AB)*Z$2</f>
        <v>-4078232.3861999996</v>
      </c>
      <c r="AA75" s="17">
        <f>-_xlfn.XLOOKUP($C75,TB_UK!$E:$E,TB_UK!AC:AC)*AA$2</f>
        <v>0</v>
      </c>
      <c r="AB75" s="17">
        <f>-_xlfn.XLOOKUP($C75,TB_UK!$E:$E,TB_UK!AD:AD)*AB$2</f>
        <v>0</v>
      </c>
      <c r="AC75" s="17">
        <f>-_xlfn.XLOOKUP($C75,TB_UK!$E:$E,TB_UK!AE:AE)*AC$2</f>
        <v>0</v>
      </c>
      <c r="AD75" s="17">
        <f>-_xlfn.XLOOKUP($C75,TB_UK!$E:$E,TB_UK!AF:AF)*AD$2</f>
        <v>0</v>
      </c>
      <c r="AE75" s="17">
        <f>-_xlfn.XLOOKUP($C75,TB_UK!$E:$E,TB_UK!AG:AG)*AE$2</f>
        <v>0</v>
      </c>
      <c r="AF75" s="17">
        <f>-_xlfn.XLOOKUP($C75,TB_UK!$E:$E,TB_UK!AH:AH)*AF$2</f>
        <v>0</v>
      </c>
      <c r="AG75" s="17">
        <f>-_xlfn.XLOOKUP($C75,TB_UK!$E:$E,TB_UK!AI:AI)*AG$2</f>
        <v>0</v>
      </c>
      <c r="AH75" s="17">
        <f>-_xlfn.XLOOKUP($C75,TB_UK!$E:$E,TB_UK!AJ:AJ)*AH$2</f>
        <v>0</v>
      </c>
      <c r="AI75" s="17">
        <f>-_xlfn.XLOOKUP($C75,TB_UK!$E:$E,TB_UK!AK:AK)*AI$2</f>
        <v>0</v>
      </c>
      <c r="AJ75" s="17">
        <f>-_xlfn.XLOOKUP($C75,TB_UK!$E:$E,TB_UK!AL:AL)*AJ$2</f>
        <v>0</v>
      </c>
      <c r="AK75" s="17">
        <f>-_xlfn.XLOOKUP($C75,TB_UK!$E:$E,TB_UK!AM:AM)*AK$2</f>
        <v>0</v>
      </c>
      <c r="AL75" s="17">
        <f>-_xlfn.XLOOKUP($C75,TB_UK!$E:$E,TB_UK!AN:AN)*AL$2</f>
        <v>0</v>
      </c>
      <c r="AM75" s="17">
        <f>-_xlfn.XLOOKUP($C75,TB_UK!$E:$E,TB_UK!AO:AO)*AM$2</f>
        <v>0</v>
      </c>
      <c r="AT75" s="216">
        <f t="shared" si="11"/>
        <v>-17515588.793099999</v>
      </c>
      <c r="AU75" s="216">
        <f t="shared" si="12"/>
        <v>0</v>
      </c>
    </row>
    <row r="76" spans="2:47" x14ac:dyDescent="0.2">
      <c r="B76" s="21">
        <v>60120</v>
      </c>
      <c r="C76" s="16" t="str">
        <f>_xlfn.XLOOKUP(B76,TB_UK!A:A,TB_UK!E:E)</f>
        <v>Marketing &amp; Branding - Printing</v>
      </c>
      <c r="D76" s="17">
        <f>-_xlfn.XLOOKUP($C76,TB_UK!$E:$E,TB_UK!F:F)*D$2</f>
        <v>0</v>
      </c>
      <c r="E76" s="17">
        <f>-_xlfn.XLOOKUP($C76,TB_UK!$E:$E,TB_UK!G:G)*E$2</f>
        <v>0</v>
      </c>
      <c r="F76" s="17">
        <f>-_xlfn.XLOOKUP($C76,TB_UK!$E:$E,TB_UK!H:H)*F$2</f>
        <v>0</v>
      </c>
      <c r="G76" s="17">
        <f>-_xlfn.XLOOKUP($C76,TB_UK!$E:$E,TB_UK!I:I)*G$2</f>
        <v>0</v>
      </c>
      <c r="H76" s="17">
        <f>-_xlfn.XLOOKUP($C76,TB_UK!$E:$E,TB_UK!J:J)*H$2</f>
        <v>0</v>
      </c>
      <c r="I76" s="17">
        <f>-_xlfn.XLOOKUP($C76,TB_UK!$E:$E,TB_UK!K:K)*I$2</f>
        <v>0</v>
      </c>
      <c r="J76" s="17">
        <f>-_xlfn.XLOOKUP($C76,TB_UK!$E:$E,TB_UK!L:L)*J$2</f>
        <v>0</v>
      </c>
      <c r="K76" s="17">
        <f>-_xlfn.XLOOKUP($C76,TB_UK!$E:$E,TB_UK!M:M)*K$2</f>
        <v>0</v>
      </c>
      <c r="L76" s="17">
        <f>-_xlfn.XLOOKUP($C76,TB_UK!$E:$E,TB_UK!N:N)*L$2</f>
        <v>0</v>
      </c>
      <c r="M76" s="17">
        <f>-_xlfn.XLOOKUP($C76,TB_UK!$E:$E,TB_UK!O:O)*M$2</f>
        <v>0</v>
      </c>
      <c r="N76" s="17">
        <f>-_xlfn.XLOOKUP($C76,TB_UK!$E:$E,TB_UK!P:P)*N$2</f>
        <v>0</v>
      </c>
      <c r="O76" s="17">
        <f>-_xlfn.XLOOKUP($C76,TB_UK!$E:$E,TB_UK!Q:Q)*O$2</f>
        <v>0</v>
      </c>
      <c r="P76" s="17">
        <f>-_xlfn.XLOOKUP($C76,TB_UK!$E:$E,TB_UK!R:R)*P$2</f>
        <v>0</v>
      </c>
      <c r="Q76" s="17">
        <f>-_xlfn.XLOOKUP($C76,TB_UK!$E:$E,TB_UK!S:S)*Q$2</f>
        <v>0</v>
      </c>
      <c r="R76" s="17">
        <f>-_xlfn.XLOOKUP($C76,TB_UK!$E:$E,TB_UK!T:T)*R$2</f>
        <v>0</v>
      </c>
      <c r="S76" s="17">
        <f>-_xlfn.XLOOKUP($C76,TB_UK!$E:$E,TB_UK!U:U)*S$2</f>
        <v>-998663.67290000001</v>
      </c>
      <c r="T76" s="17">
        <f>-_xlfn.XLOOKUP($C76,TB_UK!$E:$E,TB_UK!V:V)*T$2</f>
        <v>-318682.1605</v>
      </c>
      <c r="U76" s="17">
        <f>-_xlfn.XLOOKUP($C76,TB_UK!$E:$E,TB_UK!W:W)*U$2</f>
        <v>0</v>
      </c>
      <c r="V76" s="17">
        <f>-_xlfn.XLOOKUP($C76,TB_UK!$E:$E,TB_UK!X:X)*V$2</f>
        <v>0</v>
      </c>
      <c r="W76" s="17">
        <f>-_xlfn.XLOOKUP($C76,TB_UK!$E:$E,TB_UK!Y:Y)*W$2</f>
        <v>0</v>
      </c>
      <c r="X76" s="17">
        <f>-_xlfn.XLOOKUP($C76,TB_UK!$E:$E,TB_UK!Z:Z)*X$2</f>
        <v>0</v>
      </c>
      <c r="Y76" s="17">
        <f>-_xlfn.XLOOKUP($C76,TB_UK!$E:$E,TB_UK!AA:AA)*Y$2</f>
        <v>0</v>
      </c>
      <c r="Z76" s="17">
        <f>-_xlfn.XLOOKUP($C76,TB_UK!$E:$E,TB_UK!AB:AB)*Z$2</f>
        <v>0</v>
      </c>
      <c r="AA76" s="17">
        <f>-_xlfn.XLOOKUP($C76,TB_UK!$E:$E,TB_UK!AC:AC)*AA$2</f>
        <v>0</v>
      </c>
      <c r="AB76" s="17">
        <f>-_xlfn.XLOOKUP($C76,TB_UK!$E:$E,TB_UK!AD:AD)*AB$2</f>
        <v>0</v>
      </c>
      <c r="AC76" s="17">
        <f>-_xlfn.XLOOKUP($C76,TB_UK!$E:$E,TB_UK!AE:AE)*AC$2</f>
        <v>0</v>
      </c>
      <c r="AD76" s="17">
        <f>-_xlfn.XLOOKUP($C76,TB_UK!$E:$E,TB_UK!AF:AF)*AD$2</f>
        <v>0</v>
      </c>
      <c r="AE76" s="17">
        <f>-_xlfn.XLOOKUP($C76,TB_UK!$E:$E,TB_UK!AG:AG)*AE$2</f>
        <v>0</v>
      </c>
      <c r="AF76" s="17">
        <f>-_xlfn.XLOOKUP($C76,TB_UK!$E:$E,TB_UK!AH:AH)*AF$2</f>
        <v>0</v>
      </c>
      <c r="AG76" s="17">
        <f>-_xlfn.XLOOKUP($C76,TB_UK!$E:$E,TB_UK!AI:AI)*AG$2</f>
        <v>0</v>
      </c>
      <c r="AH76" s="17">
        <f>-_xlfn.XLOOKUP($C76,TB_UK!$E:$E,TB_UK!AJ:AJ)*AH$2</f>
        <v>0</v>
      </c>
      <c r="AI76" s="17">
        <f>-_xlfn.XLOOKUP($C76,TB_UK!$E:$E,TB_UK!AK:AK)*AI$2</f>
        <v>0</v>
      </c>
      <c r="AJ76" s="17">
        <f>-_xlfn.XLOOKUP($C76,TB_UK!$E:$E,TB_UK!AL:AL)*AJ$2</f>
        <v>0</v>
      </c>
      <c r="AK76" s="17">
        <f>-_xlfn.XLOOKUP($C76,TB_UK!$E:$E,TB_UK!AM:AM)*AK$2</f>
        <v>0</v>
      </c>
      <c r="AL76" s="17">
        <f>-_xlfn.XLOOKUP($C76,TB_UK!$E:$E,TB_UK!AN:AN)*AL$2</f>
        <v>0</v>
      </c>
      <c r="AM76" s="17">
        <f>-_xlfn.XLOOKUP($C76,TB_UK!$E:$E,TB_UK!AO:AO)*AM$2</f>
        <v>0</v>
      </c>
      <c r="AT76" s="216">
        <f t="shared" si="11"/>
        <v>-1317345.8333999999</v>
      </c>
      <c r="AU76" s="216">
        <f t="shared" si="12"/>
        <v>0</v>
      </c>
    </row>
    <row r="77" spans="2:47" x14ac:dyDescent="0.2">
      <c r="B77" s="21">
        <v>60125</v>
      </c>
      <c r="C77" s="16" t="str">
        <f>_xlfn.XLOOKUP(B77,TB_UK!A:A,TB_UK!E:E)</f>
        <v>Marketing &amp; Branding - Professional Service &amp; Others</v>
      </c>
      <c r="D77" s="17">
        <f>-_xlfn.XLOOKUP($C77,TB_UK!$E:$E,TB_UK!F:F)*D$2</f>
        <v>0</v>
      </c>
      <c r="E77" s="17">
        <f>-_xlfn.XLOOKUP($C77,TB_UK!$E:$E,TB_UK!G:G)*E$2</f>
        <v>0</v>
      </c>
      <c r="F77" s="17">
        <f>-_xlfn.XLOOKUP($C77,TB_UK!$E:$E,TB_UK!H:H)*F$2</f>
        <v>0</v>
      </c>
      <c r="G77" s="17">
        <f>-_xlfn.XLOOKUP($C77,TB_UK!$E:$E,TB_UK!I:I)*G$2</f>
        <v>0</v>
      </c>
      <c r="H77" s="17">
        <f>-_xlfn.XLOOKUP($C77,TB_UK!$E:$E,TB_UK!J:J)*H$2</f>
        <v>0</v>
      </c>
      <c r="I77" s="17">
        <f>-_xlfn.XLOOKUP($C77,TB_UK!$E:$E,TB_UK!K:K)*I$2</f>
        <v>0</v>
      </c>
      <c r="J77" s="17">
        <f>-_xlfn.XLOOKUP($C77,TB_UK!$E:$E,TB_UK!L:L)*J$2</f>
        <v>0</v>
      </c>
      <c r="K77" s="17">
        <f>-_xlfn.XLOOKUP($C77,TB_UK!$E:$E,TB_UK!M:M)*K$2</f>
        <v>0</v>
      </c>
      <c r="L77" s="17">
        <f>-_xlfn.XLOOKUP($C77,TB_UK!$E:$E,TB_UK!N:N)*L$2</f>
        <v>0</v>
      </c>
      <c r="M77" s="17">
        <f>-_xlfn.XLOOKUP($C77,TB_UK!$E:$E,TB_UK!O:O)*M$2</f>
        <v>0</v>
      </c>
      <c r="N77" s="17">
        <f>-_xlfn.XLOOKUP($C77,TB_UK!$E:$E,TB_UK!P:P)*N$2</f>
        <v>0</v>
      </c>
      <c r="O77" s="17">
        <f>-_xlfn.XLOOKUP($C77,TB_UK!$E:$E,TB_UK!Q:Q)*O$2</f>
        <v>0</v>
      </c>
      <c r="P77" s="17">
        <f>-_xlfn.XLOOKUP($C77,TB_UK!$E:$E,TB_UK!R:R)*P$2</f>
        <v>-7653480</v>
      </c>
      <c r="Q77" s="17">
        <f>-_xlfn.XLOOKUP($C77,TB_UK!$E:$E,TB_UK!S:S)*Q$2</f>
        <v>0</v>
      </c>
      <c r="R77" s="17">
        <f>-_xlfn.XLOOKUP($C77,TB_UK!$E:$E,TB_UK!T:T)*R$2</f>
        <v>-10924925</v>
      </c>
      <c r="S77" s="17">
        <f>-_xlfn.XLOOKUP($C77,TB_UK!$E:$E,TB_UK!U:U)*S$2</f>
        <v>-11812405</v>
      </c>
      <c r="T77" s="17">
        <f>-_xlfn.XLOOKUP($C77,TB_UK!$E:$E,TB_UK!V:V)*T$2</f>
        <v>-11764224.999999998</v>
      </c>
      <c r="U77" s="17">
        <f>-_xlfn.XLOOKUP($C77,TB_UK!$E:$E,TB_UK!W:W)*U$2</f>
        <v>-11629694.999999998</v>
      </c>
      <c r="V77" s="17">
        <f>-_xlfn.XLOOKUP($C77,TB_UK!$E:$E,TB_UK!X:X)*V$2</f>
        <v>-11209385</v>
      </c>
      <c r="W77" s="17">
        <f>-_xlfn.XLOOKUP($C77,TB_UK!$E:$E,TB_UK!Y:Y)*W$2</f>
        <v>-11419485</v>
      </c>
      <c r="X77" s="17">
        <f>-_xlfn.XLOOKUP($C77,TB_UK!$E:$E,TB_UK!Z:Z)*X$2</f>
        <v>-10961445</v>
      </c>
      <c r="Y77" s="17">
        <f>-_xlfn.XLOOKUP($C77,TB_UK!$E:$E,TB_UK!AA:AA)*Y$2</f>
        <v>-16232450</v>
      </c>
      <c r="Z77" s="17">
        <f>-_xlfn.XLOOKUP($C77,TB_UK!$E:$E,TB_UK!AB:AB)*Z$2</f>
        <v>-5742210</v>
      </c>
      <c r="AA77" s="17">
        <f>-_xlfn.XLOOKUP($C77,TB_UK!$E:$E,TB_UK!AC:AC)*AA$2</f>
        <v>0</v>
      </c>
      <c r="AB77" s="17">
        <f>-_xlfn.XLOOKUP($C77,TB_UK!$E:$E,TB_UK!AD:AD)*AB$2</f>
        <v>0</v>
      </c>
      <c r="AC77" s="17">
        <f>-_xlfn.XLOOKUP($C77,TB_UK!$E:$E,TB_UK!AE:AE)*AC$2</f>
        <v>0</v>
      </c>
      <c r="AD77" s="17">
        <f>-_xlfn.XLOOKUP($C77,TB_UK!$E:$E,TB_UK!AF:AF)*AD$2</f>
        <v>0</v>
      </c>
      <c r="AE77" s="17">
        <f>-_xlfn.XLOOKUP($C77,TB_UK!$E:$E,TB_UK!AG:AG)*AE$2</f>
        <v>0</v>
      </c>
      <c r="AF77" s="17">
        <f>-_xlfn.XLOOKUP($C77,TB_UK!$E:$E,TB_UK!AH:AH)*AF$2</f>
        <v>0</v>
      </c>
      <c r="AG77" s="17">
        <f>-_xlfn.XLOOKUP($C77,TB_UK!$E:$E,TB_UK!AI:AI)*AG$2</f>
        <v>0</v>
      </c>
      <c r="AH77" s="17">
        <f>-_xlfn.XLOOKUP($C77,TB_UK!$E:$E,TB_UK!AJ:AJ)*AH$2</f>
        <v>0</v>
      </c>
      <c r="AI77" s="17">
        <f>-_xlfn.XLOOKUP($C77,TB_UK!$E:$E,TB_UK!AK:AK)*AI$2</f>
        <v>0</v>
      </c>
      <c r="AJ77" s="17">
        <f>-_xlfn.XLOOKUP($C77,TB_UK!$E:$E,TB_UK!AL:AL)*AJ$2</f>
        <v>0</v>
      </c>
      <c r="AK77" s="17">
        <f>-_xlfn.XLOOKUP($C77,TB_UK!$E:$E,TB_UK!AM:AM)*AK$2</f>
        <v>0</v>
      </c>
      <c r="AL77" s="17">
        <f>-_xlfn.XLOOKUP($C77,TB_UK!$E:$E,TB_UK!AN:AN)*AL$2</f>
        <v>0</v>
      </c>
      <c r="AM77" s="17">
        <f>-_xlfn.XLOOKUP($C77,TB_UK!$E:$E,TB_UK!AO:AO)*AM$2</f>
        <v>0</v>
      </c>
      <c r="AT77" s="216">
        <f t="shared" si="11"/>
        <v>-109349705</v>
      </c>
      <c r="AU77" s="216">
        <f t="shared" si="12"/>
        <v>0</v>
      </c>
    </row>
    <row r="78" spans="2:47" x14ac:dyDescent="0.2">
      <c r="B78" s="21">
        <v>60200</v>
      </c>
      <c r="C78" s="16" t="str">
        <f>_xlfn.XLOOKUP(B78,TB_UK!A:A,TB_UK!E:E)</f>
        <v>Business Development Expenses</v>
      </c>
      <c r="D78" s="17">
        <f>-_xlfn.XLOOKUP($C78,TB_UK!$E:$E,TB_UK!F:F)*D$2</f>
        <v>0</v>
      </c>
      <c r="E78" s="17">
        <f>-_xlfn.XLOOKUP($C78,TB_UK!$E:$E,TB_UK!G:G)*E$2</f>
        <v>0</v>
      </c>
      <c r="F78" s="17">
        <f>-_xlfn.XLOOKUP($C78,TB_UK!$E:$E,TB_UK!H:H)*F$2</f>
        <v>-369162.25380000001</v>
      </c>
      <c r="G78" s="17">
        <f>-_xlfn.XLOOKUP($C78,TB_UK!$E:$E,TB_UK!I:I)*G$2</f>
        <v>-6705.48</v>
      </c>
      <c r="H78" s="17">
        <f>-_xlfn.XLOOKUP($C78,TB_UK!$E:$E,TB_UK!J:J)*H$2</f>
        <v>-292915.93440000003</v>
      </c>
      <c r="I78" s="17">
        <f>-_xlfn.XLOOKUP($C78,TB_UK!$E:$E,TB_UK!K:K)*I$2</f>
        <v>-5581169.3274999997</v>
      </c>
      <c r="J78" s="17">
        <f>-_xlfn.XLOOKUP($C78,TB_UK!$E:$E,TB_UK!L:L)*J$2</f>
        <v>0</v>
      </c>
      <c r="K78" s="17">
        <f>-_xlfn.XLOOKUP($C78,TB_UK!$E:$E,TB_UK!M:M)*K$2</f>
        <v>-709458.83740000008</v>
      </c>
      <c r="L78" s="17">
        <f>-_xlfn.XLOOKUP($C78,TB_UK!$E:$E,TB_UK!N:N)*L$2</f>
        <v>-10428687.725199999</v>
      </c>
      <c r="M78" s="17">
        <f>-_xlfn.XLOOKUP($C78,TB_UK!$E:$E,TB_UK!O:O)*M$2</f>
        <v>-1989581.8914999999</v>
      </c>
      <c r="N78" s="17">
        <f>-_xlfn.XLOOKUP($C78,TB_UK!$E:$E,TB_UK!P:P)*N$2</f>
        <v>0</v>
      </c>
      <c r="O78" s="17">
        <f>-_xlfn.XLOOKUP($C78,TB_UK!$E:$E,TB_UK!Q:Q)*O$2</f>
        <v>-1077567.9707999998</v>
      </c>
      <c r="P78" s="17">
        <f>-_xlfn.XLOOKUP($C78,TB_UK!$E:$E,TB_UK!R:R)*P$2</f>
        <v>0</v>
      </c>
      <c r="Q78" s="17">
        <f>-_xlfn.XLOOKUP($C78,TB_UK!$E:$E,TB_UK!S:S)*Q$2</f>
        <v>-1038549.975</v>
      </c>
      <c r="R78" s="17">
        <f>-_xlfn.XLOOKUP($C78,TB_UK!$E:$E,TB_UK!T:T)*R$2</f>
        <v>-7408767.6840000004</v>
      </c>
      <c r="S78" s="17">
        <f>-_xlfn.XLOOKUP($C78,TB_UK!$E:$E,TB_UK!U:U)*S$2</f>
        <v>0</v>
      </c>
      <c r="T78" s="17">
        <f>-_xlfn.XLOOKUP($C78,TB_UK!$E:$E,TB_UK!V:V)*T$2</f>
        <v>-6364937.6834999993</v>
      </c>
      <c r="U78" s="17">
        <f>-_xlfn.XLOOKUP($C78,TB_UK!$E:$E,TB_UK!W:W)*U$2</f>
        <v>-8237270.6786999991</v>
      </c>
      <c r="V78" s="17">
        <f>-_xlfn.XLOOKUP($C78,TB_UK!$E:$E,TB_UK!X:X)*V$2</f>
        <v>-308441.51380000002</v>
      </c>
      <c r="W78" s="17">
        <f>-_xlfn.XLOOKUP($C78,TB_UK!$E:$E,TB_UK!Y:Y)*W$2</f>
        <v>-604194.56999999995</v>
      </c>
      <c r="X78" s="17">
        <f>-_xlfn.XLOOKUP($C78,TB_UK!$E:$E,TB_UK!Z:Z)*X$2</f>
        <v>-1381142.07</v>
      </c>
      <c r="Y78" s="17">
        <f>-_xlfn.XLOOKUP($C78,TB_UK!$E:$E,TB_UK!AA:AA)*Y$2</f>
        <v>-19166646.759</v>
      </c>
      <c r="Z78" s="17">
        <f>-_xlfn.XLOOKUP($C78,TB_UK!$E:$E,TB_UK!AB:AB)*Z$2</f>
        <v>-2198941.0381</v>
      </c>
      <c r="AA78" s="17">
        <f>-_xlfn.XLOOKUP($C78,TB_UK!$E:$E,TB_UK!AC:AC)*AA$2</f>
        <v>-38176.239999999998</v>
      </c>
      <c r="AB78" s="17">
        <f>-_xlfn.XLOOKUP($C78,TB_UK!$E:$E,TB_UK!AD:AD)*AB$2</f>
        <v>0</v>
      </c>
      <c r="AC78" s="17">
        <f>-_xlfn.XLOOKUP($C78,TB_UK!$E:$E,TB_UK!AE:AE)*AC$2</f>
        <v>0</v>
      </c>
      <c r="AD78" s="17">
        <f>-_xlfn.XLOOKUP($C78,TB_UK!$E:$E,TB_UK!AF:AF)*AD$2</f>
        <v>0</v>
      </c>
      <c r="AE78" s="17">
        <f>-_xlfn.XLOOKUP($C78,TB_UK!$E:$E,TB_UK!AG:AG)*AE$2</f>
        <v>-1245959.3639999998</v>
      </c>
      <c r="AF78" s="17">
        <f>-_xlfn.XLOOKUP($C78,TB_UK!$E:$E,TB_UK!AH:AH)*AF$2</f>
        <v>0</v>
      </c>
      <c r="AG78" s="17">
        <f>-_xlfn.XLOOKUP($C78,TB_UK!$E:$E,TB_UK!AI:AI)*AG$2</f>
        <v>0</v>
      </c>
      <c r="AH78" s="17">
        <f>-_xlfn.XLOOKUP($C78,TB_UK!$E:$E,TB_UK!AJ:AJ)*AH$2</f>
        <v>0</v>
      </c>
      <c r="AI78" s="17">
        <f>-_xlfn.XLOOKUP($C78,TB_UK!$E:$E,TB_UK!AK:AK)*AI$2</f>
        <v>0</v>
      </c>
      <c r="AJ78" s="17">
        <f>-_xlfn.XLOOKUP($C78,TB_UK!$E:$E,TB_UK!AL:AL)*AJ$2</f>
        <v>0</v>
      </c>
      <c r="AK78" s="17">
        <f>-_xlfn.XLOOKUP($C78,TB_UK!$E:$E,TB_UK!AM:AM)*AK$2</f>
        <v>0</v>
      </c>
      <c r="AL78" s="17">
        <f>-_xlfn.XLOOKUP($C78,TB_UK!$E:$E,TB_UK!AN:AN)*AL$2</f>
        <v>0</v>
      </c>
      <c r="AM78" s="17">
        <f>-_xlfn.XLOOKUP($C78,TB_UK!$E:$E,TB_UK!AO:AO)*AM$2</f>
        <v>0</v>
      </c>
      <c r="AT78" s="216">
        <f t="shared" si="11"/>
        <v>-46747068.212099999</v>
      </c>
      <c r="AU78" s="216">
        <f t="shared" si="12"/>
        <v>-1245959.3639999998</v>
      </c>
    </row>
    <row r="79" spans="2:47" x14ac:dyDescent="0.2">
      <c r="B79" s="21">
        <v>61000</v>
      </c>
      <c r="C79" s="16" t="str">
        <f>_xlfn.XLOOKUP(B79,TB_UK!A:A,TB_UK!E:E)</f>
        <v>Advertising Expense</v>
      </c>
      <c r="D79" s="17">
        <f>-_xlfn.XLOOKUP($C79,TB_UK!$E:$E,TB_UK!F:F)*D$2</f>
        <v>0</v>
      </c>
      <c r="E79" s="17">
        <f>-_xlfn.XLOOKUP($C79,TB_UK!$E:$E,TB_UK!G:G)*E$2</f>
        <v>0</v>
      </c>
      <c r="F79" s="17">
        <f>-_xlfn.XLOOKUP($C79,TB_UK!$E:$E,TB_UK!H:H)*F$2</f>
        <v>-26961121.833299998</v>
      </c>
      <c r="G79" s="17">
        <f>-_xlfn.XLOOKUP($C79,TB_UK!$E:$E,TB_UK!I:I)*G$2</f>
        <v>0</v>
      </c>
      <c r="H79" s="17">
        <f>-_xlfn.XLOOKUP($C79,TB_UK!$E:$E,TB_UK!J:J)*H$2</f>
        <v>-7404675.9482000005</v>
      </c>
      <c r="I79" s="17">
        <f>-_xlfn.XLOOKUP($C79,TB_UK!$E:$E,TB_UK!K:K)*I$2</f>
        <v>-9987105.3815000001</v>
      </c>
      <c r="J79" s="17">
        <f>-_xlfn.XLOOKUP($C79,TB_UK!$E:$E,TB_UK!L:L)*J$2</f>
        <v>-30506956.339499999</v>
      </c>
      <c r="K79" s="17">
        <f>-_xlfn.XLOOKUP($C79,TB_UK!$E:$E,TB_UK!M:M)*K$2</f>
        <v>-32981083.513800003</v>
      </c>
      <c r="L79" s="17">
        <f>-_xlfn.XLOOKUP($C79,TB_UK!$E:$E,TB_UK!N:N)*L$2</f>
        <v>-23923659.092900001</v>
      </c>
      <c r="M79" s="17">
        <f>-_xlfn.XLOOKUP($C79,TB_UK!$E:$E,TB_UK!O:O)*M$2</f>
        <v>-14728947</v>
      </c>
      <c r="N79" s="17">
        <f>-_xlfn.XLOOKUP($C79,TB_UK!$E:$E,TB_UK!P:P)*N$2</f>
        <v>-375368.17499999999</v>
      </c>
      <c r="O79" s="17">
        <f>-_xlfn.XLOOKUP($C79,TB_UK!$E:$E,TB_UK!Q:Q)*O$2</f>
        <v>0</v>
      </c>
      <c r="P79" s="17">
        <f>-_xlfn.XLOOKUP($C79,TB_UK!$E:$E,TB_UK!R:R)*P$2</f>
        <v>-5166099</v>
      </c>
      <c r="Q79" s="17">
        <f>-_xlfn.XLOOKUP($C79,TB_UK!$E:$E,TB_UK!S:S)*Q$2</f>
        <v>0</v>
      </c>
      <c r="R79" s="17">
        <f>-_xlfn.XLOOKUP($C79,TB_UK!$E:$E,TB_UK!T:T)*R$2</f>
        <v>0</v>
      </c>
      <c r="S79" s="17">
        <f>-_xlfn.XLOOKUP($C79,TB_UK!$E:$E,TB_UK!U:U)*S$2</f>
        <v>0</v>
      </c>
      <c r="T79" s="17">
        <f>-_xlfn.XLOOKUP($C79,TB_UK!$E:$E,TB_UK!V:V)*T$2</f>
        <v>-6553913.9159999993</v>
      </c>
      <c r="U79" s="17">
        <f>-_xlfn.XLOOKUP($C79,TB_UK!$E:$E,TB_UK!W:W)*U$2</f>
        <v>-14486222.975699998</v>
      </c>
      <c r="V79" s="17">
        <f>-_xlfn.XLOOKUP($C79,TB_UK!$E:$E,TB_UK!X:X)*V$2</f>
        <v>-8478289.6772000007</v>
      </c>
      <c r="W79" s="17">
        <f>-_xlfn.XLOOKUP($C79,TB_UK!$E:$E,TB_UK!Y:Y)*W$2</f>
        <v>-2768706.0449999999</v>
      </c>
      <c r="X79" s="17">
        <f>-_xlfn.XLOOKUP($C79,TB_UK!$E:$E,TB_UK!Z:Z)*X$2</f>
        <v>0</v>
      </c>
      <c r="Y79" s="17">
        <f>-_xlfn.XLOOKUP($C79,TB_UK!$E:$E,TB_UK!AA:AA)*Y$2</f>
        <v>-307461.7</v>
      </c>
      <c r="Z79" s="17">
        <f>-_xlfn.XLOOKUP($C79,TB_UK!$E:$E,TB_UK!AB:AB)*Z$2</f>
        <v>0</v>
      </c>
      <c r="AA79" s="17">
        <f>-_xlfn.XLOOKUP($C79,TB_UK!$E:$E,TB_UK!AC:AC)*AA$2</f>
        <v>0</v>
      </c>
      <c r="AB79" s="17">
        <f>-_xlfn.XLOOKUP($C79,TB_UK!$E:$E,TB_UK!AD:AD)*AB$2</f>
        <v>0</v>
      </c>
      <c r="AC79" s="17">
        <f>-_xlfn.XLOOKUP($C79,TB_UK!$E:$E,TB_UK!AE:AE)*AC$2</f>
        <v>0</v>
      </c>
      <c r="AD79" s="17">
        <f>-_xlfn.XLOOKUP($C79,TB_UK!$E:$E,TB_UK!AF:AF)*AD$2</f>
        <v>-85171.179000000004</v>
      </c>
      <c r="AE79" s="17">
        <f>-_xlfn.XLOOKUP($C79,TB_UK!$E:$E,TB_UK!AG:AG)*AE$2</f>
        <v>-66319.824999999997</v>
      </c>
      <c r="AF79" s="17">
        <f>-_xlfn.XLOOKUP($C79,TB_UK!$E:$E,TB_UK!AH:AH)*AF$2</f>
        <v>0</v>
      </c>
      <c r="AG79" s="17">
        <f>-_xlfn.XLOOKUP($C79,TB_UK!$E:$E,TB_UK!AI:AI)*AG$2</f>
        <v>0</v>
      </c>
      <c r="AH79" s="17">
        <f>-_xlfn.XLOOKUP($C79,TB_UK!$E:$E,TB_UK!AJ:AJ)*AH$2</f>
        <v>0</v>
      </c>
      <c r="AI79" s="17">
        <f>-_xlfn.XLOOKUP($C79,TB_UK!$E:$E,TB_UK!AK:AK)*AI$2</f>
        <v>0</v>
      </c>
      <c r="AJ79" s="17">
        <f>-_xlfn.XLOOKUP($C79,TB_UK!$E:$E,TB_UK!AL:AL)*AJ$2</f>
        <v>0</v>
      </c>
      <c r="AK79" s="17">
        <f>-_xlfn.XLOOKUP($C79,TB_UK!$E:$E,TB_UK!AM:AM)*AK$2</f>
        <v>0</v>
      </c>
      <c r="AL79" s="17">
        <f>-_xlfn.XLOOKUP($C79,TB_UK!$E:$E,TB_UK!AN:AN)*AL$2</f>
        <v>0</v>
      </c>
      <c r="AM79" s="17">
        <f>-_xlfn.XLOOKUP($C79,TB_UK!$E:$E,TB_UK!AO:AO)*AM$2</f>
        <v>0</v>
      </c>
      <c r="AT79" s="216">
        <f t="shared" si="11"/>
        <v>-37760693.313900009</v>
      </c>
      <c r="AU79" s="216">
        <f t="shared" si="12"/>
        <v>-151491.00400000002</v>
      </c>
    </row>
    <row r="80" spans="2:47" x14ac:dyDescent="0.2">
      <c r="B80" s="21">
        <v>62101</v>
      </c>
      <c r="C80" s="16" t="str">
        <f>_xlfn.XLOOKUP(B80,TB_UK!A:A,TB_UK!E:E)</f>
        <v>Sales Commission</v>
      </c>
      <c r="D80" s="17">
        <f>-_xlfn.XLOOKUP($C80,TB_UK!$E:$E,TB_UK!F:F)*D$2</f>
        <v>0</v>
      </c>
      <c r="E80" s="17">
        <f>-_xlfn.XLOOKUP($C80,TB_UK!$E:$E,TB_UK!G:G)*E$2</f>
        <v>0</v>
      </c>
      <c r="F80" s="17">
        <f>-_xlfn.XLOOKUP($C80,TB_UK!$E:$E,TB_UK!H:H)*F$2</f>
        <v>0</v>
      </c>
      <c r="G80" s="17">
        <f>-_xlfn.XLOOKUP($C80,TB_UK!$E:$E,TB_UK!I:I)*G$2</f>
        <v>0</v>
      </c>
      <c r="H80" s="17">
        <f>-_xlfn.XLOOKUP($C80,TB_UK!$E:$E,TB_UK!J:J)*H$2</f>
        <v>0</v>
      </c>
      <c r="I80" s="17">
        <f>-_xlfn.XLOOKUP($C80,TB_UK!$E:$E,TB_UK!K:K)*I$2</f>
        <v>0</v>
      </c>
      <c r="J80" s="17">
        <f>-_xlfn.XLOOKUP($C80,TB_UK!$E:$E,TB_UK!L:L)*J$2</f>
        <v>0</v>
      </c>
      <c r="K80" s="17">
        <f>-_xlfn.XLOOKUP($C80,TB_UK!$E:$E,TB_UK!M:M)*K$2</f>
        <v>0</v>
      </c>
      <c r="L80" s="17">
        <f>-_xlfn.XLOOKUP($C80,TB_UK!$E:$E,TB_UK!N:N)*L$2</f>
        <v>0</v>
      </c>
      <c r="M80" s="17">
        <f>-_xlfn.XLOOKUP($C80,TB_UK!$E:$E,TB_UK!O:O)*M$2</f>
        <v>0</v>
      </c>
      <c r="N80" s="17">
        <f>-_xlfn.XLOOKUP($C80,TB_UK!$E:$E,TB_UK!P:P)*N$2</f>
        <v>0</v>
      </c>
      <c r="O80" s="17">
        <f>-_xlfn.XLOOKUP($C80,TB_UK!$E:$E,TB_UK!Q:Q)*O$2</f>
        <v>0</v>
      </c>
      <c r="P80" s="17">
        <f>-_xlfn.XLOOKUP($C80,TB_UK!$E:$E,TB_UK!R:R)*P$2</f>
        <v>0</v>
      </c>
      <c r="Q80" s="17">
        <f>-_xlfn.XLOOKUP($C80,TB_UK!$E:$E,TB_UK!S:S)*Q$2</f>
        <v>0</v>
      </c>
      <c r="R80" s="17">
        <f>-_xlfn.XLOOKUP($C80,TB_UK!$E:$E,TB_UK!T:T)*R$2</f>
        <v>0</v>
      </c>
      <c r="S80" s="17">
        <f>-_xlfn.XLOOKUP($C80,TB_UK!$E:$E,TB_UK!U:U)*S$2</f>
        <v>0</v>
      </c>
      <c r="T80" s="17">
        <f>-_xlfn.XLOOKUP($C80,TB_UK!$E:$E,TB_UK!V:V)*T$2</f>
        <v>0</v>
      </c>
      <c r="U80" s="17">
        <f>-_xlfn.XLOOKUP($C80,TB_UK!$E:$E,TB_UK!W:W)*U$2</f>
        <v>0</v>
      </c>
      <c r="V80" s="17">
        <f>-_xlfn.XLOOKUP($C80,TB_UK!$E:$E,TB_UK!X:X)*V$2</f>
        <v>-527207.94759999996</v>
      </c>
      <c r="W80" s="17">
        <f>-_xlfn.XLOOKUP($C80,TB_UK!$E:$E,TB_UK!Y:Y)*W$2</f>
        <v>-3055438.9319999996</v>
      </c>
      <c r="X80" s="17">
        <f>-_xlfn.XLOOKUP($C80,TB_UK!$E:$E,TB_UK!Z:Z)*X$2</f>
        <v>-1684156.2696</v>
      </c>
      <c r="Y80" s="17">
        <f>-_xlfn.XLOOKUP($C80,TB_UK!$E:$E,TB_UK!AA:AA)*Y$2</f>
        <v>4918088.6040000012</v>
      </c>
      <c r="Z80" s="17">
        <f>-_xlfn.XLOOKUP($C80,TB_UK!$E:$E,TB_UK!AB:AB)*Z$2</f>
        <v>0</v>
      </c>
      <c r="AA80" s="17">
        <f>-_xlfn.XLOOKUP($C80,TB_UK!$E:$E,TB_UK!AC:AC)*AA$2</f>
        <v>0</v>
      </c>
      <c r="AB80" s="17">
        <f>-_xlfn.XLOOKUP($C80,TB_UK!$E:$E,TB_UK!AD:AD)*AB$2</f>
        <v>0</v>
      </c>
      <c r="AC80" s="17">
        <f>-_xlfn.XLOOKUP($C80,TB_UK!$E:$E,TB_UK!AE:AE)*AC$2</f>
        <v>0</v>
      </c>
      <c r="AD80" s="17">
        <f>-_xlfn.XLOOKUP($C80,TB_UK!$E:$E,TB_UK!AF:AF)*AD$2</f>
        <v>0</v>
      </c>
      <c r="AE80" s="17">
        <f>-_xlfn.XLOOKUP($C80,TB_UK!$E:$E,TB_UK!AG:AG)*AE$2</f>
        <v>0</v>
      </c>
      <c r="AF80" s="17">
        <f>-_xlfn.XLOOKUP($C80,TB_UK!$E:$E,TB_UK!AH:AH)*AF$2</f>
        <v>0</v>
      </c>
      <c r="AG80" s="17">
        <f>-_xlfn.XLOOKUP($C80,TB_UK!$E:$E,TB_UK!AI:AI)*AG$2</f>
        <v>0</v>
      </c>
      <c r="AH80" s="17">
        <f>-_xlfn.XLOOKUP($C80,TB_UK!$E:$E,TB_UK!AJ:AJ)*AH$2</f>
        <v>0</v>
      </c>
      <c r="AI80" s="17">
        <f>-_xlfn.XLOOKUP($C80,TB_UK!$E:$E,TB_UK!AK:AK)*AI$2</f>
        <v>0</v>
      </c>
      <c r="AJ80" s="17">
        <f>-_xlfn.XLOOKUP($C80,TB_UK!$E:$E,TB_UK!AL:AL)*AJ$2</f>
        <v>0</v>
      </c>
      <c r="AK80" s="17">
        <f>-_xlfn.XLOOKUP($C80,TB_UK!$E:$E,TB_UK!AM:AM)*AK$2</f>
        <v>0</v>
      </c>
      <c r="AL80" s="17">
        <f>-_xlfn.XLOOKUP($C80,TB_UK!$E:$E,TB_UK!AN:AN)*AL$2</f>
        <v>0</v>
      </c>
      <c r="AM80" s="17">
        <f>-_xlfn.XLOOKUP($C80,TB_UK!$E:$E,TB_UK!AO:AO)*AM$2</f>
        <v>0</v>
      </c>
      <c r="AT80" s="216">
        <f t="shared" si="11"/>
        <v>-348714.54519999865</v>
      </c>
      <c r="AU80" s="216">
        <f t="shared" si="12"/>
        <v>0</v>
      </c>
    </row>
    <row r="81" spans="2:47" x14ac:dyDescent="0.2">
      <c r="B81" s="21"/>
      <c r="C81" s="16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</row>
    <row r="82" spans="2:47" x14ac:dyDescent="0.2">
      <c r="B82" s="21"/>
      <c r="C82" s="22" t="s">
        <v>129</v>
      </c>
      <c r="D82" s="23">
        <f t="shared" ref="D82:AM82" si="13">SUM(D74:D81)</f>
        <v>0</v>
      </c>
      <c r="E82" s="23">
        <f t="shared" si="13"/>
        <v>0</v>
      </c>
      <c r="F82" s="23">
        <f t="shared" si="13"/>
        <v>-27330284.087099999</v>
      </c>
      <c r="G82" s="23">
        <f t="shared" si="13"/>
        <v>-3359445.48</v>
      </c>
      <c r="H82" s="23">
        <f t="shared" si="13"/>
        <v>-7697591.8826000001</v>
      </c>
      <c r="I82" s="23">
        <f t="shared" si="13"/>
        <v>-15568274.708999999</v>
      </c>
      <c r="J82" s="23">
        <f t="shared" si="13"/>
        <v>-30506956.339499999</v>
      </c>
      <c r="K82" s="23">
        <f t="shared" si="13"/>
        <v>-33690542.351199999</v>
      </c>
      <c r="L82" s="23">
        <f t="shared" si="13"/>
        <v>-34352346.818099998</v>
      </c>
      <c r="M82" s="23">
        <f t="shared" si="13"/>
        <v>-16718528.8915</v>
      </c>
      <c r="N82" s="23">
        <f t="shared" si="13"/>
        <v>-375368.17499999999</v>
      </c>
      <c r="O82" s="23">
        <f t="shared" si="13"/>
        <v>-1320512.9707999998</v>
      </c>
      <c r="P82" s="23">
        <f t="shared" si="13"/>
        <v>-12819579</v>
      </c>
      <c r="Q82" s="23">
        <f t="shared" si="13"/>
        <v>-1038549.975</v>
      </c>
      <c r="R82" s="23">
        <f t="shared" si="13"/>
        <v>-18333692.684</v>
      </c>
      <c r="S82" s="23">
        <f t="shared" si="13"/>
        <v>-12811068.672900001</v>
      </c>
      <c r="T82" s="23">
        <f t="shared" si="13"/>
        <v>-25001758.759999998</v>
      </c>
      <c r="U82" s="23">
        <f t="shared" si="13"/>
        <v>-34353188.654399991</v>
      </c>
      <c r="V82" s="23">
        <f t="shared" si="13"/>
        <v>-20645608.338600002</v>
      </c>
      <c r="W82" s="23">
        <f t="shared" si="13"/>
        <v>-17847824.546999998</v>
      </c>
      <c r="X82" s="23">
        <f>SUM(X74:X81)</f>
        <v>-27464099.746500004</v>
      </c>
      <c r="Y82" s="23">
        <f t="shared" si="13"/>
        <v>-30788469.855000004</v>
      </c>
      <c r="Z82" s="23">
        <f t="shared" si="13"/>
        <v>-12019383.4243</v>
      </c>
      <c r="AA82" s="23">
        <f t="shared" si="13"/>
        <v>-38176.239999999998</v>
      </c>
      <c r="AB82" s="23">
        <f t="shared" si="13"/>
        <v>0</v>
      </c>
      <c r="AC82" s="23">
        <f t="shared" si="13"/>
        <v>0</v>
      </c>
      <c r="AD82" s="23">
        <f t="shared" si="13"/>
        <v>-85171.179000000004</v>
      </c>
      <c r="AE82" s="23">
        <f t="shared" si="13"/>
        <v>-1312279.1889999998</v>
      </c>
      <c r="AF82" s="23">
        <f t="shared" si="13"/>
        <v>0</v>
      </c>
      <c r="AG82" s="23">
        <f t="shared" si="13"/>
        <v>0</v>
      </c>
      <c r="AH82" s="23">
        <f t="shared" si="13"/>
        <v>0</v>
      </c>
      <c r="AI82" s="23">
        <f t="shared" si="13"/>
        <v>0</v>
      </c>
      <c r="AJ82" s="23">
        <f t="shared" si="13"/>
        <v>0</v>
      </c>
      <c r="AK82" s="23">
        <f t="shared" si="13"/>
        <v>0</v>
      </c>
      <c r="AL82" s="23">
        <f t="shared" si="13"/>
        <v>0</v>
      </c>
      <c r="AM82" s="23">
        <f t="shared" si="13"/>
        <v>0</v>
      </c>
      <c r="AS82" s="23">
        <f>SUM(D82:O82)</f>
        <v>-170919851.70480001</v>
      </c>
      <c r="AT82" s="23">
        <f>SUM(P82:AA82)</f>
        <v>-213161399.89770001</v>
      </c>
      <c r="AU82" s="23">
        <f>SUM(AB82:AM82)</f>
        <v>-1397450.3679999998</v>
      </c>
    </row>
    <row r="83" spans="2:47" x14ac:dyDescent="0.2">
      <c r="B83" s="21"/>
      <c r="C83" s="1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8"/>
    </row>
    <row r="84" spans="2:47" x14ac:dyDescent="0.2">
      <c r="B84" s="21"/>
      <c r="C84" s="20" t="s">
        <v>133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8"/>
    </row>
    <row r="85" spans="2:47" x14ac:dyDescent="0.2">
      <c r="B85" s="21">
        <v>51205</v>
      </c>
      <c r="C85" s="16" t="str">
        <f>_xlfn.XLOOKUP(B85,TB_UK!A:A,TB_UK!E:E)</f>
        <v>Hotel and Accommodation</v>
      </c>
      <c r="D85" s="17">
        <f>-_xlfn.XLOOKUP($C85,TB_UK!$E:$E,TB_UK!F:F)*D$2</f>
        <v>0</v>
      </c>
      <c r="E85" s="17">
        <f>-_xlfn.XLOOKUP($C85,TB_UK!$E:$E,TB_UK!G:G)*E$2</f>
        <v>0</v>
      </c>
      <c r="F85" s="17">
        <f>-_xlfn.XLOOKUP($C85,TB_UK!$E:$E,TB_UK!H:H)*F$2</f>
        <v>0</v>
      </c>
      <c r="G85" s="17">
        <f>-_xlfn.XLOOKUP($C85,TB_UK!$E:$E,TB_UK!I:I)*G$2</f>
        <v>0</v>
      </c>
      <c r="H85" s="17">
        <f>-_xlfn.XLOOKUP($C85,TB_UK!$E:$E,TB_UK!J:J)*H$2</f>
        <v>0</v>
      </c>
      <c r="I85" s="17">
        <f>-_xlfn.XLOOKUP($C85,TB_UK!$E:$E,TB_UK!K:K)*I$2</f>
        <v>0</v>
      </c>
      <c r="J85" s="17">
        <f>-_xlfn.XLOOKUP($C85,TB_UK!$E:$E,TB_UK!L:L)*J$2</f>
        <v>0</v>
      </c>
      <c r="K85" s="17">
        <f>-_xlfn.XLOOKUP($C85,TB_UK!$E:$E,TB_UK!M:M)*K$2</f>
        <v>0</v>
      </c>
      <c r="L85" s="17">
        <f>-_xlfn.XLOOKUP($C85,TB_UK!$E:$E,TB_UK!N:N)*L$2</f>
        <v>0</v>
      </c>
      <c r="M85" s="17">
        <f>-_xlfn.XLOOKUP($C85,TB_UK!$E:$E,TB_UK!O:O)*M$2</f>
        <v>0</v>
      </c>
      <c r="N85" s="17">
        <f>-_xlfn.XLOOKUP($C85,TB_UK!$E:$E,TB_UK!P:P)*N$2</f>
        <v>0</v>
      </c>
      <c r="O85" s="17">
        <f>-_xlfn.XLOOKUP($C85,TB_UK!$E:$E,TB_UK!Q:Q)*O$2</f>
        <v>0</v>
      </c>
      <c r="P85" s="17">
        <f>-_xlfn.XLOOKUP($C85,TB_UK!$E:$E,TB_UK!R:R)*P$2</f>
        <v>0</v>
      </c>
      <c r="Q85" s="17">
        <f>-_xlfn.XLOOKUP($C85,TB_UK!$E:$E,TB_UK!S:S)*Q$2</f>
        <v>0</v>
      </c>
      <c r="R85" s="17">
        <f>-_xlfn.XLOOKUP($C85,TB_UK!$E:$E,TB_UK!T:T)*R$2</f>
        <v>0</v>
      </c>
      <c r="S85" s="17">
        <f>-_xlfn.XLOOKUP($C85,TB_UK!$E:$E,TB_UK!U:U)*S$2</f>
        <v>0</v>
      </c>
      <c r="T85" s="17">
        <f>-_xlfn.XLOOKUP($C85,TB_UK!$E:$E,TB_UK!V:V)*T$2</f>
        <v>-2148660.8329999996</v>
      </c>
      <c r="U85" s="17">
        <f>-_xlfn.XLOOKUP($C85,TB_UK!$E:$E,TB_UK!W:W)*U$2</f>
        <v>0</v>
      </c>
      <c r="V85" s="17">
        <f>-_xlfn.XLOOKUP($C85,TB_UK!$E:$E,TB_UK!X:X)*V$2</f>
        <v>0</v>
      </c>
      <c r="W85" s="17">
        <f>-_xlfn.XLOOKUP($C85,TB_UK!$E:$E,TB_UK!Y:Y)*W$2</f>
        <v>0</v>
      </c>
      <c r="X85" s="17">
        <f>-_xlfn.XLOOKUP($C85,TB_UK!$E:$E,TB_UK!Z:Z)*X$2</f>
        <v>0</v>
      </c>
      <c r="Y85" s="17">
        <f>-_xlfn.XLOOKUP($C85,TB_UK!$E:$E,TB_UK!AA:AA)*Y$2</f>
        <v>0</v>
      </c>
      <c r="Z85" s="17">
        <f>-_xlfn.XLOOKUP($C85,TB_UK!$E:$E,TB_UK!AB:AB)*Z$2</f>
        <v>0</v>
      </c>
      <c r="AA85" s="17">
        <f>-_xlfn.XLOOKUP($C85,TB_UK!$E:$E,TB_UK!AC:AC)*AA$2</f>
        <v>0</v>
      </c>
      <c r="AB85" s="17">
        <f>-_xlfn.XLOOKUP($C85,TB_UK!$E:$E,TB_UK!AD:AD)*AB$2</f>
        <v>0</v>
      </c>
      <c r="AC85" s="17">
        <f>-_xlfn.XLOOKUP($C85,TB_UK!$E:$E,TB_UK!AE:AE)*AC$2</f>
        <v>0</v>
      </c>
      <c r="AD85" s="17">
        <f>-_xlfn.XLOOKUP($C85,TB_UK!$E:$E,TB_UK!AF:AF)*AD$2</f>
        <v>0</v>
      </c>
      <c r="AE85" s="17">
        <f>-_xlfn.XLOOKUP($C85,TB_UK!$E:$E,TB_UK!AG:AG)*AE$2</f>
        <v>0</v>
      </c>
      <c r="AF85" s="17">
        <f>-_xlfn.XLOOKUP($C85,TB_UK!$E:$E,TB_UK!AH:AH)*AF$2</f>
        <v>0</v>
      </c>
      <c r="AG85" s="17">
        <f>-_xlfn.XLOOKUP($C85,TB_UK!$E:$E,TB_UK!AI:AI)*AG$2</f>
        <v>0</v>
      </c>
      <c r="AH85" s="17">
        <f>-_xlfn.XLOOKUP($C85,TB_UK!$E:$E,TB_UK!AJ:AJ)*AH$2</f>
        <v>0</v>
      </c>
      <c r="AI85" s="17">
        <f>-_xlfn.XLOOKUP($C85,TB_UK!$E:$E,TB_UK!AK:AK)*AI$2</f>
        <v>0</v>
      </c>
      <c r="AJ85" s="17">
        <f>-_xlfn.XLOOKUP($C85,TB_UK!$E:$E,TB_UK!AL:AL)*AJ$2</f>
        <v>0</v>
      </c>
      <c r="AK85" s="17">
        <f>-_xlfn.XLOOKUP($C85,TB_UK!$E:$E,TB_UK!AM:AM)*AK$2</f>
        <v>0</v>
      </c>
      <c r="AL85" s="17">
        <f>-_xlfn.XLOOKUP($C85,TB_UK!$E:$E,TB_UK!AN:AN)*AL$2</f>
        <v>0</v>
      </c>
      <c r="AM85" s="17">
        <f>-_xlfn.XLOOKUP($C85,TB_UK!$E:$E,TB_UK!AO:AO)*AM$2</f>
        <v>0</v>
      </c>
    </row>
    <row r="86" spans="2:47" x14ac:dyDescent="0.2">
      <c r="B86" s="21">
        <v>51220</v>
      </c>
      <c r="C86" s="16" t="str">
        <f>_xlfn.XLOOKUP(B86,TB_UK!A:A,TB_UK!E:E)</f>
        <v>Overseas Travelling</v>
      </c>
      <c r="D86" s="17">
        <f>-_xlfn.XLOOKUP($C86,TB_UK!$E:$E,TB_UK!F:F)*D$2</f>
        <v>0</v>
      </c>
      <c r="E86" s="17">
        <f>-_xlfn.XLOOKUP($C86,TB_UK!$E:$E,TB_UK!G:G)*E$2</f>
        <v>0</v>
      </c>
      <c r="F86" s="17">
        <f>-_xlfn.XLOOKUP($C86,TB_UK!$E:$E,TB_UK!H:H)*F$2</f>
        <v>0</v>
      </c>
      <c r="G86" s="17">
        <f>-_xlfn.XLOOKUP($C86,TB_UK!$E:$E,TB_UK!I:I)*G$2</f>
        <v>0</v>
      </c>
      <c r="H86" s="17">
        <f>-_xlfn.XLOOKUP($C86,TB_UK!$E:$E,TB_UK!J:J)*H$2</f>
        <v>0</v>
      </c>
      <c r="I86" s="17">
        <f>-_xlfn.XLOOKUP($C86,TB_UK!$E:$E,TB_UK!K:K)*I$2</f>
        <v>0</v>
      </c>
      <c r="J86" s="17">
        <f>-_xlfn.XLOOKUP($C86,TB_UK!$E:$E,TB_UK!L:L)*J$2</f>
        <v>0</v>
      </c>
      <c r="K86" s="17">
        <f>-_xlfn.XLOOKUP($C86,TB_UK!$E:$E,TB_UK!M:M)*K$2</f>
        <v>0</v>
      </c>
      <c r="L86" s="17">
        <f>-_xlfn.XLOOKUP($C86,TB_UK!$E:$E,TB_UK!N:N)*L$2</f>
        <v>0</v>
      </c>
      <c r="M86" s="17">
        <f>-_xlfn.XLOOKUP($C86,TB_UK!$E:$E,TB_UK!O:O)*M$2</f>
        <v>0</v>
      </c>
      <c r="N86" s="17">
        <f>-_xlfn.XLOOKUP($C86,TB_UK!$E:$E,TB_UK!P:P)*N$2</f>
        <v>0</v>
      </c>
      <c r="O86" s="17">
        <f>-_xlfn.XLOOKUP($C86,TB_UK!$E:$E,TB_UK!Q:Q)*O$2</f>
        <v>0</v>
      </c>
      <c r="P86" s="17">
        <f>-_xlfn.XLOOKUP($C86,TB_UK!$E:$E,TB_UK!R:R)*P$2</f>
        <v>0</v>
      </c>
      <c r="Q86" s="17">
        <f>-_xlfn.XLOOKUP($C86,TB_UK!$E:$E,TB_UK!S:S)*Q$2</f>
        <v>0</v>
      </c>
      <c r="R86" s="17">
        <f>-_xlfn.XLOOKUP($C86,TB_UK!$E:$E,TB_UK!T:T)*R$2</f>
        <v>0</v>
      </c>
      <c r="S86" s="17">
        <f>-_xlfn.XLOOKUP($C86,TB_UK!$E:$E,TB_UK!U:U)*S$2</f>
        <v>0</v>
      </c>
      <c r="T86" s="17">
        <f>-_xlfn.XLOOKUP($C86,TB_UK!$E:$E,TB_UK!V:V)*T$2</f>
        <v>0</v>
      </c>
      <c r="U86" s="17">
        <f>-_xlfn.XLOOKUP($C86,TB_UK!$E:$E,TB_UK!W:W)*U$2</f>
        <v>0</v>
      </c>
      <c r="V86" s="17">
        <f>-_xlfn.XLOOKUP($C86,TB_UK!$E:$E,TB_UK!X:X)*V$2</f>
        <v>0</v>
      </c>
      <c r="W86" s="17">
        <f>-_xlfn.XLOOKUP($C86,TB_UK!$E:$E,TB_UK!Y:Y)*W$2</f>
        <v>0</v>
      </c>
      <c r="X86" s="17">
        <f>-_xlfn.XLOOKUP($C86,TB_UK!$E:$E,TB_UK!Z:Z)*X$2</f>
        <v>0</v>
      </c>
      <c r="Y86" s="17">
        <f>-_xlfn.XLOOKUP($C86,TB_UK!$E:$E,TB_UK!AA:AA)*Y$2</f>
        <v>0</v>
      </c>
      <c r="Z86" s="17">
        <f>-_xlfn.XLOOKUP($C86,TB_UK!$E:$E,TB_UK!AB:AB)*Z$2</f>
        <v>0</v>
      </c>
      <c r="AA86" s="17">
        <f>-_xlfn.XLOOKUP($C86,TB_UK!$E:$E,TB_UK!AC:AC)*AA$2</f>
        <v>0</v>
      </c>
      <c r="AB86" s="17">
        <f>-_xlfn.XLOOKUP($C86,TB_UK!$E:$E,TB_UK!AD:AD)*AB$2</f>
        <v>0</v>
      </c>
      <c r="AC86" s="17">
        <f>-_xlfn.XLOOKUP($C86,TB_UK!$E:$E,TB_UK!AE:AE)*AC$2</f>
        <v>0</v>
      </c>
      <c r="AD86" s="17">
        <f>-_xlfn.XLOOKUP($C86,TB_UK!$E:$E,TB_UK!AF:AF)*AD$2</f>
        <v>0</v>
      </c>
      <c r="AE86" s="17">
        <f>-_xlfn.XLOOKUP($C86,TB_UK!$E:$E,TB_UK!AG:AG)*AE$2</f>
        <v>0</v>
      </c>
      <c r="AF86" s="17">
        <f>-_xlfn.XLOOKUP($C86,TB_UK!$E:$E,TB_UK!AH:AH)*AF$2</f>
        <v>0</v>
      </c>
      <c r="AG86" s="17">
        <f>-_xlfn.XLOOKUP($C86,TB_UK!$E:$E,TB_UK!AI:AI)*AG$2</f>
        <v>0</v>
      </c>
      <c r="AH86" s="17">
        <f>-_xlfn.XLOOKUP($C86,TB_UK!$E:$E,TB_UK!AJ:AJ)*AH$2</f>
        <v>0</v>
      </c>
      <c r="AI86" s="17">
        <f>-_xlfn.XLOOKUP($C86,TB_UK!$E:$E,TB_UK!AK:AK)*AI$2</f>
        <v>0</v>
      </c>
      <c r="AJ86" s="17">
        <f>-_xlfn.XLOOKUP($C86,TB_UK!$E:$E,TB_UK!AL:AL)*AJ$2</f>
        <v>0</v>
      </c>
      <c r="AK86" s="17">
        <f>-_xlfn.XLOOKUP($C86,TB_UK!$E:$E,TB_UK!AM:AM)*AK$2</f>
        <v>0</v>
      </c>
      <c r="AL86" s="17">
        <f>-_xlfn.XLOOKUP($C86,TB_UK!$E:$E,TB_UK!AN:AN)*AL$2</f>
        <v>0</v>
      </c>
      <c r="AM86" s="17">
        <f>-_xlfn.XLOOKUP($C86,TB_UK!$E:$E,TB_UK!AO:AO)*AM$2</f>
        <v>0</v>
      </c>
    </row>
    <row r="87" spans="2:47" x14ac:dyDescent="0.2">
      <c r="B87" s="21">
        <v>51410</v>
      </c>
      <c r="C87" s="16" t="str">
        <f>_xlfn.XLOOKUP(B87,TB_UK!A:A,TB_UK!E:E)</f>
        <v>Transportation Expense</v>
      </c>
      <c r="D87" s="17">
        <f>-_xlfn.XLOOKUP($C87,TB_UK!$E:$E,TB_UK!F:F)*D$2</f>
        <v>0</v>
      </c>
      <c r="E87" s="17">
        <f>-_xlfn.XLOOKUP($C87,TB_UK!$E:$E,TB_UK!G:G)*E$2</f>
        <v>-709572.36</v>
      </c>
      <c r="F87" s="17">
        <f>-_xlfn.XLOOKUP($C87,TB_UK!$E:$E,TB_UK!H:H)*F$2</f>
        <v>-246073.041</v>
      </c>
      <c r="G87" s="17">
        <f>-_xlfn.XLOOKUP($C87,TB_UK!$E:$E,TB_UK!I:I)*G$2</f>
        <v>-159255.15</v>
      </c>
      <c r="H87" s="17">
        <f>-_xlfn.XLOOKUP($C87,TB_UK!$E:$E,TB_UK!J:J)*H$2</f>
        <v>-612156.696</v>
      </c>
      <c r="I87" s="17">
        <f>-_xlfn.XLOOKUP($C87,TB_UK!$E:$E,TB_UK!K:K)*I$2</f>
        <v>-455692.79600000003</v>
      </c>
      <c r="J87" s="17">
        <f>-_xlfn.XLOOKUP($C87,TB_UK!$E:$E,TB_UK!L:L)*J$2</f>
        <v>-3746205.2399999998</v>
      </c>
      <c r="K87" s="17">
        <f>-_xlfn.XLOOKUP($C87,TB_UK!$E:$E,TB_UK!M:M)*K$2</f>
        <v>0</v>
      </c>
      <c r="L87" s="17">
        <f>-_xlfn.XLOOKUP($C87,TB_UK!$E:$E,TB_UK!N:N)*L$2</f>
        <v>-99031.09199999999</v>
      </c>
      <c r="M87" s="17">
        <f>-_xlfn.XLOOKUP($C87,TB_UK!$E:$E,TB_UK!O:O)*M$2</f>
        <v>-719925.3138</v>
      </c>
      <c r="N87" s="17">
        <f>-_xlfn.XLOOKUP($C87,TB_UK!$E:$E,TB_UK!P:P)*N$2</f>
        <v>-811116.08550000004</v>
      </c>
      <c r="O87" s="17">
        <f>-_xlfn.XLOOKUP($C87,TB_UK!$E:$E,TB_UK!Q:Q)*O$2</f>
        <v>-301251.8</v>
      </c>
      <c r="P87" s="17">
        <f>-_xlfn.XLOOKUP($C87,TB_UK!$E:$E,TB_UK!R:R)*P$2</f>
        <v>-1003543.4312999999</v>
      </c>
      <c r="Q87" s="17">
        <f>-_xlfn.XLOOKUP($C87,TB_UK!$E:$E,TB_UK!S:S)*Q$2</f>
        <v>-319871.49800019403</v>
      </c>
      <c r="R87" s="17">
        <f>-_xlfn.XLOOKUP($C87,TB_UK!$E:$E,TB_UK!T:T)*R$2</f>
        <v>-629454.45149999997</v>
      </c>
      <c r="S87" s="17">
        <f>-_xlfn.XLOOKUP($C87,TB_UK!$E:$E,TB_UK!U:U)*S$2</f>
        <v>-734516.82000000007</v>
      </c>
      <c r="T87" s="17">
        <f>-_xlfn.XLOOKUP($C87,TB_UK!$E:$E,TB_UK!V:V)*T$2</f>
        <v>-332670.89349999995</v>
      </c>
      <c r="U87" s="17">
        <f>-_xlfn.XLOOKUP($C87,TB_UK!$E:$E,TB_UK!W:W)*U$2</f>
        <v>-239360.26799999998</v>
      </c>
      <c r="V87" s="17">
        <f>-_xlfn.XLOOKUP($C87,TB_UK!$E:$E,TB_UK!X:X)*V$2</f>
        <v>-220111.55999999994</v>
      </c>
      <c r="W87" s="17">
        <f>-_xlfn.XLOOKUP($C87,TB_UK!$E:$E,TB_UK!Y:Y)*W$2</f>
        <v>-646612.76610000001</v>
      </c>
      <c r="X87" s="17">
        <f>-_xlfn.XLOOKUP($C87,TB_UK!$E:$E,TB_UK!Z:Z)*X$2</f>
        <v>-74936.423999999999</v>
      </c>
      <c r="Y87" s="17">
        <f>-_xlfn.XLOOKUP($C87,TB_UK!$E:$E,TB_UK!AA:AA)*Y$2</f>
        <v>-140171.98000000001</v>
      </c>
      <c r="Z87" s="17">
        <f>-_xlfn.XLOOKUP($C87,TB_UK!$E:$E,TB_UK!AB:AB)*Z$2</f>
        <v>-176477.25399999999</v>
      </c>
      <c r="AA87" s="17">
        <f>-_xlfn.XLOOKUP($C87,TB_UK!$E:$E,TB_UK!AC:AC)*AA$2</f>
        <v>-427331.375</v>
      </c>
      <c r="AB87" s="17">
        <f>-_xlfn.XLOOKUP($C87,TB_UK!$E:$E,TB_UK!AD:AD)*AB$2</f>
        <v>-709319.34600000002</v>
      </c>
      <c r="AC87" s="17">
        <f>-_xlfn.XLOOKUP($C87,TB_UK!$E:$E,TB_UK!AE:AE)*AC$2</f>
        <v>-744553.33200000005</v>
      </c>
      <c r="AD87" s="17">
        <f>-_xlfn.XLOOKUP($C87,TB_UK!$E:$E,TB_UK!AF:AF)*AD$2</f>
        <v>0</v>
      </c>
      <c r="AE87" s="17">
        <f>-_xlfn.XLOOKUP($C87,TB_UK!$E:$E,TB_UK!AG:AG)*AE$2</f>
        <v>-476445.33299999993</v>
      </c>
      <c r="AF87" s="17">
        <f>-_xlfn.XLOOKUP($C87,TB_UK!$E:$E,TB_UK!AH:AH)*AF$2</f>
        <v>0</v>
      </c>
      <c r="AG87" s="17">
        <f>-_xlfn.XLOOKUP($C87,TB_UK!$E:$E,TB_UK!AI:AI)*AG$2</f>
        <v>0</v>
      </c>
      <c r="AH87" s="17">
        <f>-_xlfn.XLOOKUP($C87,TB_UK!$E:$E,TB_UK!AJ:AJ)*AH$2</f>
        <v>0</v>
      </c>
      <c r="AI87" s="17">
        <f>-_xlfn.XLOOKUP($C87,TB_UK!$E:$E,TB_UK!AK:AK)*AI$2</f>
        <v>0</v>
      </c>
      <c r="AJ87" s="17">
        <f>-_xlfn.XLOOKUP($C87,TB_UK!$E:$E,TB_UK!AL:AL)*AJ$2</f>
        <v>0</v>
      </c>
      <c r="AK87" s="17">
        <f>-_xlfn.XLOOKUP($C87,TB_UK!$E:$E,TB_UK!AM:AM)*AK$2</f>
        <v>0</v>
      </c>
      <c r="AL87" s="17">
        <f>-_xlfn.XLOOKUP($C87,TB_UK!$E:$E,TB_UK!AN:AN)*AL$2</f>
        <v>0</v>
      </c>
      <c r="AM87" s="17">
        <f>-_xlfn.XLOOKUP($C87,TB_UK!$E:$E,TB_UK!AO:AO)*AM$2</f>
        <v>0</v>
      </c>
    </row>
    <row r="88" spans="2:47" x14ac:dyDescent="0.2">
      <c r="B88" s="21">
        <v>63125</v>
      </c>
      <c r="C88" s="16" t="str">
        <f>_xlfn.XLOOKUP(B88,TB_UK!A:A,TB_UK!E:E)</f>
        <v>Transportation</v>
      </c>
      <c r="D88" s="17">
        <f>-_xlfn.XLOOKUP($C88,TB_UK!$E:$E,TB_UK!F:F)*D$2</f>
        <v>-149084.29080000002</v>
      </c>
      <c r="E88" s="17">
        <f>-_xlfn.XLOOKUP($C88,TB_UK!$E:$E,TB_UK!G:G)*E$2</f>
        <v>0</v>
      </c>
      <c r="F88" s="17">
        <f>-_xlfn.XLOOKUP($C88,TB_UK!$E:$E,TB_UK!H:H)*F$2</f>
        <v>0</v>
      </c>
      <c r="G88" s="17">
        <f>-_xlfn.XLOOKUP($C88,TB_UK!$E:$E,TB_UK!I:I)*G$2</f>
        <v>0</v>
      </c>
      <c r="H88" s="17">
        <f>-_xlfn.XLOOKUP($C88,TB_UK!$E:$E,TB_UK!J:J)*H$2</f>
        <v>0</v>
      </c>
      <c r="I88" s="17">
        <f>-_xlfn.XLOOKUP($C88,TB_UK!$E:$E,TB_UK!K:K)*I$2</f>
        <v>0</v>
      </c>
      <c r="J88" s="17">
        <f>-_xlfn.XLOOKUP($C88,TB_UK!$E:$E,TB_UK!L:L)*J$2</f>
        <v>0</v>
      </c>
      <c r="K88" s="17">
        <f>-_xlfn.XLOOKUP($C88,TB_UK!$E:$E,TB_UK!M:M)*K$2</f>
        <v>0</v>
      </c>
      <c r="L88" s="17">
        <f>-_xlfn.XLOOKUP($C88,TB_UK!$E:$E,TB_UK!N:N)*L$2</f>
        <v>0</v>
      </c>
      <c r="M88" s="17">
        <f>-_xlfn.XLOOKUP($C88,TB_UK!$E:$E,TB_UK!O:O)*M$2</f>
        <v>0</v>
      </c>
      <c r="N88" s="17">
        <f>-_xlfn.XLOOKUP($C88,TB_UK!$E:$E,TB_UK!P:P)*N$2</f>
        <v>-202356.59849999999</v>
      </c>
      <c r="O88" s="17">
        <f>-_xlfn.XLOOKUP($C88,TB_UK!$E:$E,TB_UK!Q:Q)*O$2</f>
        <v>0</v>
      </c>
      <c r="P88" s="17">
        <f>-_xlfn.XLOOKUP($C88,TB_UK!$E:$E,TB_UK!R:R)*P$2</f>
        <v>0</v>
      </c>
      <c r="Q88" s="17">
        <f>-_xlfn.XLOOKUP($C88,TB_UK!$E:$E,TB_UK!S:S)*Q$2</f>
        <v>0</v>
      </c>
      <c r="R88" s="17">
        <f>-_xlfn.XLOOKUP($C88,TB_UK!$E:$E,TB_UK!T:T)*R$2</f>
        <v>0</v>
      </c>
      <c r="S88" s="17">
        <f>-_xlfn.XLOOKUP($C88,TB_UK!$E:$E,TB_UK!U:U)*S$2</f>
        <v>0</v>
      </c>
      <c r="T88" s="17">
        <f>-_xlfn.XLOOKUP($C88,TB_UK!$E:$E,TB_UK!V:V)*T$2</f>
        <v>0</v>
      </c>
      <c r="U88" s="17">
        <f>-_xlfn.XLOOKUP($C88,TB_UK!$E:$E,TB_UK!W:W)*U$2</f>
        <v>0</v>
      </c>
      <c r="V88" s="17">
        <f>-_xlfn.XLOOKUP($C88,TB_UK!$E:$E,TB_UK!X:X)*V$2</f>
        <v>0</v>
      </c>
      <c r="W88" s="17">
        <f>-_xlfn.XLOOKUP($C88,TB_UK!$E:$E,TB_UK!Y:Y)*W$2</f>
        <v>0</v>
      </c>
      <c r="X88" s="17">
        <f>-_xlfn.XLOOKUP($C88,TB_UK!$E:$E,TB_UK!Z:Z)*X$2</f>
        <v>0</v>
      </c>
      <c r="Y88" s="17">
        <f>-_xlfn.XLOOKUP($C88,TB_UK!$E:$E,TB_UK!AA:AA)*Y$2</f>
        <v>0</v>
      </c>
      <c r="Z88" s="17">
        <f>-_xlfn.XLOOKUP($C88,TB_UK!$E:$E,TB_UK!AB:AB)*Z$2</f>
        <v>0</v>
      </c>
      <c r="AA88" s="17">
        <f>-_xlfn.XLOOKUP($C88,TB_UK!$E:$E,TB_UK!AC:AC)*AA$2</f>
        <v>0</v>
      </c>
      <c r="AB88" s="17">
        <f>-_xlfn.XLOOKUP($C88,TB_UK!$E:$E,TB_UK!AD:AD)*AB$2</f>
        <v>0</v>
      </c>
      <c r="AC88" s="17">
        <f>-_xlfn.XLOOKUP($C88,TB_UK!$E:$E,TB_UK!AE:AE)*AC$2</f>
        <v>0</v>
      </c>
      <c r="AD88" s="17">
        <f>-_xlfn.XLOOKUP($C88,TB_UK!$E:$E,TB_UK!AF:AF)*AD$2</f>
        <v>0</v>
      </c>
      <c r="AE88" s="17">
        <f>-_xlfn.XLOOKUP($C88,TB_UK!$E:$E,TB_UK!AG:AG)*AE$2</f>
        <v>0</v>
      </c>
      <c r="AF88" s="17">
        <f>-_xlfn.XLOOKUP($C88,TB_UK!$E:$E,TB_UK!AH:AH)*AF$2</f>
        <v>0</v>
      </c>
      <c r="AG88" s="17">
        <f>-_xlfn.XLOOKUP($C88,TB_UK!$E:$E,TB_UK!AI:AI)*AG$2</f>
        <v>0</v>
      </c>
      <c r="AH88" s="17">
        <f>-_xlfn.XLOOKUP($C88,TB_UK!$E:$E,TB_UK!AJ:AJ)*AH$2</f>
        <v>0</v>
      </c>
      <c r="AI88" s="17">
        <f>-_xlfn.XLOOKUP($C88,TB_UK!$E:$E,TB_UK!AK:AK)*AI$2</f>
        <v>0</v>
      </c>
      <c r="AJ88" s="17">
        <f>-_xlfn.XLOOKUP($C88,TB_UK!$E:$E,TB_UK!AL:AL)*AJ$2</f>
        <v>0</v>
      </c>
      <c r="AK88" s="17">
        <f>-_xlfn.XLOOKUP($C88,TB_UK!$E:$E,TB_UK!AM:AM)*AK$2</f>
        <v>0</v>
      </c>
      <c r="AL88" s="17">
        <f>-_xlfn.XLOOKUP($C88,TB_UK!$E:$E,TB_UK!AN:AN)*AL$2</f>
        <v>0</v>
      </c>
      <c r="AM88" s="17">
        <f>-_xlfn.XLOOKUP($C88,TB_UK!$E:$E,TB_UK!AO:AO)*AM$2</f>
        <v>0</v>
      </c>
    </row>
    <row r="89" spans="2:47" x14ac:dyDescent="0.2">
      <c r="B89" s="21"/>
      <c r="C89" s="22" t="s">
        <v>134</v>
      </c>
      <c r="D89" s="23">
        <f>SUM(D85:D88)</f>
        <v>-149084.29080000002</v>
      </c>
      <c r="E89" s="23">
        <f t="shared" ref="E89:AM89" si="14">SUM(E85:E88)</f>
        <v>-709572.36</v>
      </c>
      <c r="F89" s="23">
        <f t="shared" si="14"/>
        <v>-246073.041</v>
      </c>
      <c r="G89" s="23">
        <f t="shared" si="14"/>
        <v>-159255.15</v>
      </c>
      <c r="H89" s="23">
        <f t="shared" si="14"/>
        <v>-612156.696</v>
      </c>
      <c r="I89" s="23">
        <f t="shared" si="14"/>
        <v>-455692.79600000003</v>
      </c>
      <c r="J89" s="23">
        <f t="shared" si="14"/>
        <v>-3746205.2399999998</v>
      </c>
      <c r="K89" s="23">
        <f t="shared" si="14"/>
        <v>0</v>
      </c>
      <c r="L89" s="23">
        <f t="shared" si="14"/>
        <v>-99031.09199999999</v>
      </c>
      <c r="M89" s="23">
        <f t="shared" si="14"/>
        <v>-719925.3138</v>
      </c>
      <c r="N89" s="23">
        <f t="shared" si="14"/>
        <v>-1013472.684</v>
      </c>
      <c r="O89" s="23">
        <f t="shared" si="14"/>
        <v>-301251.8</v>
      </c>
      <c r="P89" s="23">
        <f t="shared" si="14"/>
        <v>-1003543.4312999999</v>
      </c>
      <c r="Q89" s="23">
        <f t="shared" si="14"/>
        <v>-319871.49800019403</v>
      </c>
      <c r="R89" s="23">
        <f t="shared" si="14"/>
        <v>-629454.45149999997</v>
      </c>
      <c r="S89" s="23">
        <f t="shared" si="14"/>
        <v>-734516.82000000007</v>
      </c>
      <c r="T89" s="23">
        <f t="shared" si="14"/>
        <v>-2481331.7264999994</v>
      </c>
      <c r="U89" s="23">
        <f t="shared" si="14"/>
        <v>-239360.26799999998</v>
      </c>
      <c r="V89" s="23">
        <f t="shared" si="14"/>
        <v>-220111.55999999994</v>
      </c>
      <c r="W89" s="23">
        <f t="shared" si="14"/>
        <v>-646612.76610000001</v>
      </c>
      <c r="X89" s="23">
        <f>SUM(X85:X88)</f>
        <v>-74936.423999999999</v>
      </c>
      <c r="Y89" s="23">
        <f t="shared" si="14"/>
        <v>-140171.98000000001</v>
      </c>
      <c r="Z89" s="23">
        <f t="shared" si="14"/>
        <v>-176477.25399999999</v>
      </c>
      <c r="AA89" s="23">
        <f t="shared" si="14"/>
        <v>-427331.375</v>
      </c>
      <c r="AB89" s="23">
        <f t="shared" si="14"/>
        <v>-709319.34600000002</v>
      </c>
      <c r="AC89" s="23">
        <f t="shared" si="14"/>
        <v>-744553.33200000005</v>
      </c>
      <c r="AD89" s="23">
        <f t="shared" si="14"/>
        <v>0</v>
      </c>
      <c r="AE89" s="23">
        <f t="shared" si="14"/>
        <v>-476445.33299999993</v>
      </c>
      <c r="AF89" s="23">
        <f t="shared" si="14"/>
        <v>0</v>
      </c>
      <c r="AG89" s="23">
        <f t="shared" si="14"/>
        <v>0</v>
      </c>
      <c r="AH89" s="23">
        <f t="shared" si="14"/>
        <v>0</v>
      </c>
      <c r="AI89" s="23">
        <f t="shared" si="14"/>
        <v>0</v>
      </c>
      <c r="AJ89" s="23">
        <f t="shared" si="14"/>
        <v>0</v>
      </c>
      <c r="AK89" s="23">
        <f t="shared" si="14"/>
        <v>0</v>
      </c>
      <c r="AL89" s="23">
        <f t="shared" si="14"/>
        <v>0</v>
      </c>
      <c r="AM89" s="23">
        <f t="shared" si="14"/>
        <v>0</v>
      </c>
      <c r="AS89" s="23">
        <f>SUM(D89:O89)</f>
        <v>-8211720.4635999994</v>
      </c>
      <c r="AT89" s="23">
        <f>SUM(P89:AA89)</f>
        <v>-7093719.5544001926</v>
      </c>
      <c r="AU89" s="23">
        <f>SUM(AB89:AM89)</f>
        <v>-1930318.0109999999</v>
      </c>
    </row>
    <row r="90" spans="2:47" x14ac:dyDescent="0.2">
      <c r="B90" s="21"/>
      <c r="C90" s="16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8"/>
    </row>
    <row r="91" spans="2:47" x14ac:dyDescent="0.2">
      <c r="B91" s="21"/>
      <c r="C91" s="20" t="s">
        <v>135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8"/>
    </row>
    <row r="92" spans="2:47" x14ac:dyDescent="0.2">
      <c r="B92" s="21">
        <v>61700</v>
      </c>
      <c r="C92" s="16" t="str">
        <f>_xlfn.XLOOKUP(B92,TB_UK!A:A,TB_UK!E:E)</f>
        <v>Insurance Expense</v>
      </c>
      <c r="D92" s="17">
        <f>-_xlfn.XLOOKUP($C92,TB_UK!$E:$E,TB_UK!F:F)*D$2</f>
        <v>-219093.23760000002</v>
      </c>
      <c r="E92" s="17">
        <f>-_xlfn.XLOOKUP($C92,TB_UK!$E:$E,TB_UK!G:G)*E$2</f>
        <v>-387631.54079999996</v>
      </c>
      <c r="F92" s="17">
        <f>-_xlfn.XLOOKUP($C92,TB_UK!$E:$E,TB_UK!H:H)*F$2</f>
        <v>-602167.60439999995</v>
      </c>
      <c r="G92" s="17">
        <f>-_xlfn.XLOOKUP($C92,TB_UK!$E:$E,TB_UK!I:I)*G$2</f>
        <v>-323271.19079999998</v>
      </c>
      <c r="H92" s="17">
        <f>-_xlfn.XLOOKUP($C92,TB_UK!$E:$E,TB_UK!J:J)*H$2</f>
        <v>-335746.01039999997</v>
      </c>
      <c r="I92" s="17">
        <f>-_xlfn.XLOOKUP($C92,TB_UK!$E:$E,TB_UK!K:K)*I$2</f>
        <v>-374258.08679999999</v>
      </c>
      <c r="J92" s="17">
        <f>-_xlfn.XLOOKUP($C92,TB_UK!$E:$E,TB_UK!L:L)*J$2</f>
        <v>-405594.89849999995</v>
      </c>
      <c r="K92" s="17">
        <f>-_xlfn.XLOOKUP($C92,TB_UK!$E:$E,TB_UK!M:M)*K$2</f>
        <v>-405476.75440000003</v>
      </c>
      <c r="L92" s="17">
        <f>-_xlfn.XLOOKUP($C92,TB_UK!$E:$E,TB_UK!N:N)*L$2</f>
        <v>-432435.76839999994</v>
      </c>
      <c r="M92" s="17">
        <f>-_xlfn.XLOOKUP($C92,TB_UK!$E:$E,TB_UK!O:O)*M$2</f>
        <v>-413862.06440000003</v>
      </c>
      <c r="N92" s="17">
        <f>-_xlfn.XLOOKUP($C92,TB_UK!$E:$E,TB_UK!P:P)*N$2</f>
        <v>-414680.23799999995</v>
      </c>
      <c r="O92" s="17">
        <f>-_xlfn.XLOOKUP($C92,TB_UK!$E:$E,TB_UK!Q:Q)*O$2</f>
        <v>-376817.41279999999</v>
      </c>
      <c r="P92" s="17">
        <f>-_xlfn.XLOOKUP($C92,TB_UK!$E:$E,TB_UK!R:R)*P$2</f>
        <v>-370964.17559999996</v>
      </c>
      <c r="Q92" s="17">
        <f>-_xlfn.XLOOKUP($C92,TB_UK!$E:$E,TB_UK!S:S)*Q$2</f>
        <v>-367266.88400000881</v>
      </c>
      <c r="R92" s="17">
        <f>-_xlfn.XLOOKUP($C92,TB_UK!$E:$E,TB_UK!T:T)*R$2</f>
        <v>-683066.03799999994</v>
      </c>
      <c r="S92" s="17">
        <f>-_xlfn.XLOOKUP($C92,TB_UK!$E:$E,TB_UK!U:U)*S$2</f>
        <v>-416398.0148</v>
      </c>
      <c r="T92" s="17">
        <f>-_xlfn.XLOOKUP($C92,TB_UK!$E:$E,TB_UK!V:V)*T$2</f>
        <v>-414699.62599999993</v>
      </c>
      <c r="U92" s="17">
        <f>-_xlfn.XLOOKUP($C92,TB_UK!$E:$E,TB_UK!W:W)*U$2</f>
        <v>-409957.32119999995</v>
      </c>
      <c r="V92" s="17">
        <f>-_xlfn.XLOOKUP($C92,TB_UK!$E:$E,TB_UK!X:X)*V$2</f>
        <v>-385399.03699999995</v>
      </c>
      <c r="W92" s="17">
        <f>-_xlfn.XLOOKUP($C92,TB_UK!$E:$E,TB_UK!Y:Y)*W$2</f>
        <v>-392539.60619999998</v>
      </c>
      <c r="X92" s="17">
        <f>-_xlfn.XLOOKUP($C92,TB_UK!$E:$E,TB_UK!Z:Z)*X$2</f>
        <v>-376794.68940000003</v>
      </c>
      <c r="Y92" s="17">
        <f>-_xlfn.XLOOKUP($C92,TB_UK!$E:$E,TB_UK!AA:AA)*Y$2</f>
        <v>-361047.88200000004</v>
      </c>
      <c r="Z92" s="17">
        <f>-_xlfn.XLOOKUP($C92,TB_UK!$E:$E,TB_UK!AB:AB)*Z$2</f>
        <v>-361874.07419999997</v>
      </c>
      <c r="AA92" s="17">
        <f>-_xlfn.XLOOKUP($C92,TB_UK!$E:$E,TB_UK!AC:AC)*AA$2</f>
        <v>-369754.09500000003</v>
      </c>
      <c r="AB92" s="17">
        <f>-_xlfn.XLOOKUP($C92,TB_UK!$E:$E,TB_UK!AD:AD)*AB$2</f>
        <v>-360397.51559999998</v>
      </c>
      <c r="AC92" s="17">
        <f>-_xlfn.XLOOKUP($C92,TB_UK!$E:$E,TB_UK!AE:AE)*AC$2</f>
        <v>-345775.6152</v>
      </c>
      <c r="AD92" s="17">
        <f>-_xlfn.XLOOKUP($C92,TB_UK!$E:$E,TB_UK!AF:AF)*AD$2</f>
        <v>-345620.58600000001</v>
      </c>
      <c r="AE92" s="17">
        <f>-_xlfn.XLOOKUP($C92,TB_UK!$E:$E,TB_UK!AG:AG)*AE$2</f>
        <v>-350725.20600000001</v>
      </c>
      <c r="AF92" s="17">
        <f>-_xlfn.XLOOKUP($C92,TB_UK!$E:$E,TB_UK!AH:AH)*AF$2</f>
        <v>0</v>
      </c>
      <c r="AG92" s="17">
        <f>-_xlfn.XLOOKUP($C92,TB_UK!$E:$E,TB_UK!AI:AI)*AG$2</f>
        <v>0</v>
      </c>
      <c r="AH92" s="17">
        <f>-_xlfn.XLOOKUP($C92,TB_UK!$E:$E,TB_UK!AJ:AJ)*AH$2</f>
        <v>0</v>
      </c>
      <c r="AI92" s="17">
        <f>-_xlfn.XLOOKUP($C92,TB_UK!$E:$E,TB_UK!AK:AK)*AI$2</f>
        <v>0</v>
      </c>
      <c r="AJ92" s="17">
        <f>-_xlfn.XLOOKUP($C92,TB_UK!$E:$E,TB_UK!AL:AL)*AJ$2</f>
        <v>0</v>
      </c>
      <c r="AK92" s="17">
        <f>-_xlfn.XLOOKUP($C92,TB_UK!$E:$E,TB_UK!AM:AM)*AK$2</f>
        <v>0</v>
      </c>
      <c r="AL92" s="17">
        <f>-_xlfn.XLOOKUP($C92,TB_UK!$E:$E,TB_UK!AN:AN)*AL$2</f>
        <v>0</v>
      </c>
      <c r="AM92" s="17">
        <f>-_xlfn.XLOOKUP($C92,TB_UK!$E:$E,TB_UK!AO:AO)*AM$2</f>
        <v>0</v>
      </c>
    </row>
    <row r="93" spans="2:47" x14ac:dyDescent="0.2">
      <c r="B93" s="21"/>
      <c r="C93" s="1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8"/>
    </row>
    <row r="94" spans="2:47" x14ac:dyDescent="0.2">
      <c r="B94" s="21"/>
      <c r="C94" s="22" t="s">
        <v>136</v>
      </c>
      <c r="D94" s="23">
        <f>SUM(D92:D93)</f>
        <v>-219093.23760000002</v>
      </c>
      <c r="E94" s="23">
        <f t="shared" ref="E94:AM94" si="15">SUM(E92:E93)</f>
        <v>-387631.54079999996</v>
      </c>
      <c r="F94" s="23">
        <f t="shared" si="15"/>
        <v>-602167.60439999995</v>
      </c>
      <c r="G94" s="23">
        <f t="shared" si="15"/>
        <v>-323271.19079999998</v>
      </c>
      <c r="H94" s="23">
        <f t="shared" si="15"/>
        <v>-335746.01039999997</v>
      </c>
      <c r="I94" s="23">
        <f t="shared" si="15"/>
        <v>-374258.08679999999</v>
      </c>
      <c r="J94" s="23">
        <f t="shared" si="15"/>
        <v>-405594.89849999995</v>
      </c>
      <c r="K94" s="23">
        <f t="shared" si="15"/>
        <v>-405476.75440000003</v>
      </c>
      <c r="L94" s="23">
        <f t="shared" si="15"/>
        <v>-432435.76839999994</v>
      </c>
      <c r="M94" s="23">
        <f t="shared" si="15"/>
        <v>-413862.06440000003</v>
      </c>
      <c r="N94" s="23">
        <f t="shared" si="15"/>
        <v>-414680.23799999995</v>
      </c>
      <c r="O94" s="23">
        <f t="shared" si="15"/>
        <v>-376817.41279999999</v>
      </c>
      <c r="P94" s="23">
        <f t="shared" si="15"/>
        <v>-370964.17559999996</v>
      </c>
      <c r="Q94" s="23">
        <f t="shared" si="15"/>
        <v>-367266.88400000881</v>
      </c>
      <c r="R94" s="23">
        <f t="shared" si="15"/>
        <v>-683066.03799999994</v>
      </c>
      <c r="S94" s="23">
        <f t="shared" si="15"/>
        <v>-416398.0148</v>
      </c>
      <c r="T94" s="23">
        <f t="shared" si="15"/>
        <v>-414699.62599999993</v>
      </c>
      <c r="U94" s="23">
        <f t="shared" si="15"/>
        <v>-409957.32119999995</v>
      </c>
      <c r="V94" s="23">
        <f t="shared" si="15"/>
        <v>-385399.03699999995</v>
      </c>
      <c r="W94" s="23">
        <f t="shared" si="15"/>
        <v>-392539.60619999998</v>
      </c>
      <c r="X94" s="23">
        <f>SUM(X92:X93)</f>
        <v>-376794.68940000003</v>
      </c>
      <c r="Y94" s="23">
        <f t="shared" si="15"/>
        <v>-361047.88200000004</v>
      </c>
      <c r="Z94" s="23">
        <f t="shared" si="15"/>
        <v>-361874.07419999997</v>
      </c>
      <c r="AA94" s="23">
        <f t="shared" si="15"/>
        <v>-369754.09500000003</v>
      </c>
      <c r="AB94" s="23">
        <f t="shared" si="15"/>
        <v>-360397.51559999998</v>
      </c>
      <c r="AC94" s="23">
        <f t="shared" si="15"/>
        <v>-345775.6152</v>
      </c>
      <c r="AD94" s="23">
        <f t="shared" si="15"/>
        <v>-345620.58600000001</v>
      </c>
      <c r="AE94" s="23">
        <f t="shared" si="15"/>
        <v>-350725.20600000001</v>
      </c>
      <c r="AF94" s="23">
        <f t="shared" si="15"/>
        <v>0</v>
      </c>
      <c r="AG94" s="23">
        <f t="shared" si="15"/>
        <v>0</v>
      </c>
      <c r="AH94" s="23">
        <f t="shared" si="15"/>
        <v>0</v>
      </c>
      <c r="AI94" s="23">
        <f t="shared" si="15"/>
        <v>0</v>
      </c>
      <c r="AJ94" s="23">
        <f t="shared" si="15"/>
        <v>0</v>
      </c>
      <c r="AK94" s="23">
        <f t="shared" si="15"/>
        <v>0</v>
      </c>
      <c r="AL94" s="23">
        <f t="shared" si="15"/>
        <v>0</v>
      </c>
      <c r="AM94" s="23">
        <f t="shared" si="15"/>
        <v>0</v>
      </c>
      <c r="AS94" s="23">
        <f>SUM(D94:O94)</f>
        <v>-4691034.8073000005</v>
      </c>
      <c r="AT94" s="23">
        <f>SUM(P94:AA94)</f>
        <v>-4909761.4434000086</v>
      </c>
      <c r="AU94" s="23">
        <f>SUM(AB94:AM94)</f>
        <v>-1402518.9228000001</v>
      </c>
    </row>
    <row r="95" spans="2:47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8"/>
    </row>
    <row r="96" spans="2:47" x14ac:dyDescent="0.2">
      <c r="B96" s="21"/>
      <c r="C96" s="20" t="s">
        <v>137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8"/>
    </row>
    <row r="97" spans="2:47" x14ac:dyDescent="0.2">
      <c r="B97" s="21">
        <v>51340</v>
      </c>
      <c r="C97" s="16" t="str">
        <f>_xlfn.XLOOKUP(B97,TB_UK!A:A,TB_UK!E:E)</f>
        <v>Motor Vehicle Licences</v>
      </c>
      <c r="D97" s="17">
        <f>-_xlfn.XLOOKUP($C97,TB_UK!$E:$E,TB_UK!F:F)*D$2</f>
        <v>0</v>
      </c>
      <c r="E97" s="17">
        <f>-_xlfn.XLOOKUP($C97,TB_UK!$E:$E,TB_UK!G:G)*E$2</f>
        <v>0</v>
      </c>
      <c r="F97" s="17">
        <f>-_xlfn.XLOOKUP($C97,TB_UK!$E:$E,TB_UK!H:H)*F$2</f>
        <v>0</v>
      </c>
      <c r="G97" s="17">
        <f>-_xlfn.XLOOKUP($C97,TB_UK!$E:$E,TB_UK!I:I)*G$2</f>
        <v>0</v>
      </c>
      <c r="H97" s="17">
        <f>-_xlfn.XLOOKUP($C97,TB_UK!$E:$E,TB_UK!J:J)*H$2</f>
        <v>0</v>
      </c>
      <c r="I97" s="17">
        <f>-_xlfn.XLOOKUP($C97,TB_UK!$E:$E,TB_UK!K:K)*I$2</f>
        <v>0</v>
      </c>
      <c r="J97" s="17">
        <f>-_xlfn.XLOOKUP($C97,TB_UK!$E:$E,TB_UK!L:L)*J$2</f>
        <v>0</v>
      </c>
      <c r="K97" s="17">
        <f>-_xlfn.XLOOKUP($C97,TB_UK!$E:$E,TB_UK!M:M)*K$2</f>
        <v>0</v>
      </c>
      <c r="L97" s="17">
        <f>-_xlfn.XLOOKUP($C97,TB_UK!$E:$E,TB_UK!N:N)*L$2</f>
        <v>0</v>
      </c>
      <c r="M97" s="17">
        <f>-_xlfn.XLOOKUP($C97,TB_UK!$E:$E,TB_UK!O:O)*M$2</f>
        <v>0</v>
      </c>
      <c r="N97" s="17">
        <f>-_xlfn.XLOOKUP($C97,TB_UK!$E:$E,TB_UK!P:P)*N$2</f>
        <v>0</v>
      </c>
      <c r="O97" s="17">
        <f>-_xlfn.XLOOKUP($C97,TB_UK!$E:$E,TB_UK!Q:Q)*O$2</f>
        <v>0</v>
      </c>
      <c r="P97" s="17">
        <f>-_xlfn.XLOOKUP($C97,TB_UK!$E:$E,TB_UK!R:R)*P$2</f>
        <v>0</v>
      </c>
      <c r="Q97" s="17">
        <f>-_xlfn.XLOOKUP($C97,TB_UK!$E:$E,TB_UK!S:S)*Q$2</f>
        <v>0</v>
      </c>
      <c r="R97" s="17">
        <f>-_xlfn.XLOOKUP($C97,TB_UK!$E:$E,TB_UK!T:T)*R$2</f>
        <v>0</v>
      </c>
      <c r="S97" s="17">
        <f>-_xlfn.XLOOKUP($C97,TB_UK!$E:$E,TB_UK!U:U)*S$2</f>
        <v>0</v>
      </c>
      <c r="T97" s="17">
        <f>-_xlfn.XLOOKUP($C97,TB_UK!$E:$E,TB_UK!V:V)*T$2</f>
        <v>0</v>
      </c>
      <c r="U97" s="17">
        <f>-_xlfn.XLOOKUP($C97,TB_UK!$E:$E,TB_UK!W:W)*U$2</f>
        <v>0</v>
      </c>
      <c r="V97" s="17">
        <f>-_xlfn.XLOOKUP($C97,TB_UK!$E:$E,TB_UK!X:X)*V$2</f>
        <v>0</v>
      </c>
      <c r="W97" s="17">
        <f>-_xlfn.XLOOKUP($C97,TB_UK!$E:$E,TB_UK!Y:Y)*W$2</f>
        <v>0</v>
      </c>
      <c r="X97" s="17">
        <f>-_xlfn.XLOOKUP($C97,TB_UK!$E:$E,TB_UK!Z:Z)*X$2</f>
        <v>0</v>
      </c>
      <c r="Y97" s="17">
        <f>-_xlfn.XLOOKUP($C97,TB_UK!$E:$E,TB_UK!AA:AA)*Y$2</f>
        <v>0</v>
      </c>
      <c r="Z97" s="17">
        <f>-_xlfn.XLOOKUP($C97,TB_UK!$E:$E,TB_UK!AB:AB)*Z$2</f>
        <v>0</v>
      </c>
      <c r="AA97" s="17">
        <f>-_xlfn.XLOOKUP($C97,TB_UK!$E:$E,TB_UK!AC:AC)*AA$2</f>
        <v>0</v>
      </c>
      <c r="AB97" s="17">
        <f>-_xlfn.XLOOKUP($C97,TB_UK!$E:$E,TB_UK!AD:AD)*AB$2</f>
        <v>0</v>
      </c>
      <c r="AC97" s="17">
        <f>-_xlfn.XLOOKUP($C97,TB_UK!$E:$E,TB_UK!AE:AE)*AC$2</f>
        <v>0</v>
      </c>
      <c r="AD97" s="17">
        <f>-_xlfn.XLOOKUP($C97,TB_UK!$E:$E,TB_UK!AF:AF)*AD$2</f>
        <v>0</v>
      </c>
      <c r="AE97" s="17">
        <f>-_xlfn.XLOOKUP($C97,TB_UK!$E:$E,TB_UK!AG:AG)*AE$2</f>
        <v>0</v>
      </c>
      <c r="AF97" s="17">
        <f>-_xlfn.XLOOKUP($C97,TB_UK!$E:$E,TB_UK!AH:AH)*AF$2</f>
        <v>0</v>
      </c>
      <c r="AG97" s="17">
        <f>-_xlfn.XLOOKUP($C97,TB_UK!$E:$E,TB_UK!AI:AI)*AG$2</f>
        <v>0</v>
      </c>
      <c r="AH97" s="17">
        <f>-_xlfn.XLOOKUP($C97,TB_UK!$E:$E,TB_UK!AJ:AJ)*AH$2</f>
        <v>0</v>
      </c>
      <c r="AI97" s="17">
        <f>-_xlfn.XLOOKUP($C97,TB_UK!$E:$E,TB_UK!AK:AK)*AI$2</f>
        <v>0</v>
      </c>
      <c r="AJ97" s="17">
        <f>-_xlfn.XLOOKUP($C97,TB_UK!$E:$E,TB_UK!AL:AL)*AJ$2</f>
        <v>0</v>
      </c>
      <c r="AK97" s="17">
        <f>-_xlfn.XLOOKUP($C97,TB_UK!$E:$E,TB_UK!AM:AM)*AK$2</f>
        <v>0</v>
      </c>
      <c r="AL97" s="17">
        <f>-_xlfn.XLOOKUP($C97,TB_UK!$E:$E,TB_UK!AN:AN)*AL$2</f>
        <v>0</v>
      </c>
      <c r="AM97" s="17">
        <f>-_xlfn.XLOOKUP($C97,TB_UK!$E:$E,TB_UK!AO:AO)*AM$2</f>
        <v>0</v>
      </c>
    </row>
    <row r="98" spans="2:47" x14ac:dyDescent="0.2">
      <c r="B98" s="21">
        <v>60213</v>
      </c>
      <c r="C98" s="16" t="str">
        <f>_xlfn.XLOOKUP(B98,TB_UK!A:A,TB_UK!E:E)</f>
        <v>Business Licenses and Permits</v>
      </c>
      <c r="D98" s="17">
        <f>-_xlfn.XLOOKUP($C98,TB_UK!$E:$E,TB_UK!F:F)*D$2</f>
        <v>0</v>
      </c>
      <c r="E98" s="17">
        <f>-_xlfn.XLOOKUP($C98,TB_UK!$E:$E,TB_UK!G:G)*E$2</f>
        <v>-100506</v>
      </c>
      <c r="F98" s="17">
        <f>-_xlfn.XLOOKUP($C98,TB_UK!$E:$E,TB_UK!H:H)*F$2</f>
        <v>0</v>
      </c>
      <c r="G98" s="17">
        <f>-_xlfn.XLOOKUP($C98,TB_UK!$E:$E,TB_UK!I:I)*G$2</f>
        <v>0</v>
      </c>
      <c r="H98" s="17">
        <f>-_xlfn.XLOOKUP($C98,TB_UK!$E:$E,TB_UK!J:J)*H$2</f>
        <v>-50786.720200000003</v>
      </c>
      <c r="I98" s="17">
        <f>-_xlfn.XLOOKUP($C98,TB_UK!$E:$E,TB_UK!K:K)*I$2</f>
        <v>0</v>
      </c>
      <c r="J98" s="17">
        <f>-_xlfn.XLOOKUP($C98,TB_UK!$E:$E,TB_UK!L:L)*J$2</f>
        <v>0</v>
      </c>
      <c r="K98" s="17">
        <f>-_xlfn.XLOOKUP($C98,TB_UK!$E:$E,TB_UK!M:M)*K$2</f>
        <v>0</v>
      </c>
      <c r="L98" s="17">
        <f>-_xlfn.XLOOKUP($C98,TB_UK!$E:$E,TB_UK!N:N)*L$2</f>
        <v>0</v>
      </c>
      <c r="M98" s="17">
        <f>-_xlfn.XLOOKUP($C98,TB_UK!$E:$E,TB_UK!O:O)*M$2</f>
        <v>0</v>
      </c>
      <c r="N98" s="17">
        <f>-_xlfn.XLOOKUP($C98,TB_UK!$E:$E,TB_UK!P:P)*N$2</f>
        <v>0</v>
      </c>
      <c r="O98" s="17">
        <f>-_xlfn.XLOOKUP($C98,TB_UK!$E:$E,TB_UK!Q:Q)*O$2</f>
        <v>0</v>
      </c>
      <c r="P98" s="17">
        <f>-_xlfn.XLOOKUP($C98,TB_UK!$E:$E,TB_UK!R:R)*P$2</f>
        <v>0</v>
      </c>
      <c r="Q98" s="17">
        <f>-_xlfn.XLOOKUP($C98,TB_UK!$E:$E,TB_UK!S:S)*Q$2</f>
        <v>0</v>
      </c>
      <c r="R98" s="17">
        <f>-_xlfn.XLOOKUP($C98,TB_UK!$E:$E,TB_UK!T:T)*R$2</f>
        <v>0</v>
      </c>
      <c r="S98" s="17">
        <f>-_xlfn.XLOOKUP($C98,TB_UK!$E:$E,TB_UK!U:U)*S$2</f>
        <v>0</v>
      </c>
      <c r="T98" s="17">
        <f>-_xlfn.XLOOKUP($C98,TB_UK!$E:$E,TB_UK!V:V)*T$2</f>
        <v>-100530.65</v>
      </c>
      <c r="U98" s="17">
        <f>-_xlfn.XLOOKUP($C98,TB_UK!$E:$E,TB_UK!W:W)*U$2</f>
        <v>0</v>
      </c>
      <c r="V98" s="17">
        <f>-_xlfn.XLOOKUP($C98,TB_UK!$E:$E,TB_UK!X:X)*V$2</f>
        <v>0</v>
      </c>
      <c r="W98" s="17">
        <f>-_xlfn.XLOOKUP($C98,TB_UK!$E:$E,TB_UK!Y:Y)*W$2</f>
        <v>0</v>
      </c>
      <c r="X98" s="17">
        <f>-_xlfn.XLOOKUP($C98,TB_UK!$E:$E,TB_UK!Z:Z)*X$2</f>
        <v>0</v>
      </c>
      <c r="Y98" s="17">
        <f>-_xlfn.XLOOKUP($C98,TB_UK!$E:$E,TB_UK!AA:AA)*Y$2</f>
        <v>0</v>
      </c>
      <c r="Z98" s="17">
        <f>-_xlfn.XLOOKUP($C98,TB_UK!$E:$E,TB_UK!AB:AB)*Z$2</f>
        <v>0</v>
      </c>
      <c r="AA98" s="17">
        <f>-_xlfn.XLOOKUP($C98,TB_UK!$E:$E,TB_UK!AC:AC)*AA$2</f>
        <v>0</v>
      </c>
      <c r="AB98" s="17">
        <f>-_xlfn.XLOOKUP($C98,TB_UK!$E:$E,TB_UK!AD:AD)*AB$2</f>
        <v>0</v>
      </c>
      <c r="AC98" s="17">
        <f>-_xlfn.XLOOKUP($C98,TB_UK!$E:$E,TB_UK!AE:AE)*AC$2</f>
        <v>0</v>
      </c>
      <c r="AD98" s="17">
        <f>-_xlfn.XLOOKUP($C98,TB_UK!$E:$E,TB_UK!AF:AF)*AD$2</f>
        <v>0</v>
      </c>
      <c r="AE98" s="17">
        <f>-_xlfn.XLOOKUP($C98,TB_UK!$E:$E,TB_UK!AG:AG)*AE$2</f>
        <v>0</v>
      </c>
      <c r="AF98" s="17">
        <f>-_xlfn.XLOOKUP($C98,TB_UK!$E:$E,TB_UK!AH:AH)*AF$2</f>
        <v>0</v>
      </c>
      <c r="AG98" s="17">
        <f>-_xlfn.XLOOKUP($C98,TB_UK!$E:$E,TB_UK!AI:AI)*AG$2</f>
        <v>0</v>
      </c>
      <c r="AH98" s="17">
        <f>-_xlfn.XLOOKUP($C98,TB_UK!$E:$E,TB_UK!AJ:AJ)*AH$2</f>
        <v>0</v>
      </c>
      <c r="AI98" s="17">
        <f>-_xlfn.XLOOKUP($C98,TB_UK!$E:$E,TB_UK!AK:AK)*AI$2</f>
        <v>0</v>
      </c>
      <c r="AJ98" s="17">
        <f>-_xlfn.XLOOKUP($C98,TB_UK!$E:$E,TB_UK!AL:AL)*AJ$2</f>
        <v>0</v>
      </c>
      <c r="AK98" s="17">
        <f>-_xlfn.XLOOKUP($C98,TB_UK!$E:$E,TB_UK!AM:AM)*AK$2</f>
        <v>0</v>
      </c>
      <c r="AL98" s="17">
        <f>-_xlfn.XLOOKUP($C98,TB_UK!$E:$E,TB_UK!AN:AN)*AL$2</f>
        <v>0</v>
      </c>
      <c r="AM98" s="17">
        <f>-_xlfn.XLOOKUP($C98,TB_UK!$E:$E,TB_UK!AO:AO)*AM$2</f>
        <v>0</v>
      </c>
    </row>
    <row r="99" spans="2:47" x14ac:dyDescent="0.2">
      <c r="B99" s="21"/>
      <c r="C99" s="22" t="s">
        <v>138</v>
      </c>
      <c r="D99" s="23">
        <f>SUM(D97:D98)</f>
        <v>0</v>
      </c>
      <c r="E99" s="23">
        <f t="shared" ref="E99:AM99" si="16">SUM(E97:E98)</f>
        <v>-100506</v>
      </c>
      <c r="F99" s="23">
        <f t="shared" si="16"/>
        <v>0</v>
      </c>
      <c r="G99" s="23">
        <f t="shared" si="16"/>
        <v>0</v>
      </c>
      <c r="H99" s="23">
        <f t="shared" si="16"/>
        <v>-50786.720200000003</v>
      </c>
      <c r="I99" s="23">
        <f t="shared" si="16"/>
        <v>0</v>
      </c>
      <c r="J99" s="23">
        <f t="shared" si="16"/>
        <v>0</v>
      </c>
      <c r="K99" s="23">
        <f t="shared" si="16"/>
        <v>0</v>
      </c>
      <c r="L99" s="23">
        <f t="shared" si="16"/>
        <v>0</v>
      </c>
      <c r="M99" s="23">
        <f t="shared" si="16"/>
        <v>0</v>
      </c>
      <c r="N99" s="23">
        <f t="shared" si="16"/>
        <v>0</v>
      </c>
      <c r="O99" s="23">
        <f t="shared" si="16"/>
        <v>0</v>
      </c>
      <c r="P99" s="23">
        <f t="shared" si="16"/>
        <v>0</v>
      </c>
      <c r="Q99" s="23">
        <f t="shared" si="16"/>
        <v>0</v>
      </c>
      <c r="R99" s="23">
        <f t="shared" si="16"/>
        <v>0</v>
      </c>
      <c r="S99" s="23">
        <f t="shared" si="16"/>
        <v>0</v>
      </c>
      <c r="T99" s="23">
        <f t="shared" si="16"/>
        <v>-100530.65</v>
      </c>
      <c r="U99" s="23">
        <f t="shared" si="16"/>
        <v>0</v>
      </c>
      <c r="V99" s="23">
        <f t="shared" si="16"/>
        <v>0</v>
      </c>
      <c r="W99" s="23">
        <f t="shared" si="16"/>
        <v>0</v>
      </c>
      <c r="X99" s="23">
        <f>SUM(X97:X98)</f>
        <v>0</v>
      </c>
      <c r="Y99" s="23">
        <f t="shared" si="16"/>
        <v>0</v>
      </c>
      <c r="Z99" s="23">
        <f t="shared" si="16"/>
        <v>0</v>
      </c>
      <c r="AA99" s="23">
        <f t="shared" si="16"/>
        <v>0</v>
      </c>
      <c r="AB99" s="23">
        <f t="shared" si="16"/>
        <v>0</v>
      </c>
      <c r="AC99" s="23">
        <f t="shared" si="16"/>
        <v>0</v>
      </c>
      <c r="AD99" s="23">
        <f t="shared" si="16"/>
        <v>0</v>
      </c>
      <c r="AE99" s="23">
        <f t="shared" si="16"/>
        <v>0</v>
      </c>
      <c r="AF99" s="23">
        <f t="shared" si="16"/>
        <v>0</v>
      </c>
      <c r="AG99" s="23">
        <f t="shared" si="16"/>
        <v>0</v>
      </c>
      <c r="AH99" s="23">
        <f t="shared" si="16"/>
        <v>0</v>
      </c>
      <c r="AI99" s="23">
        <f t="shared" si="16"/>
        <v>0</v>
      </c>
      <c r="AJ99" s="23">
        <f t="shared" si="16"/>
        <v>0</v>
      </c>
      <c r="AK99" s="23">
        <f t="shared" si="16"/>
        <v>0</v>
      </c>
      <c r="AL99" s="23">
        <f t="shared" si="16"/>
        <v>0</v>
      </c>
      <c r="AM99" s="23">
        <f t="shared" si="16"/>
        <v>0</v>
      </c>
      <c r="AS99" s="23">
        <f>SUM(D99:O99)</f>
        <v>-151292.72020000001</v>
      </c>
      <c r="AT99" s="23">
        <f>SUM(P99:AA99)</f>
        <v>-100530.65</v>
      </c>
      <c r="AU99" s="23">
        <f>SUM(AB99:AM99)</f>
        <v>0</v>
      </c>
    </row>
    <row r="100" spans="2:47" x14ac:dyDescent="0.2">
      <c r="B100" s="21"/>
      <c r="C100" s="16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8"/>
    </row>
    <row r="101" spans="2:47" x14ac:dyDescent="0.2">
      <c r="B101" s="21"/>
      <c r="C101" s="20" t="s">
        <v>139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8"/>
    </row>
    <row r="102" spans="2:47" x14ac:dyDescent="0.2">
      <c r="B102" s="21">
        <v>51312</v>
      </c>
      <c r="C102" s="16" t="str">
        <f>_xlfn.XLOOKUP(B102,TB_UK!A:A,TB_UK!E:E)</f>
        <v>Bank Charges</v>
      </c>
      <c r="D102" s="17">
        <f>-_xlfn.XLOOKUP($C102,TB_UK!$E:$E,TB_UK!F:F)*D$2</f>
        <v>-2454.0624000000003</v>
      </c>
      <c r="E102" s="17">
        <f>-_xlfn.XLOOKUP($C102,TB_UK!$E:$E,TB_UK!G:G)*E$2</f>
        <v>0</v>
      </c>
      <c r="F102" s="17">
        <f>-_xlfn.XLOOKUP($C102,TB_UK!$E:$E,TB_UK!H:H)*F$2</f>
        <v>-526.923</v>
      </c>
      <c r="G102" s="17">
        <f>-_xlfn.XLOOKUP($C102,TB_UK!$E:$E,TB_UK!I:I)*G$2</f>
        <v>-54062.932499999995</v>
      </c>
      <c r="H102" s="17">
        <f>-_xlfn.XLOOKUP($C102,TB_UK!$E:$E,TB_UK!J:J)*H$2</f>
        <v>-30590.424200000001</v>
      </c>
      <c r="I102" s="17">
        <f>-_xlfn.XLOOKUP($C102,TB_UK!$E:$E,TB_UK!K:K)*I$2</f>
        <v>-16011.352499999999</v>
      </c>
      <c r="J102" s="17">
        <f>-_xlfn.XLOOKUP($C102,TB_UK!$E:$E,TB_UK!L:L)*J$2</f>
        <v>-8533.116</v>
      </c>
      <c r="K102" s="17">
        <f>-_xlfn.XLOOKUP($C102,TB_UK!$E:$E,TB_UK!M:M)*K$2</f>
        <v>-17253.885000000002</v>
      </c>
      <c r="L102" s="17">
        <f>-_xlfn.XLOOKUP($C102,TB_UK!$E:$E,TB_UK!N:N)*L$2</f>
        <v>-44385.556999999993</v>
      </c>
      <c r="M102" s="17">
        <f>-_xlfn.XLOOKUP($C102,TB_UK!$E:$E,TB_UK!O:O)*M$2</f>
        <v>-42479.137000000002</v>
      </c>
      <c r="N102" s="17">
        <f>-_xlfn.XLOOKUP($C102,TB_UK!$E:$E,TB_UK!P:P)*N$2</f>
        <v>-53257.364999999998</v>
      </c>
      <c r="O102" s="17">
        <f>-_xlfn.XLOOKUP($C102,TB_UK!$E:$E,TB_UK!Q:Q)*O$2</f>
        <v>-38676.843999999997</v>
      </c>
      <c r="P102" s="17">
        <f>-_xlfn.XLOOKUP($C102,TB_UK!$E:$E,TB_UK!R:R)*P$2</f>
        <v>-38076.062999999995</v>
      </c>
      <c r="Q102" s="17">
        <f>-_xlfn.XLOOKUP($C102,TB_UK!$E:$E,TB_UK!S:S)*Q$2</f>
        <v>-37696.569999988969</v>
      </c>
      <c r="R102" s="17">
        <f>-_xlfn.XLOOKUP($C102,TB_UK!$E:$E,TB_UK!T:T)*R$2</f>
        <v>-19664.865000000002</v>
      </c>
      <c r="S102" s="17">
        <f>-_xlfn.XLOOKUP($C102,TB_UK!$E:$E,TB_UK!U:U)*S$2</f>
        <v>-42739.428999999996</v>
      </c>
      <c r="T102" s="17">
        <f>-_xlfn.XLOOKUP($C102,TB_UK!$E:$E,TB_UK!V:V)*T$2</f>
        <v>-42565.104999999996</v>
      </c>
      <c r="U102" s="17">
        <f>-_xlfn.XLOOKUP($C102,TB_UK!$E:$E,TB_UK!W:W)*U$2</f>
        <v>-20933.450999999997</v>
      </c>
      <c r="V102" s="17">
        <f>-_xlfn.XLOOKUP($C102,TB_UK!$E:$E,TB_UK!X:X)*V$2</f>
        <v>-40557.592999999993</v>
      </c>
      <c r="W102" s="17">
        <f>-_xlfn.XLOOKUP($C102,TB_UK!$E:$E,TB_UK!Y:Y)*W$2</f>
        <v>-414797.2206</v>
      </c>
      <c r="X102" s="17">
        <f>-_xlfn.XLOOKUP($C102,TB_UK!$E:$E,TB_UK!Z:Z)*X$2</f>
        <v>-193519.329</v>
      </c>
      <c r="Y102" s="17">
        <f>-_xlfn.XLOOKUP($C102,TB_UK!$E:$E,TB_UK!AA:AA)*Y$2</f>
        <v>-185279.09399999998</v>
      </c>
      <c r="Z102" s="17">
        <f>-_xlfn.XLOOKUP($C102,TB_UK!$E:$E,TB_UK!AB:AB)*Z$2</f>
        <v>-195139.43650000001</v>
      </c>
      <c r="AA102" s="17">
        <f>-_xlfn.XLOOKUP($C102,TB_UK!$E:$E,TB_UK!AC:AC)*AA$2</f>
        <v>-207720.20749999999</v>
      </c>
      <c r="AB102" s="17">
        <f>-_xlfn.XLOOKUP($C102,TB_UK!$E:$E,TB_UK!AD:AD)*AB$2</f>
        <v>-182295.64379999999</v>
      </c>
      <c r="AC102" s="17">
        <f>-_xlfn.XLOOKUP($C102,TB_UK!$E:$E,TB_UK!AE:AE)*AC$2</f>
        <v>-176710.25040000002</v>
      </c>
      <c r="AD102" s="17">
        <f>-_xlfn.XLOOKUP($C102,TB_UK!$E:$E,TB_UK!AF:AF)*AD$2</f>
        <v>-193467.82299999997</v>
      </c>
      <c r="AE102" s="17">
        <f>-_xlfn.XLOOKUP($C102,TB_UK!$E:$E,TB_UK!AG:AG)*AE$2</f>
        <v>-177403.21299999999</v>
      </c>
      <c r="AF102" s="17">
        <f>-_xlfn.XLOOKUP($C102,TB_UK!$E:$E,TB_UK!AH:AH)*AF$2</f>
        <v>0</v>
      </c>
      <c r="AG102" s="17">
        <f>-_xlfn.XLOOKUP($C102,TB_UK!$E:$E,TB_UK!AI:AI)*AG$2</f>
        <v>0</v>
      </c>
      <c r="AH102" s="17">
        <f>-_xlfn.XLOOKUP($C102,TB_UK!$E:$E,TB_UK!AJ:AJ)*AH$2</f>
        <v>0</v>
      </c>
      <c r="AI102" s="17">
        <f>-_xlfn.XLOOKUP($C102,TB_UK!$E:$E,TB_UK!AK:AK)*AI$2</f>
        <v>0</v>
      </c>
      <c r="AJ102" s="17">
        <f>-_xlfn.XLOOKUP($C102,TB_UK!$E:$E,TB_UK!AL:AL)*AJ$2</f>
        <v>0</v>
      </c>
      <c r="AK102" s="17">
        <f>-_xlfn.XLOOKUP($C102,TB_UK!$E:$E,TB_UK!AM:AM)*AK$2</f>
        <v>0</v>
      </c>
      <c r="AL102" s="17">
        <f>-_xlfn.XLOOKUP($C102,TB_UK!$E:$E,TB_UK!AN:AN)*AL$2</f>
        <v>0</v>
      </c>
      <c r="AM102" s="17">
        <f>-_xlfn.XLOOKUP($C102,TB_UK!$E:$E,TB_UK!AO:AO)*AM$2</f>
        <v>0</v>
      </c>
    </row>
    <row r="103" spans="2:47" x14ac:dyDescent="0.2">
      <c r="B103" s="21"/>
      <c r="C103" s="22" t="s">
        <v>140</v>
      </c>
      <c r="D103" s="23">
        <f>SUM(D102)</f>
        <v>-2454.0624000000003</v>
      </c>
      <c r="E103" s="23">
        <f t="shared" ref="E103:AM103" si="17">SUM(E102)</f>
        <v>0</v>
      </c>
      <c r="F103" s="23">
        <f t="shared" si="17"/>
        <v>-526.923</v>
      </c>
      <c r="G103" s="23">
        <f t="shared" si="17"/>
        <v>-54062.932499999995</v>
      </c>
      <c r="H103" s="23">
        <f t="shared" si="17"/>
        <v>-30590.424200000001</v>
      </c>
      <c r="I103" s="23">
        <f t="shared" si="17"/>
        <v>-16011.352499999999</v>
      </c>
      <c r="J103" s="23">
        <f t="shared" si="17"/>
        <v>-8533.116</v>
      </c>
      <c r="K103" s="23">
        <f t="shared" si="17"/>
        <v>-17253.885000000002</v>
      </c>
      <c r="L103" s="23">
        <f t="shared" si="17"/>
        <v>-44385.556999999993</v>
      </c>
      <c r="M103" s="23">
        <f t="shared" si="17"/>
        <v>-42479.137000000002</v>
      </c>
      <c r="N103" s="23">
        <f t="shared" si="17"/>
        <v>-53257.364999999998</v>
      </c>
      <c r="O103" s="23">
        <f t="shared" si="17"/>
        <v>-38676.843999999997</v>
      </c>
      <c r="P103" s="23">
        <f t="shared" si="17"/>
        <v>-38076.062999999995</v>
      </c>
      <c r="Q103" s="23">
        <f t="shared" si="17"/>
        <v>-37696.569999988969</v>
      </c>
      <c r="R103" s="23">
        <f t="shared" si="17"/>
        <v>-19664.865000000002</v>
      </c>
      <c r="S103" s="23">
        <f t="shared" si="17"/>
        <v>-42739.428999999996</v>
      </c>
      <c r="T103" s="23">
        <f t="shared" si="17"/>
        <v>-42565.104999999996</v>
      </c>
      <c r="U103" s="23">
        <f t="shared" si="17"/>
        <v>-20933.450999999997</v>
      </c>
      <c r="V103" s="23">
        <f t="shared" si="17"/>
        <v>-40557.592999999993</v>
      </c>
      <c r="W103" s="23">
        <f t="shared" si="17"/>
        <v>-414797.2206</v>
      </c>
      <c r="X103" s="23">
        <f>SUM(X102)</f>
        <v>-193519.329</v>
      </c>
      <c r="Y103" s="23">
        <f t="shared" si="17"/>
        <v>-185279.09399999998</v>
      </c>
      <c r="Z103" s="23">
        <f t="shared" si="17"/>
        <v>-195139.43650000001</v>
      </c>
      <c r="AA103" s="23">
        <f t="shared" si="17"/>
        <v>-207720.20749999999</v>
      </c>
      <c r="AB103" s="23">
        <f t="shared" si="17"/>
        <v>-182295.64379999999</v>
      </c>
      <c r="AC103" s="23">
        <f t="shared" si="17"/>
        <v>-176710.25040000002</v>
      </c>
      <c r="AD103" s="23">
        <f t="shared" si="17"/>
        <v>-193467.82299999997</v>
      </c>
      <c r="AE103" s="23">
        <f t="shared" si="17"/>
        <v>-177403.21299999999</v>
      </c>
      <c r="AF103" s="23">
        <f t="shared" si="17"/>
        <v>0</v>
      </c>
      <c r="AG103" s="23">
        <f t="shared" si="17"/>
        <v>0</v>
      </c>
      <c r="AH103" s="23">
        <f t="shared" si="17"/>
        <v>0</v>
      </c>
      <c r="AI103" s="23">
        <f t="shared" si="17"/>
        <v>0</v>
      </c>
      <c r="AJ103" s="23">
        <f t="shared" si="17"/>
        <v>0</v>
      </c>
      <c r="AK103" s="23">
        <f t="shared" si="17"/>
        <v>0</v>
      </c>
      <c r="AL103" s="23">
        <f t="shared" si="17"/>
        <v>0</v>
      </c>
      <c r="AM103" s="23">
        <f t="shared" si="17"/>
        <v>0</v>
      </c>
      <c r="AS103" s="23">
        <f>SUM(D103:O103)</f>
        <v>-308231.59859999997</v>
      </c>
      <c r="AT103" s="23">
        <f>SUM(P103:AA103)</f>
        <v>-1438688.3635999891</v>
      </c>
      <c r="AU103" s="23">
        <f>SUM(AB103:AM103)</f>
        <v>-729876.93019999994</v>
      </c>
    </row>
    <row r="104" spans="2:47" x14ac:dyDescent="0.2">
      <c r="B104" s="21"/>
      <c r="C104" s="16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8"/>
    </row>
    <row r="105" spans="2:47" x14ac:dyDescent="0.2">
      <c r="B105" s="21"/>
      <c r="C105" s="20" t="s">
        <v>141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8"/>
    </row>
    <row r="106" spans="2:47" x14ac:dyDescent="0.2">
      <c r="B106" s="21">
        <v>67920</v>
      </c>
      <c r="C106" s="16" t="str">
        <f>_xlfn.XLOOKUP(B106,TB_UK!A:A,TB_UK!E:E)</f>
        <v>Exchange Gain or Loss</v>
      </c>
      <c r="D106" s="17">
        <f>-_xlfn.XLOOKUP($C106,TB_UK!$E:$E,TB_UK!F:F)*D$2</f>
        <v>0</v>
      </c>
      <c r="E106" s="17">
        <f>-_xlfn.XLOOKUP($C106,TB_UK!$E:$E,TB_UK!G:G)*E$2</f>
        <v>0</v>
      </c>
      <c r="F106" s="17">
        <f>-_xlfn.XLOOKUP($C106,TB_UK!$E:$E,TB_UK!H:H)*F$2</f>
        <v>0</v>
      </c>
      <c r="G106" s="17">
        <f>-_xlfn.XLOOKUP($C106,TB_UK!$E:$E,TB_UK!I:I)*G$2</f>
        <v>0</v>
      </c>
      <c r="H106" s="17">
        <f>-_xlfn.XLOOKUP($C106,TB_UK!$E:$E,TB_UK!J:J)*H$2</f>
        <v>0</v>
      </c>
      <c r="I106" s="17">
        <f>-_xlfn.XLOOKUP($C106,TB_UK!$E:$E,TB_UK!K:K)*I$2</f>
        <v>0</v>
      </c>
      <c r="J106" s="17">
        <f>-_xlfn.XLOOKUP($C106,TB_UK!$E:$E,TB_UK!L:L)*J$2</f>
        <v>0</v>
      </c>
      <c r="K106" s="17">
        <f>-_xlfn.XLOOKUP($C106,TB_UK!$E:$E,TB_UK!M:M)*K$2</f>
        <v>0</v>
      </c>
      <c r="L106" s="17">
        <f>-_xlfn.XLOOKUP($C106,TB_UK!$E:$E,TB_UK!N:N)*L$2</f>
        <v>0</v>
      </c>
      <c r="M106" s="17">
        <f>-_xlfn.XLOOKUP($C106,TB_UK!$E:$E,TB_UK!O:O)*M$2</f>
        <v>0</v>
      </c>
      <c r="N106" s="17">
        <f>-_xlfn.XLOOKUP($C106,TB_UK!$E:$E,TB_UK!P:P)*N$2</f>
        <v>0</v>
      </c>
      <c r="O106" s="17">
        <f>-_xlfn.XLOOKUP($C106,TB_UK!$E:$E,TB_UK!Q:Q)*O$2</f>
        <v>0</v>
      </c>
      <c r="P106" s="17">
        <f>-_xlfn.XLOOKUP($C106,TB_UK!$E:$E,TB_UK!R:R)*P$2</f>
        <v>0</v>
      </c>
      <c r="Q106" s="17">
        <f>-_xlfn.XLOOKUP($C106,TB_UK!$E:$E,TB_UK!S:S)*Q$2</f>
        <v>0</v>
      </c>
      <c r="R106" s="17">
        <f>-_xlfn.XLOOKUP($C106,TB_UK!$E:$E,TB_UK!T:T)*R$2</f>
        <v>0</v>
      </c>
      <c r="S106" s="17">
        <f>-_xlfn.XLOOKUP($C106,TB_UK!$E:$E,TB_UK!U:U)*S$2</f>
        <v>0</v>
      </c>
      <c r="T106" s="17">
        <f>-_xlfn.XLOOKUP($C106,TB_UK!$E:$E,TB_UK!V:V)*T$2</f>
        <v>0</v>
      </c>
      <c r="U106" s="17">
        <f>-_xlfn.XLOOKUP($C106,TB_UK!$E:$E,TB_UK!W:W)*U$2</f>
        <v>0</v>
      </c>
      <c r="V106" s="17">
        <f>-_xlfn.XLOOKUP($C106,TB_UK!$E:$E,TB_UK!X:X)*V$2</f>
        <v>0</v>
      </c>
      <c r="W106" s="17">
        <f>-_xlfn.XLOOKUP($C106,TB_UK!$E:$E,TB_UK!Y:Y)*W$2</f>
        <v>0</v>
      </c>
      <c r="X106" s="17">
        <f>-_xlfn.XLOOKUP($C106,TB_UK!$E:$E,TB_UK!Z:Z)*X$2</f>
        <v>0</v>
      </c>
      <c r="Y106" s="17">
        <f>-_xlfn.XLOOKUP($C106,TB_UK!$E:$E,TB_UK!AA:AA)*Y$2</f>
        <v>0</v>
      </c>
      <c r="Z106" s="17">
        <f>-_xlfn.XLOOKUP($C106,TB_UK!$E:$E,TB_UK!AB:AB)*Z$2</f>
        <v>0</v>
      </c>
      <c r="AA106" s="17">
        <f>-_xlfn.XLOOKUP($C106,TB_UK!$E:$E,TB_UK!AC:AC)*AA$2</f>
        <v>0</v>
      </c>
      <c r="AB106" s="17">
        <f>-_xlfn.XLOOKUP($C106,TB_UK!$E:$E,TB_UK!AD:AD)*AB$2</f>
        <v>0</v>
      </c>
      <c r="AC106" s="17">
        <f>-_xlfn.XLOOKUP($C106,TB_UK!$E:$E,TB_UK!AE:AE)*AC$2</f>
        <v>-18947.611199999999</v>
      </c>
      <c r="AD106" s="17">
        <f>-_xlfn.XLOOKUP($C106,TB_UK!$E:$E,TB_UK!AF:AF)*AD$2</f>
        <v>0</v>
      </c>
      <c r="AE106" s="17">
        <f>-_xlfn.XLOOKUP($C106,TB_UK!$E:$E,TB_UK!AG:AG)*AE$2</f>
        <v>0</v>
      </c>
      <c r="AF106" s="17">
        <f>-_xlfn.XLOOKUP($C106,TB_UK!$E:$E,TB_UK!AH:AH)*AF$2</f>
        <v>0</v>
      </c>
      <c r="AG106" s="17">
        <f>-_xlfn.XLOOKUP($C106,TB_UK!$E:$E,TB_UK!AI:AI)*AG$2</f>
        <v>0</v>
      </c>
      <c r="AH106" s="17">
        <f>-_xlfn.XLOOKUP($C106,TB_UK!$E:$E,TB_UK!AJ:AJ)*AH$2</f>
        <v>0</v>
      </c>
      <c r="AI106" s="17">
        <f>-_xlfn.XLOOKUP($C106,TB_UK!$E:$E,TB_UK!AK:AK)*AI$2</f>
        <v>0</v>
      </c>
      <c r="AJ106" s="17">
        <f>-_xlfn.XLOOKUP($C106,TB_UK!$E:$E,TB_UK!AL:AL)*AJ$2</f>
        <v>0</v>
      </c>
      <c r="AK106" s="17">
        <f>-_xlfn.XLOOKUP($C106,TB_UK!$E:$E,TB_UK!AM:AM)*AK$2</f>
        <v>0</v>
      </c>
      <c r="AL106" s="17">
        <f>-_xlfn.XLOOKUP($C106,TB_UK!$E:$E,TB_UK!AN:AN)*AL$2</f>
        <v>0</v>
      </c>
      <c r="AM106" s="17">
        <f>-_xlfn.XLOOKUP($C106,TB_UK!$E:$E,TB_UK!AO:AO)*AM$2</f>
        <v>0</v>
      </c>
    </row>
    <row r="107" spans="2:47" x14ac:dyDescent="0.2">
      <c r="B107" s="21"/>
      <c r="C107" s="22" t="s">
        <v>142</v>
      </c>
      <c r="D107" s="23">
        <f>SUM(D106)</f>
        <v>0</v>
      </c>
      <c r="E107" s="23">
        <f t="shared" ref="E107:AM107" si="18">SUM(E106)</f>
        <v>0</v>
      </c>
      <c r="F107" s="23">
        <f t="shared" si="18"/>
        <v>0</v>
      </c>
      <c r="G107" s="23">
        <f t="shared" si="18"/>
        <v>0</v>
      </c>
      <c r="H107" s="23">
        <f t="shared" si="18"/>
        <v>0</v>
      </c>
      <c r="I107" s="23">
        <f t="shared" si="18"/>
        <v>0</v>
      </c>
      <c r="J107" s="23">
        <f t="shared" si="18"/>
        <v>0</v>
      </c>
      <c r="K107" s="23">
        <f t="shared" si="18"/>
        <v>0</v>
      </c>
      <c r="L107" s="23">
        <f t="shared" si="18"/>
        <v>0</v>
      </c>
      <c r="M107" s="23">
        <f t="shared" si="18"/>
        <v>0</v>
      </c>
      <c r="N107" s="23">
        <f t="shared" si="18"/>
        <v>0</v>
      </c>
      <c r="O107" s="23">
        <f t="shared" si="18"/>
        <v>0</v>
      </c>
      <c r="P107" s="23">
        <f t="shared" si="18"/>
        <v>0</v>
      </c>
      <c r="Q107" s="23">
        <f t="shared" si="18"/>
        <v>0</v>
      </c>
      <c r="R107" s="23">
        <f t="shared" si="18"/>
        <v>0</v>
      </c>
      <c r="S107" s="23">
        <f t="shared" si="18"/>
        <v>0</v>
      </c>
      <c r="T107" s="23">
        <f t="shared" si="18"/>
        <v>0</v>
      </c>
      <c r="U107" s="23">
        <f t="shared" si="18"/>
        <v>0</v>
      </c>
      <c r="V107" s="23">
        <f t="shared" si="18"/>
        <v>0</v>
      </c>
      <c r="W107" s="23">
        <f t="shared" si="18"/>
        <v>0</v>
      </c>
      <c r="X107" s="23">
        <f>SUM(X106)</f>
        <v>0</v>
      </c>
      <c r="Y107" s="23">
        <f t="shared" si="18"/>
        <v>0</v>
      </c>
      <c r="Z107" s="23">
        <f t="shared" si="18"/>
        <v>0</v>
      </c>
      <c r="AA107" s="23">
        <f t="shared" si="18"/>
        <v>0</v>
      </c>
      <c r="AB107" s="23">
        <f t="shared" si="18"/>
        <v>0</v>
      </c>
      <c r="AC107" s="23">
        <f t="shared" si="18"/>
        <v>-18947.611199999999</v>
      </c>
      <c r="AD107" s="23">
        <f t="shared" si="18"/>
        <v>0</v>
      </c>
      <c r="AE107" s="23">
        <f t="shared" si="18"/>
        <v>0</v>
      </c>
      <c r="AF107" s="23">
        <f t="shared" si="18"/>
        <v>0</v>
      </c>
      <c r="AG107" s="23">
        <f t="shared" si="18"/>
        <v>0</v>
      </c>
      <c r="AH107" s="23">
        <f t="shared" si="18"/>
        <v>0</v>
      </c>
      <c r="AI107" s="23">
        <f t="shared" si="18"/>
        <v>0</v>
      </c>
      <c r="AJ107" s="23">
        <f t="shared" si="18"/>
        <v>0</v>
      </c>
      <c r="AK107" s="23">
        <f t="shared" si="18"/>
        <v>0</v>
      </c>
      <c r="AL107" s="23">
        <f t="shared" si="18"/>
        <v>0</v>
      </c>
      <c r="AM107" s="23">
        <f t="shared" si="18"/>
        <v>0</v>
      </c>
      <c r="AS107" s="23">
        <f>SUM(D107:O107)</f>
        <v>0</v>
      </c>
      <c r="AT107" s="23">
        <f>SUM(P107:AA107)</f>
        <v>0</v>
      </c>
      <c r="AU107" s="23">
        <f>SUM(AB107:AM107)</f>
        <v>-18947.611199999999</v>
      </c>
    </row>
    <row r="108" spans="2:47" x14ac:dyDescent="0.2">
      <c r="B108" s="21"/>
      <c r="C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8"/>
    </row>
    <row r="109" spans="2:47" x14ac:dyDescent="0.2">
      <c r="B109" s="21"/>
      <c r="C109" s="20" t="s">
        <v>143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8"/>
    </row>
    <row r="110" spans="2:47" x14ac:dyDescent="0.2">
      <c r="B110" s="21">
        <v>62500</v>
      </c>
      <c r="C110" s="16" t="str">
        <f>_xlfn.XLOOKUP(B110,TB_UK!A:A,TB_UK!E:E)</f>
        <v>Postage and Delivery</v>
      </c>
      <c r="D110" s="17">
        <f>-_xlfn.XLOOKUP($C110,TB_UK!$E:$E,TB_UK!F:F)*D$2</f>
        <v>-107819.68600000002</v>
      </c>
      <c r="E110" s="17">
        <f>-_xlfn.XLOOKUP($C110,TB_UK!$E:$E,TB_UK!G:G)*E$2</f>
        <v>-65248.495199999998</v>
      </c>
      <c r="F110" s="17">
        <f>-_xlfn.XLOOKUP($C110,TB_UK!$E:$E,TB_UK!H:H)*F$2</f>
        <v>0</v>
      </c>
      <c r="G110" s="17">
        <f>-_xlfn.XLOOKUP($C110,TB_UK!$E:$E,TB_UK!I:I)*G$2</f>
        <v>0</v>
      </c>
      <c r="H110" s="17">
        <f>-_xlfn.XLOOKUP($C110,TB_UK!$E:$E,TB_UK!J:J)*H$2</f>
        <v>0</v>
      </c>
      <c r="I110" s="17">
        <f>-_xlfn.XLOOKUP($C110,TB_UK!$E:$E,TB_UK!K:K)*I$2</f>
        <v>-66238.480100000001</v>
      </c>
      <c r="J110" s="17">
        <f>-_xlfn.XLOOKUP($C110,TB_UK!$E:$E,TB_UK!L:L)*J$2</f>
        <v>0</v>
      </c>
      <c r="K110" s="17">
        <f>-_xlfn.XLOOKUP($C110,TB_UK!$E:$E,TB_UK!M:M)*K$2</f>
        <v>0</v>
      </c>
      <c r="L110" s="17">
        <f>-_xlfn.XLOOKUP($C110,TB_UK!$E:$E,TB_UK!N:N)*L$2</f>
        <v>0</v>
      </c>
      <c r="M110" s="17">
        <f>-_xlfn.XLOOKUP($C110,TB_UK!$E:$E,TB_UK!O:O)*M$2</f>
        <v>0</v>
      </c>
      <c r="N110" s="17">
        <f>-_xlfn.XLOOKUP($C110,TB_UK!$E:$E,TB_UK!P:P)*N$2</f>
        <v>-262009.125</v>
      </c>
      <c r="O110" s="17">
        <f>-_xlfn.XLOOKUP($C110,TB_UK!$E:$E,TB_UK!Q:Q)*O$2</f>
        <v>0</v>
      </c>
      <c r="P110" s="17">
        <f>-_xlfn.XLOOKUP($C110,TB_UK!$E:$E,TB_UK!R:R)*P$2</f>
        <v>0</v>
      </c>
      <c r="Q110" s="17">
        <f>-_xlfn.XLOOKUP($C110,TB_UK!$E:$E,TB_UK!S:S)*Q$2</f>
        <v>0</v>
      </c>
      <c r="R110" s="17">
        <f>-_xlfn.XLOOKUP($C110,TB_UK!$E:$E,TB_UK!T:T)*R$2</f>
        <v>0</v>
      </c>
      <c r="S110" s="17">
        <f>-_xlfn.XLOOKUP($C110,TB_UK!$E:$E,TB_UK!U:U)*S$2</f>
        <v>0</v>
      </c>
      <c r="T110" s="17">
        <f>-_xlfn.XLOOKUP($C110,TB_UK!$E:$E,TB_UK!V:V)*T$2</f>
        <v>-532063.8125</v>
      </c>
      <c r="U110" s="17">
        <f>-_xlfn.XLOOKUP($C110,TB_UK!$E:$E,TB_UK!W:W)*U$2</f>
        <v>0</v>
      </c>
      <c r="V110" s="17">
        <f>-_xlfn.XLOOKUP($C110,TB_UK!$E:$E,TB_UK!X:X)*V$2</f>
        <v>0</v>
      </c>
      <c r="W110" s="17">
        <f>-_xlfn.XLOOKUP($C110,TB_UK!$E:$E,TB_UK!Y:Y)*W$2</f>
        <v>0</v>
      </c>
      <c r="X110" s="17">
        <f>-_xlfn.XLOOKUP($C110,TB_UK!$E:$E,TB_UK!Z:Z)*X$2</f>
        <v>0</v>
      </c>
      <c r="Y110" s="17">
        <f>-_xlfn.XLOOKUP($C110,TB_UK!$E:$E,TB_UK!AA:AA)*Y$2</f>
        <v>0</v>
      </c>
      <c r="Z110" s="17">
        <f>-_xlfn.XLOOKUP($C110,TB_UK!$E:$E,TB_UK!AB:AB)*Z$2</f>
        <v>0</v>
      </c>
      <c r="AA110" s="17">
        <f>-_xlfn.XLOOKUP($C110,TB_UK!$E:$E,TB_UK!AC:AC)*AA$2</f>
        <v>0</v>
      </c>
      <c r="AB110" s="17">
        <f>-_xlfn.XLOOKUP($C110,TB_UK!$E:$E,TB_UK!AD:AD)*AB$2</f>
        <v>0</v>
      </c>
      <c r="AC110" s="17">
        <f>-_xlfn.XLOOKUP($C110,TB_UK!$E:$E,TB_UK!AE:AE)*AC$2</f>
        <v>0</v>
      </c>
      <c r="AD110" s="17">
        <f>-_xlfn.XLOOKUP($C110,TB_UK!$E:$E,TB_UK!AF:AF)*AD$2</f>
        <v>-528320.9</v>
      </c>
      <c r="AE110" s="17">
        <f>-_xlfn.XLOOKUP($C110,TB_UK!$E:$E,TB_UK!AG:AG)*AE$2</f>
        <v>0</v>
      </c>
      <c r="AF110" s="17">
        <f>-_xlfn.XLOOKUP($C110,TB_UK!$E:$E,TB_UK!AH:AH)*AF$2</f>
        <v>0</v>
      </c>
      <c r="AG110" s="17">
        <f>-_xlfn.XLOOKUP($C110,TB_UK!$E:$E,TB_UK!AI:AI)*AG$2</f>
        <v>0</v>
      </c>
      <c r="AH110" s="17">
        <f>-_xlfn.XLOOKUP($C110,TB_UK!$E:$E,TB_UK!AJ:AJ)*AH$2</f>
        <v>0</v>
      </c>
      <c r="AI110" s="17">
        <f>-_xlfn.XLOOKUP($C110,TB_UK!$E:$E,TB_UK!AK:AK)*AI$2</f>
        <v>0</v>
      </c>
      <c r="AJ110" s="17">
        <f>-_xlfn.XLOOKUP($C110,TB_UK!$E:$E,TB_UK!AL:AL)*AJ$2</f>
        <v>0</v>
      </c>
      <c r="AK110" s="17">
        <f>-_xlfn.XLOOKUP($C110,TB_UK!$E:$E,TB_UK!AM:AM)*AK$2</f>
        <v>0</v>
      </c>
      <c r="AL110" s="17">
        <f>-_xlfn.XLOOKUP($C110,TB_UK!$E:$E,TB_UK!AN:AN)*AL$2</f>
        <v>0</v>
      </c>
      <c r="AM110" s="17">
        <f>-_xlfn.XLOOKUP($C110,TB_UK!$E:$E,TB_UK!AO:AO)*AM$2</f>
        <v>0</v>
      </c>
    </row>
    <row r="111" spans="2:47" x14ac:dyDescent="0.2">
      <c r="B111" s="21">
        <v>51290</v>
      </c>
      <c r="C111" s="16" t="str">
        <f>_xlfn.XLOOKUP(B111,TB_UK!A:A,TB_UK!E:E)</f>
        <v>Other Distribution Expenses</v>
      </c>
      <c r="D111" s="17">
        <f>-_xlfn.XLOOKUP($C111,TB_UK!$E:$E,TB_UK!F:F)*D$2</f>
        <v>0</v>
      </c>
      <c r="E111" s="17">
        <f>-_xlfn.XLOOKUP($C111,TB_UK!$E:$E,TB_UK!G:G)*E$2</f>
        <v>0</v>
      </c>
      <c r="F111" s="17">
        <f>-_xlfn.XLOOKUP($C111,TB_UK!$E:$E,TB_UK!H:H)*F$2</f>
        <v>0</v>
      </c>
      <c r="G111" s="17">
        <f>-_xlfn.XLOOKUP($C111,TB_UK!$E:$E,TB_UK!I:I)*G$2</f>
        <v>0</v>
      </c>
      <c r="H111" s="17">
        <f>-_xlfn.XLOOKUP($C111,TB_UK!$E:$E,TB_UK!J:J)*H$2</f>
        <v>0</v>
      </c>
      <c r="I111" s="17">
        <f>-_xlfn.XLOOKUP($C111,TB_UK!$E:$E,TB_UK!K:K)*I$2</f>
        <v>0</v>
      </c>
      <c r="J111" s="17">
        <f>-_xlfn.XLOOKUP($C111,TB_UK!$E:$E,TB_UK!L:L)*J$2</f>
        <v>0</v>
      </c>
      <c r="K111" s="17">
        <f>-_xlfn.XLOOKUP($C111,TB_UK!$E:$E,TB_UK!M:M)*K$2</f>
        <v>0</v>
      </c>
      <c r="L111" s="17">
        <f>-_xlfn.XLOOKUP($C111,TB_UK!$E:$E,TB_UK!N:N)*L$2</f>
        <v>0</v>
      </c>
      <c r="M111" s="17">
        <f>-_xlfn.XLOOKUP($C111,TB_UK!$E:$E,TB_UK!O:O)*M$2</f>
        <v>0</v>
      </c>
      <c r="N111" s="17">
        <f>-_xlfn.XLOOKUP($C111,TB_UK!$E:$E,TB_UK!P:P)*N$2</f>
        <v>0</v>
      </c>
      <c r="O111" s="17">
        <f>-_xlfn.XLOOKUP($C111,TB_UK!$E:$E,TB_UK!Q:Q)*O$2</f>
        <v>0</v>
      </c>
      <c r="P111" s="17">
        <f>-_xlfn.XLOOKUP($C111,TB_UK!$E:$E,TB_UK!R:R)*P$2</f>
        <v>0</v>
      </c>
      <c r="Q111" s="17">
        <f>-_xlfn.XLOOKUP($C111,TB_UK!$E:$E,TB_UK!S:S)*Q$2</f>
        <v>0</v>
      </c>
      <c r="R111" s="17">
        <f>-_xlfn.XLOOKUP($C111,TB_UK!$E:$E,TB_UK!T:T)*R$2</f>
        <v>0</v>
      </c>
      <c r="S111" s="17">
        <f>-_xlfn.XLOOKUP($C111,TB_UK!$E:$E,TB_UK!U:U)*S$2</f>
        <v>0</v>
      </c>
      <c r="T111" s="17">
        <f>-_xlfn.XLOOKUP($C111,TB_UK!$E:$E,TB_UK!V:V)*T$2</f>
        <v>0</v>
      </c>
      <c r="U111" s="17">
        <f>-_xlfn.XLOOKUP($C111,TB_UK!$E:$E,TB_UK!W:W)*U$2</f>
        <v>0</v>
      </c>
      <c r="V111" s="17">
        <f>-_xlfn.XLOOKUP($C111,TB_UK!$E:$E,TB_UK!X:X)*V$2</f>
        <v>0</v>
      </c>
      <c r="W111" s="17">
        <f>-_xlfn.XLOOKUP($C111,TB_UK!$E:$E,TB_UK!Y:Y)*W$2</f>
        <v>0</v>
      </c>
      <c r="X111" s="17">
        <f>-_xlfn.XLOOKUP($C111,TB_UK!$E:$E,TB_UK!Z:Z)*X$2</f>
        <v>0</v>
      </c>
      <c r="Y111" s="17">
        <f>-_xlfn.XLOOKUP($C111,TB_UK!$E:$E,TB_UK!AA:AA)*Y$2</f>
        <v>0</v>
      </c>
      <c r="Z111" s="17">
        <f>-_xlfn.XLOOKUP($C111,TB_UK!$E:$E,TB_UK!AB:AB)*Z$2</f>
        <v>0</v>
      </c>
      <c r="AA111" s="17">
        <f>-_xlfn.XLOOKUP($C111,TB_UK!$E:$E,TB_UK!AC:AC)*AA$2</f>
        <v>-6852967.5574999982</v>
      </c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</row>
    <row r="112" spans="2:47" x14ac:dyDescent="0.2">
      <c r="B112" s="21"/>
      <c r="C112" s="22" t="s">
        <v>144</v>
      </c>
      <c r="D112" s="23">
        <f>SUM(D110:D111)</f>
        <v>-107819.68600000002</v>
      </c>
      <c r="E112" s="23">
        <f t="shared" ref="E112:AA112" si="19">SUM(E110:E111)</f>
        <v>-65248.495199999998</v>
      </c>
      <c r="F112" s="23">
        <f t="shared" si="19"/>
        <v>0</v>
      </c>
      <c r="G112" s="23">
        <f t="shared" si="19"/>
        <v>0</v>
      </c>
      <c r="H112" s="23">
        <f t="shared" si="19"/>
        <v>0</v>
      </c>
      <c r="I112" s="23">
        <f t="shared" si="19"/>
        <v>-66238.480100000001</v>
      </c>
      <c r="J112" s="23">
        <f t="shared" si="19"/>
        <v>0</v>
      </c>
      <c r="K112" s="23">
        <f t="shared" si="19"/>
        <v>0</v>
      </c>
      <c r="L112" s="23">
        <f t="shared" si="19"/>
        <v>0</v>
      </c>
      <c r="M112" s="23">
        <f t="shared" si="19"/>
        <v>0</v>
      </c>
      <c r="N112" s="23">
        <f t="shared" si="19"/>
        <v>-262009.125</v>
      </c>
      <c r="O112" s="23">
        <f t="shared" si="19"/>
        <v>0</v>
      </c>
      <c r="P112" s="23">
        <f t="shared" si="19"/>
        <v>0</v>
      </c>
      <c r="Q112" s="23">
        <f t="shared" si="19"/>
        <v>0</v>
      </c>
      <c r="R112" s="23">
        <f t="shared" si="19"/>
        <v>0</v>
      </c>
      <c r="S112" s="23">
        <f t="shared" si="19"/>
        <v>0</v>
      </c>
      <c r="T112" s="23">
        <f t="shared" si="19"/>
        <v>-532063.8125</v>
      </c>
      <c r="U112" s="23">
        <f t="shared" si="19"/>
        <v>0</v>
      </c>
      <c r="V112" s="23">
        <f t="shared" si="19"/>
        <v>0</v>
      </c>
      <c r="W112" s="23">
        <f t="shared" si="19"/>
        <v>0</v>
      </c>
      <c r="X112" s="23">
        <f t="shared" si="19"/>
        <v>0</v>
      </c>
      <c r="Y112" s="23">
        <f t="shared" si="19"/>
        <v>0</v>
      </c>
      <c r="Z112" s="23">
        <f t="shared" si="19"/>
        <v>0</v>
      </c>
      <c r="AA112" s="23">
        <f t="shared" si="19"/>
        <v>-6852967.5574999982</v>
      </c>
      <c r="AB112" s="23">
        <f t="shared" ref="AB112:AM112" si="20">SUM(AB110)</f>
        <v>0</v>
      </c>
      <c r="AC112" s="23">
        <f t="shared" si="20"/>
        <v>0</v>
      </c>
      <c r="AD112" s="23">
        <f t="shared" si="20"/>
        <v>-528320.9</v>
      </c>
      <c r="AE112" s="23">
        <f t="shared" si="20"/>
        <v>0</v>
      </c>
      <c r="AF112" s="23">
        <f t="shared" si="20"/>
        <v>0</v>
      </c>
      <c r="AG112" s="23">
        <f t="shared" si="20"/>
        <v>0</v>
      </c>
      <c r="AH112" s="23">
        <f t="shared" si="20"/>
        <v>0</v>
      </c>
      <c r="AI112" s="23">
        <f t="shared" si="20"/>
        <v>0</v>
      </c>
      <c r="AJ112" s="23">
        <f t="shared" si="20"/>
        <v>0</v>
      </c>
      <c r="AK112" s="23">
        <f t="shared" si="20"/>
        <v>0</v>
      </c>
      <c r="AL112" s="23">
        <f t="shared" si="20"/>
        <v>0</v>
      </c>
      <c r="AM112" s="23">
        <f t="shared" si="20"/>
        <v>0</v>
      </c>
      <c r="AS112" s="23">
        <f>SUM(D112:O112)</f>
        <v>-501315.78630000004</v>
      </c>
      <c r="AT112" s="23">
        <f>SUM(P112:AA112)</f>
        <v>-7385031.3699999982</v>
      </c>
      <c r="AU112" s="23">
        <f>SUM(AB112:AM112)</f>
        <v>-528320.9</v>
      </c>
    </row>
    <row r="113" spans="2:47" x14ac:dyDescent="0.2">
      <c r="B113" s="21"/>
      <c r="C113" s="1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8"/>
    </row>
    <row r="114" spans="2:47" x14ac:dyDescent="0.2">
      <c r="B114" s="21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8"/>
    </row>
    <row r="115" spans="2:47" x14ac:dyDescent="0.2">
      <c r="B115" s="21"/>
      <c r="C115" s="22" t="s">
        <v>10</v>
      </c>
      <c r="D115" s="23">
        <f t="shared" ref="D115:AM115" si="21">D45+D50+D58+D71+D82+D89+D94+D99+D103+D107+D112</f>
        <v>-20108882.702000003</v>
      </c>
      <c r="E115" s="23">
        <f t="shared" si="21"/>
        <v>-38318736.6492</v>
      </c>
      <c r="F115" s="23">
        <f t="shared" si="21"/>
        <v>-352513436.61510009</v>
      </c>
      <c r="G115" s="23">
        <f t="shared" si="21"/>
        <v>-30799543.681199998</v>
      </c>
      <c r="H115" s="23">
        <f t="shared" si="21"/>
        <v>-38368400.822799996</v>
      </c>
      <c r="I115" s="23">
        <f t="shared" si="21"/>
        <v>-62264229.517099991</v>
      </c>
      <c r="J115" s="23">
        <f t="shared" si="21"/>
        <v>-90430617.047999978</v>
      </c>
      <c r="K115" s="23">
        <f t="shared" si="21"/>
        <v>-81168235.47299999</v>
      </c>
      <c r="L115" s="23">
        <f t="shared" si="21"/>
        <v>-81502499.49879998</v>
      </c>
      <c r="M115" s="23">
        <f t="shared" si="21"/>
        <v>-65681369.707200006</v>
      </c>
      <c r="N115" s="23">
        <f t="shared" si="21"/>
        <v>-50529497.098499991</v>
      </c>
      <c r="O115" s="23">
        <f t="shared" si="21"/>
        <v>118170002.848</v>
      </c>
      <c r="P115" s="23">
        <f t="shared" si="21"/>
        <v>-58545467.463300005</v>
      </c>
      <c r="Q115" s="23">
        <f t="shared" si="21"/>
        <v>-42867289.166001759</v>
      </c>
      <c r="R115" s="23">
        <f t="shared" si="21"/>
        <v>-72562497.719500005</v>
      </c>
      <c r="S115" s="23">
        <f t="shared" si="21"/>
        <v>-57833556.35710001</v>
      </c>
      <c r="T115" s="23">
        <f t="shared" si="21"/>
        <v>-73252642.039499998</v>
      </c>
      <c r="U115" s="23">
        <f t="shared" si="21"/>
        <v>-73519738.910099998</v>
      </c>
      <c r="V115" s="23">
        <f t="shared" si="21"/>
        <v>-61667351.400400005</v>
      </c>
      <c r="W115" s="23">
        <f t="shared" si="21"/>
        <v>-53288964.464400001</v>
      </c>
      <c r="X115" s="23">
        <f>X45+X50+X58+X71+X82+X89+X94+X99+X103+X107+X112</f>
        <v>-61580082.63660001</v>
      </c>
      <c r="Y115" s="23">
        <f t="shared" si="21"/>
        <v>-72189581.841000006</v>
      </c>
      <c r="Z115" s="23">
        <f t="shared" si="21"/>
        <v>-45172530.517499998</v>
      </c>
      <c r="AA115" s="23">
        <f t="shared" si="21"/>
        <v>165973550.29999998</v>
      </c>
      <c r="AB115" s="23">
        <f t="shared" si="21"/>
        <v>-46549420.442400008</v>
      </c>
      <c r="AC115" s="23">
        <f t="shared" si="21"/>
        <v>-36507163.566</v>
      </c>
      <c r="AD115" s="23">
        <f t="shared" si="21"/>
        <v>-36005233.864</v>
      </c>
      <c r="AE115" s="23">
        <f t="shared" si="21"/>
        <v>-33203507.350000001</v>
      </c>
      <c r="AF115" s="23">
        <f t="shared" si="21"/>
        <v>0</v>
      </c>
      <c r="AG115" s="23">
        <f t="shared" si="21"/>
        <v>0</v>
      </c>
      <c r="AH115" s="23">
        <f t="shared" si="21"/>
        <v>0</v>
      </c>
      <c r="AI115" s="23">
        <f t="shared" si="21"/>
        <v>0</v>
      </c>
      <c r="AJ115" s="23">
        <f t="shared" si="21"/>
        <v>0</v>
      </c>
      <c r="AK115" s="23">
        <f t="shared" si="21"/>
        <v>0</v>
      </c>
      <c r="AL115" s="23">
        <f t="shared" si="21"/>
        <v>0</v>
      </c>
      <c r="AM115" s="23">
        <f t="shared" si="21"/>
        <v>0</v>
      </c>
      <c r="AS115" s="23">
        <f>SUM(D115:O115)</f>
        <v>-793515445.96490002</v>
      </c>
      <c r="AT115" s="23">
        <f>SUM(P115:AA115)</f>
        <v>-506506152.21540177</v>
      </c>
      <c r="AU115" s="23">
        <f>SUM(AB115:AM115)</f>
        <v>-152265325.22240001</v>
      </c>
    </row>
    <row r="116" spans="2:47" x14ac:dyDescent="0.2">
      <c r="B116" s="21"/>
      <c r="C116" s="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8"/>
    </row>
    <row r="117" spans="2:47" x14ac:dyDescent="0.2">
      <c r="B117" s="21"/>
      <c r="C117" s="1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8"/>
    </row>
    <row r="118" spans="2:47" s="27" customFormat="1" x14ac:dyDescent="0.2">
      <c r="B118" s="24"/>
      <c r="C118" s="25" t="s">
        <v>12</v>
      </c>
      <c r="D118" s="26">
        <f t="shared" ref="D118:AM118" si="22">D23+D31+D115</f>
        <v>-1024105.2346000001</v>
      </c>
      <c r="E118" s="26">
        <f t="shared" si="22"/>
        <v>-7073873.5955999978</v>
      </c>
      <c r="F118" s="26">
        <f t="shared" si="22"/>
        <v>-324207941.00370008</v>
      </c>
      <c r="G118" s="26">
        <f t="shared" si="22"/>
        <v>-11958770.960099995</v>
      </c>
      <c r="H118" s="26">
        <f t="shared" si="22"/>
        <v>6174286.2567999959</v>
      </c>
      <c r="I118" s="26">
        <f t="shared" si="22"/>
        <v>-42248253.383699991</v>
      </c>
      <c r="J118" s="26">
        <f t="shared" si="22"/>
        <v>-88556594.189999983</v>
      </c>
      <c r="K118" s="26">
        <f t="shared" si="22"/>
        <v>-38721566.079199985</v>
      </c>
      <c r="L118" s="26">
        <f t="shared" si="22"/>
        <v>-54922799.753299981</v>
      </c>
      <c r="M118" s="26">
        <f t="shared" si="22"/>
        <v>-48183124.515600003</v>
      </c>
      <c r="N118" s="26">
        <f t="shared" si="22"/>
        <v>-35677108.813499995</v>
      </c>
      <c r="O118" s="26">
        <f t="shared" si="22"/>
        <v>125145128.7184</v>
      </c>
      <c r="P118" s="26">
        <f t="shared" si="22"/>
        <v>-42027344.253300004</v>
      </c>
      <c r="Q118" s="26">
        <f t="shared" si="22"/>
        <v>-30653505.770998992</v>
      </c>
      <c r="R118" s="26">
        <f t="shared" si="22"/>
        <v>-65141593.437000006</v>
      </c>
      <c r="S118" s="26">
        <f t="shared" si="22"/>
        <v>-57598983.470900007</v>
      </c>
      <c r="T118" s="26">
        <f t="shared" si="22"/>
        <v>-73415608.640000001</v>
      </c>
      <c r="U118" s="26">
        <f t="shared" si="22"/>
        <v>-74710535.098499998</v>
      </c>
      <c r="V118" s="26">
        <f t="shared" si="22"/>
        <v>-61280260.765300006</v>
      </c>
      <c r="W118" s="26">
        <f t="shared" si="22"/>
        <v>-44314993.321199998</v>
      </c>
      <c r="X118" s="26">
        <f>X23+X31+X115</f>
        <v>-58912525.311300009</v>
      </c>
      <c r="Y118" s="26">
        <f t="shared" si="22"/>
        <v>-87446156.044</v>
      </c>
      <c r="Z118" s="26">
        <f t="shared" si="22"/>
        <v>-44680805.934500001</v>
      </c>
      <c r="AA118" s="26">
        <f t="shared" si="22"/>
        <v>185965637.50749999</v>
      </c>
      <c r="AB118" s="26">
        <f t="shared" si="22"/>
        <v>-48690360.111000009</v>
      </c>
      <c r="AC118" s="26">
        <f t="shared" si="22"/>
        <v>-35830170.538800001</v>
      </c>
      <c r="AD118" s="26">
        <f t="shared" si="22"/>
        <v>-36261332.392999999</v>
      </c>
      <c r="AE118" s="26">
        <f t="shared" si="22"/>
        <v>-35191951.938000001</v>
      </c>
      <c r="AF118" s="26">
        <f t="shared" si="22"/>
        <v>0</v>
      </c>
      <c r="AG118" s="26">
        <f t="shared" si="22"/>
        <v>0</v>
      </c>
      <c r="AH118" s="26">
        <f t="shared" si="22"/>
        <v>0</v>
      </c>
      <c r="AI118" s="26">
        <f t="shared" si="22"/>
        <v>0</v>
      </c>
      <c r="AJ118" s="26">
        <f t="shared" si="22"/>
        <v>0</v>
      </c>
      <c r="AK118" s="26">
        <f t="shared" si="22"/>
        <v>0</v>
      </c>
      <c r="AL118" s="26">
        <f t="shared" si="22"/>
        <v>0</v>
      </c>
      <c r="AM118" s="26">
        <f t="shared" si="22"/>
        <v>0</v>
      </c>
      <c r="AS118" s="26">
        <f>AS23+AS31+AS115</f>
        <v>-521254722.55409998</v>
      </c>
      <c r="AT118" s="26">
        <f>AT23+AT31+AT115</f>
        <v>-454216674.53949904</v>
      </c>
      <c r="AU118" s="26">
        <f>AU23+AU31+AU115</f>
        <v>-155973814.9808</v>
      </c>
    </row>
    <row r="119" spans="2:47" s="31" customFormat="1" x14ac:dyDescent="0.2">
      <c r="B119" s="28"/>
      <c r="C119" s="29" t="s">
        <v>145</v>
      </c>
      <c r="D119" s="30">
        <f t="shared" ref="D119:AM119" si="23">D118/D11</f>
        <v>-4.3975907141212328E-2</v>
      </c>
      <c r="E119" s="30">
        <f t="shared" si="23"/>
        <v>-0.18018858939921939</v>
      </c>
      <c r="F119" s="30">
        <f t="shared" si="23"/>
        <v>-8.87162770086724</v>
      </c>
      <c r="G119" s="30">
        <f t="shared" si="23"/>
        <v>-0.46028162507371606</v>
      </c>
      <c r="H119" s="30">
        <f t="shared" si="23"/>
        <v>0.24092525384831726</v>
      </c>
      <c r="I119" s="30">
        <f t="shared" si="23"/>
        <v>-1.7334270300400132</v>
      </c>
      <c r="J119" s="30">
        <f t="shared" si="23"/>
        <v>-12.47979580648774</v>
      </c>
      <c r="K119" s="30">
        <f t="shared" si="23"/>
        <v>-0.82518790290375899</v>
      </c>
      <c r="L119" s="30">
        <f t="shared" si="23"/>
        <v>-1.8645584639696631</v>
      </c>
      <c r="M119" s="30">
        <f t="shared" si="23"/>
        <v>-2.1911318457945286</v>
      </c>
      <c r="N119" s="30">
        <f t="shared" si="23"/>
        <v>-1.8274443512004013</v>
      </c>
      <c r="O119" s="30">
        <f t="shared" si="23"/>
        <v>11.897832176618847</v>
      </c>
      <c r="P119" s="30">
        <f t="shared" si="23"/>
        <v>-1.8069890248386964</v>
      </c>
      <c r="Q119" s="30">
        <f t="shared" si="23"/>
        <v>-1.5840325852021333</v>
      </c>
      <c r="R119" s="30">
        <f t="shared" si="23"/>
        <v>-5.5503950227806635</v>
      </c>
      <c r="S119" s="30">
        <f t="shared" si="23"/>
        <v>-31.283582960059729</v>
      </c>
      <c r="T119" s="30">
        <f t="shared" si="23"/>
        <v>-31.447052571784589</v>
      </c>
      <c r="U119" s="30">
        <f t="shared" si="23"/>
        <v>-165.00560407229256</v>
      </c>
      <c r="V119" s="30">
        <f t="shared" si="23"/>
        <v>-20.589863865454149</v>
      </c>
      <c r="W119" s="30">
        <f t="shared" si="23"/>
        <v>-4.2154206521159496</v>
      </c>
      <c r="X119" s="30">
        <f>X118/X11</f>
        <v>-9.7257209600737013</v>
      </c>
      <c r="Y119" s="30">
        <f t="shared" si="23"/>
        <v>8.2175702182413985</v>
      </c>
      <c r="Z119" s="30">
        <f t="shared" si="23"/>
        <v>-21.573662467768916</v>
      </c>
      <c r="AA119" s="30">
        <f t="shared" si="23"/>
        <v>170.34200390534028</v>
      </c>
      <c r="AB119" s="30">
        <f t="shared" si="23"/>
        <v>-46.688509907143384</v>
      </c>
      <c r="AC119" s="30">
        <f t="shared" si="23"/>
        <v>-16.019633176060772</v>
      </c>
      <c r="AD119" s="30">
        <f t="shared" si="23"/>
        <v>-18.942034244678513</v>
      </c>
      <c r="AE119" s="30">
        <f t="shared" si="23"/>
        <v>-21.778249738826961</v>
      </c>
      <c r="AF119" s="30" t="e">
        <f t="shared" si="23"/>
        <v>#DIV/0!</v>
      </c>
      <c r="AG119" s="30" t="e">
        <f t="shared" si="23"/>
        <v>#DIV/0!</v>
      </c>
      <c r="AH119" s="30" t="e">
        <f t="shared" si="23"/>
        <v>#DIV/0!</v>
      </c>
      <c r="AI119" s="30" t="e">
        <f t="shared" si="23"/>
        <v>#DIV/0!</v>
      </c>
      <c r="AJ119" s="30" t="e">
        <f t="shared" si="23"/>
        <v>#DIV/0!</v>
      </c>
      <c r="AK119" s="30" t="e">
        <f t="shared" si="23"/>
        <v>#DIV/0!</v>
      </c>
      <c r="AL119" s="30" t="e">
        <f t="shared" si="23"/>
        <v>#DIV/0!</v>
      </c>
      <c r="AM119" s="30" t="e">
        <f t="shared" si="23"/>
        <v>#DIV/0!</v>
      </c>
      <c r="AS119" s="30">
        <f>AS118/AS11</f>
        <v>-1.6783270243242363</v>
      </c>
      <c r="AT119" s="30">
        <f>AT118/AT11</f>
        <v>-6.3936026854915182</v>
      </c>
      <c r="AU119" s="30">
        <f>AU118/AU11</f>
        <v>-22.904413133622029</v>
      </c>
    </row>
    <row r="120" spans="2:47" x14ac:dyDescent="0.2">
      <c r="B120" s="21"/>
      <c r="C120" s="16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8"/>
    </row>
    <row r="121" spans="2:47" x14ac:dyDescent="0.2">
      <c r="B121" s="21"/>
      <c r="C121" s="20" t="s">
        <v>146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8"/>
    </row>
    <row r="122" spans="2:47" x14ac:dyDescent="0.2">
      <c r="B122" s="21">
        <v>16060</v>
      </c>
      <c r="C122" s="16" t="str">
        <f>_xlfn.XLOOKUP(B122,TB_UK!A:A,TB_UK!E:E)</f>
        <v>Fixtures and fittings- Depreciation</v>
      </c>
      <c r="D122" s="17">
        <f>-_xlfn.XLOOKUP($C122,TB_UK!$E:$E,TB_UK!F:F)*D$2</f>
        <v>-7884.8116000000009</v>
      </c>
      <c r="E122" s="17">
        <f>-_xlfn.XLOOKUP($C122,TB_UK!$E:$E,TB_UK!G:G)*E$2</f>
        <v>-13950.2328</v>
      </c>
      <c r="F122" s="17">
        <f>-_xlfn.XLOOKUP($C122,TB_UK!$E:$E,TB_UK!H:H)*F$2</f>
        <v>-12189.485400000001</v>
      </c>
      <c r="G122" s="17">
        <f>-_xlfn.XLOOKUP($C122,TB_UK!$E:$E,TB_UK!I:I)*G$2</f>
        <v>-11634.007799999999</v>
      </c>
      <c r="H122" s="17">
        <f>-_xlfn.XLOOKUP($C122,TB_UK!$E:$E,TB_UK!J:J)*H$2</f>
        <v>-56079.542600000001</v>
      </c>
      <c r="I122" s="17">
        <f>-_xlfn.XLOOKUP($C122,TB_UK!$E:$E,TB_UK!K:K)*I$2</f>
        <v>-62512.201699999998</v>
      </c>
      <c r="J122" s="17">
        <f>-_xlfn.XLOOKUP($C122,TB_UK!$E:$E,TB_UK!L:L)*J$2</f>
        <v>-67365.604500000001</v>
      </c>
      <c r="K122" s="17">
        <f>-_xlfn.XLOOKUP($C122,TB_UK!$E:$E,TB_UK!M:M)*K$2</f>
        <v>-67363.349800000011</v>
      </c>
      <c r="L122" s="17">
        <f>-_xlfn.XLOOKUP($C122,TB_UK!$E:$E,TB_UK!N:N)*L$2</f>
        <v>-71842.150299999994</v>
      </c>
      <c r="M122" s="17">
        <f>-_xlfn.XLOOKUP($C122,TB_UK!$E:$E,TB_UK!O:O)*M$2</f>
        <v>-68756.4323</v>
      </c>
      <c r="N122" s="17">
        <f>-_xlfn.XLOOKUP($C122,TB_UK!$E:$E,TB_UK!P:P)*N$2</f>
        <v>-68892.358500000002</v>
      </c>
      <c r="O122" s="17">
        <f>-_xlfn.XLOOKUP($C122,TB_UK!$E:$E,TB_UK!Q:Q)*O$2</f>
        <v>-62602.067600000002</v>
      </c>
      <c r="P122" s="17">
        <f>-_xlfn.XLOOKUP($C122,TB_UK!$E:$E,TB_UK!R:R)*P$2</f>
        <v>-61629.647700000001</v>
      </c>
      <c r="Q122" s="17">
        <f>-_xlfn.XLOOKUP($C122,TB_UK!$E:$E,TB_UK!S:S)*Q$2</f>
        <v>-61015.403000012127</v>
      </c>
      <c r="R122" s="17">
        <f>-_xlfn.XLOOKUP($C122,TB_UK!$E:$E,TB_UK!T:T)*R$2</f>
        <v>-63980.333500000001</v>
      </c>
      <c r="S122" s="17">
        <f>-_xlfn.XLOOKUP($C122,TB_UK!$E:$E,TB_UK!U:U)*S$2</f>
        <v>-69177.739099999992</v>
      </c>
      <c r="T122" s="17">
        <f>-_xlfn.XLOOKUP($C122,TB_UK!$E:$E,TB_UK!V:V)*T$2</f>
        <v>-68895.579499999993</v>
      </c>
      <c r="U122" s="17">
        <f>-_xlfn.XLOOKUP($C122,TB_UK!$E:$E,TB_UK!W:W)*U$2</f>
        <v>-68107.722899999993</v>
      </c>
      <c r="V122" s="17">
        <f>-_xlfn.XLOOKUP($C122,TB_UK!$E:$E,TB_UK!X:X)*V$2</f>
        <v>-65646.234700000001</v>
      </c>
      <c r="W122" s="17">
        <f>-_xlfn.XLOOKUP($C122,TB_UK!$E:$E,TB_UK!Y:Y)*W$2</f>
        <v>-66876.656700000007</v>
      </c>
      <c r="X122" s="17">
        <f>-_xlfn.XLOOKUP($C122,TB_UK!$E:$E,TB_UK!Z:Z)*X$2</f>
        <v>-64194.207900000001</v>
      </c>
      <c r="Y122" s="17">
        <f>-_xlfn.XLOOKUP($C122,TB_UK!$E:$E,TB_UK!AA:AA)*Y$2</f>
        <v>-61511.437000000005</v>
      </c>
      <c r="Z122" s="17">
        <f>-_xlfn.XLOOKUP($C122,TB_UK!$E:$E,TB_UK!AB:AB)*Z$2</f>
        <v>-61652.1947</v>
      </c>
      <c r="AA122" s="17">
        <f>-_xlfn.XLOOKUP($C122,TB_UK!$E:$E,TB_UK!AC:AC)*AA$2</f>
        <v>-62994.707500000004</v>
      </c>
      <c r="AB122" s="17">
        <f>-_xlfn.XLOOKUP($C122,TB_UK!$E:$E,TB_UK!AD:AD)*AB$2</f>
        <v>-61400.634600000005</v>
      </c>
      <c r="AC122" s="17">
        <f>-_xlfn.XLOOKUP($C122,TB_UK!$E:$E,TB_UK!AE:AE)*AC$2</f>
        <v>-58909.513200000001</v>
      </c>
      <c r="AD122" s="17">
        <f>-_xlfn.XLOOKUP($C122,TB_UK!$E:$E,TB_UK!AF:AF)*AD$2</f>
        <v>-58883.100999999995</v>
      </c>
      <c r="AE122" s="17">
        <f>-_xlfn.XLOOKUP($C122,TB_UK!$E:$E,TB_UK!AG:AG)*AE$2</f>
        <v>-59752.771000000001</v>
      </c>
      <c r="AF122" s="17">
        <f>-_xlfn.XLOOKUP($C122,TB_UK!$E:$E,TB_UK!AH:AH)*AF$2</f>
        <v>0</v>
      </c>
      <c r="AG122" s="17">
        <f>-_xlfn.XLOOKUP($C122,TB_UK!$E:$E,TB_UK!AI:AI)*AG$2</f>
        <v>0</v>
      </c>
      <c r="AH122" s="17">
        <f>-_xlfn.XLOOKUP($C122,TB_UK!$E:$E,TB_UK!AJ:AJ)*AH$2</f>
        <v>0</v>
      </c>
      <c r="AI122" s="17">
        <f>-_xlfn.XLOOKUP($C122,TB_UK!$E:$E,TB_UK!AK:AK)*AI$2</f>
        <v>0</v>
      </c>
      <c r="AJ122" s="17">
        <f>-_xlfn.XLOOKUP($C122,TB_UK!$E:$E,TB_UK!AL:AL)*AJ$2</f>
        <v>0</v>
      </c>
      <c r="AK122" s="17">
        <f>-_xlfn.XLOOKUP($C122,TB_UK!$E:$E,TB_UK!AM:AM)*AK$2</f>
        <v>0</v>
      </c>
      <c r="AL122" s="17">
        <f>-_xlfn.XLOOKUP($C122,TB_UK!$E:$E,TB_UK!AN:AN)*AL$2</f>
        <v>0</v>
      </c>
      <c r="AM122" s="17">
        <f>-_xlfn.XLOOKUP($C122,TB_UK!$E:$E,TB_UK!AO:AO)*AM$2</f>
        <v>0</v>
      </c>
    </row>
    <row r="123" spans="2:47" x14ac:dyDescent="0.2">
      <c r="B123" s="21">
        <v>51490</v>
      </c>
      <c r="C123" s="16" t="str">
        <f>_xlfn.XLOOKUP(B123,TB_UK!A:A,TB_UK!E:E)</f>
        <v>Office &amp; Computer Equipment Depreciation Expense</v>
      </c>
      <c r="D123" s="17">
        <f>-_xlfn.XLOOKUP($C123,TB_UK!$E:$E,TB_UK!F:F)*D$2</f>
        <v>-96094.7212</v>
      </c>
      <c r="E123" s="17">
        <f>-_xlfn.XLOOKUP($C123,TB_UK!$E:$E,TB_UK!G:G)*E$2</f>
        <v>-170015.94959999999</v>
      </c>
      <c r="F123" s="17">
        <f>-_xlfn.XLOOKUP($C123,TB_UK!$E:$E,TB_UK!H:H)*F$2</f>
        <v>-148557.15780000002</v>
      </c>
      <c r="G123" s="17">
        <f>-_xlfn.XLOOKUP($C123,TB_UK!$E:$E,TB_UK!I:I)*G$2</f>
        <v>-141787.37459999998</v>
      </c>
      <c r="H123" s="17">
        <f>-_xlfn.XLOOKUP($C123,TB_UK!$E:$E,TB_UK!J:J)*H$2</f>
        <v>-147258.8548</v>
      </c>
      <c r="I123" s="17">
        <f>-_xlfn.XLOOKUP($C123,TB_UK!$E:$E,TB_UK!K:K)*I$2</f>
        <v>-179463.0019</v>
      </c>
      <c r="J123" s="17">
        <f>-_xlfn.XLOOKUP($C123,TB_UK!$E:$E,TB_UK!L:L)*J$2</f>
        <v>-193396.38149999999</v>
      </c>
      <c r="K123" s="17">
        <f>-_xlfn.XLOOKUP($C123,TB_UK!$E:$E,TB_UK!M:M)*K$2</f>
        <v>-193389.9086</v>
      </c>
      <c r="L123" s="17">
        <f>-_xlfn.XLOOKUP($C123,TB_UK!$E:$E,TB_UK!N:N)*L$2</f>
        <v>-206247.86209999997</v>
      </c>
      <c r="M123" s="17">
        <f>-_xlfn.XLOOKUP($C123,TB_UK!$E:$E,TB_UK!O:O)*M$2</f>
        <v>-197389.23610000001</v>
      </c>
      <c r="N123" s="17">
        <f>-_xlfn.XLOOKUP($C123,TB_UK!$E:$E,TB_UK!P:P)*N$2</f>
        <v>-197779.4595</v>
      </c>
      <c r="O123" s="17">
        <f>-_xlfn.XLOOKUP($C123,TB_UK!$E:$E,TB_UK!Q:Q)*O$2</f>
        <v>-179720.9932</v>
      </c>
      <c r="P123" s="17">
        <f>-_xlfn.XLOOKUP($C123,TB_UK!$E:$E,TB_UK!R:R)*P$2</f>
        <v>-176929.32389999999</v>
      </c>
      <c r="Q123" s="17">
        <f>-_xlfn.XLOOKUP($C123,TB_UK!$E:$E,TB_UK!S:S)*Q$2</f>
        <v>-175165.92099994706</v>
      </c>
      <c r="R123" s="17">
        <f>-_xlfn.XLOOKUP($C123,TB_UK!$E:$E,TB_UK!T:T)*R$2</f>
        <v>-183677.78449999998</v>
      </c>
      <c r="S123" s="17">
        <f>-_xlfn.XLOOKUP($C123,TB_UK!$E:$E,TB_UK!U:U)*S$2</f>
        <v>-198598.74370000005</v>
      </c>
      <c r="T123" s="17">
        <f>-_xlfn.XLOOKUP($C123,TB_UK!$E:$E,TB_UK!V:V)*T$2</f>
        <v>-197788.70649999997</v>
      </c>
      <c r="U123" s="17">
        <f>-_xlfn.XLOOKUP($C123,TB_UK!$E:$E,TB_UK!W:W)*U$2</f>
        <v>-195526.89029999997</v>
      </c>
      <c r="V123" s="17">
        <f>-_xlfn.XLOOKUP($C123,TB_UK!$E:$E,TB_UK!X:X)*V$2</f>
        <v>-188460.33289999998</v>
      </c>
      <c r="W123" s="17">
        <f>-_xlfn.XLOOKUP($C123,TB_UK!$E:$E,TB_UK!Y:Y)*W$2</f>
        <v>-191992.6869</v>
      </c>
      <c r="X123" s="17">
        <f>-_xlfn.XLOOKUP($C123,TB_UK!$E:$E,TB_UK!Z:Z)*X$2</f>
        <v>-184291.78529999999</v>
      </c>
      <c r="Y123" s="17">
        <f>-_xlfn.XLOOKUP($C123,TB_UK!$E:$E,TB_UK!AA:AA)*Y$2</f>
        <v>-176589.959</v>
      </c>
      <c r="Z123" s="17">
        <f>-_xlfn.XLOOKUP($C123,TB_UK!$E:$E,TB_UK!AB:AB)*Z$2</f>
        <v>-176994.05289999998</v>
      </c>
      <c r="AA123" s="17">
        <f>-_xlfn.XLOOKUP($C123,TB_UK!$E:$E,TB_UK!AC:AC)*AA$2</f>
        <v>-180848.20249999998</v>
      </c>
      <c r="AB123" s="17">
        <f>-_xlfn.XLOOKUP($C123,TB_UK!$E:$E,TB_UK!AD:AD)*AB$2</f>
        <v>-176271.8622</v>
      </c>
      <c r="AC123" s="17">
        <f>-_xlfn.XLOOKUP($C123,TB_UK!$E:$E,TB_UK!AE:AE)*AC$2</f>
        <v>-169120.23240000001</v>
      </c>
      <c r="AD123" s="17">
        <f>-_xlfn.XLOOKUP($C123,TB_UK!$E:$E,TB_UK!AF:AF)*AD$2</f>
        <v>-169044.40699999998</v>
      </c>
      <c r="AE123" s="17">
        <f>-_xlfn.XLOOKUP($C123,TB_UK!$E:$E,TB_UK!AG:AG)*AE$2</f>
        <v>-171541.09699999998</v>
      </c>
      <c r="AF123" s="17">
        <f>-_xlfn.XLOOKUP($C123,TB_UK!$E:$E,TB_UK!AH:AH)*AF$2</f>
        <v>0</v>
      </c>
      <c r="AG123" s="17">
        <f>-_xlfn.XLOOKUP($C123,TB_UK!$E:$E,TB_UK!AI:AI)*AG$2</f>
        <v>0</v>
      </c>
      <c r="AH123" s="17">
        <f>-_xlfn.XLOOKUP($C123,TB_UK!$E:$E,TB_UK!AJ:AJ)*AH$2</f>
        <v>0</v>
      </c>
      <c r="AI123" s="17">
        <f>-_xlfn.XLOOKUP($C123,TB_UK!$E:$E,TB_UK!AK:AK)*AI$2</f>
        <v>0</v>
      </c>
      <c r="AJ123" s="17">
        <f>-_xlfn.XLOOKUP($C123,TB_UK!$E:$E,TB_UK!AL:AL)*AJ$2</f>
        <v>0</v>
      </c>
      <c r="AK123" s="17">
        <f>-_xlfn.XLOOKUP($C123,TB_UK!$E:$E,TB_UK!AM:AM)*AK$2</f>
        <v>0</v>
      </c>
      <c r="AL123" s="17">
        <f>-_xlfn.XLOOKUP($C123,TB_UK!$E:$E,TB_UK!AN:AN)*AL$2</f>
        <v>0</v>
      </c>
      <c r="AM123" s="17">
        <f>-_xlfn.XLOOKUP($C123,TB_UK!$E:$E,TB_UK!AO:AO)*AM$2</f>
        <v>0</v>
      </c>
    </row>
    <row r="124" spans="2:47" x14ac:dyDescent="0.2">
      <c r="B124" s="21"/>
      <c r="C124" s="22" t="s">
        <v>13</v>
      </c>
      <c r="D124" s="23">
        <f>SUM(D122:D123)</f>
        <v>-103979.5328</v>
      </c>
      <c r="E124" s="23">
        <f t="shared" ref="E124:AM124" si="24">SUM(E122:E123)</f>
        <v>-183966.18239999999</v>
      </c>
      <c r="F124" s="23">
        <f t="shared" si="24"/>
        <v>-160746.64320000002</v>
      </c>
      <c r="G124" s="23">
        <f t="shared" si="24"/>
        <v>-153421.38239999997</v>
      </c>
      <c r="H124" s="23">
        <f t="shared" si="24"/>
        <v>-203338.39740000002</v>
      </c>
      <c r="I124" s="23">
        <f t="shared" si="24"/>
        <v>-241975.20360000001</v>
      </c>
      <c r="J124" s="23">
        <f t="shared" si="24"/>
        <v>-260761.98599999998</v>
      </c>
      <c r="K124" s="23">
        <f t="shared" si="24"/>
        <v>-260753.25839999999</v>
      </c>
      <c r="L124" s="23">
        <f t="shared" si="24"/>
        <v>-278090.01239999995</v>
      </c>
      <c r="M124" s="23">
        <f t="shared" si="24"/>
        <v>-266145.66840000002</v>
      </c>
      <c r="N124" s="23">
        <f t="shared" si="24"/>
        <v>-266671.81799999997</v>
      </c>
      <c r="O124" s="23">
        <f t="shared" si="24"/>
        <v>-242323.06080000001</v>
      </c>
      <c r="P124" s="23">
        <f t="shared" si="24"/>
        <v>-238558.97159999999</v>
      </c>
      <c r="Q124" s="23">
        <f t="shared" si="24"/>
        <v>-236181.32399995919</v>
      </c>
      <c r="R124" s="23">
        <f t="shared" si="24"/>
        <v>-247658.11799999999</v>
      </c>
      <c r="S124" s="23">
        <f t="shared" si="24"/>
        <v>-267776.48280000006</v>
      </c>
      <c r="T124" s="23">
        <f t="shared" si="24"/>
        <v>-266684.28599999996</v>
      </c>
      <c r="U124" s="23">
        <f t="shared" si="24"/>
        <v>-263634.61319999996</v>
      </c>
      <c r="V124" s="23">
        <f t="shared" si="24"/>
        <v>-254106.56759999998</v>
      </c>
      <c r="W124" s="23">
        <f t="shared" si="24"/>
        <v>-258869.34360000002</v>
      </c>
      <c r="X124" s="23">
        <f>SUM(X122:X123)</f>
        <v>-248485.9932</v>
      </c>
      <c r="Y124" s="23">
        <f t="shared" si="24"/>
        <v>-238101.39600000001</v>
      </c>
      <c r="Z124" s="23">
        <f t="shared" si="24"/>
        <v>-238646.24759999997</v>
      </c>
      <c r="AA124" s="23">
        <f t="shared" si="24"/>
        <v>-243842.90999999997</v>
      </c>
      <c r="AB124" s="23">
        <f t="shared" si="24"/>
        <v>-237672.49680000002</v>
      </c>
      <c r="AC124" s="23">
        <f t="shared" si="24"/>
        <v>-228029.74560000002</v>
      </c>
      <c r="AD124" s="23">
        <f t="shared" si="24"/>
        <v>-227927.50799999997</v>
      </c>
      <c r="AE124" s="23">
        <f t="shared" si="24"/>
        <v>-231293.86799999999</v>
      </c>
      <c r="AF124" s="23">
        <f t="shared" si="24"/>
        <v>0</v>
      </c>
      <c r="AG124" s="23">
        <f t="shared" si="24"/>
        <v>0</v>
      </c>
      <c r="AH124" s="23">
        <f t="shared" si="24"/>
        <v>0</v>
      </c>
      <c r="AI124" s="23">
        <f t="shared" si="24"/>
        <v>0</v>
      </c>
      <c r="AJ124" s="23">
        <f t="shared" si="24"/>
        <v>0</v>
      </c>
      <c r="AK124" s="23">
        <f t="shared" si="24"/>
        <v>0</v>
      </c>
      <c r="AL124" s="23">
        <f t="shared" si="24"/>
        <v>0</v>
      </c>
      <c r="AM124" s="23">
        <f t="shared" si="24"/>
        <v>0</v>
      </c>
      <c r="AS124" s="23">
        <f>SUM(D124:O124)</f>
        <v>-2622173.1458000001</v>
      </c>
      <c r="AT124" s="23">
        <f>SUM(P124:AA124)</f>
        <v>-3002546.2535999594</v>
      </c>
      <c r="AU124" s="23">
        <f>SUM(AB124:AM124)</f>
        <v>-924923.61840000004</v>
      </c>
    </row>
    <row r="125" spans="2:47" x14ac:dyDescent="0.2">
      <c r="B125" s="21"/>
      <c r="C125" s="16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32"/>
    </row>
    <row r="126" spans="2:47" x14ac:dyDescent="0.2">
      <c r="B126" s="21"/>
      <c r="C126" s="16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8"/>
    </row>
    <row r="127" spans="2:47" s="27" customFormat="1" x14ac:dyDescent="0.2">
      <c r="B127" s="24"/>
      <c r="C127" s="25" t="s">
        <v>15</v>
      </c>
      <c r="D127" s="26">
        <f>D118+D124</f>
        <v>-1128084.7674</v>
      </c>
      <c r="E127" s="26">
        <f t="shared" ref="E127:AM127" si="25">E118+E124</f>
        <v>-7257839.7779999981</v>
      </c>
      <c r="F127" s="26">
        <f t="shared" si="25"/>
        <v>-324368687.64690006</v>
      </c>
      <c r="G127" s="26">
        <f t="shared" si="25"/>
        <v>-12112192.342499996</v>
      </c>
      <c r="H127" s="26">
        <f t="shared" si="25"/>
        <v>5970947.8593999958</v>
      </c>
      <c r="I127" s="26">
        <f t="shared" si="25"/>
        <v>-42490228.587299988</v>
      </c>
      <c r="J127" s="26">
        <f t="shared" si="25"/>
        <v>-88817356.175999984</v>
      </c>
      <c r="K127" s="26">
        <f t="shared" si="25"/>
        <v>-38982319.337599985</v>
      </c>
      <c r="L127" s="26">
        <f t="shared" si="25"/>
        <v>-55200889.765699983</v>
      </c>
      <c r="M127" s="26">
        <f t="shared" si="25"/>
        <v>-48449270.184</v>
      </c>
      <c r="N127" s="26">
        <f t="shared" si="25"/>
        <v>-35943780.631499991</v>
      </c>
      <c r="O127" s="26">
        <f t="shared" si="25"/>
        <v>124902805.6576</v>
      </c>
      <c r="P127" s="26">
        <f t="shared" si="25"/>
        <v>-42265903.224900007</v>
      </c>
      <c r="Q127" s="26">
        <f t="shared" si="25"/>
        <v>-30889687.094998952</v>
      </c>
      <c r="R127" s="26">
        <f t="shared" si="25"/>
        <v>-65389251.555000007</v>
      </c>
      <c r="S127" s="26">
        <f t="shared" si="25"/>
        <v>-57866759.953700006</v>
      </c>
      <c r="T127" s="26">
        <f t="shared" si="25"/>
        <v>-73682292.925999999</v>
      </c>
      <c r="U127" s="26">
        <f t="shared" si="25"/>
        <v>-74974169.711699992</v>
      </c>
      <c r="V127" s="26">
        <f t="shared" si="25"/>
        <v>-61534367.332900003</v>
      </c>
      <c r="W127" s="26">
        <f t="shared" si="25"/>
        <v>-44573862.664799996</v>
      </c>
      <c r="X127" s="26">
        <f>X118+X124</f>
        <v>-59161011.304500006</v>
      </c>
      <c r="Y127" s="26">
        <f t="shared" si="25"/>
        <v>-87684257.439999998</v>
      </c>
      <c r="Z127" s="26">
        <f t="shared" si="25"/>
        <v>-44919452.182099998</v>
      </c>
      <c r="AA127" s="26">
        <f t="shared" si="25"/>
        <v>185721794.5975</v>
      </c>
      <c r="AB127" s="26">
        <f t="shared" si="25"/>
        <v>-48928032.607800007</v>
      </c>
      <c r="AC127" s="26">
        <f t="shared" si="25"/>
        <v>-36058200.284400001</v>
      </c>
      <c r="AD127" s="26">
        <f t="shared" si="25"/>
        <v>-36489259.901000001</v>
      </c>
      <c r="AE127" s="26">
        <f t="shared" si="25"/>
        <v>-35423245.806000002</v>
      </c>
      <c r="AF127" s="26">
        <f t="shared" si="25"/>
        <v>0</v>
      </c>
      <c r="AG127" s="26">
        <f t="shared" si="25"/>
        <v>0</v>
      </c>
      <c r="AH127" s="26">
        <f t="shared" si="25"/>
        <v>0</v>
      </c>
      <c r="AI127" s="26">
        <f t="shared" si="25"/>
        <v>0</v>
      </c>
      <c r="AJ127" s="26">
        <f t="shared" si="25"/>
        <v>0</v>
      </c>
      <c r="AK127" s="26">
        <f t="shared" si="25"/>
        <v>0</v>
      </c>
      <c r="AL127" s="26">
        <f t="shared" si="25"/>
        <v>0</v>
      </c>
      <c r="AM127" s="26">
        <f t="shared" si="25"/>
        <v>0</v>
      </c>
      <c r="AS127" s="26">
        <f>AS118+AS124</f>
        <v>-523876895.69989997</v>
      </c>
      <c r="AT127" s="26">
        <f>AT118+AT124</f>
        <v>-457219220.79309899</v>
      </c>
      <c r="AU127" s="26">
        <f>AU118+AU124</f>
        <v>-156898738.59920001</v>
      </c>
    </row>
    <row r="128" spans="2:47" s="31" customFormat="1" x14ac:dyDescent="0.2">
      <c r="B128" s="28"/>
      <c r="C128" s="29" t="s">
        <v>147</v>
      </c>
      <c r="D128" s="30">
        <f t="shared" ref="D128:AM128" si="26">D127/D11</f>
        <v>-4.8440872385516962E-2</v>
      </c>
      <c r="E128" s="30">
        <f t="shared" si="26"/>
        <v>-0.18487465092630609</v>
      </c>
      <c r="F128" s="30">
        <f t="shared" si="26"/>
        <v>-8.8760263728066739</v>
      </c>
      <c r="G128" s="30">
        <f t="shared" si="26"/>
        <v>-0.46618666694195982</v>
      </c>
      <c r="H128" s="30">
        <f t="shared" si="26"/>
        <v>0.23299083795421272</v>
      </c>
      <c r="I128" s="30">
        <f t="shared" si="26"/>
        <v>-1.7433551649314192</v>
      </c>
      <c r="J128" s="30">
        <f t="shared" si="26"/>
        <v>-12.516543565015944</v>
      </c>
      <c r="K128" s="30">
        <f t="shared" si="26"/>
        <v>-0.83074476581664625</v>
      </c>
      <c r="L128" s="30">
        <f t="shared" si="26"/>
        <v>-1.8739992624849406</v>
      </c>
      <c r="M128" s="30">
        <f t="shared" si="26"/>
        <v>-2.2032348435870999</v>
      </c>
      <c r="N128" s="30">
        <f t="shared" si="26"/>
        <v>-1.841103751405051</v>
      </c>
      <c r="O128" s="30">
        <f t="shared" si="26"/>
        <v>11.874793971780603</v>
      </c>
      <c r="P128" s="30">
        <f t="shared" si="26"/>
        <v>-1.8172460004129778</v>
      </c>
      <c r="Q128" s="30">
        <f t="shared" si="26"/>
        <v>-1.5962373527751157</v>
      </c>
      <c r="R128" s="30">
        <f t="shared" si="26"/>
        <v>-5.5714967538402176</v>
      </c>
      <c r="S128" s="30">
        <f t="shared" si="26"/>
        <v>-31.429019690182908</v>
      </c>
      <c r="T128" s="30">
        <f t="shared" si="26"/>
        <v>-31.561284884466684</v>
      </c>
      <c r="U128" s="30">
        <f t="shared" si="26"/>
        <v>-165.58786718348668</v>
      </c>
      <c r="V128" s="30">
        <f t="shared" si="26"/>
        <v>-20.675242412621891</v>
      </c>
      <c r="W128" s="30">
        <f t="shared" si="26"/>
        <v>-4.2400453467266805</v>
      </c>
      <c r="X128" s="30">
        <f>X127/X11</f>
        <v>-9.7667428891045791</v>
      </c>
      <c r="Y128" s="30">
        <f t="shared" si="26"/>
        <v>8.2399453005687082</v>
      </c>
      <c r="Z128" s="30">
        <f t="shared" si="26"/>
        <v>-21.688890326515899</v>
      </c>
      <c r="AA128" s="30">
        <f t="shared" si="26"/>
        <v>170.11864710413644</v>
      </c>
      <c r="AB128" s="30">
        <f t="shared" si="26"/>
        <v>-46.91641076259414</v>
      </c>
      <c r="AC128" s="30">
        <f t="shared" si="26"/>
        <v>-16.121585045750777</v>
      </c>
      <c r="AD128" s="30">
        <f t="shared" si="26"/>
        <v>-19.06109800700937</v>
      </c>
      <c r="AE128" s="30">
        <f t="shared" si="26"/>
        <v>-21.921384044910283</v>
      </c>
      <c r="AF128" s="30" t="e">
        <f t="shared" si="26"/>
        <v>#DIV/0!</v>
      </c>
      <c r="AG128" s="30" t="e">
        <f t="shared" si="26"/>
        <v>#DIV/0!</v>
      </c>
      <c r="AH128" s="30" t="e">
        <f t="shared" si="26"/>
        <v>#DIV/0!</v>
      </c>
      <c r="AI128" s="30" t="e">
        <f t="shared" si="26"/>
        <v>#DIV/0!</v>
      </c>
      <c r="AJ128" s="30" t="e">
        <f t="shared" si="26"/>
        <v>#DIV/0!</v>
      </c>
      <c r="AK128" s="30" t="e">
        <f t="shared" si="26"/>
        <v>#DIV/0!</v>
      </c>
      <c r="AL128" s="30" t="e">
        <f t="shared" si="26"/>
        <v>#DIV/0!</v>
      </c>
      <c r="AM128" s="30" t="e">
        <f t="shared" si="26"/>
        <v>#DIV/0!</v>
      </c>
      <c r="AS128" s="30">
        <f>AS127/AS11</f>
        <v>-1.686769852489878</v>
      </c>
      <c r="AT128" s="30">
        <f>AT127/AT11</f>
        <v>-6.4358668489764712</v>
      </c>
      <c r="AU128" s="30">
        <f>AU127/AU11</f>
        <v>-23.040236141320381</v>
      </c>
    </row>
    <row r="129" spans="2:47" x14ac:dyDescent="0.2">
      <c r="B129" s="21"/>
      <c r="C129" s="16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8"/>
    </row>
    <row r="130" spans="2:47" x14ac:dyDescent="0.2">
      <c r="B130" s="21"/>
      <c r="C130" s="20" t="s">
        <v>148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8"/>
    </row>
    <row r="131" spans="2:47" x14ac:dyDescent="0.2">
      <c r="B131" s="21"/>
      <c r="C131" s="16" t="s">
        <v>726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</row>
    <row r="132" spans="2:47" x14ac:dyDescent="0.2">
      <c r="B132" s="21"/>
      <c r="C132" s="22" t="s">
        <v>16</v>
      </c>
      <c r="D132" s="23">
        <f>SUM(D131)</f>
        <v>0</v>
      </c>
      <c r="E132" s="23">
        <f t="shared" ref="E132:AM132" si="27">SUM(E131)</f>
        <v>0</v>
      </c>
      <c r="F132" s="23">
        <f t="shared" si="27"/>
        <v>0</v>
      </c>
      <c r="G132" s="23">
        <f t="shared" si="27"/>
        <v>0</v>
      </c>
      <c r="H132" s="23">
        <f t="shared" si="27"/>
        <v>0</v>
      </c>
      <c r="I132" s="23">
        <f t="shared" si="27"/>
        <v>0</v>
      </c>
      <c r="J132" s="23">
        <f t="shared" si="27"/>
        <v>0</v>
      </c>
      <c r="K132" s="23">
        <f t="shared" si="27"/>
        <v>0</v>
      </c>
      <c r="L132" s="23">
        <f t="shared" si="27"/>
        <v>0</v>
      </c>
      <c r="M132" s="23">
        <f t="shared" si="27"/>
        <v>0</v>
      </c>
      <c r="N132" s="23">
        <f t="shared" si="27"/>
        <v>0</v>
      </c>
      <c r="O132" s="23">
        <f t="shared" si="27"/>
        <v>0</v>
      </c>
      <c r="P132" s="23">
        <f t="shared" si="27"/>
        <v>0</v>
      </c>
      <c r="Q132" s="23">
        <f t="shared" si="27"/>
        <v>0</v>
      </c>
      <c r="R132" s="23">
        <f t="shared" si="27"/>
        <v>0</v>
      </c>
      <c r="S132" s="23">
        <f t="shared" si="27"/>
        <v>0</v>
      </c>
      <c r="T132" s="23">
        <f t="shared" si="27"/>
        <v>0</v>
      </c>
      <c r="U132" s="23">
        <f t="shared" si="27"/>
        <v>0</v>
      </c>
      <c r="V132" s="23">
        <f t="shared" si="27"/>
        <v>0</v>
      </c>
      <c r="W132" s="23">
        <f t="shared" si="27"/>
        <v>0</v>
      </c>
      <c r="X132" s="23">
        <f>SUM(X131)</f>
        <v>0</v>
      </c>
      <c r="Y132" s="23">
        <f t="shared" si="27"/>
        <v>0</v>
      </c>
      <c r="Z132" s="23">
        <f t="shared" si="27"/>
        <v>0</v>
      </c>
      <c r="AA132" s="23">
        <f t="shared" si="27"/>
        <v>0</v>
      </c>
      <c r="AB132" s="23">
        <f t="shared" si="27"/>
        <v>0</v>
      </c>
      <c r="AC132" s="23">
        <f t="shared" si="27"/>
        <v>0</v>
      </c>
      <c r="AD132" s="23">
        <f t="shared" si="27"/>
        <v>0</v>
      </c>
      <c r="AE132" s="23">
        <f t="shared" si="27"/>
        <v>0</v>
      </c>
      <c r="AF132" s="23">
        <f t="shared" si="27"/>
        <v>0</v>
      </c>
      <c r="AG132" s="23">
        <f t="shared" si="27"/>
        <v>0</v>
      </c>
      <c r="AH132" s="23">
        <f t="shared" si="27"/>
        <v>0</v>
      </c>
      <c r="AI132" s="23">
        <f t="shared" si="27"/>
        <v>0</v>
      </c>
      <c r="AJ132" s="23">
        <f t="shared" si="27"/>
        <v>0</v>
      </c>
      <c r="AK132" s="23">
        <f t="shared" si="27"/>
        <v>0</v>
      </c>
      <c r="AL132" s="23">
        <f t="shared" si="27"/>
        <v>0</v>
      </c>
      <c r="AM132" s="23">
        <f t="shared" si="27"/>
        <v>0</v>
      </c>
      <c r="AS132" s="23">
        <f>SUM(D132:O132)</f>
        <v>0</v>
      </c>
      <c r="AT132" s="23">
        <f>SUM(P132:AA132)</f>
        <v>0</v>
      </c>
      <c r="AU132" s="23">
        <f>SUM(AB132:AM132)</f>
        <v>0</v>
      </c>
    </row>
    <row r="133" spans="2:47" x14ac:dyDescent="0.2">
      <c r="B133" s="21"/>
      <c r="C133" s="1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47" x14ac:dyDescent="0.2">
      <c r="B134" s="21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8"/>
    </row>
    <row r="135" spans="2:47" s="27" customFormat="1" x14ac:dyDescent="0.2">
      <c r="B135" s="24"/>
      <c r="C135" s="25" t="s">
        <v>149</v>
      </c>
      <c r="D135" s="26">
        <f>D127+D132</f>
        <v>-1128084.7674</v>
      </c>
      <c r="E135" s="26">
        <f t="shared" ref="E135:AM135" si="28">E127+E132</f>
        <v>-7257839.7779999981</v>
      </c>
      <c r="F135" s="26">
        <f t="shared" si="28"/>
        <v>-324368687.64690006</v>
      </c>
      <c r="G135" s="26">
        <f t="shared" si="28"/>
        <v>-12112192.342499996</v>
      </c>
      <c r="H135" s="26">
        <f t="shared" si="28"/>
        <v>5970947.8593999958</v>
      </c>
      <c r="I135" s="26">
        <f t="shared" si="28"/>
        <v>-42490228.587299988</v>
      </c>
      <c r="J135" s="26">
        <f t="shared" si="28"/>
        <v>-88817356.175999984</v>
      </c>
      <c r="K135" s="26">
        <f t="shared" si="28"/>
        <v>-38982319.337599985</v>
      </c>
      <c r="L135" s="26">
        <f t="shared" si="28"/>
        <v>-55200889.765699983</v>
      </c>
      <c r="M135" s="26">
        <f t="shared" si="28"/>
        <v>-48449270.184</v>
      </c>
      <c r="N135" s="26">
        <f t="shared" si="28"/>
        <v>-35943780.631499991</v>
      </c>
      <c r="O135" s="26">
        <f t="shared" si="28"/>
        <v>124902805.6576</v>
      </c>
      <c r="P135" s="26">
        <f t="shared" si="28"/>
        <v>-42265903.224900007</v>
      </c>
      <c r="Q135" s="26">
        <f t="shared" si="28"/>
        <v>-30889687.094998952</v>
      </c>
      <c r="R135" s="26">
        <f t="shared" si="28"/>
        <v>-65389251.555000007</v>
      </c>
      <c r="S135" s="26">
        <f t="shared" si="28"/>
        <v>-57866759.953700006</v>
      </c>
      <c r="T135" s="26">
        <f t="shared" si="28"/>
        <v>-73682292.925999999</v>
      </c>
      <c r="U135" s="26">
        <f t="shared" si="28"/>
        <v>-74974169.711699992</v>
      </c>
      <c r="V135" s="26">
        <f t="shared" si="28"/>
        <v>-61534367.332900003</v>
      </c>
      <c r="W135" s="26">
        <f t="shared" si="28"/>
        <v>-44573862.664799996</v>
      </c>
      <c r="X135" s="26">
        <f>X127+X132</f>
        <v>-59161011.304500006</v>
      </c>
      <c r="Y135" s="26">
        <f t="shared" si="28"/>
        <v>-87684257.439999998</v>
      </c>
      <c r="Z135" s="26">
        <f t="shared" si="28"/>
        <v>-44919452.182099998</v>
      </c>
      <c r="AA135" s="26">
        <f t="shared" si="28"/>
        <v>185721794.5975</v>
      </c>
      <c r="AB135" s="26">
        <f t="shared" si="28"/>
        <v>-48928032.607800007</v>
      </c>
      <c r="AC135" s="26">
        <f t="shared" si="28"/>
        <v>-36058200.284400001</v>
      </c>
      <c r="AD135" s="26">
        <f t="shared" si="28"/>
        <v>-36489259.901000001</v>
      </c>
      <c r="AE135" s="26">
        <f t="shared" si="28"/>
        <v>-35423245.806000002</v>
      </c>
      <c r="AF135" s="26">
        <f t="shared" si="28"/>
        <v>0</v>
      </c>
      <c r="AG135" s="26">
        <f t="shared" si="28"/>
        <v>0</v>
      </c>
      <c r="AH135" s="26">
        <f t="shared" si="28"/>
        <v>0</v>
      </c>
      <c r="AI135" s="26">
        <f t="shared" si="28"/>
        <v>0</v>
      </c>
      <c r="AJ135" s="26">
        <f t="shared" si="28"/>
        <v>0</v>
      </c>
      <c r="AK135" s="26">
        <f t="shared" si="28"/>
        <v>0</v>
      </c>
      <c r="AL135" s="26">
        <f t="shared" si="28"/>
        <v>0</v>
      </c>
      <c r="AM135" s="26">
        <f t="shared" si="28"/>
        <v>0</v>
      </c>
      <c r="AS135" s="26">
        <f>AS127+AS132</f>
        <v>-523876895.69989997</v>
      </c>
      <c r="AT135" s="26">
        <f>AT127+AT132</f>
        <v>-457219220.79309899</v>
      </c>
      <c r="AU135" s="26">
        <f>AU127+AU132</f>
        <v>-156898738.59920001</v>
      </c>
    </row>
    <row r="136" spans="2:47" s="31" customFormat="1" x14ac:dyDescent="0.2">
      <c r="B136" s="28"/>
      <c r="C136" s="29" t="s">
        <v>150</v>
      </c>
      <c r="D136" s="30">
        <f t="shared" ref="D136:AM136" si="29">D135/D11</f>
        <v>-4.8440872385516962E-2</v>
      </c>
      <c r="E136" s="30">
        <f t="shared" si="29"/>
        <v>-0.18487465092630609</v>
      </c>
      <c r="F136" s="30">
        <f t="shared" si="29"/>
        <v>-8.8760263728066739</v>
      </c>
      <c r="G136" s="30">
        <f t="shared" si="29"/>
        <v>-0.46618666694195982</v>
      </c>
      <c r="H136" s="30">
        <f t="shared" si="29"/>
        <v>0.23299083795421272</v>
      </c>
      <c r="I136" s="30">
        <f t="shared" si="29"/>
        <v>-1.7433551649314192</v>
      </c>
      <c r="J136" s="30">
        <f t="shared" si="29"/>
        <v>-12.516543565015944</v>
      </c>
      <c r="K136" s="30">
        <f t="shared" si="29"/>
        <v>-0.83074476581664625</v>
      </c>
      <c r="L136" s="30">
        <f t="shared" si="29"/>
        <v>-1.8739992624849406</v>
      </c>
      <c r="M136" s="30">
        <f t="shared" si="29"/>
        <v>-2.2032348435870999</v>
      </c>
      <c r="N136" s="30">
        <f t="shared" si="29"/>
        <v>-1.841103751405051</v>
      </c>
      <c r="O136" s="30">
        <f t="shared" si="29"/>
        <v>11.874793971780603</v>
      </c>
      <c r="P136" s="30">
        <f t="shared" si="29"/>
        <v>-1.8172460004129778</v>
      </c>
      <c r="Q136" s="30">
        <f t="shared" si="29"/>
        <v>-1.5962373527751157</v>
      </c>
      <c r="R136" s="30">
        <f t="shared" si="29"/>
        <v>-5.5714967538402176</v>
      </c>
      <c r="S136" s="30">
        <f t="shared" si="29"/>
        <v>-31.429019690182908</v>
      </c>
      <c r="T136" s="30">
        <f t="shared" si="29"/>
        <v>-31.561284884466684</v>
      </c>
      <c r="U136" s="30">
        <f t="shared" si="29"/>
        <v>-165.58786718348668</v>
      </c>
      <c r="V136" s="30">
        <f t="shared" si="29"/>
        <v>-20.675242412621891</v>
      </c>
      <c r="W136" s="30">
        <f t="shared" si="29"/>
        <v>-4.2400453467266805</v>
      </c>
      <c r="X136" s="30">
        <f>X135/X11</f>
        <v>-9.7667428891045791</v>
      </c>
      <c r="Y136" s="30">
        <f t="shared" si="29"/>
        <v>8.2399453005687082</v>
      </c>
      <c r="Z136" s="30">
        <f t="shared" si="29"/>
        <v>-21.688890326515899</v>
      </c>
      <c r="AA136" s="30">
        <f t="shared" si="29"/>
        <v>170.11864710413644</v>
      </c>
      <c r="AB136" s="30">
        <f t="shared" si="29"/>
        <v>-46.91641076259414</v>
      </c>
      <c r="AC136" s="30">
        <f t="shared" si="29"/>
        <v>-16.121585045750777</v>
      </c>
      <c r="AD136" s="30">
        <f t="shared" si="29"/>
        <v>-19.06109800700937</v>
      </c>
      <c r="AE136" s="30">
        <f t="shared" si="29"/>
        <v>-21.921384044910283</v>
      </c>
      <c r="AF136" s="30" t="e">
        <f t="shared" si="29"/>
        <v>#DIV/0!</v>
      </c>
      <c r="AG136" s="30" t="e">
        <f t="shared" si="29"/>
        <v>#DIV/0!</v>
      </c>
      <c r="AH136" s="30" t="e">
        <f t="shared" si="29"/>
        <v>#DIV/0!</v>
      </c>
      <c r="AI136" s="30" t="e">
        <f t="shared" si="29"/>
        <v>#DIV/0!</v>
      </c>
      <c r="AJ136" s="30" t="e">
        <f t="shared" si="29"/>
        <v>#DIV/0!</v>
      </c>
      <c r="AK136" s="30" t="e">
        <f t="shared" si="29"/>
        <v>#DIV/0!</v>
      </c>
      <c r="AL136" s="30" t="e">
        <f t="shared" si="29"/>
        <v>#DIV/0!</v>
      </c>
      <c r="AM136" s="30" t="e">
        <f t="shared" si="29"/>
        <v>#DIV/0!</v>
      </c>
      <c r="AS136" s="30">
        <f>AS135/AS11</f>
        <v>-1.686769852489878</v>
      </c>
      <c r="AT136" s="30">
        <f>AT135/AT11</f>
        <v>-6.4358668489764712</v>
      </c>
      <c r="AU136" s="30">
        <f>AU135/AU11</f>
        <v>-23.040236141320381</v>
      </c>
    </row>
    <row r="137" spans="2:47" x14ac:dyDescent="0.2">
      <c r="B137" s="21"/>
      <c r="C137" s="16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8"/>
    </row>
    <row r="138" spans="2:47" x14ac:dyDescent="0.2">
      <c r="B138" s="21"/>
      <c r="C138" s="20" t="s">
        <v>151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8"/>
    </row>
    <row r="139" spans="2:47" x14ac:dyDescent="0.2">
      <c r="B139" s="21"/>
      <c r="C139" s="16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</row>
    <row r="140" spans="2:47" x14ac:dyDescent="0.2">
      <c r="B140" s="21"/>
      <c r="C140" s="22" t="s">
        <v>19</v>
      </c>
      <c r="D140" s="23">
        <f>SUM(D139)</f>
        <v>0</v>
      </c>
      <c r="E140" s="23">
        <f t="shared" ref="E140:AM140" si="30">SUM(E139)</f>
        <v>0</v>
      </c>
      <c r="F140" s="23">
        <f t="shared" si="30"/>
        <v>0</v>
      </c>
      <c r="G140" s="23">
        <f t="shared" si="30"/>
        <v>0</v>
      </c>
      <c r="H140" s="23">
        <f t="shared" si="30"/>
        <v>0</v>
      </c>
      <c r="I140" s="23">
        <f t="shared" si="30"/>
        <v>0</v>
      </c>
      <c r="J140" s="23">
        <f t="shared" si="30"/>
        <v>0</v>
      </c>
      <c r="K140" s="23">
        <f t="shared" si="30"/>
        <v>0</v>
      </c>
      <c r="L140" s="23">
        <f t="shared" si="30"/>
        <v>0</v>
      </c>
      <c r="M140" s="23">
        <f t="shared" si="30"/>
        <v>0</v>
      </c>
      <c r="N140" s="23">
        <f t="shared" si="30"/>
        <v>0</v>
      </c>
      <c r="O140" s="23">
        <f t="shared" si="30"/>
        <v>0</v>
      </c>
      <c r="P140" s="23">
        <f t="shared" si="30"/>
        <v>0</v>
      </c>
      <c r="Q140" s="23">
        <f t="shared" si="30"/>
        <v>0</v>
      </c>
      <c r="R140" s="23">
        <f t="shared" si="30"/>
        <v>0</v>
      </c>
      <c r="S140" s="23">
        <f t="shared" si="30"/>
        <v>0</v>
      </c>
      <c r="T140" s="23">
        <f t="shared" si="30"/>
        <v>0</v>
      </c>
      <c r="U140" s="23">
        <f t="shared" si="30"/>
        <v>0</v>
      </c>
      <c r="V140" s="23">
        <f t="shared" si="30"/>
        <v>0</v>
      </c>
      <c r="W140" s="23">
        <f t="shared" si="30"/>
        <v>0</v>
      </c>
      <c r="X140" s="23">
        <f>SUM(X139)</f>
        <v>0</v>
      </c>
      <c r="Y140" s="23">
        <f t="shared" si="30"/>
        <v>0</v>
      </c>
      <c r="Z140" s="23">
        <f t="shared" si="30"/>
        <v>0</v>
      </c>
      <c r="AA140" s="23">
        <f t="shared" si="30"/>
        <v>0</v>
      </c>
      <c r="AB140" s="23">
        <f t="shared" si="30"/>
        <v>0</v>
      </c>
      <c r="AC140" s="23">
        <f t="shared" si="30"/>
        <v>0</v>
      </c>
      <c r="AD140" s="23">
        <f t="shared" si="30"/>
        <v>0</v>
      </c>
      <c r="AE140" s="23">
        <f t="shared" si="30"/>
        <v>0</v>
      </c>
      <c r="AF140" s="23">
        <f t="shared" si="30"/>
        <v>0</v>
      </c>
      <c r="AG140" s="23">
        <f t="shared" si="30"/>
        <v>0</v>
      </c>
      <c r="AH140" s="23">
        <f t="shared" si="30"/>
        <v>0</v>
      </c>
      <c r="AI140" s="23">
        <f t="shared" si="30"/>
        <v>0</v>
      </c>
      <c r="AJ140" s="23">
        <f t="shared" si="30"/>
        <v>0</v>
      </c>
      <c r="AK140" s="23">
        <f t="shared" si="30"/>
        <v>0</v>
      </c>
      <c r="AL140" s="23">
        <f t="shared" si="30"/>
        <v>0</v>
      </c>
      <c r="AM140" s="23">
        <f t="shared" si="30"/>
        <v>0</v>
      </c>
      <c r="AS140" s="23">
        <f>SUM(D140:O140)</f>
        <v>0</v>
      </c>
      <c r="AT140" s="23">
        <f>SUM(P140:AA140)</f>
        <v>0</v>
      </c>
      <c r="AU140" s="23">
        <f>SUM(AB140:AM140)</f>
        <v>0</v>
      </c>
    </row>
    <row r="141" spans="2:47" x14ac:dyDescent="0.2">
      <c r="B141" s="21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8"/>
    </row>
    <row r="142" spans="2:47" s="27" customFormat="1" x14ac:dyDescent="0.2">
      <c r="B142" s="24"/>
      <c r="C142" s="25" t="s">
        <v>152</v>
      </c>
      <c r="D142" s="26">
        <f>D135+D140</f>
        <v>-1128084.7674</v>
      </c>
      <c r="E142" s="26">
        <f t="shared" ref="E142:AM142" si="31">E135+E140</f>
        <v>-7257839.7779999981</v>
      </c>
      <c r="F142" s="26">
        <f t="shared" si="31"/>
        <v>-324368687.64690006</v>
      </c>
      <c r="G142" s="26">
        <f t="shared" si="31"/>
        <v>-12112192.342499996</v>
      </c>
      <c r="H142" s="26">
        <f t="shared" si="31"/>
        <v>5970947.8593999958</v>
      </c>
      <c r="I142" s="26">
        <f t="shared" si="31"/>
        <v>-42490228.587299988</v>
      </c>
      <c r="J142" s="26">
        <f t="shared" si="31"/>
        <v>-88817356.175999984</v>
      </c>
      <c r="K142" s="26">
        <f t="shared" si="31"/>
        <v>-38982319.337599985</v>
      </c>
      <c r="L142" s="26">
        <f t="shared" si="31"/>
        <v>-55200889.765699983</v>
      </c>
      <c r="M142" s="26">
        <f t="shared" si="31"/>
        <v>-48449270.184</v>
      </c>
      <c r="N142" s="26">
        <f t="shared" si="31"/>
        <v>-35943780.631499991</v>
      </c>
      <c r="O142" s="26">
        <f t="shared" si="31"/>
        <v>124902805.6576</v>
      </c>
      <c r="P142" s="26">
        <f t="shared" si="31"/>
        <v>-42265903.224900007</v>
      </c>
      <c r="Q142" s="26">
        <f t="shared" si="31"/>
        <v>-30889687.094998952</v>
      </c>
      <c r="R142" s="26">
        <f t="shared" si="31"/>
        <v>-65389251.555000007</v>
      </c>
      <c r="S142" s="26">
        <f t="shared" si="31"/>
        <v>-57866759.953700006</v>
      </c>
      <c r="T142" s="26">
        <f t="shared" si="31"/>
        <v>-73682292.925999999</v>
      </c>
      <c r="U142" s="26">
        <f t="shared" si="31"/>
        <v>-74974169.711699992</v>
      </c>
      <c r="V142" s="26">
        <f t="shared" si="31"/>
        <v>-61534367.332900003</v>
      </c>
      <c r="W142" s="26">
        <f t="shared" si="31"/>
        <v>-44573862.664799996</v>
      </c>
      <c r="X142" s="26">
        <f>X135+X140</f>
        <v>-59161011.304500006</v>
      </c>
      <c r="Y142" s="26">
        <f t="shared" si="31"/>
        <v>-87684257.439999998</v>
      </c>
      <c r="Z142" s="26">
        <f t="shared" si="31"/>
        <v>-44919452.182099998</v>
      </c>
      <c r="AA142" s="26">
        <f t="shared" si="31"/>
        <v>185721794.5975</v>
      </c>
      <c r="AB142" s="26">
        <f t="shared" si="31"/>
        <v>-48928032.607800007</v>
      </c>
      <c r="AC142" s="26">
        <f t="shared" si="31"/>
        <v>-36058200.284400001</v>
      </c>
      <c r="AD142" s="26">
        <f t="shared" si="31"/>
        <v>-36489259.901000001</v>
      </c>
      <c r="AE142" s="26">
        <f t="shared" si="31"/>
        <v>-35423245.806000002</v>
      </c>
      <c r="AF142" s="26">
        <f t="shared" si="31"/>
        <v>0</v>
      </c>
      <c r="AG142" s="26">
        <f t="shared" si="31"/>
        <v>0</v>
      </c>
      <c r="AH142" s="26">
        <f t="shared" si="31"/>
        <v>0</v>
      </c>
      <c r="AI142" s="26">
        <f t="shared" si="31"/>
        <v>0</v>
      </c>
      <c r="AJ142" s="26">
        <f t="shared" si="31"/>
        <v>0</v>
      </c>
      <c r="AK142" s="26">
        <f t="shared" si="31"/>
        <v>0</v>
      </c>
      <c r="AL142" s="26">
        <f t="shared" si="31"/>
        <v>0</v>
      </c>
      <c r="AM142" s="26">
        <f t="shared" si="31"/>
        <v>0</v>
      </c>
      <c r="AP142" s="380"/>
      <c r="AS142" s="26">
        <f>AS135+AS140</f>
        <v>-523876895.69989997</v>
      </c>
      <c r="AT142" s="26">
        <f>AT135+AT140</f>
        <v>-457219220.79309899</v>
      </c>
      <c r="AU142" s="26">
        <f>AU135+AU140</f>
        <v>-156898738.59920001</v>
      </c>
    </row>
    <row r="143" spans="2:47" s="31" customFormat="1" x14ac:dyDescent="0.2">
      <c r="B143" s="28"/>
      <c r="C143" s="29" t="s">
        <v>153</v>
      </c>
      <c r="D143" s="30">
        <f t="shared" ref="D143:AM143" si="32">D142/D11</f>
        <v>-4.8440872385516962E-2</v>
      </c>
      <c r="E143" s="30">
        <f t="shared" si="32"/>
        <v>-0.18487465092630609</v>
      </c>
      <c r="F143" s="30">
        <f t="shared" si="32"/>
        <v>-8.8760263728066739</v>
      </c>
      <c r="G143" s="30">
        <f t="shared" si="32"/>
        <v>-0.46618666694195982</v>
      </c>
      <c r="H143" s="30">
        <f t="shared" si="32"/>
        <v>0.23299083795421272</v>
      </c>
      <c r="I143" s="30">
        <f t="shared" si="32"/>
        <v>-1.7433551649314192</v>
      </c>
      <c r="J143" s="30">
        <f t="shared" si="32"/>
        <v>-12.516543565015944</v>
      </c>
      <c r="K143" s="30">
        <f t="shared" si="32"/>
        <v>-0.83074476581664625</v>
      </c>
      <c r="L143" s="30">
        <f t="shared" si="32"/>
        <v>-1.8739992624849406</v>
      </c>
      <c r="M143" s="30">
        <f t="shared" si="32"/>
        <v>-2.2032348435870999</v>
      </c>
      <c r="N143" s="30">
        <f t="shared" si="32"/>
        <v>-1.841103751405051</v>
      </c>
      <c r="O143" s="30">
        <f t="shared" si="32"/>
        <v>11.874793971780603</v>
      </c>
      <c r="P143" s="30">
        <f t="shared" si="32"/>
        <v>-1.8172460004129778</v>
      </c>
      <c r="Q143" s="30">
        <f t="shared" si="32"/>
        <v>-1.5962373527751157</v>
      </c>
      <c r="R143" s="30">
        <f t="shared" si="32"/>
        <v>-5.5714967538402176</v>
      </c>
      <c r="S143" s="30">
        <f t="shared" si="32"/>
        <v>-31.429019690182908</v>
      </c>
      <c r="T143" s="30">
        <f t="shared" si="32"/>
        <v>-31.561284884466684</v>
      </c>
      <c r="U143" s="30">
        <f t="shared" si="32"/>
        <v>-165.58786718348668</v>
      </c>
      <c r="V143" s="30">
        <f t="shared" si="32"/>
        <v>-20.675242412621891</v>
      </c>
      <c r="W143" s="30">
        <f t="shared" si="32"/>
        <v>-4.2400453467266805</v>
      </c>
      <c r="X143" s="30">
        <f>X142/X11</f>
        <v>-9.7667428891045791</v>
      </c>
      <c r="Y143" s="30">
        <f t="shared" si="32"/>
        <v>8.2399453005687082</v>
      </c>
      <c r="Z143" s="30">
        <f t="shared" si="32"/>
        <v>-21.688890326515899</v>
      </c>
      <c r="AA143" s="30">
        <f t="shared" si="32"/>
        <v>170.11864710413644</v>
      </c>
      <c r="AB143" s="30">
        <f t="shared" si="32"/>
        <v>-46.91641076259414</v>
      </c>
      <c r="AC143" s="30">
        <f t="shared" si="32"/>
        <v>-16.121585045750777</v>
      </c>
      <c r="AD143" s="30">
        <f t="shared" si="32"/>
        <v>-19.06109800700937</v>
      </c>
      <c r="AE143" s="30">
        <f t="shared" si="32"/>
        <v>-21.921384044910283</v>
      </c>
      <c r="AF143" s="30" t="e">
        <f t="shared" si="32"/>
        <v>#DIV/0!</v>
      </c>
      <c r="AG143" s="30" t="e">
        <f t="shared" si="32"/>
        <v>#DIV/0!</v>
      </c>
      <c r="AH143" s="30" t="e">
        <f t="shared" si="32"/>
        <v>#DIV/0!</v>
      </c>
      <c r="AI143" s="30" t="e">
        <f t="shared" si="32"/>
        <v>#DIV/0!</v>
      </c>
      <c r="AJ143" s="30" t="e">
        <f t="shared" si="32"/>
        <v>#DIV/0!</v>
      </c>
      <c r="AK143" s="30" t="e">
        <f t="shared" si="32"/>
        <v>#DIV/0!</v>
      </c>
      <c r="AL143" s="30" t="e">
        <f t="shared" si="32"/>
        <v>#DIV/0!</v>
      </c>
      <c r="AM143" s="30" t="e">
        <f t="shared" si="32"/>
        <v>#DIV/0!</v>
      </c>
      <c r="AS143" s="30">
        <f>AS142/AS11</f>
        <v>-1.686769852489878</v>
      </c>
      <c r="AT143" s="30">
        <f>AT142/AT11</f>
        <v>-6.4358668489764712</v>
      </c>
      <c r="AU143" s="30">
        <f>AU142/AU11</f>
        <v>-23.040236141320381</v>
      </c>
    </row>
    <row r="144" spans="2:47" x14ac:dyDescent="0.2">
      <c r="B144" s="21"/>
      <c r="C144" s="16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8"/>
    </row>
    <row r="145" spans="2:39" x14ac:dyDescent="0.2">
      <c r="B145" s="33"/>
      <c r="AM145" s="34"/>
    </row>
    <row r="146" spans="2:39" x14ac:dyDescent="0.2">
      <c r="B146" s="35"/>
      <c r="C146" s="36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8"/>
    </row>
    <row r="148" spans="2:39" x14ac:dyDescent="0.2">
      <c r="P148" s="45">
        <f>P115+P124+P132+P140</f>
        <v>-58784026.434900008</v>
      </c>
      <c r="Q148" s="45">
        <f t="shared" ref="Q148:AA148" si="33">Q115+Q124+Q132+Q140</f>
        <v>-43103470.490001716</v>
      </c>
      <c r="R148" s="45">
        <f t="shared" si="33"/>
        <v>-72810155.837500006</v>
      </c>
      <c r="S148" s="45">
        <f t="shared" si="33"/>
        <v>-58101332.839900009</v>
      </c>
      <c r="T148" s="45">
        <f t="shared" si="33"/>
        <v>-73519326.325499997</v>
      </c>
      <c r="U148" s="45">
        <f t="shared" si="33"/>
        <v>-73783373.523299992</v>
      </c>
      <c r="V148" s="45">
        <f t="shared" si="33"/>
        <v>-61921457.968000002</v>
      </c>
      <c r="W148" s="45">
        <f t="shared" si="33"/>
        <v>-53547833.807999998</v>
      </c>
      <c r="X148" s="45">
        <f t="shared" si="33"/>
        <v>-61828568.629800007</v>
      </c>
      <c r="Y148" s="45">
        <f t="shared" si="33"/>
        <v>-72427683.237000003</v>
      </c>
      <c r="Z148" s="45">
        <f t="shared" si="33"/>
        <v>-45411176.765099995</v>
      </c>
      <c r="AA148" s="45">
        <f t="shared" si="33"/>
        <v>165729707.38999999</v>
      </c>
    </row>
  </sheetData>
  <conditionalFormatting sqref="B1 B3:B1048576">
    <cfRule type="duplicateValues" dxfId="6" priority="2"/>
  </conditionalFormatting>
  <conditionalFormatting sqref="B2">
    <cfRule type="duplicateValues" dxfId="5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Title="Select FX" xr:uid="{D480A45D-5E55-4647-8F6A-86209F197202}">
          <x14:formula1>
            <xm:f>'FX Rate'!$B$4:$B$8</xm:f>
          </x14:formula1>
          <xm:sqref>C2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7EEE-B29E-47A0-926C-88CA0585A622}">
  <sheetPr codeName="Sheet14">
    <tabColor theme="4"/>
  </sheetPr>
  <dimension ref="B1:AM141"/>
  <sheetViews>
    <sheetView showGridLines="0" zoomScale="140" zoomScaleNormal="140" workbookViewId="0">
      <pane xSplit="3" ySplit="3" topLeftCell="AD4" activePane="bottomRight" state="frozen"/>
      <selection activeCell="C2" sqref="C2"/>
      <selection pane="topRight" activeCell="C2" sqref="C2"/>
      <selection pane="bottomLeft" activeCell="C2" sqref="C2"/>
      <selection pane="bottomRight" activeCell="C2" sqref="C2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2.6640625" style="10" customWidth="1"/>
    <col min="4" max="6" width="11.6640625" customWidth="1"/>
    <col min="7" max="7" width="15.5" bestFit="1" customWidth="1"/>
    <col min="8" max="8" width="14.83203125" bestFit="1" customWidth="1"/>
    <col min="9" max="9" width="15.6640625" bestFit="1" customWidth="1"/>
    <col min="10" max="10" width="15.5" bestFit="1" customWidth="1"/>
    <col min="11" max="15" width="11.6640625" customWidth="1"/>
    <col min="16" max="16" width="15.6640625" bestFit="1" customWidth="1"/>
    <col min="17" max="17" width="15.1640625" bestFit="1" customWidth="1"/>
    <col min="18" max="18" width="14.83203125" bestFit="1" customWidth="1"/>
    <col min="19" max="19" width="15.5" bestFit="1" customWidth="1"/>
    <col min="20" max="21" width="15.6640625" bestFit="1" customWidth="1"/>
    <col min="22" max="22" width="15.1640625" bestFit="1" customWidth="1"/>
    <col min="23" max="23" width="11.33203125" bestFit="1" customWidth="1"/>
    <col min="24" max="25" width="10.6640625" customWidth="1"/>
    <col min="26" max="26" width="12.6640625" bestFit="1" customWidth="1"/>
    <col min="27" max="39" width="10.6640625" customWidth="1"/>
  </cols>
  <sheetData>
    <row r="1" spans="2:39" x14ac:dyDescent="0.2">
      <c r="U1" s="39"/>
      <c r="V1" s="40"/>
    </row>
    <row r="2" spans="2:39" x14ac:dyDescent="0.2">
      <c r="C2" s="63" t="s">
        <v>750</v>
      </c>
      <c r="D2" s="31">
        <f>_xlfn.IFNA(INDEX('FX Rate'!$B$3:$ZZ$10,MATCH(BS_UK!$C$2,'FX Rate'!$B$3:$B$10,0),MATCH(BS_UK!D$3,'FX Rate'!$B$3:$ZZ$3,0)),0)</f>
        <v>1136.1400000000001</v>
      </c>
      <c r="E2" s="31">
        <f>_xlfn.IFNA(INDEX('FX Rate'!$B$3:$ZZ$10,MATCH(BS_UK!$C$2,'FX Rate'!$B$3:$B$10,0),MATCH(BS_UK!E$3,'FX Rate'!$B$3:$ZZ$3,0)),0)</f>
        <v>2010.12</v>
      </c>
      <c r="F2" s="31">
        <f>_xlfn.IFNA(INDEX('FX Rate'!$B$3:$ZZ$10,MATCH(BS_UK!$C$2,'FX Rate'!$B$3:$B$10,0),MATCH(BS_UK!F$3,'FX Rate'!$B$3:$ZZ$3,0)),0)</f>
        <v>1756.41</v>
      </c>
      <c r="G2" s="31">
        <f>_xlfn.IFNA(INDEX('FX Rate'!$B$3:$ZZ$10,MATCH(BS_UK!$C$2,'FX Rate'!$B$3:$B$10,0),MATCH(BS_UK!G$3,'FX Rate'!$B$3:$ZZ$3,0)),0)</f>
        <v>1676.37</v>
      </c>
      <c r="H2" s="31">
        <f>_xlfn.IFNA(INDEX('FX Rate'!$B$3:$ZZ$10,MATCH(BS_UK!$C$2,'FX Rate'!$B$3:$B$10,0),MATCH(BS_UK!H$3,'FX Rate'!$B$3:$ZZ$3,0)),0)</f>
        <v>1741.06</v>
      </c>
      <c r="I2" s="31">
        <f>_xlfn.IFNA(INDEX('FX Rate'!$B$3:$ZZ$10,MATCH(BS_UK!$C$2,'FX Rate'!$B$3:$B$10,0),MATCH(BS_UK!I$3,'FX Rate'!$B$3:$ZZ$3,0)),0)</f>
        <v>1940.77</v>
      </c>
      <c r="J2" s="31">
        <f>_xlfn.IFNA(INDEX('FX Rate'!$B$3:$ZZ$10,MATCH(BS_UK!$C$2,'FX Rate'!$B$3:$B$10,0),MATCH(BS_UK!J$3,'FX Rate'!$B$3:$ZZ$3,0)),0)</f>
        <v>2091.4499999999998</v>
      </c>
      <c r="K2" s="31">
        <f>_xlfn.IFNA(INDEX('FX Rate'!$B$3:$ZZ$10,MATCH(BS_UK!$C$2,'FX Rate'!$B$3:$B$10,0),MATCH(BS_UK!K$3,'FX Rate'!$B$3:$ZZ$3,0)),0)</f>
        <v>2091.38</v>
      </c>
      <c r="L2" s="31">
        <f>_xlfn.IFNA(INDEX('FX Rate'!$B$3:$ZZ$10,MATCH(BS_UK!$C$2,'FX Rate'!$B$3:$B$10,0),MATCH(BS_UK!L$3,'FX Rate'!$B$3:$ZZ$3,0)),0)</f>
        <v>2230.4299999999998</v>
      </c>
      <c r="M2" s="31">
        <f>_xlfn.IFNA(INDEX('FX Rate'!$B$3:$ZZ$10,MATCH(BS_UK!$C$2,'FX Rate'!$B$3:$B$10,0),MATCH(BS_UK!M$3,'FX Rate'!$B$3:$ZZ$3,0)),0)</f>
        <v>2134.63</v>
      </c>
      <c r="N2" s="31">
        <f>_xlfn.IFNA(INDEX('FX Rate'!$B$3:$ZZ$10,MATCH(BS_UK!$C$2,'FX Rate'!$B$3:$B$10,0),MATCH(BS_UK!N$3,'FX Rate'!$B$3:$ZZ$3,0)),0)</f>
        <v>2138.85</v>
      </c>
      <c r="O2" s="31">
        <f>_xlfn.IFNA(INDEX('FX Rate'!$B$3:$ZZ$10,MATCH(BS_UK!$C$2,'FX Rate'!$B$3:$B$10,0),MATCH(BS_UK!O$3,'FX Rate'!$B$3:$ZZ$3,0)),0)</f>
        <v>1943.56</v>
      </c>
      <c r="P2" s="31">
        <f>_xlfn.IFNA(INDEX('FX Rate'!$B$3:$ZZ$10,MATCH(BS_UK!$C$2,'FX Rate'!$B$3:$B$10,0),MATCH(BS_UK!P$3,'FX Rate'!$B$3:$ZZ$3,0)),0)</f>
        <v>1913.37</v>
      </c>
      <c r="Q2" s="31">
        <f>_xlfn.IFNA(INDEX('FX Rate'!$B$3:$ZZ$10,MATCH(BS_UK!$C$2,'FX Rate'!$B$3:$B$10,0),MATCH(BS_UK!Q$3,'FX Rate'!$B$3:$ZZ$3,0)),0)</f>
        <v>1894.3</v>
      </c>
      <c r="R2" s="31">
        <f>_xlfn.IFNA(INDEX('FX Rate'!$B$3:$ZZ$10,MATCH(BS_UK!$C$2,'FX Rate'!$B$3:$B$10,0),MATCH(BS_UK!R$3,'FX Rate'!$B$3:$ZZ$3,0)),0)</f>
        <v>1986.35</v>
      </c>
      <c r="S2" s="31">
        <f>_xlfn.IFNA(INDEX('FX Rate'!$B$3:$ZZ$10,MATCH(BS_UK!$C$2,'FX Rate'!$B$3:$B$10,0),MATCH(BS_UK!S$3,'FX Rate'!$B$3:$ZZ$3,0)),0)</f>
        <v>2147.71</v>
      </c>
      <c r="T2" s="31">
        <f>_xlfn.IFNA(INDEX('FX Rate'!$B$3:$ZZ$10,MATCH(BS_UK!$C$2,'FX Rate'!$B$3:$B$10,0),MATCH(BS_UK!T$3,'FX Rate'!$B$3:$ZZ$3,0)),0)</f>
        <v>2138.9499999999998</v>
      </c>
      <c r="U2" s="31">
        <f>_xlfn.IFNA(INDEX('FX Rate'!$B$3:$ZZ$10,MATCH(BS_UK!$C$2,'FX Rate'!$B$3:$B$10,0),MATCH(BS_UK!U$3,'FX Rate'!$B$3:$ZZ$3,0)),0)</f>
        <v>2114.4899999999998</v>
      </c>
      <c r="V2" s="31">
        <f>_xlfn.IFNA(INDEX('FX Rate'!$B$3:$ZZ$10,MATCH(BS_UK!$C$2,'FX Rate'!$B$3:$B$10,0),MATCH(BS_UK!V$3,'FX Rate'!$B$3:$ZZ$3,0)),0)</f>
        <v>2038.07</v>
      </c>
      <c r="W2" s="31">
        <f>_xlfn.IFNA(INDEX('FX Rate'!$B$3:$ZZ$10,MATCH(BS_UK!$C$2,'FX Rate'!$B$3:$B$10,0),MATCH(BS_UK!W$3,'FX Rate'!$B$3:$ZZ$3,0)),0)</f>
        <v>2076.27</v>
      </c>
      <c r="X2" s="31">
        <f>_xlfn.IFNA(INDEX('FX Rate'!$B$3:$ZZ$10,MATCH(BS_UK!$C$2,'FX Rate'!$B$3:$B$10,0),MATCH(BS_UK!X$3,'FX Rate'!$B$3:$ZZ$3,0)),0)</f>
        <v>1992.99</v>
      </c>
      <c r="Y2" s="31">
        <f>_xlfn.IFNA(INDEX('FX Rate'!$B$3:$ZZ$10,MATCH(BS_UK!$C$2,'FX Rate'!$B$3:$B$10,0),MATCH(BS_UK!Y$3,'FX Rate'!$B$3:$ZZ$3,0)),0)</f>
        <v>1909.7</v>
      </c>
      <c r="Z2" s="31">
        <f>_xlfn.IFNA(INDEX('FX Rate'!$B$3:$ZZ$10,MATCH(BS_UK!$C$2,'FX Rate'!$B$3:$B$10,0),MATCH(BS_UK!Z$3,'FX Rate'!$B$3:$ZZ$3,0)),0)</f>
        <v>1914.07</v>
      </c>
      <c r="AA2" s="31">
        <f>_xlfn.IFNA(INDEX('FX Rate'!$B$3:$ZZ$10,MATCH(BS_UK!$C$2,'FX Rate'!$B$3:$B$10,0),MATCH(BS_UK!AA$3,'FX Rate'!$B$3:$ZZ$3,0)),0)</f>
        <v>1955.75</v>
      </c>
      <c r="AB2" s="31">
        <f>_xlfn.IFNA(INDEX('FX Rate'!$B$3:$ZZ$10,MATCH(BS_UK!$C$2,'FX Rate'!$B$3:$B$10,0),MATCH(BS_UK!AB$3,'FX Rate'!$B$3:$ZZ$3,0)),0)</f>
        <v>1906.26</v>
      </c>
      <c r="AC2" s="31">
        <f>_xlfn.IFNA(INDEX('FX Rate'!$B$3:$ZZ$10,MATCH(BS_UK!$C$2,'FX Rate'!$B$3:$B$10,0),MATCH(BS_UK!AC$3,'FX Rate'!$B$3:$ZZ$3,0)),0)</f>
        <v>1828.92</v>
      </c>
      <c r="AD2" s="31">
        <f>_xlfn.IFNA(INDEX('FX Rate'!$B$3:$ZZ$10,MATCH(BS_UK!$C$2,'FX Rate'!$B$3:$B$10,0),MATCH(BS_UK!AD$3,'FX Rate'!$B$3:$ZZ$3,0)),0)</f>
        <v>1828.1</v>
      </c>
      <c r="AE2" s="31">
        <f>_xlfn.IFNA(INDEX('FX Rate'!$B$3:$ZZ$10,MATCH(BS_UK!$C$2,'FX Rate'!$B$3:$B$10,0),MATCH(BS_UK!AE$3,'FX Rate'!$B$3:$ZZ$3,0)),0)</f>
        <v>1855.1</v>
      </c>
      <c r="AF2" s="31">
        <f>_xlfn.IFNA(INDEX('FX Rate'!$B$3:$ZZ$10,MATCH(BS_UK!$C$2,'FX Rate'!$B$3:$B$10,0),MATCH(BS_UK!AF$3,'FX Rate'!$B$3:$ZZ$3,0)),0)</f>
        <v>0</v>
      </c>
      <c r="AG2" s="31">
        <f>_xlfn.IFNA(INDEX('FX Rate'!$B$3:$ZZ$10,MATCH(BS_UK!$C$2,'FX Rate'!$B$3:$B$10,0),MATCH(BS_UK!AG$3,'FX Rate'!$B$3:$ZZ$3,0)),0)</f>
        <v>0</v>
      </c>
      <c r="AH2" s="31">
        <f>_xlfn.IFNA(INDEX('FX Rate'!$B$3:$ZZ$10,MATCH(BS_UK!$C$2,'FX Rate'!$B$3:$B$10,0),MATCH(BS_UK!AH$3,'FX Rate'!$B$3:$ZZ$3,0)),0)</f>
        <v>0</v>
      </c>
      <c r="AI2" s="31">
        <f>_xlfn.IFNA(INDEX('FX Rate'!$B$3:$ZZ$10,MATCH(BS_UK!$C$2,'FX Rate'!$B$3:$B$10,0),MATCH(BS_UK!AI$3,'FX Rate'!$B$3:$ZZ$3,0)),0)</f>
        <v>0</v>
      </c>
      <c r="AJ2" s="31">
        <f>_xlfn.IFNA(INDEX('FX Rate'!$B$3:$ZZ$10,MATCH(BS_UK!$C$2,'FX Rate'!$B$3:$B$10,0),MATCH(BS_UK!AJ$3,'FX Rate'!$B$3:$ZZ$3,0)),0)</f>
        <v>0</v>
      </c>
      <c r="AK2" s="31">
        <f>_xlfn.IFNA(INDEX('FX Rate'!$B$3:$ZZ$10,MATCH(BS_UK!$C$2,'FX Rate'!$B$3:$B$10,0),MATCH(BS_UK!AK$3,'FX Rate'!$B$3:$ZZ$3,0)),0)</f>
        <v>0</v>
      </c>
      <c r="AL2" s="31">
        <f>_xlfn.IFNA(INDEX('FX Rate'!$B$3:$ZZ$10,MATCH(BS_UK!$C$2,'FX Rate'!$B$3:$B$10,0),MATCH(BS_UK!AL$3,'FX Rate'!$B$3:$ZZ$3,0)),0)</f>
        <v>0</v>
      </c>
      <c r="AM2" s="31">
        <f>_xlfn.IFNA(INDEX('FX Rate'!$B$3:$ZZ$10,MATCH(BS_UK!$C$2,'FX Rate'!$B$3:$B$10,0),MATCH(BS_UK!AM$3,'FX Rate'!$B$3:$ZZ$3,0)),0)</f>
        <v>0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hidden="1" outlineLevel="1" x14ac:dyDescent="0.2">
      <c r="B5" s="19"/>
      <c r="C5" s="20" t="s">
        <v>154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hidden="1" outlineLevel="1" x14ac:dyDescent="0.2">
      <c r="B6" s="21">
        <v>10120</v>
      </c>
      <c r="C6" s="16" t="str">
        <f>_xlfn.XLOOKUP(B6,TB_UK!A:A,TB_UK!E:E)</f>
        <v>Anna Bank Account</v>
      </c>
      <c r="D6" s="17">
        <f>_xlfn.XLOOKUP($C6,TB_UK!$E:$E,TB_UK!F:F)*D$2</f>
        <v>0</v>
      </c>
      <c r="E6" s="17">
        <f>_xlfn.XLOOKUP($C6,TB_UK!$E:$E,TB_UK!G:G)*E$2</f>
        <v>0</v>
      </c>
      <c r="F6" s="17">
        <f>_xlfn.XLOOKUP($C6,TB_UK!$E:$E,TB_UK!H:H)*F$2</f>
        <v>0</v>
      </c>
      <c r="G6" s="17">
        <f>_xlfn.XLOOKUP($C6,TB_UK!$E:$E,TB_UK!I:I)*G$2</f>
        <v>222856745.14590001</v>
      </c>
      <c r="H6" s="17">
        <f>_xlfn.XLOOKUP($C6,TB_UK!$E:$E,TB_UK!J:J)*H$2</f>
        <v>175416931.127</v>
      </c>
      <c r="I6" s="17">
        <f>_xlfn.XLOOKUP($C6,TB_UK!$E:$E,TB_UK!K:K)*I$2</f>
        <v>108309114.2133</v>
      </c>
      <c r="J6" s="17">
        <f>_xlfn.XLOOKUP($C6,TB_UK!$E:$E,TB_UK!L:L)*J$2</f>
        <v>32713247.858999997</v>
      </c>
      <c r="K6" s="17">
        <f>_xlfn.XLOOKUP($C6,TB_UK!$E:$E,TB_UK!M:M)*K$2</f>
        <v>10292956.721799999</v>
      </c>
      <c r="L6" s="17">
        <f>_xlfn.XLOOKUP($C6,TB_UK!$E:$E,TB_UK!N:N)*L$2</f>
        <v>57032295.838699996</v>
      </c>
      <c r="M6" s="17">
        <f>_xlfn.XLOOKUP($C6,TB_UK!$E:$E,TB_UK!O:O)*M$2</f>
        <v>43320458.721900001</v>
      </c>
      <c r="N6" s="17">
        <f>_xlfn.XLOOKUP($C6,TB_UK!$E:$E,TB_UK!P:P)*N$2</f>
        <v>28257566.4945</v>
      </c>
      <c r="O6" s="17">
        <f>_xlfn.XLOOKUP($C6,TB_UK!$E:$E,TB_UK!Q:Q)*O$2</f>
        <v>8732745.4851999991</v>
      </c>
      <c r="P6" s="17">
        <f>_xlfn.XLOOKUP($C6,TB_UK!$E:$E,TB_UK!R:R)*P$2</f>
        <v>72581471.440799996</v>
      </c>
      <c r="Q6" s="17">
        <f>_xlfn.XLOOKUP($C6,TB_UK!$E:$E,TB_UK!S:S)*Q$2</f>
        <v>35665046.908</v>
      </c>
      <c r="R6" s="17">
        <f>_xlfn.XLOOKUP($C6,TB_UK!$E:$E,TB_UK!T:T)*R$2</f>
        <v>36226892.391999997</v>
      </c>
      <c r="S6" s="17">
        <f>_xlfn.XLOOKUP($C6,TB_UK!$E:$E,TB_UK!U:U)*S$2</f>
        <v>71596447.147799999</v>
      </c>
      <c r="T6" s="17">
        <f>_xlfn.XLOOKUP($C6,TB_UK!$E:$E,TB_UK!V:V)*T$2</f>
        <v>9803406.7559999991</v>
      </c>
      <c r="U6" s="17">
        <f>_xlfn.XLOOKUP($C6,TB_UK!$E:$E,TB_UK!W:W)*U$2</f>
        <v>81235195.746599987</v>
      </c>
      <c r="V6" s="17">
        <f>_xlfn.XLOOKUP($C6,TB_UK!$E:$E,TB_UK!X:X)*V$2</f>
        <v>230854654.96470001</v>
      </c>
      <c r="W6" s="17">
        <f>_xlfn.XLOOKUP($C6,TB_UK!$E:$E,TB_UK!Y:Y)*W$2</f>
        <v>183005489.91690001</v>
      </c>
      <c r="X6" s="17">
        <f>_xlfn.XLOOKUP($C6,TB_UK!$E:$E,TB_UK!Z:Z)*X$2</f>
        <v>107618171.56649999</v>
      </c>
      <c r="Y6" s="17">
        <f>_xlfn.XLOOKUP($C6,TB_UK!$E:$E,TB_UK!AA:AA)*Y$2</f>
        <v>27177952.841000002</v>
      </c>
      <c r="Z6" s="17">
        <f>_xlfn.XLOOKUP($C6,TB_UK!$E:$E,TB_UK!AB:AB)*Z$2</f>
        <v>94244576.705300003</v>
      </c>
      <c r="AA6" s="17">
        <f>_xlfn.XLOOKUP($C6,TB_UK!$E:$E,TB_UK!AC:AC)*AA$2</f>
        <v>31306609.452499997</v>
      </c>
      <c r="AB6" s="17">
        <f>_xlfn.XLOOKUP($C6,TB_UK!$E:$E,TB_UK!AD:AD)*AB$2</f>
        <v>12644851.6458</v>
      </c>
      <c r="AC6" s="17">
        <f>_xlfn.XLOOKUP($C6,TB_UK!$E:$E,TB_UK!AE:AE)*AC$2</f>
        <v>48587875.155600004</v>
      </c>
      <c r="AD6" s="17">
        <f>_xlfn.XLOOKUP($C6,TB_UK!$E:$E,TB_UK!AF:AF)*AD$2</f>
        <v>17282473.499000002</v>
      </c>
      <c r="AE6" s="17">
        <f>_xlfn.XLOOKUP($C6,TB_UK!$E:$E,TB_UK!AG:AG)*AE$2</f>
        <v>30791784.594999999</v>
      </c>
      <c r="AF6" s="17">
        <f>_xlfn.XLOOKUP($C6,TB_UK!$E:$E,TB_UK!AH:AH)*AF$2</f>
        <v>0</v>
      </c>
      <c r="AG6" s="17">
        <f>_xlfn.XLOOKUP($C6,TB_UK!$E:$E,TB_UK!AI:AI)*AG$2</f>
        <v>0</v>
      </c>
      <c r="AH6" s="17">
        <f>_xlfn.XLOOKUP($C6,TB_UK!$E:$E,TB_UK!AJ:AJ)*AH$2</f>
        <v>0</v>
      </c>
      <c r="AI6" s="17">
        <f>_xlfn.XLOOKUP($C6,TB_UK!$E:$E,TB_UK!AK:AK)*AI$2</f>
        <v>0</v>
      </c>
      <c r="AJ6" s="17">
        <f>_xlfn.XLOOKUP($C6,TB_UK!$E:$E,TB_UK!AL:AL)*AJ$2</f>
        <v>0</v>
      </c>
      <c r="AK6" s="17">
        <f>_xlfn.XLOOKUP($C6,TB_UK!$E:$E,TB_UK!AM:AM)*AK$2</f>
        <v>0</v>
      </c>
      <c r="AL6" s="17">
        <f>_xlfn.XLOOKUP($C6,TB_UK!$E:$E,TB_UK!AN:AN)*AL$2</f>
        <v>0</v>
      </c>
      <c r="AM6" s="17">
        <f>_xlfn.XLOOKUP($C6,TB_UK!$E:$E,TB_UK!AO:AO)*AM$2</f>
        <v>0</v>
      </c>
    </row>
    <row r="7" spans="2:39" hidden="1" outlineLevel="1" x14ac:dyDescent="0.2">
      <c r="B7" s="21">
        <v>10400</v>
      </c>
      <c r="C7" s="16" t="s">
        <v>1718</v>
      </c>
      <c r="D7" s="17">
        <f>_xlfn.XLOOKUP($C7,TB_UK!$E:$E,TB_UK!F:F)*D$2</f>
        <v>0</v>
      </c>
      <c r="E7" s="17">
        <f>_xlfn.XLOOKUP($C7,TB_UK!$E:$E,TB_UK!G:G)*E$2</f>
        <v>0</v>
      </c>
      <c r="F7" s="17">
        <f>_xlfn.XLOOKUP($C7,TB_UK!$E:$E,TB_UK!H:H)*F$2</f>
        <v>0</v>
      </c>
      <c r="G7" s="17">
        <f>_xlfn.XLOOKUP($C7,TB_UK!$E:$E,TB_UK!I:I)*G$2</f>
        <v>0</v>
      </c>
      <c r="H7" s="17">
        <f>_xlfn.XLOOKUP($C7,TB_UK!$E:$E,TB_UK!J:J)*H$2</f>
        <v>0</v>
      </c>
      <c r="I7" s="17">
        <f>_xlfn.XLOOKUP($C7,TB_UK!$E:$E,TB_UK!K:K)*I$2</f>
        <v>0</v>
      </c>
      <c r="J7" s="17">
        <f>_xlfn.XLOOKUP($C7,TB_UK!$E:$E,TB_UK!L:L)*J$2</f>
        <v>0</v>
      </c>
      <c r="K7" s="17">
        <f>_xlfn.XLOOKUP($C7,TB_UK!$E:$E,TB_UK!M:M)*K$2</f>
        <v>0</v>
      </c>
      <c r="L7" s="17">
        <f>_xlfn.XLOOKUP($C7,TB_UK!$E:$E,TB_UK!N:N)*L$2</f>
        <v>0</v>
      </c>
      <c r="M7" s="17">
        <f>_xlfn.XLOOKUP($C7,TB_UK!$E:$E,TB_UK!O:O)*M$2</f>
        <v>0</v>
      </c>
      <c r="N7" s="17">
        <f>_xlfn.XLOOKUP($C7,TB_UK!$E:$E,TB_UK!P:P)*N$2</f>
        <v>0</v>
      </c>
      <c r="O7" s="17">
        <f>_xlfn.XLOOKUP($C7,TB_UK!$E:$E,TB_UK!Q:Q)*O$2</f>
        <v>0</v>
      </c>
      <c r="P7" s="17">
        <f>_xlfn.XLOOKUP($C7,TB_UK!$E:$E,TB_UK!R:R)*P$2</f>
        <v>0</v>
      </c>
      <c r="Q7" s="17">
        <f>_xlfn.XLOOKUP($C7,TB_UK!$E:$E,TB_UK!S:S)*Q$2</f>
        <v>0</v>
      </c>
      <c r="R7" s="17">
        <f>_xlfn.XLOOKUP($C7,TB_UK!$E:$E,TB_UK!T:T)*R$2</f>
        <v>0</v>
      </c>
      <c r="S7" s="17">
        <f>_xlfn.XLOOKUP($C7,TB_UK!$E:$E,TB_UK!U:U)*S$2</f>
        <v>0</v>
      </c>
      <c r="T7" s="17">
        <f>_xlfn.XLOOKUP($C7,TB_UK!$E:$E,TB_UK!V:V)*T$2</f>
        <v>0</v>
      </c>
      <c r="U7" s="17">
        <f>_xlfn.XLOOKUP($C7,TB_UK!$E:$E,TB_UK!W:W)*U$2</f>
        <v>0</v>
      </c>
      <c r="V7" s="17">
        <f>_xlfn.XLOOKUP($C7,TB_UK!$E:$E,TB_UK!X:X)*V$2</f>
        <v>0</v>
      </c>
      <c r="W7" s="17">
        <f>_xlfn.XLOOKUP($C7,TB_UK!$E:$E,TB_UK!Y:Y)*W$2</f>
        <v>1702790.5523999999</v>
      </c>
      <c r="X7" s="17">
        <f>_xlfn.XLOOKUP($C7,TB_UK!$E:$E,TB_UK!Z:Z)*X$2</f>
        <v>1634490.9587999999</v>
      </c>
      <c r="Y7" s="17">
        <f>_xlfn.XLOOKUP($C7,TB_UK!$E:$E,TB_UK!AA:AA)*Y$2</f>
        <v>1566183.1640000001</v>
      </c>
      <c r="Z7" s="17">
        <f>_xlfn.XLOOKUP($C7,TB_UK!$E:$E,TB_UK!AB:AB)*Z$2</f>
        <v>1569767.0884</v>
      </c>
      <c r="AA7" s="17">
        <f>_xlfn.XLOOKUP($C7,TB_UK!$E:$E,TB_UK!AC:AC)*AA$2</f>
        <v>1603949.69</v>
      </c>
      <c r="AB7" s="17">
        <f>_xlfn.XLOOKUP($C7,TB_UK!$E:$E,TB_UK!AD:AD)*AB$2</f>
        <v>1563361.9512</v>
      </c>
      <c r="AC7" s="17">
        <f>_xlfn.XLOOKUP($C7,TB_UK!$E:$E,TB_UK!AE:AE)*AC$2</f>
        <v>237320.65919999999</v>
      </c>
      <c r="AD7" s="17">
        <f>_xlfn.XLOOKUP($C7,TB_UK!$E:$E,TB_UK!AF:AF)*AD$2</f>
        <v>237214.25599999996</v>
      </c>
      <c r="AE7" s="17">
        <f>_xlfn.XLOOKUP($C7,TB_UK!$E:$E,TB_UK!AG:AG)*AE$2</f>
        <v>240717.77599999998</v>
      </c>
      <c r="AF7" s="17">
        <f>_xlfn.XLOOKUP($C7,TB_UK!$E:$E,TB_UK!AH:AH)*AF$2</f>
        <v>0</v>
      </c>
      <c r="AG7" s="17">
        <f>_xlfn.XLOOKUP($C7,TB_UK!$E:$E,TB_UK!AI:AI)*AG$2</f>
        <v>0</v>
      </c>
      <c r="AH7" s="17">
        <f>_xlfn.XLOOKUP($C7,TB_UK!$E:$E,TB_UK!AJ:AJ)*AH$2</f>
        <v>0</v>
      </c>
      <c r="AI7" s="17">
        <f>_xlfn.XLOOKUP($C7,TB_UK!$E:$E,TB_UK!AK:AK)*AI$2</f>
        <v>0</v>
      </c>
      <c r="AJ7" s="17">
        <f>_xlfn.XLOOKUP($C7,TB_UK!$E:$E,TB_UK!AL:AL)*AJ$2</f>
        <v>0</v>
      </c>
      <c r="AK7" s="17">
        <f>_xlfn.XLOOKUP($C7,TB_UK!$E:$E,TB_UK!AM:AM)*AK$2</f>
        <v>0</v>
      </c>
      <c r="AL7" s="17">
        <f>_xlfn.XLOOKUP($C7,TB_UK!$E:$E,TB_UK!AN:AN)*AL$2</f>
        <v>0</v>
      </c>
      <c r="AM7" s="17">
        <f>_xlfn.XLOOKUP($C7,TB_UK!$E:$E,TB_UK!AO:AO)*AM$2</f>
        <v>0</v>
      </c>
    </row>
    <row r="8" spans="2:39" hidden="1" outlineLevel="1" x14ac:dyDescent="0.2">
      <c r="B8" s="21">
        <v>10401</v>
      </c>
      <c r="C8" s="16" t="s">
        <v>1720</v>
      </c>
      <c r="D8" s="17">
        <f>_xlfn.XLOOKUP($C8,TB_UK!$E:$E,TB_UK!F:F)*D$2</f>
        <v>0</v>
      </c>
      <c r="E8" s="17">
        <f>_xlfn.XLOOKUP($C8,TB_UK!$E:$E,TB_UK!G:G)*E$2</f>
        <v>0</v>
      </c>
      <c r="F8" s="17">
        <f>_xlfn.XLOOKUP($C8,TB_UK!$E:$E,TB_UK!H:H)*F$2</f>
        <v>0</v>
      </c>
      <c r="G8" s="17">
        <f>_xlfn.XLOOKUP($C8,TB_UK!$E:$E,TB_UK!I:I)*G$2</f>
        <v>0</v>
      </c>
      <c r="H8" s="17">
        <f>_xlfn.XLOOKUP($C8,TB_UK!$E:$E,TB_UK!J:J)*H$2</f>
        <v>0</v>
      </c>
      <c r="I8" s="17">
        <f>_xlfn.XLOOKUP($C8,TB_UK!$E:$E,TB_UK!K:K)*I$2</f>
        <v>0</v>
      </c>
      <c r="J8" s="17">
        <f>_xlfn.XLOOKUP($C8,TB_UK!$E:$E,TB_UK!L:L)*J$2</f>
        <v>0</v>
      </c>
      <c r="K8" s="17">
        <f>_xlfn.XLOOKUP($C8,TB_UK!$E:$E,TB_UK!M:M)*K$2</f>
        <v>0</v>
      </c>
      <c r="L8" s="17">
        <f>_xlfn.XLOOKUP($C8,TB_UK!$E:$E,TB_UK!N:N)*L$2</f>
        <v>0</v>
      </c>
      <c r="M8" s="17">
        <f>_xlfn.XLOOKUP($C8,TB_UK!$E:$E,TB_UK!O:O)*M$2</f>
        <v>0</v>
      </c>
      <c r="N8" s="17">
        <f>_xlfn.XLOOKUP($C8,TB_UK!$E:$E,TB_UK!P:P)*N$2</f>
        <v>0</v>
      </c>
      <c r="O8" s="17">
        <f>_xlfn.XLOOKUP($C8,TB_UK!$E:$E,TB_UK!Q:Q)*O$2</f>
        <v>0</v>
      </c>
      <c r="P8" s="17">
        <f>_xlfn.XLOOKUP($C8,TB_UK!$E:$E,TB_UK!R:R)*P$2</f>
        <v>0</v>
      </c>
      <c r="Q8" s="17">
        <f>_xlfn.XLOOKUP($C8,TB_UK!$E:$E,TB_UK!S:S)*Q$2</f>
        <v>0</v>
      </c>
      <c r="R8" s="17">
        <f>_xlfn.XLOOKUP($C8,TB_UK!$E:$E,TB_UK!T:T)*R$2</f>
        <v>0</v>
      </c>
      <c r="S8" s="17">
        <f>_xlfn.XLOOKUP($C8,TB_UK!$E:$E,TB_UK!U:U)*S$2</f>
        <v>0</v>
      </c>
      <c r="T8" s="17">
        <f>_xlfn.XLOOKUP($C8,TB_UK!$E:$E,TB_UK!V:V)*T$2</f>
        <v>0</v>
      </c>
      <c r="U8" s="17">
        <f>_xlfn.XLOOKUP($C8,TB_UK!$E:$E,TB_UK!W:W)*U$2</f>
        <v>0</v>
      </c>
      <c r="V8" s="17">
        <f>_xlfn.XLOOKUP($C8,TB_UK!$E:$E,TB_UK!X:X)*V$2</f>
        <v>0</v>
      </c>
      <c r="W8" s="17">
        <f>_xlfn.XLOOKUP($C8,TB_UK!$E:$E,TB_UK!Y:Y)*W$2</f>
        <v>0</v>
      </c>
      <c r="X8" s="17">
        <f>_xlfn.XLOOKUP($C8,TB_UK!$E:$E,TB_UK!Z:Z)*X$2</f>
        <v>3973663.3218</v>
      </c>
      <c r="Y8" s="17">
        <f>_xlfn.XLOOKUP($C8,TB_UK!$E:$E,TB_UK!AA:AA)*Y$2</f>
        <v>13646964.461000001</v>
      </c>
      <c r="Z8" s="17">
        <f>_xlfn.XLOOKUP($C8,TB_UK!$E:$E,TB_UK!AB:AB)*Z$2</f>
        <v>33765113.553599998</v>
      </c>
      <c r="AA8" s="17">
        <f>_xlfn.XLOOKUP($C8,TB_UK!$E:$E,TB_UK!AC:AC)*AA$2</f>
        <v>46397196.009999998</v>
      </c>
      <c r="AB8" s="17">
        <f>_xlfn.XLOOKUP($C8,TB_UK!$E:$E,TB_UK!AD:AD)*AB$2</f>
        <v>67937848.268399999</v>
      </c>
      <c r="AC8" s="17">
        <f>_xlfn.XLOOKUP($C8,TB_UK!$E:$E,TB_UK!AE:AE)*AC$2</f>
        <v>19828382.4936</v>
      </c>
      <c r="AD8" s="17">
        <f>_xlfn.XLOOKUP($C8,TB_UK!$E:$E,TB_UK!AF:AF)*AD$2</f>
        <v>39678270.664999999</v>
      </c>
      <c r="AE8" s="17">
        <f>_xlfn.XLOOKUP($C8,TB_UK!$E:$E,TB_UK!AG:AG)*AE$2</f>
        <v>58428285.252999999</v>
      </c>
      <c r="AF8" s="17">
        <f>_xlfn.XLOOKUP($C8,TB_UK!$E:$E,TB_UK!AH:AH)*AF$2</f>
        <v>0</v>
      </c>
      <c r="AG8" s="17">
        <f>_xlfn.XLOOKUP($C8,TB_UK!$E:$E,TB_UK!AI:AI)*AG$2</f>
        <v>0</v>
      </c>
      <c r="AH8" s="17">
        <f>_xlfn.XLOOKUP($C8,TB_UK!$E:$E,TB_UK!AJ:AJ)*AH$2</f>
        <v>0</v>
      </c>
      <c r="AI8" s="17">
        <f>_xlfn.XLOOKUP($C8,TB_UK!$E:$E,TB_UK!AK:AK)*AI$2</f>
        <v>0</v>
      </c>
      <c r="AJ8" s="17">
        <f>_xlfn.XLOOKUP($C8,TB_UK!$E:$E,TB_UK!AL:AL)*AJ$2</f>
        <v>0</v>
      </c>
      <c r="AK8" s="17">
        <f>_xlfn.XLOOKUP($C8,TB_UK!$E:$E,TB_UK!AM:AM)*AK$2</f>
        <v>0</v>
      </c>
      <c r="AL8" s="17">
        <f>_xlfn.XLOOKUP($C8,TB_UK!$E:$E,TB_UK!AN:AN)*AL$2</f>
        <v>0</v>
      </c>
      <c r="AM8" s="17">
        <f>_xlfn.XLOOKUP($C8,TB_UK!$E:$E,TB_UK!AO:AO)*AM$2</f>
        <v>0</v>
      </c>
    </row>
    <row r="9" spans="2:39" hidden="1" outlineLevel="1" x14ac:dyDescent="0.2">
      <c r="B9" s="21">
        <v>10300</v>
      </c>
      <c r="C9" s="16" t="str">
        <f>_xlfn.XLOOKUP(B9,TB_UK!A:A,TB_UK!E:E)</f>
        <v>CashPlus Bank</v>
      </c>
      <c r="D9" s="17">
        <f>_xlfn.XLOOKUP($C9,TB_UK!$E:$E,TB_UK!F:F)*D$2</f>
        <v>0</v>
      </c>
      <c r="E9" s="17">
        <f>_xlfn.XLOOKUP($C9,TB_UK!$E:$E,TB_UK!G:G)*E$2</f>
        <v>0</v>
      </c>
      <c r="F9" s="17">
        <f>_xlfn.XLOOKUP($C9,TB_UK!$E:$E,TB_UK!H:H)*F$2</f>
        <v>0</v>
      </c>
      <c r="G9" s="17">
        <f>_xlfn.XLOOKUP($C9,TB_UK!$E:$E,TB_UK!I:I)*G$2</f>
        <v>35609317.430399992</v>
      </c>
      <c r="H9" s="17">
        <f>_xlfn.XLOOKUP($C9,TB_UK!$E:$E,TB_UK!J:J)*H$2</f>
        <v>70553113.664800003</v>
      </c>
      <c r="I9" s="17">
        <f>_xlfn.XLOOKUP($C9,TB_UK!$E:$E,TB_UK!K:K)*I$2</f>
        <v>113548300.45910001</v>
      </c>
      <c r="J9" s="17">
        <f>_xlfn.XLOOKUP($C9,TB_UK!$E:$E,TB_UK!L:L)*J$2</f>
        <v>148534151.56499997</v>
      </c>
      <c r="K9" s="17">
        <f>_xlfn.XLOOKUP($C9,TB_UK!$E:$E,TB_UK!M:M)*K$2</f>
        <v>121212766.71259999</v>
      </c>
      <c r="L9" s="17">
        <f>_xlfn.XLOOKUP($C9,TB_UK!$E:$E,TB_UK!N:N)*L$2</f>
        <v>142980064.6318</v>
      </c>
      <c r="M9" s="17">
        <f>_xlfn.XLOOKUP($C9,TB_UK!$E:$E,TB_UK!O:O)*M$2</f>
        <v>129095954.4711</v>
      </c>
      <c r="N9" s="17">
        <f>_xlfn.XLOOKUP($C9,TB_UK!$E:$E,TB_UK!P:P)*N$2</f>
        <v>88483069.520999998</v>
      </c>
      <c r="O9" s="17">
        <f>_xlfn.XLOOKUP($C9,TB_UK!$E:$E,TB_UK!Q:Q)*O$2</f>
        <v>46133739.523199998</v>
      </c>
      <c r="P9" s="17">
        <f>_xlfn.XLOOKUP($C9,TB_UK!$E:$E,TB_UK!R:R)*P$2</f>
        <v>51349168.091099992</v>
      </c>
      <c r="Q9" s="17">
        <f>_xlfn.XLOOKUP($C9,TB_UK!$E:$E,TB_UK!S:S)*Q$2</f>
        <v>76504450.038000003</v>
      </c>
      <c r="R9" s="17">
        <f>_xlfn.XLOOKUP($C9,TB_UK!$E:$E,TB_UK!T:T)*R$2</f>
        <v>40518699.519499995</v>
      </c>
      <c r="S9" s="17">
        <f>_xlfn.XLOOKUP($C9,TB_UK!$E:$E,TB_UK!U:U)*S$2</f>
        <v>42158194.242699996</v>
      </c>
      <c r="T9" s="17">
        <f>_xlfn.XLOOKUP($C9,TB_UK!$E:$E,TB_UK!V:V)*T$2</f>
        <v>42785053.228500001</v>
      </c>
      <c r="U9" s="17">
        <f>_xlfn.XLOOKUP($C9,TB_UK!$E:$E,TB_UK!W:W)*U$2</f>
        <v>29086861.005299997</v>
      </c>
      <c r="V9" s="17">
        <f>_xlfn.XLOOKUP($C9,TB_UK!$E:$E,TB_UK!X:X)*V$2</f>
        <v>27689789.6796</v>
      </c>
      <c r="W9" s="17">
        <f>_xlfn.XLOOKUP($C9,TB_UK!$E:$E,TB_UK!Y:Y)*W$2</f>
        <v>27361169.110800002</v>
      </c>
      <c r="X9" s="17">
        <f>_xlfn.XLOOKUP($C9,TB_UK!$E:$E,TB_UK!Z:Z)*X$2</f>
        <v>26485202.848200001</v>
      </c>
      <c r="Y9" s="17">
        <f>_xlfn.XLOOKUP($C9,TB_UK!$E:$E,TB_UK!AA:AA)*Y$2</f>
        <v>26451388.379000001</v>
      </c>
      <c r="Z9" s="17">
        <f>_xlfn.XLOOKUP($C9,TB_UK!$E:$E,TB_UK!AB:AB)*Z$2</f>
        <v>26859780.636699997</v>
      </c>
      <c r="AA9" s="17">
        <f>_xlfn.XLOOKUP($C9,TB_UK!$E:$E,TB_UK!AC:AC)*AA$2</f>
        <v>27731107.302500002</v>
      </c>
      <c r="AB9" s="17">
        <f>_xlfn.XLOOKUP($C9,TB_UK!$E:$E,TB_UK!AD:AD)*AB$2</f>
        <v>2949613.2857999997</v>
      </c>
      <c r="AC9" s="17">
        <f>_xlfn.XLOOKUP($C9,TB_UK!$E:$E,TB_UK!AE:AE)*AC$2</f>
        <v>2353472.5452000001</v>
      </c>
      <c r="AD9" s="17">
        <f>_xlfn.XLOOKUP($C9,TB_UK!$E:$E,TB_UK!AF:AF)*AD$2</f>
        <v>4415355.0869999994</v>
      </c>
      <c r="AE9" s="17">
        <f>_xlfn.XLOOKUP($C9,TB_UK!$E:$E,TB_UK!AG:AG)*AE$2</f>
        <v>5076147.2319999998</v>
      </c>
      <c r="AF9" s="17">
        <f>_xlfn.XLOOKUP($C9,TB_UK!$E:$E,TB_UK!AH:AH)*AF$2</f>
        <v>0</v>
      </c>
      <c r="AG9" s="17">
        <f>_xlfn.XLOOKUP($C9,TB_UK!$E:$E,TB_UK!AI:AI)*AG$2</f>
        <v>0</v>
      </c>
      <c r="AH9" s="17">
        <f>_xlfn.XLOOKUP($C9,TB_UK!$E:$E,TB_UK!AJ:AJ)*AH$2</f>
        <v>0</v>
      </c>
      <c r="AI9" s="17">
        <f>_xlfn.XLOOKUP($C9,TB_UK!$E:$E,TB_UK!AK:AK)*AI$2</f>
        <v>0</v>
      </c>
      <c r="AJ9" s="17">
        <f>_xlfn.XLOOKUP($C9,TB_UK!$E:$E,TB_UK!AL:AL)*AJ$2</f>
        <v>0</v>
      </c>
      <c r="AK9" s="17">
        <f>_xlfn.XLOOKUP($C9,TB_UK!$E:$E,TB_UK!AM:AM)*AK$2</f>
        <v>0</v>
      </c>
      <c r="AL9" s="17">
        <f>_xlfn.XLOOKUP($C9,TB_UK!$E:$E,TB_UK!AN:AN)*AL$2</f>
        <v>0</v>
      </c>
      <c r="AM9" s="17">
        <f>_xlfn.XLOOKUP($C9,TB_UK!$E:$E,TB_UK!AO:AO)*AM$2</f>
        <v>0</v>
      </c>
    </row>
    <row r="10" spans="2:39" hidden="1" outlineLevel="1" x14ac:dyDescent="0.2">
      <c r="B10" s="21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 spans="2:39" collapsed="1" x14ac:dyDescent="0.2">
      <c r="B11" s="15"/>
      <c r="C11" s="22" t="s">
        <v>31</v>
      </c>
      <c r="D11" s="23">
        <f t="shared" ref="D11:AM11" si="1">SUM(D6:D10)</f>
        <v>0</v>
      </c>
      <c r="E11" s="23">
        <f t="shared" si="1"/>
        <v>0</v>
      </c>
      <c r="F11" s="23">
        <f t="shared" si="1"/>
        <v>0</v>
      </c>
      <c r="G11" s="23">
        <f t="shared" si="1"/>
        <v>258466062.5763</v>
      </c>
      <c r="H11" s="23">
        <f t="shared" si="1"/>
        <v>245970044.79180002</v>
      </c>
      <c r="I11" s="23">
        <f t="shared" si="1"/>
        <v>221857414.6724</v>
      </c>
      <c r="J11" s="23">
        <f t="shared" si="1"/>
        <v>181247399.42399997</v>
      </c>
      <c r="K11" s="23">
        <f t="shared" si="1"/>
        <v>131505723.43439999</v>
      </c>
      <c r="L11" s="23">
        <f t="shared" si="1"/>
        <v>200012360.47049999</v>
      </c>
      <c r="M11" s="23">
        <f t="shared" si="1"/>
        <v>172416413.19300002</v>
      </c>
      <c r="N11" s="23">
        <f t="shared" si="1"/>
        <v>116740636.01549999</v>
      </c>
      <c r="O11" s="23">
        <f t="shared" si="1"/>
        <v>54866485.008399993</v>
      </c>
      <c r="P11" s="23">
        <f t="shared" si="1"/>
        <v>123930639.53189999</v>
      </c>
      <c r="Q11" s="23">
        <f t="shared" si="1"/>
        <v>112169496.94600001</v>
      </c>
      <c r="R11" s="23">
        <f t="shared" si="1"/>
        <v>76745591.911499992</v>
      </c>
      <c r="S11" s="23">
        <f t="shared" si="1"/>
        <v>113754641.39049999</v>
      </c>
      <c r="T11" s="23">
        <f t="shared" si="1"/>
        <v>52588459.984499998</v>
      </c>
      <c r="U11" s="23">
        <f t="shared" si="1"/>
        <v>110322056.75189999</v>
      </c>
      <c r="V11" s="23">
        <f t="shared" si="1"/>
        <v>258544444.64430001</v>
      </c>
      <c r="W11" s="23">
        <f t="shared" si="1"/>
        <v>212069449.5801</v>
      </c>
      <c r="X11" s="23">
        <f t="shared" si="1"/>
        <v>139711528.69529998</v>
      </c>
      <c r="Y11" s="23">
        <f>SUM(Y6:Y10)</f>
        <v>68842488.844999999</v>
      </c>
      <c r="Z11" s="23">
        <f t="shared" si="1"/>
        <v>156439237.984</v>
      </c>
      <c r="AA11" s="23">
        <f t="shared" si="1"/>
        <v>107038862.45500001</v>
      </c>
      <c r="AB11" s="23">
        <f t="shared" si="1"/>
        <v>85095675.151199996</v>
      </c>
      <c r="AC11" s="23">
        <f t="shared" si="1"/>
        <v>71007050.85360001</v>
      </c>
      <c r="AD11" s="23">
        <f t="shared" si="1"/>
        <v>61613313.506999999</v>
      </c>
      <c r="AE11" s="23">
        <f t="shared" si="1"/>
        <v>94536934.855999991</v>
      </c>
      <c r="AF11" s="23">
        <f t="shared" si="1"/>
        <v>0</v>
      </c>
      <c r="AG11" s="23">
        <f t="shared" si="1"/>
        <v>0</v>
      </c>
      <c r="AH11" s="23">
        <f t="shared" si="1"/>
        <v>0</v>
      </c>
      <c r="AI11" s="23">
        <f t="shared" si="1"/>
        <v>0</v>
      </c>
      <c r="AJ11" s="23">
        <f t="shared" si="1"/>
        <v>0</v>
      </c>
      <c r="AK11" s="23">
        <f t="shared" si="1"/>
        <v>0</v>
      </c>
      <c r="AL11" s="23">
        <f t="shared" si="1"/>
        <v>0</v>
      </c>
      <c r="AM11" s="23">
        <f t="shared" si="1"/>
        <v>0</v>
      </c>
    </row>
    <row r="12" spans="2:39" x14ac:dyDescent="0.2">
      <c r="B12" s="21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2:39" hidden="1" outlineLevel="1" x14ac:dyDescent="0.2">
      <c r="B13" s="21"/>
      <c r="C13" s="20" t="s">
        <v>194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2:39" hidden="1" outlineLevel="1" x14ac:dyDescent="0.2">
      <c r="B14" s="21">
        <v>11000</v>
      </c>
      <c r="C14" s="16" t="str">
        <f>_xlfn.XLOOKUP(B14,TB_UK!A:A,TB_UK!E:E)</f>
        <v>Accounts Receivable (A/R)</v>
      </c>
      <c r="D14" s="17">
        <f>_xlfn.XLOOKUP($C14,TB_UK!$E:$E,TB_UK!F:F)*D$2</f>
        <v>0</v>
      </c>
      <c r="E14" s="17">
        <f>_xlfn.XLOOKUP($C14,TB_UK!$E:$E,TB_UK!G:G)*E$2</f>
        <v>0</v>
      </c>
      <c r="F14" s="17">
        <f>_xlfn.XLOOKUP($C14,TB_UK!$E:$E,TB_UK!H:H)*F$2</f>
        <v>0</v>
      </c>
      <c r="G14" s="17">
        <f>_xlfn.XLOOKUP($C14,TB_UK!$E:$E,TB_UK!I:I)*G$2</f>
        <v>33190734.612899996</v>
      </c>
      <c r="H14" s="17">
        <f>_xlfn.XLOOKUP($C14,TB_UK!$E:$E,TB_UK!J:J)*H$2</f>
        <v>31828509.376600001</v>
      </c>
      <c r="I14" s="17">
        <f>_xlfn.XLOOKUP($C14,TB_UK!$E:$E,TB_UK!K:K)*I$2</f>
        <v>30212083.036199998</v>
      </c>
      <c r="J14" s="17">
        <f>_xlfn.XLOOKUP($C14,TB_UK!$E:$E,TB_UK!L:L)*J$2</f>
        <v>14107792.316999998</v>
      </c>
      <c r="K14" s="17">
        <f>_xlfn.XLOOKUP($C14,TB_UK!$E:$E,TB_UK!M:M)*K$2</f>
        <v>33365332.7612</v>
      </c>
      <c r="L14" s="17">
        <f>_xlfn.XLOOKUP($C14,TB_UK!$E:$E,TB_UK!N:N)*L$2</f>
        <v>32979606.370299995</v>
      </c>
      <c r="M14" s="17">
        <f>_xlfn.XLOOKUP($C14,TB_UK!$E:$E,TB_UK!O:O)*M$2</f>
        <v>21679067.470699999</v>
      </c>
      <c r="N14" s="17">
        <f>_xlfn.XLOOKUP($C14,TB_UK!$E:$E,TB_UK!P:P)*N$2</f>
        <v>30901099.5405</v>
      </c>
      <c r="O14" s="17">
        <f>_xlfn.XLOOKUP($C14,TB_UK!$E:$E,TB_UK!Q:Q)*O$2</f>
        <v>24887927.174799997</v>
      </c>
      <c r="P14" s="17">
        <f>_xlfn.XLOOKUP($C14,TB_UK!$E:$E,TB_UK!R:R)*P$2</f>
        <v>37357554.297599994</v>
      </c>
      <c r="Q14" s="17">
        <f>_xlfn.XLOOKUP($C14,TB_UK!$E:$E,TB_UK!S:S)*Q$2</f>
        <v>33082945.521000002</v>
      </c>
      <c r="R14" s="17">
        <f>_xlfn.XLOOKUP($C14,TB_UK!$E:$E,TB_UK!T:T)*R$2</f>
        <v>23386470.4965</v>
      </c>
      <c r="S14" s="17">
        <f>_xlfn.XLOOKUP($C14,TB_UK!$E:$E,TB_UK!U:U)*S$2</f>
        <v>27495692.164300002</v>
      </c>
      <c r="T14" s="17">
        <f>_xlfn.XLOOKUP($C14,TB_UK!$E:$E,TB_UK!V:V)*T$2</f>
        <v>25711162.916999996</v>
      </c>
      <c r="U14" s="17">
        <f>_xlfn.XLOOKUP($C14,TB_UK!$E:$E,TB_UK!W:W)*U$2</f>
        <v>24208119.373199999</v>
      </c>
      <c r="V14" s="17">
        <f>_xlfn.XLOOKUP($C14,TB_UK!$E:$E,TB_UK!X:X)*V$2</f>
        <v>23900426.509299997</v>
      </c>
      <c r="W14" s="17">
        <f>_xlfn.XLOOKUP($C14,TB_UK!$E:$E,TB_UK!Y:Y)*W$2</f>
        <v>26364393.409199998</v>
      </c>
      <c r="X14" s="17">
        <f>_xlfn.XLOOKUP($C14,TB_UK!$E:$E,TB_UK!Z:Z)*X$2</f>
        <v>25447612.394400001</v>
      </c>
      <c r="Y14" s="17">
        <f>_xlfn.XLOOKUP($C14,TB_UK!$E:$E,TB_UK!AA:AA)*Y$2</f>
        <v>23589168.213000003</v>
      </c>
      <c r="Z14" s="17">
        <f>_xlfn.XLOOKUP($C14,TB_UK!$E:$E,TB_UK!AB:AB)*Z$2</f>
        <v>23999777.242699999</v>
      </c>
      <c r="AA14" s="17">
        <f>_xlfn.XLOOKUP($C14,TB_UK!$E:$E,TB_UK!AC:AC)*AA$2</f>
        <v>23726435.372499999</v>
      </c>
      <c r="AB14" s="17">
        <f>_xlfn.XLOOKUP($C14,TB_UK!$E:$E,TB_UK!AD:AD)*AB$2</f>
        <v>21902336.459400002</v>
      </c>
      <c r="AC14" s="17">
        <f>_xlfn.XLOOKUP($C14,TB_UK!$E:$E,TB_UK!AE:AE)*AC$2</f>
        <v>22472580.162</v>
      </c>
      <c r="AD14" s="17">
        <f>_xlfn.XLOOKUP($C14,TB_UK!$E:$E,TB_UK!AF:AF)*AD$2</f>
        <v>20995947.872000001</v>
      </c>
      <c r="AE14" s="17">
        <f>_xlfn.XLOOKUP($C14,TB_UK!$E:$E,TB_UK!AG:AG)*AE$2</f>
        <v>20914026.379999999</v>
      </c>
      <c r="AF14" s="17">
        <f>_xlfn.XLOOKUP($C14,TB_UK!$E:$E,TB_UK!AH:AH)*AF$2</f>
        <v>0</v>
      </c>
      <c r="AG14" s="17">
        <f>_xlfn.XLOOKUP($C14,TB_UK!$E:$E,TB_UK!AI:AI)*AG$2</f>
        <v>0</v>
      </c>
      <c r="AH14" s="17">
        <f>_xlfn.XLOOKUP($C14,TB_UK!$E:$E,TB_UK!AJ:AJ)*AH$2</f>
        <v>0</v>
      </c>
      <c r="AI14" s="17">
        <f>_xlfn.XLOOKUP($C14,TB_UK!$E:$E,TB_UK!AK:AK)*AI$2</f>
        <v>0</v>
      </c>
      <c r="AJ14" s="17">
        <f>_xlfn.XLOOKUP($C14,TB_UK!$E:$E,TB_UK!AL:AL)*AJ$2</f>
        <v>0</v>
      </c>
      <c r="AK14" s="17">
        <f>_xlfn.XLOOKUP($C14,TB_UK!$E:$E,TB_UK!AM:AM)*AK$2</f>
        <v>0</v>
      </c>
      <c r="AL14" s="17">
        <f>_xlfn.XLOOKUP($C14,TB_UK!$E:$E,TB_UK!AN:AN)*AL$2</f>
        <v>0</v>
      </c>
      <c r="AM14" s="17">
        <f>_xlfn.XLOOKUP($C14,TB_UK!$E:$E,TB_UK!AO:AO)*AM$2</f>
        <v>0</v>
      </c>
    </row>
    <row r="15" spans="2:39" hidden="1" outlineLevel="1" x14ac:dyDescent="0.2">
      <c r="B15" s="21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2:39" collapsed="1" x14ac:dyDescent="0.2">
      <c r="B16" s="15"/>
      <c r="C16" s="22" t="s">
        <v>32</v>
      </c>
      <c r="D16" s="23">
        <f t="shared" ref="D16:AM16" si="2">SUM(D14:D15)</f>
        <v>0</v>
      </c>
      <c r="E16" s="23">
        <f t="shared" si="2"/>
        <v>0</v>
      </c>
      <c r="F16" s="23">
        <f t="shared" si="2"/>
        <v>0</v>
      </c>
      <c r="G16" s="23">
        <f t="shared" si="2"/>
        <v>33190734.612899996</v>
      </c>
      <c r="H16" s="23">
        <f t="shared" si="2"/>
        <v>31828509.376600001</v>
      </c>
      <c r="I16" s="23">
        <f t="shared" si="2"/>
        <v>30212083.036199998</v>
      </c>
      <c r="J16" s="23">
        <f t="shared" si="2"/>
        <v>14107792.316999998</v>
      </c>
      <c r="K16" s="23">
        <f t="shared" si="2"/>
        <v>33365332.7612</v>
      </c>
      <c r="L16" s="23">
        <f t="shared" si="2"/>
        <v>32979606.370299995</v>
      </c>
      <c r="M16" s="23">
        <f t="shared" si="2"/>
        <v>21679067.470699999</v>
      </c>
      <c r="N16" s="23">
        <f t="shared" si="2"/>
        <v>30901099.5405</v>
      </c>
      <c r="O16" s="23">
        <f t="shared" si="2"/>
        <v>24887927.174799997</v>
      </c>
      <c r="P16" s="23">
        <f t="shared" si="2"/>
        <v>37357554.297599994</v>
      </c>
      <c r="Q16" s="23">
        <f t="shared" si="2"/>
        <v>33082945.521000002</v>
      </c>
      <c r="R16" s="23">
        <f t="shared" si="2"/>
        <v>23386470.4965</v>
      </c>
      <c r="S16" s="23">
        <f t="shared" si="2"/>
        <v>27495692.164300002</v>
      </c>
      <c r="T16" s="23">
        <f t="shared" si="2"/>
        <v>25711162.916999996</v>
      </c>
      <c r="U16" s="23">
        <f t="shared" si="2"/>
        <v>24208119.373199999</v>
      </c>
      <c r="V16" s="23">
        <f t="shared" si="2"/>
        <v>23900426.509299997</v>
      </c>
      <c r="W16" s="23">
        <f t="shared" si="2"/>
        <v>26364393.409199998</v>
      </c>
      <c r="X16" s="23">
        <f t="shared" si="2"/>
        <v>25447612.394400001</v>
      </c>
      <c r="Y16" s="23">
        <f>SUM(Y14:Y15)</f>
        <v>23589168.213000003</v>
      </c>
      <c r="Z16" s="23">
        <f t="shared" si="2"/>
        <v>23999777.242699999</v>
      </c>
      <c r="AA16" s="23">
        <f t="shared" si="2"/>
        <v>23726435.372499999</v>
      </c>
      <c r="AB16" s="23">
        <f t="shared" si="2"/>
        <v>21902336.459400002</v>
      </c>
      <c r="AC16" s="23">
        <f t="shared" si="2"/>
        <v>22472580.162</v>
      </c>
      <c r="AD16" s="23">
        <f t="shared" si="2"/>
        <v>20995947.872000001</v>
      </c>
      <c r="AE16" s="23">
        <f t="shared" si="2"/>
        <v>20914026.379999999</v>
      </c>
      <c r="AF16" s="23">
        <f t="shared" si="2"/>
        <v>0</v>
      </c>
      <c r="AG16" s="23">
        <f t="shared" si="2"/>
        <v>0</v>
      </c>
      <c r="AH16" s="23">
        <f t="shared" si="2"/>
        <v>0</v>
      </c>
      <c r="AI16" s="23">
        <f t="shared" si="2"/>
        <v>0</v>
      </c>
      <c r="AJ16" s="23">
        <f t="shared" si="2"/>
        <v>0</v>
      </c>
      <c r="AK16" s="23">
        <f t="shared" si="2"/>
        <v>0</v>
      </c>
      <c r="AL16" s="23">
        <f t="shared" si="2"/>
        <v>0</v>
      </c>
      <c r="AM16" s="23">
        <f t="shared" si="2"/>
        <v>0</v>
      </c>
    </row>
    <row r="17" spans="2:39" x14ac:dyDescent="0.2">
      <c r="B17" s="21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2:39" hidden="1" outlineLevel="1" x14ac:dyDescent="0.2">
      <c r="B18" s="21"/>
      <c r="C18" s="20" t="s">
        <v>202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spans="2:39" hidden="1" outlineLevel="1" x14ac:dyDescent="0.2">
      <c r="B19" s="21">
        <v>12100</v>
      </c>
      <c r="C19" s="16" t="str">
        <f>_xlfn.XLOOKUP(B19,TB_UK!A:A,TB_UK!E:E)</f>
        <v>Inventory</v>
      </c>
      <c r="D19" s="17">
        <f>_xlfn.XLOOKUP($C19,TB_UK!$E:$E,TB_UK!F:F)*D$2</f>
        <v>0</v>
      </c>
      <c r="E19" s="17">
        <f>_xlfn.XLOOKUP($C19,TB_UK!$E:$E,TB_UK!G:G)*E$2</f>
        <v>0</v>
      </c>
      <c r="F19" s="17">
        <f>_xlfn.XLOOKUP($C19,TB_UK!$E:$E,TB_UK!H:H)*F$2</f>
        <v>0</v>
      </c>
      <c r="G19" s="17">
        <f>_xlfn.XLOOKUP($C19,TB_UK!$E:$E,TB_UK!I:I)*G$2</f>
        <v>3131744.1428999999</v>
      </c>
      <c r="H19" s="17">
        <f>_xlfn.XLOOKUP($C19,TB_UK!$E:$E,TB_UK!J:J)*H$2</f>
        <v>3252596.0602000002</v>
      </c>
      <c r="I19" s="17">
        <f>_xlfn.XLOOKUP($C19,TB_UK!$E:$E,TB_UK!K:K)*I$2</f>
        <v>3625688.2908999999</v>
      </c>
      <c r="J19" s="17">
        <f>_xlfn.XLOOKUP($C19,TB_UK!$E:$E,TB_UK!L:L)*J$2</f>
        <v>3907184.1464999998</v>
      </c>
      <c r="K19" s="17">
        <f>_xlfn.XLOOKUP($C19,TB_UK!$E:$E,TB_UK!M:M)*K$2</f>
        <v>3907053.3746000002</v>
      </c>
      <c r="L19" s="17">
        <f>_xlfn.XLOOKUP($C19,TB_UK!$E:$E,TB_UK!N:N)*L$2</f>
        <v>4166822.4131</v>
      </c>
      <c r="M19" s="17">
        <f>_xlfn.XLOOKUP($C19,TB_UK!$E:$E,TB_UK!O:O)*M$2</f>
        <v>3987851.7271000003</v>
      </c>
      <c r="N19" s="17">
        <f>_xlfn.XLOOKUP($C19,TB_UK!$E:$E,TB_UK!P:P)*N$2</f>
        <v>3995735.4045000002</v>
      </c>
      <c r="O19" s="17">
        <f>_xlfn.XLOOKUP($C19,TB_UK!$E:$E,TB_UK!Q:Q)*O$2</f>
        <v>3630900.4852</v>
      </c>
      <c r="P19" s="17">
        <f>_xlfn.XLOOKUP($C19,TB_UK!$E:$E,TB_UK!R:R)*P$2</f>
        <v>3574500.4328999999</v>
      </c>
      <c r="Q19" s="17">
        <f>_xlfn.XLOOKUP($C19,TB_UK!$E:$E,TB_UK!S:S)*Q$2</f>
        <v>3538874.4309999999</v>
      </c>
      <c r="R19" s="17">
        <f>_xlfn.XLOOKUP($C19,TB_UK!$E:$E,TB_UK!T:T)*R$2</f>
        <v>3710839.4794999999</v>
      </c>
      <c r="S19" s="17">
        <f>_xlfn.XLOOKUP($C19,TB_UK!$E:$E,TB_UK!U:U)*S$2</f>
        <v>4012287.3907000003</v>
      </c>
      <c r="T19" s="17">
        <f>_xlfn.XLOOKUP($C19,TB_UK!$E:$E,TB_UK!V:V)*T$2</f>
        <v>3995922.2215</v>
      </c>
      <c r="U19" s="17">
        <f>_xlfn.XLOOKUP($C19,TB_UK!$E:$E,TB_UK!W:W)*U$2</f>
        <v>3950226.7832999998</v>
      </c>
      <c r="V19" s="17">
        <f>_xlfn.XLOOKUP($C19,TB_UK!$E:$E,TB_UK!X:X)*V$2</f>
        <v>3807461.2319</v>
      </c>
      <c r="W19" s="17">
        <f>_xlfn.XLOOKUP($C19,TB_UK!$E:$E,TB_UK!Y:Y)*W$2</f>
        <v>3878825.3259000001</v>
      </c>
      <c r="X19" s="17">
        <f>_xlfn.XLOOKUP($C19,TB_UK!$E:$E,TB_UK!Z:Z)*X$2</f>
        <v>3723244.1283</v>
      </c>
      <c r="Y19" s="17">
        <f>_xlfn.XLOOKUP($C19,TB_UK!$E:$E,TB_UK!AA:AA)*Y$2</f>
        <v>3567644.2490000003</v>
      </c>
      <c r="Z19" s="17">
        <f>_xlfn.XLOOKUP($C19,TB_UK!$E:$E,TB_UK!AB:AB)*Z$2</f>
        <v>3575808.1518999999</v>
      </c>
      <c r="AA19" s="17">
        <f>_xlfn.XLOOKUP($C19,TB_UK!$E:$E,TB_UK!AC:AC)*AA$2</f>
        <v>3653673.4775</v>
      </c>
      <c r="AB19" s="17">
        <f>_xlfn.XLOOKUP($C19,TB_UK!$E:$E,TB_UK!AD:AD)*AB$2</f>
        <v>3561217.7442000001</v>
      </c>
      <c r="AC19" s="17">
        <f>_xlfn.XLOOKUP($C19,TB_UK!$E:$E,TB_UK!AE:AE)*AC$2</f>
        <v>3416733.4764</v>
      </c>
      <c r="AD19" s="17">
        <f>_xlfn.XLOOKUP($C19,TB_UK!$E:$E,TB_UK!AF:AF)*AD$2</f>
        <v>3415201.577</v>
      </c>
      <c r="AE19" s="17">
        <f>_xlfn.XLOOKUP($C19,TB_UK!$E:$E,TB_UK!AG:AG)*AE$2</f>
        <v>3465642.1669999999</v>
      </c>
      <c r="AF19" s="17">
        <f>_xlfn.XLOOKUP($C19,TB_UK!$E:$E,TB_UK!AH:AH)*AF$2</f>
        <v>0</v>
      </c>
      <c r="AG19" s="17">
        <f>_xlfn.XLOOKUP($C19,TB_UK!$E:$E,TB_UK!AI:AI)*AG$2</f>
        <v>0</v>
      </c>
      <c r="AH19" s="17">
        <f>_xlfn.XLOOKUP($C19,TB_UK!$E:$E,TB_UK!AJ:AJ)*AH$2</f>
        <v>0</v>
      </c>
      <c r="AI19" s="17">
        <f>_xlfn.XLOOKUP($C19,TB_UK!$E:$E,TB_UK!AK:AK)*AI$2</f>
        <v>0</v>
      </c>
      <c r="AJ19" s="17">
        <f>_xlfn.XLOOKUP($C19,TB_UK!$E:$E,TB_UK!AL:AL)*AJ$2</f>
        <v>0</v>
      </c>
      <c r="AK19" s="17">
        <f>_xlfn.XLOOKUP($C19,TB_UK!$E:$E,TB_UK!AM:AM)*AK$2</f>
        <v>0</v>
      </c>
      <c r="AL19" s="17">
        <f>_xlfn.XLOOKUP($C19,TB_UK!$E:$E,TB_UK!AN:AN)*AL$2</f>
        <v>0</v>
      </c>
      <c r="AM19" s="17">
        <f>_xlfn.XLOOKUP($C19,TB_UK!$E:$E,TB_UK!AO:AO)*AM$2</f>
        <v>0</v>
      </c>
    </row>
    <row r="20" spans="2:39" hidden="1" outlineLevel="1" x14ac:dyDescent="0.2">
      <c r="B20" s="21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2:39" collapsed="1" x14ac:dyDescent="0.2">
      <c r="B21" s="15"/>
      <c r="C21" s="22" t="s">
        <v>34</v>
      </c>
      <c r="D21" s="23">
        <f t="shared" ref="D21:AM21" si="3">SUM(D19:D20)</f>
        <v>0</v>
      </c>
      <c r="E21" s="23">
        <f t="shared" si="3"/>
        <v>0</v>
      </c>
      <c r="F21" s="23">
        <f t="shared" si="3"/>
        <v>0</v>
      </c>
      <c r="G21" s="23">
        <f t="shared" si="3"/>
        <v>3131744.1428999999</v>
      </c>
      <c r="H21" s="23">
        <f t="shared" si="3"/>
        <v>3252596.0602000002</v>
      </c>
      <c r="I21" s="23">
        <f t="shared" si="3"/>
        <v>3625688.2908999999</v>
      </c>
      <c r="J21" s="23">
        <f t="shared" si="3"/>
        <v>3907184.1464999998</v>
      </c>
      <c r="K21" s="23">
        <f t="shared" si="3"/>
        <v>3907053.3746000002</v>
      </c>
      <c r="L21" s="23">
        <f t="shared" si="3"/>
        <v>4166822.4131</v>
      </c>
      <c r="M21" s="23">
        <f t="shared" si="3"/>
        <v>3987851.7271000003</v>
      </c>
      <c r="N21" s="23">
        <f t="shared" si="3"/>
        <v>3995735.4045000002</v>
      </c>
      <c r="O21" s="23">
        <f t="shared" si="3"/>
        <v>3630900.4852</v>
      </c>
      <c r="P21" s="23">
        <f t="shared" si="3"/>
        <v>3574500.4328999999</v>
      </c>
      <c r="Q21" s="23">
        <f t="shared" si="3"/>
        <v>3538874.4309999999</v>
      </c>
      <c r="R21" s="23">
        <f t="shared" si="3"/>
        <v>3710839.4794999999</v>
      </c>
      <c r="S21" s="23">
        <f t="shared" si="3"/>
        <v>4012287.3907000003</v>
      </c>
      <c r="T21" s="23">
        <f t="shared" si="3"/>
        <v>3995922.2215</v>
      </c>
      <c r="U21" s="23">
        <f t="shared" si="3"/>
        <v>3950226.7832999998</v>
      </c>
      <c r="V21" s="23">
        <f t="shared" si="3"/>
        <v>3807461.2319</v>
      </c>
      <c r="W21" s="23">
        <f t="shared" si="3"/>
        <v>3878825.3259000001</v>
      </c>
      <c r="X21" s="23">
        <f t="shared" si="3"/>
        <v>3723244.1283</v>
      </c>
      <c r="Y21" s="23">
        <f>SUM(Y19:Y20)</f>
        <v>3567644.2490000003</v>
      </c>
      <c r="Z21" s="23">
        <f t="shared" si="3"/>
        <v>3575808.1518999999</v>
      </c>
      <c r="AA21" s="23">
        <f t="shared" si="3"/>
        <v>3653673.4775</v>
      </c>
      <c r="AB21" s="23">
        <f t="shared" si="3"/>
        <v>3561217.7442000001</v>
      </c>
      <c r="AC21" s="23">
        <f t="shared" si="3"/>
        <v>3416733.4764</v>
      </c>
      <c r="AD21" s="23">
        <f t="shared" si="3"/>
        <v>3415201.577</v>
      </c>
      <c r="AE21" s="23">
        <f t="shared" si="3"/>
        <v>3465642.1669999999</v>
      </c>
      <c r="AF21" s="23">
        <f t="shared" si="3"/>
        <v>0</v>
      </c>
      <c r="AG21" s="23">
        <f t="shared" si="3"/>
        <v>0</v>
      </c>
      <c r="AH21" s="23">
        <f t="shared" si="3"/>
        <v>0</v>
      </c>
      <c r="AI21" s="23">
        <f t="shared" si="3"/>
        <v>0</v>
      </c>
      <c r="AJ21" s="23">
        <f t="shared" si="3"/>
        <v>0</v>
      </c>
      <c r="AK21" s="23">
        <f t="shared" si="3"/>
        <v>0</v>
      </c>
      <c r="AL21" s="23">
        <f t="shared" si="3"/>
        <v>0</v>
      </c>
      <c r="AM21" s="23">
        <f t="shared" si="3"/>
        <v>0</v>
      </c>
    </row>
    <row r="22" spans="2:39" x14ac:dyDescent="0.2">
      <c r="B22" s="21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2:39" hidden="1" outlineLevel="1" x14ac:dyDescent="0.2">
      <c r="B23" s="21"/>
      <c r="C23" s="20" t="s">
        <v>207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2:39" hidden="1" outlineLevel="1" x14ac:dyDescent="0.2">
      <c r="B24" s="21">
        <v>13120</v>
      </c>
      <c r="C24" s="16" t="str">
        <f>_xlfn.XLOOKUP(B24,TB_UK!A:A,TB_UK!E:E)</f>
        <v>Prepayments:Prepayments Other Prepaid Expenses</v>
      </c>
      <c r="D24" s="17">
        <f>_xlfn.XLOOKUP($C24,TB_UK!$E:$E,TB_UK!F:F)*D$2</f>
        <v>0</v>
      </c>
      <c r="E24" s="17">
        <f>_xlfn.XLOOKUP($C24,TB_UK!$E:$E,TB_UK!G:G)*E$2</f>
        <v>0</v>
      </c>
      <c r="F24" s="17">
        <f>_xlfn.XLOOKUP($C24,TB_UK!$E:$E,TB_UK!H:H)*F$2</f>
        <v>0</v>
      </c>
      <c r="G24" s="17">
        <f>_xlfn.XLOOKUP($C24,TB_UK!$E:$E,TB_UK!I:I)*G$2</f>
        <v>49234.986899999996</v>
      </c>
      <c r="H24" s="17">
        <f>_xlfn.XLOOKUP($C24,TB_UK!$E:$E,TB_UK!J:J)*H$2</f>
        <v>14973.115999999998</v>
      </c>
      <c r="I24" s="17">
        <f>_xlfn.XLOOKUP($C24,TB_UK!$E:$E,TB_UK!K:K)*I$2</f>
        <v>-23619.170900000001</v>
      </c>
      <c r="J24" s="17">
        <f>_xlfn.XLOOKUP($C24,TB_UK!$E:$E,TB_UK!L:L)*J$2</f>
        <v>433055.63699999999</v>
      </c>
      <c r="K24" s="17">
        <f>_xlfn.XLOOKUP($C24,TB_UK!$E:$E,TB_UK!M:M)*K$2</f>
        <v>389603.1802</v>
      </c>
      <c r="L24" s="17">
        <f>_xlfn.XLOOKUP($C24,TB_UK!$E:$E,TB_UK!N:N)*L$2</f>
        <v>369180.77360000001</v>
      </c>
      <c r="M24" s="17">
        <f>_xlfn.XLOOKUP($C24,TB_UK!$E:$E,TB_UK!O:O)*M$2</f>
        <v>308987.6925</v>
      </c>
      <c r="N24" s="17">
        <f>_xlfn.XLOOKUP($C24,TB_UK!$E:$E,TB_UK!P:P)*N$2</f>
        <v>265174.62300000002</v>
      </c>
      <c r="O24" s="17">
        <f>_xlfn.XLOOKUP($C24,TB_UK!$E:$E,TB_UK!Q:Q)*O$2</f>
        <v>200594.82759999999</v>
      </c>
      <c r="P24" s="17">
        <f>_xlfn.XLOOKUP($C24,TB_UK!$E:$E,TB_UK!R:R)*P$2</f>
        <v>157738.22279999999</v>
      </c>
      <c r="Q24" s="17">
        <f>_xlfn.XLOOKUP($C24,TB_UK!$E:$E,TB_UK!S:S)*Q$2</f>
        <v>116575.22199999999</v>
      </c>
      <c r="R24" s="17">
        <f>_xlfn.XLOOKUP($C24,TB_UK!$E:$E,TB_UK!T:T)*R$2</f>
        <v>80983.489499999996</v>
      </c>
      <c r="S24" s="17">
        <f>_xlfn.XLOOKUP($C24,TB_UK!$E:$E,TB_UK!U:U)*S$2</f>
        <v>42954.2</v>
      </c>
      <c r="T24" s="17">
        <f>_xlfn.XLOOKUP($C24,TB_UK!$E:$E,TB_UK!V:V)*T$2</f>
        <v>0</v>
      </c>
      <c r="U24" s="17">
        <f>_xlfn.XLOOKUP($C24,TB_UK!$E:$E,TB_UK!W:W)*U$2</f>
        <v>-42289.799999999996</v>
      </c>
      <c r="V24" s="17">
        <f>_xlfn.XLOOKUP($C24,TB_UK!$E:$E,TB_UK!X:X)*V$2</f>
        <v>407614</v>
      </c>
      <c r="W24" s="17">
        <f>_xlfn.XLOOKUP($C24,TB_UK!$E:$E,TB_UK!Y:Y)*W$2</f>
        <v>373728.6</v>
      </c>
      <c r="X24" s="17">
        <f>_xlfn.XLOOKUP($C24,TB_UK!$E:$E,TB_UK!Z:Z)*X$2</f>
        <v>318878.40000000002</v>
      </c>
      <c r="Y24" s="17">
        <f>_xlfn.XLOOKUP($C24,TB_UK!$E:$E,TB_UK!AA:AA)*Y$2</f>
        <v>267358</v>
      </c>
      <c r="Z24" s="17">
        <f>_xlfn.XLOOKUP($C24,TB_UK!$E:$E,TB_UK!AB:AB)*Z$2</f>
        <v>229688.4</v>
      </c>
      <c r="AA24" s="17">
        <f>_xlfn.XLOOKUP($C24,TB_UK!$E:$E,TB_UK!AC:AC)*AA$2</f>
        <v>195575</v>
      </c>
      <c r="AB24" s="17">
        <f>_xlfn.XLOOKUP($C24,TB_UK!$E:$E,TB_UK!AD:AD)*AB$2</f>
        <v>152500.79999999999</v>
      </c>
      <c r="AC24" s="17">
        <f>_xlfn.XLOOKUP($C24,TB_UK!$E:$E,TB_UK!AE:AE)*AC$2</f>
        <v>109735.20000000001</v>
      </c>
      <c r="AD24" s="17">
        <f>_xlfn.XLOOKUP($C24,TB_UK!$E:$E,TB_UK!AF:AF)*AD$2</f>
        <v>73124</v>
      </c>
      <c r="AE24" s="17">
        <f>_xlfn.XLOOKUP($C24,TB_UK!$E:$E,TB_UK!AG:AG)*AE$2</f>
        <v>37102</v>
      </c>
      <c r="AF24" s="17">
        <f>_xlfn.XLOOKUP($C24,TB_UK!$E:$E,TB_UK!AH:AH)*AF$2</f>
        <v>0</v>
      </c>
      <c r="AG24" s="17">
        <f>_xlfn.XLOOKUP($C24,TB_UK!$E:$E,TB_UK!AI:AI)*AG$2</f>
        <v>0</v>
      </c>
      <c r="AH24" s="17">
        <f>_xlfn.XLOOKUP($C24,TB_UK!$E:$E,TB_UK!AJ:AJ)*AH$2</f>
        <v>0</v>
      </c>
      <c r="AI24" s="17">
        <f>_xlfn.XLOOKUP($C24,TB_UK!$E:$E,TB_UK!AK:AK)*AI$2</f>
        <v>0</v>
      </c>
      <c r="AJ24" s="17">
        <f>_xlfn.XLOOKUP($C24,TB_UK!$E:$E,TB_UK!AL:AL)*AJ$2</f>
        <v>0</v>
      </c>
      <c r="AK24" s="17">
        <f>_xlfn.XLOOKUP($C24,TB_UK!$E:$E,TB_UK!AM:AM)*AK$2</f>
        <v>0</v>
      </c>
      <c r="AL24" s="17">
        <f>_xlfn.XLOOKUP($C24,TB_UK!$E:$E,TB_UK!AN:AN)*AL$2</f>
        <v>0</v>
      </c>
      <c r="AM24" s="17">
        <f>_xlfn.XLOOKUP($C24,TB_UK!$E:$E,TB_UK!AO:AO)*AM$2</f>
        <v>0</v>
      </c>
    </row>
    <row r="25" spans="2:39" hidden="1" outlineLevel="1" x14ac:dyDescent="0.2">
      <c r="B25" s="21">
        <v>13130</v>
      </c>
      <c r="C25" s="16" t="str">
        <f>_xlfn.XLOOKUP(B25,TB_UK!A:A,TB_UK!E:E)</f>
        <v>Prepayments:Prepayments Prepaid Insurance</v>
      </c>
      <c r="D25" s="17">
        <f>_xlfn.XLOOKUP($C25,TB_UK!$E:$E,TB_UK!F:F)*D$2</f>
        <v>0</v>
      </c>
      <c r="E25" s="17">
        <f>_xlfn.XLOOKUP($C25,TB_UK!$E:$E,TB_UK!G:G)*E$2</f>
        <v>0</v>
      </c>
      <c r="F25" s="17">
        <f>_xlfn.XLOOKUP($C25,TB_UK!$E:$E,TB_UK!H:H)*F$2</f>
        <v>0</v>
      </c>
      <c r="G25" s="17">
        <f>_xlfn.XLOOKUP($C25,TB_UK!$E:$E,TB_UK!I:I)*G$2</f>
        <v>0</v>
      </c>
      <c r="H25" s="17">
        <f>_xlfn.XLOOKUP($C25,TB_UK!$E:$E,TB_UK!J:J)*H$2</f>
        <v>0</v>
      </c>
      <c r="I25" s="17">
        <f>_xlfn.XLOOKUP($C25,TB_UK!$E:$E,TB_UK!K:K)*I$2</f>
        <v>0</v>
      </c>
      <c r="J25" s="17">
        <f>_xlfn.XLOOKUP($C25,TB_UK!$E:$E,TB_UK!L:L)*J$2</f>
        <v>0</v>
      </c>
      <c r="K25" s="17">
        <f>_xlfn.XLOOKUP($C25,TB_UK!$E:$E,TB_UK!M:M)*K$2</f>
        <v>0</v>
      </c>
      <c r="L25" s="17">
        <f>_xlfn.XLOOKUP($C25,TB_UK!$E:$E,TB_UK!N:N)*L$2</f>
        <v>0</v>
      </c>
      <c r="M25" s="17">
        <f>_xlfn.XLOOKUP($C25,TB_UK!$E:$E,TB_UK!O:O)*M$2</f>
        <v>0</v>
      </c>
      <c r="N25" s="17">
        <f>_xlfn.XLOOKUP($C25,TB_UK!$E:$E,TB_UK!P:P)*N$2</f>
        <v>0</v>
      </c>
      <c r="O25" s="17">
        <f>_xlfn.XLOOKUP($C25,TB_UK!$E:$E,TB_UK!Q:Q)*O$2</f>
        <v>0</v>
      </c>
      <c r="P25" s="17">
        <f>_xlfn.XLOOKUP($C25,TB_UK!$E:$E,TB_UK!R:R)*P$2</f>
        <v>0</v>
      </c>
      <c r="Q25" s="17">
        <f>_xlfn.XLOOKUP($C25,TB_UK!$E:$E,TB_UK!S:S)*Q$2</f>
        <v>0</v>
      </c>
      <c r="R25" s="17">
        <f>_xlfn.XLOOKUP($C25,TB_UK!$E:$E,TB_UK!T:T)*R$2</f>
        <v>0</v>
      </c>
      <c r="S25" s="17">
        <f>_xlfn.XLOOKUP($C25,TB_UK!$E:$E,TB_UK!U:U)*S$2</f>
        <v>0</v>
      </c>
      <c r="T25" s="17">
        <f>_xlfn.XLOOKUP($C25,TB_UK!$E:$E,TB_UK!V:V)*T$2</f>
        <v>0</v>
      </c>
      <c r="U25" s="17">
        <f>_xlfn.XLOOKUP($C25,TB_UK!$E:$E,TB_UK!W:W)*U$2</f>
        <v>0</v>
      </c>
      <c r="V25" s="17">
        <f>_xlfn.XLOOKUP($C25,TB_UK!$E:$E,TB_UK!X:X)*V$2</f>
        <v>0</v>
      </c>
      <c r="W25" s="17">
        <f>_xlfn.XLOOKUP($C25,TB_UK!$E:$E,TB_UK!Y:Y)*W$2</f>
        <v>0</v>
      </c>
      <c r="X25" s="17">
        <f>_xlfn.XLOOKUP($C25,TB_UK!$E:$E,TB_UK!Z:Z)*X$2</f>
        <v>0</v>
      </c>
      <c r="Y25" s="17">
        <f>_xlfn.XLOOKUP($C25,TB_UK!$E:$E,TB_UK!AA:AA)*Y$2</f>
        <v>0</v>
      </c>
      <c r="Z25" s="17">
        <f>_xlfn.XLOOKUP($C25,TB_UK!$E:$E,TB_UK!AB:AB)*Z$2</f>
        <v>0</v>
      </c>
      <c r="AA25" s="17">
        <f>_xlfn.XLOOKUP($C25,TB_UK!$E:$E,TB_UK!AC:AC)*AA$2</f>
        <v>0</v>
      </c>
      <c r="AB25" s="17">
        <f>_xlfn.XLOOKUP($C25,TB_UK!$E:$E,TB_UK!AD:AD)*AB$2</f>
        <v>0</v>
      </c>
      <c r="AC25" s="17">
        <f>_xlfn.XLOOKUP($C25,TB_UK!$E:$E,TB_UK!AE:AE)*AC$2</f>
        <v>0</v>
      </c>
      <c r="AD25" s="17">
        <f>_xlfn.XLOOKUP($C25,TB_UK!$E:$E,TB_UK!AF:AF)*AD$2</f>
        <v>0</v>
      </c>
      <c r="AE25" s="17">
        <f>_xlfn.XLOOKUP($C25,TB_UK!$E:$E,TB_UK!AG:AG)*AE$2</f>
        <v>0</v>
      </c>
      <c r="AF25" s="17">
        <f>_xlfn.XLOOKUP($C25,TB_UK!$E:$E,TB_UK!AH:AH)*AF$2</f>
        <v>0</v>
      </c>
      <c r="AG25" s="17">
        <f>_xlfn.XLOOKUP($C25,TB_UK!$E:$E,TB_UK!AI:AI)*AG$2</f>
        <v>0</v>
      </c>
      <c r="AH25" s="17">
        <f>_xlfn.XLOOKUP($C25,TB_UK!$E:$E,TB_UK!AJ:AJ)*AH$2</f>
        <v>0</v>
      </c>
      <c r="AI25" s="17">
        <f>_xlfn.XLOOKUP($C25,TB_UK!$E:$E,TB_UK!AK:AK)*AI$2</f>
        <v>0</v>
      </c>
      <c r="AJ25" s="17">
        <f>_xlfn.XLOOKUP($C25,TB_UK!$E:$E,TB_UK!AL:AL)*AJ$2</f>
        <v>0</v>
      </c>
      <c r="AK25" s="17">
        <f>_xlfn.XLOOKUP($C25,TB_UK!$E:$E,TB_UK!AM:AM)*AK$2</f>
        <v>0</v>
      </c>
      <c r="AL25" s="17">
        <f>_xlfn.XLOOKUP($C25,TB_UK!$E:$E,TB_UK!AN:AN)*AL$2</f>
        <v>0</v>
      </c>
      <c r="AM25" s="17">
        <f>_xlfn.XLOOKUP($C25,TB_UK!$E:$E,TB_UK!AO:AO)*AM$2</f>
        <v>0</v>
      </c>
    </row>
    <row r="26" spans="2:39" hidden="1" outlineLevel="1" x14ac:dyDescent="0.2">
      <c r="B26" s="21">
        <v>13135</v>
      </c>
      <c r="C26" s="16" t="str">
        <f>_xlfn.XLOOKUP(B26,TB_UK!A:A,TB_UK!E:E)</f>
        <v>Prepayments:Prepayments Prepaid Rent</v>
      </c>
      <c r="D26" s="17">
        <f>_xlfn.XLOOKUP($C26,TB_UK!$E:$E,TB_UK!F:F)*D$2</f>
        <v>0</v>
      </c>
      <c r="E26" s="17">
        <f>_xlfn.XLOOKUP($C26,TB_UK!$E:$E,TB_UK!G:G)*E$2</f>
        <v>0</v>
      </c>
      <c r="F26" s="17">
        <f>_xlfn.XLOOKUP($C26,TB_UK!$E:$E,TB_UK!H:H)*F$2</f>
        <v>0</v>
      </c>
      <c r="G26" s="17">
        <f>_xlfn.XLOOKUP($C26,TB_UK!$E:$E,TB_UK!I:I)*G$2</f>
        <v>0</v>
      </c>
      <c r="H26" s="17">
        <f>_xlfn.XLOOKUP($C26,TB_UK!$E:$E,TB_UK!J:J)*H$2</f>
        <v>0</v>
      </c>
      <c r="I26" s="17">
        <f>_xlfn.XLOOKUP($C26,TB_UK!$E:$E,TB_UK!K:K)*I$2</f>
        <v>0</v>
      </c>
      <c r="J26" s="17">
        <f>_xlfn.XLOOKUP($C26,TB_UK!$E:$E,TB_UK!L:L)*J$2</f>
        <v>0</v>
      </c>
      <c r="K26" s="17">
        <f>_xlfn.XLOOKUP($C26,TB_UK!$E:$E,TB_UK!M:M)*K$2</f>
        <v>0</v>
      </c>
      <c r="L26" s="17">
        <f>_xlfn.XLOOKUP($C26,TB_UK!$E:$E,TB_UK!N:N)*L$2</f>
        <v>0</v>
      </c>
      <c r="M26" s="17">
        <f>_xlfn.XLOOKUP($C26,TB_UK!$E:$E,TB_UK!O:O)*M$2</f>
        <v>0</v>
      </c>
      <c r="N26" s="17">
        <f>_xlfn.XLOOKUP($C26,TB_UK!$E:$E,TB_UK!P:P)*N$2</f>
        <v>0</v>
      </c>
      <c r="O26" s="17">
        <f>_xlfn.XLOOKUP($C26,TB_UK!$E:$E,TB_UK!Q:Q)*O$2</f>
        <v>0</v>
      </c>
      <c r="P26" s="17">
        <f>_xlfn.XLOOKUP($C26,TB_UK!$E:$E,TB_UK!R:R)*P$2</f>
        <v>0</v>
      </c>
      <c r="Q26" s="17">
        <f>_xlfn.XLOOKUP($C26,TB_UK!$E:$E,TB_UK!S:S)*Q$2</f>
        <v>0</v>
      </c>
      <c r="R26" s="17">
        <f>_xlfn.XLOOKUP($C26,TB_UK!$E:$E,TB_UK!T:T)*R$2</f>
        <v>0</v>
      </c>
      <c r="S26" s="17">
        <f>_xlfn.XLOOKUP($C26,TB_UK!$E:$E,TB_UK!U:U)*S$2</f>
        <v>0</v>
      </c>
      <c r="T26" s="17">
        <f>_xlfn.XLOOKUP($C26,TB_UK!$E:$E,TB_UK!V:V)*T$2</f>
        <v>0</v>
      </c>
      <c r="U26" s="17">
        <f>_xlfn.XLOOKUP($C26,TB_UK!$E:$E,TB_UK!W:W)*U$2</f>
        <v>0</v>
      </c>
      <c r="V26" s="17">
        <f>_xlfn.XLOOKUP($C26,TB_UK!$E:$E,TB_UK!X:X)*V$2</f>
        <v>0</v>
      </c>
      <c r="W26" s="17">
        <f>_xlfn.XLOOKUP($C26,TB_UK!$E:$E,TB_UK!Y:Y)*W$2</f>
        <v>0</v>
      </c>
      <c r="X26" s="17">
        <f>_xlfn.XLOOKUP($C26,TB_UK!$E:$E,TB_UK!Z:Z)*X$2</f>
        <v>0</v>
      </c>
      <c r="Y26" s="17">
        <f>_xlfn.XLOOKUP($C26,TB_UK!$E:$E,TB_UK!AA:AA)*Y$2</f>
        <v>0</v>
      </c>
      <c r="Z26" s="17">
        <f>_xlfn.XLOOKUP($C26,TB_UK!$E:$E,TB_UK!AB:AB)*Z$2</f>
        <v>0</v>
      </c>
      <c r="AA26" s="17">
        <f>_xlfn.XLOOKUP($C26,TB_UK!$E:$E,TB_UK!AC:AC)*AA$2</f>
        <v>0</v>
      </c>
      <c r="AB26" s="17">
        <f>_xlfn.XLOOKUP($C26,TB_UK!$E:$E,TB_UK!AD:AD)*AB$2</f>
        <v>0</v>
      </c>
      <c r="AC26" s="17">
        <f>_xlfn.XLOOKUP($C26,TB_UK!$E:$E,TB_UK!AE:AE)*AC$2</f>
        <v>0</v>
      </c>
      <c r="AD26" s="17">
        <f>_xlfn.XLOOKUP($C26,TB_UK!$E:$E,TB_UK!AF:AF)*AD$2</f>
        <v>0</v>
      </c>
      <c r="AE26" s="17">
        <f>_xlfn.XLOOKUP($C26,TB_UK!$E:$E,TB_UK!AG:AG)*AE$2</f>
        <v>0</v>
      </c>
      <c r="AF26" s="17">
        <f>_xlfn.XLOOKUP($C26,TB_UK!$E:$E,TB_UK!AH:AH)*AF$2</f>
        <v>0</v>
      </c>
      <c r="AG26" s="17">
        <f>_xlfn.XLOOKUP($C26,TB_UK!$E:$E,TB_UK!AI:AI)*AG$2</f>
        <v>0</v>
      </c>
      <c r="AH26" s="17">
        <f>_xlfn.XLOOKUP($C26,TB_UK!$E:$E,TB_UK!AJ:AJ)*AH$2</f>
        <v>0</v>
      </c>
      <c r="AI26" s="17">
        <f>_xlfn.XLOOKUP($C26,TB_UK!$E:$E,TB_UK!AK:AK)*AI$2</f>
        <v>0</v>
      </c>
      <c r="AJ26" s="17">
        <f>_xlfn.XLOOKUP($C26,TB_UK!$E:$E,TB_UK!AL:AL)*AJ$2</f>
        <v>0</v>
      </c>
      <c r="AK26" s="17">
        <f>_xlfn.XLOOKUP($C26,TB_UK!$E:$E,TB_UK!AM:AM)*AK$2</f>
        <v>0</v>
      </c>
      <c r="AL26" s="17">
        <f>_xlfn.XLOOKUP($C26,TB_UK!$E:$E,TB_UK!AN:AN)*AL$2</f>
        <v>0</v>
      </c>
      <c r="AM26" s="17">
        <f>_xlfn.XLOOKUP($C26,TB_UK!$E:$E,TB_UK!AO:AO)*AM$2</f>
        <v>0</v>
      </c>
    </row>
    <row r="27" spans="2:39" hidden="1" outlineLevel="1" x14ac:dyDescent="0.2">
      <c r="B27" s="21">
        <v>13200</v>
      </c>
      <c r="C27" s="16" t="str">
        <f>_xlfn.XLOOKUP(B27,TB_UK!A:A,TB_UK!E:E)</f>
        <v>Vendor Advance</v>
      </c>
      <c r="D27" s="17">
        <f>_xlfn.XLOOKUP($C27,TB_UK!$E:$E,TB_UK!F:F)*D$2</f>
        <v>0</v>
      </c>
      <c r="E27" s="17">
        <f>_xlfn.XLOOKUP($C27,TB_UK!$E:$E,TB_UK!G:G)*E$2</f>
        <v>0</v>
      </c>
      <c r="F27" s="17">
        <f>_xlfn.XLOOKUP($C27,TB_UK!$E:$E,TB_UK!H:H)*F$2</f>
        <v>0</v>
      </c>
      <c r="G27" s="17">
        <f>_xlfn.XLOOKUP($C27,TB_UK!$E:$E,TB_UK!I:I)*G$2</f>
        <v>201164.4</v>
      </c>
      <c r="H27" s="17">
        <f>_xlfn.XLOOKUP($C27,TB_UK!$E:$E,TB_UK!J:J)*H$2</f>
        <v>380247.50400000002</v>
      </c>
      <c r="I27" s="17">
        <f>_xlfn.XLOOKUP($C27,TB_UK!$E:$E,TB_UK!K:K)*I$2</f>
        <v>423864.16800000001</v>
      </c>
      <c r="J27" s="17">
        <f>_xlfn.XLOOKUP($C27,TB_UK!$E:$E,TB_UK!L:L)*J$2</f>
        <v>456772.68</v>
      </c>
      <c r="K27" s="17">
        <f>_xlfn.XLOOKUP($C27,TB_UK!$E:$E,TB_UK!M:M)*K$2</f>
        <v>456757.39200000005</v>
      </c>
      <c r="L27" s="17">
        <f>_xlfn.XLOOKUP($C27,TB_UK!$E:$E,TB_UK!N:N)*L$2</f>
        <v>487125.91199999995</v>
      </c>
      <c r="M27" s="17">
        <f>_xlfn.XLOOKUP($C27,TB_UK!$E:$E,TB_UK!O:O)*M$2</f>
        <v>466203.19200000004</v>
      </c>
      <c r="N27" s="17">
        <f>_xlfn.XLOOKUP($C27,TB_UK!$E:$E,TB_UK!P:P)*N$2</f>
        <v>467124.83999999997</v>
      </c>
      <c r="O27" s="17">
        <f>_xlfn.XLOOKUP($C27,TB_UK!$E:$E,TB_UK!Q:Q)*O$2</f>
        <v>424473.50400000002</v>
      </c>
      <c r="P27" s="17">
        <f>_xlfn.XLOOKUP($C27,TB_UK!$E:$E,TB_UK!R:R)*P$2</f>
        <v>417880.00799999997</v>
      </c>
      <c r="Q27" s="17">
        <f>_xlfn.XLOOKUP($C27,TB_UK!$E:$E,TB_UK!S:S)*Q$2</f>
        <v>413715.12</v>
      </c>
      <c r="R27" s="17">
        <f>_xlfn.XLOOKUP($C27,TB_UK!$E:$E,TB_UK!T:T)*R$2</f>
        <v>433818.83999999997</v>
      </c>
      <c r="S27" s="17">
        <f>_xlfn.XLOOKUP($C27,TB_UK!$E:$E,TB_UK!U:U)*S$2</f>
        <v>469059.864</v>
      </c>
      <c r="T27" s="17">
        <f>_xlfn.XLOOKUP($C27,TB_UK!$E:$E,TB_UK!V:V)*T$2</f>
        <v>877825.07999999984</v>
      </c>
      <c r="U27" s="17">
        <f>_xlfn.XLOOKUP($C27,TB_UK!$E:$E,TB_UK!W:W)*U$2</f>
        <v>867786.69599999988</v>
      </c>
      <c r="V27" s="17">
        <f>_xlfn.XLOOKUP($C27,TB_UK!$E:$E,TB_UK!X:X)*V$2</f>
        <v>836423.92799999996</v>
      </c>
      <c r="W27" s="17">
        <f>_xlfn.XLOOKUP($C27,TB_UK!$E:$E,TB_UK!Y:Y)*W$2</f>
        <v>852101.20799999998</v>
      </c>
      <c r="X27" s="17">
        <f>_xlfn.XLOOKUP($C27,TB_UK!$E:$E,TB_UK!Z:Z)*X$2</f>
        <v>817923.0959999999</v>
      </c>
      <c r="Y27" s="17">
        <f>_xlfn.XLOOKUP($C27,TB_UK!$E:$E,TB_UK!AA:AA)*Y$2</f>
        <v>783740.88</v>
      </c>
      <c r="Z27" s="17">
        <f>_xlfn.XLOOKUP($C27,TB_UK!$E:$E,TB_UK!AB:AB)*Z$2</f>
        <v>785534.32799999998</v>
      </c>
      <c r="AA27" s="17">
        <f>_xlfn.XLOOKUP($C27,TB_UK!$E:$E,TB_UK!AC:AC)*AA$2</f>
        <v>802639.79999999993</v>
      </c>
      <c r="AB27" s="17">
        <f>_xlfn.XLOOKUP($C27,TB_UK!$E:$E,TB_UK!AD:AD)*AB$2</f>
        <v>782329.10399999993</v>
      </c>
      <c r="AC27" s="17">
        <f>_xlfn.XLOOKUP($C27,TB_UK!$E:$E,TB_UK!AE:AE)*AC$2</f>
        <v>750588.76800000004</v>
      </c>
      <c r="AD27" s="17">
        <f>_xlfn.XLOOKUP($C27,TB_UK!$E:$E,TB_UK!AF:AF)*AD$2</f>
        <v>750252.23999999987</v>
      </c>
      <c r="AE27" s="17">
        <f>_xlfn.XLOOKUP($C27,TB_UK!$E:$E,TB_UK!AG:AG)*AE$2</f>
        <v>761333.03999999992</v>
      </c>
      <c r="AF27" s="17">
        <f>_xlfn.XLOOKUP($C27,TB_UK!$E:$E,TB_UK!AH:AH)*AF$2</f>
        <v>0</v>
      </c>
      <c r="AG27" s="17">
        <f>_xlfn.XLOOKUP($C27,TB_UK!$E:$E,TB_UK!AI:AI)*AG$2</f>
        <v>0</v>
      </c>
      <c r="AH27" s="17">
        <f>_xlfn.XLOOKUP($C27,TB_UK!$E:$E,TB_UK!AJ:AJ)*AH$2</f>
        <v>0</v>
      </c>
      <c r="AI27" s="17">
        <f>_xlfn.XLOOKUP($C27,TB_UK!$E:$E,TB_UK!AK:AK)*AI$2</f>
        <v>0</v>
      </c>
      <c r="AJ27" s="17">
        <f>_xlfn.XLOOKUP($C27,TB_UK!$E:$E,TB_UK!AL:AL)*AJ$2</f>
        <v>0</v>
      </c>
      <c r="AK27" s="17">
        <f>_xlfn.XLOOKUP($C27,TB_UK!$E:$E,TB_UK!AM:AM)*AK$2</f>
        <v>0</v>
      </c>
      <c r="AL27" s="17">
        <f>_xlfn.XLOOKUP($C27,TB_UK!$E:$E,TB_UK!AN:AN)*AL$2</f>
        <v>0</v>
      </c>
      <c r="AM27" s="17">
        <f>_xlfn.XLOOKUP($C27,TB_UK!$E:$E,TB_UK!AO:AO)*AM$2</f>
        <v>0</v>
      </c>
    </row>
    <row r="28" spans="2:39" hidden="1" outlineLevel="1" x14ac:dyDescent="0.2">
      <c r="B28" s="21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2:39" collapsed="1" x14ac:dyDescent="0.2">
      <c r="B29" s="15"/>
      <c r="C29" s="22" t="s">
        <v>36</v>
      </c>
      <c r="D29" s="23">
        <f>SUM(D24:D28)</f>
        <v>0</v>
      </c>
      <c r="E29" s="23">
        <f t="shared" ref="E29:AM29" si="4">SUM(E24:E28)</f>
        <v>0</v>
      </c>
      <c r="F29" s="23">
        <f t="shared" si="4"/>
        <v>0</v>
      </c>
      <c r="G29" s="23">
        <f t="shared" si="4"/>
        <v>250399.38689999998</v>
      </c>
      <c r="H29" s="23">
        <f t="shared" si="4"/>
        <v>395220.62</v>
      </c>
      <c r="I29" s="23">
        <f t="shared" si="4"/>
        <v>400244.99709999998</v>
      </c>
      <c r="J29" s="23">
        <f t="shared" si="4"/>
        <v>889828.31700000004</v>
      </c>
      <c r="K29" s="23">
        <f t="shared" si="4"/>
        <v>846360.57220000005</v>
      </c>
      <c r="L29" s="23">
        <f t="shared" si="4"/>
        <v>856306.68559999997</v>
      </c>
      <c r="M29" s="23">
        <f t="shared" si="4"/>
        <v>775190.88450000004</v>
      </c>
      <c r="N29" s="23">
        <f t="shared" si="4"/>
        <v>732299.46299999999</v>
      </c>
      <c r="O29" s="23">
        <f t="shared" si="4"/>
        <v>625068.33160000003</v>
      </c>
      <c r="P29" s="23">
        <f t="shared" si="4"/>
        <v>575618.23080000002</v>
      </c>
      <c r="Q29" s="23">
        <f t="shared" si="4"/>
        <v>530290.34199999995</v>
      </c>
      <c r="R29" s="23">
        <f t="shared" si="4"/>
        <v>514802.32949999999</v>
      </c>
      <c r="S29" s="23">
        <f t="shared" si="4"/>
        <v>512014.06400000001</v>
      </c>
      <c r="T29" s="23">
        <f t="shared" si="4"/>
        <v>877825.07999999984</v>
      </c>
      <c r="U29" s="23">
        <f t="shared" si="4"/>
        <v>825496.89599999983</v>
      </c>
      <c r="V29" s="23">
        <f t="shared" si="4"/>
        <v>1244037.9279999998</v>
      </c>
      <c r="W29" s="23">
        <f t="shared" si="4"/>
        <v>1225829.808</v>
      </c>
      <c r="X29" s="23">
        <f t="shared" si="4"/>
        <v>1136801.4959999998</v>
      </c>
      <c r="Y29" s="23">
        <f>SUM(Y24:Y28)</f>
        <v>1051098.8799999999</v>
      </c>
      <c r="Z29" s="23">
        <f t="shared" si="4"/>
        <v>1015222.728</v>
      </c>
      <c r="AA29" s="23">
        <f t="shared" si="4"/>
        <v>998214.79999999993</v>
      </c>
      <c r="AB29" s="23">
        <f t="shared" si="4"/>
        <v>934829.90399999986</v>
      </c>
      <c r="AC29" s="23">
        <f t="shared" si="4"/>
        <v>860323.96800000011</v>
      </c>
      <c r="AD29" s="23">
        <f t="shared" si="4"/>
        <v>823376.23999999987</v>
      </c>
      <c r="AE29" s="23">
        <f t="shared" si="4"/>
        <v>798435.03999999992</v>
      </c>
      <c r="AF29" s="23">
        <f t="shared" si="4"/>
        <v>0</v>
      </c>
      <c r="AG29" s="23">
        <f t="shared" si="4"/>
        <v>0</v>
      </c>
      <c r="AH29" s="23">
        <f t="shared" si="4"/>
        <v>0</v>
      </c>
      <c r="AI29" s="23">
        <f t="shared" si="4"/>
        <v>0</v>
      </c>
      <c r="AJ29" s="23">
        <f t="shared" si="4"/>
        <v>0</v>
      </c>
      <c r="AK29" s="23">
        <f t="shared" si="4"/>
        <v>0</v>
      </c>
      <c r="AL29" s="23">
        <f t="shared" si="4"/>
        <v>0</v>
      </c>
      <c r="AM29" s="23">
        <f t="shared" si="4"/>
        <v>0</v>
      </c>
    </row>
    <row r="30" spans="2:39" x14ac:dyDescent="0.2">
      <c r="B30" s="21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2:39" hidden="1" outlineLevel="1" x14ac:dyDescent="0.2">
      <c r="B31" s="21"/>
      <c r="C31" s="20" t="s">
        <v>212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2:39" hidden="1" outlineLevel="1" x14ac:dyDescent="0.2">
      <c r="B32" s="21">
        <v>13004</v>
      </c>
      <c r="C32" s="16" t="str">
        <f>_xlfn.XLOOKUP(B32,TB_UK!A:A,TB_UK!E:E)</f>
        <v>Staff Advances</v>
      </c>
      <c r="D32" s="17">
        <f>_xlfn.XLOOKUP($C32,TB_UK!$E:$E,TB_UK!F:F)*D$2</f>
        <v>0</v>
      </c>
      <c r="E32" s="17">
        <f>_xlfn.XLOOKUP($C32,TB_UK!$E:$E,TB_UK!G:G)*E$2</f>
        <v>0</v>
      </c>
      <c r="F32" s="17">
        <f>_xlfn.XLOOKUP($C32,TB_UK!$E:$E,TB_UK!H:H)*F$2</f>
        <v>0</v>
      </c>
      <c r="G32" s="17">
        <f>_xlfn.XLOOKUP($C32,TB_UK!$E:$E,TB_UK!I:I)*G$2</f>
        <v>0</v>
      </c>
      <c r="H32" s="17">
        <f>_xlfn.XLOOKUP($C32,TB_UK!$E:$E,TB_UK!J:J)*H$2</f>
        <v>0</v>
      </c>
      <c r="I32" s="17">
        <f>_xlfn.XLOOKUP($C32,TB_UK!$E:$E,TB_UK!K:K)*I$2</f>
        <v>0</v>
      </c>
      <c r="J32" s="17">
        <f>_xlfn.XLOOKUP($C32,TB_UK!$E:$E,TB_UK!L:L)*J$2</f>
        <v>0</v>
      </c>
      <c r="K32" s="17">
        <f>_xlfn.XLOOKUP($C32,TB_UK!$E:$E,TB_UK!M:M)*K$2</f>
        <v>0</v>
      </c>
      <c r="L32" s="17">
        <f>_xlfn.XLOOKUP($C32,TB_UK!$E:$E,TB_UK!N:N)*L$2</f>
        <v>0</v>
      </c>
      <c r="M32" s="17">
        <f>_xlfn.XLOOKUP($C32,TB_UK!$E:$E,TB_UK!O:O)*M$2</f>
        <v>0</v>
      </c>
      <c r="N32" s="17">
        <f>_xlfn.XLOOKUP($C32,TB_UK!$E:$E,TB_UK!P:P)*N$2</f>
        <v>0</v>
      </c>
      <c r="O32" s="17">
        <f>_xlfn.XLOOKUP($C32,TB_UK!$E:$E,TB_UK!Q:Q)*O$2</f>
        <v>0</v>
      </c>
      <c r="P32" s="17">
        <f>_xlfn.XLOOKUP($C32,TB_UK!$E:$E,TB_UK!R:R)*P$2</f>
        <v>0</v>
      </c>
      <c r="Q32" s="17">
        <f>_xlfn.XLOOKUP($C32,TB_UK!$E:$E,TB_UK!S:S)*Q$2</f>
        <v>0</v>
      </c>
      <c r="R32" s="17">
        <f>_xlfn.XLOOKUP($C32,TB_UK!$E:$E,TB_UK!T:T)*R$2</f>
        <v>0</v>
      </c>
      <c r="S32" s="17">
        <f>_xlfn.XLOOKUP($C32,TB_UK!$E:$E,TB_UK!U:U)*S$2</f>
        <v>0</v>
      </c>
      <c r="T32" s="17">
        <f>_xlfn.XLOOKUP($C32,TB_UK!$E:$E,TB_UK!V:V)*T$2</f>
        <v>0</v>
      </c>
      <c r="U32" s="17">
        <f>_xlfn.XLOOKUP($C32,TB_UK!$E:$E,TB_UK!W:W)*U$2</f>
        <v>0</v>
      </c>
      <c r="V32" s="17">
        <f>_xlfn.XLOOKUP($C32,TB_UK!$E:$E,TB_UK!X:X)*V$2</f>
        <v>0</v>
      </c>
      <c r="W32" s="17">
        <f>_xlfn.XLOOKUP($C32,TB_UK!$E:$E,TB_UK!Y:Y)*W$2</f>
        <v>0</v>
      </c>
      <c r="X32" s="17">
        <f>_xlfn.XLOOKUP($C32,TB_UK!$E:$E,TB_UK!Z:Z)*X$2</f>
        <v>0</v>
      </c>
      <c r="Y32" s="17">
        <f>_xlfn.XLOOKUP($C32,TB_UK!$E:$E,TB_UK!AA:AA)*Y$2</f>
        <v>0</v>
      </c>
      <c r="Z32" s="17">
        <f>_xlfn.XLOOKUP($C32,TB_UK!$E:$E,TB_UK!AB:AB)*Z$2</f>
        <v>0</v>
      </c>
      <c r="AA32" s="17">
        <f>_xlfn.XLOOKUP($C32,TB_UK!$E:$E,TB_UK!AC:AC)*AA$2</f>
        <v>0</v>
      </c>
      <c r="AB32" s="17">
        <f>_xlfn.XLOOKUP($C32,TB_UK!$E:$E,TB_UK!AD:AD)*AB$2</f>
        <v>0</v>
      </c>
      <c r="AC32" s="17">
        <f>_xlfn.XLOOKUP($C32,TB_UK!$E:$E,TB_UK!AE:AE)*AC$2</f>
        <v>0</v>
      </c>
      <c r="AD32" s="17">
        <f>_xlfn.XLOOKUP($C32,TB_UK!$E:$E,TB_UK!AF:AF)*AD$2</f>
        <v>0</v>
      </c>
      <c r="AE32" s="17">
        <f>_xlfn.XLOOKUP($C32,TB_UK!$E:$E,TB_UK!AG:AG)*AE$2</f>
        <v>1855100</v>
      </c>
      <c r="AF32" s="17">
        <f>_xlfn.XLOOKUP($C32,TB_UK!$E:$E,TB_UK!AH:AH)*AF$2</f>
        <v>0</v>
      </c>
      <c r="AG32" s="17">
        <f>_xlfn.XLOOKUP($C32,TB_UK!$E:$E,TB_UK!AI:AI)*AG$2</f>
        <v>0</v>
      </c>
      <c r="AH32" s="17">
        <f>_xlfn.XLOOKUP($C32,TB_UK!$E:$E,TB_UK!AJ:AJ)*AH$2</f>
        <v>0</v>
      </c>
      <c r="AI32" s="17">
        <f>_xlfn.XLOOKUP($C32,TB_UK!$E:$E,TB_UK!AK:AK)*AI$2</f>
        <v>0</v>
      </c>
      <c r="AJ32" s="17">
        <f>_xlfn.XLOOKUP($C32,TB_UK!$E:$E,TB_UK!AL:AL)*AJ$2</f>
        <v>0</v>
      </c>
      <c r="AK32" s="17">
        <f>_xlfn.XLOOKUP($C32,TB_UK!$E:$E,TB_UK!AM:AM)*AK$2</f>
        <v>0</v>
      </c>
      <c r="AL32" s="17">
        <f>_xlfn.XLOOKUP($C32,TB_UK!$E:$E,TB_UK!AN:AN)*AL$2</f>
        <v>0</v>
      </c>
      <c r="AM32" s="17">
        <f>_xlfn.XLOOKUP($C32,TB_UK!$E:$E,TB_UK!AO:AO)*AM$2</f>
        <v>0</v>
      </c>
    </row>
    <row r="33" spans="2:39" hidden="1" outlineLevel="1" x14ac:dyDescent="0.2">
      <c r="B33" s="15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8"/>
    </row>
    <row r="34" spans="2:39" collapsed="1" x14ac:dyDescent="0.2">
      <c r="B34" s="15"/>
      <c r="C34" s="22" t="s">
        <v>38</v>
      </c>
      <c r="D34" s="23">
        <f t="shared" ref="D34:AM34" si="5">SUM(D32:D33)</f>
        <v>0</v>
      </c>
      <c r="E34" s="23">
        <f t="shared" si="5"/>
        <v>0</v>
      </c>
      <c r="F34" s="23">
        <f t="shared" si="5"/>
        <v>0</v>
      </c>
      <c r="G34" s="23">
        <f t="shared" si="5"/>
        <v>0</v>
      </c>
      <c r="H34" s="23">
        <f t="shared" si="5"/>
        <v>0</v>
      </c>
      <c r="I34" s="23">
        <f t="shared" si="5"/>
        <v>0</v>
      </c>
      <c r="J34" s="23">
        <f t="shared" si="5"/>
        <v>0</v>
      </c>
      <c r="K34" s="23">
        <f t="shared" si="5"/>
        <v>0</v>
      </c>
      <c r="L34" s="23">
        <f t="shared" si="5"/>
        <v>0</v>
      </c>
      <c r="M34" s="23">
        <f t="shared" si="5"/>
        <v>0</v>
      </c>
      <c r="N34" s="23">
        <f t="shared" si="5"/>
        <v>0</v>
      </c>
      <c r="O34" s="23">
        <f t="shared" si="5"/>
        <v>0</v>
      </c>
      <c r="P34" s="23">
        <f t="shared" si="5"/>
        <v>0</v>
      </c>
      <c r="Q34" s="23">
        <f t="shared" si="5"/>
        <v>0</v>
      </c>
      <c r="R34" s="23">
        <f t="shared" si="5"/>
        <v>0</v>
      </c>
      <c r="S34" s="23">
        <f t="shared" si="5"/>
        <v>0</v>
      </c>
      <c r="T34" s="23">
        <f t="shared" si="5"/>
        <v>0</v>
      </c>
      <c r="U34" s="23">
        <f t="shared" si="5"/>
        <v>0</v>
      </c>
      <c r="V34" s="23">
        <f t="shared" si="5"/>
        <v>0</v>
      </c>
      <c r="W34" s="23">
        <f t="shared" si="5"/>
        <v>0</v>
      </c>
      <c r="X34" s="23">
        <f t="shared" si="5"/>
        <v>0</v>
      </c>
      <c r="Y34" s="23">
        <f>SUM(Y32:Y33)</f>
        <v>0</v>
      </c>
      <c r="Z34" s="23">
        <f t="shared" si="5"/>
        <v>0</v>
      </c>
      <c r="AA34" s="23">
        <f t="shared" si="5"/>
        <v>0</v>
      </c>
      <c r="AB34" s="23">
        <f t="shared" si="5"/>
        <v>0</v>
      </c>
      <c r="AC34" s="23">
        <f t="shared" si="5"/>
        <v>0</v>
      </c>
      <c r="AD34" s="23">
        <f t="shared" si="5"/>
        <v>0</v>
      </c>
      <c r="AE34" s="23">
        <f t="shared" si="5"/>
        <v>1855100</v>
      </c>
      <c r="AF34" s="23">
        <f t="shared" si="5"/>
        <v>0</v>
      </c>
      <c r="AG34" s="23">
        <f t="shared" si="5"/>
        <v>0</v>
      </c>
      <c r="AH34" s="23">
        <f t="shared" si="5"/>
        <v>0</v>
      </c>
      <c r="AI34" s="23">
        <f t="shared" si="5"/>
        <v>0</v>
      </c>
      <c r="AJ34" s="23">
        <f t="shared" si="5"/>
        <v>0</v>
      </c>
      <c r="AK34" s="23">
        <f t="shared" si="5"/>
        <v>0</v>
      </c>
      <c r="AL34" s="23">
        <f t="shared" si="5"/>
        <v>0</v>
      </c>
      <c r="AM34" s="23">
        <f t="shared" si="5"/>
        <v>0</v>
      </c>
    </row>
    <row r="35" spans="2:39" x14ac:dyDescent="0.2">
      <c r="B35" s="15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8"/>
    </row>
    <row r="36" spans="2:39" hidden="1" outlineLevel="1" x14ac:dyDescent="0.2">
      <c r="B36" s="15"/>
      <c r="C36" s="20" t="s">
        <v>751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8"/>
    </row>
    <row r="37" spans="2:39" hidden="1" outlineLevel="1" x14ac:dyDescent="0.2">
      <c r="B37" s="21">
        <v>13400</v>
      </c>
      <c r="C37" s="16" t="str">
        <f>_xlfn.XLOOKUP(B37,TB_UK!A:A,TB_UK!E:E)</f>
        <v>Withholding Tax Receivable</v>
      </c>
      <c r="D37" s="17">
        <f>_xlfn.XLOOKUP($C37,TB_UK!$E:$E,TB_UK!F:F)*D$2</f>
        <v>0</v>
      </c>
      <c r="E37" s="17">
        <f>_xlfn.XLOOKUP($C37,TB_UK!$E:$E,TB_UK!G:G)*E$2</f>
        <v>0</v>
      </c>
      <c r="F37" s="17">
        <f>_xlfn.XLOOKUP($C37,TB_UK!$E:$E,TB_UK!H:H)*F$2</f>
        <v>0</v>
      </c>
      <c r="G37" s="17">
        <f>_xlfn.XLOOKUP($C37,TB_UK!$E:$E,TB_UK!I:I)*G$2</f>
        <v>0</v>
      </c>
      <c r="H37" s="17">
        <f>_xlfn.XLOOKUP($C37,TB_UK!$E:$E,TB_UK!J:J)*H$2</f>
        <v>0</v>
      </c>
      <c r="I37" s="17">
        <f>_xlfn.XLOOKUP($C37,TB_UK!$E:$E,TB_UK!K:K)*I$2</f>
        <v>0</v>
      </c>
      <c r="J37" s="17">
        <f>_xlfn.XLOOKUP($C37,TB_UK!$E:$E,TB_UK!L:L)*J$2</f>
        <v>0</v>
      </c>
      <c r="K37" s="17">
        <f>_xlfn.XLOOKUP($C37,TB_UK!$E:$E,TB_UK!M:M)*K$2</f>
        <v>0</v>
      </c>
      <c r="L37" s="17">
        <f>_xlfn.XLOOKUP($C37,TB_UK!$E:$E,TB_UK!N:N)*L$2</f>
        <v>0</v>
      </c>
      <c r="M37" s="17">
        <f>_xlfn.XLOOKUP($C37,TB_UK!$E:$E,TB_UK!O:O)*M$2</f>
        <v>0</v>
      </c>
      <c r="N37" s="17">
        <f>_xlfn.XLOOKUP($C37,TB_UK!$E:$E,TB_UK!P:P)*N$2</f>
        <v>0</v>
      </c>
      <c r="O37" s="17">
        <f>_xlfn.XLOOKUP($C37,TB_UK!$E:$E,TB_UK!Q:Q)*O$2</f>
        <v>0</v>
      </c>
      <c r="P37" s="17">
        <f>_xlfn.XLOOKUP($C37,TB_UK!$E:$E,TB_UK!R:R)*P$2</f>
        <v>0</v>
      </c>
      <c r="Q37" s="17">
        <f>_xlfn.XLOOKUP($C37,TB_UK!$E:$E,TB_UK!S:S)*Q$2</f>
        <v>0</v>
      </c>
      <c r="R37" s="17">
        <f>_xlfn.XLOOKUP($C37,TB_UK!$E:$E,TB_UK!T:T)*R$2</f>
        <v>0</v>
      </c>
      <c r="S37" s="17">
        <f>_xlfn.XLOOKUP($C37,TB_UK!$E:$E,TB_UK!U:U)*S$2</f>
        <v>0</v>
      </c>
      <c r="T37" s="17">
        <f>_xlfn.XLOOKUP($C37,TB_UK!$E:$E,TB_UK!V:V)*T$2</f>
        <v>0</v>
      </c>
      <c r="U37" s="17">
        <f>_xlfn.XLOOKUP($C37,TB_UK!$E:$E,TB_UK!W:W)*U$2</f>
        <v>0</v>
      </c>
      <c r="V37" s="17">
        <f>_xlfn.XLOOKUP($C37,TB_UK!$E:$E,TB_UK!X:X)*V$2</f>
        <v>0</v>
      </c>
      <c r="W37" s="17">
        <f>_xlfn.XLOOKUP($C37,TB_UK!$E:$E,TB_UK!Y:Y)*W$2</f>
        <v>0</v>
      </c>
      <c r="X37" s="17">
        <f>_xlfn.XLOOKUP($C37,TB_UK!$E:$E,TB_UK!Z:Z)*X$2</f>
        <v>0</v>
      </c>
      <c r="Y37" s="17">
        <f>_xlfn.XLOOKUP($C37,TB_UK!$E:$E,TB_UK!AA:AA)*Y$2</f>
        <v>0</v>
      </c>
      <c r="Z37" s="17">
        <f>_xlfn.XLOOKUP($C37,TB_UK!$E:$E,TB_UK!AB:AB)*Z$2</f>
        <v>0</v>
      </c>
      <c r="AA37" s="17">
        <f>_xlfn.XLOOKUP($C37,TB_UK!$E:$E,TB_UK!AC:AC)*AA$2</f>
        <v>0</v>
      </c>
      <c r="AB37" s="17">
        <f>_xlfn.XLOOKUP($C37,TB_UK!$E:$E,TB_UK!AD:AD)*AB$2</f>
        <v>0</v>
      </c>
      <c r="AC37" s="17">
        <f>_xlfn.XLOOKUP($C37,TB_UK!$E:$E,TB_UK!AE:AE)*AC$2</f>
        <v>0</v>
      </c>
      <c r="AD37" s="17">
        <f>_xlfn.XLOOKUP($C37,TB_UK!$E:$E,TB_UK!AF:AF)*AD$2</f>
        <v>0</v>
      </c>
      <c r="AE37" s="17">
        <f>_xlfn.XLOOKUP($C37,TB_UK!$E:$E,TB_UK!AG:AG)*AE$2</f>
        <v>0</v>
      </c>
      <c r="AF37" s="17">
        <f>_xlfn.XLOOKUP($C37,TB_UK!$E:$E,TB_UK!AH:AH)*AF$2</f>
        <v>0</v>
      </c>
      <c r="AG37" s="17">
        <f>_xlfn.XLOOKUP($C37,TB_UK!$E:$E,TB_UK!AI:AI)*AG$2</f>
        <v>0</v>
      </c>
      <c r="AH37" s="17">
        <f>_xlfn.XLOOKUP($C37,TB_UK!$E:$E,TB_UK!AJ:AJ)*AH$2</f>
        <v>0</v>
      </c>
      <c r="AI37" s="17">
        <f>_xlfn.XLOOKUP($C37,TB_UK!$E:$E,TB_UK!AK:AK)*AI$2</f>
        <v>0</v>
      </c>
      <c r="AJ37" s="17">
        <f>_xlfn.XLOOKUP($C37,TB_UK!$E:$E,TB_UK!AL:AL)*AJ$2</f>
        <v>0</v>
      </c>
      <c r="AK37" s="17">
        <f>_xlfn.XLOOKUP($C37,TB_UK!$E:$E,TB_UK!AM:AM)*AK$2</f>
        <v>0</v>
      </c>
      <c r="AL37" s="17">
        <f>_xlfn.XLOOKUP($C37,TB_UK!$E:$E,TB_UK!AN:AN)*AL$2</f>
        <v>0</v>
      </c>
      <c r="AM37" s="17">
        <f>_xlfn.XLOOKUP($C37,TB_UK!$E:$E,TB_UK!AO:AO)*AM$2</f>
        <v>0</v>
      </c>
    </row>
    <row r="38" spans="2:39" hidden="1" outlineLevel="1" x14ac:dyDescent="0.2">
      <c r="B38" s="21">
        <v>17000</v>
      </c>
      <c r="C38" s="16" t="str">
        <f>_xlfn.XLOOKUP(B38,TB_UK!A:A,TB_UK!E:E)</f>
        <v>Tax Claimable</v>
      </c>
      <c r="D38" s="17">
        <f>_xlfn.XLOOKUP($C38,TB_UK!$E:$E,TB_UK!F:F)*D$2</f>
        <v>0</v>
      </c>
      <c r="E38" s="17">
        <f>_xlfn.XLOOKUP($C38,TB_UK!$E:$E,TB_UK!G:G)*E$2</f>
        <v>0</v>
      </c>
      <c r="F38" s="17">
        <f>_xlfn.XLOOKUP($C38,TB_UK!$E:$E,TB_UK!H:H)*F$2</f>
        <v>0</v>
      </c>
      <c r="G38" s="17">
        <f>_xlfn.XLOOKUP($C38,TB_UK!$E:$E,TB_UK!I:I)*G$2</f>
        <v>0</v>
      </c>
      <c r="H38" s="17">
        <f>_xlfn.XLOOKUP($C38,TB_UK!$E:$E,TB_UK!J:J)*H$2</f>
        <v>0</v>
      </c>
      <c r="I38" s="17">
        <f>_xlfn.XLOOKUP($C38,TB_UK!$E:$E,TB_UK!K:K)*I$2</f>
        <v>0</v>
      </c>
      <c r="J38" s="17">
        <f>_xlfn.XLOOKUP($C38,TB_UK!$E:$E,TB_UK!L:L)*J$2</f>
        <v>0</v>
      </c>
      <c r="K38" s="17">
        <f>_xlfn.XLOOKUP($C38,TB_UK!$E:$E,TB_UK!M:M)*K$2</f>
        <v>0</v>
      </c>
      <c r="L38" s="17">
        <f>_xlfn.XLOOKUP($C38,TB_UK!$E:$E,TB_UK!N:N)*L$2</f>
        <v>0</v>
      </c>
      <c r="M38" s="17">
        <f>_xlfn.XLOOKUP($C38,TB_UK!$E:$E,TB_UK!O:O)*M$2</f>
        <v>0</v>
      </c>
      <c r="N38" s="17">
        <f>_xlfn.XLOOKUP($C38,TB_UK!$E:$E,TB_UK!P:P)*N$2</f>
        <v>0</v>
      </c>
      <c r="O38" s="17">
        <f>_xlfn.XLOOKUP($C38,TB_UK!$E:$E,TB_UK!Q:Q)*O$2</f>
        <v>0</v>
      </c>
      <c r="P38" s="17">
        <f>_xlfn.XLOOKUP($C38,TB_UK!$E:$E,TB_UK!R:R)*P$2</f>
        <v>0</v>
      </c>
      <c r="Q38" s="17">
        <f>_xlfn.XLOOKUP($C38,TB_UK!$E:$E,TB_UK!S:S)*Q$2</f>
        <v>0</v>
      </c>
      <c r="R38" s="17">
        <f>_xlfn.XLOOKUP($C38,TB_UK!$E:$E,TB_UK!T:T)*R$2</f>
        <v>0</v>
      </c>
      <c r="S38" s="17">
        <f>_xlfn.XLOOKUP($C38,TB_UK!$E:$E,TB_UK!U:U)*S$2</f>
        <v>0</v>
      </c>
      <c r="T38" s="17">
        <f>_xlfn.XLOOKUP($C38,TB_UK!$E:$E,TB_UK!V:V)*T$2</f>
        <v>0</v>
      </c>
      <c r="U38" s="17">
        <f>_xlfn.XLOOKUP($C38,TB_UK!$E:$E,TB_UK!W:W)*U$2</f>
        <v>0</v>
      </c>
      <c r="V38" s="17">
        <f>_xlfn.XLOOKUP($C38,TB_UK!$E:$E,TB_UK!X:X)*V$2</f>
        <v>0</v>
      </c>
      <c r="W38" s="17">
        <f>_xlfn.XLOOKUP($C38,TB_UK!$E:$E,TB_UK!Y:Y)*W$2</f>
        <v>0</v>
      </c>
      <c r="X38" s="17">
        <f>_xlfn.XLOOKUP($C38,TB_UK!$E:$E,TB_UK!Z:Z)*X$2</f>
        <v>0</v>
      </c>
      <c r="Y38" s="17">
        <f>_xlfn.XLOOKUP($C38,TB_UK!$E:$E,TB_UK!AA:AA)*Y$2</f>
        <v>0</v>
      </c>
      <c r="Z38" s="17">
        <f>_xlfn.XLOOKUP($C38,TB_UK!$E:$E,TB_UK!AB:AB)*Z$2</f>
        <v>0</v>
      </c>
      <c r="AA38" s="17">
        <f>_xlfn.XLOOKUP($C38,TB_UK!$E:$E,TB_UK!AC:AC)*AA$2</f>
        <v>0</v>
      </c>
      <c r="AB38" s="17">
        <f>_xlfn.XLOOKUP($C38,TB_UK!$E:$E,TB_UK!AD:AD)*AB$2</f>
        <v>0</v>
      </c>
      <c r="AC38" s="17">
        <f>_xlfn.XLOOKUP($C38,TB_UK!$E:$E,TB_UK!AE:AE)*AC$2</f>
        <v>0</v>
      </c>
      <c r="AD38" s="17">
        <f>_xlfn.XLOOKUP($C38,TB_UK!$E:$E,TB_UK!AF:AF)*AD$2</f>
        <v>0</v>
      </c>
      <c r="AE38" s="17">
        <f>_xlfn.XLOOKUP($C38,TB_UK!$E:$E,TB_UK!AG:AG)*AE$2</f>
        <v>0</v>
      </c>
      <c r="AF38" s="17">
        <f>_xlfn.XLOOKUP($C38,TB_UK!$E:$E,TB_UK!AH:AH)*AF$2</f>
        <v>0</v>
      </c>
      <c r="AG38" s="17">
        <f>_xlfn.XLOOKUP($C38,TB_UK!$E:$E,TB_UK!AI:AI)*AG$2</f>
        <v>0</v>
      </c>
      <c r="AH38" s="17">
        <f>_xlfn.XLOOKUP($C38,TB_UK!$E:$E,TB_UK!AJ:AJ)*AH$2</f>
        <v>0</v>
      </c>
      <c r="AI38" s="17">
        <f>_xlfn.XLOOKUP($C38,TB_UK!$E:$E,TB_UK!AK:AK)*AI$2</f>
        <v>0</v>
      </c>
      <c r="AJ38" s="17">
        <f>_xlfn.XLOOKUP($C38,TB_UK!$E:$E,TB_UK!AL:AL)*AJ$2</f>
        <v>0</v>
      </c>
      <c r="AK38" s="17">
        <f>_xlfn.XLOOKUP($C38,TB_UK!$E:$E,TB_UK!AM:AM)*AK$2</f>
        <v>0</v>
      </c>
      <c r="AL38" s="17">
        <f>_xlfn.XLOOKUP($C38,TB_UK!$E:$E,TB_UK!AN:AN)*AL$2</f>
        <v>0</v>
      </c>
      <c r="AM38" s="17">
        <f>_xlfn.XLOOKUP($C38,TB_UK!$E:$E,TB_UK!AO:AO)*AM$2</f>
        <v>0</v>
      </c>
    </row>
    <row r="39" spans="2:39" hidden="1" outlineLevel="1" x14ac:dyDescent="0.2">
      <c r="B39" s="21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 spans="2:39" collapsed="1" x14ac:dyDescent="0.2">
      <c r="B40" s="15"/>
      <c r="C40" s="22" t="s">
        <v>40</v>
      </c>
      <c r="D40" s="23">
        <f t="shared" ref="D40:AM40" si="6">SUM(D37:D39)</f>
        <v>0</v>
      </c>
      <c r="E40" s="23">
        <f t="shared" si="6"/>
        <v>0</v>
      </c>
      <c r="F40" s="23">
        <f t="shared" si="6"/>
        <v>0</v>
      </c>
      <c r="G40" s="23">
        <f t="shared" si="6"/>
        <v>0</v>
      </c>
      <c r="H40" s="23">
        <f t="shared" si="6"/>
        <v>0</v>
      </c>
      <c r="I40" s="23">
        <f t="shared" si="6"/>
        <v>0</v>
      </c>
      <c r="J40" s="23">
        <f t="shared" si="6"/>
        <v>0</v>
      </c>
      <c r="K40" s="23">
        <f t="shared" si="6"/>
        <v>0</v>
      </c>
      <c r="L40" s="23">
        <f t="shared" si="6"/>
        <v>0</v>
      </c>
      <c r="M40" s="23">
        <f t="shared" si="6"/>
        <v>0</v>
      </c>
      <c r="N40" s="23">
        <f t="shared" si="6"/>
        <v>0</v>
      </c>
      <c r="O40" s="23">
        <f t="shared" si="6"/>
        <v>0</v>
      </c>
      <c r="P40" s="23">
        <f t="shared" si="6"/>
        <v>0</v>
      </c>
      <c r="Q40" s="23">
        <f t="shared" si="6"/>
        <v>0</v>
      </c>
      <c r="R40" s="23">
        <f t="shared" si="6"/>
        <v>0</v>
      </c>
      <c r="S40" s="23">
        <f t="shared" si="6"/>
        <v>0</v>
      </c>
      <c r="T40" s="23">
        <f t="shared" si="6"/>
        <v>0</v>
      </c>
      <c r="U40" s="23">
        <f t="shared" si="6"/>
        <v>0</v>
      </c>
      <c r="V40" s="23">
        <f t="shared" si="6"/>
        <v>0</v>
      </c>
      <c r="W40" s="23">
        <f t="shared" si="6"/>
        <v>0</v>
      </c>
      <c r="X40" s="23">
        <f t="shared" si="6"/>
        <v>0</v>
      </c>
      <c r="Y40" s="23">
        <f>SUM(Y37:Y39)</f>
        <v>0</v>
      </c>
      <c r="Z40" s="23">
        <f t="shared" si="6"/>
        <v>0</v>
      </c>
      <c r="AA40" s="23">
        <f t="shared" si="6"/>
        <v>0</v>
      </c>
      <c r="AB40" s="23">
        <f t="shared" si="6"/>
        <v>0</v>
      </c>
      <c r="AC40" s="23">
        <f t="shared" si="6"/>
        <v>0</v>
      </c>
      <c r="AD40" s="23">
        <f t="shared" si="6"/>
        <v>0</v>
      </c>
      <c r="AE40" s="23">
        <f t="shared" si="6"/>
        <v>0</v>
      </c>
      <c r="AF40" s="23">
        <f t="shared" si="6"/>
        <v>0</v>
      </c>
      <c r="AG40" s="23">
        <f t="shared" si="6"/>
        <v>0</v>
      </c>
      <c r="AH40" s="23">
        <f t="shared" si="6"/>
        <v>0</v>
      </c>
      <c r="AI40" s="23">
        <f t="shared" si="6"/>
        <v>0</v>
      </c>
      <c r="AJ40" s="23">
        <f t="shared" si="6"/>
        <v>0</v>
      </c>
      <c r="AK40" s="23">
        <f t="shared" si="6"/>
        <v>0</v>
      </c>
      <c r="AL40" s="23">
        <f t="shared" si="6"/>
        <v>0</v>
      </c>
      <c r="AM40" s="23">
        <f t="shared" si="6"/>
        <v>0</v>
      </c>
    </row>
    <row r="41" spans="2:39" x14ac:dyDescent="0.2">
      <c r="B41" s="21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</row>
    <row r="42" spans="2:39" hidden="1" outlineLevel="1" x14ac:dyDescent="0.2">
      <c r="B42" s="21"/>
      <c r="C42" s="20" t="s">
        <v>220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</row>
    <row r="43" spans="2:39" hidden="1" outlineLevel="1" x14ac:dyDescent="0.2">
      <c r="B43" s="21">
        <v>14000</v>
      </c>
      <c r="C43" s="16" t="str">
        <f>_xlfn.XLOOKUP(B43,TB_UK!A:A,TB_UK!E:E)</f>
        <v>Other Debtors - Seamfix FZCO</v>
      </c>
      <c r="D43" s="17">
        <f>_xlfn.XLOOKUP($C43,TB_UK!$E:$E,TB_UK!F:F)*D$2</f>
        <v>0</v>
      </c>
      <c r="E43" s="17">
        <f>_xlfn.XLOOKUP($C43,TB_UK!$E:$E,TB_UK!G:G)*E$2</f>
        <v>0</v>
      </c>
      <c r="F43" s="17">
        <f>_xlfn.XLOOKUP($C43,TB_UK!$E:$E,TB_UK!H:H)*F$2</f>
        <v>0</v>
      </c>
      <c r="G43" s="17">
        <f>_xlfn.XLOOKUP($C43,TB_UK!$E:$E,TB_UK!I:I)*G$2</f>
        <v>0</v>
      </c>
      <c r="H43" s="17">
        <f>_xlfn.XLOOKUP($C43,TB_UK!$E:$E,TB_UK!J:J)*H$2</f>
        <v>0</v>
      </c>
      <c r="I43" s="17">
        <f>_xlfn.XLOOKUP($C43,TB_UK!$E:$E,TB_UK!K:K)*I$2</f>
        <v>0</v>
      </c>
      <c r="J43" s="17">
        <f>_xlfn.XLOOKUP($C43,TB_UK!$E:$E,TB_UK!L:L)*J$2</f>
        <v>0</v>
      </c>
      <c r="K43" s="17">
        <f>_xlfn.XLOOKUP($C43,TB_UK!$E:$E,TB_UK!M:M)*K$2</f>
        <v>0</v>
      </c>
      <c r="L43" s="17">
        <f>_xlfn.XLOOKUP($C43,TB_UK!$E:$E,TB_UK!N:N)*L$2</f>
        <v>0</v>
      </c>
      <c r="M43" s="17">
        <f>_xlfn.XLOOKUP($C43,TB_UK!$E:$E,TB_UK!O:O)*M$2</f>
        <v>0</v>
      </c>
      <c r="N43" s="17">
        <f>_xlfn.XLOOKUP($C43,TB_UK!$E:$E,TB_UK!P:P)*N$2</f>
        <v>0</v>
      </c>
      <c r="O43" s="17">
        <f>_xlfn.XLOOKUP($C43,TB_UK!$E:$E,TB_UK!Q:Q)*O$2</f>
        <v>0</v>
      </c>
      <c r="P43" s="17">
        <f>_xlfn.XLOOKUP($C43,TB_UK!$E:$E,TB_UK!R:R)*P$2</f>
        <v>0</v>
      </c>
      <c r="Q43" s="17">
        <f>_xlfn.XLOOKUP($C43,TB_UK!$E:$E,TB_UK!S:S)*Q$2</f>
        <v>0</v>
      </c>
      <c r="R43" s="17">
        <f>_xlfn.XLOOKUP($C43,TB_UK!$E:$E,TB_UK!T:T)*R$2</f>
        <v>0</v>
      </c>
      <c r="S43" s="17">
        <f>_xlfn.XLOOKUP($C43,TB_UK!$E:$E,TB_UK!U:U)*S$2</f>
        <v>0</v>
      </c>
      <c r="T43" s="17">
        <f>_xlfn.XLOOKUP($C43,TB_UK!$E:$E,TB_UK!V:V)*T$2</f>
        <v>0</v>
      </c>
      <c r="U43" s="17">
        <f>_xlfn.XLOOKUP($C43,TB_UK!$E:$E,TB_UK!W:W)*U$2</f>
        <v>0</v>
      </c>
      <c r="V43" s="17">
        <f>_xlfn.XLOOKUP($C43,TB_UK!$E:$E,TB_UK!X:X)*V$2</f>
        <v>0</v>
      </c>
      <c r="W43" s="17">
        <f>_xlfn.XLOOKUP($C43,TB_UK!$E:$E,TB_UK!Y:Y)*W$2</f>
        <v>0</v>
      </c>
      <c r="X43" s="17">
        <f>_xlfn.XLOOKUP($C43,TB_UK!$E:$E,TB_UK!Z:Z)*X$2</f>
        <v>0</v>
      </c>
      <c r="Y43" s="17">
        <f>_xlfn.XLOOKUP($C43,TB_UK!$E:$E,TB_UK!AA:AA)*Y$2</f>
        <v>0</v>
      </c>
      <c r="Z43" s="17">
        <f>_xlfn.XLOOKUP($C43,TB_UK!$E:$E,TB_UK!AB:AB)*Z$2</f>
        <v>0</v>
      </c>
      <c r="AA43" s="17">
        <f>_xlfn.XLOOKUP($C43,TB_UK!$E:$E,TB_UK!AC:AC)*AA$2</f>
        <v>0</v>
      </c>
      <c r="AB43" s="17">
        <f>_xlfn.XLOOKUP($C43,TB_UK!$E:$E,TB_UK!AD:AD)*AB$2</f>
        <v>0</v>
      </c>
      <c r="AC43" s="17">
        <f>_xlfn.XLOOKUP($C43,TB_UK!$E:$E,TB_UK!AE:AE)*AC$2</f>
        <v>0</v>
      </c>
      <c r="AD43" s="17">
        <f>_xlfn.XLOOKUP($C43,TB_UK!$E:$E,TB_UK!AF:AF)*AD$2</f>
        <v>0</v>
      </c>
      <c r="AE43" s="17">
        <f>_xlfn.XLOOKUP($C43,TB_UK!$E:$E,TB_UK!AG:AG)*AE$2</f>
        <v>0</v>
      </c>
      <c r="AF43" s="17">
        <f>_xlfn.XLOOKUP($C43,TB_UK!$E:$E,TB_UK!AH:AH)*AF$2</f>
        <v>0</v>
      </c>
      <c r="AG43" s="17">
        <f>_xlfn.XLOOKUP($C43,TB_UK!$E:$E,TB_UK!AI:AI)*AG$2</f>
        <v>0</v>
      </c>
      <c r="AH43" s="17">
        <f>_xlfn.XLOOKUP($C43,TB_UK!$E:$E,TB_UK!AJ:AJ)*AH$2</f>
        <v>0</v>
      </c>
      <c r="AI43" s="17">
        <f>_xlfn.XLOOKUP($C43,TB_UK!$E:$E,TB_UK!AK:AK)*AI$2</f>
        <v>0</v>
      </c>
      <c r="AJ43" s="17">
        <f>_xlfn.XLOOKUP($C43,TB_UK!$E:$E,TB_UK!AL:AL)*AJ$2</f>
        <v>0</v>
      </c>
      <c r="AK43" s="17">
        <f>_xlfn.XLOOKUP($C43,TB_UK!$E:$E,TB_UK!AM:AM)*AK$2</f>
        <v>0</v>
      </c>
      <c r="AL43" s="17">
        <f>_xlfn.XLOOKUP($C43,TB_UK!$E:$E,TB_UK!AN:AN)*AL$2</f>
        <v>0</v>
      </c>
      <c r="AM43" s="17">
        <f>_xlfn.XLOOKUP($C43,TB_UK!$E:$E,TB_UK!AO:AO)*AM$2</f>
        <v>0</v>
      </c>
    </row>
    <row r="44" spans="2:39" hidden="1" outlineLevel="1" x14ac:dyDescent="0.2">
      <c r="B44" s="21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</row>
    <row r="45" spans="2:39" collapsed="1" x14ac:dyDescent="0.2">
      <c r="B45" s="15"/>
      <c r="C45" s="22" t="s">
        <v>42</v>
      </c>
      <c r="D45" s="23">
        <f t="shared" ref="D45:AM45" si="7">SUM(D43:D44)</f>
        <v>0</v>
      </c>
      <c r="E45" s="23">
        <f t="shared" si="7"/>
        <v>0</v>
      </c>
      <c r="F45" s="23">
        <f t="shared" si="7"/>
        <v>0</v>
      </c>
      <c r="G45" s="23">
        <f t="shared" si="7"/>
        <v>0</v>
      </c>
      <c r="H45" s="23">
        <f t="shared" si="7"/>
        <v>0</v>
      </c>
      <c r="I45" s="23">
        <f t="shared" si="7"/>
        <v>0</v>
      </c>
      <c r="J45" s="23">
        <f t="shared" si="7"/>
        <v>0</v>
      </c>
      <c r="K45" s="23">
        <f t="shared" si="7"/>
        <v>0</v>
      </c>
      <c r="L45" s="23">
        <f t="shared" si="7"/>
        <v>0</v>
      </c>
      <c r="M45" s="23">
        <f t="shared" si="7"/>
        <v>0</v>
      </c>
      <c r="N45" s="23">
        <f t="shared" si="7"/>
        <v>0</v>
      </c>
      <c r="O45" s="23">
        <f t="shared" si="7"/>
        <v>0</v>
      </c>
      <c r="P45" s="23">
        <f t="shared" si="7"/>
        <v>0</v>
      </c>
      <c r="Q45" s="23">
        <f t="shared" si="7"/>
        <v>0</v>
      </c>
      <c r="R45" s="23">
        <f t="shared" si="7"/>
        <v>0</v>
      </c>
      <c r="S45" s="23">
        <f t="shared" si="7"/>
        <v>0</v>
      </c>
      <c r="T45" s="23">
        <f t="shared" si="7"/>
        <v>0</v>
      </c>
      <c r="U45" s="23">
        <f t="shared" si="7"/>
        <v>0</v>
      </c>
      <c r="V45" s="23">
        <f t="shared" si="7"/>
        <v>0</v>
      </c>
      <c r="W45" s="23">
        <f t="shared" si="7"/>
        <v>0</v>
      </c>
      <c r="X45" s="23">
        <f t="shared" si="7"/>
        <v>0</v>
      </c>
      <c r="Y45" s="23">
        <f>SUM(Y43:Y44)</f>
        <v>0</v>
      </c>
      <c r="Z45" s="23">
        <f t="shared" si="7"/>
        <v>0</v>
      </c>
      <c r="AA45" s="23">
        <f t="shared" si="7"/>
        <v>0</v>
      </c>
      <c r="AB45" s="23">
        <f t="shared" si="7"/>
        <v>0</v>
      </c>
      <c r="AC45" s="23">
        <f t="shared" si="7"/>
        <v>0</v>
      </c>
      <c r="AD45" s="23">
        <f t="shared" si="7"/>
        <v>0</v>
      </c>
      <c r="AE45" s="23">
        <f t="shared" si="7"/>
        <v>0</v>
      </c>
      <c r="AF45" s="23">
        <f t="shared" si="7"/>
        <v>0</v>
      </c>
      <c r="AG45" s="23">
        <f t="shared" si="7"/>
        <v>0</v>
      </c>
      <c r="AH45" s="23">
        <f t="shared" si="7"/>
        <v>0</v>
      </c>
      <c r="AI45" s="23">
        <f t="shared" si="7"/>
        <v>0</v>
      </c>
      <c r="AJ45" s="23">
        <f t="shared" si="7"/>
        <v>0</v>
      </c>
      <c r="AK45" s="23">
        <f t="shared" si="7"/>
        <v>0</v>
      </c>
      <c r="AL45" s="23">
        <f t="shared" si="7"/>
        <v>0</v>
      </c>
      <c r="AM45" s="23">
        <f t="shared" si="7"/>
        <v>0</v>
      </c>
    </row>
    <row r="46" spans="2:39" x14ac:dyDescent="0.2"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8"/>
    </row>
    <row r="47" spans="2:39" s="27" customFormat="1" x14ac:dyDescent="0.2">
      <c r="B47" s="24"/>
      <c r="C47" s="25" t="s">
        <v>231</v>
      </c>
      <c r="D47" s="26">
        <f t="shared" ref="D47:AM47" si="8">D11+D16+D21+D29+D34+D40+D45</f>
        <v>0</v>
      </c>
      <c r="E47" s="26">
        <f t="shared" si="8"/>
        <v>0</v>
      </c>
      <c r="F47" s="26">
        <f t="shared" si="8"/>
        <v>0</v>
      </c>
      <c r="G47" s="26">
        <f t="shared" si="8"/>
        <v>295038940.71899998</v>
      </c>
      <c r="H47" s="26">
        <f t="shared" si="8"/>
        <v>281446370.84860003</v>
      </c>
      <c r="I47" s="26">
        <f t="shared" si="8"/>
        <v>256095430.99659997</v>
      </c>
      <c r="J47" s="26">
        <f t="shared" si="8"/>
        <v>200152204.20449996</v>
      </c>
      <c r="K47" s="26">
        <f t="shared" si="8"/>
        <v>169624470.1424</v>
      </c>
      <c r="L47" s="26">
        <f t="shared" si="8"/>
        <v>238015095.9395</v>
      </c>
      <c r="M47" s="26">
        <f t="shared" si="8"/>
        <v>198858523.27530003</v>
      </c>
      <c r="N47" s="26">
        <f t="shared" si="8"/>
        <v>152369770.4235</v>
      </c>
      <c r="O47" s="26">
        <f t="shared" si="8"/>
        <v>84010380.999999985</v>
      </c>
      <c r="P47" s="26">
        <f t="shared" si="8"/>
        <v>165438312.4932</v>
      </c>
      <c r="Q47" s="26">
        <f t="shared" si="8"/>
        <v>149321607.24000001</v>
      </c>
      <c r="R47" s="26">
        <f t="shared" si="8"/>
        <v>104357704.21699999</v>
      </c>
      <c r="S47" s="26">
        <f t="shared" si="8"/>
        <v>145774635.00950003</v>
      </c>
      <c r="T47" s="26">
        <f t="shared" si="8"/>
        <v>83173370.202999979</v>
      </c>
      <c r="U47" s="26">
        <f t="shared" si="8"/>
        <v>139305899.8044</v>
      </c>
      <c r="V47" s="26">
        <f t="shared" si="8"/>
        <v>287496370.31349999</v>
      </c>
      <c r="W47" s="26">
        <f t="shared" si="8"/>
        <v>243538498.1232</v>
      </c>
      <c r="X47" s="26">
        <f t="shared" si="8"/>
        <v>170019186.71399999</v>
      </c>
      <c r="Y47" s="26">
        <f>Y11+Y16+Y21+Y29+Y34+Y40+Y45</f>
        <v>97050400.186999992</v>
      </c>
      <c r="Z47" s="26">
        <f t="shared" si="8"/>
        <v>185030046.10659999</v>
      </c>
      <c r="AA47" s="26">
        <f t="shared" si="8"/>
        <v>135417186.10500002</v>
      </c>
      <c r="AB47" s="26">
        <f t="shared" si="8"/>
        <v>111494059.2588</v>
      </c>
      <c r="AC47" s="26">
        <f t="shared" si="8"/>
        <v>97756688.460000008</v>
      </c>
      <c r="AD47" s="26">
        <f t="shared" si="8"/>
        <v>86847839.19600001</v>
      </c>
      <c r="AE47" s="26">
        <f t="shared" si="8"/>
        <v>121570138.44299999</v>
      </c>
      <c r="AF47" s="26">
        <f t="shared" si="8"/>
        <v>0</v>
      </c>
      <c r="AG47" s="26">
        <f t="shared" si="8"/>
        <v>0</v>
      </c>
      <c r="AH47" s="26">
        <f t="shared" si="8"/>
        <v>0</v>
      </c>
      <c r="AI47" s="26">
        <f t="shared" si="8"/>
        <v>0</v>
      </c>
      <c r="AJ47" s="26">
        <f t="shared" si="8"/>
        <v>0</v>
      </c>
      <c r="AK47" s="26">
        <f t="shared" si="8"/>
        <v>0</v>
      </c>
      <c r="AL47" s="26">
        <f t="shared" si="8"/>
        <v>0</v>
      </c>
      <c r="AM47" s="26">
        <f t="shared" si="8"/>
        <v>0</v>
      </c>
    </row>
    <row r="48" spans="2:39" s="31" customFormat="1" x14ac:dyDescent="0.2">
      <c r="B48" s="28"/>
      <c r="C48" s="29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</row>
    <row r="49" spans="2:39" x14ac:dyDescent="0.2">
      <c r="B49" s="15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8"/>
    </row>
    <row r="50" spans="2:39" hidden="1" outlineLevel="1" x14ac:dyDescent="0.2">
      <c r="B50" s="15"/>
      <c r="C50" s="20" t="s">
        <v>232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8"/>
    </row>
    <row r="51" spans="2:39" hidden="1" outlineLevel="1" x14ac:dyDescent="0.2">
      <c r="B51" s="21">
        <v>15000</v>
      </c>
      <c r="C51" s="16" t="str">
        <f>_xlfn.XLOOKUP(B51,TB_UK!A:A,TB_UK!E:E)</f>
        <v>Fixtures and fittings - Cost</v>
      </c>
      <c r="D51" s="17">
        <f>_xlfn.XLOOKUP($C51,TB_UK!$E:$E,TB_UK!F:F)*D$2</f>
        <v>0</v>
      </c>
      <c r="E51" s="17">
        <f>_xlfn.XLOOKUP($C51,TB_UK!$E:$E,TB_UK!G:G)*E$2</f>
        <v>0</v>
      </c>
      <c r="F51" s="17">
        <f>_xlfn.XLOOKUP($C51,TB_UK!$E:$E,TB_UK!H:H)*F$2</f>
        <v>0</v>
      </c>
      <c r="G51" s="17">
        <f>_xlfn.XLOOKUP($C51,TB_UK!$E:$E,TB_UK!I:I)*G$2</f>
        <v>698426.0331</v>
      </c>
      <c r="H51" s="17">
        <f>_xlfn.XLOOKUP($C51,TB_UK!$E:$E,TB_UK!J:J)*H$2</f>
        <v>3364528.8075999999</v>
      </c>
      <c r="I51" s="17">
        <f>_xlfn.XLOOKUP($C51,TB_UK!$E:$E,TB_UK!K:K)*I$2</f>
        <v>3750460.3942</v>
      </c>
      <c r="J51" s="17">
        <f>_xlfn.XLOOKUP($C51,TB_UK!$E:$E,TB_UK!L:L)*J$2</f>
        <v>4041643.4669999997</v>
      </c>
      <c r="K51" s="17">
        <f>_xlfn.XLOOKUP($C51,TB_UK!$E:$E,TB_UK!M:M)*K$2</f>
        <v>4041508.1948000002</v>
      </c>
      <c r="L51" s="17">
        <f>_xlfn.XLOOKUP($C51,TB_UK!$E:$E,TB_UK!N:N)*L$2</f>
        <v>4310216.7577999998</v>
      </c>
      <c r="M51" s="17">
        <f>_xlfn.XLOOKUP($C51,TB_UK!$E:$E,TB_UK!O:O)*M$2</f>
        <v>4125087.0898000002</v>
      </c>
      <c r="N51" s="17">
        <f>_xlfn.XLOOKUP($C51,TB_UK!$E:$E,TB_UK!P:P)*N$2</f>
        <v>4133242.071</v>
      </c>
      <c r="O51" s="17">
        <f>_xlfn.XLOOKUP($C51,TB_UK!$E:$E,TB_UK!Q:Q)*O$2</f>
        <v>3755851.9575999998</v>
      </c>
      <c r="P51" s="17">
        <f>_xlfn.XLOOKUP($C51,TB_UK!$E:$E,TB_UK!R:R)*P$2</f>
        <v>3697510.9901999999</v>
      </c>
      <c r="Q51" s="17">
        <f>_xlfn.XLOOKUP($C51,TB_UK!$E:$E,TB_UK!S:S)*Q$2</f>
        <v>3660658.9780000001</v>
      </c>
      <c r="R51" s="17">
        <f>_xlfn.XLOOKUP($C51,TB_UK!$E:$E,TB_UK!T:T)*R$2</f>
        <v>3838541.9210000001</v>
      </c>
      <c r="S51" s="17">
        <f>_xlfn.XLOOKUP($C51,TB_UK!$E:$E,TB_UK!U:U)*S$2</f>
        <v>4150363.6666000001</v>
      </c>
      <c r="T51" s="17">
        <f>_xlfn.XLOOKUP($C51,TB_UK!$E:$E,TB_UK!V:V)*T$2</f>
        <v>4133435.3169999998</v>
      </c>
      <c r="U51" s="17">
        <f>_xlfn.XLOOKUP($C51,TB_UK!$E:$E,TB_UK!W:W)*U$2</f>
        <v>4086167.3453999995</v>
      </c>
      <c r="V51" s="17">
        <f>_xlfn.XLOOKUP($C51,TB_UK!$E:$E,TB_UK!X:X)*V$2</f>
        <v>3938488.7522</v>
      </c>
      <c r="W51" s="17">
        <f>_xlfn.XLOOKUP($C51,TB_UK!$E:$E,TB_UK!Y:Y)*W$2</f>
        <v>4012308.7242000001</v>
      </c>
      <c r="X51" s="17">
        <f>_xlfn.XLOOKUP($C51,TB_UK!$E:$E,TB_UK!Z:Z)*X$2</f>
        <v>3851373.4553999999</v>
      </c>
      <c r="Y51" s="17">
        <f>_xlfn.XLOOKUP($C51,TB_UK!$E:$E,TB_UK!AA:AA)*Y$2</f>
        <v>3690418.8620000002</v>
      </c>
      <c r="Z51" s="17">
        <f>_xlfn.XLOOKUP($C51,TB_UK!$E:$E,TB_UK!AB:AB)*Z$2</f>
        <v>3698863.7122</v>
      </c>
      <c r="AA51" s="17">
        <f>_xlfn.XLOOKUP($C51,TB_UK!$E:$E,TB_UK!AC:AC)*AA$2</f>
        <v>3779408.645</v>
      </c>
      <c r="AB51" s="17">
        <f>_xlfn.XLOOKUP($C51,TB_UK!$E:$E,TB_UK!AD:AD)*AB$2</f>
        <v>3683771.1995999999</v>
      </c>
      <c r="AC51" s="17">
        <f>_xlfn.XLOOKUP($C51,TB_UK!$E:$E,TB_UK!AE:AE)*AC$2</f>
        <v>3534314.7432000004</v>
      </c>
      <c r="AD51" s="17">
        <f>_xlfn.XLOOKUP($C51,TB_UK!$E:$E,TB_UK!AF:AF)*AD$2</f>
        <v>3532730.1259999997</v>
      </c>
      <c r="AE51" s="17">
        <f>_xlfn.XLOOKUP($C51,TB_UK!$E:$E,TB_UK!AG:AG)*AE$2</f>
        <v>3584906.5460000001</v>
      </c>
      <c r="AF51" s="17">
        <f>_xlfn.XLOOKUP($C51,TB_UK!$E:$E,TB_UK!AH:AH)*AF$2</f>
        <v>0</v>
      </c>
      <c r="AG51" s="17">
        <f>_xlfn.XLOOKUP($C51,TB_UK!$E:$E,TB_UK!AI:AI)*AG$2</f>
        <v>0</v>
      </c>
      <c r="AH51" s="17">
        <f>_xlfn.XLOOKUP($C51,TB_UK!$E:$E,TB_UK!AJ:AJ)*AH$2</f>
        <v>0</v>
      </c>
      <c r="AI51" s="17">
        <f>_xlfn.XLOOKUP($C51,TB_UK!$E:$E,TB_UK!AK:AK)*AI$2</f>
        <v>0</v>
      </c>
      <c r="AJ51" s="17">
        <f>_xlfn.XLOOKUP($C51,TB_UK!$E:$E,TB_UK!AL:AL)*AJ$2</f>
        <v>0</v>
      </c>
      <c r="AK51" s="17">
        <f>_xlfn.XLOOKUP($C51,TB_UK!$E:$E,TB_UK!AM:AM)*AK$2</f>
        <v>0</v>
      </c>
      <c r="AL51" s="17">
        <f>_xlfn.XLOOKUP($C51,TB_UK!$E:$E,TB_UK!AN:AN)*AL$2</f>
        <v>0</v>
      </c>
      <c r="AM51" s="17">
        <f>_xlfn.XLOOKUP($C51,TB_UK!$E:$E,TB_UK!AO:AO)*AM$2</f>
        <v>0</v>
      </c>
    </row>
    <row r="52" spans="2:39" hidden="1" outlineLevel="1" x14ac:dyDescent="0.2">
      <c r="B52" s="21">
        <v>15020</v>
      </c>
      <c r="C52" s="16" t="str">
        <f>_xlfn.XLOOKUP(B52,TB_UK!A:A,TB_UK!E:E)</f>
        <v>Office and Computer Equipment - Cost</v>
      </c>
      <c r="D52" s="17">
        <f>_xlfn.XLOOKUP($C52,TB_UK!$E:$E,TB_UK!F:F)*D$2</f>
        <v>0</v>
      </c>
      <c r="E52" s="17">
        <f>_xlfn.XLOOKUP($C52,TB_UK!$E:$E,TB_UK!G:G)*E$2</f>
        <v>0</v>
      </c>
      <c r="F52" s="17">
        <f>_xlfn.XLOOKUP($C52,TB_UK!$E:$E,TB_UK!H:H)*F$2</f>
        <v>0</v>
      </c>
      <c r="G52" s="17">
        <f>_xlfn.XLOOKUP($C52,TB_UK!$E:$E,TB_UK!I:I)*G$2</f>
        <v>8507577.75</v>
      </c>
      <c r="H52" s="17">
        <f>_xlfn.XLOOKUP($C52,TB_UK!$E:$E,TB_UK!J:J)*H$2</f>
        <v>8835879.5</v>
      </c>
      <c r="I52" s="17">
        <f>_xlfn.XLOOKUP($C52,TB_UK!$E:$E,TB_UK!K:K)*I$2</f>
        <v>10767857.7448</v>
      </c>
      <c r="J52" s="17">
        <f>_xlfn.XLOOKUP($C52,TB_UK!$E:$E,TB_UK!L:L)*J$2</f>
        <v>11603866.547999999</v>
      </c>
      <c r="K52" s="17">
        <f>_xlfn.XLOOKUP($C52,TB_UK!$E:$E,TB_UK!M:M)*K$2</f>
        <v>11603478.1712</v>
      </c>
      <c r="L52" s="17">
        <f>_xlfn.XLOOKUP($C52,TB_UK!$E:$E,TB_UK!N:N)*L$2</f>
        <v>12374960.943199998</v>
      </c>
      <c r="M52" s="17">
        <f>_xlfn.XLOOKUP($C52,TB_UK!$E:$E,TB_UK!O:O)*M$2</f>
        <v>11843439.551200001</v>
      </c>
      <c r="N52" s="17">
        <f>_xlfn.XLOOKUP($C52,TB_UK!$E:$E,TB_UK!P:P)*N$2</f>
        <v>11866853.124</v>
      </c>
      <c r="O52" s="17">
        <f>_xlfn.XLOOKUP($C52,TB_UK!$E:$E,TB_UK!Q:Q)*O$2</f>
        <v>10783337.3344</v>
      </c>
      <c r="P52" s="17">
        <f>_xlfn.XLOOKUP($C52,TB_UK!$E:$E,TB_UK!R:R)*P$2</f>
        <v>10615835.968799999</v>
      </c>
      <c r="Q52" s="17">
        <f>_xlfn.XLOOKUP($C52,TB_UK!$E:$E,TB_UK!S:S)*Q$2</f>
        <v>10510031.032</v>
      </c>
      <c r="R52" s="17">
        <f>_xlfn.XLOOKUP($C52,TB_UK!$E:$E,TB_UK!T:T)*R$2</f>
        <v>11020746.523999998</v>
      </c>
      <c r="S52" s="17">
        <f>_xlfn.XLOOKUP($C52,TB_UK!$E:$E,TB_UK!U:U)*S$2</f>
        <v>11916010.530400001</v>
      </c>
      <c r="T52" s="17">
        <f>_xlfn.XLOOKUP($C52,TB_UK!$E:$E,TB_UK!V:V)*T$2</f>
        <v>11867407.947999999</v>
      </c>
      <c r="U52" s="17">
        <f>_xlfn.XLOOKUP($C52,TB_UK!$E:$E,TB_UK!W:W)*U$2</f>
        <v>11731697.997599998</v>
      </c>
      <c r="V52" s="17">
        <f>_xlfn.XLOOKUP($C52,TB_UK!$E:$E,TB_UK!X:X)*V$2</f>
        <v>11307701.4968</v>
      </c>
      <c r="W52" s="17">
        <f>_xlfn.XLOOKUP($C52,TB_UK!$E:$E,TB_UK!Y:Y)*W$2</f>
        <v>11519644.264799999</v>
      </c>
      <c r="X52" s="17">
        <f>_xlfn.XLOOKUP($C52,TB_UK!$E:$E,TB_UK!Z:Z)*X$2</f>
        <v>11057586.8376</v>
      </c>
      <c r="Y52" s="17">
        <f>_xlfn.XLOOKUP($C52,TB_UK!$E:$E,TB_UK!AA:AA)*Y$2</f>
        <v>10595473.927999999</v>
      </c>
      <c r="Z52" s="17">
        <f>_xlfn.XLOOKUP($C52,TB_UK!$E:$E,TB_UK!AB:AB)*Z$2</f>
        <v>10619719.7368</v>
      </c>
      <c r="AA52" s="17">
        <f>_xlfn.XLOOKUP($C52,TB_UK!$E:$E,TB_UK!AC:AC)*AA$2</f>
        <v>10850970.379999999</v>
      </c>
      <c r="AB52" s="17">
        <f>_xlfn.XLOOKUP($C52,TB_UK!$E:$E,TB_UK!AD:AD)*AB$2</f>
        <v>10576387.9824</v>
      </c>
      <c r="AC52" s="17">
        <f>_xlfn.XLOOKUP($C52,TB_UK!$E:$E,TB_UK!AE:AE)*AC$2</f>
        <v>10147287.1008</v>
      </c>
      <c r="AD52" s="17">
        <f>_xlfn.XLOOKUP($C52,TB_UK!$E:$E,TB_UK!AF:AF)*AD$2</f>
        <v>10142737.544</v>
      </c>
      <c r="AE52" s="17">
        <f>_xlfn.XLOOKUP($C52,TB_UK!$E:$E,TB_UK!AG:AG)*AE$2</f>
        <v>10292540.023999998</v>
      </c>
      <c r="AF52" s="17">
        <f>_xlfn.XLOOKUP($C52,TB_UK!$E:$E,TB_UK!AH:AH)*AF$2</f>
        <v>0</v>
      </c>
      <c r="AG52" s="17">
        <f>_xlfn.XLOOKUP($C52,TB_UK!$E:$E,TB_UK!AI:AI)*AG$2</f>
        <v>0</v>
      </c>
      <c r="AH52" s="17">
        <f>_xlfn.XLOOKUP($C52,TB_UK!$E:$E,TB_UK!AJ:AJ)*AH$2</f>
        <v>0</v>
      </c>
      <c r="AI52" s="17">
        <f>_xlfn.XLOOKUP($C52,TB_UK!$E:$E,TB_UK!AK:AK)*AI$2</f>
        <v>0</v>
      </c>
      <c r="AJ52" s="17">
        <f>_xlfn.XLOOKUP($C52,TB_UK!$E:$E,TB_UK!AL:AL)*AJ$2</f>
        <v>0</v>
      </c>
      <c r="AK52" s="17">
        <f>_xlfn.XLOOKUP($C52,TB_UK!$E:$E,TB_UK!AM:AM)*AK$2</f>
        <v>0</v>
      </c>
      <c r="AL52" s="17">
        <f>_xlfn.XLOOKUP($C52,TB_UK!$E:$E,TB_UK!AN:AN)*AL$2</f>
        <v>0</v>
      </c>
      <c r="AM52" s="17">
        <f>_xlfn.XLOOKUP($C52,TB_UK!$E:$E,TB_UK!AO:AO)*AM$2</f>
        <v>0</v>
      </c>
    </row>
    <row r="53" spans="2:39" hidden="1" outlineLevel="1" x14ac:dyDescent="0.2">
      <c r="B53" s="21">
        <v>16000</v>
      </c>
      <c r="C53" s="16" t="str">
        <f>_xlfn.XLOOKUP(B53,TB_UK!A:A,TB_UK!E:E)</f>
        <v>Fixtures and fittings - Accumulated Depreciation</v>
      </c>
      <c r="D53" s="17">
        <f>_xlfn.XLOOKUP($C53,TB_UK!$E:$E,TB_UK!F:F)*D$2</f>
        <v>0</v>
      </c>
      <c r="E53" s="17">
        <f>_xlfn.XLOOKUP($C53,TB_UK!$E:$E,TB_UK!G:G)*E$2</f>
        <v>0</v>
      </c>
      <c r="F53" s="17">
        <f>_xlfn.XLOOKUP($C53,TB_UK!$E:$E,TB_UK!H:H)*F$2</f>
        <v>0</v>
      </c>
      <c r="G53" s="17">
        <f>_xlfn.XLOOKUP($C53,TB_UK!$E:$E,TB_UK!I:I)*G$2</f>
        <v>-167134.08900000001</v>
      </c>
      <c r="H53" s="17">
        <f>_xlfn.XLOOKUP($C53,TB_UK!$E:$E,TB_UK!J:J)*H$2</f>
        <v>-229663.22459999999</v>
      </c>
      <c r="I53" s="17">
        <f>_xlfn.XLOOKUP($C53,TB_UK!$E:$E,TB_UK!K:K)*I$2</f>
        <v>-318519.17239999998</v>
      </c>
      <c r="J53" s="17">
        <f>_xlfn.XLOOKUP($C53,TB_UK!$E:$E,TB_UK!L:L)*J$2</f>
        <v>-410614.37849999999</v>
      </c>
      <c r="K53" s="17">
        <f>_xlfn.XLOOKUP($C53,TB_UK!$E:$E,TB_UK!M:M)*K$2</f>
        <v>-477963.9852</v>
      </c>
      <c r="L53" s="17">
        <f>_xlfn.XLOOKUP($C53,TB_UK!$E:$E,TB_UK!N:N)*L$2</f>
        <v>-581584.62249999994</v>
      </c>
      <c r="M53" s="17">
        <f>_xlfn.XLOOKUP($C53,TB_UK!$E:$E,TB_UK!O:O)*M$2</f>
        <v>-625361.20479999995</v>
      </c>
      <c r="N53" s="17">
        <f>_xlfn.XLOOKUP($C53,TB_UK!$E:$E,TB_UK!P:P)*N$2</f>
        <v>-695489.85450000002</v>
      </c>
      <c r="O53" s="17">
        <f>_xlfn.XLOOKUP($C53,TB_UK!$E:$E,TB_UK!Q:Q)*O$2</f>
        <v>-694589.47279999999</v>
      </c>
      <c r="P53" s="17">
        <f>_xlfn.XLOOKUP($C53,TB_UK!$E:$E,TB_UK!R:R)*P$2</f>
        <v>-745429.81829999993</v>
      </c>
      <c r="Q53" s="17">
        <f>_xlfn.XLOOKUP($C53,TB_UK!$E:$E,TB_UK!S:S)*Q$2</f>
        <v>-799015.74</v>
      </c>
      <c r="R53" s="17">
        <f>_xlfn.XLOOKUP($C53,TB_UK!$E:$E,TB_UK!T:T)*R$2</f>
        <v>-901822.76349999988</v>
      </c>
      <c r="S53" s="17">
        <f>_xlfn.XLOOKUP($C53,TB_UK!$E:$E,TB_UK!U:U)*S$2</f>
        <v>-1044259.5562000001</v>
      </c>
      <c r="T53" s="17">
        <f>_xlfn.XLOOKUP($C53,TB_UK!$E:$E,TB_UK!V:V)*T$2</f>
        <v>-1108895.8484999998</v>
      </c>
      <c r="U53" s="17">
        <f>_xlfn.XLOOKUP($C53,TB_UK!$E:$E,TB_UK!W:W)*U$2</f>
        <v>-1164322.7736</v>
      </c>
      <c r="V53" s="17">
        <f>_xlfn.XLOOKUP($C53,TB_UK!$E:$E,TB_UK!X:X)*V$2</f>
        <v>-1187889.0995</v>
      </c>
      <c r="W53" s="17">
        <f>_xlfn.XLOOKUP($C53,TB_UK!$E:$E,TB_UK!Y:Y)*W$2</f>
        <v>-1277030.6261999998</v>
      </c>
      <c r="X53" s="17">
        <f>_xlfn.XLOOKUP($C53,TB_UK!$E:$E,TB_UK!Z:Z)*X$2</f>
        <v>-1290002.6373000001</v>
      </c>
      <c r="Y53" s="17">
        <f>_xlfn.XLOOKUP($C53,TB_UK!$E:$E,TB_UK!AA:AA)*Y$2</f>
        <v>-1297602.956</v>
      </c>
      <c r="Z53" s="17">
        <f>_xlfn.XLOOKUP($C53,TB_UK!$E:$E,TB_UK!AB:AB)*Z$2</f>
        <v>-1362224.4783000001</v>
      </c>
      <c r="AA53" s="17">
        <f>_xlfn.XLOOKUP($C53,TB_UK!$E:$E,TB_UK!AC:AC)*AA$2</f>
        <v>-1454882.425</v>
      </c>
      <c r="AB53" s="17">
        <f>_xlfn.XLOOKUP($C53,TB_UK!$E:$E,TB_UK!AD:AD)*AB$2</f>
        <v>-1479467.4486</v>
      </c>
      <c r="AC53" s="17">
        <f>_xlfn.XLOOKUP($C53,TB_UK!$E:$E,TB_UK!AE:AE)*AC$2</f>
        <v>-1478352.6144000001</v>
      </c>
      <c r="AD53" s="17">
        <f>_xlfn.XLOOKUP($C53,TB_UK!$E:$E,TB_UK!AF:AF)*AD$2</f>
        <v>-1536572.8929999999</v>
      </c>
      <c r="AE53" s="17">
        <f>_xlfn.XLOOKUP($C53,TB_UK!$E:$E,TB_UK!AG:AG)*AE$2</f>
        <v>-1619019.9739999999</v>
      </c>
      <c r="AF53" s="17">
        <f>_xlfn.XLOOKUP($C53,TB_UK!$E:$E,TB_UK!AH:AH)*AF$2</f>
        <v>0</v>
      </c>
      <c r="AG53" s="17">
        <f>_xlfn.XLOOKUP($C53,TB_UK!$E:$E,TB_UK!AI:AI)*AG$2</f>
        <v>0</v>
      </c>
      <c r="AH53" s="17">
        <f>_xlfn.XLOOKUP($C53,TB_UK!$E:$E,TB_UK!AJ:AJ)*AH$2</f>
        <v>0</v>
      </c>
      <c r="AI53" s="17">
        <f>_xlfn.XLOOKUP($C53,TB_UK!$E:$E,TB_UK!AK:AK)*AI$2</f>
        <v>0</v>
      </c>
      <c r="AJ53" s="17">
        <f>_xlfn.XLOOKUP($C53,TB_UK!$E:$E,TB_UK!AL:AL)*AJ$2</f>
        <v>0</v>
      </c>
      <c r="AK53" s="17">
        <f>_xlfn.XLOOKUP($C53,TB_UK!$E:$E,TB_UK!AM:AM)*AK$2</f>
        <v>0</v>
      </c>
      <c r="AL53" s="17">
        <f>_xlfn.XLOOKUP($C53,TB_UK!$E:$E,TB_UK!AN:AN)*AL$2</f>
        <v>0</v>
      </c>
      <c r="AM53" s="17">
        <f>_xlfn.XLOOKUP($C53,TB_UK!$E:$E,TB_UK!AO:AO)*AM$2</f>
        <v>0</v>
      </c>
    </row>
    <row r="54" spans="2:39" hidden="1" outlineLevel="1" x14ac:dyDescent="0.2">
      <c r="B54" s="21">
        <v>16020</v>
      </c>
      <c r="C54" s="16" t="str">
        <f>_xlfn.XLOOKUP(B54,TB_UK!A:A,TB_UK!E:E)</f>
        <v>Office and Computer Equipment - Accumulated Depreciation</v>
      </c>
      <c r="D54" s="17">
        <f>_xlfn.XLOOKUP($C54,TB_UK!$E:$E,TB_UK!F:F)*D$2</f>
        <v>0</v>
      </c>
      <c r="E54" s="17">
        <f>_xlfn.XLOOKUP($C54,TB_UK!$E:$E,TB_UK!G:G)*E$2</f>
        <v>0</v>
      </c>
      <c r="F54" s="17">
        <f>_xlfn.XLOOKUP($C54,TB_UK!$E:$E,TB_UK!H:H)*F$2</f>
        <v>0</v>
      </c>
      <c r="G54" s="17">
        <f>_xlfn.XLOOKUP($C54,TB_UK!$E:$E,TB_UK!I:I)*G$2</f>
        <v>-4101842.6982</v>
      </c>
      <c r="H54" s="17">
        <f>_xlfn.XLOOKUP($C54,TB_UK!$E:$E,TB_UK!J:J)*H$2</f>
        <v>-4407388.9264000002</v>
      </c>
      <c r="I54" s="17">
        <f>_xlfn.XLOOKUP($C54,TB_UK!$E:$E,TB_UK!K:K)*I$2</f>
        <v>-5092405.8106999993</v>
      </c>
      <c r="J54" s="17">
        <f>_xlfn.XLOOKUP($C54,TB_UK!$E:$E,TB_UK!L:L)*J$2</f>
        <v>-5681172.9509999994</v>
      </c>
      <c r="K54" s="17">
        <f>_xlfn.XLOOKUP($C54,TB_UK!$E:$E,TB_UK!M:M)*K$2</f>
        <v>-5874372.7130000005</v>
      </c>
      <c r="L54" s="17">
        <f>_xlfn.XLOOKUP($C54,TB_UK!$E:$E,TB_UK!N:N)*L$2</f>
        <v>-6471191.1676000003</v>
      </c>
      <c r="M54" s="17">
        <f>_xlfn.XLOOKUP($C54,TB_UK!$E:$E,TB_UK!O:O)*M$2</f>
        <v>-6390633.9477000004</v>
      </c>
      <c r="N54" s="17">
        <f>_xlfn.XLOOKUP($C54,TB_UK!$E:$E,TB_UK!P:P)*N$2</f>
        <v>-6601047.2010000004</v>
      </c>
      <c r="O54" s="17">
        <f>_xlfn.XLOOKUP($C54,TB_UK!$E:$E,TB_UK!Q:Q)*O$2</f>
        <v>-6178052.4787999997</v>
      </c>
      <c r="P54" s="17">
        <f>_xlfn.XLOOKUP($C54,TB_UK!$E:$E,TB_UK!R:R)*P$2</f>
        <v>-6259015.9439999992</v>
      </c>
      <c r="Q54" s="17">
        <f>_xlfn.XLOOKUP($C54,TB_UK!$E:$E,TB_UK!S:S)*Q$2</f>
        <v>-6371800.0810000002</v>
      </c>
      <c r="R54" s="17">
        <f>_xlfn.XLOOKUP($C54,TB_UK!$E:$E,TB_UK!T:T)*R$2</f>
        <v>-6865103.6889999993</v>
      </c>
      <c r="S54" s="17">
        <f>_xlfn.XLOOKUP($C54,TB_UK!$E:$E,TB_UK!U:U)*S$2</f>
        <v>-7621385.1831</v>
      </c>
      <c r="T54" s="17">
        <f>_xlfn.XLOOKUP($C54,TB_UK!$E:$E,TB_UK!V:V)*T$2</f>
        <v>-7788088.0659999996</v>
      </c>
      <c r="U54" s="17">
        <f>_xlfn.XLOOKUP($C54,TB_UK!$E:$E,TB_UK!W:W)*U$2</f>
        <v>-7894554.1394999996</v>
      </c>
      <c r="V54" s="17">
        <f>_xlfn.XLOOKUP($C54,TB_UK!$E:$E,TB_UK!X:X)*V$2</f>
        <v>-7797696.5813999996</v>
      </c>
      <c r="W54" s="17">
        <f>_xlfn.XLOOKUP($C54,TB_UK!$E:$E,TB_UK!Y:Y)*W$2</f>
        <v>-8135843.2322999993</v>
      </c>
      <c r="X54" s="17">
        <f>_xlfn.XLOOKUP($C54,TB_UK!$E:$E,TB_UK!Z:Z)*X$2</f>
        <v>-7993803.1704000002</v>
      </c>
      <c r="Y54" s="17">
        <f>_xlfn.XLOOKUP($C54,TB_UK!$E:$E,TB_UK!AA:AA)*Y$2</f>
        <v>-7836320.2710000006</v>
      </c>
      <c r="Z54" s="17">
        <f>_xlfn.XLOOKUP($C54,TB_UK!$E:$E,TB_UK!AB:AB)*Z$2</f>
        <v>-8031246.3129999992</v>
      </c>
      <c r="AA54" s="17">
        <f>_xlfn.XLOOKUP($C54,TB_UK!$E:$E,TB_UK!AC:AC)*AA$2</f>
        <v>-8386979.6274999995</v>
      </c>
      <c r="AB54" s="17">
        <f>_xlfn.XLOOKUP($C54,TB_UK!$E:$E,TB_UK!AD:AD)*AB$2</f>
        <v>-8351020.0584000004</v>
      </c>
      <c r="AC54" s="17">
        <f>_xlfn.XLOOKUP($C54,TB_UK!$E:$E,TB_UK!AE:AE)*AC$2</f>
        <v>-8181326.1252000015</v>
      </c>
      <c r="AD54" s="17">
        <f>_xlfn.XLOOKUP($C54,TB_UK!$E:$E,TB_UK!AF:AF)*AD$2</f>
        <v>-8346702.4179999987</v>
      </c>
      <c r="AE54" s="17">
        <f>_xlfn.XLOOKUP($C54,TB_UK!$E:$E,TB_UK!AG:AG)*AE$2</f>
        <v>-8641519.5749999993</v>
      </c>
      <c r="AF54" s="17">
        <f>_xlfn.XLOOKUP($C54,TB_UK!$E:$E,TB_UK!AH:AH)*AF$2</f>
        <v>0</v>
      </c>
      <c r="AG54" s="17">
        <f>_xlfn.XLOOKUP($C54,TB_UK!$E:$E,TB_UK!AI:AI)*AG$2</f>
        <v>0</v>
      </c>
      <c r="AH54" s="17">
        <f>_xlfn.XLOOKUP($C54,TB_UK!$E:$E,TB_UK!AJ:AJ)*AH$2</f>
        <v>0</v>
      </c>
      <c r="AI54" s="17">
        <f>_xlfn.XLOOKUP($C54,TB_UK!$E:$E,TB_UK!AK:AK)*AI$2</f>
        <v>0</v>
      </c>
      <c r="AJ54" s="17">
        <f>_xlfn.XLOOKUP($C54,TB_UK!$E:$E,TB_UK!AL:AL)*AJ$2</f>
        <v>0</v>
      </c>
      <c r="AK54" s="17">
        <f>_xlfn.XLOOKUP($C54,TB_UK!$E:$E,TB_UK!AM:AM)*AK$2</f>
        <v>0</v>
      </c>
      <c r="AL54" s="17">
        <f>_xlfn.XLOOKUP($C54,TB_UK!$E:$E,TB_UK!AN:AN)*AL$2</f>
        <v>0</v>
      </c>
      <c r="AM54" s="17">
        <f>_xlfn.XLOOKUP($C54,TB_UK!$E:$E,TB_UK!AO:AO)*AM$2</f>
        <v>0</v>
      </c>
    </row>
    <row r="55" spans="2:39" hidden="1" outlineLevel="1" x14ac:dyDescent="0.2">
      <c r="B55" s="21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spans="2:39" collapsed="1" x14ac:dyDescent="0.2">
      <c r="B56" s="15"/>
      <c r="C56" s="22" t="s">
        <v>45</v>
      </c>
      <c r="D56" s="23">
        <f t="shared" ref="D56:AM56" si="9">SUM(D51:D55)</f>
        <v>0</v>
      </c>
      <c r="E56" s="23">
        <f t="shared" si="9"/>
        <v>0</v>
      </c>
      <c r="F56" s="23">
        <f t="shared" si="9"/>
        <v>0</v>
      </c>
      <c r="G56" s="23">
        <f t="shared" si="9"/>
        <v>4937026.9958999995</v>
      </c>
      <c r="H56" s="23">
        <f t="shared" si="9"/>
        <v>7563356.1565999985</v>
      </c>
      <c r="I56" s="23">
        <f t="shared" si="9"/>
        <v>9107393.1558999997</v>
      </c>
      <c r="J56" s="23">
        <f t="shared" si="9"/>
        <v>9553722.6854999997</v>
      </c>
      <c r="K56" s="23">
        <f t="shared" si="9"/>
        <v>9292649.6678000018</v>
      </c>
      <c r="L56" s="23">
        <f t="shared" si="9"/>
        <v>9632401.9108999968</v>
      </c>
      <c r="M56" s="23">
        <f t="shared" si="9"/>
        <v>8952531.488499999</v>
      </c>
      <c r="N56" s="23">
        <f t="shared" si="9"/>
        <v>8703558.1394999996</v>
      </c>
      <c r="O56" s="23">
        <f t="shared" si="9"/>
        <v>7666547.3404000001</v>
      </c>
      <c r="P56" s="23">
        <f t="shared" si="9"/>
        <v>7308901.1967000002</v>
      </c>
      <c r="Q56" s="23">
        <f t="shared" si="9"/>
        <v>6999874.1889999993</v>
      </c>
      <c r="R56" s="23">
        <f t="shared" si="9"/>
        <v>7092361.9924999997</v>
      </c>
      <c r="S56" s="23">
        <f t="shared" si="9"/>
        <v>7400729.4577000011</v>
      </c>
      <c r="T56" s="23">
        <f t="shared" si="9"/>
        <v>7103859.3504999988</v>
      </c>
      <c r="U56" s="23">
        <f t="shared" si="9"/>
        <v>6758988.429899998</v>
      </c>
      <c r="V56" s="23">
        <f t="shared" si="9"/>
        <v>6260604.5680999998</v>
      </c>
      <c r="W56" s="23">
        <f t="shared" si="9"/>
        <v>6119079.1305000009</v>
      </c>
      <c r="X56" s="23">
        <f t="shared" si="9"/>
        <v>5625154.4852999998</v>
      </c>
      <c r="Y56" s="23">
        <f>SUM(Y51:Y55)</f>
        <v>5151969.5629999982</v>
      </c>
      <c r="Z56" s="23">
        <f t="shared" si="9"/>
        <v>4925112.6577000022</v>
      </c>
      <c r="AA56" s="23">
        <f t="shared" si="9"/>
        <v>4788516.9724999983</v>
      </c>
      <c r="AB56" s="23">
        <f t="shared" si="9"/>
        <v>4429671.6749999998</v>
      </c>
      <c r="AC56" s="23">
        <f t="shared" si="9"/>
        <v>4021923.1043999996</v>
      </c>
      <c r="AD56" s="23">
        <f t="shared" si="9"/>
        <v>3792192.359000002</v>
      </c>
      <c r="AE56" s="23">
        <f t="shared" si="9"/>
        <v>3616907.0209999997</v>
      </c>
      <c r="AF56" s="23">
        <f t="shared" si="9"/>
        <v>0</v>
      </c>
      <c r="AG56" s="23">
        <f t="shared" si="9"/>
        <v>0</v>
      </c>
      <c r="AH56" s="23">
        <f t="shared" si="9"/>
        <v>0</v>
      </c>
      <c r="AI56" s="23">
        <f t="shared" si="9"/>
        <v>0</v>
      </c>
      <c r="AJ56" s="23">
        <f t="shared" si="9"/>
        <v>0</v>
      </c>
      <c r="AK56" s="23">
        <f t="shared" si="9"/>
        <v>0</v>
      </c>
      <c r="AL56" s="23">
        <f t="shared" si="9"/>
        <v>0</v>
      </c>
      <c r="AM56" s="23">
        <f t="shared" si="9"/>
        <v>0</v>
      </c>
    </row>
    <row r="57" spans="2:39" x14ac:dyDescent="0.2">
      <c r="B57" s="15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8"/>
    </row>
    <row r="58" spans="2:39" hidden="1" outlineLevel="1" x14ac:dyDescent="0.2">
      <c r="B58" s="15"/>
      <c r="C58" s="20" t="s">
        <v>247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8"/>
    </row>
    <row r="59" spans="2:39" hidden="1" outlineLevel="1" x14ac:dyDescent="0.2">
      <c r="B59" s="21">
        <v>11100</v>
      </c>
      <c r="C59" s="16" t="str">
        <f>_xlfn.XLOOKUP(B59,TB_UK!A:A,TB_UK!E:E)</f>
        <v>Provision for Doubtful Debtors</v>
      </c>
      <c r="D59" s="17">
        <f>_xlfn.XLOOKUP($C59,TB_UK!$E:$E,TB_UK!F:F)*D$2</f>
        <v>0</v>
      </c>
      <c r="E59" s="17">
        <f>_xlfn.XLOOKUP($C59,TB_UK!$E:$E,TB_UK!G:G)*E$2</f>
        <v>0</v>
      </c>
      <c r="F59" s="17">
        <f>_xlfn.XLOOKUP($C59,TB_UK!$E:$E,TB_UK!H:H)*F$2</f>
        <v>0</v>
      </c>
      <c r="G59" s="17">
        <f>_xlfn.XLOOKUP($C59,TB_UK!$E:$E,TB_UK!I:I)*G$2</f>
        <v>0</v>
      </c>
      <c r="H59" s="17">
        <f>_xlfn.XLOOKUP($C59,TB_UK!$E:$E,TB_UK!J:J)*H$2</f>
        <v>0</v>
      </c>
      <c r="I59" s="17">
        <f>_xlfn.XLOOKUP($C59,TB_UK!$E:$E,TB_UK!K:K)*I$2</f>
        <v>0</v>
      </c>
      <c r="J59" s="17">
        <f>_xlfn.XLOOKUP($C59,TB_UK!$E:$E,TB_UK!L:L)*J$2</f>
        <v>0</v>
      </c>
      <c r="K59" s="17">
        <f>_xlfn.XLOOKUP($C59,TB_UK!$E:$E,TB_UK!M:M)*K$2</f>
        <v>0</v>
      </c>
      <c r="L59" s="17">
        <f>_xlfn.XLOOKUP($C59,TB_UK!$E:$E,TB_UK!N:N)*L$2</f>
        <v>0</v>
      </c>
      <c r="M59" s="17">
        <f>_xlfn.XLOOKUP($C59,TB_UK!$E:$E,TB_UK!O:O)*M$2</f>
        <v>0</v>
      </c>
      <c r="N59" s="17">
        <f>_xlfn.XLOOKUP($C59,TB_UK!$E:$E,TB_UK!P:P)*N$2</f>
        <v>0</v>
      </c>
      <c r="O59" s="17">
        <f>_xlfn.XLOOKUP($C59,TB_UK!$E:$E,TB_UK!Q:Q)*O$2</f>
        <v>0</v>
      </c>
      <c r="P59" s="17">
        <f>_xlfn.XLOOKUP($C59,TB_UK!$E:$E,TB_UK!R:R)*P$2</f>
        <v>0</v>
      </c>
      <c r="Q59" s="17">
        <f>_xlfn.XLOOKUP($C59,TB_UK!$E:$E,TB_UK!S:S)*Q$2</f>
        <v>0</v>
      </c>
      <c r="R59" s="17">
        <f>_xlfn.XLOOKUP($C59,TB_UK!$E:$E,TB_UK!T:T)*R$2</f>
        <v>0</v>
      </c>
      <c r="S59" s="17">
        <f>_xlfn.XLOOKUP($C59,TB_UK!$E:$E,TB_UK!U:U)*S$2</f>
        <v>0</v>
      </c>
      <c r="T59" s="17">
        <f>_xlfn.XLOOKUP($C59,TB_UK!$E:$E,TB_UK!V:V)*T$2</f>
        <v>0</v>
      </c>
      <c r="U59" s="17">
        <f>_xlfn.XLOOKUP($C59,TB_UK!$E:$E,TB_UK!W:W)*U$2</f>
        <v>0</v>
      </c>
      <c r="V59" s="17">
        <f>_xlfn.XLOOKUP($C59,TB_UK!$E:$E,TB_UK!X:X)*V$2</f>
        <v>0</v>
      </c>
      <c r="W59" s="17">
        <f>_xlfn.XLOOKUP($C59,TB_UK!$E:$E,TB_UK!Y:Y)*W$2</f>
        <v>0</v>
      </c>
      <c r="X59" s="17">
        <f>_xlfn.XLOOKUP($C59,TB_UK!$E:$E,TB_UK!Z:Z)*X$2</f>
        <v>0</v>
      </c>
      <c r="Y59" s="17">
        <f>_xlfn.XLOOKUP($C59,TB_UK!$E:$E,TB_UK!AA:AA)*Y$2</f>
        <v>0</v>
      </c>
      <c r="Z59" s="17">
        <f>_xlfn.XLOOKUP($C59,TB_UK!$E:$E,TB_UK!AB:AB)*Z$2</f>
        <v>0</v>
      </c>
      <c r="AA59" s="17">
        <f>_xlfn.XLOOKUP($C59,TB_UK!$E:$E,TB_UK!AC:AC)*AA$2</f>
        <v>0</v>
      </c>
      <c r="AB59" s="17">
        <f>_xlfn.XLOOKUP($C59,TB_UK!$E:$E,TB_UK!AD:AD)*AB$2</f>
        <v>0</v>
      </c>
      <c r="AC59" s="17">
        <f>_xlfn.XLOOKUP($C59,TB_UK!$E:$E,TB_UK!AE:AE)*AC$2</f>
        <v>0</v>
      </c>
      <c r="AD59" s="17">
        <f>_xlfn.XLOOKUP($C59,TB_UK!$E:$E,TB_UK!AF:AF)*AD$2</f>
        <v>0</v>
      </c>
      <c r="AE59" s="17">
        <f>_xlfn.XLOOKUP($C59,TB_UK!$E:$E,TB_UK!AG:AG)*AE$2</f>
        <v>0</v>
      </c>
      <c r="AF59" s="17">
        <f>_xlfn.XLOOKUP($C59,TB_UK!$E:$E,TB_UK!AH:AH)*AF$2</f>
        <v>0</v>
      </c>
      <c r="AG59" s="17">
        <f>_xlfn.XLOOKUP($C59,TB_UK!$E:$E,TB_UK!AI:AI)*AG$2</f>
        <v>0</v>
      </c>
      <c r="AH59" s="17">
        <f>_xlfn.XLOOKUP($C59,TB_UK!$E:$E,TB_UK!AJ:AJ)*AH$2</f>
        <v>0</v>
      </c>
      <c r="AI59" s="17">
        <f>_xlfn.XLOOKUP($C59,TB_UK!$E:$E,TB_UK!AK:AK)*AI$2</f>
        <v>0</v>
      </c>
      <c r="AJ59" s="17">
        <f>_xlfn.XLOOKUP($C59,TB_UK!$E:$E,TB_UK!AL:AL)*AJ$2</f>
        <v>0</v>
      </c>
      <c r="AK59" s="17">
        <f>_xlfn.XLOOKUP($C59,TB_UK!$E:$E,TB_UK!AM:AM)*AK$2</f>
        <v>0</v>
      </c>
      <c r="AL59" s="17">
        <f>_xlfn.XLOOKUP($C59,TB_UK!$E:$E,TB_UK!AN:AN)*AL$2</f>
        <v>0</v>
      </c>
      <c r="AM59" s="17">
        <f>_xlfn.XLOOKUP($C59,TB_UK!$E:$E,TB_UK!AO:AO)*AM$2</f>
        <v>0</v>
      </c>
    </row>
    <row r="60" spans="2:39" hidden="1" outlineLevel="1" x14ac:dyDescent="0.2">
      <c r="B60" s="21">
        <v>15500</v>
      </c>
      <c r="C60" s="16" t="str">
        <f>_xlfn.XLOOKUP(B60,TB_UK!A:A,TB_UK!E:E)</f>
        <v>Intangible Assets</v>
      </c>
      <c r="D60" s="17">
        <f>_xlfn.XLOOKUP($C60,TB_UK!$E:$E,TB_UK!F:F)*D$2</f>
        <v>0</v>
      </c>
      <c r="E60" s="17">
        <f>_xlfn.XLOOKUP($C60,TB_UK!$E:$E,TB_UK!G:G)*E$2</f>
        <v>0</v>
      </c>
      <c r="F60" s="17">
        <f>_xlfn.XLOOKUP($C60,TB_UK!$E:$E,TB_UK!H:H)*F$2</f>
        <v>0</v>
      </c>
      <c r="G60" s="17">
        <f>_xlfn.XLOOKUP($C60,TB_UK!$E:$E,TB_UK!I:I)*G$2</f>
        <v>0</v>
      </c>
      <c r="H60" s="17">
        <f>_xlfn.XLOOKUP($C60,TB_UK!$E:$E,TB_UK!J:J)*H$2</f>
        <v>0</v>
      </c>
      <c r="I60" s="17">
        <f>_xlfn.XLOOKUP($C60,TB_UK!$E:$E,TB_UK!K:K)*I$2</f>
        <v>0</v>
      </c>
      <c r="J60" s="17">
        <f>_xlfn.XLOOKUP($C60,TB_UK!$E:$E,TB_UK!L:L)*J$2</f>
        <v>0</v>
      </c>
      <c r="K60" s="17">
        <f>_xlfn.XLOOKUP($C60,TB_UK!$E:$E,TB_UK!M:M)*K$2</f>
        <v>0</v>
      </c>
      <c r="L60" s="17">
        <f>_xlfn.XLOOKUP($C60,TB_UK!$E:$E,TB_UK!N:N)*L$2</f>
        <v>0</v>
      </c>
      <c r="M60" s="17">
        <f>_xlfn.XLOOKUP($C60,TB_UK!$E:$E,TB_UK!O:O)*M$2</f>
        <v>0</v>
      </c>
      <c r="N60" s="17">
        <f>_xlfn.XLOOKUP($C60,TB_UK!$E:$E,TB_UK!P:P)*N$2</f>
        <v>0</v>
      </c>
      <c r="O60" s="17">
        <f>_xlfn.XLOOKUP($C60,TB_UK!$E:$E,TB_UK!Q:Q)*O$2</f>
        <v>0</v>
      </c>
      <c r="P60" s="17">
        <f>_xlfn.XLOOKUP($C60,TB_UK!$E:$E,TB_UK!R:R)*P$2</f>
        <v>0</v>
      </c>
      <c r="Q60" s="17">
        <f>_xlfn.XLOOKUP($C60,TB_UK!$E:$E,TB_UK!S:S)*Q$2</f>
        <v>0</v>
      </c>
      <c r="R60" s="17">
        <f>_xlfn.XLOOKUP($C60,TB_UK!$E:$E,TB_UK!T:T)*R$2</f>
        <v>0</v>
      </c>
      <c r="S60" s="17">
        <f>_xlfn.XLOOKUP($C60,TB_UK!$E:$E,TB_UK!U:U)*S$2</f>
        <v>0</v>
      </c>
      <c r="T60" s="17">
        <f>_xlfn.XLOOKUP($C60,TB_UK!$E:$E,TB_UK!V:V)*T$2</f>
        <v>0</v>
      </c>
      <c r="U60" s="17">
        <f>_xlfn.XLOOKUP($C60,TB_UK!$E:$E,TB_UK!W:W)*U$2</f>
        <v>0</v>
      </c>
      <c r="V60" s="17">
        <f>_xlfn.XLOOKUP($C60,TB_UK!$E:$E,TB_UK!X:X)*V$2</f>
        <v>0</v>
      </c>
      <c r="W60" s="17">
        <f>_xlfn.XLOOKUP($C60,TB_UK!$E:$E,TB_UK!Y:Y)*W$2</f>
        <v>0</v>
      </c>
      <c r="X60" s="17">
        <f>_xlfn.XLOOKUP($C60,TB_UK!$E:$E,TB_UK!Z:Z)*X$2</f>
        <v>0</v>
      </c>
      <c r="Y60" s="17">
        <f>_xlfn.XLOOKUP($C60,TB_UK!$E:$E,TB_UK!AA:AA)*Y$2</f>
        <v>0</v>
      </c>
      <c r="Z60" s="17">
        <f>_xlfn.XLOOKUP($C60,TB_UK!$E:$E,TB_UK!AB:AB)*Z$2</f>
        <v>0</v>
      </c>
      <c r="AA60" s="17">
        <f>_xlfn.XLOOKUP($C60,TB_UK!$E:$E,TB_UK!AC:AC)*AA$2</f>
        <v>0</v>
      </c>
      <c r="AB60" s="17">
        <f>_xlfn.XLOOKUP($C60,TB_UK!$E:$E,TB_UK!AD:AD)*AB$2</f>
        <v>0</v>
      </c>
      <c r="AC60" s="17">
        <f>_xlfn.XLOOKUP($C60,TB_UK!$E:$E,TB_UK!AE:AE)*AC$2</f>
        <v>0</v>
      </c>
      <c r="AD60" s="17">
        <f>_xlfn.XLOOKUP($C60,TB_UK!$E:$E,TB_UK!AF:AF)*AD$2</f>
        <v>0</v>
      </c>
      <c r="AE60" s="17">
        <f>_xlfn.XLOOKUP($C60,TB_UK!$E:$E,TB_UK!AG:AG)*AE$2</f>
        <v>0</v>
      </c>
      <c r="AF60" s="17">
        <f>_xlfn.XLOOKUP($C60,TB_UK!$E:$E,TB_UK!AH:AH)*AF$2</f>
        <v>0</v>
      </c>
      <c r="AG60" s="17">
        <f>_xlfn.XLOOKUP($C60,TB_UK!$E:$E,TB_UK!AI:AI)*AG$2</f>
        <v>0</v>
      </c>
      <c r="AH60" s="17">
        <f>_xlfn.XLOOKUP($C60,TB_UK!$E:$E,TB_UK!AJ:AJ)*AH$2</f>
        <v>0</v>
      </c>
      <c r="AI60" s="17">
        <f>_xlfn.XLOOKUP($C60,TB_UK!$E:$E,TB_UK!AK:AK)*AI$2</f>
        <v>0</v>
      </c>
      <c r="AJ60" s="17">
        <f>_xlfn.XLOOKUP($C60,TB_UK!$E:$E,TB_UK!AL:AL)*AJ$2</f>
        <v>0</v>
      </c>
      <c r="AK60" s="17">
        <f>_xlfn.XLOOKUP($C60,TB_UK!$E:$E,TB_UK!AM:AM)*AK$2</f>
        <v>0</v>
      </c>
      <c r="AL60" s="17">
        <f>_xlfn.XLOOKUP($C60,TB_UK!$E:$E,TB_UK!AN:AN)*AL$2</f>
        <v>0</v>
      </c>
      <c r="AM60" s="17">
        <f>_xlfn.XLOOKUP($C60,TB_UK!$E:$E,TB_UK!AO:AO)*AM$2</f>
        <v>0</v>
      </c>
    </row>
    <row r="61" spans="2:39" hidden="1" outlineLevel="1" x14ac:dyDescent="0.2">
      <c r="B61" s="21">
        <v>15560</v>
      </c>
      <c r="C61" s="16" t="str">
        <f>_xlfn.XLOOKUP(B61,TB_UK!A:A,TB_UK!E:E)</f>
        <v>Intangible Assets - Cost</v>
      </c>
      <c r="D61" s="17">
        <f>_xlfn.XLOOKUP($C61,TB_UK!$E:$E,TB_UK!F:F)*D$2</f>
        <v>0</v>
      </c>
      <c r="E61" s="17">
        <f>_xlfn.XLOOKUP($C61,TB_UK!$E:$E,TB_UK!G:G)*E$2</f>
        <v>0</v>
      </c>
      <c r="F61" s="17">
        <f>_xlfn.XLOOKUP($C61,TB_UK!$E:$E,TB_UK!H:H)*F$2</f>
        <v>0</v>
      </c>
      <c r="G61" s="17">
        <f>_xlfn.XLOOKUP($C61,TB_UK!$E:$E,TB_UK!I:I)*G$2</f>
        <v>0</v>
      </c>
      <c r="H61" s="17">
        <f>_xlfn.XLOOKUP($C61,TB_UK!$E:$E,TB_UK!J:J)*H$2</f>
        <v>0</v>
      </c>
      <c r="I61" s="17">
        <f>_xlfn.XLOOKUP($C61,TB_UK!$E:$E,TB_UK!K:K)*I$2</f>
        <v>0</v>
      </c>
      <c r="J61" s="17">
        <f>_xlfn.XLOOKUP($C61,TB_UK!$E:$E,TB_UK!L:L)*J$2</f>
        <v>0</v>
      </c>
      <c r="K61" s="17">
        <f>_xlfn.XLOOKUP($C61,TB_UK!$E:$E,TB_UK!M:M)*K$2</f>
        <v>0</v>
      </c>
      <c r="L61" s="17">
        <f>_xlfn.XLOOKUP($C61,TB_UK!$E:$E,TB_UK!N:N)*L$2</f>
        <v>0</v>
      </c>
      <c r="M61" s="17">
        <f>_xlfn.XLOOKUP($C61,TB_UK!$E:$E,TB_UK!O:O)*M$2</f>
        <v>0</v>
      </c>
      <c r="N61" s="17">
        <f>_xlfn.XLOOKUP($C61,TB_UK!$E:$E,TB_UK!P:P)*N$2</f>
        <v>0</v>
      </c>
      <c r="O61" s="17">
        <f>_xlfn.XLOOKUP($C61,TB_UK!$E:$E,TB_UK!Q:Q)*O$2</f>
        <v>0</v>
      </c>
      <c r="P61" s="17">
        <f>_xlfn.XLOOKUP($C61,TB_UK!$E:$E,TB_UK!R:R)*P$2</f>
        <v>0</v>
      </c>
      <c r="Q61" s="17">
        <f>_xlfn.XLOOKUP($C61,TB_UK!$E:$E,TB_UK!S:S)*Q$2</f>
        <v>0</v>
      </c>
      <c r="R61" s="17">
        <f>_xlfn.XLOOKUP($C61,TB_UK!$E:$E,TB_UK!T:T)*R$2</f>
        <v>0</v>
      </c>
      <c r="S61" s="17">
        <f>_xlfn.XLOOKUP($C61,TB_UK!$E:$E,TB_UK!U:U)*S$2</f>
        <v>0</v>
      </c>
      <c r="T61" s="17">
        <f>_xlfn.XLOOKUP($C61,TB_UK!$E:$E,TB_UK!V:V)*T$2</f>
        <v>0</v>
      </c>
      <c r="U61" s="17">
        <f>_xlfn.XLOOKUP($C61,TB_UK!$E:$E,TB_UK!W:W)*U$2</f>
        <v>0</v>
      </c>
      <c r="V61" s="17">
        <f>_xlfn.XLOOKUP($C61,TB_UK!$E:$E,TB_UK!X:X)*V$2</f>
        <v>0</v>
      </c>
      <c r="W61" s="17">
        <f>_xlfn.XLOOKUP($C61,TB_UK!$E:$E,TB_UK!Y:Y)*W$2</f>
        <v>0</v>
      </c>
      <c r="X61" s="17">
        <f>_xlfn.XLOOKUP($C61,TB_UK!$E:$E,TB_UK!Z:Z)*X$2</f>
        <v>0</v>
      </c>
      <c r="Y61" s="17">
        <f>_xlfn.XLOOKUP($C61,TB_UK!$E:$E,TB_UK!AA:AA)*Y$2</f>
        <v>0</v>
      </c>
      <c r="Z61" s="17">
        <f>_xlfn.XLOOKUP($C61,TB_UK!$E:$E,TB_UK!AB:AB)*Z$2</f>
        <v>0</v>
      </c>
      <c r="AA61" s="17">
        <f>_xlfn.XLOOKUP($C61,TB_UK!$E:$E,TB_UK!AC:AC)*AA$2</f>
        <v>0</v>
      </c>
      <c r="AB61" s="17">
        <f>_xlfn.XLOOKUP($C61,TB_UK!$E:$E,TB_UK!AD:AD)*AB$2</f>
        <v>0</v>
      </c>
      <c r="AC61" s="17">
        <f>_xlfn.XLOOKUP($C61,TB_UK!$E:$E,TB_UK!AE:AE)*AC$2</f>
        <v>0</v>
      </c>
      <c r="AD61" s="17">
        <f>_xlfn.XLOOKUP($C61,TB_UK!$E:$E,TB_UK!AF:AF)*AD$2</f>
        <v>0</v>
      </c>
      <c r="AE61" s="17">
        <f>_xlfn.XLOOKUP($C61,TB_UK!$E:$E,TB_UK!AG:AG)*AE$2</f>
        <v>0</v>
      </c>
      <c r="AF61" s="17">
        <f>_xlfn.XLOOKUP($C61,TB_UK!$E:$E,TB_UK!AH:AH)*AF$2</f>
        <v>0</v>
      </c>
      <c r="AG61" s="17">
        <f>_xlfn.XLOOKUP($C61,TB_UK!$E:$E,TB_UK!AI:AI)*AG$2</f>
        <v>0</v>
      </c>
      <c r="AH61" s="17">
        <f>_xlfn.XLOOKUP($C61,TB_UK!$E:$E,TB_UK!AJ:AJ)*AH$2</f>
        <v>0</v>
      </c>
      <c r="AI61" s="17">
        <f>_xlfn.XLOOKUP($C61,TB_UK!$E:$E,TB_UK!AK:AK)*AI$2</f>
        <v>0</v>
      </c>
      <c r="AJ61" s="17">
        <f>_xlfn.XLOOKUP($C61,TB_UK!$E:$E,TB_UK!AL:AL)*AJ$2</f>
        <v>0</v>
      </c>
      <c r="AK61" s="17">
        <f>_xlfn.XLOOKUP($C61,TB_UK!$E:$E,TB_UK!AM:AM)*AK$2</f>
        <v>0</v>
      </c>
      <c r="AL61" s="17">
        <f>_xlfn.XLOOKUP($C61,TB_UK!$E:$E,TB_UK!AN:AN)*AL$2</f>
        <v>0</v>
      </c>
      <c r="AM61" s="17">
        <f>_xlfn.XLOOKUP($C61,TB_UK!$E:$E,TB_UK!AO:AO)*AM$2</f>
        <v>0</v>
      </c>
    </row>
    <row r="62" spans="2:39" hidden="1" outlineLevel="1" x14ac:dyDescent="0.2">
      <c r="B62" s="21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</row>
    <row r="63" spans="2:39" collapsed="1" x14ac:dyDescent="0.2">
      <c r="B63" s="15"/>
      <c r="C63" s="22" t="s">
        <v>47</v>
      </c>
      <c r="D63" s="23">
        <f t="shared" ref="D63:AM63" si="10">SUM(D59:D62)</f>
        <v>0</v>
      </c>
      <c r="E63" s="23">
        <f t="shared" si="10"/>
        <v>0</v>
      </c>
      <c r="F63" s="23">
        <f t="shared" si="10"/>
        <v>0</v>
      </c>
      <c r="G63" s="23">
        <f t="shared" si="10"/>
        <v>0</v>
      </c>
      <c r="H63" s="23">
        <f t="shared" si="10"/>
        <v>0</v>
      </c>
      <c r="I63" s="23">
        <f t="shared" si="10"/>
        <v>0</v>
      </c>
      <c r="J63" s="23">
        <f t="shared" si="10"/>
        <v>0</v>
      </c>
      <c r="K63" s="23">
        <f t="shared" si="10"/>
        <v>0</v>
      </c>
      <c r="L63" s="23">
        <f t="shared" si="10"/>
        <v>0</v>
      </c>
      <c r="M63" s="23">
        <f t="shared" si="10"/>
        <v>0</v>
      </c>
      <c r="N63" s="23">
        <f t="shared" si="10"/>
        <v>0</v>
      </c>
      <c r="O63" s="23">
        <f t="shared" si="10"/>
        <v>0</v>
      </c>
      <c r="P63" s="23">
        <f t="shared" si="10"/>
        <v>0</v>
      </c>
      <c r="Q63" s="23">
        <f t="shared" si="10"/>
        <v>0</v>
      </c>
      <c r="R63" s="23">
        <f t="shared" si="10"/>
        <v>0</v>
      </c>
      <c r="S63" s="23">
        <f t="shared" si="10"/>
        <v>0</v>
      </c>
      <c r="T63" s="23">
        <f t="shared" si="10"/>
        <v>0</v>
      </c>
      <c r="U63" s="23">
        <f t="shared" si="10"/>
        <v>0</v>
      </c>
      <c r="V63" s="23">
        <f t="shared" si="10"/>
        <v>0</v>
      </c>
      <c r="W63" s="23">
        <f t="shared" si="10"/>
        <v>0</v>
      </c>
      <c r="X63" s="23">
        <f t="shared" si="10"/>
        <v>0</v>
      </c>
      <c r="Y63" s="23">
        <f>SUM(Y59:Y62)</f>
        <v>0</v>
      </c>
      <c r="Z63" s="23">
        <f t="shared" si="10"/>
        <v>0</v>
      </c>
      <c r="AA63" s="23">
        <f t="shared" si="10"/>
        <v>0</v>
      </c>
      <c r="AB63" s="23">
        <f t="shared" si="10"/>
        <v>0</v>
      </c>
      <c r="AC63" s="23">
        <f t="shared" si="10"/>
        <v>0</v>
      </c>
      <c r="AD63" s="23">
        <f t="shared" si="10"/>
        <v>0</v>
      </c>
      <c r="AE63" s="23">
        <f t="shared" si="10"/>
        <v>0</v>
      </c>
      <c r="AF63" s="23">
        <f t="shared" si="10"/>
        <v>0</v>
      </c>
      <c r="AG63" s="23">
        <f t="shared" si="10"/>
        <v>0</v>
      </c>
      <c r="AH63" s="23">
        <f t="shared" si="10"/>
        <v>0</v>
      </c>
      <c r="AI63" s="23">
        <f t="shared" si="10"/>
        <v>0</v>
      </c>
      <c r="AJ63" s="23">
        <f t="shared" si="10"/>
        <v>0</v>
      </c>
      <c r="AK63" s="23">
        <f t="shared" si="10"/>
        <v>0</v>
      </c>
      <c r="AL63" s="23">
        <f t="shared" si="10"/>
        <v>0</v>
      </c>
      <c r="AM63" s="23">
        <f t="shared" si="10"/>
        <v>0</v>
      </c>
    </row>
    <row r="64" spans="2:39" x14ac:dyDescent="0.2">
      <c r="B64" s="15"/>
      <c r="C64" s="16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8"/>
    </row>
    <row r="65" spans="2:39" hidden="1" outlineLevel="1" x14ac:dyDescent="0.2">
      <c r="B65" s="15"/>
      <c r="C65" s="20" t="s">
        <v>256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8"/>
    </row>
    <row r="66" spans="2:39" hidden="1" outlineLevel="1" x14ac:dyDescent="0.2">
      <c r="B66" s="21"/>
      <c r="C66" s="1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 spans="2:39" hidden="1" outlineLevel="1" x14ac:dyDescent="0.2">
      <c r="B67" s="21"/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 spans="2:39" s="20" customFormat="1" ht="13.5" customHeight="1" collapsed="1" x14ac:dyDescent="0.15">
      <c r="C68" s="22" t="s">
        <v>49</v>
      </c>
      <c r="D68" s="23">
        <f t="shared" ref="D68:AM68" si="11">SUM(D66:D67)</f>
        <v>0</v>
      </c>
      <c r="E68" s="23">
        <f t="shared" si="11"/>
        <v>0</v>
      </c>
      <c r="F68" s="23">
        <f t="shared" si="11"/>
        <v>0</v>
      </c>
      <c r="G68" s="23">
        <f t="shared" si="11"/>
        <v>0</v>
      </c>
      <c r="H68" s="23">
        <f t="shared" si="11"/>
        <v>0</v>
      </c>
      <c r="I68" s="23">
        <f t="shared" si="11"/>
        <v>0</v>
      </c>
      <c r="J68" s="23">
        <f t="shared" si="11"/>
        <v>0</v>
      </c>
      <c r="K68" s="23">
        <f t="shared" si="11"/>
        <v>0</v>
      </c>
      <c r="L68" s="23">
        <f t="shared" si="11"/>
        <v>0</v>
      </c>
      <c r="M68" s="23">
        <f t="shared" si="11"/>
        <v>0</v>
      </c>
      <c r="N68" s="23">
        <f t="shared" si="11"/>
        <v>0</v>
      </c>
      <c r="O68" s="23">
        <f t="shared" si="11"/>
        <v>0</v>
      </c>
      <c r="P68" s="23">
        <f t="shared" si="11"/>
        <v>0</v>
      </c>
      <c r="Q68" s="23">
        <f t="shared" si="11"/>
        <v>0</v>
      </c>
      <c r="R68" s="23">
        <f t="shared" si="11"/>
        <v>0</v>
      </c>
      <c r="S68" s="23">
        <f t="shared" si="11"/>
        <v>0</v>
      </c>
      <c r="T68" s="23">
        <f t="shared" si="11"/>
        <v>0</v>
      </c>
      <c r="U68" s="23">
        <f t="shared" si="11"/>
        <v>0</v>
      </c>
      <c r="V68" s="23">
        <f t="shared" si="11"/>
        <v>0</v>
      </c>
      <c r="W68" s="23">
        <f t="shared" si="11"/>
        <v>0</v>
      </c>
      <c r="X68" s="23">
        <f t="shared" si="11"/>
        <v>0</v>
      </c>
      <c r="Y68" s="23">
        <f>SUM(Y66:Y67)</f>
        <v>0</v>
      </c>
      <c r="Z68" s="23">
        <f t="shared" si="11"/>
        <v>0</v>
      </c>
      <c r="AA68" s="23">
        <f t="shared" si="11"/>
        <v>0</v>
      </c>
      <c r="AB68" s="23">
        <f t="shared" si="11"/>
        <v>0</v>
      </c>
      <c r="AC68" s="23">
        <f t="shared" si="11"/>
        <v>0</v>
      </c>
      <c r="AD68" s="23">
        <f t="shared" si="11"/>
        <v>0</v>
      </c>
      <c r="AE68" s="23">
        <f t="shared" si="11"/>
        <v>0</v>
      </c>
      <c r="AF68" s="23">
        <f t="shared" si="11"/>
        <v>0</v>
      </c>
      <c r="AG68" s="23">
        <f t="shared" si="11"/>
        <v>0</v>
      </c>
      <c r="AH68" s="23">
        <f t="shared" si="11"/>
        <v>0</v>
      </c>
      <c r="AI68" s="23">
        <f t="shared" si="11"/>
        <v>0</v>
      </c>
      <c r="AJ68" s="23">
        <f t="shared" si="11"/>
        <v>0</v>
      </c>
      <c r="AK68" s="23">
        <f t="shared" si="11"/>
        <v>0</v>
      </c>
      <c r="AL68" s="23">
        <f t="shared" si="11"/>
        <v>0</v>
      </c>
      <c r="AM68" s="23">
        <f t="shared" si="11"/>
        <v>0</v>
      </c>
    </row>
    <row r="69" spans="2:39" x14ac:dyDescent="0.2">
      <c r="B69" s="21"/>
      <c r="C69" s="16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8"/>
    </row>
    <row r="70" spans="2:39" s="27" customFormat="1" x14ac:dyDescent="0.2">
      <c r="B70" s="24"/>
      <c r="C70" s="25" t="s">
        <v>264</v>
      </c>
      <c r="D70" s="26">
        <f t="shared" ref="D70:AM70" si="12">D56+D63+D68</f>
        <v>0</v>
      </c>
      <c r="E70" s="26">
        <f t="shared" si="12"/>
        <v>0</v>
      </c>
      <c r="F70" s="26">
        <f t="shared" si="12"/>
        <v>0</v>
      </c>
      <c r="G70" s="26">
        <f t="shared" si="12"/>
        <v>4937026.9958999995</v>
      </c>
      <c r="H70" s="26">
        <f t="shared" si="12"/>
        <v>7563356.1565999985</v>
      </c>
      <c r="I70" s="26">
        <f t="shared" si="12"/>
        <v>9107393.1558999997</v>
      </c>
      <c r="J70" s="26">
        <f t="shared" si="12"/>
        <v>9553722.6854999997</v>
      </c>
      <c r="K70" s="26">
        <f t="shared" si="12"/>
        <v>9292649.6678000018</v>
      </c>
      <c r="L70" s="26">
        <f t="shared" si="12"/>
        <v>9632401.9108999968</v>
      </c>
      <c r="M70" s="26">
        <f t="shared" si="12"/>
        <v>8952531.488499999</v>
      </c>
      <c r="N70" s="26">
        <f t="shared" si="12"/>
        <v>8703558.1394999996</v>
      </c>
      <c r="O70" s="26">
        <f t="shared" si="12"/>
        <v>7666547.3404000001</v>
      </c>
      <c r="P70" s="26">
        <f t="shared" si="12"/>
        <v>7308901.1967000002</v>
      </c>
      <c r="Q70" s="26">
        <f t="shared" si="12"/>
        <v>6999874.1889999993</v>
      </c>
      <c r="R70" s="26">
        <f t="shared" si="12"/>
        <v>7092361.9924999997</v>
      </c>
      <c r="S70" s="26">
        <f t="shared" si="12"/>
        <v>7400729.4577000011</v>
      </c>
      <c r="T70" s="26">
        <f t="shared" si="12"/>
        <v>7103859.3504999988</v>
      </c>
      <c r="U70" s="26">
        <f t="shared" si="12"/>
        <v>6758988.429899998</v>
      </c>
      <c r="V70" s="26">
        <f t="shared" si="12"/>
        <v>6260604.5680999998</v>
      </c>
      <c r="W70" s="26">
        <f t="shared" si="12"/>
        <v>6119079.1305000009</v>
      </c>
      <c r="X70" s="26">
        <f t="shared" si="12"/>
        <v>5625154.4852999998</v>
      </c>
      <c r="Y70" s="26">
        <f>Y56+Y63+Y68</f>
        <v>5151969.5629999982</v>
      </c>
      <c r="Z70" s="26">
        <f t="shared" si="12"/>
        <v>4925112.6577000022</v>
      </c>
      <c r="AA70" s="26">
        <f t="shared" si="12"/>
        <v>4788516.9724999983</v>
      </c>
      <c r="AB70" s="26">
        <f t="shared" si="12"/>
        <v>4429671.6749999998</v>
      </c>
      <c r="AC70" s="26">
        <f t="shared" si="12"/>
        <v>4021923.1043999996</v>
      </c>
      <c r="AD70" s="26">
        <f t="shared" si="12"/>
        <v>3792192.359000002</v>
      </c>
      <c r="AE70" s="26">
        <f t="shared" si="12"/>
        <v>3616907.0209999997</v>
      </c>
      <c r="AF70" s="26">
        <f t="shared" si="12"/>
        <v>0</v>
      </c>
      <c r="AG70" s="26">
        <f t="shared" si="12"/>
        <v>0</v>
      </c>
      <c r="AH70" s="26">
        <f t="shared" si="12"/>
        <v>0</v>
      </c>
      <c r="AI70" s="26">
        <f t="shared" si="12"/>
        <v>0</v>
      </c>
      <c r="AJ70" s="26">
        <f t="shared" si="12"/>
        <v>0</v>
      </c>
      <c r="AK70" s="26">
        <f t="shared" si="12"/>
        <v>0</v>
      </c>
      <c r="AL70" s="26">
        <f t="shared" si="12"/>
        <v>0</v>
      </c>
      <c r="AM70" s="26">
        <f t="shared" si="12"/>
        <v>0</v>
      </c>
    </row>
    <row r="71" spans="2:39" x14ac:dyDescent="0.2">
      <c r="B71" s="21"/>
      <c r="C71" s="16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8"/>
    </row>
    <row r="72" spans="2:39" s="27" customFormat="1" x14ac:dyDescent="0.2">
      <c r="B72" s="24"/>
      <c r="C72" s="42" t="s">
        <v>52</v>
      </c>
      <c r="D72" s="43">
        <f t="shared" ref="D72:AM72" si="13">D47+D70</f>
        <v>0</v>
      </c>
      <c r="E72" s="43">
        <f t="shared" si="13"/>
        <v>0</v>
      </c>
      <c r="F72" s="43">
        <f t="shared" si="13"/>
        <v>0</v>
      </c>
      <c r="G72" s="43">
        <f t="shared" si="13"/>
        <v>299975967.71489996</v>
      </c>
      <c r="H72" s="43">
        <f t="shared" si="13"/>
        <v>289009727.00520003</v>
      </c>
      <c r="I72" s="43">
        <f t="shared" si="13"/>
        <v>265202824.15249997</v>
      </c>
      <c r="J72" s="43">
        <f t="shared" si="13"/>
        <v>209705926.88999996</v>
      </c>
      <c r="K72" s="43">
        <f t="shared" si="13"/>
        <v>178917119.81020001</v>
      </c>
      <c r="L72" s="43">
        <f t="shared" si="13"/>
        <v>247647497.8504</v>
      </c>
      <c r="M72" s="43">
        <f t="shared" si="13"/>
        <v>207811054.76380002</v>
      </c>
      <c r="N72" s="43">
        <f t="shared" si="13"/>
        <v>161073328.56299999</v>
      </c>
      <c r="O72" s="43">
        <f t="shared" si="13"/>
        <v>91676928.340399981</v>
      </c>
      <c r="P72" s="43">
        <f t="shared" si="13"/>
        <v>172747213.68990001</v>
      </c>
      <c r="Q72" s="43">
        <f t="shared" si="13"/>
        <v>156321481.42900002</v>
      </c>
      <c r="R72" s="43">
        <f t="shared" si="13"/>
        <v>111450066.20949998</v>
      </c>
      <c r="S72" s="43">
        <f t="shared" si="13"/>
        <v>153175364.46720004</v>
      </c>
      <c r="T72" s="43">
        <f t="shared" si="13"/>
        <v>90277229.553499982</v>
      </c>
      <c r="U72" s="43">
        <f t="shared" si="13"/>
        <v>146064888.23429999</v>
      </c>
      <c r="V72" s="43">
        <f t="shared" si="13"/>
        <v>293756974.88159996</v>
      </c>
      <c r="W72" s="43">
        <f t="shared" si="13"/>
        <v>249657577.25369999</v>
      </c>
      <c r="X72" s="43">
        <f t="shared" si="13"/>
        <v>175644341.19929999</v>
      </c>
      <c r="Y72" s="43">
        <f>Y47+Y70</f>
        <v>102202369.74999999</v>
      </c>
      <c r="Z72" s="43">
        <f t="shared" si="13"/>
        <v>189955158.76429999</v>
      </c>
      <c r="AA72" s="43">
        <f t="shared" si="13"/>
        <v>140205703.07750002</v>
      </c>
      <c r="AB72" s="43">
        <f t="shared" si="13"/>
        <v>115923730.9338</v>
      </c>
      <c r="AC72" s="43">
        <f t="shared" si="13"/>
        <v>101778611.5644</v>
      </c>
      <c r="AD72" s="43">
        <f t="shared" si="13"/>
        <v>90640031.555000007</v>
      </c>
      <c r="AE72" s="43">
        <f t="shared" si="13"/>
        <v>125187045.46399999</v>
      </c>
      <c r="AF72" s="43">
        <f t="shared" si="13"/>
        <v>0</v>
      </c>
      <c r="AG72" s="43">
        <f t="shared" si="13"/>
        <v>0</v>
      </c>
      <c r="AH72" s="43">
        <f t="shared" si="13"/>
        <v>0</v>
      </c>
      <c r="AI72" s="43">
        <f t="shared" si="13"/>
        <v>0</v>
      </c>
      <c r="AJ72" s="43">
        <f t="shared" si="13"/>
        <v>0</v>
      </c>
      <c r="AK72" s="43">
        <f t="shared" si="13"/>
        <v>0</v>
      </c>
      <c r="AL72" s="43">
        <f t="shared" si="13"/>
        <v>0</v>
      </c>
      <c r="AM72" s="43">
        <f t="shared" si="13"/>
        <v>0</v>
      </c>
    </row>
    <row r="73" spans="2:39" x14ac:dyDescent="0.2">
      <c r="B73" s="21"/>
      <c r="C73" s="16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8"/>
    </row>
    <row r="74" spans="2:39" hidden="1" outlineLevel="1" x14ac:dyDescent="0.2">
      <c r="B74" s="21"/>
      <c r="C74" s="20" t="s">
        <v>265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8"/>
    </row>
    <row r="75" spans="2:39" hidden="1" outlineLevel="1" x14ac:dyDescent="0.2">
      <c r="B75" s="21">
        <v>26200</v>
      </c>
      <c r="C75" s="16" t="str">
        <f>_xlfn.XLOOKUP(B75,TB_UK!A:A,TB_UK!E:E)</f>
        <v>Long term Loans &amp; Mortgages</v>
      </c>
      <c r="D75" s="17">
        <f>-_xlfn.XLOOKUP($C75,TB_UK!$E:$E,TB_UK!F:F)*D$2</f>
        <v>0</v>
      </c>
      <c r="E75" s="17">
        <f>-_xlfn.XLOOKUP($C75,TB_UK!$E:$E,TB_UK!G:G)*E$2</f>
        <v>0</v>
      </c>
      <c r="F75" s="17">
        <f>-_xlfn.XLOOKUP($C75,TB_UK!$E:$E,TB_UK!H:H)*F$2</f>
        <v>0</v>
      </c>
      <c r="G75" s="17">
        <f>-_xlfn.XLOOKUP($C75,TB_UK!$E:$E,TB_UK!I:I)*G$2</f>
        <v>0</v>
      </c>
      <c r="H75" s="17">
        <f>-_xlfn.XLOOKUP($C75,TB_UK!$E:$E,TB_UK!J:J)*H$2</f>
        <v>0</v>
      </c>
      <c r="I75" s="17">
        <f>-_xlfn.XLOOKUP($C75,TB_UK!$E:$E,TB_UK!K:K)*I$2</f>
        <v>0</v>
      </c>
      <c r="J75" s="17">
        <f>-_xlfn.XLOOKUP($C75,TB_UK!$E:$E,TB_UK!L:L)*J$2</f>
        <v>0</v>
      </c>
      <c r="K75" s="17">
        <f>-_xlfn.XLOOKUP($C75,TB_UK!$E:$E,TB_UK!M:M)*K$2</f>
        <v>0</v>
      </c>
      <c r="L75" s="17">
        <f>-_xlfn.XLOOKUP($C75,TB_UK!$E:$E,TB_UK!N:N)*L$2</f>
        <v>0</v>
      </c>
      <c r="M75" s="17">
        <f>-_xlfn.XLOOKUP($C75,TB_UK!$E:$E,TB_UK!O:O)*M$2</f>
        <v>0</v>
      </c>
      <c r="N75" s="17">
        <f>-_xlfn.XLOOKUP($C75,TB_UK!$E:$E,TB_UK!P:P)*N$2</f>
        <v>0</v>
      </c>
      <c r="O75" s="17">
        <f>-_xlfn.XLOOKUP($C75,TB_UK!$E:$E,TB_UK!Q:Q)*O$2</f>
        <v>0</v>
      </c>
      <c r="P75" s="17">
        <f>-_xlfn.XLOOKUP($C75,TB_UK!$E:$E,TB_UK!R:R)*P$2</f>
        <v>0</v>
      </c>
      <c r="Q75" s="17">
        <f>-_xlfn.XLOOKUP($C75,TB_UK!$E:$E,TB_UK!S:S)*Q$2</f>
        <v>0</v>
      </c>
      <c r="R75" s="17">
        <f>-_xlfn.XLOOKUP($C75,TB_UK!$E:$E,TB_UK!T:T)*R$2</f>
        <v>0</v>
      </c>
      <c r="S75" s="17">
        <f>-_xlfn.XLOOKUP($C75,TB_UK!$E:$E,TB_UK!U:U)*S$2</f>
        <v>0</v>
      </c>
      <c r="T75" s="17">
        <f>-_xlfn.XLOOKUP($C75,TB_UK!$E:$E,TB_UK!V:V)*T$2</f>
        <v>0</v>
      </c>
      <c r="U75" s="17">
        <f>-_xlfn.XLOOKUP($C75,TB_UK!$E:$E,TB_UK!W:W)*U$2</f>
        <v>0</v>
      </c>
      <c r="V75" s="17">
        <f>-_xlfn.XLOOKUP($C75,TB_UK!$E:$E,TB_UK!X:X)*V$2</f>
        <v>0</v>
      </c>
      <c r="W75" s="17">
        <f>-_xlfn.XLOOKUP($C75,TB_UK!$E:$E,TB_UK!Y:Y)*W$2</f>
        <v>0</v>
      </c>
      <c r="X75" s="17">
        <f>-_xlfn.XLOOKUP($C75,TB_UK!$E:$E,TB_UK!Z:Z)*X$2</f>
        <v>0</v>
      </c>
      <c r="Y75" s="17">
        <f>-_xlfn.XLOOKUP($C75,TB_UK!$E:$E,TB_UK!AA:AA)*Y$2</f>
        <v>0</v>
      </c>
      <c r="Z75" s="17">
        <f>-_xlfn.XLOOKUP($C75,TB_UK!$E:$E,TB_UK!AB:AB)*Z$2</f>
        <v>0</v>
      </c>
      <c r="AA75" s="17">
        <f>-_xlfn.XLOOKUP($C75,TB_UK!$E:$E,TB_UK!AC:AC)*AA$2</f>
        <v>0</v>
      </c>
      <c r="AB75" s="17">
        <f>-_xlfn.XLOOKUP($C75,TB_UK!$E:$E,TB_UK!AD:AD)*AB$2</f>
        <v>0</v>
      </c>
      <c r="AC75" s="17">
        <f>-_xlfn.XLOOKUP($C75,TB_UK!$E:$E,TB_UK!AE:AE)*AC$2</f>
        <v>0</v>
      </c>
      <c r="AD75" s="17">
        <f>-_xlfn.XLOOKUP($C75,TB_UK!$E:$E,TB_UK!AF:AF)*AD$2</f>
        <v>0</v>
      </c>
      <c r="AE75" s="17">
        <f>-_xlfn.XLOOKUP($C75,TB_UK!$E:$E,TB_UK!AG:AG)*AE$2</f>
        <v>0</v>
      </c>
      <c r="AF75" s="17">
        <f>-_xlfn.XLOOKUP($C75,TB_UK!$E:$E,TB_UK!AH:AH)*AF$2</f>
        <v>0</v>
      </c>
      <c r="AG75" s="17">
        <f>-_xlfn.XLOOKUP($C75,TB_UK!$E:$E,TB_UK!AI:AI)*AG$2</f>
        <v>0</v>
      </c>
      <c r="AH75" s="17">
        <f>-_xlfn.XLOOKUP($C75,TB_UK!$E:$E,TB_UK!AJ:AJ)*AH$2</f>
        <v>0</v>
      </c>
      <c r="AI75" s="17">
        <f>-_xlfn.XLOOKUP($C75,TB_UK!$E:$E,TB_UK!AK:AK)*AI$2</f>
        <v>0</v>
      </c>
      <c r="AJ75" s="17">
        <f>-_xlfn.XLOOKUP($C75,TB_UK!$E:$E,TB_UK!AL:AL)*AJ$2</f>
        <v>0</v>
      </c>
      <c r="AK75" s="17">
        <f>-_xlfn.XLOOKUP($C75,TB_UK!$E:$E,TB_UK!AM:AM)*AK$2</f>
        <v>0</v>
      </c>
      <c r="AL75" s="17">
        <f>-_xlfn.XLOOKUP($C75,TB_UK!$E:$E,TB_UK!AN:AN)*AL$2</f>
        <v>0</v>
      </c>
      <c r="AM75" s="17">
        <f>-_xlfn.XLOOKUP($C75,TB_UK!$E:$E,TB_UK!AO:AO)*AM$2</f>
        <v>0</v>
      </c>
    </row>
    <row r="76" spans="2:39" hidden="1" outlineLevel="1" x14ac:dyDescent="0.2">
      <c r="B76" s="21"/>
      <c r="C76" s="16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</row>
    <row r="77" spans="2:39" s="20" customFormat="1" ht="13.5" customHeight="1" collapsed="1" x14ac:dyDescent="0.15">
      <c r="C77" s="22" t="s">
        <v>53</v>
      </c>
      <c r="D77" s="23">
        <f t="shared" ref="D77:AM77" si="14">SUM(D75:D76)</f>
        <v>0</v>
      </c>
      <c r="E77" s="23">
        <f t="shared" si="14"/>
        <v>0</v>
      </c>
      <c r="F77" s="23">
        <f t="shared" si="14"/>
        <v>0</v>
      </c>
      <c r="G77" s="23">
        <f t="shared" si="14"/>
        <v>0</v>
      </c>
      <c r="H77" s="23">
        <f t="shared" si="14"/>
        <v>0</v>
      </c>
      <c r="I77" s="23">
        <f t="shared" si="14"/>
        <v>0</v>
      </c>
      <c r="J77" s="23">
        <f t="shared" si="14"/>
        <v>0</v>
      </c>
      <c r="K77" s="23">
        <f t="shared" si="14"/>
        <v>0</v>
      </c>
      <c r="L77" s="23">
        <f t="shared" si="14"/>
        <v>0</v>
      </c>
      <c r="M77" s="23">
        <f t="shared" si="14"/>
        <v>0</v>
      </c>
      <c r="N77" s="23">
        <f t="shared" si="14"/>
        <v>0</v>
      </c>
      <c r="O77" s="23">
        <f t="shared" si="14"/>
        <v>0</v>
      </c>
      <c r="P77" s="23">
        <f t="shared" si="14"/>
        <v>0</v>
      </c>
      <c r="Q77" s="23">
        <f t="shared" si="14"/>
        <v>0</v>
      </c>
      <c r="R77" s="23">
        <f t="shared" si="14"/>
        <v>0</v>
      </c>
      <c r="S77" s="23">
        <f t="shared" si="14"/>
        <v>0</v>
      </c>
      <c r="T77" s="23">
        <f t="shared" si="14"/>
        <v>0</v>
      </c>
      <c r="U77" s="23">
        <f t="shared" si="14"/>
        <v>0</v>
      </c>
      <c r="V77" s="23">
        <f t="shared" si="14"/>
        <v>0</v>
      </c>
      <c r="W77" s="23">
        <f t="shared" si="14"/>
        <v>0</v>
      </c>
      <c r="X77" s="23">
        <f t="shared" si="14"/>
        <v>0</v>
      </c>
      <c r="Y77" s="23">
        <f>SUM(Y75:Y76)</f>
        <v>0</v>
      </c>
      <c r="Z77" s="23">
        <f t="shared" si="14"/>
        <v>0</v>
      </c>
      <c r="AA77" s="23">
        <f t="shared" si="14"/>
        <v>0</v>
      </c>
      <c r="AB77" s="23">
        <f t="shared" si="14"/>
        <v>0</v>
      </c>
      <c r="AC77" s="23">
        <f t="shared" si="14"/>
        <v>0</v>
      </c>
      <c r="AD77" s="23">
        <f t="shared" si="14"/>
        <v>0</v>
      </c>
      <c r="AE77" s="23">
        <f t="shared" si="14"/>
        <v>0</v>
      </c>
      <c r="AF77" s="23">
        <f t="shared" si="14"/>
        <v>0</v>
      </c>
      <c r="AG77" s="23">
        <f t="shared" si="14"/>
        <v>0</v>
      </c>
      <c r="AH77" s="23">
        <f t="shared" si="14"/>
        <v>0</v>
      </c>
      <c r="AI77" s="23">
        <f t="shared" si="14"/>
        <v>0</v>
      </c>
      <c r="AJ77" s="23">
        <f t="shared" si="14"/>
        <v>0</v>
      </c>
      <c r="AK77" s="23">
        <f t="shared" si="14"/>
        <v>0</v>
      </c>
      <c r="AL77" s="23">
        <f t="shared" si="14"/>
        <v>0</v>
      </c>
      <c r="AM77" s="23">
        <f t="shared" si="14"/>
        <v>0</v>
      </c>
    </row>
    <row r="78" spans="2:39" x14ac:dyDescent="0.2">
      <c r="B78" s="21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8"/>
    </row>
    <row r="79" spans="2:39" s="27" customFormat="1" x14ac:dyDescent="0.2">
      <c r="B79" s="24"/>
      <c r="C79" s="25" t="s">
        <v>267</v>
      </c>
      <c r="D79" s="26">
        <f>D77</f>
        <v>0</v>
      </c>
      <c r="E79" s="26">
        <f t="shared" ref="E79:AM79" si="15">E77</f>
        <v>0</v>
      </c>
      <c r="F79" s="26">
        <f t="shared" si="15"/>
        <v>0</v>
      </c>
      <c r="G79" s="26">
        <f t="shared" si="15"/>
        <v>0</v>
      </c>
      <c r="H79" s="26">
        <f t="shared" si="15"/>
        <v>0</v>
      </c>
      <c r="I79" s="26">
        <f t="shared" si="15"/>
        <v>0</v>
      </c>
      <c r="J79" s="26">
        <f t="shared" si="15"/>
        <v>0</v>
      </c>
      <c r="K79" s="26">
        <f t="shared" si="15"/>
        <v>0</v>
      </c>
      <c r="L79" s="26">
        <f t="shared" si="15"/>
        <v>0</v>
      </c>
      <c r="M79" s="26">
        <f t="shared" si="15"/>
        <v>0</v>
      </c>
      <c r="N79" s="26">
        <f t="shared" si="15"/>
        <v>0</v>
      </c>
      <c r="O79" s="26">
        <f t="shared" si="15"/>
        <v>0</v>
      </c>
      <c r="P79" s="26">
        <f t="shared" si="15"/>
        <v>0</v>
      </c>
      <c r="Q79" s="26">
        <f t="shared" si="15"/>
        <v>0</v>
      </c>
      <c r="R79" s="26">
        <f t="shared" si="15"/>
        <v>0</v>
      </c>
      <c r="S79" s="26">
        <f t="shared" si="15"/>
        <v>0</v>
      </c>
      <c r="T79" s="26">
        <f t="shared" si="15"/>
        <v>0</v>
      </c>
      <c r="U79" s="26">
        <f t="shared" si="15"/>
        <v>0</v>
      </c>
      <c r="V79" s="26">
        <f t="shared" si="15"/>
        <v>0</v>
      </c>
      <c r="W79" s="26">
        <f t="shared" si="15"/>
        <v>0</v>
      </c>
      <c r="X79" s="26">
        <f t="shared" si="15"/>
        <v>0</v>
      </c>
      <c r="Y79" s="26">
        <f>Y77</f>
        <v>0</v>
      </c>
      <c r="Z79" s="26">
        <f t="shared" si="15"/>
        <v>0</v>
      </c>
      <c r="AA79" s="26">
        <f t="shared" si="15"/>
        <v>0</v>
      </c>
      <c r="AB79" s="26">
        <f t="shared" si="15"/>
        <v>0</v>
      </c>
      <c r="AC79" s="26">
        <f t="shared" si="15"/>
        <v>0</v>
      </c>
      <c r="AD79" s="26">
        <f t="shared" si="15"/>
        <v>0</v>
      </c>
      <c r="AE79" s="26">
        <f t="shared" si="15"/>
        <v>0</v>
      </c>
      <c r="AF79" s="26">
        <f t="shared" si="15"/>
        <v>0</v>
      </c>
      <c r="AG79" s="26">
        <f t="shared" si="15"/>
        <v>0</v>
      </c>
      <c r="AH79" s="26">
        <f t="shared" si="15"/>
        <v>0</v>
      </c>
      <c r="AI79" s="26">
        <f t="shared" si="15"/>
        <v>0</v>
      </c>
      <c r="AJ79" s="26">
        <f t="shared" si="15"/>
        <v>0</v>
      </c>
      <c r="AK79" s="26">
        <f t="shared" si="15"/>
        <v>0</v>
      </c>
      <c r="AL79" s="26">
        <f t="shared" si="15"/>
        <v>0</v>
      </c>
      <c r="AM79" s="26">
        <f t="shared" si="15"/>
        <v>0</v>
      </c>
    </row>
    <row r="80" spans="2:39" x14ac:dyDescent="0.2">
      <c r="B80" s="21"/>
      <c r="C80" s="1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8"/>
    </row>
    <row r="81" spans="2:39" hidden="1" outlineLevel="1" x14ac:dyDescent="0.2">
      <c r="B81" s="21"/>
      <c r="C81" s="20" t="s">
        <v>268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8"/>
    </row>
    <row r="82" spans="2:39" hidden="1" outlineLevel="1" x14ac:dyDescent="0.2">
      <c r="B82" s="21">
        <v>20000</v>
      </c>
      <c r="C82" s="16" t="str">
        <f>_xlfn.XLOOKUP(B82,TB_UK!A:A,TB_UK!E:E)</f>
        <v>Accounts Payable (A/P)</v>
      </c>
      <c r="D82" s="17">
        <f>-_xlfn.XLOOKUP($C82,TB_UK!$E:$E,TB_UK!F:F)*D$2</f>
        <v>0</v>
      </c>
      <c r="E82" s="17">
        <f>-_xlfn.XLOOKUP($C82,TB_UK!$E:$E,TB_UK!G:G)*E$2</f>
        <v>0</v>
      </c>
      <c r="F82" s="17">
        <f>-_xlfn.XLOOKUP($C82,TB_UK!$E:$E,TB_UK!H:H)*F$2</f>
        <v>0</v>
      </c>
      <c r="G82" s="17">
        <f>-_xlfn.XLOOKUP($C82,TB_UK!$E:$E,TB_UK!I:I)*G$2</f>
        <v>0</v>
      </c>
      <c r="H82" s="17">
        <f>-_xlfn.XLOOKUP($C82,TB_UK!$E:$E,TB_UK!J:J)*H$2</f>
        <v>0</v>
      </c>
      <c r="I82" s="17">
        <f>-_xlfn.XLOOKUP($C82,TB_UK!$E:$E,TB_UK!K:K)*I$2</f>
        <v>0</v>
      </c>
      <c r="J82" s="17">
        <f>-_xlfn.XLOOKUP($C82,TB_UK!$E:$E,TB_UK!L:L)*J$2</f>
        <v>0</v>
      </c>
      <c r="K82" s="17">
        <f>-_xlfn.XLOOKUP($C82,TB_UK!$E:$E,TB_UK!M:M)*K$2</f>
        <v>0</v>
      </c>
      <c r="L82" s="17">
        <f>-_xlfn.XLOOKUP($C82,TB_UK!$E:$E,TB_UK!N:N)*L$2</f>
        <v>0</v>
      </c>
      <c r="M82" s="17">
        <f>-_xlfn.XLOOKUP($C82,TB_UK!$E:$E,TB_UK!O:O)*M$2</f>
        <v>0</v>
      </c>
      <c r="N82" s="17">
        <f>-_xlfn.XLOOKUP($C82,TB_UK!$E:$E,TB_UK!P:P)*N$2</f>
        <v>0</v>
      </c>
      <c r="O82" s="17">
        <f>-_xlfn.XLOOKUP($C82,TB_UK!$E:$E,TB_UK!Q:Q)*O$2</f>
        <v>0</v>
      </c>
      <c r="P82" s="17">
        <f>-_xlfn.XLOOKUP($C82,TB_UK!$E:$E,TB_UK!R:R)*P$2</f>
        <v>0</v>
      </c>
      <c r="Q82" s="17">
        <f>-_xlfn.XLOOKUP($C82,TB_UK!$E:$E,TB_UK!S:S)*Q$2</f>
        <v>0</v>
      </c>
      <c r="R82" s="17">
        <f>-_xlfn.XLOOKUP($C82,TB_UK!$E:$E,TB_UK!T:T)*R$2</f>
        <v>0</v>
      </c>
      <c r="S82" s="17">
        <f>-_xlfn.XLOOKUP($C82,TB_UK!$E:$E,TB_UK!U:U)*S$2</f>
        <v>0</v>
      </c>
      <c r="T82" s="17">
        <f>-_xlfn.XLOOKUP($C82,TB_UK!$E:$E,TB_UK!V:V)*T$2</f>
        <v>0</v>
      </c>
      <c r="U82" s="17">
        <f>-_xlfn.XLOOKUP($C82,TB_UK!$E:$E,TB_UK!W:W)*U$2</f>
        <v>0</v>
      </c>
      <c r="V82" s="17">
        <f>-_xlfn.XLOOKUP($C82,TB_UK!$E:$E,TB_UK!X:X)*V$2</f>
        <v>0</v>
      </c>
      <c r="W82" s="17">
        <f>-_xlfn.XLOOKUP($C82,TB_UK!$E:$E,TB_UK!Y:Y)*W$2</f>
        <v>0</v>
      </c>
      <c r="X82" s="17">
        <f>-_xlfn.XLOOKUP($C82,TB_UK!$E:$E,TB_UK!Z:Z)*X$2</f>
        <v>0</v>
      </c>
      <c r="Y82" s="17">
        <f>-_xlfn.XLOOKUP($C82,TB_UK!$E:$E,TB_UK!AA:AA)*Y$2</f>
        <v>0</v>
      </c>
      <c r="Z82" s="17">
        <f>-_xlfn.XLOOKUP($C82,TB_UK!$E:$E,TB_UK!AB:AB)*Z$2</f>
        <v>0</v>
      </c>
      <c r="AA82" s="17">
        <f>-_xlfn.XLOOKUP($C82,TB_UK!$E:$E,TB_UK!AC:AC)*AA$2</f>
        <v>0</v>
      </c>
      <c r="AB82" s="17">
        <f>-_xlfn.XLOOKUP($C82,TB_UK!$E:$E,TB_UK!AD:AD)*AB$2</f>
        <v>0</v>
      </c>
      <c r="AC82" s="17">
        <f>-_xlfn.XLOOKUP($C82,TB_UK!$E:$E,TB_UK!AE:AE)*AC$2</f>
        <v>0</v>
      </c>
      <c r="AD82" s="17">
        <f>-_xlfn.XLOOKUP($C82,TB_UK!$E:$E,TB_UK!AF:AF)*AD$2</f>
        <v>0</v>
      </c>
      <c r="AE82" s="17">
        <f>-_xlfn.XLOOKUP($C82,TB_UK!$E:$E,TB_UK!AG:AG)*AE$2</f>
        <v>0</v>
      </c>
      <c r="AF82" s="17">
        <f>-_xlfn.XLOOKUP($C82,TB_UK!$E:$E,TB_UK!AH:AH)*AF$2</f>
        <v>0</v>
      </c>
      <c r="AG82" s="17">
        <f>-_xlfn.XLOOKUP($C82,TB_UK!$E:$E,TB_UK!AI:AI)*AG$2</f>
        <v>0</v>
      </c>
      <c r="AH82" s="17">
        <f>-_xlfn.XLOOKUP($C82,TB_UK!$E:$E,TB_UK!AJ:AJ)*AH$2</f>
        <v>0</v>
      </c>
      <c r="AI82" s="17">
        <f>-_xlfn.XLOOKUP($C82,TB_UK!$E:$E,TB_UK!AK:AK)*AI$2</f>
        <v>0</v>
      </c>
      <c r="AJ82" s="17">
        <f>-_xlfn.XLOOKUP($C82,TB_UK!$E:$E,TB_UK!AL:AL)*AJ$2</f>
        <v>0</v>
      </c>
      <c r="AK82" s="17">
        <f>-_xlfn.XLOOKUP($C82,TB_UK!$E:$E,TB_UK!AM:AM)*AK$2</f>
        <v>0</v>
      </c>
      <c r="AL82" s="17">
        <f>-_xlfn.XLOOKUP($C82,TB_UK!$E:$E,TB_UK!AN:AN)*AL$2</f>
        <v>0</v>
      </c>
      <c r="AM82" s="17">
        <f>-_xlfn.XLOOKUP($C82,TB_UK!$E:$E,TB_UK!AO:AO)*AM$2</f>
        <v>0</v>
      </c>
    </row>
    <row r="83" spans="2:39" hidden="1" outlineLevel="1" x14ac:dyDescent="0.2">
      <c r="B83" s="21"/>
      <c r="C83" s="1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</row>
    <row r="84" spans="2:39" hidden="1" outlineLevel="1" x14ac:dyDescent="0.2">
      <c r="B84" s="21"/>
      <c r="C84" s="1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</row>
    <row r="85" spans="2:39" s="20" customFormat="1" ht="13.5" customHeight="1" collapsed="1" x14ac:dyDescent="0.15">
      <c r="C85" s="22" t="s">
        <v>54</v>
      </c>
      <c r="D85" s="23">
        <f t="shared" ref="D85:AM85" si="16">SUM(D82:D84)</f>
        <v>0</v>
      </c>
      <c r="E85" s="23">
        <f t="shared" si="16"/>
        <v>0</v>
      </c>
      <c r="F85" s="23">
        <f t="shared" si="16"/>
        <v>0</v>
      </c>
      <c r="G85" s="23">
        <f t="shared" si="16"/>
        <v>0</v>
      </c>
      <c r="H85" s="23">
        <f t="shared" si="16"/>
        <v>0</v>
      </c>
      <c r="I85" s="23">
        <f t="shared" si="16"/>
        <v>0</v>
      </c>
      <c r="J85" s="23">
        <f t="shared" si="16"/>
        <v>0</v>
      </c>
      <c r="K85" s="23">
        <f t="shared" si="16"/>
        <v>0</v>
      </c>
      <c r="L85" s="23">
        <f t="shared" si="16"/>
        <v>0</v>
      </c>
      <c r="M85" s="23">
        <f t="shared" si="16"/>
        <v>0</v>
      </c>
      <c r="N85" s="23">
        <f t="shared" si="16"/>
        <v>0</v>
      </c>
      <c r="O85" s="23">
        <f t="shared" si="16"/>
        <v>0</v>
      </c>
      <c r="P85" s="23">
        <f t="shared" si="16"/>
        <v>0</v>
      </c>
      <c r="Q85" s="23">
        <f t="shared" si="16"/>
        <v>0</v>
      </c>
      <c r="R85" s="23">
        <f t="shared" si="16"/>
        <v>0</v>
      </c>
      <c r="S85" s="23">
        <f t="shared" si="16"/>
        <v>0</v>
      </c>
      <c r="T85" s="23">
        <f t="shared" si="16"/>
        <v>0</v>
      </c>
      <c r="U85" s="23">
        <f t="shared" si="16"/>
        <v>0</v>
      </c>
      <c r="V85" s="23">
        <f t="shared" si="16"/>
        <v>0</v>
      </c>
      <c r="W85" s="23">
        <f t="shared" si="16"/>
        <v>0</v>
      </c>
      <c r="X85" s="23">
        <f t="shared" si="16"/>
        <v>0</v>
      </c>
      <c r="Y85" s="23">
        <f>SUM(Y82:Y84)</f>
        <v>0</v>
      </c>
      <c r="Z85" s="23">
        <f t="shared" si="16"/>
        <v>0</v>
      </c>
      <c r="AA85" s="23">
        <f t="shared" si="16"/>
        <v>0</v>
      </c>
      <c r="AB85" s="23">
        <f t="shared" si="16"/>
        <v>0</v>
      </c>
      <c r="AC85" s="23">
        <f t="shared" si="16"/>
        <v>0</v>
      </c>
      <c r="AD85" s="23">
        <f t="shared" si="16"/>
        <v>0</v>
      </c>
      <c r="AE85" s="23">
        <f t="shared" si="16"/>
        <v>0</v>
      </c>
      <c r="AF85" s="23">
        <f t="shared" si="16"/>
        <v>0</v>
      </c>
      <c r="AG85" s="23">
        <f t="shared" si="16"/>
        <v>0</v>
      </c>
      <c r="AH85" s="23">
        <f t="shared" si="16"/>
        <v>0</v>
      </c>
      <c r="AI85" s="23">
        <f t="shared" si="16"/>
        <v>0</v>
      </c>
      <c r="AJ85" s="23">
        <f t="shared" si="16"/>
        <v>0</v>
      </c>
      <c r="AK85" s="23">
        <f t="shared" si="16"/>
        <v>0</v>
      </c>
      <c r="AL85" s="23">
        <f t="shared" si="16"/>
        <v>0</v>
      </c>
      <c r="AM85" s="23">
        <f t="shared" si="16"/>
        <v>0</v>
      </c>
    </row>
    <row r="86" spans="2:39" x14ac:dyDescent="0.2">
      <c r="B86" s="21"/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8"/>
    </row>
    <row r="87" spans="2:39" hidden="1" outlineLevel="1" x14ac:dyDescent="0.2">
      <c r="B87" s="21"/>
      <c r="C87" s="20" t="s">
        <v>271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8"/>
    </row>
    <row r="88" spans="2:39" hidden="1" outlineLevel="1" x14ac:dyDescent="0.2">
      <c r="B88" s="21">
        <v>20035</v>
      </c>
      <c r="C88" s="16" t="str">
        <f>_xlfn.XLOOKUP(B88,TB_UK!A:A,TB_UK!E:E)</f>
        <v>VAT on Sales(Output VAT)</v>
      </c>
      <c r="D88" s="17">
        <f>-_xlfn.XLOOKUP($C88,TB_UK!$E:$E,TB_UK!F:F)*D$2</f>
        <v>0</v>
      </c>
      <c r="E88" s="17">
        <f>-_xlfn.XLOOKUP($C88,TB_UK!$E:$E,TB_UK!G:G)*E$2</f>
        <v>0</v>
      </c>
      <c r="F88" s="17">
        <f>-_xlfn.XLOOKUP($C88,TB_UK!$E:$E,TB_UK!H:H)*F$2</f>
        <v>0</v>
      </c>
      <c r="G88" s="17">
        <f>-_xlfn.XLOOKUP($C88,TB_UK!$E:$E,TB_UK!I:I)*G$2</f>
        <v>0</v>
      </c>
      <c r="H88" s="17">
        <f>-_xlfn.XLOOKUP($C88,TB_UK!$E:$E,TB_UK!J:J)*H$2</f>
        <v>5125402.0704000005</v>
      </c>
      <c r="I88" s="17">
        <f>-_xlfn.XLOOKUP($C88,TB_UK!$E:$E,TB_UK!K:K)*I$2</f>
        <v>10587773.6965</v>
      </c>
      <c r="J88" s="17">
        <f>-_xlfn.XLOOKUP($C88,TB_UK!$E:$E,TB_UK!L:L)*J$2</f>
        <v>0</v>
      </c>
      <c r="K88" s="17">
        <f>-_xlfn.XLOOKUP($C88,TB_UK!$E:$E,TB_UK!M:M)*K$2</f>
        <v>9384879.5258000009</v>
      </c>
      <c r="L88" s="17">
        <f>-_xlfn.XLOOKUP($C88,TB_UK!$E:$E,TB_UK!N:N)*L$2</f>
        <v>15900021.7324</v>
      </c>
      <c r="M88" s="17">
        <f>-_xlfn.XLOOKUP($C88,TB_UK!$E:$E,TB_UK!O:O)*M$2</f>
        <v>0</v>
      </c>
      <c r="N88" s="17">
        <f>-_xlfn.XLOOKUP($C88,TB_UK!$E:$E,TB_UK!P:P)*N$2</f>
        <v>3904577.6174999997</v>
      </c>
      <c r="O88" s="17">
        <f>-_xlfn.XLOOKUP($C88,TB_UK!$E:$E,TB_UK!Q:Q)*O$2</f>
        <v>3548065.9579999996</v>
      </c>
      <c r="P88" s="17">
        <f>-_xlfn.XLOOKUP($C88,TB_UK!$E:$E,TB_UK!R:R)*P$2</f>
        <v>3492952.6034999997</v>
      </c>
      <c r="Q88" s="17">
        <f>-_xlfn.XLOOKUP($C88,TB_UK!$E:$E,TB_UK!S:S)*Q$2</f>
        <v>0</v>
      </c>
      <c r="R88" s="17">
        <f>-_xlfn.XLOOKUP($C88,TB_UK!$E:$E,TB_UK!T:T)*R$2</f>
        <v>0</v>
      </c>
      <c r="S88" s="17">
        <f>-_xlfn.XLOOKUP($C88,TB_UK!$E:$E,TB_UK!U:U)*S$2</f>
        <v>0</v>
      </c>
      <c r="T88" s="17">
        <f>-_xlfn.XLOOKUP($C88,TB_UK!$E:$E,TB_UK!V:V)*T$2</f>
        <v>0</v>
      </c>
      <c r="U88" s="17">
        <f>-_xlfn.XLOOKUP($C88,TB_UK!$E:$E,TB_UK!W:W)*U$2</f>
        <v>-70475.951699999991</v>
      </c>
      <c r="V88" s="17">
        <f>-_xlfn.XLOOKUP($C88,TB_UK!$E:$E,TB_UK!X:X)*V$2</f>
        <v>-67928.873099999997</v>
      </c>
      <c r="W88" s="17">
        <f>-_xlfn.XLOOKUP($C88,TB_UK!$E:$E,TB_UK!Y:Y)*W$2</f>
        <v>-69202.079100000003</v>
      </c>
      <c r="X88" s="17">
        <f>-_xlfn.XLOOKUP($C88,TB_UK!$E:$E,TB_UK!Z:Z)*X$2</f>
        <v>-66426.356700000004</v>
      </c>
      <c r="Y88" s="17">
        <f>-_xlfn.XLOOKUP($C88,TB_UK!$E:$E,TB_UK!AA:AA)*Y$2</f>
        <v>-63650.300999999999</v>
      </c>
      <c r="Z88" s="17">
        <f>-_xlfn.XLOOKUP($C88,TB_UK!$E:$E,TB_UK!AB:AB)*Z$2</f>
        <v>-63795.953099999992</v>
      </c>
      <c r="AA88" s="17">
        <f>-_xlfn.XLOOKUP($C88,TB_UK!$E:$E,TB_UK!AC:AC)*AA$2</f>
        <v>-65185.147499999999</v>
      </c>
      <c r="AB88" s="17">
        <f>-_xlfn.XLOOKUP($C88,TB_UK!$E:$E,TB_UK!AD:AD)*AB$2</f>
        <v>-63535.645799999998</v>
      </c>
      <c r="AC88" s="17">
        <f>-_xlfn.XLOOKUP($C88,TB_UK!$E:$E,TB_UK!AE:AE)*AC$2</f>
        <v>-60957.903599999998</v>
      </c>
      <c r="AD88" s="17">
        <f>-_xlfn.XLOOKUP($C88,TB_UK!$E:$E,TB_UK!AF:AF)*AD$2</f>
        <v>-60930.572999999997</v>
      </c>
      <c r="AE88" s="17">
        <f>-_xlfn.XLOOKUP($C88,TB_UK!$E:$E,TB_UK!AG:AG)*AE$2</f>
        <v>-61830.482999999993</v>
      </c>
      <c r="AF88" s="17">
        <f>-_xlfn.XLOOKUP($C88,TB_UK!$E:$E,TB_UK!AH:AH)*AF$2</f>
        <v>0</v>
      </c>
      <c r="AG88" s="17">
        <f>-_xlfn.XLOOKUP($C88,TB_UK!$E:$E,TB_UK!AI:AI)*AG$2</f>
        <v>0</v>
      </c>
      <c r="AH88" s="17">
        <f>-_xlfn.XLOOKUP($C88,TB_UK!$E:$E,TB_UK!AJ:AJ)*AH$2</f>
        <v>0</v>
      </c>
      <c r="AI88" s="17">
        <f>-_xlfn.XLOOKUP($C88,TB_UK!$E:$E,TB_UK!AK:AK)*AI$2</f>
        <v>0</v>
      </c>
      <c r="AJ88" s="17">
        <f>-_xlfn.XLOOKUP($C88,TB_UK!$E:$E,TB_UK!AL:AL)*AJ$2</f>
        <v>0</v>
      </c>
      <c r="AK88" s="17">
        <f>-_xlfn.XLOOKUP($C88,TB_UK!$E:$E,TB_UK!AM:AM)*AK$2</f>
        <v>0</v>
      </c>
      <c r="AL88" s="17">
        <f>-_xlfn.XLOOKUP($C88,TB_UK!$E:$E,TB_UK!AN:AN)*AL$2</f>
        <v>0</v>
      </c>
      <c r="AM88" s="17">
        <f>-_xlfn.XLOOKUP($C88,TB_UK!$E:$E,TB_UK!AO:AO)*AM$2</f>
        <v>0</v>
      </c>
    </row>
    <row r="89" spans="2:39" hidden="1" outlineLevel="1" x14ac:dyDescent="0.2">
      <c r="B89" s="21">
        <v>20045</v>
      </c>
      <c r="C89" s="16" t="str">
        <f>_xlfn.XLOOKUP(B89,TB_UK!A:A,TB_UK!E:E)</f>
        <v>VAT Liability</v>
      </c>
      <c r="D89" s="17">
        <f>-_xlfn.XLOOKUP($C89,TB_UK!$E:$E,TB_UK!F:F)*D$2</f>
        <v>0</v>
      </c>
      <c r="E89" s="17">
        <f>-_xlfn.XLOOKUP($C89,TB_UK!$E:$E,TB_UK!G:G)*E$2</f>
        <v>0</v>
      </c>
      <c r="F89" s="17">
        <f>-_xlfn.XLOOKUP($C89,TB_UK!$E:$E,TB_UK!H:H)*F$2</f>
        <v>0</v>
      </c>
      <c r="G89" s="17">
        <f>-_xlfn.XLOOKUP($C89,TB_UK!$E:$E,TB_UK!I:I)*G$2</f>
        <v>16577136.782699997</v>
      </c>
      <c r="H89" s="17">
        <f>-_xlfn.XLOOKUP($C89,TB_UK!$E:$E,TB_UK!J:J)*H$2</f>
        <v>17216837.432599999</v>
      </c>
      <c r="I89" s="17">
        <f>-_xlfn.XLOOKUP($C89,TB_UK!$E:$E,TB_UK!K:K)*I$2</f>
        <v>0</v>
      </c>
      <c r="J89" s="17">
        <f>-_xlfn.XLOOKUP($C89,TB_UK!$E:$E,TB_UK!L:L)*J$2</f>
        <v>8999383.862999998</v>
      </c>
      <c r="K89" s="17">
        <f>-_xlfn.XLOOKUP($C89,TB_UK!$E:$E,TB_UK!M:M)*K$2</f>
        <v>8999082.6571999993</v>
      </c>
      <c r="L89" s="17">
        <f>-_xlfn.XLOOKUP($C89,TB_UK!$E:$E,TB_UK!N:N)*L$2</f>
        <v>0</v>
      </c>
      <c r="M89" s="17">
        <f>-_xlfn.XLOOKUP($C89,TB_UK!$E:$E,TB_UK!O:O)*M$2</f>
        <v>15661353.384000001</v>
      </c>
      <c r="N89" s="17">
        <f>-_xlfn.XLOOKUP($C89,TB_UK!$E:$E,TB_UK!P:P)*N$2</f>
        <v>0</v>
      </c>
      <c r="O89" s="17">
        <f>-_xlfn.XLOOKUP($C89,TB_UK!$E:$E,TB_UK!Q:Q)*O$2</f>
        <v>0</v>
      </c>
      <c r="P89" s="17">
        <f>-_xlfn.XLOOKUP($C89,TB_UK!$E:$E,TB_UK!R:R)*P$2</f>
        <v>0</v>
      </c>
      <c r="Q89" s="17">
        <f>-_xlfn.XLOOKUP($C89,TB_UK!$E:$E,TB_UK!S:S)*Q$2</f>
        <v>0</v>
      </c>
      <c r="R89" s="17">
        <f>-_xlfn.XLOOKUP($C89,TB_UK!$E:$E,TB_UK!T:T)*R$2</f>
        <v>0</v>
      </c>
      <c r="S89" s="17">
        <f>-_xlfn.XLOOKUP($C89,TB_UK!$E:$E,TB_UK!U:U)*S$2</f>
        <v>0</v>
      </c>
      <c r="T89" s="17">
        <f>-_xlfn.XLOOKUP($C89,TB_UK!$E:$E,TB_UK!V:V)*T$2</f>
        <v>0</v>
      </c>
      <c r="U89" s="17">
        <f>-_xlfn.XLOOKUP($C89,TB_UK!$E:$E,TB_UK!W:W)*U$2</f>
        <v>-4138881.5810999996</v>
      </c>
      <c r="V89" s="17">
        <f>-_xlfn.XLOOKUP($C89,TB_UK!$E:$E,TB_UK!X:X)*V$2</f>
        <v>-3989297.8373000002</v>
      </c>
      <c r="W89" s="17">
        <f>-_xlfn.XLOOKUP($C89,TB_UK!$E:$E,TB_UK!Y:Y)*W$2</f>
        <v>31683.8802</v>
      </c>
      <c r="X89" s="17">
        <f>-_xlfn.XLOOKUP($C89,TB_UK!$E:$E,TB_UK!Z:Z)*X$2</f>
        <v>30413.027399999999</v>
      </c>
      <c r="Y89" s="17">
        <f>-_xlfn.XLOOKUP($C89,TB_UK!$E:$E,TB_UK!AA:AA)*Y$2</f>
        <v>29142.022000000001</v>
      </c>
      <c r="Z89" s="17">
        <f>-_xlfn.XLOOKUP($C89,TB_UK!$E:$E,TB_UK!AB:AB)*Z$2</f>
        <v>29208.708199999997</v>
      </c>
      <c r="AA89" s="17">
        <f>-_xlfn.XLOOKUP($C89,TB_UK!$E:$E,TB_UK!AC:AC)*AA$2</f>
        <v>10022221.317499999</v>
      </c>
      <c r="AB89" s="17">
        <f>-_xlfn.XLOOKUP($C89,TB_UK!$E:$E,TB_UK!AD:AD)*AB$2</f>
        <v>9956472.2303999998</v>
      </c>
      <c r="AC89" s="17">
        <f>-_xlfn.XLOOKUP($C89,TB_UK!$E:$E,TB_UK!AE:AE)*AC$2</f>
        <v>14016751.434</v>
      </c>
      <c r="AD89" s="17">
        <f>-_xlfn.XLOOKUP($C89,TB_UK!$E:$E,TB_UK!AF:AF)*AD$2</f>
        <v>14373472.812000001</v>
      </c>
      <c r="AE89" s="17">
        <f>-_xlfn.XLOOKUP($C89,TB_UK!$E:$E,TB_UK!AG:AG)*AE$2</f>
        <v>16079116.352</v>
      </c>
      <c r="AF89" s="17">
        <f>-_xlfn.XLOOKUP($C89,TB_UK!$E:$E,TB_UK!AH:AH)*AF$2</f>
        <v>0</v>
      </c>
      <c r="AG89" s="17">
        <f>-_xlfn.XLOOKUP($C89,TB_UK!$E:$E,TB_UK!AI:AI)*AG$2</f>
        <v>0</v>
      </c>
      <c r="AH89" s="17">
        <f>-_xlfn.XLOOKUP($C89,TB_UK!$E:$E,TB_UK!AJ:AJ)*AH$2</f>
        <v>0</v>
      </c>
      <c r="AI89" s="17">
        <f>-_xlfn.XLOOKUP($C89,TB_UK!$E:$E,TB_UK!AK:AK)*AI$2</f>
        <v>0</v>
      </c>
      <c r="AJ89" s="17">
        <f>-_xlfn.XLOOKUP($C89,TB_UK!$E:$E,TB_UK!AL:AL)*AJ$2</f>
        <v>0</v>
      </c>
      <c r="AK89" s="17">
        <f>-_xlfn.XLOOKUP($C89,TB_UK!$E:$E,TB_UK!AM:AM)*AK$2</f>
        <v>0</v>
      </c>
      <c r="AL89" s="17">
        <f>-_xlfn.XLOOKUP($C89,TB_UK!$E:$E,TB_UK!AN:AN)*AL$2</f>
        <v>0</v>
      </c>
      <c r="AM89" s="17">
        <f>-_xlfn.XLOOKUP($C89,TB_UK!$E:$E,TB_UK!AO:AO)*AM$2</f>
        <v>0</v>
      </c>
    </row>
    <row r="90" spans="2:39" hidden="1" outlineLevel="1" x14ac:dyDescent="0.2">
      <c r="B90" s="21">
        <v>23406</v>
      </c>
      <c r="C90" s="16" t="str">
        <f>_xlfn.XLOOKUP(B90,TB_UK!A:A,TB_UK!E:E)</f>
        <v>VAT on Purchases (Input VAT)</v>
      </c>
      <c r="D90" s="17">
        <f>-_xlfn.XLOOKUP($C90,TB_UK!$E:$E,TB_UK!F:F)*D$2</f>
        <v>0</v>
      </c>
      <c r="E90" s="17">
        <f>-_xlfn.XLOOKUP($C90,TB_UK!$E:$E,TB_UK!G:G)*E$2</f>
        <v>0</v>
      </c>
      <c r="F90" s="17">
        <f>-_xlfn.XLOOKUP($C90,TB_UK!$E:$E,TB_UK!H:H)*F$2</f>
        <v>0</v>
      </c>
      <c r="G90" s="17">
        <f>-_xlfn.XLOOKUP($C90,TB_UK!$E:$E,TB_UK!I:I)*G$2</f>
        <v>0</v>
      </c>
      <c r="H90" s="17">
        <f>-_xlfn.XLOOKUP($C90,TB_UK!$E:$E,TB_UK!J:J)*H$2</f>
        <v>-1838193.7374</v>
      </c>
      <c r="I90" s="17">
        <f>-_xlfn.XLOOKUP($C90,TB_UK!$E:$E,TB_UK!K:K)*I$2</f>
        <v>-2450920.8021999998</v>
      </c>
      <c r="J90" s="17">
        <f>-_xlfn.XLOOKUP($C90,TB_UK!$E:$E,TB_UK!L:L)*J$2</f>
        <v>-969679.87799999991</v>
      </c>
      <c r="K90" s="17">
        <f>-_xlfn.XLOOKUP($C90,TB_UK!$E:$E,TB_UK!M:M)*K$2</f>
        <v>-1466036.4662000001</v>
      </c>
      <c r="L90" s="17">
        <f>-_xlfn.XLOOKUP($C90,TB_UK!$E:$E,TB_UK!N:N)*L$2</f>
        <v>-1911255.4669999997</v>
      </c>
      <c r="M90" s="17">
        <f>-_xlfn.XLOOKUP($C90,TB_UK!$E:$E,TB_UK!O:O)*M$2</f>
        <v>0</v>
      </c>
      <c r="N90" s="17">
        <f>-_xlfn.XLOOKUP($C90,TB_UK!$E:$E,TB_UK!P:P)*N$2</f>
        <v>-1081766.1645</v>
      </c>
      <c r="O90" s="17">
        <f>-_xlfn.XLOOKUP($C90,TB_UK!$E:$E,TB_UK!Q:Q)*O$2</f>
        <v>-358606.25559999997</v>
      </c>
      <c r="P90" s="17">
        <f>-_xlfn.XLOOKUP($C90,TB_UK!$E:$E,TB_UK!R:R)*P$2</f>
        <v>1640944.3794</v>
      </c>
      <c r="Q90" s="17">
        <f>-_xlfn.XLOOKUP($C90,TB_UK!$E:$E,TB_UK!S:S)*Q$2</f>
        <v>2934100.213</v>
      </c>
      <c r="R90" s="17">
        <f>-_xlfn.XLOOKUP($C90,TB_UK!$E:$E,TB_UK!T:T)*R$2</f>
        <v>4646569.2374999998</v>
      </c>
      <c r="S90" s="17">
        <f>-_xlfn.XLOOKUP($C90,TB_UK!$E:$E,TB_UK!U:U)*S$2</f>
        <v>4183846.4654999999</v>
      </c>
      <c r="T90" s="17">
        <f>-_xlfn.XLOOKUP($C90,TB_UK!$E:$E,TB_UK!V:V)*T$2</f>
        <v>3490766.4</v>
      </c>
      <c r="U90" s="17">
        <f>-_xlfn.XLOOKUP($C90,TB_UK!$E:$E,TB_UK!W:W)*U$2</f>
        <v>1720433.6435999998</v>
      </c>
      <c r="V90" s="17">
        <f>-_xlfn.XLOOKUP($C90,TB_UK!$E:$E,TB_UK!X:X)*V$2</f>
        <v>36868.686300000001</v>
      </c>
      <c r="W90" s="17">
        <f>-_xlfn.XLOOKUP($C90,TB_UK!$E:$E,TB_UK!Y:Y)*W$2</f>
        <v>-4582618.5677999994</v>
      </c>
      <c r="X90" s="17">
        <f>-_xlfn.XLOOKUP($C90,TB_UK!$E:$E,TB_UK!Z:Z)*X$2</f>
        <v>-7220104.5225</v>
      </c>
      <c r="Y90" s="17">
        <f>-_xlfn.XLOOKUP($C90,TB_UK!$E:$E,TB_UK!AA:AA)*Y$2</f>
        <v>-9525182.563000001</v>
      </c>
      <c r="Z90" s="17">
        <f>-_xlfn.XLOOKUP($C90,TB_UK!$E:$E,TB_UK!AB:AB)*Z$2</f>
        <v>-12884351.657300001</v>
      </c>
      <c r="AA90" s="17">
        <f>-_xlfn.XLOOKUP($C90,TB_UK!$E:$E,TB_UK!AC:AC)*AA$2</f>
        <v>-14268682.620000001</v>
      </c>
      <c r="AB90" s="17">
        <f>-_xlfn.XLOOKUP($C90,TB_UK!$E:$E,TB_UK!AD:AD)*AB$2</f>
        <v>-14818674.2994</v>
      </c>
      <c r="AC90" s="17">
        <f>-_xlfn.XLOOKUP($C90,TB_UK!$E:$E,TB_UK!AE:AE)*AC$2</f>
        <v>-14819793.627599999</v>
      </c>
      <c r="AD90" s="17">
        <f>-_xlfn.XLOOKUP($C90,TB_UK!$E:$E,TB_UK!AF:AF)*AD$2</f>
        <v>-15480844.387</v>
      </c>
      <c r="AE90" s="17">
        <f>-_xlfn.XLOOKUP($C90,TB_UK!$E:$E,TB_UK!AG:AG)*AE$2</f>
        <v>-16341260.533</v>
      </c>
      <c r="AF90" s="17">
        <f>-_xlfn.XLOOKUP($C90,TB_UK!$E:$E,TB_UK!AH:AH)*AF$2</f>
        <v>0</v>
      </c>
      <c r="AG90" s="17">
        <f>-_xlfn.XLOOKUP($C90,TB_UK!$E:$E,TB_UK!AI:AI)*AG$2</f>
        <v>0</v>
      </c>
      <c r="AH90" s="17">
        <f>-_xlfn.XLOOKUP($C90,TB_UK!$E:$E,TB_UK!AJ:AJ)*AH$2</f>
        <v>0</v>
      </c>
      <c r="AI90" s="17">
        <f>-_xlfn.XLOOKUP($C90,TB_UK!$E:$E,TB_UK!AK:AK)*AI$2</f>
        <v>0</v>
      </c>
      <c r="AJ90" s="17">
        <f>-_xlfn.XLOOKUP($C90,TB_UK!$E:$E,TB_UK!AL:AL)*AJ$2</f>
        <v>0</v>
      </c>
      <c r="AK90" s="17">
        <f>-_xlfn.XLOOKUP($C90,TB_UK!$E:$E,TB_UK!AM:AM)*AK$2</f>
        <v>0</v>
      </c>
      <c r="AL90" s="17">
        <f>-_xlfn.XLOOKUP($C90,TB_UK!$E:$E,TB_UK!AN:AN)*AL$2</f>
        <v>0</v>
      </c>
      <c r="AM90" s="17">
        <f>-_xlfn.XLOOKUP($C90,TB_UK!$E:$E,TB_UK!AO:AO)*AM$2</f>
        <v>0</v>
      </c>
    </row>
    <row r="91" spans="2:39" hidden="1" outlineLevel="1" x14ac:dyDescent="0.2">
      <c r="B91" s="21">
        <v>29000</v>
      </c>
      <c r="C91" s="16" t="str">
        <f>_xlfn.XLOOKUP(B91,TB_UK!A:A,TB_UK!E:E)</f>
        <v>PAYE Payable to HMRC</v>
      </c>
      <c r="D91" s="17">
        <f>-_xlfn.XLOOKUP($C91,TB_UK!$E:$E,TB_UK!F:F)*D$2</f>
        <v>0</v>
      </c>
      <c r="E91" s="17">
        <f>-_xlfn.XLOOKUP($C91,TB_UK!$E:$E,TB_UK!G:G)*E$2</f>
        <v>0</v>
      </c>
      <c r="F91" s="17">
        <f>-_xlfn.XLOOKUP($C91,TB_UK!$E:$E,TB_UK!H:H)*F$2</f>
        <v>0</v>
      </c>
      <c r="G91" s="17">
        <f>-_xlfn.XLOOKUP($C91,TB_UK!$E:$E,TB_UK!I:I)*G$2</f>
        <v>6946977.8622000003</v>
      </c>
      <c r="H91" s="17">
        <f>-_xlfn.XLOOKUP($C91,TB_UK!$E:$E,TB_UK!J:J)*H$2</f>
        <v>0</v>
      </c>
      <c r="I91" s="17">
        <f>-_xlfn.XLOOKUP($C91,TB_UK!$E:$E,TB_UK!K:K)*I$2</f>
        <v>0</v>
      </c>
      <c r="J91" s="17">
        <f>-_xlfn.XLOOKUP($C91,TB_UK!$E:$E,TB_UK!L:L)*J$2</f>
        <v>9488072.0700000003</v>
      </c>
      <c r="K91" s="17">
        <f>-_xlfn.XLOOKUP($C91,TB_UK!$E:$E,TB_UK!M:M)*K$2</f>
        <v>10513513.6566</v>
      </c>
      <c r="L91" s="17">
        <f>-_xlfn.XLOOKUP($C91,TB_UK!$E:$E,TB_UK!N:N)*L$2</f>
        <v>0</v>
      </c>
      <c r="M91" s="17">
        <f>-_xlfn.XLOOKUP($C91,TB_UK!$E:$E,TB_UK!O:O)*M$2</f>
        <v>9810033.7058000006</v>
      </c>
      <c r="N91" s="17">
        <f>-_xlfn.XLOOKUP($C91,TB_UK!$E:$E,TB_UK!P:P)*N$2</f>
        <v>9829448.7795000002</v>
      </c>
      <c r="O91" s="17">
        <f>-_xlfn.XLOOKUP($C91,TB_UK!$E:$E,TB_UK!Q:Q)*O$2</f>
        <v>0</v>
      </c>
      <c r="P91" s="17">
        <f>-_xlfn.XLOOKUP($C91,TB_UK!$E:$E,TB_UK!R:R)*P$2</f>
        <v>0</v>
      </c>
      <c r="Q91" s="17">
        <f>-_xlfn.XLOOKUP($C91,TB_UK!$E:$E,TB_UK!S:S)*Q$2</f>
        <v>9056534.6419999991</v>
      </c>
      <c r="R91" s="17">
        <f>-_xlfn.XLOOKUP($C91,TB_UK!$E:$E,TB_UK!T:T)*R$2</f>
        <v>9496620.1689999979</v>
      </c>
      <c r="S91" s="17">
        <f>-_xlfn.XLOOKUP($C91,TB_UK!$E:$E,TB_UK!U:U)*S$2</f>
        <v>429.54200000000003</v>
      </c>
      <c r="T91" s="17">
        <f>-_xlfn.XLOOKUP($C91,TB_UK!$E:$E,TB_UK!V:V)*T$2</f>
        <v>10042669.703</v>
      </c>
      <c r="U91" s="17">
        <f>-_xlfn.XLOOKUP($C91,TB_UK!$E:$E,TB_UK!W:W)*U$2</f>
        <v>422.89799999999997</v>
      </c>
      <c r="V91" s="17">
        <f>-_xlfn.XLOOKUP($C91,TB_UK!$E:$E,TB_UK!X:X)*V$2</f>
        <v>407.61400000000003</v>
      </c>
      <c r="W91" s="17">
        <f>-_xlfn.XLOOKUP($C91,TB_UK!$E:$E,TB_UK!Y:Y)*W$2</f>
        <v>7153725.9968999997</v>
      </c>
      <c r="X91" s="17">
        <f>-_xlfn.XLOOKUP($C91,TB_UK!$E:$E,TB_UK!Z:Z)*X$2</f>
        <v>6548706.0512999995</v>
      </c>
      <c r="Y91" s="17">
        <f>-_xlfn.XLOOKUP($C91,TB_UK!$E:$E,TB_UK!AA:AA)*Y$2</f>
        <v>6275006.8420000002</v>
      </c>
      <c r="Z91" s="17">
        <f>-_xlfn.XLOOKUP($C91,TB_UK!$E:$E,TB_UK!AB:AB)*Z$2</f>
        <v>6289385.1908999998</v>
      </c>
      <c r="AA91" s="17">
        <f>-_xlfn.XLOOKUP($C91,TB_UK!$E:$E,TB_UK!AC:AC)*AA$2</f>
        <v>6426340.2524999995</v>
      </c>
      <c r="AB91" s="17">
        <f>-_xlfn.XLOOKUP($C91,TB_UK!$E:$E,TB_UK!AD:AD)*AB$2</f>
        <v>6263722.5461999997</v>
      </c>
      <c r="AC91" s="17">
        <f>-_xlfn.XLOOKUP($C91,TB_UK!$E:$E,TB_UK!AE:AE)*AC$2</f>
        <v>6009593.3603999997</v>
      </c>
      <c r="AD91" s="17">
        <f>-_xlfn.XLOOKUP($C91,TB_UK!$E:$E,TB_UK!AF:AF)*AD$2</f>
        <v>6006898.9469999997</v>
      </c>
      <c r="AE91" s="17">
        <f>-_xlfn.XLOOKUP($C91,TB_UK!$E:$E,TB_UK!AG:AG)*AE$2</f>
        <v>6095598.8859999999</v>
      </c>
      <c r="AF91" s="17">
        <f>-_xlfn.XLOOKUP($C91,TB_UK!$E:$E,TB_UK!AH:AH)*AF$2</f>
        <v>0</v>
      </c>
      <c r="AG91" s="17">
        <f>-_xlfn.XLOOKUP($C91,TB_UK!$E:$E,TB_UK!AI:AI)*AG$2</f>
        <v>0</v>
      </c>
      <c r="AH91" s="17">
        <f>-_xlfn.XLOOKUP($C91,TB_UK!$E:$E,TB_UK!AJ:AJ)*AH$2</f>
        <v>0</v>
      </c>
      <c r="AI91" s="17">
        <f>-_xlfn.XLOOKUP($C91,TB_UK!$E:$E,TB_UK!AK:AK)*AI$2</f>
        <v>0</v>
      </c>
      <c r="AJ91" s="17">
        <f>-_xlfn.XLOOKUP($C91,TB_UK!$E:$E,TB_UK!AL:AL)*AJ$2</f>
        <v>0</v>
      </c>
      <c r="AK91" s="17">
        <f>-_xlfn.XLOOKUP($C91,TB_UK!$E:$E,TB_UK!AM:AM)*AK$2</f>
        <v>0</v>
      </c>
      <c r="AL91" s="17">
        <f>-_xlfn.XLOOKUP($C91,TB_UK!$E:$E,TB_UK!AN:AN)*AL$2</f>
        <v>0</v>
      </c>
      <c r="AM91" s="17">
        <f>-_xlfn.XLOOKUP($C91,TB_UK!$E:$E,TB_UK!AO:AO)*AM$2</f>
        <v>0</v>
      </c>
    </row>
    <row r="92" spans="2:39" hidden="1" outlineLevel="1" x14ac:dyDescent="0.2">
      <c r="B92" s="21">
        <v>29010</v>
      </c>
      <c r="C92" s="16" t="str">
        <f>_xlfn.XLOOKUP(B92,TB_UK!A:A,TB_UK!E:E)</f>
        <v>NIC Payable to HMRC</v>
      </c>
      <c r="D92" s="17">
        <f>-_xlfn.XLOOKUP($C92,TB_UK!$E:$E,TB_UK!F:F)*D$2</f>
        <v>0</v>
      </c>
      <c r="E92" s="17">
        <f>-_xlfn.XLOOKUP($C92,TB_UK!$E:$E,TB_UK!G:G)*E$2</f>
        <v>0</v>
      </c>
      <c r="F92" s="17">
        <f>-_xlfn.XLOOKUP($C92,TB_UK!$E:$E,TB_UK!H:H)*F$2</f>
        <v>0</v>
      </c>
      <c r="G92" s="17">
        <f>-_xlfn.XLOOKUP($C92,TB_UK!$E:$E,TB_UK!I:I)*G$2</f>
        <v>1005520.2534</v>
      </c>
      <c r="H92" s="17">
        <f>-_xlfn.XLOOKUP($C92,TB_UK!$E:$E,TB_UK!J:J)*H$2</f>
        <v>0</v>
      </c>
      <c r="I92" s="17">
        <f>-_xlfn.XLOOKUP($C92,TB_UK!$E:$E,TB_UK!K:K)*I$2</f>
        <v>0</v>
      </c>
      <c r="J92" s="17">
        <f>-_xlfn.XLOOKUP($C92,TB_UK!$E:$E,TB_UK!L:L)*J$2</f>
        <v>7135253.5634999992</v>
      </c>
      <c r="K92" s="17">
        <f>-_xlfn.XLOOKUP($C92,TB_UK!$E:$E,TB_UK!M:M)*K$2</f>
        <v>7076707.0750000002</v>
      </c>
      <c r="L92" s="17">
        <f>-_xlfn.XLOOKUP($C92,TB_UK!$E:$E,TB_UK!N:N)*L$2</f>
        <v>0</v>
      </c>
      <c r="M92" s="17">
        <f>-_xlfn.XLOOKUP($C92,TB_UK!$E:$E,TB_UK!O:O)*M$2</f>
        <v>6229255.9197000004</v>
      </c>
      <c r="N92" s="17">
        <f>-_xlfn.XLOOKUP($C92,TB_UK!$E:$E,TB_UK!P:P)*N$2</f>
        <v>6241570.6814999999</v>
      </c>
      <c r="O92" s="17">
        <f>-_xlfn.XLOOKUP($C92,TB_UK!$E:$E,TB_UK!Q:Q)*O$2</f>
        <v>0</v>
      </c>
      <c r="P92" s="17">
        <f>-_xlfn.XLOOKUP($C92,TB_UK!$E:$E,TB_UK!R:R)*P$2</f>
        <v>0</v>
      </c>
      <c r="Q92" s="17">
        <f>-_xlfn.XLOOKUP($C92,TB_UK!$E:$E,TB_UK!S:S)*Q$2</f>
        <v>5527927.3169999998</v>
      </c>
      <c r="R92" s="17">
        <f>-_xlfn.XLOOKUP($C92,TB_UK!$E:$E,TB_UK!T:T)*R$2</f>
        <v>5796546.7064999994</v>
      </c>
      <c r="S92" s="17">
        <f>-_xlfn.XLOOKUP($C92,TB_UK!$E:$E,TB_UK!U:U)*S$2</f>
        <v>0</v>
      </c>
      <c r="T92" s="17">
        <f>-_xlfn.XLOOKUP($C92,TB_UK!$E:$E,TB_UK!V:V)*T$2</f>
        <v>1624511.1354999999</v>
      </c>
      <c r="U92" s="17">
        <f>-_xlfn.XLOOKUP($C92,TB_UK!$E:$E,TB_UK!W:W)*U$2</f>
        <v>0</v>
      </c>
      <c r="V92" s="17">
        <f>-_xlfn.XLOOKUP($C92,TB_UK!$E:$E,TB_UK!X:X)*V$2</f>
        <v>0</v>
      </c>
      <c r="W92" s="17">
        <f>-_xlfn.XLOOKUP($C92,TB_UK!$E:$E,TB_UK!Y:Y)*W$2</f>
        <v>895599.06450000009</v>
      </c>
      <c r="X92" s="17">
        <f>-_xlfn.XLOOKUP($C92,TB_UK!$E:$E,TB_UK!Z:Z)*X$2</f>
        <v>3367096.8152999999</v>
      </c>
      <c r="Y92" s="17">
        <f>-_xlfn.XLOOKUP($C92,TB_UK!$E:$E,TB_UK!AA:AA)*Y$2</f>
        <v>3446913.0150000001</v>
      </c>
      <c r="Z92" s="17">
        <f>-_xlfn.XLOOKUP($C92,TB_UK!$E:$E,TB_UK!AB:AB)*Z$2</f>
        <v>3593475.0180000002</v>
      </c>
      <c r="AA92" s="17">
        <f>-_xlfn.XLOOKUP($C92,TB_UK!$E:$E,TB_UK!AC:AC)*AA$2</f>
        <v>3846745.1175000002</v>
      </c>
      <c r="AB92" s="17">
        <f>-_xlfn.XLOOKUP($C92,TB_UK!$E:$E,TB_UK!AD:AD)*AB$2</f>
        <v>3749403.7314000004</v>
      </c>
      <c r="AC92" s="17">
        <f>-_xlfn.XLOOKUP($C92,TB_UK!$E:$E,TB_UK!AE:AE)*AC$2</f>
        <v>3496108.6044000001</v>
      </c>
      <c r="AD92" s="17">
        <f>-_xlfn.XLOOKUP($C92,TB_UK!$E:$E,TB_UK!AF:AF)*AD$2</f>
        <v>3301841.0959999999</v>
      </c>
      <c r="AE92" s="17">
        <f>-_xlfn.XLOOKUP($C92,TB_UK!$E:$E,TB_UK!AG:AG)*AE$2</f>
        <v>3348381.2960000001</v>
      </c>
      <c r="AF92" s="17">
        <f>-_xlfn.XLOOKUP($C92,TB_UK!$E:$E,TB_UK!AH:AH)*AF$2</f>
        <v>0</v>
      </c>
      <c r="AG92" s="17">
        <f>-_xlfn.XLOOKUP($C92,TB_UK!$E:$E,TB_UK!AI:AI)*AG$2</f>
        <v>0</v>
      </c>
      <c r="AH92" s="17">
        <f>-_xlfn.XLOOKUP($C92,TB_UK!$E:$E,TB_UK!AJ:AJ)*AH$2</f>
        <v>0</v>
      </c>
      <c r="AI92" s="17">
        <f>-_xlfn.XLOOKUP($C92,TB_UK!$E:$E,TB_UK!AK:AK)*AI$2</f>
        <v>0</v>
      </c>
      <c r="AJ92" s="17">
        <f>-_xlfn.XLOOKUP($C92,TB_UK!$E:$E,TB_UK!AL:AL)*AJ$2</f>
        <v>0</v>
      </c>
      <c r="AK92" s="17">
        <f>-_xlfn.XLOOKUP($C92,TB_UK!$E:$E,TB_UK!AM:AM)*AK$2</f>
        <v>0</v>
      </c>
      <c r="AL92" s="17">
        <f>-_xlfn.XLOOKUP($C92,TB_UK!$E:$E,TB_UK!AN:AN)*AL$2</f>
        <v>0</v>
      </c>
      <c r="AM92" s="17">
        <f>-_xlfn.XLOOKUP($C92,TB_UK!$E:$E,TB_UK!AO:AO)*AM$2</f>
        <v>0</v>
      </c>
    </row>
    <row r="93" spans="2:39" hidden="1" outlineLevel="1" x14ac:dyDescent="0.2">
      <c r="B93" s="21"/>
      <c r="C93" s="1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</row>
    <row r="94" spans="2:39" collapsed="1" x14ac:dyDescent="0.2">
      <c r="B94" s="21"/>
      <c r="C94" s="22" t="s">
        <v>55</v>
      </c>
      <c r="D94" s="23">
        <f t="shared" ref="D94:AM94" si="17">SUM(D88:D93)</f>
        <v>0</v>
      </c>
      <c r="E94" s="23">
        <f t="shared" si="17"/>
        <v>0</v>
      </c>
      <c r="F94" s="23">
        <f t="shared" si="17"/>
        <v>0</v>
      </c>
      <c r="G94" s="23">
        <f t="shared" si="17"/>
        <v>24529634.8983</v>
      </c>
      <c r="H94" s="23">
        <f t="shared" si="17"/>
        <v>20504045.7656</v>
      </c>
      <c r="I94" s="23">
        <f t="shared" si="17"/>
        <v>8136852.8942999998</v>
      </c>
      <c r="J94" s="23">
        <f t="shared" si="17"/>
        <v>24653029.618499998</v>
      </c>
      <c r="K94" s="23">
        <f t="shared" si="17"/>
        <v>34508146.448399998</v>
      </c>
      <c r="L94" s="23">
        <f t="shared" si="17"/>
        <v>13988766.2654</v>
      </c>
      <c r="M94" s="23">
        <f t="shared" si="17"/>
        <v>31700643.009500001</v>
      </c>
      <c r="N94" s="23">
        <f t="shared" si="17"/>
        <v>18893830.914000001</v>
      </c>
      <c r="O94" s="23">
        <f t="shared" si="17"/>
        <v>3189459.7023999998</v>
      </c>
      <c r="P94" s="23">
        <f t="shared" si="17"/>
        <v>5133896.9828999992</v>
      </c>
      <c r="Q94" s="23">
        <f t="shared" si="17"/>
        <v>17518562.171999998</v>
      </c>
      <c r="R94" s="23">
        <f t="shared" si="17"/>
        <v>19939736.112999998</v>
      </c>
      <c r="S94" s="23">
        <f t="shared" si="17"/>
        <v>4184276.0074999998</v>
      </c>
      <c r="T94" s="23">
        <f t="shared" si="17"/>
        <v>15157947.238499999</v>
      </c>
      <c r="U94" s="23">
        <f t="shared" si="17"/>
        <v>-2488500.9911999991</v>
      </c>
      <c r="V94" s="23">
        <f t="shared" si="17"/>
        <v>-4019950.4101</v>
      </c>
      <c r="W94" s="23">
        <f t="shared" si="17"/>
        <v>3429188.2947000004</v>
      </c>
      <c r="X94" s="23">
        <f t="shared" si="17"/>
        <v>2659685.0147999991</v>
      </c>
      <c r="Y94" s="23">
        <f>SUM(Y88:Y93)</f>
        <v>162229.01500000013</v>
      </c>
      <c r="Z94" s="23">
        <f t="shared" si="17"/>
        <v>-3036078.6933000004</v>
      </c>
      <c r="AA94" s="23">
        <f t="shared" si="17"/>
        <v>5961438.9199999962</v>
      </c>
      <c r="AB94" s="23">
        <f t="shared" si="17"/>
        <v>5087388.5627999995</v>
      </c>
      <c r="AC94" s="23">
        <f t="shared" si="17"/>
        <v>8641701.8676000014</v>
      </c>
      <c r="AD94" s="23">
        <f t="shared" si="17"/>
        <v>8140437.8949999996</v>
      </c>
      <c r="AE94" s="23">
        <f t="shared" si="17"/>
        <v>9120005.5180000011</v>
      </c>
      <c r="AF94" s="23">
        <f t="shared" si="17"/>
        <v>0</v>
      </c>
      <c r="AG94" s="23">
        <f t="shared" si="17"/>
        <v>0</v>
      </c>
      <c r="AH94" s="23">
        <f t="shared" si="17"/>
        <v>0</v>
      </c>
      <c r="AI94" s="23">
        <f t="shared" si="17"/>
        <v>0</v>
      </c>
      <c r="AJ94" s="23">
        <f t="shared" si="17"/>
        <v>0</v>
      </c>
      <c r="AK94" s="23">
        <f t="shared" si="17"/>
        <v>0</v>
      </c>
      <c r="AL94" s="23">
        <f t="shared" si="17"/>
        <v>0</v>
      </c>
      <c r="AM94" s="23">
        <f t="shared" si="17"/>
        <v>0</v>
      </c>
    </row>
    <row r="95" spans="2:39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8"/>
    </row>
    <row r="96" spans="2:39" x14ac:dyDescent="0.2">
      <c r="B96" s="21"/>
      <c r="C96" s="16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8"/>
    </row>
    <row r="97" spans="2:39" hidden="1" outlineLevel="1" x14ac:dyDescent="0.2">
      <c r="B97" s="21"/>
      <c r="C97" s="20" t="s">
        <v>752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8"/>
    </row>
    <row r="98" spans="2:39" hidden="1" outlineLevel="1" x14ac:dyDescent="0.2">
      <c r="B98" s="21">
        <v>24510</v>
      </c>
      <c r="C98" s="16" t="str">
        <f>_xlfn.XLOOKUP(B98,TB_UK!A:A,TB_UK!E:E)</f>
        <v>Other Creditors - Seamfix FZCO</v>
      </c>
      <c r="D98" s="17">
        <f>-_xlfn.XLOOKUP($C98,TB_UK!$E:$E,TB_UK!F:F)*D$2</f>
        <v>0</v>
      </c>
      <c r="E98" s="17">
        <f>-_xlfn.XLOOKUP($C98,TB_UK!$E:$E,TB_UK!G:G)*E$2</f>
        <v>0</v>
      </c>
      <c r="F98" s="17">
        <f>-_xlfn.XLOOKUP($C98,TB_UK!$E:$E,TB_UK!H:H)*F$2</f>
        <v>0</v>
      </c>
      <c r="G98" s="17">
        <f>-_xlfn.XLOOKUP($C98,TB_UK!$E:$E,TB_UK!I:I)*G$2</f>
        <v>10945086.784799999</v>
      </c>
      <c r="H98" s="17">
        <f>-_xlfn.XLOOKUP($C98,TB_UK!$E:$E,TB_UK!J:J)*H$2</f>
        <v>11367450.3824</v>
      </c>
      <c r="I98" s="17">
        <f>-_xlfn.XLOOKUP($C98,TB_UK!$E:$E,TB_UK!K:K)*I$2</f>
        <v>12671364.9608</v>
      </c>
      <c r="J98" s="17">
        <f>-_xlfn.XLOOKUP($C98,TB_UK!$E:$E,TB_UK!L:L)*J$2</f>
        <v>13655160.707999999</v>
      </c>
      <c r="K98" s="17">
        <f>-_xlfn.XLOOKUP($C98,TB_UK!$E:$E,TB_UK!M:M)*K$2</f>
        <v>13654703.6752</v>
      </c>
      <c r="L98" s="17">
        <f>-_xlfn.XLOOKUP($C98,TB_UK!$E:$E,TB_UK!N:N)*L$2</f>
        <v>14562566.687199999</v>
      </c>
      <c r="M98" s="17">
        <f>-_xlfn.XLOOKUP($C98,TB_UK!$E:$E,TB_UK!O:O)*M$2</f>
        <v>13937084.655200001</v>
      </c>
      <c r="N98" s="17">
        <f>-_xlfn.XLOOKUP($C98,TB_UK!$E:$E,TB_UK!P:P)*N$2</f>
        <v>13964637.204</v>
      </c>
      <c r="O98" s="17">
        <f>-_xlfn.XLOOKUP($C98,TB_UK!$E:$E,TB_UK!Q:Q)*O$2</f>
        <v>36636475.2764</v>
      </c>
      <c r="P98" s="17">
        <f>-_xlfn.XLOOKUP($C98,TB_UK!$E:$E,TB_UK!R:R)*P$2</f>
        <v>36067388.040299997</v>
      </c>
      <c r="Q98" s="17">
        <f>-_xlfn.XLOOKUP($C98,TB_UK!$E:$E,TB_UK!S:S)*Q$2</f>
        <v>35707914.916999996</v>
      </c>
      <c r="R98" s="17">
        <f>-_xlfn.XLOOKUP($C98,TB_UK!$E:$E,TB_UK!T:T)*R$2</f>
        <v>37443074.906499997</v>
      </c>
      <c r="S98" s="17">
        <f>-_xlfn.XLOOKUP($C98,TB_UK!$E:$E,TB_UK!U:U)*S$2</f>
        <v>40484741.564899996</v>
      </c>
      <c r="T98" s="17">
        <f>-_xlfn.XLOOKUP($C98,TB_UK!$E:$E,TB_UK!V:V)*T$2</f>
        <v>40319613.900499992</v>
      </c>
      <c r="U98" s="17">
        <f>-_xlfn.XLOOKUP($C98,TB_UK!$E:$E,TB_UK!W:W)*U$2</f>
        <v>39858538.253099993</v>
      </c>
      <c r="V98" s="17">
        <f>-_xlfn.XLOOKUP($C98,TB_UK!$E:$E,TB_UK!X:X)*V$2</f>
        <v>38418006.733299993</v>
      </c>
      <c r="W98" s="17">
        <f>-_xlfn.XLOOKUP($C98,TB_UK!$E:$E,TB_UK!Y:Y)*W$2</f>
        <v>39138083.991299994</v>
      </c>
      <c r="X98" s="17">
        <f>-_xlfn.XLOOKUP($C98,TB_UK!$E:$E,TB_UK!Z:Z)*X$2</f>
        <v>37568240.168099999</v>
      </c>
      <c r="Y98" s="17">
        <f>-_xlfn.XLOOKUP($C98,TB_UK!$E:$E,TB_UK!AA:AA)*Y$2</f>
        <v>35998207.842999995</v>
      </c>
      <c r="Z98" s="17">
        <f>-_xlfn.XLOOKUP($C98,TB_UK!$E:$E,TB_UK!AB:AB)*Z$2</f>
        <v>36080583.173299998</v>
      </c>
      <c r="AA98" s="17">
        <f>-_xlfn.XLOOKUP($C98,TB_UK!$E:$E,TB_UK!AC:AC)*AA$2</f>
        <v>42317384.164999999</v>
      </c>
      <c r="AB98" s="17">
        <f>-_xlfn.XLOOKUP($C98,TB_UK!$E:$E,TB_UK!AD:AD)*AB$2</f>
        <v>41246548.249199994</v>
      </c>
      <c r="AC98" s="17">
        <f>-_xlfn.XLOOKUP($C98,TB_UK!$E:$E,TB_UK!AE:AE)*AC$2</f>
        <v>39573110.186399996</v>
      </c>
      <c r="AD98" s="17">
        <f>-_xlfn.XLOOKUP($C98,TB_UK!$E:$E,TB_UK!AF:AF)*AD$2</f>
        <v>39555367.501999997</v>
      </c>
      <c r="AE98" s="17">
        <f>-_xlfn.XLOOKUP($C98,TB_UK!$E:$E,TB_UK!AG:AG)*AE$2</f>
        <v>40139577.841999993</v>
      </c>
      <c r="AF98" s="17">
        <f>-_xlfn.XLOOKUP($C98,TB_UK!$E:$E,TB_UK!AH:AH)*AF$2</f>
        <v>0</v>
      </c>
      <c r="AG98" s="17">
        <f>-_xlfn.XLOOKUP($C98,TB_UK!$E:$E,TB_UK!AI:AI)*AG$2</f>
        <v>0</v>
      </c>
      <c r="AH98" s="17">
        <f>-_xlfn.XLOOKUP($C98,TB_UK!$E:$E,TB_UK!AJ:AJ)*AH$2</f>
        <v>0</v>
      </c>
      <c r="AI98" s="17">
        <f>-_xlfn.XLOOKUP($C98,TB_UK!$E:$E,TB_UK!AK:AK)*AI$2</f>
        <v>0</v>
      </c>
      <c r="AJ98" s="17">
        <f>-_xlfn.XLOOKUP($C98,TB_UK!$E:$E,TB_UK!AL:AL)*AJ$2</f>
        <v>0</v>
      </c>
      <c r="AK98" s="17">
        <f>-_xlfn.XLOOKUP($C98,TB_UK!$E:$E,TB_UK!AM:AM)*AK$2</f>
        <v>0</v>
      </c>
      <c r="AL98" s="17">
        <f>-_xlfn.XLOOKUP($C98,TB_UK!$E:$E,TB_UK!AN:AN)*AL$2</f>
        <v>0</v>
      </c>
      <c r="AM98" s="17">
        <f>-_xlfn.XLOOKUP($C98,TB_UK!$E:$E,TB_UK!AO:AO)*AM$2</f>
        <v>0</v>
      </c>
    </row>
    <row r="99" spans="2:39" hidden="1" outlineLevel="1" x14ac:dyDescent="0.2">
      <c r="B99" s="21">
        <v>24600</v>
      </c>
      <c r="C99" s="16" t="str">
        <f>_xlfn.XLOOKUP(B99,TB_UK!A:A,TB_UK!E:E)</f>
        <v>Other Creditors - Seamfix Nigeria</v>
      </c>
      <c r="D99" s="17">
        <f>-_xlfn.XLOOKUP($C99,TB_UK!$E:$E,TB_UK!F:F)*D$2</f>
        <v>0</v>
      </c>
      <c r="E99" s="17">
        <f>-_xlfn.XLOOKUP($C99,TB_UK!$E:$E,TB_UK!G:G)*E$2</f>
        <v>0</v>
      </c>
      <c r="F99" s="17">
        <f>-_xlfn.XLOOKUP($C99,TB_UK!$E:$E,TB_UK!H:H)*F$2</f>
        <v>0</v>
      </c>
      <c r="G99" s="17">
        <f>-_xlfn.XLOOKUP($C99,TB_UK!$E:$E,TB_UK!I:I)*G$2</f>
        <v>306041191.72079998</v>
      </c>
      <c r="H99" s="17">
        <f>-_xlfn.XLOOKUP($C99,TB_UK!$E:$E,TB_UK!J:J)*H$2</f>
        <v>313926454.51959997</v>
      </c>
      <c r="I99" s="17">
        <f>-_xlfn.XLOOKUP($C99,TB_UK!$E:$E,TB_UK!K:K)*I$2</f>
        <v>343730104.63090003</v>
      </c>
      <c r="J99" s="17">
        <f>-_xlfn.XLOOKUP($C99,TB_UK!$E:$E,TB_UK!L:L)*J$2</f>
        <v>364289179.29000002</v>
      </c>
      <c r="K99" s="17">
        <f>-_xlfn.XLOOKUP($C99,TB_UK!$E:$E,TB_UK!M:M)*K$2</f>
        <v>358123101.02600002</v>
      </c>
      <c r="L99" s="17">
        <f>-_xlfn.XLOOKUP($C99,TB_UK!$E:$E,TB_UK!N:N)*L$2</f>
        <v>380604411.53959996</v>
      </c>
      <c r="M99" s="17">
        <f>-_xlfn.XLOOKUP($C99,TB_UK!$E:$E,TB_UK!O:O)*M$2</f>
        <v>362987705.11190003</v>
      </c>
      <c r="N99" s="17">
        <f>-_xlfn.XLOOKUP($C99,TB_UK!$E:$E,TB_UK!P:P)*N$2</f>
        <v>362464771.00050002</v>
      </c>
      <c r="O99" s="17">
        <f>-_xlfn.XLOOKUP($C99,TB_UK!$E:$E,TB_UK!Q:Q)*O$2</f>
        <v>335457309.29960001</v>
      </c>
      <c r="P99" s="17">
        <f>-_xlfn.XLOOKUP($C99,TB_UK!$E:$E,TB_UK!R:R)*P$2</f>
        <v>330633837.46709996</v>
      </c>
      <c r="Q99" s="17">
        <f>-_xlfn.XLOOKUP($C99,TB_UK!$E:$E,TB_UK!S:S)*Q$2</f>
        <v>327978249.565</v>
      </c>
      <c r="R99" s="17">
        <f>-_xlfn.XLOOKUP($C99,TB_UK!$E:$E,TB_UK!T:T)*R$2</f>
        <v>344691454.54449999</v>
      </c>
      <c r="S99" s="17">
        <f>-_xlfn.XLOOKUP($C99,TB_UK!$E:$E,TB_UK!U:U)*S$2</f>
        <v>372829848.94230002</v>
      </c>
      <c r="T99" s="17">
        <f>-_xlfn.XLOOKUP($C99,TB_UK!$E:$E,TB_UK!V:V)*T$2</f>
        <v>371665898.44449997</v>
      </c>
      <c r="U99" s="17">
        <f>-_xlfn.XLOOKUP($C99,TB_UK!$E:$E,TB_UK!W:W)*U$2</f>
        <v>367824247.19879997</v>
      </c>
      <c r="V99" s="17">
        <f>-_xlfn.XLOOKUP($C99,TB_UK!$E:$E,TB_UK!X:X)*V$2</f>
        <v>355022643.06569999</v>
      </c>
      <c r="W99" s="17">
        <f>-_xlfn.XLOOKUP($C99,TB_UK!$E:$E,TB_UK!Y:Y)*W$2</f>
        <v>363695668.86869997</v>
      </c>
      <c r="X99" s="17">
        <f>-_xlfn.XLOOKUP($C99,TB_UK!$E:$E,TB_UK!Z:Z)*X$2</f>
        <v>351971899.30050004</v>
      </c>
      <c r="Y99" s="17">
        <f>-_xlfn.XLOOKUP($C99,TB_UK!$E:$E,TB_UK!AA:AA)*Y$2</f>
        <v>346521901.72600001</v>
      </c>
      <c r="Z99" s="17">
        <f>-_xlfn.XLOOKUP($C99,TB_UK!$E:$E,TB_UK!AB:AB)*Z$2</f>
        <v>353139426.30269998</v>
      </c>
      <c r="AA99" s="17">
        <f>-_xlfn.XLOOKUP($C99,TB_UK!$E:$E,TB_UK!AC:AC)*AA$2</f>
        <v>368859906.54250002</v>
      </c>
      <c r="AB99" s="17">
        <f>-_xlfn.XLOOKUP($C99,TB_UK!$E:$E,TB_UK!AD:AD)*AB$2</f>
        <v>364959157.6548</v>
      </c>
      <c r="AC99" s="17">
        <f>-_xlfn.XLOOKUP($C99,TB_UK!$E:$E,TB_UK!AE:AE)*AC$2</f>
        <v>356391544.76160002</v>
      </c>
      <c r="AD99" s="17">
        <f>-_xlfn.XLOOKUP($C99,TB_UK!$E:$E,TB_UK!AF:AF)*AD$2</f>
        <v>362253133.38699996</v>
      </c>
      <c r="AE99" s="17">
        <f>-_xlfn.XLOOKUP($C99,TB_UK!$E:$E,TB_UK!AG:AG)*AE$2</f>
        <v>373678469.60600001</v>
      </c>
      <c r="AF99" s="17">
        <f>-_xlfn.XLOOKUP($C99,TB_UK!$E:$E,TB_UK!AH:AH)*AF$2</f>
        <v>0</v>
      </c>
      <c r="AG99" s="17">
        <f>-_xlfn.XLOOKUP($C99,TB_UK!$E:$E,TB_UK!AI:AI)*AG$2</f>
        <v>0</v>
      </c>
      <c r="AH99" s="17">
        <f>-_xlfn.XLOOKUP($C99,TB_UK!$E:$E,TB_UK!AJ:AJ)*AH$2</f>
        <v>0</v>
      </c>
      <c r="AI99" s="17">
        <f>-_xlfn.XLOOKUP($C99,TB_UK!$E:$E,TB_UK!AK:AK)*AI$2</f>
        <v>0</v>
      </c>
      <c r="AJ99" s="17">
        <f>-_xlfn.XLOOKUP($C99,TB_UK!$E:$E,TB_UK!AL:AL)*AJ$2</f>
        <v>0</v>
      </c>
      <c r="AK99" s="17">
        <f>-_xlfn.XLOOKUP($C99,TB_UK!$E:$E,TB_UK!AM:AM)*AK$2</f>
        <v>0</v>
      </c>
      <c r="AL99" s="17">
        <f>-_xlfn.XLOOKUP($C99,TB_UK!$E:$E,TB_UK!AN:AN)*AL$2</f>
        <v>0</v>
      </c>
      <c r="AM99" s="17">
        <f>-_xlfn.XLOOKUP($C99,TB_UK!$E:$E,TB_UK!AO:AO)*AM$2</f>
        <v>0</v>
      </c>
    </row>
    <row r="100" spans="2:39" hidden="1" outlineLevel="1" x14ac:dyDescent="0.2">
      <c r="B100" s="21"/>
      <c r="C100" s="16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8"/>
    </row>
    <row r="101" spans="2:39" s="20" customFormat="1" ht="13.5" customHeight="1" collapsed="1" x14ac:dyDescent="0.15">
      <c r="C101" s="22" t="s">
        <v>753</v>
      </c>
      <c r="D101" s="23">
        <f>SUM(D98:D100)</f>
        <v>0</v>
      </c>
      <c r="E101" s="23">
        <f t="shared" ref="E101:AM101" si="18">SUM(E98:E100)</f>
        <v>0</v>
      </c>
      <c r="F101" s="23">
        <f t="shared" si="18"/>
        <v>0</v>
      </c>
      <c r="G101" s="23">
        <f t="shared" si="18"/>
        <v>316986278.50559998</v>
      </c>
      <c r="H101" s="23">
        <f t="shared" si="18"/>
        <v>325293904.90199995</v>
      </c>
      <c r="I101" s="23">
        <f t="shared" si="18"/>
        <v>356401469.59170002</v>
      </c>
      <c r="J101" s="23">
        <f t="shared" si="18"/>
        <v>377944339.99800003</v>
      </c>
      <c r="K101" s="23">
        <f t="shared" si="18"/>
        <v>371777804.70120001</v>
      </c>
      <c r="L101" s="23">
        <f t="shared" si="18"/>
        <v>395166978.22679996</v>
      </c>
      <c r="M101" s="23">
        <f t="shared" si="18"/>
        <v>376924789.76710004</v>
      </c>
      <c r="N101" s="23">
        <f t="shared" si="18"/>
        <v>376429408.20450002</v>
      </c>
      <c r="O101" s="23">
        <f t="shared" si="18"/>
        <v>372093784.57599998</v>
      </c>
      <c r="P101" s="23">
        <f t="shared" si="18"/>
        <v>366701225.50739998</v>
      </c>
      <c r="Q101" s="23">
        <f t="shared" si="18"/>
        <v>363686164.48199999</v>
      </c>
      <c r="R101" s="23">
        <f t="shared" si="18"/>
        <v>382134529.45099998</v>
      </c>
      <c r="S101" s="23">
        <f t="shared" si="18"/>
        <v>413314590.5072</v>
      </c>
      <c r="T101" s="23">
        <f t="shared" si="18"/>
        <v>411985512.34499997</v>
      </c>
      <c r="U101" s="23">
        <f t="shared" si="18"/>
        <v>407682785.45189995</v>
      </c>
      <c r="V101" s="23">
        <f t="shared" si="18"/>
        <v>393440649.79899997</v>
      </c>
      <c r="W101" s="23">
        <f t="shared" si="18"/>
        <v>402833752.85999995</v>
      </c>
      <c r="X101" s="23">
        <f t="shared" si="18"/>
        <v>389540139.46860003</v>
      </c>
      <c r="Y101" s="23">
        <f>SUM(Y98:Y100)</f>
        <v>382520109.56900001</v>
      </c>
      <c r="Z101" s="23">
        <f t="shared" si="18"/>
        <v>389220009.47599995</v>
      </c>
      <c r="AA101" s="23">
        <f t="shared" si="18"/>
        <v>411177290.70750004</v>
      </c>
      <c r="AB101" s="23">
        <f t="shared" si="18"/>
        <v>406205705.90399998</v>
      </c>
      <c r="AC101" s="23">
        <f t="shared" si="18"/>
        <v>395964654.94800001</v>
      </c>
      <c r="AD101" s="23">
        <f t="shared" si="18"/>
        <v>401808500.88899994</v>
      </c>
      <c r="AE101" s="23">
        <f t="shared" si="18"/>
        <v>413818047.44800001</v>
      </c>
      <c r="AF101" s="23">
        <f t="shared" si="18"/>
        <v>0</v>
      </c>
      <c r="AG101" s="23">
        <f t="shared" si="18"/>
        <v>0</v>
      </c>
      <c r="AH101" s="23">
        <f t="shared" si="18"/>
        <v>0</v>
      </c>
      <c r="AI101" s="23">
        <f t="shared" si="18"/>
        <v>0</v>
      </c>
      <c r="AJ101" s="23">
        <f t="shared" si="18"/>
        <v>0</v>
      </c>
      <c r="AK101" s="23">
        <f t="shared" si="18"/>
        <v>0</v>
      </c>
      <c r="AL101" s="23">
        <f t="shared" si="18"/>
        <v>0</v>
      </c>
      <c r="AM101" s="23">
        <f t="shared" si="18"/>
        <v>0</v>
      </c>
    </row>
    <row r="102" spans="2:39" x14ac:dyDescent="0.2">
      <c r="B102" s="21"/>
      <c r="C102" s="1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8"/>
    </row>
    <row r="103" spans="2:39" x14ac:dyDescent="0.2">
      <c r="B103" s="21"/>
      <c r="C103" s="16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8"/>
    </row>
    <row r="104" spans="2:39" hidden="1" outlineLevel="1" x14ac:dyDescent="0.2">
      <c r="B104" s="21"/>
      <c r="C104" s="20" t="s">
        <v>278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8"/>
    </row>
    <row r="105" spans="2:39" hidden="1" outlineLevel="1" x14ac:dyDescent="0.2">
      <c r="B105" s="21">
        <v>20015</v>
      </c>
      <c r="C105" s="16" t="str">
        <f>_xlfn.XLOOKUP(B105,TB_UK!A:A,TB_UK!E:E)</f>
        <v>Accruals</v>
      </c>
      <c r="D105" s="17">
        <f>-_xlfn.XLOOKUP($C105,TB_UK!$E:$E,TB_UK!F:F)*D$2</f>
        <v>0</v>
      </c>
      <c r="E105" s="17">
        <f>-_xlfn.XLOOKUP($C105,TB_UK!$E:$E,TB_UK!G:G)*E$2</f>
        <v>0</v>
      </c>
      <c r="F105" s="17">
        <f>-_xlfn.XLOOKUP($C105,TB_UK!$E:$E,TB_UK!H:H)*F$2</f>
        <v>0</v>
      </c>
      <c r="G105" s="17">
        <f>-_xlfn.XLOOKUP($C105,TB_UK!$E:$E,TB_UK!I:I)*G$2</f>
        <v>6705480</v>
      </c>
      <c r="H105" s="17">
        <f>-_xlfn.XLOOKUP($C105,TB_UK!$E:$E,TB_UK!J:J)*H$2</f>
        <v>6964240</v>
      </c>
      <c r="I105" s="17">
        <f>-_xlfn.XLOOKUP($C105,TB_UK!$E:$E,TB_UK!K:K)*I$2</f>
        <v>7763080</v>
      </c>
      <c r="J105" s="17">
        <f>-_xlfn.XLOOKUP($C105,TB_UK!$E:$E,TB_UK!L:L)*J$2</f>
        <v>8365799.9999999991</v>
      </c>
      <c r="K105" s="17">
        <f>-_xlfn.XLOOKUP($C105,TB_UK!$E:$E,TB_UK!M:M)*K$2</f>
        <v>8365520</v>
      </c>
      <c r="L105" s="17">
        <f>-_xlfn.XLOOKUP($C105,TB_UK!$E:$E,TB_UK!N:N)*L$2</f>
        <v>8921720</v>
      </c>
      <c r="M105" s="17">
        <f>-_xlfn.XLOOKUP($C105,TB_UK!$E:$E,TB_UK!O:O)*M$2</f>
        <v>8538520</v>
      </c>
      <c r="N105" s="17">
        <f>-_xlfn.XLOOKUP($C105,TB_UK!$E:$E,TB_UK!P:P)*N$2</f>
        <v>8555400</v>
      </c>
      <c r="O105" s="17">
        <f>-_xlfn.XLOOKUP($C105,TB_UK!$E:$E,TB_UK!Q:Q)*O$2</f>
        <v>7774240</v>
      </c>
      <c r="P105" s="17">
        <f>-_xlfn.XLOOKUP($C105,TB_UK!$E:$E,TB_UK!R:R)*P$2</f>
        <v>7653480</v>
      </c>
      <c r="Q105" s="17">
        <f>-_xlfn.XLOOKUP($C105,TB_UK!$E:$E,TB_UK!S:S)*Q$2</f>
        <v>7577200</v>
      </c>
      <c r="R105" s="17">
        <f>-_xlfn.XLOOKUP($C105,TB_UK!$E:$E,TB_UK!T:T)*R$2</f>
        <v>16586022.5</v>
      </c>
      <c r="S105" s="17">
        <f>-_xlfn.XLOOKUP($C105,TB_UK!$E:$E,TB_UK!U:U)*S$2</f>
        <v>17933378.5</v>
      </c>
      <c r="T105" s="17">
        <f>-_xlfn.XLOOKUP($C105,TB_UK!$E:$E,TB_UK!V:V)*T$2</f>
        <v>17860232.5</v>
      </c>
      <c r="U105" s="17">
        <f>-_xlfn.XLOOKUP($C105,TB_UK!$E:$E,TB_UK!W:W)*U$2</f>
        <v>17655991.5</v>
      </c>
      <c r="V105" s="17">
        <f>-_xlfn.XLOOKUP($C105,TB_UK!$E:$E,TB_UK!X:X)*V$2</f>
        <v>17017884.5</v>
      </c>
      <c r="W105" s="17">
        <f>-_xlfn.XLOOKUP($C105,TB_UK!$E:$E,TB_UK!Y:Y)*W$2</f>
        <v>0</v>
      </c>
      <c r="X105" s="17">
        <f>-_xlfn.XLOOKUP($C105,TB_UK!$E:$E,TB_UK!Z:Z)*X$2</f>
        <v>0</v>
      </c>
      <c r="Y105" s="17">
        <f>-_xlfn.XLOOKUP($C105,TB_UK!$E:$E,TB_UK!AA:AA)*Y$2</f>
        <v>0</v>
      </c>
      <c r="Z105" s="17">
        <f>-_xlfn.XLOOKUP($C105,TB_UK!$E:$E,TB_UK!AB:AB)*Z$2</f>
        <v>0</v>
      </c>
      <c r="AA105" s="17">
        <f>-_xlfn.XLOOKUP($C105,TB_UK!$E:$E,TB_UK!AC:AC)*AA$2</f>
        <v>0</v>
      </c>
      <c r="AB105" s="17">
        <f>-_xlfn.XLOOKUP($C105,TB_UK!$E:$E,TB_UK!AD:AD)*AB$2</f>
        <v>0</v>
      </c>
      <c r="AC105" s="17">
        <f>-_xlfn.XLOOKUP($C105,TB_UK!$E:$E,TB_UK!AE:AE)*AC$2</f>
        <v>0</v>
      </c>
      <c r="AD105" s="17">
        <f>-_xlfn.XLOOKUP($C105,TB_UK!$E:$E,TB_UK!AF:AF)*AD$2</f>
        <v>0</v>
      </c>
      <c r="AE105" s="17">
        <f>-_xlfn.XLOOKUP($C105,TB_UK!$E:$E,TB_UK!AG:AG)*AE$2</f>
        <v>0</v>
      </c>
      <c r="AF105" s="17">
        <f>-_xlfn.XLOOKUP($C105,TB_UK!$E:$E,TB_UK!AH:AH)*AF$2</f>
        <v>0</v>
      </c>
      <c r="AG105" s="17">
        <f>-_xlfn.XLOOKUP($C105,TB_UK!$E:$E,TB_UK!AI:AI)*AG$2</f>
        <v>0</v>
      </c>
      <c r="AH105" s="17">
        <f>-_xlfn.XLOOKUP($C105,TB_UK!$E:$E,TB_UK!AJ:AJ)*AH$2</f>
        <v>0</v>
      </c>
      <c r="AI105" s="17">
        <f>-_xlfn.XLOOKUP($C105,TB_UK!$E:$E,TB_UK!AK:AK)*AI$2</f>
        <v>0</v>
      </c>
      <c r="AJ105" s="17">
        <f>-_xlfn.XLOOKUP($C105,TB_UK!$E:$E,TB_UK!AL:AL)*AJ$2</f>
        <v>0</v>
      </c>
      <c r="AK105" s="17">
        <f>-_xlfn.XLOOKUP($C105,TB_UK!$E:$E,TB_UK!AM:AM)*AK$2</f>
        <v>0</v>
      </c>
      <c r="AL105" s="17">
        <f>-_xlfn.XLOOKUP($C105,TB_UK!$E:$E,TB_UK!AN:AN)*AL$2</f>
        <v>0</v>
      </c>
      <c r="AM105" s="17">
        <f>-_xlfn.XLOOKUP($C105,TB_UK!$E:$E,TB_UK!AO:AO)*AM$2</f>
        <v>0</v>
      </c>
    </row>
    <row r="106" spans="2:39" hidden="1" outlineLevel="1" x14ac:dyDescent="0.2">
      <c r="B106" s="21">
        <v>20030</v>
      </c>
      <c r="C106" s="16" t="str">
        <f>_xlfn.XLOOKUP(B106,TB_UK!A:A,TB_UK!E:E)</f>
        <v>Directors Loan Accounts (Director 1)</v>
      </c>
      <c r="D106" s="17">
        <f>-_xlfn.XLOOKUP($C106,TB_UK!$E:$E,TB_UK!F:F)*D$2</f>
        <v>0</v>
      </c>
      <c r="E106" s="17">
        <f>-_xlfn.XLOOKUP($C106,TB_UK!$E:$E,TB_UK!G:G)*E$2</f>
        <v>0</v>
      </c>
      <c r="F106" s="17">
        <f>-_xlfn.XLOOKUP($C106,TB_UK!$E:$E,TB_UK!H:H)*F$2</f>
        <v>0</v>
      </c>
      <c r="G106" s="17">
        <f>-_xlfn.XLOOKUP($C106,TB_UK!$E:$E,TB_UK!I:I)*G$2</f>
        <v>7930621.4870999996</v>
      </c>
      <c r="H106" s="17">
        <f>-_xlfn.XLOOKUP($C106,TB_UK!$E:$E,TB_UK!J:J)*H$2</f>
        <v>8236658.8797999993</v>
      </c>
      <c r="I106" s="17">
        <f>-_xlfn.XLOOKUP($C106,TB_UK!$E:$E,TB_UK!K:K)*I$2</f>
        <v>9181452.9390999991</v>
      </c>
      <c r="J106" s="17">
        <f>-_xlfn.XLOOKUP($C106,TB_UK!$E:$E,TB_UK!L:L)*J$2</f>
        <v>9894294.4034999982</v>
      </c>
      <c r="K106" s="17">
        <f>-_xlfn.XLOOKUP($C106,TB_UK!$E:$E,TB_UK!M:M)*K$2</f>
        <v>9893963.2454000004</v>
      </c>
      <c r="L106" s="17">
        <f>-_xlfn.XLOOKUP($C106,TB_UK!$E:$E,TB_UK!N:N)*L$2</f>
        <v>10551785.1569</v>
      </c>
      <c r="M106" s="17">
        <f>-_xlfn.XLOOKUP($C106,TB_UK!$E:$E,TB_UK!O:O)*M$2</f>
        <v>9458182.6429000013</v>
      </c>
      <c r="N106" s="17">
        <f>-_xlfn.XLOOKUP($C106,TB_UK!$E:$E,TB_UK!P:P)*N$2</f>
        <v>9476880.7455000002</v>
      </c>
      <c r="O106" s="17">
        <f>-_xlfn.XLOOKUP($C106,TB_UK!$E:$E,TB_UK!Q:Q)*O$2</f>
        <v>8611583.9548000004</v>
      </c>
      <c r="P106" s="17">
        <f>-_xlfn.XLOOKUP($C106,TB_UK!$E:$E,TB_UK!R:R)*P$2</f>
        <v>8477817.1970999986</v>
      </c>
      <c r="Q106" s="17">
        <f>-_xlfn.XLOOKUP($C106,TB_UK!$E:$E,TB_UK!S:S)*Q$2</f>
        <v>8393321.2689999994</v>
      </c>
      <c r="R106" s="17">
        <f>-_xlfn.XLOOKUP($C106,TB_UK!$E:$E,TB_UK!T:T)*R$2</f>
        <v>8801179.1704999991</v>
      </c>
      <c r="S106" s="17">
        <f>-_xlfn.XLOOKUP($C106,TB_UK!$E:$E,TB_UK!U:U)*S$2</f>
        <v>9516137.8992999997</v>
      </c>
      <c r="T106" s="17">
        <f>-_xlfn.XLOOKUP($C106,TB_UK!$E:$E,TB_UK!V:V)*T$2</f>
        <v>9477323.8284999989</v>
      </c>
      <c r="U106" s="17">
        <f>-_xlfn.XLOOKUP($C106,TB_UK!$E:$E,TB_UK!W:W)*U$2</f>
        <v>9368945.7266999986</v>
      </c>
      <c r="V106" s="17">
        <f>-_xlfn.XLOOKUP($C106,TB_UK!$E:$E,TB_UK!X:X)*V$2</f>
        <v>9250453.2580999993</v>
      </c>
      <c r="W106" s="17">
        <f>-_xlfn.XLOOKUP($C106,TB_UK!$E:$E,TB_UK!Y:Y)*W$2</f>
        <v>9423836.5640999991</v>
      </c>
      <c r="X106" s="17">
        <f>-_xlfn.XLOOKUP($C106,TB_UK!$E:$E,TB_UK!Z:Z)*X$2</f>
        <v>474331.62</v>
      </c>
      <c r="Y106" s="17">
        <f>-_xlfn.XLOOKUP($C106,TB_UK!$E:$E,TB_UK!AA:AA)*Y$2</f>
        <v>1612684.3590000002</v>
      </c>
      <c r="Z106" s="17">
        <f>-_xlfn.XLOOKUP($C106,TB_UK!$E:$E,TB_UK!AB:AB)*Z$2</f>
        <v>1616374.6928999999</v>
      </c>
      <c r="AA106" s="17">
        <f>-_xlfn.XLOOKUP($C106,TB_UK!$E:$E,TB_UK!AC:AC)*AA$2</f>
        <v>1651572.2025000001</v>
      </c>
      <c r="AB106" s="17">
        <f>-_xlfn.XLOOKUP($C106,TB_UK!$E:$E,TB_UK!AD:AD)*AB$2</f>
        <v>1609779.3822000001</v>
      </c>
      <c r="AC106" s="17">
        <f>-_xlfn.XLOOKUP($C106,TB_UK!$E:$E,TB_UK!AE:AE)*AC$2</f>
        <v>1544468.0724000002</v>
      </c>
      <c r="AD106" s="17">
        <f>-_xlfn.XLOOKUP($C106,TB_UK!$E:$E,TB_UK!AF:AF)*AD$2</f>
        <v>1543775.6070000001</v>
      </c>
      <c r="AE106" s="17">
        <f>-_xlfn.XLOOKUP($C106,TB_UK!$E:$E,TB_UK!AG:AG)*AE$2</f>
        <v>1566576.297</v>
      </c>
      <c r="AF106" s="17">
        <f>-_xlfn.XLOOKUP($C106,TB_UK!$E:$E,TB_UK!AH:AH)*AF$2</f>
        <v>0</v>
      </c>
      <c r="AG106" s="17">
        <f>-_xlfn.XLOOKUP($C106,TB_UK!$E:$E,TB_UK!AI:AI)*AG$2</f>
        <v>0</v>
      </c>
      <c r="AH106" s="17">
        <f>-_xlfn.XLOOKUP($C106,TB_UK!$E:$E,TB_UK!AJ:AJ)*AH$2</f>
        <v>0</v>
      </c>
      <c r="AI106" s="17">
        <f>-_xlfn.XLOOKUP($C106,TB_UK!$E:$E,TB_UK!AK:AK)*AI$2</f>
        <v>0</v>
      </c>
      <c r="AJ106" s="17">
        <f>-_xlfn.XLOOKUP($C106,TB_UK!$E:$E,TB_UK!AL:AL)*AJ$2</f>
        <v>0</v>
      </c>
      <c r="AK106" s="17">
        <f>-_xlfn.XLOOKUP($C106,TB_UK!$E:$E,TB_UK!AM:AM)*AK$2</f>
        <v>0</v>
      </c>
      <c r="AL106" s="17">
        <f>-_xlfn.XLOOKUP($C106,TB_UK!$E:$E,TB_UK!AN:AN)*AL$2</f>
        <v>0</v>
      </c>
      <c r="AM106" s="17">
        <f>-_xlfn.XLOOKUP($C106,TB_UK!$E:$E,TB_UK!AO:AO)*AM$2</f>
        <v>0</v>
      </c>
    </row>
    <row r="107" spans="2:39" hidden="1" outlineLevel="1" x14ac:dyDescent="0.2">
      <c r="B107" s="21">
        <v>20095</v>
      </c>
      <c r="C107" s="16" t="str">
        <f>_xlfn.XLOOKUP(B107,TB_UK!A:A,TB_UK!E:E)</f>
        <v>Other Creditors</v>
      </c>
      <c r="D107" s="17">
        <f>-_xlfn.XLOOKUP($C107,TB_UK!$E:$E,TB_UK!F:F)*D$2</f>
        <v>0</v>
      </c>
      <c r="E107" s="17">
        <f>-_xlfn.XLOOKUP($C107,TB_UK!$E:$E,TB_UK!G:G)*E$2</f>
        <v>0</v>
      </c>
      <c r="F107" s="17">
        <f>-_xlfn.XLOOKUP($C107,TB_UK!$E:$E,TB_UK!H:H)*F$2</f>
        <v>0</v>
      </c>
      <c r="G107" s="17">
        <f>-_xlfn.XLOOKUP($C107,TB_UK!$E:$E,TB_UK!I:I)*G$2</f>
        <v>91432488.721499994</v>
      </c>
      <c r="H107" s="17">
        <f>-_xlfn.XLOOKUP($C107,TB_UK!$E:$E,TB_UK!J:J)*H$2</f>
        <v>75170752.996799991</v>
      </c>
      <c r="I107" s="17">
        <f>-_xlfn.XLOOKUP($C107,TB_UK!$E:$E,TB_UK!K:K)*I$2</f>
        <v>88149986.8847</v>
      </c>
      <c r="J107" s="17">
        <f>-_xlfn.XLOOKUP($C107,TB_UK!$E:$E,TB_UK!L:L)*J$2</f>
        <v>98005953.520499989</v>
      </c>
      <c r="K107" s="17">
        <f>-_xlfn.XLOOKUP($C107,TB_UK!$E:$E,TB_UK!M:M)*K$2</f>
        <v>102087243.00919999</v>
      </c>
      <c r="L107" s="17">
        <f>-_xlfn.XLOOKUP($C107,TB_UK!$E:$E,TB_UK!N:N)*L$2</f>
        <v>111751234.28999999</v>
      </c>
      <c r="M107" s="17">
        <f>-_xlfn.XLOOKUP($C107,TB_UK!$E:$E,TB_UK!O:O)*M$2</f>
        <v>109736397.30470002</v>
      </c>
      <c r="N107" s="17">
        <f>-_xlfn.XLOOKUP($C107,TB_UK!$E:$E,TB_UK!P:P)*N$2</f>
        <v>112766374.66499999</v>
      </c>
      <c r="O107" s="17">
        <f>-_xlfn.XLOOKUP($C107,TB_UK!$E:$E,TB_UK!Q:Q)*O$2</f>
        <v>104378539.95919999</v>
      </c>
      <c r="P107" s="17">
        <f>-_xlfn.XLOOKUP($C107,TB_UK!$E:$E,TB_UK!R:R)*P$2</f>
        <v>106197832.51109999</v>
      </c>
      <c r="Q107" s="17">
        <f>-_xlfn.XLOOKUP($C107,TB_UK!$E:$E,TB_UK!S:S)*Q$2</f>
        <v>59267664.990999997</v>
      </c>
      <c r="R107" s="17">
        <f>-_xlfn.XLOOKUP($C107,TB_UK!$E:$E,TB_UK!T:T)*R$2</f>
        <v>63958126.106999993</v>
      </c>
      <c r="S107" s="17">
        <f>-_xlfn.XLOOKUP($C107,TB_UK!$E:$E,TB_UK!U:U)*S$2</f>
        <v>69153727.702199996</v>
      </c>
      <c r="T107" s="17">
        <f>-_xlfn.XLOOKUP($C107,TB_UK!$E:$E,TB_UK!V:V)*T$2</f>
        <v>68871666.03899999</v>
      </c>
      <c r="U107" s="17">
        <f>-_xlfn.XLOOKUP($C107,TB_UK!$E:$E,TB_UK!W:W)*U$2</f>
        <v>68084082.901799992</v>
      </c>
      <c r="V107" s="17">
        <f>-_xlfn.XLOOKUP($C107,TB_UK!$E:$E,TB_UK!X:X)*V$2</f>
        <v>66150657.024999999</v>
      </c>
      <c r="W107" s="17">
        <f>-_xlfn.XLOOKUP($C107,TB_UK!$E:$E,TB_UK!Y:Y)*W$2</f>
        <v>70445972.457000002</v>
      </c>
      <c r="X107" s="17">
        <f>-_xlfn.XLOOKUP($C107,TB_UK!$E:$E,TB_UK!Z:Z)*X$2</f>
        <v>69304513.278599992</v>
      </c>
      <c r="Y107" s="17">
        <f>-_xlfn.XLOOKUP($C107,TB_UK!$E:$E,TB_UK!AA:AA)*Y$2</f>
        <v>61490086.553999998</v>
      </c>
      <c r="Z107" s="17">
        <f>-_xlfn.XLOOKUP($C107,TB_UK!$E:$E,TB_UK!AB:AB)*Z$2</f>
        <v>61630795.397399999</v>
      </c>
      <c r="AA107" s="17">
        <f>-_xlfn.XLOOKUP($C107,TB_UK!$E:$E,TB_UK!AC:AC)*AA$2</f>
        <v>85724649.132500008</v>
      </c>
      <c r="AB107" s="17">
        <f>-_xlfn.XLOOKUP($C107,TB_UK!$E:$E,TB_UK!AD:AD)*AB$2</f>
        <v>92682742.451999992</v>
      </c>
      <c r="AC107" s="17">
        <f>-_xlfn.XLOOKUP($C107,TB_UK!$E:$E,TB_UK!AE:AE)*AC$2</f>
        <v>95659429.317599997</v>
      </c>
      <c r="AD107" s="17">
        <f>-_xlfn.XLOOKUP($C107,TB_UK!$E:$E,TB_UK!AF:AF)*AD$2</f>
        <v>103475158.21699999</v>
      </c>
      <c r="AE107" s="17">
        <f>-_xlfn.XLOOKUP($C107,TB_UK!$E:$E,TB_UK!AG:AG)*AE$2</f>
        <v>112332649.44199999</v>
      </c>
      <c r="AF107" s="17">
        <f>-_xlfn.XLOOKUP($C107,TB_UK!$E:$E,TB_UK!AH:AH)*AF$2</f>
        <v>0</v>
      </c>
      <c r="AG107" s="17">
        <f>-_xlfn.XLOOKUP($C107,TB_UK!$E:$E,TB_UK!AI:AI)*AG$2</f>
        <v>0</v>
      </c>
      <c r="AH107" s="17">
        <f>-_xlfn.XLOOKUP($C107,TB_UK!$E:$E,TB_UK!AJ:AJ)*AH$2</f>
        <v>0</v>
      </c>
      <c r="AI107" s="17">
        <f>-_xlfn.XLOOKUP($C107,TB_UK!$E:$E,TB_UK!AK:AK)*AI$2</f>
        <v>0</v>
      </c>
      <c r="AJ107" s="17">
        <f>-_xlfn.XLOOKUP($C107,TB_UK!$E:$E,TB_UK!AL:AL)*AJ$2</f>
        <v>0</v>
      </c>
      <c r="AK107" s="17">
        <f>-_xlfn.XLOOKUP($C107,TB_UK!$E:$E,TB_UK!AM:AM)*AK$2</f>
        <v>0</v>
      </c>
      <c r="AL107" s="17">
        <f>-_xlfn.XLOOKUP($C107,TB_UK!$E:$E,TB_UK!AN:AN)*AL$2</f>
        <v>0</v>
      </c>
      <c r="AM107" s="17">
        <f>-_xlfn.XLOOKUP($C107,TB_UK!$E:$E,TB_UK!AO:AO)*AM$2</f>
        <v>0</v>
      </c>
    </row>
    <row r="108" spans="2:39" hidden="1" outlineLevel="1" x14ac:dyDescent="0.2">
      <c r="B108" s="21">
        <v>23040</v>
      </c>
      <c r="C108" s="16" t="str">
        <f>_xlfn.XLOOKUP(B108,TB_UK!A:A,TB_UK!E:E)</f>
        <v>Pension Payable</v>
      </c>
      <c r="D108" s="17">
        <f>-_xlfn.XLOOKUP($C108,TB_UK!$E:$E,TB_UK!F:F)*D$2</f>
        <v>0</v>
      </c>
      <c r="E108" s="17">
        <f>-_xlfn.XLOOKUP($C108,TB_UK!$E:$E,TB_UK!G:G)*E$2</f>
        <v>0</v>
      </c>
      <c r="F108" s="17">
        <f>-_xlfn.XLOOKUP($C108,TB_UK!$E:$E,TB_UK!H:H)*F$2</f>
        <v>0</v>
      </c>
      <c r="G108" s="17">
        <f>-_xlfn.XLOOKUP($C108,TB_UK!$E:$E,TB_UK!I:I)*G$2</f>
        <v>895231.87109999987</v>
      </c>
      <c r="H108" s="17">
        <f>-_xlfn.XLOOKUP($C108,TB_UK!$E:$E,TB_UK!J:J)*H$2</f>
        <v>929778.27179999987</v>
      </c>
      <c r="I108" s="17">
        <f>-_xlfn.XLOOKUP($C108,TB_UK!$E:$E,TB_UK!K:K)*I$2</f>
        <v>1730506.9782</v>
      </c>
      <c r="J108" s="17">
        <f>-_xlfn.XLOOKUP($C108,TB_UK!$E:$E,TB_UK!L:L)*J$2</f>
        <v>1791661.5569999998</v>
      </c>
      <c r="K108" s="17">
        <f>-_xlfn.XLOOKUP($C108,TB_UK!$E:$E,TB_UK!M:M)*K$2</f>
        <v>1727187.0868000002</v>
      </c>
      <c r="L108" s="17">
        <f>-_xlfn.XLOOKUP($C108,TB_UK!$E:$E,TB_UK!N:N)*L$2</f>
        <v>1454820.2718</v>
      </c>
      <c r="M108" s="17">
        <f>-_xlfn.XLOOKUP($C108,TB_UK!$E:$E,TB_UK!O:O)*M$2</f>
        <v>1392333.7638000001</v>
      </c>
      <c r="N108" s="17">
        <f>-_xlfn.XLOOKUP($C108,TB_UK!$E:$E,TB_UK!P:P)*N$2</f>
        <v>1395086.301</v>
      </c>
      <c r="O108" s="17">
        <f>-_xlfn.XLOOKUP($C108,TB_UK!$E:$E,TB_UK!Q:Q)*O$2</f>
        <v>1267706.4456</v>
      </c>
      <c r="P108" s="17">
        <f>-_xlfn.XLOOKUP($C108,TB_UK!$E:$E,TB_UK!R:R)*P$2</f>
        <v>1248014.7161999999</v>
      </c>
      <c r="Q108" s="17">
        <f>-_xlfn.XLOOKUP($C108,TB_UK!$E:$E,TB_UK!S:S)*Q$2</f>
        <v>1235576.118</v>
      </c>
      <c r="R108" s="17">
        <f>-_xlfn.XLOOKUP($C108,TB_UK!$E:$E,TB_UK!T:T)*R$2</f>
        <v>1295616.6509999998</v>
      </c>
      <c r="S108" s="17">
        <f>-_xlfn.XLOOKUP($C108,TB_UK!$E:$E,TB_UK!U:U)*S$2</f>
        <v>1400865.3245999999</v>
      </c>
      <c r="T108" s="17">
        <f>-_xlfn.XLOOKUP($C108,TB_UK!$E:$E,TB_UK!V:V)*T$2</f>
        <v>1395151.5269999998</v>
      </c>
      <c r="U108" s="17">
        <f>-_xlfn.XLOOKUP($C108,TB_UK!$E:$E,TB_UK!W:W)*U$2</f>
        <v>836132.78069999989</v>
      </c>
      <c r="V108" s="17">
        <f>-_xlfn.XLOOKUP($C108,TB_UK!$E:$E,TB_UK!X:X)*V$2</f>
        <v>805914.02009999997</v>
      </c>
      <c r="W108" s="17">
        <f>-_xlfn.XLOOKUP($C108,TB_UK!$E:$E,TB_UK!Y:Y)*W$2</f>
        <v>725988.5682000001</v>
      </c>
      <c r="X108" s="17">
        <f>-_xlfn.XLOOKUP($C108,TB_UK!$E:$E,TB_UK!Z:Z)*X$2</f>
        <v>511859.62169999996</v>
      </c>
      <c r="Y108" s="17">
        <f>-_xlfn.XLOOKUP($C108,TB_UK!$E:$E,TB_UK!AA:AA)*Y$2</f>
        <v>490468.25099999999</v>
      </c>
      <c r="Z108" s="17">
        <f>-_xlfn.XLOOKUP($C108,TB_UK!$E:$E,TB_UK!AB:AB)*Z$2</f>
        <v>542504.86010000005</v>
      </c>
      <c r="AA108" s="17">
        <f>-_xlfn.XLOOKUP($C108,TB_UK!$E:$E,TB_UK!AC:AC)*AA$2</f>
        <v>727734.57500000007</v>
      </c>
      <c r="AB108" s="17">
        <f>-_xlfn.XLOOKUP($C108,TB_UK!$E:$E,TB_UK!AD:AD)*AB$2</f>
        <v>1418638.692</v>
      </c>
      <c r="AC108" s="17">
        <f>-_xlfn.XLOOKUP($C108,TB_UK!$E:$E,TB_UK!AE:AE)*AC$2</f>
        <v>1905057.9396000004</v>
      </c>
      <c r="AD108" s="17">
        <f>-_xlfn.XLOOKUP($C108,TB_UK!$E:$E,TB_UK!AF:AF)*AD$2</f>
        <v>469510.92299999995</v>
      </c>
      <c r="AE108" s="17">
        <f>-_xlfn.XLOOKUP($C108,TB_UK!$E:$E,TB_UK!AG:AG)*AE$2</f>
        <v>952890.66599999985</v>
      </c>
      <c r="AF108" s="17">
        <f>-_xlfn.XLOOKUP($C108,TB_UK!$E:$E,TB_UK!AH:AH)*AF$2</f>
        <v>0</v>
      </c>
      <c r="AG108" s="17">
        <f>-_xlfn.XLOOKUP($C108,TB_UK!$E:$E,TB_UK!AI:AI)*AG$2</f>
        <v>0</v>
      </c>
      <c r="AH108" s="17">
        <f>-_xlfn.XLOOKUP($C108,TB_UK!$E:$E,TB_UK!AJ:AJ)*AH$2</f>
        <v>0</v>
      </c>
      <c r="AI108" s="17">
        <f>-_xlfn.XLOOKUP($C108,TB_UK!$E:$E,TB_UK!AK:AK)*AI$2</f>
        <v>0</v>
      </c>
      <c r="AJ108" s="17">
        <f>-_xlfn.XLOOKUP($C108,TB_UK!$E:$E,TB_UK!AL:AL)*AJ$2</f>
        <v>0</v>
      </c>
      <c r="AK108" s="17">
        <f>-_xlfn.XLOOKUP($C108,TB_UK!$E:$E,TB_UK!AM:AM)*AK$2</f>
        <v>0</v>
      </c>
      <c r="AL108" s="17">
        <f>-_xlfn.XLOOKUP($C108,TB_UK!$E:$E,TB_UK!AN:AN)*AL$2</f>
        <v>0</v>
      </c>
      <c r="AM108" s="17">
        <f>-_xlfn.XLOOKUP($C108,TB_UK!$E:$E,TB_UK!AO:AO)*AM$2</f>
        <v>0</v>
      </c>
    </row>
    <row r="109" spans="2:39" hidden="1" outlineLevel="1" x14ac:dyDescent="0.2">
      <c r="B109" s="21">
        <v>23300</v>
      </c>
      <c r="C109" s="16" t="str">
        <f>_xlfn.XLOOKUP(B109,TB_UK!A:A,TB_UK!E:E)</f>
        <v>Deferred Income</v>
      </c>
      <c r="D109" s="17">
        <f>-_xlfn.XLOOKUP($C109,TB_UK!$E:$E,TB_UK!F:F)*D$2</f>
        <v>0</v>
      </c>
      <c r="E109" s="17">
        <f>-_xlfn.XLOOKUP($C109,TB_UK!$E:$E,TB_UK!G:G)*E$2</f>
        <v>0</v>
      </c>
      <c r="F109" s="17">
        <f>-_xlfn.XLOOKUP($C109,TB_UK!$E:$E,TB_UK!H:H)*F$2</f>
        <v>0</v>
      </c>
      <c r="G109" s="17">
        <f>-_xlfn.XLOOKUP($C109,TB_UK!$E:$E,TB_UK!I:I)*G$2</f>
        <v>167637</v>
      </c>
      <c r="H109" s="17">
        <f>-_xlfn.XLOOKUP($C109,TB_UK!$E:$E,TB_UK!J:J)*H$2</f>
        <v>348212</v>
      </c>
      <c r="I109" s="17">
        <f>-_xlfn.XLOOKUP($C109,TB_UK!$E:$E,TB_UK!K:K)*I$2</f>
        <v>776308</v>
      </c>
      <c r="J109" s="17">
        <f>-_xlfn.XLOOKUP($C109,TB_UK!$E:$E,TB_UK!L:L)*J$2</f>
        <v>209144.99999999997</v>
      </c>
      <c r="K109" s="17">
        <f>-_xlfn.XLOOKUP($C109,TB_UK!$E:$E,TB_UK!M:M)*K$2</f>
        <v>209138</v>
      </c>
      <c r="L109" s="17">
        <f>-_xlfn.XLOOKUP($C109,TB_UK!$E:$E,TB_UK!N:N)*L$2</f>
        <v>0</v>
      </c>
      <c r="M109" s="17">
        <f>-_xlfn.XLOOKUP($C109,TB_UK!$E:$E,TB_UK!O:O)*M$2</f>
        <v>0</v>
      </c>
      <c r="N109" s="17">
        <f>-_xlfn.XLOOKUP($C109,TB_UK!$E:$E,TB_UK!P:P)*N$2</f>
        <v>0</v>
      </c>
      <c r="O109" s="17">
        <f>-_xlfn.XLOOKUP($C109,TB_UK!$E:$E,TB_UK!Q:Q)*O$2</f>
        <v>0</v>
      </c>
      <c r="P109" s="17">
        <f>-_xlfn.XLOOKUP($C109,TB_UK!$E:$E,TB_UK!R:R)*P$2</f>
        <v>0</v>
      </c>
      <c r="Q109" s="17">
        <f>-_xlfn.XLOOKUP($C109,TB_UK!$E:$E,TB_UK!S:S)*Q$2</f>
        <v>0</v>
      </c>
      <c r="R109" s="17">
        <f>-_xlfn.XLOOKUP($C109,TB_UK!$E:$E,TB_UK!T:T)*R$2</f>
        <v>0</v>
      </c>
      <c r="S109" s="17">
        <f>-_xlfn.XLOOKUP($C109,TB_UK!$E:$E,TB_UK!U:U)*S$2</f>
        <v>0</v>
      </c>
      <c r="T109" s="17">
        <f>-_xlfn.XLOOKUP($C109,TB_UK!$E:$E,TB_UK!V:V)*T$2</f>
        <v>0</v>
      </c>
      <c r="U109" s="17">
        <f>-_xlfn.XLOOKUP($C109,TB_UK!$E:$E,TB_UK!W:W)*U$2</f>
        <v>1378013.1329999999</v>
      </c>
      <c r="V109" s="17">
        <f>-_xlfn.XLOOKUP($C109,TB_UK!$E:$E,TB_UK!X:X)*V$2</f>
        <v>1328210.219</v>
      </c>
      <c r="W109" s="17">
        <f>-_xlfn.XLOOKUP($C109,TB_UK!$E:$E,TB_UK!Y:Y)*W$2</f>
        <v>1014818.4878999999</v>
      </c>
      <c r="X109" s="17">
        <f>-_xlfn.XLOOKUP($C109,TB_UK!$E:$E,TB_UK!Z:Z)*X$2</f>
        <v>865874.43539999996</v>
      </c>
      <c r="Y109" s="17">
        <f>-_xlfn.XLOOKUP($C109,TB_UK!$E:$E,TB_UK!AA:AA)*Y$2</f>
        <v>725972.45499999996</v>
      </c>
      <c r="Z109" s="17">
        <f>-_xlfn.XLOOKUP($C109,TB_UK!$E:$E,TB_UK!AB:AB)*Z$2</f>
        <v>623680.56879999989</v>
      </c>
      <c r="AA109" s="17">
        <f>-_xlfn.XLOOKUP($C109,TB_UK!$E:$E,TB_UK!AC:AC)*AA$2</f>
        <v>531044.79749999999</v>
      </c>
      <c r="AB109" s="17">
        <f>-_xlfn.XLOOKUP($C109,TB_UK!$E:$E,TB_UK!AD:AD)*AB$2</f>
        <v>414077.79719999997</v>
      </c>
      <c r="AC109" s="17">
        <f>-_xlfn.XLOOKUP($C109,TB_UK!$E:$E,TB_UK!AE:AE)*AC$2</f>
        <v>297949.35720000003</v>
      </c>
      <c r="AD109" s="17">
        <f>-_xlfn.XLOOKUP($C109,TB_UK!$E:$E,TB_UK!AF:AF)*AD$2</f>
        <v>198531.65999999997</v>
      </c>
      <c r="AE109" s="17">
        <f>-_xlfn.XLOOKUP($C109,TB_UK!$E:$E,TB_UK!AG:AG)*AE$2</f>
        <v>100713.37899999999</v>
      </c>
      <c r="AF109" s="17">
        <f>-_xlfn.XLOOKUP($C109,TB_UK!$E:$E,TB_UK!AH:AH)*AF$2</f>
        <v>0</v>
      </c>
      <c r="AG109" s="17">
        <f>-_xlfn.XLOOKUP($C109,TB_UK!$E:$E,TB_UK!AI:AI)*AG$2</f>
        <v>0</v>
      </c>
      <c r="AH109" s="17">
        <f>-_xlfn.XLOOKUP($C109,TB_UK!$E:$E,TB_UK!AJ:AJ)*AH$2</f>
        <v>0</v>
      </c>
      <c r="AI109" s="17">
        <f>-_xlfn.XLOOKUP($C109,TB_UK!$E:$E,TB_UK!AK:AK)*AI$2</f>
        <v>0</v>
      </c>
      <c r="AJ109" s="17">
        <f>-_xlfn.XLOOKUP($C109,TB_UK!$E:$E,TB_UK!AL:AL)*AJ$2</f>
        <v>0</v>
      </c>
      <c r="AK109" s="17">
        <f>-_xlfn.XLOOKUP($C109,TB_UK!$E:$E,TB_UK!AM:AM)*AK$2</f>
        <v>0</v>
      </c>
      <c r="AL109" s="17">
        <f>-_xlfn.XLOOKUP($C109,TB_UK!$E:$E,TB_UK!AN:AN)*AL$2</f>
        <v>0</v>
      </c>
      <c r="AM109" s="17">
        <f>-_xlfn.XLOOKUP($C109,TB_UK!$E:$E,TB_UK!AO:AO)*AM$2</f>
        <v>0</v>
      </c>
    </row>
    <row r="110" spans="2:39" hidden="1" outlineLevel="1" x14ac:dyDescent="0.2">
      <c r="B110" s="21"/>
      <c r="C110" s="16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</row>
    <row r="111" spans="2:39" hidden="1" outlineLevel="1" x14ac:dyDescent="0.2">
      <c r="B111" s="21"/>
      <c r="C111" s="16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</row>
    <row r="112" spans="2:39" collapsed="1" x14ac:dyDescent="0.2">
      <c r="B112" s="21"/>
      <c r="C112" s="22" t="s">
        <v>57</v>
      </c>
      <c r="D112" s="23">
        <f t="shared" ref="D112:AM112" si="19">SUM(D105:D111)</f>
        <v>0</v>
      </c>
      <c r="E112" s="23">
        <f t="shared" si="19"/>
        <v>0</v>
      </c>
      <c r="F112" s="23">
        <f t="shared" si="19"/>
        <v>0</v>
      </c>
      <c r="G112" s="23">
        <f t="shared" si="19"/>
        <v>107131459.07969999</v>
      </c>
      <c r="H112" s="23">
        <f t="shared" si="19"/>
        <v>91649642.148399994</v>
      </c>
      <c r="I112" s="23">
        <f t="shared" si="19"/>
        <v>107601334.802</v>
      </c>
      <c r="J112" s="23">
        <f t="shared" si="19"/>
        <v>118266854.48099999</v>
      </c>
      <c r="K112" s="23">
        <f t="shared" si="19"/>
        <v>122283051.34139998</v>
      </c>
      <c r="L112" s="23">
        <f t="shared" si="19"/>
        <v>132679559.71869999</v>
      </c>
      <c r="M112" s="23">
        <f t="shared" si="19"/>
        <v>129125433.71140002</v>
      </c>
      <c r="N112" s="23">
        <f t="shared" si="19"/>
        <v>132193741.71149999</v>
      </c>
      <c r="O112" s="23">
        <f t="shared" si="19"/>
        <v>122032070.35959999</v>
      </c>
      <c r="P112" s="23">
        <f t="shared" si="19"/>
        <v>123577144.42439999</v>
      </c>
      <c r="Q112" s="23">
        <f t="shared" si="19"/>
        <v>76473762.377999991</v>
      </c>
      <c r="R112" s="23">
        <f t="shared" si="19"/>
        <v>90640944.428499982</v>
      </c>
      <c r="S112" s="23">
        <f t="shared" si="19"/>
        <v>98004109.426100001</v>
      </c>
      <c r="T112" s="23">
        <f t="shared" si="19"/>
        <v>97604373.894499987</v>
      </c>
      <c r="U112" s="23">
        <f t="shared" si="19"/>
        <v>97323166.042199984</v>
      </c>
      <c r="V112" s="23">
        <f t="shared" si="19"/>
        <v>94553119.022199988</v>
      </c>
      <c r="W112" s="23">
        <f t="shared" si="19"/>
        <v>81610616.07720001</v>
      </c>
      <c r="X112" s="23">
        <f t="shared" si="19"/>
        <v>71156578.955699995</v>
      </c>
      <c r="Y112" s="23">
        <f>SUM(Y105:Y111)</f>
        <v>64319211.618999995</v>
      </c>
      <c r="Z112" s="23">
        <f t="shared" si="19"/>
        <v>64413355.519200005</v>
      </c>
      <c r="AA112" s="23">
        <f t="shared" si="19"/>
        <v>88635000.707500011</v>
      </c>
      <c r="AB112" s="23">
        <f t="shared" si="19"/>
        <v>96125238.323399991</v>
      </c>
      <c r="AC112" s="23">
        <f t="shared" si="19"/>
        <v>99406904.686800003</v>
      </c>
      <c r="AD112" s="23">
        <f t="shared" si="19"/>
        <v>105686976.40699998</v>
      </c>
      <c r="AE112" s="23">
        <f t="shared" si="19"/>
        <v>114952829.78399998</v>
      </c>
      <c r="AF112" s="23">
        <f t="shared" si="19"/>
        <v>0</v>
      </c>
      <c r="AG112" s="23">
        <f t="shared" si="19"/>
        <v>0</v>
      </c>
      <c r="AH112" s="23">
        <f t="shared" si="19"/>
        <v>0</v>
      </c>
      <c r="AI112" s="23">
        <f t="shared" si="19"/>
        <v>0</v>
      </c>
      <c r="AJ112" s="23">
        <f t="shared" si="19"/>
        <v>0</v>
      </c>
      <c r="AK112" s="23">
        <f t="shared" si="19"/>
        <v>0</v>
      </c>
      <c r="AL112" s="23">
        <f t="shared" si="19"/>
        <v>0</v>
      </c>
      <c r="AM112" s="23">
        <f t="shared" si="19"/>
        <v>0</v>
      </c>
    </row>
    <row r="113" spans="2:39" x14ac:dyDescent="0.2">
      <c r="B113" s="21"/>
      <c r="C113" s="1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8"/>
    </row>
    <row r="114" spans="2:39" s="27" customFormat="1" x14ac:dyDescent="0.2">
      <c r="B114" s="24"/>
      <c r="C114" s="25" t="s">
        <v>286</v>
      </c>
      <c r="D114" s="26">
        <f>D112+D94+D101+D85</f>
        <v>0</v>
      </c>
      <c r="E114" s="26">
        <f t="shared" ref="E114:AM114" si="20">E112+E94+E101+E85</f>
        <v>0</v>
      </c>
      <c r="F114" s="26">
        <f t="shared" si="20"/>
        <v>0</v>
      </c>
      <c r="G114" s="26">
        <f t="shared" si="20"/>
        <v>448647372.48359996</v>
      </c>
      <c r="H114" s="26">
        <f t="shared" si="20"/>
        <v>437447592.81599993</v>
      </c>
      <c r="I114" s="26">
        <f t="shared" si="20"/>
        <v>472139657.28799999</v>
      </c>
      <c r="J114" s="26">
        <f t="shared" si="20"/>
        <v>520864224.09750003</v>
      </c>
      <c r="K114" s="26">
        <f t="shared" si="20"/>
        <v>528569002.491</v>
      </c>
      <c r="L114" s="26">
        <f t="shared" si="20"/>
        <v>541835304.21089995</v>
      </c>
      <c r="M114" s="26">
        <f t="shared" si="20"/>
        <v>537750866.48800004</v>
      </c>
      <c r="N114" s="26">
        <f t="shared" si="20"/>
        <v>527516980.83000004</v>
      </c>
      <c r="O114" s="26">
        <f t="shared" si="20"/>
        <v>497315314.63799995</v>
      </c>
      <c r="P114" s="26">
        <f t="shared" si="20"/>
        <v>495412266.91469997</v>
      </c>
      <c r="Q114" s="26">
        <f t="shared" si="20"/>
        <v>457678489.03199995</v>
      </c>
      <c r="R114" s="26">
        <f t="shared" si="20"/>
        <v>492715209.99249995</v>
      </c>
      <c r="S114" s="26">
        <f t="shared" si="20"/>
        <v>515502975.94080001</v>
      </c>
      <c r="T114" s="26">
        <f t="shared" si="20"/>
        <v>524747833.47799993</v>
      </c>
      <c r="U114" s="26">
        <f t="shared" si="20"/>
        <v>502517450.50289994</v>
      </c>
      <c r="V114" s="26">
        <f t="shared" si="20"/>
        <v>483973818.41109997</v>
      </c>
      <c r="W114" s="26">
        <f t="shared" si="20"/>
        <v>487873557.23189998</v>
      </c>
      <c r="X114" s="26">
        <f t="shared" si="20"/>
        <v>463356403.43910003</v>
      </c>
      <c r="Y114" s="26">
        <f>Y112+Y94+Y101+Y85</f>
        <v>447001550.20300001</v>
      </c>
      <c r="Z114" s="26">
        <f t="shared" si="20"/>
        <v>450597286.30189997</v>
      </c>
      <c r="AA114" s="26">
        <f t="shared" si="20"/>
        <v>505773730.33500004</v>
      </c>
      <c r="AB114" s="26">
        <f t="shared" si="20"/>
        <v>507418332.7902</v>
      </c>
      <c r="AC114" s="26">
        <f t="shared" si="20"/>
        <v>504013261.50240004</v>
      </c>
      <c r="AD114" s="26">
        <f t="shared" si="20"/>
        <v>515635915.19099993</v>
      </c>
      <c r="AE114" s="26">
        <f t="shared" si="20"/>
        <v>537890882.75</v>
      </c>
      <c r="AF114" s="26">
        <f t="shared" si="20"/>
        <v>0</v>
      </c>
      <c r="AG114" s="26">
        <f t="shared" si="20"/>
        <v>0</v>
      </c>
      <c r="AH114" s="26">
        <f t="shared" si="20"/>
        <v>0</v>
      </c>
      <c r="AI114" s="26">
        <f t="shared" si="20"/>
        <v>0</v>
      </c>
      <c r="AJ114" s="26">
        <f t="shared" si="20"/>
        <v>0</v>
      </c>
      <c r="AK114" s="26">
        <f t="shared" si="20"/>
        <v>0</v>
      </c>
      <c r="AL114" s="26">
        <f t="shared" si="20"/>
        <v>0</v>
      </c>
      <c r="AM114" s="26">
        <f t="shared" si="20"/>
        <v>0</v>
      </c>
    </row>
    <row r="115" spans="2:39" x14ac:dyDescent="0.2">
      <c r="B115" s="21"/>
      <c r="C115" s="16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8"/>
    </row>
    <row r="116" spans="2:39" hidden="1" outlineLevel="1" x14ac:dyDescent="0.2">
      <c r="B116" s="21"/>
      <c r="C116" s="20" t="s">
        <v>287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8"/>
    </row>
    <row r="117" spans="2:39" hidden="1" outlineLevel="1" x14ac:dyDescent="0.2">
      <c r="B117" s="21">
        <v>30022</v>
      </c>
      <c r="C117" s="16" t="str">
        <f>_xlfn.XLOOKUP(B117,TB_UK!A:A,TB_UK!E:E)</f>
        <v>Shareholders Fund</v>
      </c>
      <c r="D117" s="17">
        <f>-_xlfn.XLOOKUP($C117,TB_UK!$E:$E,TB_UK!F:F)*D$2</f>
        <v>0</v>
      </c>
      <c r="E117" s="17">
        <f>-_xlfn.XLOOKUP($C117,TB_UK!$E:$E,TB_UK!G:G)*E$2</f>
        <v>0</v>
      </c>
      <c r="F117" s="17">
        <f>-_xlfn.XLOOKUP($C117,TB_UK!$E:$E,TB_UK!H:H)*F$2</f>
        <v>0</v>
      </c>
      <c r="G117" s="17">
        <f>-_xlfn.XLOOKUP($C117,TB_UK!$E:$E,TB_UK!I:I)*G$2</f>
        <v>226617463.31279999</v>
      </c>
      <c r="H117" s="17">
        <f>-_xlfn.XLOOKUP($C117,TB_UK!$E:$E,TB_UK!J:J)*H$2</f>
        <v>235362480.04640001</v>
      </c>
      <c r="I117" s="17">
        <f>-_xlfn.XLOOKUP($C117,TB_UK!$E:$E,TB_UK!K:K)*I$2</f>
        <v>263378248.05239999</v>
      </c>
      <c r="J117" s="17">
        <f>-_xlfn.XLOOKUP($C117,TB_UK!$E:$E,TB_UK!L:L)*J$2</f>
        <v>284489360.76299995</v>
      </c>
      <c r="K117" s="17">
        <f>-_xlfn.XLOOKUP($C117,TB_UK!$E:$E,TB_UK!M:M)*K$2</f>
        <v>284958325.84740001</v>
      </c>
      <c r="L117" s="17">
        <f>-_xlfn.XLOOKUP($C117,TB_UK!$E:$E,TB_UK!N:N)*L$2</f>
        <v>437817015.33949995</v>
      </c>
      <c r="M117" s="17">
        <f>-_xlfn.XLOOKUP($C117,TB_UK!$E:$E,TB_UK!O:O)*M$2</f>
        <v>419073891.62279999</v>
      </c>
      <c r="N117" s="17">
        <f>-_xlfn.XLOOKUP($C117,TB_UK!$E:$E,TB_UK!P:P)*N$2</f>
        <v>419994574.42949998</v>
      </c>
      <c r="O117" s="17">
        <f>-_xlfn.XLOOKUP($C117,TB_UK!$E:$E,TB_UK!Q:Q)*O$2</f>
        <v>184090446.48519999</v>
      </c>
      <c r="P117" s="17">
        <f>-_xlfn.XLOOKUP($C117,TB_UK!$E:$E,TB_UK!R:R)*P$2</f>
        <v>300169217.72819996</v>
      </c>
      <c r="Q117" s="17">
        <f>-_xlfn.XLOOKUP($C117,TB_UK!$E:$E,TB_UK!S:S)*Q$2</f>
        <v>346159343.162</v>
      </c>
      <c r="R117" s="17">
        <f>-_xlfn.XLOOKUP($C117,TB_UK!$E:$E,TB_UK!T:T)*R$2</f>
        <v>363105316.31449997</v>
      </c>
      <c r="S117" s="17">
        <f>-_xlfn.XLOOKUP($C117,TB_UK!$E:$E,TB_UK!U:U)*S$2</f>
        <v>500378114.85360003</v>
      </c>
      <c r="T117" s="17">
        <f>-_xlfn.XLOOKUP($C117,TB_UK!$E:$E,TB_UK!V:V)*T$2</f>
        <v>498398643.16549999</v>
      </c>
      <c r="U117" s="17">
        <f>-_xlfn.XLOOKUP($C117,TB_UK!$E:$E,TB_UK!W:W)*U$2</f>
        <v>640723012.00109994</v>
      </c>
      <c r="V117" s="17">
        <f>-_xlfn.XLOOKUP($C117,TB_UK!$E:$E,TB_UK!X:X)*V$2</f>
        <v>832454073.35049999</v>
      </c>
      <c r="W117" s="17">
        <f>-_xlfn.XLOOKUP($C117,TB_UK!$E:$E,TB_UK!Y:Y)*W$2</f>
        <v>848196948.36660004</v>
      </c>
      <c r="X117" s="17">
        <f>-_xlfn.XLOOKUP($C117,TB_UK!$E:$E,TB_UK!Z:Z)*X$2</f>
        <v>814285430.86230004</v>
      </c>
      <c r="Y117" s="17">
        <f>-_xlfn.XLOOKUP($C117,TB_UK!$E:$E,TB_UK!AA:AA)*Y$2</f>
        <v>798828464.85000002</v>
      </c>
      <c r="Z117" s="17">
        <f>-_xlfn.XLOOKUP($C117,TB_UK!$E:$E,TB_UK!AB:AB)*Z$2</f>
        <v>930521953.14380002</v>
      </c>
      <c r="AA117" s="17">
        <f>-_xlfn.XLOOKUP($C117,TB_UK!$E:$E,TB_UK!AC:AC)*AA$2</f>
        <v>665812557.25999999</v>
      </c>
      <c r="AB117" s="17">
        <f>-_xlfn.XLOOKUP($C117,TB_UK!$E:$E,TB_UK!AD:AD)*AB$2</f>
        <v>662715063.39479995</v>
      </c>
      <c r="AC117" s="17">
        <f>-_xlfn.XLOOKUP($C117,TB_UK!$E:$E,TB_UK!AE:AE)*AC$2</f>
        <v>645933137.25119996</v>
      </c>
      <c r="AD117" s="17">
        <f>-_xlfn.XLOOKUP($C117,TB_UK!$E:$E,TB_UK!AF:AF)*AD$2</f>
        <v>657518668.32499993</v>
      </c>
      <c r="AE117" s="17">
        <f>-_xlfn.XLOOKUP($C117,TB_UK!$E:$E,TB_UK!AG:AG)*AE$2</f>
        <v>721222086.35099995</v>
      </c>
      <c r="AF117" s="17">
        <f>-_xlfn.XLOOKUP($C117,TB_UK!$E:$E,TB_UK!AH:AH)*AF$2</f>
        <v>0</v>
      </c>
      <c r="AG117" s="17">
        <f>-_xlfn.XLOOKUP($C117,TB_UK!$E:$E,TB_UK!AI:AI)*AG$2</f>
        <v>0</v>
      </c>
      <c r="AH117" s="17">
        <f>-_xlfn.XLOOKUP($C117,TB_UK!$E:$E,TB_UK!AJ:AJ)*AH$2</f>
        <v>0</v>
      </c>
      <c r="AI117" s="17">
        <f>-_xlfn.XLOOKUP($C117,TB_UK!$E:$E,TB_UK!AK:AK)*AI$2</f>
        <v>0</v>
      </c>
      <c r="AJ117" s="17">
        <f>-_xlfn.XLOOKUP($C117,TB_UK!$E:$E,TB_UK!AL:AL)*AJ$2</f>
        <v>0</v>
      </c>
      <c r="AK117" s="17">
        <f>-_xlfn.XLOOKUP($C117,TB_UK!$E:$E,TB_UK!AM:AM)*AK$2</f>
        <v>0</v>
      </c>
      <c r="AL117" s="17">
        <f>-_xlfn.XLOOKUP($C117,TB_UK!$E:$E,TB_UK!AN:AN)*AL$2</f>
        <v>0</v>
      </c>
      <c r="AM117" s="17">
        <f>-_xlfn.XLOOKUP($C117,TB_UK!$E:$E,TB_UK!AO:AO)*AM$2</f>
        <v>0</v>
      </c>
    </row>
    <row r="118" spans="2:39" hidden="1" outlineLevel="1" x14ac:dyDescent="0.2">
      <c r="B118" s="21">
        <v>30045</v>
      </c>
      <c r="C118" s="16" t="str">
        <f>_xlfn.XLOOKUP(B118,TB_UK!A:A,TB_UK!E:E)</f>
        <v>Ordinary Share Capital</v>
      </c>
      <c r="D118" s="17">
        <f>-_xlfn.XLOOKUP($C118,TB_UK!$E:$E,TB_UK!F:F)*D$2</f>
        <v>0</v>
      </c>
      <c r="E118" s="17">
        <f>-_xlfn.XLOOKUP($C118,TB_UK!$E:$E,TB_UK!G:G)*E$2</f>
        <v>0</v>
      </c>
      <c r="F118" s="17">
        <f>-_xlfn.XLOOKUP($C118,TB_UK!$E:$E,TB_UK!H:H)*F$2</f>
        <v>0</v>
      </c>
      <c r="G118" s="17">
        <f>-_xlfn.XLOOKUP($C118,TB_UK!$E:$E,TB_UK!I:I)*G$2</f>
        <v>502910.99999999994</v>
      </c>
      <c r="H118" s="17">
        <f>-_xlfn.XLOOKUP($C118,TB_UK!$E:$E,TB_UK!J:J)*H$2</f>
        <v>522318</v>
      </c>
      <c r="I118" s="17">
        <f>-_xlfn.XLOOKUP($C118,TB_UK!$E:$E,TB_UK!K:K)*I$2</f>
        <v>582231</v>
      </c>
      <c r="J118" s="17">
        <f>-_xlfn.XLOOKUP($C118,TB_UK!$E:$E,TB_UK!L:L)*J$2</f>
        <v>627435</v>
      </c>
      <c r="K118" s="17">
        <f>-_xlfn.XLOOKUP($C118,TB_UK!$E:$E,TB_UK!M:M)*K$2</f>
        <v>627414</v>
      </c>
      <c r="L118" s="17">
        <f>-_xlfn.XLOOKUP($C118,TB_UK!$E:$E,TB_UK!N:N)*L$2</f>
        <v>669129</v>
      </c>
      <c r="M118" s="17">
        <f>-_xlfn.XLOOKUP($C118,TB_UK!$E:$E,TB_UK!O:O)*M$2</f>
        <v>640389</v>
      </c>
      <c r="N118" s="17">
        <f>-_xlfn.XLOOKUP($C118,TB_UK!$E:$E,TB_UK!P:P)*N$2</f>
        <v>641655</v>
      </c>
      <c r="O118" s="17">
        <f>-_xlfn.XLOOKUP($C118,TB_UK!$E:$E,TB_UK!Q:Q)*O$2</f>
        <v>583068</v>
      </c>
      <c r="P118" s="17">
        <f>-_xlfn.XLOOKUP($C118,TB_UK!$E:$E,TB_UK!R:R)*P$2</f>
        <v>574011</v>
      </c>
      <c r="Q118" s="17">
        <f>-_xlfn.XLOOKUP($C118,TB_UK!$E:$E,TB_UK!S:S)*Q$2</f>
        <v>568290</v>
      </c>
      <c r="R118" s="17">
        <f>-_xlfn.XLOOKUP($C118,TB_UK!$E:$E,TB_UK!T:T)*R$2</f>
        <v>595905</v>
      </c>
      <c r="S118" s="17">
        <f>-_xlfn.XLOOKUP($C118,TB_UK!$E:$E,TB_UK!U:U)*S$2</f>
        <v>644313</v>
      </c>
      <c r="T118" s="17">
        <f>-_xlfn.XLOOKUP($C118,TB_UK!$E:$E,TB_UK!V:V)*T$2</f>
        <v>641685</v>
      </c>
      <c r="U118" s="17">
        <f>-_xlfn.XLOOKUP($C118,TB_UK!$E:$E,TB_UK!W:W)*U$2</f>
        <v>634346.99999999988</v>
      </c>
      <c r="V118" s="17">
        <f>-_xlfn.XLOOKUP($C118,TB_UK!$E:$E,TB_UK!X:X)*V$2</f>
        <v>611421</v>
      </c>
      <c r="W118" s="17">
        <f>-_xlfn.XLOOKUP($C118,TB_UK!$E:$E,TB_UK!Y:Y)*W$2</f>
        <v>622881</v>
      </c>
      <c r="X118" s="17">
        <f>-_xlfn.XLOOKUP($C118,TB_UK!$E:$E,TB_UK!Z:Z)*X$2</f>
        <v>597897</v>
      </c>
      <c r="Y118" s="17">
        <f>-_xlfn.XLOOKUP($C118,TB_UK!$E:$E,TB_UK!AA:AA)*Y$2</f>
        <v>572910</v>
      </c>
      <c r="Z118" s="17">
        <f>-_xlfn.XLOOKUP($C118,TB_UK!$E:$E,TB_UK!AB:AB)*Z$2</f>
        <v>574221</v>
      </c>
      <c r="AA118" s="17">
        <f>-_xlfn.XLOOKUP($C118,TB_UK!$E:$E,TB_UK!AC:AC)*AA$2</f>
        <v>586725</v>
      </c>
      <c r="AB118" s="17">
        <f>-_xlfn.XLOOKUP($C118,TB_UK!$E:$E,TB_UK!AD:AD)*AB$2</f>
        <v>571878</v>
      </c>
      <c r="AC118" s="17">
        <f>-_xlfn.XLOOKUP($C118,TB_UK!$E:$E,TB_UK!AE:AE)*AC$2</f>
        <v>548676</v>
      </c>
      <c r="AD118" s="17">
        <f>-_xlfn.XLOOKUP($C118,TB_UK!$E:$E,TB_UK!AF:AF)*AD$2</f>
        <v>548430</v>
      </c>
      <c r="AE118" s="17">
        <f>-_xlfn.XLOOKUP($C118,TB_UK!$E:$E,TB_UK!AG:AG)*AE$2</f>
        <v>556530</v>
      </c>
      <c r="AF118" s="17">
        <f>-_xlfn.XLOOKUP($C118,TB_UK!$E:$E,TB_UK!AH:AH)*AF$2</f>
        <v>0</v>
      </c>
      <c r="AG118" s="17">
        <f>-_xlfn.XLOOKUP($C118,TB_UK!$E:$E,TB_UK!AI:AI)*AG$2</f>
        <v>0</v>
      </c>
      <c r="AH118" s="17">
        <f>-_xlfn.XLOOKUP($C118,TB_UK!$E:$E,TB_UK!AJ:AJ)*AH$2</f>
        <v>0</v>
      </c>
      <c r="AI118" s="17">
        <f>-_xlfn.XLOOKUP($C118,TB_UK!$E:$E,TB_UK!AK:AK)*AI$2</f>
        <v>0</v>
      </c>
      <c r="AJ118" s="17">
        <f>-_xlfn.XLOOKUP($C118,TB_UK!$E:$E,TB_UK!AL:AL)*AJ$2</f>
        <v>0</v>
      </c>
      <c r="AK118" s="17">
        <f>-_xlfn.XLOOKUP($C118,TB_UK!$E:$E,TB_UK!AM:AM)*AK$2</f>
        <v>0</v>
      </c>
      <c r="AL118" s="17">
        <f>-_xlfn.XLOOKUP($C118,TB_UK!$E:$E,TB_UK!AN:AN)*AL$2</f>
        <v>0</v>
      </c>
      <c r="AM118" s="17">
        <f>-_xlfn.XLOOKUP($C118,TB_UK!$E:$E,TB_UK!AO:AO)*AM$2</f>
        <v>0</v>
      </c>
    </row>
    <row r="119" spans="2:39" hidden="1" outlineLevel="1" x14ac:dyDescent="0.2">
      <c r="B119" s="21">
        <v>30510</v>
      </c>
      <c r="C119" s="16" t="str">
        <f>_xlfn.XLOOKUP(B119,TB_UK!A:A,TB_UK!E:E)</f>
        <v>Share Premium</v>
      </c>
      <c r="D119" s="17">
        <f>-_xlfn.XLOOKUP($C119,TB_UK!$E:$E,TB_UK!F:F)*D$2</f>
        <v>0</v>
      </c>
      <c r="E119" s="17">
        <f>-_xlfn.XLOOKUP($C119,TB_UK!$E:$E,TB_UK!G:G)*E$2</f>
        <v>0</v>
      </c>
      <c r="F119" s="17">
        <f>-_xlfn.XLOOKUP($C119,TB_UK!$E:$E,TB_UK!H:H)*F$2</f>
        <v>0</v>
      </c>
      <c r="G119" s="17">
        <f>-_xlfn.XLOOKUP($C119,TB_UK!$E:$E,TB_UK!I:I)*G$2</f>
        <v>747832060.03110003</v>
      </c>
      <c r="H119" s="17">
        <f>-_xlfn.XLOOKUP($C119,TB_UK!$E:$E,TB_UK!J:J)*H$2</f>
        <v>776690400.35179996</v>
      </c>
      <c r="I119" s="17">
        <f>-_xlfn.XLOOKUP($C119,TB_UK!$E:$E,TB_UK!K:K)*I$2</f>
        <v>865781436.76310003</v>
      </c>
      <c r="J119" s="17">
        <f>-_xlfn.XLOOKUP($C119,TB_UK!$E:$E,TB_UK!L:L)*J$2</f>
        <v>933000090.64349997</v>
      </c>
      <c r="K119" s="17">
        <f>-_xlfn.XLOOKUP($C119,TB_UK!$E:$E,TB_UK!M:M)*K$2</f>
        <v>932968863.50140011</v>
      </c>
      <c r="L119" s="17">
        <f>-_xlfn.XLOOKUP($C119,TB_UK!$E:$E,TB_UK!N:N)*L$2</f>
        <v>994999350.77289999</v>
      </c>
      <c r="M119" s="17">
        <f>-_xlfn.XLOOKUP($C119,TB_UK!$E:$E,TB_UK!O:O)*M$2</f>
        <v>952262776.29890013</v>
      </c>
      <c r="N119" s="17">
        <f>-_xlfn.XLOOKUP($C119,TB_UK!$E:$E,TB_UK!P:P)*N$2</f>
        <v>954145326.86549997</v>
      </c>
      <c r="O119" s="17">
        <f>-_xlfn.XLOOKUP($C119,TB_UK!$E:$E,TB_UK!Q:Q)*O$2</f>
        <v>867026061.42680001</v>
      </c>
      <c r="P119" s="17">
        <f>-_xlfn.XLOOKUP($C119,TB_UK!$E:$E,TB_UK!R:R)*P$2</f>
        <v>853558241.14110005</v>
      </c>
      <c r="Q119" s="17">
        <f>-_xlfn.XLOOKUP($C119,TB_UK!$E:$E,TB_UK!S:S)*Q$2</f>
        <v>845051075.42900002</v>
      </c>
      <c r="R119" s="17">
        <f>-_xlfn.XLOOKUP($C119,TB_UK!$E:$E,TB_UK!T:T)*R$2</f>
        <v>886114767.29050004</v>
      </c>
      <c r="S119" s="17">
        <f>-_xlfn.XLOOKUP($C119,TB_UK!$E:$E,TB_UK!U:U)*S$2</f>
        <v>958097790.85130012</v>
      </c>
      <c r="T119" s="17">
        <f>-_xlfn.XLOOKUP($C119,TB_UK!$E:$E,TB_UK!V:V)*T$2</f>
        <v>954189937.06849992</v>
      </c>
      <c r="U119" s="17">
        <f>-_xlfn.XLOOKUP($C119,TB_UK!$E:$E,TB_UK!W:W)*U$2</f>
        <v>943278281.41469991</v>
      </c>
      <c r="V119" s="17">
        <f>-_xlfn.XLOOKUP($C119,TB_UK!$E:$E,TB_UK!X:X)*V$2</f>
        <v>909187164.28210008</v>
      </c>
      <c r="W119" s="17">
        <f>-_xlfn.XLOOKUP($C119,TB_UK!$E:$E,TB_UK!Y:Y)*W$2</f>
        <v>926228261.82810009</v>
      </c>
      <c r="X119" s="17">
        <f>-_xlfn.XLOOKUP($C119,TB_UK!$E:$E,TB_UK!Z:Z)*X$2</f>
        <v>889076884.76970005</v>
      </c>
      <c r="Y119" s="17">
        <f>-_xlfn.XLOOKUP($C119,TB_UK!$E:$E,TB_UK!AA:AA)*Y$2</f>
        <v>851921046.6910001</v>
      </c>
      <c r="Z119" s="17">
        <f>-_xlfn.XLOOKUP($C119,TB_UK!$E:$E,TB_UK!AB:AB)*Z$2</f>
        <v>853870512.56210005</v>
      </c>
      <c r="AA119" s="17">
        <f>-_xlfn.XLOOKUP($C119,TB_UK!$E:$E,TB_UK!AC:AC)*AA$2</f>
        <v>872464045.17250001</v>
      </c>
      <c r="AB119" s="17">
        <f>-_xlfn.XLOOKUP($C119,TB_UK!$E:$E,TB_UK!AD:AD)*AB$2</f>
        <v>850386455.70780003</v>
      </c>
      <c r="AC119" s="17">
        <f>-_xlfn.XLOOKUP($C119,TB_UK!$E:$E,TB_UK!AE:AE)*AC$2</f>
        <v>815884924.70760012</v>
      </c>
      <c r="AD119" s="17">
        <f>-_xlfn.XLOOKUP($C119,TB_UK!$E:$E,TB_UK!AF:AF)*AD$2</f>
        <v>815519121.04299998</v>
      </c>
      <c r="AE119" s="17">
        <f>-_xlfn.XLOOKUP($C119,TB_UK!$E:$E,TB_UK!AG:AG)*AE$2</f>
        <v>827563875.85300004</v>
      </c>
      <c r="AF119" s="17">
        <f>-_xlfn.XLOOKUP($C119,TB_UK!$E:$E,TB_UK!AH:AH)*AF$2</f>
        <v>0</v>
      </c>
      <c r="AG119" s="17">
        <f>-_xlfn.XLOOKUP($C119,TB_UK!$E:$E,TB_UK!AI:AI)*AG$2</f>
        <v>0</v>
      </c>
      <c r="AH119" s="17">
        <f>-_xlfn.XLOOKUP($C119,TB_UK!$E:$E,TB_UK!AJ:AJ)*AH$2</f>
        <v>0</v>
      </c>
      <c r="AI119" s="17">
        <f>-_xlfn.XLOOKUP($C119,TB_UK!$E:$E,TB_UK!AK:AK)*AI$2</f>
        <v>0</v>
      </c>
      <c r="AJ119" s="17">
        <f>-_xlfn.XLOOKUP($C119,TB_UK!$E:$E,TB_UK!AL:AL)*AJ$2</f>
        <v>0</v>
      </c>
      <c r="AK119" s="17">
        <f>-_xlfn.XLOOKUP($C119,TB_UK!$E:$E,TB_UK!AM:AM)*AK$2</f>
        <v>0</v>
      </c>
      <c r="AL119" s="17">
        <f>-_xlfn.XLOOKUP($C119,TB_UK!$E:$E,TB_UK!AN:AN)*AL$2</f>
        <v>0</v>
      </c>
      <c r="AM119" s="17">
        <f>-_xlfn.XLOOKUP($C119,TB_UK!$E:$E,TB_UK!AO:AO)*AM$2</f>
        <v>0</v>
      </c>
    </row>
    <row r="120" spans="2:39" hidden="1" outlineLevel="1" x14ac:dyDescent="0.2">
      <c r="B120" s="21"/>
      <c r="C120" s="44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32"/>
    </row>
    <row r="121" spans="2:39" collapsed="1" x14ac:dyDescent="0.2">
      <c r="B121" s="21"/>
      <c r="C121" s="22" t="s">
        <v>61</v>
      </c>
      <c r="D121" s="23">
        <f>SUM(D117:D120)</f>
        <v>0</v>
      </c>
      <c r="E121" s="23">
        <f t="shared" ref="E121:AM121" si="21">SUM(E117:E119)</f>
        <v>0</v>
      </c>
      <c r="F121" s="23">
        <f t="shared" si="21"/>
        <v>0</v>
      </c>
      <c r="G121" s="23">
        <f t="shared" si="21"/>
        <v>974952434.34389997</v>
      </c>
      <c r="H121" s="23">
        <f t="shared" si="21"/>
        <v>1012575198.3982</v>
      </c>
      <c r="I121" s="23">
        <f t="shared" si="21"/>
        <v>1129741915.8155</v>
      </c>
      <c r="J121" s="23">
        <f t="shared" si="21"/>
        <v>1218116886.4064999</v>
      </c>
      <c r="K121" s="23">
        <f t="shared" si="21"/>
        <v>1218554603.3488002</v>
      </c>
      <c r="L121" s="23">
        <f t="shared" si="21"/>
        <v>1433485495.1124001</v>
      </c>
      <c r="M121" s="23">
        <f t="shared" si="21"/>
        <v>1371977056.9217</v>
      </c>
      <c r="N121" s="23">
        <f t="shared" si="21"/>
        <v>1374781556.2950001</v>
      </c>
      <c r="O121" s="23">
        <f t="shared" si="21"/>
        <v>1051699575.9119999</v>
      </c>
      <c r="P121" s="23">
        <f t="shared" si="21"/>
        <v>1154301469.8692999</v>
      </c>
      <c r="Q121" s="23">
        <f t="shared" si="21"/>
        <v>1191778708.5910001</v>
      </c>
      <c r="R121" s="23">
        <f t="shared" si="21"/>
        <v>1249815988.605</v>
      </c>
      <c r="S121" s="23">
        <f t="shared" si="21"/>
        <v>1459120218.7049003</v>
      </c>
      <c r="T121" s="23">
        <f t="shared" si="21"/>
        <v>1453230265.234</v>
      </c>
      <c r="U121" s="23">
        <f t="shared" si="21"/>
        <v>1584635640.4157999</v>
      </c>
      <c r="V121" s="23">
        <f t="shared" si="21"/>
        <v>1742252658.6326001</v>
      </c>
      <c r="W121" s="23">
        <f t="shared" si="21"/>
        <v>1775048091.1947002</v>
      </c>
      <c r="X121" s="23">
        <f t="shared" si="21"/>
        <v>1703960212.632</v>
      </c>
      <c r="Y121" s="23">
        <f>SUM(Y117:Y119)</f>
        <v>1651322421.5410001</v>
      </c>
      <c r="Z121" s="23">
        <f t="shared" si="21"/>
        <v>1784966686.7059002</v>
      </c>
      <c r="AA121" s="23">
        <f t="shared" si="21"/>
        <v>1538863327.4324999</v>
      </c>
      <c r="AB121" s="23">
        <f t="shared" si="21"/>
        <v>1513673397.1026001</v>
      </c>
      <c r="AC121" s="23">
        <f t="shared" si="21"/>
        <v>1462366737.9588001</v>
      </c>
      <c r="AD121" s="23">
        <f t="shared" si="21"/>
        <v>1473586219.368</v>
      </c>
      <c r="AE121" s="23">
        <f t="shared" si="21"/>
        <v>1549342492.204</v>
      </c>
      <c r="AF121" s="23">
        <f t="shared" si="21"/>
        <v>0</v>
      </c>
      <c r="AG121" s="23">
        <f t="shared" si="21"/>
        <v>0</v>
      </c>
      <c r="AH121" s="23">
        <f t="shared" si="21"/>
        <v>0</v>
      </c>
      <c r="AI121" s="23">
        <f t="shared" si="21"/>
        <v>0</v>
      </c>
      <c r="AJ121" s="23">
        <f t="shared" si="21"/>
        <v>0</v>
      </c>
      <c r="AK121" s="23">
        <f t="shared" si="21"/>
        <v>0</v>
      </c>
      <c r="AL121" s="23">
        <f t="shared" si="21"/>
        <v>0</v>
      </c>
      <c r="AM121" s="23">
        <f t="shared" si="21"/>
        <v>0</v>
      </c>
    </row>
    <row r="122" spans="2:39" x14ac:dyDescent="0.2">
      <c r="B122" s="21"/>
      <c r="C122" s="16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8"/>
    </row>
    <row r="123" spans="2:39" hidden="1" outlineLevel="1" x14ac:dyDescent="0.2">
      <c r="B123" s="21"/>
      <c r="C123" s="20" t="s">
        <v>293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8"/>
    </row>
    <row r="124" spans="2:39" hidden="1" outlineLevel="1" x14ac:dyDescent="0.2">
      <c r="B124" s="21">
        <v>30540</v>
      </c>
      <c r="C124" s="16" t="str">
        <f>_xlfn.XLOOKUP(B124,TB_UK!A:A,TB_UK!E:E)</f>
        <v>Profit for the year</v>
      </c>
      <c r="D124" s="17">
        <f>-_xlfn.XLOOKUP($C124,TB_UK!$E:$E,TB_UK!F:F)*D$2</f>
        <v>0</v>
      </c>
      <c r="E124" s="17">
        <f>-_xlfn.XLOOKUP($C124,TB_UK!$E:$E,TB_UK!G:G)*E$2</f>
        <v>0</v>
      </c>
      <c r="F124" s="17">
        <f>-_xlfn.XLOOKUP($C124,TB_UK!$E:$E,TB_UK!H:H)*F$2</f>
        <v>0</v>
      </c>
      <c r="G124" s="17">
        <f>-_xlfn.XLOOKUP($C124,TB_UK!$E:$E,TB_UK!I:I)*G$2</f>
        <v>-364924995.53939998</v>
      </c>
      <c r="H124" s="17">
        <f>-_xlfn.XLOOKUP($C124,TB_UK!$E:$E,TB_UK!J:J)*H$2</f>
        <v>-379007207.67719996</v>
      </c>
      <c r="I124" s="17">
        <f>-_xlfn.XLOOKUP($C124,TB_UK!$E:$E,TB_UK!K:K)*I$2</f>
        <v>-422481602.26739997</v>
      </c>
      <c r="J124" s="17">
        <f>-_xlfn.XLOOKUP($C124,TB_UK!$E:$E,TB_UK!L:L)*J$2</f>
        <v>-455282772.84899998</v>
      </c>
      <c r="K124" s="17">
        <f>-_xlfn.XLOOKUP($C124,TB_UK!$E:$E,TB_UK!M:M)*K$2</f>
        <v>-455267534.71560001</v>
      </c>
      <c r="L124" s="17">
        <f>-_xlfn.XLOOKUP($C124,TB_UK!$E:$E,TB_UK!N:N)*L$2</f>
        <v>-485536998.27659994</v>
      </c>
      <c r="M124" s="17">
        <f>-_xlfn.XLOOKUP($C124,TB_UK!$E:$E,TB_UK!O:O)*M$2</f>
        <v>-464682524.28060001</v>
      </c>
      <c r="N124" s="17">
        <f>-_xlfn.XLOOKUP($C124,TB_UK!$E:$E,TB_UK!P:P)*N$2</f>
        <v>-465601166.03699994</v>
      </c>
      <c r="O124" s="17">
        <f>-_xlfn.XLOOKUP($C124,TB_UK!$E:$E,TB_UK!Q:Q)*O$2</f>
        <v>-423088950.72719997</v>
      </c>
      <c r="P124" s="17">
        <f>-_xlfn.XLOOKUP($C124,TB_UK!$E:$E,TB_UK!R:R)*P$2</f>
        <v>-416516961.47939998</v>
      </c>
      <c r="Q124" s="17">
        <f>-_xlfn.XLOOKUP($C124,TB_UK!$E:$E,TB_UK!S:S)*Q$2</f>
        <v>-412365658.56599998</v>
      </c>
      <c r="R124" s="17">
        <f>-_xlfn.XLOOKUP($C124,TB_UK!$E:$E,TB_UK!T:T)*R$2</f>
        <v>-432403803.98699999</v>
      </c>
      <c r="S124" s="17">
        <f>-_xlfn.XLOOKUP($C124,TB_UK!$E:$E,TB_UK!U:U)*S$2</f>
        <v>-467529878.3502</v>
      </c>
      <c r="T124" s="17">
        <f>-_xlfn.XLOOKUP($C124,TB_UK!$E:$E,TB_UK!V:V)*T$2</f>
        <v>-465622934.79899997</v>
      </c>
      <c r="U124" s="17">
        <f>-_xlfn.XLOOKUP($C124,TB_UK!$E:$E,TB_UK!W:W)*U$2</f>
        <v>-460298295.61379993</v>
      </c>
      <c r="V124" s="17">
        <f>-_xlfn.XLOOKUP($C124,TB_UK!$E:$E,TB_UK!X:X)*V$2</f>
        <v>-443662607.69339997</v>
      </c>
      <c r="W124" s="17">
        <f>-_xlfn.XLOOKUP($C124,TB_UK!$E:$E,TB_UK!Y:Y)*W$2</f>
        <v>-451978274.77739996</v>
      </c>
      <c r="X124" s="17">
        <f>-_xlfn.XLOOKUP($C124,TB_UK!$E:$E,TB_UK!Z:Z)*X$2</f>
        <v>-433849249.78380001</v>
      </c>
      <c r="Y124" s="17">
        <f>-_xlfn.XLOOKUP($C124,TB_UK!$E:$E,TB_UK!AA:AA)*Y$2</f>
        <v>-415718047.91399997</v>
      </c>
      <c r="Z124" s="17">
        <f>-_xlfn.XLOOKUP($C124,TB_UK!$E:$E,TB_UK!AB:AB)*Z$2</f>
        <v>-416669342.81339997</v>
      </c>
      <c r="AA124" s="17">
        <f>-_xlfn.XLOOKUP($C124,TB_UK!$E:$E,TB_UK!AC:AC)*AA$2</f>
        <v>-425742562.815</v>
      </c>
      <c r="AB124" s="17">
        <f>-_xlfn.XLOOKUP($C124,TB_UK!$E:$E,TB_UK!AD:AD)*AB$2</f>
        <v>-414969202.50119996</v>
      </c>
      <c r="AC124" s="17">
        <f>-_xlfn.XLOOKUP($C124,TB_UK!$E:$E,TB_UK!AE:AE)*AC$2</f>
        <v>-398133241.97040004</v>
      </c>
      <c r="AD124" s="17">
        <f>-_xlfn.XLOOKUP($C124,TB_UK!$E:$E,TB_UK!AF:AF)*AD$2</f>
        <v>-397954738.12199998</v>
      </c>
      <c r="AE124" s="17">
        <f>-_xlfn.XLOOKUP($C124,TB_UK!$E:$E,TB_UK!AG:AG)*AE$2</f>
        <v>-403832303.86199999</v>
      </c>
      <c r="AF124" s="17">
        <f>-_xlfn.XLOOKUP($C124,TB_UK!$E:$E,TB_UK!AH:AH)*AF$2</f>
        <v>0</v>
      </c>
      <c r="AG124" s="17">
        <f>-_xlfn.XLOOKUP($C124,TB_UK!$E:$E,TB_UK!AI:AI)*AG$2</f>
        <v>0</v>
      </c>
      <c r="AH124" s="17">
        <f>-_xlfn.XLOOKUP($C124,TB_UK!$E:$E,TB_UK!AJ:AJ)*AH$2</f>
        <v>0</v>
      </c>
      <c r="AI124" s="17">
        <f>-_xlfn.XLOOKUP($C124,TB_UK!$E:$E,TB_UK!AK:AK)*AI$2</f>
        <v>0</v>
      </c>
      <c r="AJ124" s="17">
        <f>-_xlfn.XLOOKUP($C124,TB_UK!$E:$E,TB_UK!AL:AL)*AJ$2</f>
        <v>0</v>
      </c>
      <c r="AK124" s="17">
        <f>-_xlfn.XLOOKUP($C124,TB_UK!$E:$E,TB_UK!AM:AM)*AK$2</f>
        <v>0</v>
      </c>
      <c r="AL124" s="17">
        <f>-_xlfn.XLOOKUP($C124,TB_UK!$E:$E,TB_UK!AN:AN)*AL$2</f>
        <v>0</v>
      </c>
      <c r="AM124" s="17">
        <f>-_xlfn.XLOOKUP($C124,TB_UK!$E:$E,TB_UK!AO:AO)*AM$2</f>
        <v>0</v>
      </c>
    </row>
    <row r="125" spans="2:39" hidden="1" outlineLevel="1" x14ac:dyDescent="0.2">
      <c r="B125" s="21">
        <v>32000</v>
      </c>
      <c r="C125" s="16" t="str">
        <f>_xlfn.XLOOKUP(B125,TB_UK!A:A,TB_UK!E:E)</f>
        <v>Retained Earnings</v>
      </c>
      <c r="D125" s="17">
        <f>-_xlfn.XLOOKUP($C125,TB_UK!$E:$E,TB_UK!F:F)*D$2</f>
        <v>0</v>
      </c>
      <c r="E125" s="17">
        <f>-_xlfn.XLOOKUP($C125,TB_UK!$E:$E,TB_UK!G:G)*E$2</f>
        <v>0</v>
      </c>
      <c r="F125" s="17">
        <f>-_xlfn.XLOOKUP($C125,TB_UK!$E:$E,TB_UK!H:H)*F$2</f>
        <v>0</v>
      </c>
      <c r="G125" s="17">
        <f>-_xlfn.XLOOKUP($C125,TB_UK!$E:$E,TB_UK!I:I)*G$2</f>
        <v>-746586315.95669997</v>
      </c>
      <c r="H125" s="17">
        <f>-_xlfn.XLOOKUP($C125,TB_UK!$E:$E,TB_UK!J:J)*H$2</f>
        <v>-775396583.84459996</v>
      </c>
      <c r="I125" s="17">
        <f>-_xlfn.XLOOKUP($C125,TB_UK!$E:$E,TB_UK!K:K)*I$2</f>
        <v>-864339211.76069999</v>
      </c>
      <c r="J125" s="17">
        <f>-_xlfn.XLOOKUP($C125,TB_UK!$E:$E,TB_UK!L:L)*J$2</f>
        <v>-931445892.31949985</v>
      </c>
      <c r="K125" s="17">
        <f>-_xlfn.XLOOKUP($C125,TB_UK!$E:$E,TB_UK!M:M)*K$2</f>
        <v>-931414717.19579995</v>
      </c>
      <c r="L125" s="17">
        <f>-_xlfn.XLOOKUP($C125,TB_UK!$E:$E,TB_UK!N:N)*L$2</f>
        <v>-993341873.63129985</v>
      </c>
      <c r="M125" s="17">
        <f>-_xlfn.XLOOKUP($C125,TB_UK!$E:$E,TB_UK!O:O)*M$2</f>
        <v>-950676490.05330002</v>
      </c>
      <c r="N125" s="17">
        <f>-_xlfn.XLOOKUP($C125,TB_UK!$E:$E,TB_UK!P:P)*N$2</f>
        <v>-952555904.65349996</v>
      </c>
      <c r="O125" s="17">
        <f>-_xlfn.XLOOKUP($C125,TB_UK!$E:$E,TB_UK!Q:Q)*O$2</f>
        <v>-865581763.11959994</v>
      </c>
      <c r="P125" s="17">
        <f>-_xlfn.XLOOKUP($C125,TB_UK!$E:$E,TB_UK!R:R)*P$2</f>
        <v>-852136377.62669992</v>
      </c>
      <c r="Q125" s="17">
        <f>-_xlfn.XLOOKUP($C125,TB_UK!$E:$E,TB_UK!S:S)*Q$2</f>
        <v>-843643383.21299994</v>
      </c>
      <c r="R125" s="17">
        <f>-_xlfn.XLOOKUP($C125,TB_UK!$E:$E,TB_UK!T:T)*R$2</f>
        <v>-884638670.87849987</v>
      </c>
      <c r="S125" s="17">
        <f>-_xlfn.XLOOKUP($C125,TB_UK!$E:$E,TB_UK!U:U)*S$2</f>
        <v>-1296051191.8745999</v>
      </c>
      <c r="T125" s="17">
        <f>-_xlfn.XLOOKUP($C125,TB_UK!$E:$E,TB_UK!V:V)*T$2</f>
        <v>-1290764906.277</v>
      </c>
      <c r="U125" s="17">
        <f>-_xlfn.XLOOKUP($C125,TB_UK!$E:$E,TB_UK!W:W)*U$2</f>
        <v>-1276004341.6973999</v>
      </c>
      <c r="V125" s="17">
        <f>-_xlfn.XLOOKUP($C125,TB_UK!$E:$E,TB_UK!X:X)*V$2</f>
        <v>-1229888137.8882</v>
      </c>
      <c r="W125" s="17">
        <f>-_xlfn.XLOOKUP($C125,TB_UK!$E:$E,TB_UK!Y:Y)*W$2</f>
        <v>-1252940205.2202001</v>
      </c>
      <c r="X125" s="17">
        <f>-_xlfn.XLOOKUP($C125,TB_UK!$E:$E,TB_UK!Z:Z)*X$2</f>
        <v>-1202684284.6073999</v>
      </c>
      <c r="Y125" s="17">
        <f>-_xlfn.XLOOKUP($C125,TB_UK!$E:$E,TB_UK!AA:AA)*Y$2</f>
        <v>-1152422329.4219999</v>
      </c>
      <c r="Z125" s="17">
        <f>-_xlfn.XLOOKUP($C125,TB_UK!$E:$E,TB_UK!AB:AB)*Z$2</f>
        <v>-1155059437.6482</v>
      </c>
      <c r="AA125" s="17">
        <f>-_xlfn.XLOOKUP($C125,TB_UK!$E:$E,TB_UK!AC:AC)*AA$2</f>
        <v>-1180211536.2450001</v>
      </c>
      <c r="AB125" s="17">
        <f>-_xlfn.XLOOKUP($C125,TB_UK!$E:$E,TB_UK!AD:AD)*AB$2</f>
        <v>-1150346436.4476001</v>
      </c>
      <c r="AC125" s="17">
        <f>-_xlfn.XLOOKUP($C125,TB_UK!$E:$E,TB_UK!AE:AE)*AC$2</f>
        <v>-1103675051.9592001</v>
      </c>
      <c r="AD125" s="17">
        <f>-_xlfn.XLOOKUP($C125,TB_UK!$E:$E,TB_UK!AF:AF)*AD$2</f>
        <v>-1103180217.006</v>
      </c>
      <c r="AE125" s="17">
        <f>-_xlfn.XLOOKUP($C125,TB_UK!$E:$E,TB_UK!AG:AG)*AE$2</f>
        <v>-1522790779.8219998</v>
      </c>
      <c r="AF125" s="17">
        <f>-_xlfn.XLOOKUP($C125,TB_UK!$E:$E,TB_UK!AH:AH)*AF$2</f>
        <v>0</v>
      </c>
      <c r="AG125" s="17">
        <f>-_xlfn.XLOOKUP($C125,TB_UK!$E:$E,TB_UK!AI:AI)*AG$2</f>
        <v>0</v>
      </c>
      <c r="AH125" s="17">
        <f>-_xlfn.XLOOKUP($C125,TB_UK!$E:$E,TB_UK!AJ:AJ)*AH$2</f>
        <v>0</v>
      </c>
      <c r="AI125" s="17">
        <f>-_xlfn.XLOOKUP($C125,TB_UK!$E:$E,TB_UK!AK:AK)*AI$2</f>
        <v>0</v>
      </c>
      <c r="AJ125" s="17">
        <f>-_xlfn.XLOOKUP($C125,TB_UK!$E:$E,TB_UK!AL:AL)*AJ$2</f>
        <v>0</v>
      </c>
      <c r="AK125" s="17">
        <f>-_xlfn.XLOOKUP($C125,TB_UK!$E:$E,TB_UK!AM:AM)*AK$2</f>
        <v>0</v>
      </c>
      <c r="AL125" s="17">
        <f>-_xlfn.XLOOKUP($C125,TB_UK!$E:$E,TB_UK!AN:AN)*AL$2</f>
        <v>0</v>
      </c>
      <c r="AM125" s="17">
        <f>-_xlfn.XLOOKUP($C125,TB_UK!$E:$E,TB_UK!AO:AO)*AM$2</f>
        <v>0</v>
      </c>
    </row>
    <row r="126" spans="2:39" hidden="1" outlineLevel="1" x14ac:dyDescent="0.2">
      <c r="B126" s="21">
        <v>33000</v>
      </c>
      <c r="C126" s="16" t="str">
        <f>_xlfn.XLOOKUP(B126,TB_UK!A:A,TB_UK!E:E)</f>
        <v>Net Income</v>
      </c>
      <c r="D126" s="17">
        <f>-_xlfn.XLOOKUP($C126,TB_UK!$E:$E,TB_UK!F:F)*D$2</f>
        <v>0</v>
      </c>
      <c r="E126" s="17">
        <f>-_xlfn.XLOOKUP($C126,TB_UK!$E:$E,TB_UK!G:G)*E$2</f>
        <v>0</v>
      </c>
      <c r="F126" s="17">
        <f>-_xlfn.XLOOKUP($C126,TB_UK!$E:$E,TB_UK!H:H)*F$2</f>
        <v>0</v>
      </c>
      <c r="G126" s="17">
        <f>-_xlfn.XLOOKUP($C126,TB_UK!$E:$E,TB_UK!I:I)*G$2</f>
        <v>0</v>
      </c>
      <c r="H126" s="17">
        <f>-_xlfn.XLOOKUP($C126,TB_UK!$E:$E,TB_UK!J:J)*H$2</f>
        <v>0</v>
      </c>
      <c r="I126" s="17">
        <f>-_xlfn.XLOOKUP($C126,TB_UK!$E:$E,TB_UK!K:K)*I$2</f>
        <v>0</v>
      </c>
      <c r="J126" s="17">
        <f>-_xlfn.XLOOKUP($C126,TB_UK!$E:$E,TB_UK!L:L)*J$2</f>
        <v>0</v>
      </c>
      <c r="K126" s="17">
        <f>-_xlfn.XLOOKUP($C126,TB_UK!$E:$E,TB_UK!M:M)*K$2</f>
        <v>0</v>
      </c>
      <c r="L126" s="17">
        <f>-_xlfn.XLOOKUP($C126,TB_UK!$E:$E,TB_UK!N:N)*L$2</f>
        <v>0</v>
      </c>
      <c r="M126" s="17">
        <f>-_xlfn.XLOOKUP($C126,TB_UK!$E:$E,TB_UK!O:O)*M$2</f>
        <v>0</v>
      </c>
      <c r="N126" s="17">
        <f>-_xlfn.XLOOKUP($C126,TB_UK!$E:$E,TB_UK!P:P)*N$2</f>
        <v>0</v>
      </c>
      <c r="O126" s="17">
        <f>-_xlfn.XLOOKUP($C126,TB_UK!$E:$E,TB_UK!Q:Q)*O$2</f>
        <v>0</v>
      </c>
      <c r="P126" s="17">
        <f>-_xlfn.XLOOKUP($C126,TB_UK!$E:$E,TB_UK!R:R)*P$2</f>
        <v>0</v>
      </c>
      <c r="Q126" s="17">
        <f>-_xlfn.XLOOKUP($C126,TB_UK!$E:$E,TB_UK!S:S)*Q$2</f>
        <v>0</v>
      </c>
      <c r="R126" s="17">
        <f>-_xlfn.XLOOKUP($C126,TB_UK!$E:$E,TB_UK!T:T)*R$2</f>
        <v>0</v>
      </c>
      <c r="S126" s="17">
        <f>-_xlfn.XLOOKUP($C126,TB_UK!$E:$E,TB_UK!U:U)*S$2</f>
        <v>0</v>
      </c>
      <c r="T126" s="17">
        <f>-_xlfn.XLOOKUP($C126,TB_UK!$E:$E,TB_UK!V:V)*T$2</f>
        <v>0</v>
      </c>
      <c r="U126" s="17">
        <f>-_xlfn.XLOOKUP($C126,TB_UK!$E:$E,TB_UK!W:W)*U$2</f>
        <v>0</v>
      </c>
      <c r="V126" s="17">
        <f>-_xlfn.XLOOKUP($C126,TB_UK!$E:$E,TB_UK!X:X)*V$2</f>
        <v>0</v>
      </c>
      <c r="W126" s="17">
        <f>-_xlfn.XLOOKUP($C126,TB_UK!$E:$E,TB_UK!Y:Y)*W$2</f>
        <v>0</v>
      </c>
      <c r="X126" s="17">
        <f>-_xlfn.XLOOKUP($C126,TB_UK!$E:$E,TB_UK!Z:Z)*X$2</f>
        <v>0</v>
      </c>
      <c r="Y126" s="17">
        <f>-_xlfn.XLOOKUP($C126,TB_UK!$E:$E,TB_UK!AA:AA)*Y$2</f>
        <v>0</v>
      </c>
      <c r="Z126" s="17">
        <f>-_xlfn.XLOOKUP($C126,TB_UK!$E:$E,TB_UK!AB:AB)*Z$2</f>
        <v>0</v>
      </c>
      <c r="AA126" s="17">
        <f>-_xlfn.XLOOKUP($C126,TB_UK!$E:$E,TB_UK!AC:AC)*AA$2</f>
        <v>0</v>
      </c>
      <c r="AB126" s="17">
        <f>-_xlfn.XLOOKUP($C126,TB_UK!$E:$E,TB_UK!AD:AD)*AB$2</f>
        <v>0</v>
      </c>
      <c r="AC126" s="17">
        <f>-_xlfn.XLOOKUP($C126,TB_UK!$E:$E,TB_UK!AE:AE)*AC$2</f>
        <v>0</v>
      </c>
      <c r="AD126" s="17">
        <f>-_xlfn.XLOOKUP($C126,TB_UK!$E:$E,TB_UK!AF:AF)*AD$2</f>
        <v>0</v>
      </c>
      <c r="AE126" s="17">
        <f>-_xlfn.XLOOKUP($C126,TB_UK!$E:$E,TB_UK!AG:AG)*AE$2</f>
        <v>0</v>
      </c>
      <c r="AF126" s="17">
        <f>-_xlfn.XLOOKUP($C126,TB_UK!$E:$E,TB_UK!AH:AH)*AF$2</f>
        <v>0</v>
      </c>
      <c r="AG126" s="17">
        <f>-_xlfn.XLOOKUP($C126,TB_UK!$E:$E,TB_UK!AI:AI)*AG$2</f>
        <v>0</v>
      </c>
      <c r="AH126" s="17">
        <f>-_xlfn.XLOOKUP($C126,TB_UK!$E:$E,TB_UK!AJ:AJ)*AH$2</f>
        <v>0</v>
      </c>
      <c r="AI126" s="17">
        <f>-_xlfn.XLOOKUP($C126,TB_UK!$E:$E,TB_UK!AK:AK)*AI$2</f>
        <v>0</v>
      </c>
      <c r="AJ126" s="17">
        <f>-_xlfn.XLOOKUP($C126,TB_UK!$E:$E,TB_UK!AL:AL)*AJ$2</f>
        <v>0</v>
      </c>
      <c r="AK126" s="17">
        <f>-_xlfn.XLOOKUP($C126,TB_UK!$E:$E,TB_UK!AM:AM)*AK$2</f>
        <v>0</v>
      </c>
      <c r="AL126" s="17">
        <f>-_xlfn.XLOOKUP($C126,TB_UK!$E:$E,TB_UK!AN:AN)*AL$2</f>
        <v>0</v>
      </c>
      <c r="AM126" s="17">
        <f>-_xlfn.XLOOKUP($C126,TB_UK!$E:$E,TB_UK!AO:AO)*AM$2</f>
        <v>0</v>
      </c>
    </row>
    <row r="127" spans="2:39" hidden="1" outlineLevel="1" x14ac:dyDescent="0.2">
      <c r="B127" s="21"/>
      <c r="C127" s="16" t="s">
        <v>296</v>
      </c>
      <c r="D127" s="17">
        <f>TB_UK!F303*D$2</f>
        <v>0</v>
      </c>
      <c r="E127" s="17">
        <f>TB_UK!G303*E$2</f>
        <v>0</v>
      </c>
      <c r="F127" s="17">
        <f>TB_UK!H303*F$2</f>
        <v>0</v>
      </c>
      <c r="G127" s="17">
        <f>TB_UK!I303*G$2</f>
        <v>-12112527.616500018</v>
      </c>
      <c r="H127" s="17">
        <f>TB_UK!J303*H$2</f>
        <v>-6609272.6872000927</v>
      </c>
      <c r="I127" s="17">
        <f>TB_UK!K303*I$2</f>
        <v>-49857934.922900148</v>
      </c>
      <c r="J127" s="17">
        <f>TB_UK!L303*J$2</f>
        <v>-142546518.4455002</v>
      </c>
      <c r="K127" s="17">
        <f>TB_UK!M303*K$2</f>
        <v>-181524234.11820015</v>
      </c>
      <c r="L127" s="17">
        <f>TB_UK!N303*L$2</f>
        <v>-248794429.56500012</v>
      </c>
      <c r="M127" s="17">
        <f>TB_UK!O303*M$2</f>
        <v>-286557854.31200022</v>
      </c>
      <c r="N127" s="17">
        <f>TB_UK!P303*N$2</f>
        <v>-323068137.87150031</v>
      </c>
      <c r="O127" s="17">
        <f>TB_UK!Q303*O$2</f>
        <v>-168667248.36280012</v>
      </c>
      <c r="P127" s="17">
        <f>TB_UK!R303*P$2</f>
        <v>-208313183.98799992</v>
      </c>
      <c r="Q127" s="17">
        <f>TB_UK!S303*Q$2</f>
        <v>-237126674.4150002</v>
      </c>
      <c r="R127" s="17">
        <f>TB_UK!T303*R$2</f>
        <v>-314038657.52250004</v>
      </c>
      <c r="S127" s="17">
        <f>TB_UK!U303*S$2</f>
        <v>-57866759.953700192</v>
      </c>
      <c r="T127" s="17">
        <f>TB_UK!V303*T$2</f>
        <v>-131313028.08249994</v>
      </c>
      <c r="U127" s="17">
        <f>TB_UK!W303*U$2</f>
        <v>-204785565.37320009</v>
      </c>
      <c r="V127" s="17">
        <f>TB_UK!X303*V$2</f>
        <v>-258918756.58050004</v>
      </c>
      <c r="W127" s="17">
        <f>TB_UK!Y303*W$2</f>
        <v>-308345591.1753</v>
      </c>
      <c r="X127" s="17">
        <f>TB_UK!Z303*X$2</f>
        <v>-355138740.48060012</v>
      </c>
      <c r="Y127" s="17">
        <f>TB_UK!AA303*Y$2</f>
        <v>-427981224.65800005</v>
      </c>
      <c r="Z127" s="17">
        <f>TB_UK!AB303*Z$2</f>
        <v>-473880033.78190005</v>
      </c>
      <c r="AA127" s="17">
        <f>TB_UK!AC303*AA$2</f>
        <v>-298477255.63</v>
      </c>
      <c r="AB127" s="17">
        <f>TB_UK!AD303*AB$2</f>
        <v>-339852360.01020002</v>
      </c>
      <c r="AC127" s="17">
        <f>TB_UK!AE303*AC$2</f>
        <v>-362793093.9672001</v>
      </c>
      <c r="AD127" s="17">
        <f>TB_UK!AF303*AD$2</f>
        <v>-397447147.87600011</v>
      </c>
      <c r="AE127" s="17">
        <f>TB_UK!AG303*AE$2</f>
        <v>-35423245.805999883</v>
      </c>
      <c r="AF127" s="17">
        <f>TB_UK!AH303*AF$2</f>
        <v>0</v>
      </c>
      <c r="AG127" s="17">
        <f>TB_UK!AI303*AG$2</f>
        <v>0</v>
      </c>
      <c r="AH127" s="17">
        <f>TB_UK!AJ303*AH$2</f>
        <v>0</v>
      </c>
      <c r="AI127" s="17">
        <f>TB_UK!AK303*AI$2</f>
        <v>0</v>
      </c>
      <c r="AJ127" s="17">
        <f>TB_UK!AL303*AJ$2</f>
        <v>0</v>
      </c>
      <c r="AK127" s="17">
        <f>TB_UK!AM303*AK$2</f>
        <v>0</v>
      </c>
      <c r="AL127" s="17">
        <f>TB_UK!AN303*AL$2</f>
        <v>0</v>
      </c>
      <c r="AM127" s="17">
        <f>TB_UK!AO303*AM$2</f>
        <v>0</v>
      </c>
    </row>
    <row r="128" spans="2:39" hidden="1" outlineLevel="1" x14ac:dyDescent="0.2">
      <c r="B128" s="21"/>
      <c r="C128" s="16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</row>
    <row r="129" spans="2:39" collapsed="1" x14ac:dyDescent="0.2">
      <c r="B129" s="21"/>
      <c r="C129" s="22" t="s">
        <v>62</v>
      </c>
      <c r="D129" s="23">
        <f t="shared" ref="D129:U129" si="22">SUM(D124:D128)</f>
        <v>0</v>
      </c>
      <c r="E129" s="23">
        <f t="shared" si="22"/>
        <v>0</v>
      </c>
      <c r="F129" s="23">
        <f t="shared" si="22"/>
        <v>0</v>
      </c>
      <c r="G129" s="23">
        <f t="shared" si="22"/>
        <v>-1123623839.1125998</v>
      </c>
      <c r="H129" s="23">
        <f t="shared" si="22"/>
        <v>-1161013064.2090001</v>
      </c>
      <c r="I129" s="23">
        <f t="shared" si="22"/>
        <v>-1336678748.9510002</v>
      </c>
      <c r="J129" s="23">
        <f t="shared" si="22"/>
        <v>-1529275183.6140001</v>
      </c>
      <c r="K129" s="23">
        <f t="shared" si="22"/>
        <v>-1568206486.0295999</v>
      </c>
      <c r="L129" s="23">
        <f t="shared" si="22"/>
        <v>-1727673301.4728999</v>
      </c>
      <c r="M129" s="23">
        <f t="shared" si="22"/>
        <v>-1701916868.6459002</v>
      </c>
      <c r="N129" s="23">
        <f t="shared" si="22"/>
        <v>-1741225208.562</v>
      </c>
      <c r="O129" s="23">
        <f t="shared" si="22"/>
        <v>-1457337962.2096</v>
      </c>
      <c r="P129" s="23">
        <f t="shared" si="22"/>
        <v>-1476966523.0940998</v>
      </c>
      <c r="Q129" s="23">
        <f t="shared" si="22"/>
        <v>-1493135716.194</v>
      </c>
      <c r="R129" s="23">
        <f t="shared" si="22"/>
        <v>-1631081132.388</v>
      </c>
      <c r="S129" s="23">
        <f t="shared" si="22"/>
        <v>-1821447830.1785002</v>
      </c>
      <c r="T129" s="23">
        <f t="shared" si="22"/>
        <v>-1887700869.1585</v>
      </c>
      <c r="U129" s="23">
        <f t="shared" si="22"/>
        <v>-1941088202.6843998</v>
      </c>
      <c r="V129" s="23">
        <f>SUM(V124:V128)</f>
        <v>-1932469502.1621001</v>
      </c>
      <c r="W129" s="23">
        <f t="shared" ref="W129:AM129" si="23">SUM(W124:W128)</f>
        <v>-2013264071.1729002</v>
      </c>
      <c r="X129" s="23">
        <f t="shared" si="23"/>
        <v>-1991672274.8718002</v>
      </c>
      <c r="Y129" s="23">
        <f>SUM(Y124:Y128)</f>
        <v>-1996121601.994</v>
      </c>
      <c r="Z129" s="23">
        <f t="shared" si="23"/>
        <v>-2045608814.2435002</v>
      </c>
      <c r="AA129" s="23">
        <f t="shared" si="23"/>
        <v>-1904431354.6900001</v>
      </c>
      <c r="AB129" s="23">
        <f t="shared" si="23"/>
        <v>-1905167998.9590001</v>
      </c>
      <c r="AC129" s="23">
        <f t="shared" si="23"/>
        <v>-1864601387.8968003</v>
      </c>
      <c r="AD129" s="23">
        <f t="shared" si="23"/>
        <v>-1898582103.0040002</v>
      </c>
      <c r="AE129" s="23">
        <f t="shared" si="23"/>
        <v>-1962046329.4899998</v>
      </c>
      <c r="AF129" s="23">
        <f t="shared" si="23"/>
        <v>0</v>
      </c>
      <c r="AG129" s="23">
        <f t="shared" si="23"/>
        <v>0</v>
      </c>
      <c r="AH129" s="23">
        <f t="shared" si="23"/>
        <v>0</v>
      </c>
      <c r="AI129" s="23">
        <f t="shared" si="23"/>
        <v>0</v>
      </c>
      <c r="AJ129" s="23">
        <f t="shared" si="23"/>
        <v>0</v>
      </c>
      <c r="AK129" s="23">
        <f t="shared" si="23"/>
        <v>0</v>
      </c>
      <c r="AL129" s="23">
        <f t="shared" si="23"/>
        <v>0</v>
      </c>
      <c r="AM129" s="23">
        <f t="shared" si="23"/>
        <v>0</v>
      </c>
    </row>
    <row r="130" spans="2:39" x14ac:dyDescent="0.2">
      <c r="B130" s="21"/>
      <c r="C130" s="16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8"/>
    </row>
    <row r="131" spans="2:39" s="27" customFormat="1" x14ac:dyDescent="0.2">
      <c r="B131" s="24"/>
      <c r="C131" s="25" t="s">
        <v>297</v>
      </c>
      <c r="D131" s="26">
        <f>D121+D129</f>
        <v>0</v>
      </c>
      <c r="E131" s="26">
        <f t="shared" ref="E131:AM131" si="24">E121+E129</f>
        <v>0</v>
      </c>
      <c r="F131" s="26">
        <f t="shared" si="24"/>
        <v>0</v>
      </c>
      <c r="G131" s="26">
        <f t="shared" si="24"/>
        <v>-148671404.76869988</v>
      </c>
      <c r="H131" s="26">
        <f t="shared" si="24"/>
        <v>-148437865.81080008</v>
      </c>
      <c r="I131" s="26">
        <f t="shared" si="24"/>
        <v>-206936833.13550019</v>
      </c>
      <c r="J131" s="26">
        <f t="shared" si="24"/>
        <v>-311158297.20750022</v>
      </c>
      <c r="K131" s="26">
        <f t="shared" si="24"/>
        <v>-349651882.68079972</v>
      </c>
      <c r="L131" s="26">
        <f t="shared" si="24"/>
        <v>-294187806.36049986</v>
      </c>
      <c r="M131" s="26">
        <f t="shared" si="24"/>
        <v>-329939811.72420025</v>
      </c>
      <c r="N131" s="26">
        <f t="shared" si="24"/>
        <v>-366443652.26699996</v>
      </c>
      <c r="O131" s="26">
        <f t="shared" si="24"/>
        <v>-405638386.29760003</v>
      </c>
      <c r="P131" s="26">
        <f t="shared" si="24"/>
        <v>-322665053.22479987</v>
      </c>
      <c r="Q131" s="26">
        <f t="shared" si="24"/>
        <v>-301357007.60299993</v>
      </c>
      <c r="R131" s="26">
        <f t="shared" si="24"/>
        <v>-381265143.78299999</v>
      </c>
      <c r="S131" s="26">
        <f t="shared" si="24"/>
        <v>-362327611.47359991</v>
      </c>
      <c r="T131" s="26">
        <f t="shared" si="24"/>
        <v>-434470603.92449999</v>
      </c>
      <c r="U131" s="26">
        <f t="shared" si="24"/>
        <v>-356452562.26859999</v>
      </c>
      <c r="V131" s="26">
        <f t="shared" si="24"/>
        <v>-190216843.52950001</v>
      </c>
      <c r="W131" s="26">
        <f t="shared" si="24"/>
        <v>-238215979.97819996</v>
      </c>
      <c r="X131" s="26">
        <f t="shared" si="24"/>
        <v>-287712062.23980021</v>
      </c>
      <c r="Y131" s="26">
        <f>Y121+Y129</f>
        <v>-344799180.45299983</v>
      </c>
      <c r="Z131" s="26">
        <f t="shared" si="24"/>
        <v>-260642127.53760004</v>
      </c>
      <c r="AA131" s="26">
        <f t="shared" si="24"/>
        <v>-365568027.25750017</v>
      </c>
      <c r="AB131" s="26">
        <f t="shared" si="24"/>
        <v>-391494601.85640001</v>
      </c>
      <c r="AC131" s="26">
        <f t="shared" si="24"/>
        <v>-402234649.9380002</v>
      </c>
      <c r="AD131" s="26">
        <f t="shared" si="24"/>
        <v>-424995883.63600016</v>
      </c>
      <c r="AE131" s="26">
        <f t="shared" si="24"/>
        <v>-412703837.28599977</v>
      </c>
      <c r="AF131" s="26">
        <f t="shared" si="24"/>
        <v>0</v>
      </c>
      <c r="AG131" s="26">
        <f t="shared" si="24"/>
        <v>0</v>
      </c>
      <c r="AH131" s="26">
        <f t="shared" si="24"/>
        <v>0</v>
      </c>
      <c r="AI131" s="26">
        <f t="shared" si="24"/>
        <v>0</v>
      </c>
      <c r="AJ131" s="26">
        <f t="shared" si="24"/>
        <v>0</v>
      </c>
      <c r="AK131" s="26">
        <f t="shared" si="24"/>
        <v>0</v>
      </c>
      <c r="AL131" s="26">
        <f t="shared" si="24"/>
        <v>0</v>
      </c>
      <c r="AM131" s="26">
        <f t="shared" si="24"/>
        <v>0</v>
      </c>
    </row>
    <row r="132" spans="2:39" x14ac:dyDescent="0.2">
      <c r="B132" s="21"/>
      <c r="C132" s="16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</row>
    <row r="133" spans="2:39" s="27" customFormat="1" x14ac:dyDescent="0.2">
      <c r="B133" s="24"/>
      <c r="C133" s="42" t="s">
        <v>298</v>
      </c>
      <c r="D133" s="43">
        <f t="shared" ref="D133:AM133" si="25">D79+D114+D131</f>
        <v>0</v>
      </c>
      <c r="E133" s="43">
        <f t="shared" si="25"/>
        <v>0</v>
      </c>
      <c r="F133" s="43">
        <f t="shared" si="25"/>
        <v>0</v>
      </c>
      <c r="G133" s="43">
        <f t="shared" si="25"/>
        <v>299975967.71490008</v>
      </c>
      <c r="H133" s="43">
        <f t="shared" si="25"/>
        <v>289009727.00519985</v>
      </c>
      <c r="I133" s="43">
        <f t="shared" si="25"/>
        <v>265202824.15249979</v>
      </c>
      <c r="J133" s="43">
        <f t="shared" si="25"/>
        <v>209705926.88999981</v>
      </c>
      <c r="K133" s="43">
        <f t="shared" si="25"/>
        <v>178917119.81020027</v>
      </c>
      <c r="L133" s="43">
        <f t="shared" si="25"/>
        <v>247647497.85040009</v>
      </c>
      <c r="M133" s="43">
        <f t="shared" si="25"/>
        <v>207811054.76379979</v>
      </c>
      <c r="N133" s="43">
        <f t="shared" si="25"/>
        <v>161073328.56300008</v>
      </c>
      <c r="O133" s="43">
        <f t="shared" si="25"/>
        <v>91676928.340399921</v>
      </c>
      <c r="P133" s="43">
        <f t="shared" si="25"/>
        <v>172747213.6899001</v>
      </c>
      <c r="Q133" s="43">
        <f t="shared" si="25"/>
        <v>156321481.42900002</v>
      </c>
      <c r="R133" s="43">
        <f t="shared" si="25"/>
        <v>111450066.20949996</v>
      </c>
      <c r="S133" s="43">
        <f t="shared" si="25"/>
        <v>153175364.4672001</v>
      </c>
      <c r="T133" s="43">
        <f t="shared" si="25"/>
        <v>90277229.553499937</v>
      </c>
      <c r="U133" s="43">
        <f t="shared" si="25"/>
        <v>146064888.23429996</v>
      </c>
      <c r="V133" s="43">
        <f t="shared" si="25"/>
        <v>293756974.88159996</v>
      </c>
      <c r="W133" s="43">
        <f t="shared" si="25"/>
        <v>249657577.25370002</v>
      </c>
      <c r="X133" s="43">
        <f t="shared" si="25"/>
        <v>175644341.19929981</v>
      </c>
      <c r="Y133" s="43">
        <f>Y79+Y114+Y131</f>
        <v>102202369.75000018</v>
      </c>
      <c r="Z133" s="43">
        <f t="shared" si="25"/>
        <v>189955158.76429993</v>
      </c>
      <c r="AA133" s="43">
        <f t="shared" si="25"/>
        <v>140205703.07749987</v>
      </c>
      <c r="AB133" s="43">
        <f t="shared" si="25"/>
        <v>115923730.93379998</v>
      </c>
      <c r="AC133" s="43">
        <f t="shared" si="25"/>
        <v>101778611.56439984</v>
      </c>
      <c r="AD133" s="43">
        <f t="shared" si="25"/>
        <v>90640031.554999769</v>
      </c>
      <c r="AE133" s="43">
        <f t="shared" si="25"/>
        <v>125187045.46400023</v>
      </c>
      <c r="AF133" s="43">
        <f t="shared" si="25"/>
        <v>0</v>
      </c>
      <c r="AG133" s="43">
        <f t="shared" si="25"/>
        <v>0</v>
      </c>
      <c r="AH133" s="43">
        <f t="shared" si="25"/>
        <v>0</v>
      </c>
      <c r="AI133" s="43">
        <f t="shared" si="25"/>
        <v>0</v>
      </c>
      <c r="AJ133" s="43">
        <f t="shared" si="25"/>
        <v>0</v>
      </c>
      <c r="AK133" s="43">
        <f t="shared" si="25"/>
        <v>0</v>
      </c>
      <c r="AL133" s="43">
        <f t="shared" si="25"/>
        <v>0</v>
      </c>
      <c r="AM133" s="43">
        <f t="shared" si="25"/>
        <v>0</v>
      </c>
    </row>
    <row r="134" spans="2:39" x14ac:dyDescent="0.2">
      <c r="B134" s="21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8"/>
    </row>
    <row r="135" spans="2:39" x14ac:dyDescent="0.2">
      <c r="B135" s="21"/>
      <c r="C135" s="20"/>
      <c r="D135" s="17">
        <f t="shared" ref="D135:AM135" si="26">D72-D133</f>
        <v>0</v>
      </c>
      <c r="E135" s="17">
        <f t="shared" si="26"/>
        <v>0</v>
      </c>
      <c r="F135" s="17">
        <f t="shared" si="26"/>
        <v>0</v>
      </c>
      <c r="G135" s="17">
        <f t="shared" si="26"/>
        <v>0</v>
      </c>
      <c r="H135" s="17">
        <f t="shared" si="26"/>
        <v>0</v>
      </c>
      <c r="I135" s="17">
        <f t="shared" si="26"/>
        <v>0</v>
      </c>
      <c r="J135" s="17">
        <f t="shared" si="26"/>
        <v>0</v>
      </c>
      <c r="K135" s="17">
        <f t="shared" si="26"/>
        <v>-2.6822090148925781E-7</v>
      </c>
      <c r="L135" s="17">
        <f t="shared" si="26"/>
        <v>0</v>
      </c>
      <c r="M135" s="17">
        <f t="shared" si="26"/>
        <v>2.384185791015625E-7</v>
      </c>
      <c r="N135" s="17">
        <f t="shared" si="26"/>
        <v>0</v>
      </c>
      <c r="O135" s="17">
        <f t="shared" si="26"/>
        <v>0</v>
      </c>
      <c r="P135" s="17">
        <f t="shared" si="26"/>
        <v>0</v>
      </c>
      <c r="Q135" s="17">
        <f t="shared" si="26"/>
        <v>0</v>
      </c>
      <c r="R135" s="17">
        <f t="shared" si="26"/>
        <v>0</v>
      </c>
      <c r="S135" s="17">
        <f t="shared" si="26"/>
        <v>0</v>
      </c>
      <c r="T135" s="17">
        <f t="shared" si="26"/>
        <v>0</v>
      </c>
      <c r="U135" s="17">
        <f t="shared" si="26"/>
        <v>0</v>
      </c>
      <c r="V135" s="17">
        <f t="shared" si="26"/>
        <v>0</v>
      </c>
      <c r="W135" s="17">
        <f t="shared" si="26"/>
        <v>0</v>
      </c>
      <c r="X135" s="17">
        <f t="shared" si="26"/>
        <v>0</v>
      </c>
      <c r="Y135" s="17">
        <f>Y72-Y133</f>
        <v>-1.9371509552001953E-7</v>
      </c>
      <c r="Z135" s="17">
        <f t="shared" si="26"/>
        <v>0</v>
      </c>
      <c r="AA135" s="17">
        <f t="shared" si="26"/>
        <v>0</v>
      </c>
      <c r="AB135" s="17">
        <f t="shared" si="26"/>
        <v>0</v>
      </c>
      <c r="AC135" s="17">
        <f t="shared" si="26"/>
        <v>1.6391277313232422E-7</v>
      </c>
      <c r="AD135" s="17">
        <f t="shared" si="26"/>
        <v>2.384185791015625E-7</v>
      </c>
      <c r="AE135" s="17">
        <f t="shared" si="26"/>
        <v>-2.384185791015625E-7</v>
      </c>
      <c r="AF135" s="17">
        <f t="shared" si="26"/>
        <v>0</v>
      </c>
      <c r="AG135" s="17">
        <f t="shared" si="26"/>
        <v>0</v>
      </c>
      <c r="AH135" s="17">
        <f t="shared" si="26"/>
        <v>0</v>
      </c>
      <c r="AI135" s="17">
        <f t="shared" si="26"/>
        <v>0</v>
      </c>
      <c r="AJ135" s="17">
        <f t="shared" si="26"/>
        <v>0</v>
      </c>
      <c r="AK135" s="17">
        <f t="shared" si="26"/>
        <v>0</v>
      </c>
      <c r="AL135" s="17">
        <f t="shared" si="26"/>
        <v>0</v>
      </c>
      <c r="AM135" s="17">
        <f t="shared" si="26"/>
        <v>0</v>
      </c>
    </row>
    <row r="136" spans="2:39" x14ac:dyDescent="0.2">
      <c r="B136" s="21"/>
      <c r="C136" s="16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</row>
    <row r="137" spans="2:39" x14ac:dyDescent="0.2">
      <c r="B137" s="33"/>
      <c r="AM137" s="34"/>
    </row>
    <row r="138" spans="2:39" x14ac:dyDescent="0.2">
      <c r="B138" s="35"/>
      <c r="C138" s="36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8"/>
    </row>
    <row r="140" spans="2:39" x14ac:dyDescent="0.2">
      <c r="D140" s="45">
        <f>D127-SUM(PL_UK!$D142:D142)</f>
        <v>1128084.7674</v>
      </c>
      <c r="E140" s="45">
        <f>E127-SUM(PL_UK!$D142:E142)</f>
        <v>8385924.5453999983</v>
      </c>
      <c r="F140" s="45">
        <f>F127-SUM(PL_UK!$D142:F142)</f>
        <v>332754612.19230008</v>
      </c>
      <c r="G140" s="45">
        <f>G127-SUM(PL_UK!$D142:G142)</f>
        <v>332754276.91830003</v>
      </c>
      <c r="H140" s="45">
        <f>H127-SUM(PL_UK!$D142:H142)</f>
        <v>332286583.98820001</v>
      </c>
      <c r="I140" s="45">
        <f>I127-SUM(PL_UK!$D142:I142)</f>
        <v>331528150.33979994</v>
      </c>
      <c r="J140" s="45">
        <f>J127-SUM(PL_UK!$D142:J142)</f>
        <v>327656922.99319988</v>
      </c>
      <c r="P140" s="45">
        <f>P127-SUM(PL_UK!$P142:P142)</f>
        <v>-166047280.76309991</v>
      </c>
      <c r="Q140" s="45">
        <f>Q127-SUM(PL_UK!$P142:Q142)</f>
        <v>-163971084.09510124</v>
      </c>
      <c r="R140" s="45">
        <f>R127-SUM(PL_UK!$P142:R142)</f>
        <v>-175493815.64760107</v>
      </c>
      <c r="S140" s="45">
        <f>S127-SUM(PL_UK!$P142:S142)</f>
        <v>138544841.87489879</v>
      </c>
      <c r="T140" s="45">
        <f>T127-SUM(PL_UK!$P142:T142)</f>
        <v>138780866.67209905</v>
      </c>
      <c r="U140" s="45">
        <f>U127-SUM(PL_UK!$P142:U142)</f>
        <v>140282499.09309885</v>
      </c>
      <c r="V140" s="45">
        <f>V127-SUM(PL_UK!$P142:V142)</f>
        <v>147683675.21869889</v>
      </c>
    </row>
    <row r="141" spans="2:39" x14ac:dyDescent="0.2">
      <c r="P141">
        <f>SUM(PL_UK!$P$142:P142)</f>
        <v>-42265903.224900007</v>
      </c>
      <c r="Q141">
        <f>SUM(PL_UK!$P$142:Q142)</f>
        <v>-73155590.319898963</v>
      </c>
      <c r="R141">
        <f>SUM(PL_UK!$P$142:R142)</f>
        <v>-138544841.87489897</v>
      </c>
      <c r="S141">
        <f>SUM(PL_UK!$P$142:S142)</f>
        <v>-196411601.82859898</v>
      </c>
      <c r="T141">
        <f>SUM(PL_UK!$P$142:T142)</f>
        <v>-270093894.75459898</v>
      </c>
      <c r="U141">
        <f>SUM(PL_UK!$P$142:U142)</f>
        <v>-345068064.46629894</v>
      </c>
      <c r="V141">
        <f>SUM(PL_UK!$P$142:V142)</f>
        <v>-406602431.79919893</v>
      </c>
    </row>
  </sheetData>
  <conditionalFormatting sqref="B1:B1048576">
    <cfRule type="duplicateValues" dxfId="4" priority="1"/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0309C69A-3D7E-4D36-B718-3E8BCEF92383}">
          <x14:formula1>
            <xm:f>'FX Rate'!$B$4:$B$8</xm:f>
          </x14:formula1>
          <xm:sqref>C2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3B51-72FD-4BE9-BD87-5DC77F5573F3}">
  <sheetPr codeName="Sheet15">
    <tabColor theme="4"/>
  </sheetPr>
  <dimension ref="A1:AG743"/>
  <sheetViews>
    <sheetView showGridLines="0" zoomScale="140" zoomScaleNormal="140" workbookViewId="0">
      <pane xSplit="5" ySplit="3" topLeftCell="AA64" activePane="bottomRight" state="frozen"/>
      <selection activeCell="C2" sqref="C2"/>
      <selection pane="topRight" activeCell="C2" sqref="C2"/>
      <selection pane="bottomLeft" activeCell="C2" sqref="C2"/>
      <selection pane="bottomRight" activeCell="AG1" sqref="AG1:AG1048576"/>
    </sheetView>
  </sheetViews>
  <sheetFormatPr baseColWidth="10" defaultColWidth="8.83203125" defaultRowHeight="15" x14ac:dyDescent="0.2"/>
  <cols>
    <col min="3" max="3" width="10.5" customWidth="1"/>
    <col min="5" max="5" width="32.83203125" customWidth="1"/>
    <col min="6" max="33" width="13.83203125" customWidth="1"/>
  </cols>
  <sheetData>
    <row r="1" spans="1:33" ht="27" x14ac:dyDescent="0.2">
      <c r="A1" s="46"/>
      <c r="B1" s="46"/>
      <c r="C1" s="46"/>
      <c r="D1" s="46"/>
      <c r="E1" s="47"/>
      <c r="F1" s="46" t="s">
        <v>1718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</row>
    <row r="2" spans="1:33" x14ac:dyDescent="0.2">
      <c r="A2" s="48"/>
      <c r="B2" s="48"/>
      <c r="C2" s="48"/>
      <c r="D2" s="48"/>
      <c r="E2" s="49"/>
      <c r="F2" s="50" t="s">
        <v>1720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</row>
    <row r="3" spans="1:33" x14ac:dyDescent="0.2">
      <c r="A3" s="51" t="s">
        <v>299</v>
      </c>
      <c r="B3" s="51" t="s">
        <v>299</v>
      </c>
      <c r="C3" s="52" t="s">
        <v>300</v>
      </c>
      <c r="D3" s="52" t="s">
        <v>301</v>
      </c>
      <c r="E3" s="53" t="s">
        <v>91</v>
      </c>
      <c r="F3" s="54">
        <v>45292</v>
      </c>
      <c r="G3" s="54">
        <f t="shared" ref="G3:W3" si="0">EOMONTH(F3,1)</f>
        <v>45351</v>
      </c>
      <c r="H3" s="54">
        <f t="shared" si="0"/>
        <v>45382</v>
      </c>
      <c r="I3" s="54">
        <f t="shared" si="0"/>
        <v>45412</v>
      </c>
      <c r="J3" s="54">
        <f t="shared" si="0"/>
        <v>45443</v>
      </c>
      <c r="K3" s="54">
        <f t="shared" si="0"/>
        <v>45473</v>
      </c>
      <c r="L3" s="54">
        <f t="shared" si="0"/>
        <v>45504</v>
      </c>
      <c r="M3" s="54">
        <f t="shared" si="0"/>
        <v>45535</v>
      </c>
      <c r="N3" s="54">
        <f t="shared" si="0"/>
        <v>45565</v>
      </c>
      <c r="O3" s="54">
        <f t="shared" si="0"/>
        <v>45596</v>
      </c>
      <c r="P3" s="54">
        <f t="shared" si="0"/>
        <v>45626</v>
      </c>
      <c r="Q3" s="54">
        <f t="shared" si="0"/>
        <v>45657</v>
      </c>
      <c r="R3" s="54">
        <f t="shared" si="0"/>
        <v>45688</v>
      </c>
      <c r="S3" s="54">
        <f t="shared" si="0"/>
        <v>45716</v>
      </c>
      <c r="T3" s="54">
        <f t="shared" si="0"/>
        <v>45747</v>
      </c>
      <c r="U3" s="54">
        <f t="shared" si="0"/>
        <v>45777</v>
      </c>
      <c r="V3" s="54">
        <f t="shared" si="0"/>
        <v>45808</v>
      </c>
      <c r="W3" s="54">
        <f t="shared" si="0"/>
        <v>45838</v>
      </c>
      <c r="X3" s="54">
        <f t="shared" ref="X3:AG3" si="1">EOMONTH(W3,1)</f>
        <v>45869</v>
      </c>
      <c r="Y3" s="54">
        <f t="shared" si="1"/>
        <v>45900</v>
      </c>
      <c r="Z3" s="54">
        <f t="shared" si="1"/>
        <v>45930</v>
      </c>
      <c r="AA3" s="54">
        <f t="shared" si="1"/>
        <v>45961</v>
      </c>
      <c r="AB3" s="54">
        <f t="shared" si="1"/>
        <v>45991</v>
      </c>
      <c r="AC3" s="54">
        <f t="shared" si="1"/>
        <v>46022</v>
      </c>
      <c r="AD3" s="54">
        <f t="shared" si="1"/>
        <v>46053</v>
      </c>
      <c r="AE3" s="54">
        <f t="shared" si="1"/>
        <v>46081</v>
      </c>
      <c r="AF3" s="54">
        <f t="shared" si="1"/>
        <v>46112</v>
      </c>
      <c r="AG3" s="54">
        <f t="shared" si="1"/>
        <v>46142</v>
      </c>
    </row>
    <row r="4" spans="1:33" x14ac:dyDescent="0.2">
      <c r="A4" s="55">
        <v>10120</v>
      </c>
      <c r="B4" s="56" t="str">
        <f t="shared" ref="B4:B71" si="2">TEXT(A4,"00000")</f>
        <v>10120</v>
      </c>
      <c r="C4" s="57" t="s">
        <v>302</v>
      </c>
      <c r="D4" s="57" t="s">
        <v>303</v>
      </c>
      <c r="E4" s="44" t="s">
        <v>754</v>
      </c>
      <c r="F4" s="17">
        <f>_xlfn.XLOOKUP($B4,'[2]Jan-24'!$A:$A,'[2]Jan-24'!$H:$H,0)</f>
        <v>0</v>
      </c>
      <c r="G4" s="17">
        <f>_xlfn.XLOOKUP($B4,'[2]Feb-24'!$A:$A,'[2]Feb-24'!$H:$H,0)</f>
        <v>0</v>
      </c>
      <c r="H4" s="17">
        <f>_xlfn.XLOOKUP($B4,'[2]Mar-24'!$A:$A,'[2]Mar-24'!$H:$H,0)</f>
        <v>0</v>
      </c>
      <c r="I4" s="17">
        <f>_xlfn.XLOOKUP($B4,'[2]Apr-24'!$A:$A,'[2]Apr-24'!$H:$H,0)</f>
        <v>132940.07</v>
      </c>
      <c r="J4" s="17">
        <f>_xlfn.XLOOKUP($B4,'[2]May-24'!$A:$A,'[2]May-24'!$H:$H,0)</f>
        <v>100752.95</v>
      </c>
      <c r="K4" s="17">
        <f>_xlfn.XLOOKUP($B4,'[2]Jun-24'!$A:$A,'[2]Jun-24'!$H:$H,0)</f>
        <v>55807.29</v>
      </c>
      <c r="L4" s="17">
        <f>_xlfn.XLOOKUP($B4,'[2]Jul-24'!$A:$A,'[2]Jul-24'!$H:$H,0)</f>
        <v>15641.42</v>
      </c>
      <c r="M4" s="17">
        <f>_xlfn.XLOOKUP($B4,'[2]Aug-24'!$A:$A,'[2]Aug-24'!$H:$H,0)</f>
        <v>4921.6099999999997</v>
      </c>
      <c r="N4" s="17">
        <f>_xlfn.XLOOKUP($B4,'[2]Sep-24'!$A:$A,'[2]Sep-24'!$H:$H,0)</f>
        <v>25570.09</v>
      </c>
      <c r="O4" s="17">
        <f>_xlfn.XLOOKUP($B4,'[2]Oct-24'!$A:$A,'[2]Oct-24'!$H:$H,0)</f>
        <v>20294.13</v>
      </c>
      <c r="P4" s="17">
        <f>_xlfn.XLOOKUP($B4,'[2]Nov-24'!$A:$A,'[2]Nov-24'!$H:$H,0)</f>
        <v>13211.57</v>
      </c>
      <c r="Q4" s="17">
        <f>_xlfn.XLOOKUP($B4,'[2]Dec-24'!$A:$A,'[2]Dec-24'!$H:$H,0)</f>
        <v>4493.17</v>
      </c>
      <c r="R4" s="17">
        <f>_xlfn.XLOOKUP($B4,'[2]Jan-25'!$A:$A,'[2]Jan-25'!$H:$H,0)</f>
        <v>37933.839999999997</v>
      </c>
      <c r="S4" s="17">
        <f>_xlfn.XLOOKUP($B4,'[2]Feb-25'!$A:$A,'[2]Feb-25'!$H:$H,0)</f>
        <v>18827.560000000001</v>
      </c>
      <c r="T4" s="17">
        <f>_xlfn.XLOOKUP($B4,'[2]Mar-25'!$A:$A,'[2]Mar-25'!$H:$H,0)</f>
        <v>18237.919999999998</v>
      </c>
      <c r="U4" s="17">
        <f>_xlfn.XLOOKUP($B4,'[2]Apr-25'!$A:$A,'[2]Apr-25'!$H:$H,0)</f>
        <v>33336.18</v>
      </c>
      <c r="V4" s="17">
        <f>_xlfn.XLOOKUP($B4,'[2]May-25'!$A:$A,'[2]May-25'!$H:$H,0)</f>
        <v>4583.28</v>
      </c>
      <c r="W4" s="17">
        <f>_xlfn.XLOOKUP($B4,'[2]Jun-25'!$A:$A,'[2]Jun-25'!$H:$H,0)</f>
        <v>38418.339999999997</v>
      </c>
      <c r="X4" s="17">
        <f>_xlfn.XLOOKUP($B4,'[2]Jul-25'!$A:$A,'[2]Jul-25'!$H:$H,0)</f>
        <v>113271.21</v>
      </c>
      <c r="Y4" s="17">
        <f>_xlfn.XLOOKUP($B4,'[2]Aug-25'!$A:$A,'[2]Aug-25'!$H:$H,0)</f>
        <v>88141.47</v>
      </c>
      <c r="Z4" s="17">
        <f>_xlfn.XLOOKUP($B4,'[2]Sep-25'!$A:$A,'[2]Sep-25'!$H:$H,0)</f>
        <v>53998.35</v>
      </c>
      <c r="AA4" s="17">
        <f>_xlfn.XLOOKUP($B4,'[2]Oct-25'!$A:$A,'[2]Oct-25'!$H:$H,0)</f>
        <v>14231.53</v>
      </c>
      <c r="AB4" s="17">
        <f>_xlfn.XLOOKUP($B4,'[2]Nov-25'!$A:$A,'[2]Nov-25'!$H:$H,0)</f>
        <v>49237.79</v>
      </c>
      <c r="AC4" s="17">
        <f>_xlfn.XLOOKUP($B4,'[2]Dec-25'!$A:$A,'[2]Dec-25'!$H:$H,0)</f>
        <v>16007.47</v>
      </c>
      <c r="AD4" s="17">
        <f>_xlfn.XLOOKUP($B4,'[2]Jan-26'!$A:$A,'[2]Jan-26'!$H:$H,0)</f>
        <v>6633.33</v>
      </c>
      <c r="AE4" s="17">
        <f>_xlfn.XLOOKUP($B4,'[2]Feb-26'!$A:$A,'[2]Feb-26'!$H:$H,0)</f>
        <v>26566.43</v>
      </c>
      <c r="AF4" s="17">
        <f>_xlfn.XLOOKUP($B4,'[2]Mar-26'!$A:$A,'[2]Mar-26'!$H:$H,0)</f>
        <v>9453.7900000000009</v>
      </c>
      <c r="AG4" s="17">
        <f>_xlfn.XLOOKUP($B4,'[2]Apr-26'!$A:$A,'[2]Apr-26'!$H:$H,0)</f>
        <v>16598.45</v>
      </c>
    </row>
    <row r="5" spans="1:33" x14ac:dyDescent="0.2">
      <c r="A5" s="58">
        <v>10121</v>
      </c>
      <c r="B5" s="56" t="str">
        <f t="shared" si="2"/>
        <v>10121</v>
      </c>
      <c r="C5" s="57" t="s">
        <v>302</v>
      </c>
      <c r="D5" s="57" t="s">
        <v>303</v>
      </c>
      <c r="E5" s="44" t="s">
        <v>305</v>
      </c>
      <c r="F5" s="17">
        <f>_xlfn.XLOOKUP($B5,'[2]Jan-24'!$A:$A,'[2]Jan-24'!$H:$H,0)</f>
        <v>0</v>
      </c>
      <c r="G5" s="17">
        <f>_xlfn.XLOOKUP($B5,'[2]Feb-24'!$A:$A,'[2]Feb-24'!$H:$H,0)</f>
        <v>0</v>
      </c>
      <c r="H5" s="17">
        <f>_xlfn.XLOOKUP($B5,'[2]Mar-24'!$A:$A,'[2]Mar-24'!$H:$H,0)</f>
        <v>0</v>
      </c>
      <c r="I5" s="17">
        <f>_xlfn.XLOOKUP($B5,'[2]Apr-24'!$A:$A,'[2]Apr-24'!$H:$H,0)</f>
        <v>0</v>
      </c>
      <c r="J5" s="17">
        <f>_xlfn.XLOOKUP($B5,'[2]May-24'!$A:$A,'[2]May-24'!$H:$H,0)</f>
        <v>0</v>
      </c>
      <c r="K5" s="17">
        <f>_xlfn.XLOOKUP($B5,'[2]Jun-24'!$A:$A,'[2]Jun-24'!$H:$H,0)</f>
        <v>0</v>
      </c>
      <c r="L5" s="17">
        <f>_xlfn.XLOOKUP($B5,'[2]Jul-24'!$A:$A,'[2]Jul-24'!$H:$H,0)</f>
        <v>0</v>
      </c>
      <c r="M5" s="17">
        <f>_xlfn.XLOOKUP($B5,'[2]Aug-24'!$A:$A,'[2]Aug-24'!$H:$H,0)</f>
        <v>0</v>
      </c>
      <c r="N5" s="17">
        <f>_xlfn.XLOOKUP($B5,'[2]Sep-24'!$A:$A,'[2]Sep-24'!$H:$H,0)</f>
        <v>0</v>
      </c>
      <c r="O5" s="17">
        <f>_xlfn.XLOOKUP($B5,'[2]Oct-24'!$A:$A,'[2]Oct-24'!$H:$H,0)</f>
        <v>0</v>
      </c>
      <c r="P5" s="17">
        <f>_xlfn.XLOOKUP($B5,'[2]Nov-24'!$A:$A,'[2]Nov-24'!$H:$H,0)</f>
        <v>0</v>
      </c>
      <c r="Q5" s="17">
        <f>_xlfn.XLOOKUP($B5,'[2]Dec-24'!$A:$A,'[2]Dec-24'!$H:$H,0)</f>
        <v>0</v>
      </c>
      <c r="R5" s="17">
        <f>_xlfn.XLOOKUP($B5,'[2]Jan-25'!$A:$A,'[2]Jan-25'!$H:$H,0)</f>
        <v>0</v>
      </c>
      <c r="S5" s="17">
        <f>_xlfn.XLOOKUP($B5,'[2]Feb-25'!$A:$A,'[2]Feb-25'!$H:$H,0)</f>
        <v>0</v>
      </c>
      <c r="T5" s="17">
        <f>_xlfn.XLOOKUP($B5,'[2]Mar-25'!$A:$A,'[2]Mar-25'!$H:$H,0)</f>
        <v>0</v>
      </c>
      <c r="U5" s="17">
        <f>_xlfn.XLOOKUP($B5,'[2]Apr-25'!$A:$A,'[2]Apr-25'!$H:$H,0)</f>
        <v>0</v>
      </c>
      <c r="V5" s="17">
        <f>_xlfn.XLOOKUP($B5,'[2]May-25'!$A:$A,'[2]May-25'!$H:$H,0)</f>
        <v>0</v>
      </c>
      <c r="W5" s="17">
        <f>_xlfn.XLOOKUP($B5,'[2]Jun-25'!$A:$A,'[2]Jun-25'!$H:$H,0)</f>
        <v>0</v>
      </c>
      <c r="X5" s="17">
        <f>_xlfn.XLOOKUP($B5,'[2]Jul-25'!$A:$A,'[2]Jul-25'!$H:$H,0)</f>
        <v>0</v>
      </c>
      <c r="Y5" s="17">
        <f>_xlfn.XLOOKUP($B5,'[2]Aug-25'!$A:$A,'[2]Aug-25'!$H:$H,0)</f>
        <v>0</v>
      </c>
      <c r="Z5" s="17">
        <f>_xlfn.XLOOKUP($B5,'[2]Sep-25'!$A:$A,'[2]Sep-25'!$H:$H,0)</f>
        <v>0</v>
      </c>
      <c r="AA5" s="17">
        <f>_xlfn.XLOOKUP($B5,'[2]Oct-25'!$A:$A,'[2]Oct-25'!$H:$H,0)</f>
        <v>0</v>
      </c>
      <c r="AB5" s="17">
        <f>_xlfn.XLOOKUP($B5,'[2]Nov-25'!$A:$A,'[2]Nov-25'!$H:$H,0)</f>
        <v>0</v>
      </c>
      <c r="AC5" s="17">
        <f>_xlfn.XLOOKUP($B5,'[2]Dec-25'!$A:$A,'[2]Dec-25'!$H:$H,0)</f>
        <v>0</v>
      </c>
      <c r="AD5" s="17">
        <f>_xlfn.XLOOKUP($B5,'[2]Jan-26'!$A:$A,'[2]Jan-26'!$H:$H,0)</f>
        <v>0</v>
      </c>
      <c r="AE5" s="17">
        <f>_xlfn.XLOOKUP($B5,'[2]Feb-26'!$A:$A,'[2]Feb-26'!$H:$H,0)</f>
        <v>0</v>
      </c>
      <c r="AF5" s="17">
        <f>_xlfn.XLOOKUP($B5,'[2]Mar-26'!$A:$A,'[2]Mar-26'!$H:$H,0)</f>
        <v>0</v>
      </c>
      <c r="AG5" s="17">
        <f>_xlfn.XLOOKUP($B5,'[2]Apr-26'!$A:$A,'[2]Apr-26'!$H:$H,0)</f>
        <v>0</v>
      </c>
    </row>
    <row r="6" spans="1:33" x14ac:dyDescent="0.2">
      <c r="A6" s="46">
        <v>10400</v>
      </c>
      <c r="B6" s="46" t="s">
        <v>950</v>
      </c>
      <c r="C6" s="46" t="s">
        <v>302</v>
      </c>
      <c r="D6" s="47" t="s">
        <v>303</v>
      </c>
      <c r="E6" s="44" t="s">
        <v>1718</v>
      </c>
      <c r="F6" s="17">
        <f>_xlfn.XLOOKUP($B6,'[2]Jan-24'!$A:$A,'[2]Jan-24'!$H:$H,0)</f>
        <v>0</v>
      </c>
      <c r="G6" s="17">
        <f>_xlfn.XLOOKUP($B6,'[2]Feb-24'!$A:$A,'[2]Feb-24'!$H:$H,0)</f>
        <v>0</v>
      </c>
      <c r="H6" s="17">
        <f>_xlfn.XLOOKUP($B6,'[2]Mar-24'!$A:$A,'[2]Mar-24'!$H:$H,0)</f>
        <v>0</v>
      </c>
      <c r="I6" s="17">
        <f>_xlfn.XLOOKUP($B6,'[2]Apr-24'!$A:$A,'[2]Apr-24'!$H:$H,0)</f>
        <v>0</v>
      </c>
      <c r="J6" s="17">
        <f>_xlfn.XLOOKUP($B6,'[2]May-24'!$A:$A,'[2]May-24'!$H:$H,0)</f>
        <v>0</v>
      </c>
      <c r="K6" s="17">
        <f>_xlfn.XLOOKUP($B6,'[2]Jun-24'!$A:$A,'[2]Jun-24'!$H:$H,0)</f>
        <v>0</v>
      </c>
      <c r="L6" s="17">
        <f>_xlfn.XLOOKUP($B6,'[2]Jul-24'!$A:$A,'[2]Jul-24'!$H:$H,0)</f>
        <v>0</v>
      </c>
      <c r="M6" s="17">
        <f>_xlfn.XLOOKUP($B6,'[2]Aug-24'!$A:$A,'[2]Aug-24'!$H:$H,0)</f>
        <v>0</v>
      </c>
      <c r="N6" s="17">
        <f>_xlfn.XLOOKUP($B6,'[2]Sep-24'!$A:$A,'[2]Sep-24'!$H:$H,0)</f>
        <v>0</v>
      </c>
      <c r="O6" s="17">
        <f>_xlfn.XLOOKUP($B6,'[2]Oct-24'!$A:$A,'[2]Oct-24'!$H:$H,0)</f>
        <v>0</v>
      </c>
      <c r="P6" s="17">
        <f>_xlfn.XLOOKUP($B6,'[2]Nov-24'!$A:$A,'[2]Nov-24'!$H:$H,0)</f>
        <v>0</v>
      </c>
      <c r="Q6" s="17">
        <f>_xlfn.XLOOKUP($B6,'[2]Dec-24'!$A:$A,'[2]Dec-24'!$H:$H,0)</f>
        <v>0</v>
      </c>
      <c r="R6" s="17">
        <f>_xlfn.XLOOKUP($B6,'[2]Jan-25'!$A:$A,'[2]Jan-25'!$H:$H,0)</f>
        <v>0</v>
      </c>
      <c r="S6" s="17">
        <f>_xlfn.XLOOKUP($B6,'[2]Feb-25'!$A:$A,'[2]Feb-25'!$H:$H,0)</f>
        <v>0</v>
      </c>
      <c r="T6" s="17">
        <f>_xlfn.XLOOKUP($B6,'[2]Mar-25'!$A:$A,'[2]Mar-25'!$H:$H,0)</f>
        <v>0</v>
      </c>
      <c r="U6" s="17">
        <f>_xlfn.XLOOKUP($B6,'[2]Apr-25'!$A:$A,'[2]Apr-25'!$H:$H,0)</f>
        <v>0</v>
      </c>
      <c r="V6" s="17">
        <f>_xlfn.XLOOKUP($B6,'[2]May-25'!$A:$A,'[2]May-25'!$H:$H,0)</f>
        <v>0</v>
      </c>
      <c r="W6" s="17">
        <f>_xlfn.XLOOKUP($B6,'[2]Jun-25'!$A:$A,'[2]Jun-25'!$H:$H,0)</f>
        <v>0</v>
      </c>
      <c r="X6" s="17">
        <f>_xlfn.XLOOKUP($B6,'[2]Jul-25'!$A:$A,'[2]Jul-25'!$H:$H,0)</f>
        <v>0</v>
      </c>
      <c r="Y6" s="17">
        <f>_xlfn.XLOOKUP($B6,'[2]Aug-25'!$A:$A,'[2]Aug-25'!$H:$H,0)</f>
        <v>820.12</v>
      </c>
      <c r="Z6" s="17">
        <f>_xlfn.XLOOKUP($B6,'[2]Sep-25'!$A:$A,'[2]Sep-25'!$H:$H,0)</f>
        <v>820.12</v>
      </c>
      <c r="AA6" s="17">
        <f>_xlfn.XLOOKUP($B6,'[2]Oct-25'!$A:$A,'[2]Oct-25'!$H:$H,0)</f>
        <v>820.12</v>
      </c>
      <c r="AB6" s="17">
        <f>_xlfn.XLOOKUP($B6,'[2]Nov-25'!$A:$A,'[2]Nov-25'!$H:$H,0)</f>
        <v>820.12</v>
      </c>
      <c r="AC6" s="17">
        <f>_xlfn.XLOOKUP($B6,'[2]Dec-25'!$A:$A,'[2]Dec-25'!$H:$H,0)</f>
        <v>820.12</v>
      </c>
      <c r="AD6" s="17">
        <f>_xlfn.XLOOKUP($B6,'[2]Jan-26'!$A:$A,'[2]Jan-26'!$H:$H,0)</f>
        <v>820.12</v>
      </c>
      <c r="AE6" s="17">
        <f>_xlfn.XLOOKUP($B6,'[2]Feb-26'!$A:$A,'[2]Feb-26'!$H:$H,0)</f>
        <v>129.76</v>
      </c>
      <c r="AF6" s="17">
        <f>_xlfn.XLOOKUP($B6,'[2]Mar-26'!$A:$A,'[2]Mar-26'!$H:$H,0)</f>
        <v>129.76</v>
      </c>
      <c r="AG6" s="17">
        <f>_xlfn.XLOOKUP($B6,'[2]Apr-26'!$A:$A,'[2]Apr-26'!$H:$H,0)</f>
        <v>129.76</v>
      </c>
    </row>
    <row r="7" spans="1:33" x14ac:dyDescent="0.2">
      <c r="A7" s="48">
        <v>10401</v>
      </c>
      <c r="B7" s="48" t="s">
        <v>1719</v>
      </c>
      <c r="C7" s="48" t="s">
        <v>302</v>
      </c>
      <c r="D7" s="49" t="s">
        <v>303</v>
      </c>
      <c r="E7" s="44" t="s">
        <v>1720</v>
      </c>
      <c r="F7" s="17">
        <f>_xlfn.XLOOKUP($B7,'[2]Jan-24'!$A:$A,'[2]Jan-24'!$H:$H,0)</f>
        <v>0</v>
      </c>
      <c r="G7" s="17">
        <f>_xlfn.XLOOKUP($B7,'[2]Feb-24'!$A:$A,'[2]Feb-24'!$H:$H,0)</f>
        <v>0</v>
      </c>
      <c r="H7" s="17">
        <f>_xlfn.XLOOKUP($B7,'[2]Mar-24'!$A:$A,'[2]Mar-24'!$H:$H,0)</f>
        <v>0</v>
      </c>
      <c r="I7" s="17">
        <f>_xlfn.XLOOKUP($B7,'[2]Apr-24'!$A:$A,'[2]Apr-24'!$H:$H,0)</f>
        <v>0</v>
      </c>
      <c r="J7" s="17">
        <f>_xlfn.XLOOKUP($B7,'[2]May-24'!$A:$A,'[2]May-24'!$H:$H,0)</f>
        <v>0</v>
      </c>
      <c r="K7" s="17">
        <f>_xlfn.XLOOKUP($B7,'[2]Jun-24'!$A:$A,'[2]Jun-24'!$H:$H,0)</f>
        <v>0</v>
      </c>
      <c r="L7" s="17">
        <f>_xlfn.XLOOKUP($B7,'[2]Jul-24'!$A:$A,'[2]Jul-24'!$H:$H,0)</f>
        <v>0</v>
      </c>
      <c r="M7" s="17">
        <f>_xlfn.XLOOKUP($B7,'[2]Aug-24'!$A:$A,'[2]Aug-24'!$H:$H,0)</f>
        <v>0</v>
      </c>
      <c r="N7" s="17">
        <f>_xlfn.XLOOKUP($B7,'[2]Sep-24'!$A:$A,'[2]Sep-24'!$H:$H,0)</f>
        <v>0</v>
      </c>
      <c r="O7" s="17">
        <f>_xlfn.XLOOKUP($B7,'[2]Oct-24'!$A:$A,'[2]Oct-24'!$H:$H,0)</f>
        <v>0</v>
      </c>
      <c r="P7" s="17">
        <f>_xlfn.XLOOKUP($B7,'[2]Nov-24'!$A:$A,'[2]Nov-24'!$H:$H,0)</f>
        <v>0</v>
      </c>
      <c r="Q7" s="17">
        <f>_xlfn.XLOOKUP($B7,'[2]Dec-24'!$A:$A,'[2]Dec-24'!$H:$H,0)</f>
        <v>0</v>
      </c>
      <c r="R7" s="17">
        <f>_xlfn.XLOOKUP($B7,'[2]Jan-25'!$A:$A,'[2]Jan-25'!$H:$H,0)</f>
        <v>0</v>
      </c>
      <c r="S7" s="17">
        <f>_xlfn.XLOOKUP($B7,'[2]Feb-25'!$A:$A,'[2]Feb-25'!$H:$H,0)</f>
        <v>0</v>
      </c>
      <c r="T7" s="17">
        <f>_xlfn.XLOOKUP($B7,'[2]Mar-25'!$A:$A,'[2]Mar-25'!$H:$H,0)</f>
        <v>0</v>
      </c>
      <c r="U7" s="17">
        <f>_xlfn.XLOOKUP($B7,'[2]Apr-25'!$A:$A,'[2]Apr-25'!$H:$H,0)</f>
        <v>0</v>
      </c>
      <c r="V7" s="17">
        <f>_xlfn.XLOOKUP($B7,'[2]May-25'!$A:$A,'[2]May-25'!$H:$H,0)</f>
        <v>0</v>
      </c>
      <c r="W7" s="17">
        <f>_xlfn.XLOOKUP($B7,'[2]Jun-25'!$A:$A,'[2]Jun-25'!$H:$H,0)</f>
        <v>0</v>
      </c>
      <c r="X7" s="17">
        <f>_xlfn.XLOOKUP($B7,'[2]Jul-25'!$A:$A,'[2]Jul-25'!$H:$H,0)</f>
        <v>0</v>
      </c>
      <c r="Y7" s="17">
        <f>_xlfn.XLOOKUP($B7,'[2]Aug-25'!$A:$A,'[2]Aug-25'!$H:$H,0)</f>
        <v>0</v>
      </c>
      <c r="Z7" s="17">
        <f>_xlfn.XLOOKUP($B7,'[2]Sep-25'!$A:$A,'[2]Sep-25'!$H:$H,0)</f>
        <v>1993.82</v>
      </c>
      <c r="AA7" s="17">
        <f>_xlfn.XLOOKUP($B7,'[2]Oct-25'!$A:$A,'[2]Oct-25'!$H:$H,0)</f>
        <v>7146.13</v>
      </c>
      <c r="AB7" s="17">
        <f>_xlfn.XLOOKUP($B7,'[2]Nov-25'!$A:$A,'[2]Nov-25'!$H:$H,0)</f>
        <v>17640.48</v>
      </c>
      <c r="AC7" s="17">
        <f>_xlfn.XLOOKUP($B7,'[2]Dec-25'!$A:$A,'[2]Dec-25'!$H:$H,0)</f>
        <v>23723.48</v>
      </c>
      <c r="AD7" s="17">
        <f>_xlfn.XLOOKUP($B7,'[2]Jan-26'!$A:$A,'[2]Jan-26'!$H:$H,0)</f>
        <v>35639.339999999997</v>
      </c>
      <c r="AE7" s="17">
        <f>_xlfn.XLOOKUP($B7,'[2]Feb-26'!$A:$A,'[2]Feb-26'!$H:$H,0)</f>
        <v>10841.58</v>
      </c>
      <c r="AF7" s="17">
        <f>_xlfn.XLOOKUP($B7,'[2]Mar-26'!$A:$A,'[2]Mar-26'!$H:$H,0)</f>
        <v>21704.65</v>
      </c>
      <c r="AG7" s="17">
        <f>_xlfn.XLOOKUP($B7,'[2]Apr-26'!$A:$A,'[2]Apr-26'!$H:$H,0)</f>
        <v>31496.03</v>
      </c>
    </row>
    <row r="8" spans="1:33" x14ac:dyDescent="0.2">
      <c r="A8" s="58">
        <v>10123</v>
      </c>
      <c r="B8" s="56" t="str">
        <f t="shared" si="2"/>
        <v>10123</v>
      </c>
      <c r="C8" s="57" t="s">
        <v>302</v>
      </c>
      <c r="D8" s="57" t="s">
        <v>303</v>
      </c>
      <c r="E8" s="44" t="s">
        <v>156</v>
      </c>
      <c r="F8" s="17">
        <f>_xlfn.XLOOKUP($B8,'[2]Jan-24'!$A:$A,'[2]Jan-24'!$H:$H,0)</f>
        <v>0</v>
      </c>
      <c r="G8" s="17">
        <f>_xlfn.XLOOKUP($B8,'[2]Feb-24'!$A:$A,'[2]Feb-24'!$H:$H,0)</f>
        <v>0</v>
      </c>
      <c r="H8" s="17">
        <f>_xlfn.XLOOKUP($B8,'[2]Mar-24'!$A:$A,'[2]Mar-24'!$H:$H,0)</f>
        <v>0</v>
      </c>
      <c r="I8" s="17">
        <f>_xlfn.XLOOKUP($B8,'[2]Apr-24'!$A:$A,'[2]Apr-24'!$H:$H,0)</f>
        <v>0</v>
      </c>
      <c r="J8" s="17">
        <f>_xlfn.XLOOKUP($B8,'[2]May-24'!$A:$A,'[2]May-24'!$H:$H,0)</f>
        <v>0</v>
      </c>
      <c r="K8" s="17">
        <f>_xlfn.XLOOKUP($B8,'[2]Jun-24'!$A:$A,'[2]Jun-24'!$H:$H,0)</f>
        <v>0</v>
      </c>
      <c r="L8" s="17">
        <f>_xlfn.XLOOKUP($B8,'[2]Jul-24'!$A:$A,'[2]Jul-24'!$H:$H,0)</f>
        <v>0</v>
      </c>
      <c r="M8" s="17">
        <f>_xlfn.XLOOKUP($B8,'[2]Aug-24'!$A:$A,'[2]Aug-24'!$H:$H,0)</f>
        <v>0</v>
      </c>
      <c r="N8" s="17">
        <f>_xlfn.XLOOKUP($B8,'[2]Sep-24'!$A:$A,'[2]Sep-24'!$H:$H,0)</f>
        <v>0</v>
      </c>
      <c r="O8" s="17">
        <f>_xlfn.XLOOKUP($B8,'[2]Oct-24'!$A:$A,'[2]Oct-24'!$H:$H,0)</f>
        <v>0</v>
      </c>
      <c r="P8" s="17">
        <f>_xlfn.XLOOKUP($B8,'[2]Nov-24'!$A:$A,'[2]Nov-24'!$H:$H,0)</f>
        <v>0</v>
      </c>
      <c r="Q8" s="17">
        <f>_xlfn.XLOOKUP($B8,'[2]Dec-24'!$A:$A,'[2]Dec-24'!$H:$H,0)</f>
        <v>0</v>
      </c>
      <c r="R8" s="17">
        <f>_xlfn.XLOOKUP($B8,'[2]Jan-25'!$A:$A,'[2]Jan-25'!$H:$H,0)</f>
        <v>0</v>
      </c>
      <c r="S8" s="17">
        <f>_xlfn.XLOOKUP($B8,'[2]Feb-25'!$A:$A,'[2]Feb-25'!$H:$H,0)</f>
        <v>0</v>
      </c>
      <c r="T8" s="17">
        <f>_xlfn.XLOOKUP($B8,'[2]Mar-25'!$A:$A,'[2]Mar-25'!$H:$H,0)</f>
        <v>0</v>
      </c>
      <c r="U8" s="17">
        <f>_xlfn.XLOOKUP($B8,'[2]Apr-25'!$A:$A,'[2]Apr-25'!$H:$H,0)</f>
        <v>0</v>
      </c>
      <c r="V8" s="17">
        <f>_xlfn.XLOOKUP($B8,'[2]May-25'!$A:$A,'[2]May-25'!$H:$H,0)</f>
        <v>0</v>
      </c>
      <c r="W8" s="17">
        <f>_xlfn.XLOOKUP($B8,'[2]Jun-25'!$A:$A,'[2]Jun-25'!$H:$H,0)</f>
        <v>0</v>
      </c>
      <c r="X8" s="17">
        <f>_xlfn.XLOOKUP($B8,'[2]Jul-25'!$A:$A,'[2]Jul-25'!$H:$H,0)</f>
        <v>0</v>
      </c>
      <c r="Y8" s="17">
        <f>_xlfn.XLOOKUP($B8,'[2]Aug-25'!$A:$A,'[2]Aug-25'!$H:$H,0)</f>
        <v>0</v>
      </c>
      <c r="Z8" s="17">
        <f>_xlfn.XLOOKUP($B8,'[2]Sep-25'!$A:$A,'[2]Sep-25'!$H:$H,0)</f>
        <v>0</v>
      </c>
      <c r="AA8" s="17">
        <f>_xlfn.XLOOKUP($B8,'[2]Oct-25'!$A:$A,'[2]Oct-25'!$H:$H,0)</f>
        <v>0</v>
      </c>
      <c r="AB8" s="17">
        <f>_xlfn.XLOOKUP($B8,'[2]Nov-25'!$A:$A,'[2]Nov-25'!$H:$H,0)</f>
        <v>0</v>
      </c>
      <c r="AC8" s="17">
        <f>_xlfn.XLOOKUP($B8,'[2]Dec-25'!$A:$A,'[2]Dec-25'!$H:$H,0)</f>
        <v>0</v>
      </c>
      <c r="AD8" s="17">
        <f>_xlfn.XLOOKUP($B8,'[2]Jan-26'!$A:$A,'[2]Jan-26'!$H:$H,0)</f>
        <v>0</v>
      </c>
      <c r="AE8" s="17">
        <f>_xlfn.XLOOKUP($B8,'[2]Feb-26'!$A:$A,'[2]Feb-26'!$H:$H,0)</f>
        <v>0</v>
      </c>
      <c r="AF8" s="17">
        <f>_xlfn.XLOOKUP($B8,'[2]Mar-26'!$A:$A,'[2]Mar-26'!$H:$H,0)</f>
        <v>0</v>
      </c>
      <c r="AG8" s="17">
        <f>_xlfn.XLOOKUP($B8,'[2]Apr-26'!$A:$A,'[2]Apr-26'!$H:$H,0)</f>
        <v>0</v>
      </c>
    </row>
    <row r="9" spans="1:33" x14ac:dyDescent="0.2">
      <c r="A9" s="58">
        <v>10124</v>
      </c>
      <c r="B9" s="56" t="str">
        <f t="shared" si="2"/>
        <v>10124</v>
      </c>
      <c r="C9" s="57" t="s">
        <v>302</v>
      </c>
      <c r="D9" s="57" t="s">
        <v>303</v>
      </c>
      <c r="E9" s="44" t="s">
        <v>755</v>
      </c>
      <c r="F9" s="17">
        <f>_xlfn.XLOOKUP($B9,'[2]Jan-24'!$A:$A,'[2]Jan-24'!$H:$H,0)</f>
        <v>0</v>
      </c>
      <c r="G9" s="17">
        <f>_xlfn.XLOOKUP($B9,'[2]Feb-24'!$A:$A,'[2]Feb-24'!$H:$H,0)</f>
        <v>0</v>
      </c>
      <c r="H9" s="17">
        <f>_xlfn.XLOOKUP($B9,'[2]Mar-24'!$A:$A,'[2]Mar-24'!$H:$H,0)</f>
        <v>0</v>
      </c>
      <c r="I9" s="17">
        <f>_xlfn.XLOOKUP($B9,'[2]Apr-24'!$A:$A,'[2]Apr-24'!$H:$H,0)</f>
        <v>0</v>
      </c>
      <c r="J9" s="17">
        <f>_xlfn.XLOOKUP($B9,'[2]May-24'!$A:$A,'[2]May-24'!$H:$H,0)</f>
        <v>0</v>
      </c>
      <c r="K9" s="17">
        <f>_xlfn.XLOOKUP($B9,'[2]Jun-24'!$A:$A,'[2]Jun-24'!$H:$H,0)</f>
        <v>0</v>
      </c>
      <c r="L9" s="17">
        <f>_xlfn.XLOOKUP($B9,'[2]Jul-24'!$A:$A,'[2]Jul-24'!$H:$H,0)</f>
        <v>0</v>
      </c>
      <c r="M9" s="17">
        <f>_xlfn.XLOOKUP($B9,'[2]Aug-24'!$A:$A,'[2]Aug-24'!$H:$H,0)</f>
        <v>0</v>
      </c>
      <c r="N9" s="17">
        <f>_xlfn.XLOOKUP($B9,'[2]Sep-24'!$A:$A,'[2]Sep-24'!$H:$H,0)</f>
        <v>0</v>
      </c>
      <c r="O9" s="17">
        <f>_xlfn.XLOOKUP($B9,'[2]Oct-24'!$A:$A,'[2]Oct-24'!$H:$H,0)</f>
        <v>0</v>
      </c>
      <c r="P9" s="17">
        <f>_xlfn.XLOOKUP($B9,'[2]Nov-24'!$A:$A,'[2]Nov-24'!$H:$H,0)</f>
        <v>0</v>
      </c>
      <c r="Q9" s="17">
        <f>_xlfn.XLOOKUP($B9,'[2]Dec-24'!$A:$A,'[2]Dec-24'!$H:$H,0)</f>
        <v>0</v>
      </c>
      <c r="R9" s="17">
        <f>_xlfn.XLOOKUP($B9,'[2]Jan-25'!$A:$A,'[2]Jan-25'!$H:$H,0)</f>
        <v>0</v>
      </c>
      <c r="S9" s="17">
        <f>_xlfn.XLOOKUP($B9,'[2]Feb-25'!$A:$A,'[2]Feb-25'!$H:$H,0)</f>
        <v>0</v>
      </c>
      <c r="T9" s="17">
        <f>_xlfn.XLOOKUP($B9,'[2]Mar-25'!$A:$A,'[2]Mar-25'!$H:$H,0)</f>
        <v>0</v>
      </c>
      <c r="U9" s="17">
        <f>_xlfn.XLOOKUP($B9,'[2]Apr-25'!$A:$A,'[2]Apr-25'!$H:$H,0)</f>
        <v>0</v>
      </c>
      <c r="V9" s="17">
        <f>_xlfn.XLOOKUP($B9,'[2]May-25'!$A:$A,'[2]May-25'!$H:$H,0)</f>
        <v>0</v>
      </c>
      <c r="W9" s="17">
        <f>_xlfn.XLOOKUP($B9,'[2]Jun-25'!$A:$A,'[2]Jun-25'!$H:$H,0)</f>
        <v>0</v>
      </c>
      <c r="X9" s="17">
        <f>_xlfn.XLOOKUP($B9,'[2]Jul-25'!$A:$A,'[2]Jul-25'!$H:$H,0)</f>
        <v>0</v>
      </c>
      <c r="Y9" s="17">
        <f>_xlfn.XLOOKUP($B9,'[2]Aug-25'!$A:$A,'[2]Aug-25'!$H:$H,0)</f>
        <v>0</v>
      </c>
      <c r="Z9" s="17">
        <f>_xlfn.XLOOKUP($B9,'[2]Sep-25'!$A:$A,'[2]Sep-25'!$H:$H,0)</f>
        <v>0</v>
      </c>
      <c r="AA9" s="17">
        <f>_xlfn.XLOOKUP($B9,'[2]Oct-25'!$A:$A,'[2]Oct-25'!$H:$H,0)</f>
        <v>0</v>
      </c>
      <c r="AB9" s="17">
        <f>_xlfn.XLOOKUP($B9,'[2]Nov-25'!$A:$A,'[2]Nov-25'!$H:$H,0)</f>
        <v>0</v>
      </c>
      <c r="AC9" s="17">
        <f>_xlfn.XLOOKUP($B9,'[2]Dec-25'!$A:$A,'[2]Dec-25'!$H:$H,0)</f>
        <v>0</v>
      </c>
      <c r="AD9" s="17">
        <f>_xlfn.XLOOKUP($B9,'[2]Jan-26'!$A:$A,'[2]Jan-26'!$H:$H,0)</f>
        <v>0</v>
      </c>
      <c r="AE9" s="17">
        <f>_xlfn.XLOOKUP($B9,'[2]Feb-26'!$A:$A,'[2]Feb-26'!$H:$H,0)</f>
        <v>0</v>
      </c>
      <c r="AF9" s="17">
        <f>_xlfn.XLOOKUP($B9,'[2]Mar-26'!$A:$A,'[2]Mar-26'!$H:$H,0)</f>
        <v>0</v>
      </c>
      <c r="AG9" s="17">
        <f>_xlfn.XLOOKUP($B9,'[2]Apr-26'!$A:$A,'[2]Apr-26'!$H:$H,0)</f>
        <v>0</v>
      </c>
    </row>
    <row r="10" spans="1:33" x14ac:dyDescent="0.2">
      <c r="A10" s="58">
        <v>10300</v>
      </c>
      <c r="B10" s="56" t="str">
        <f t="shared" si="2"/>
        <v>10300</v>
      </c>
      <c r="C10" s="57" t="s">
        <v>302</v>
      </c>
      <c r="D10" s="57" t="s">
        <v>303</v>
      </c>
      <c r="E10" s="44" t="s">
        <v>756</v>
      </c>
      <c r="F10" s="17">
        <f>_xlfn.XLOOKUP($B10,'[2]Jan-24'!$A:$A,'[2]Jan-24'!$H:$H,0)</f>
        <v>0</v>
      </c>
      <c r="G10" s="17">
        <f>_xlfn.XLOOKUP($B10,'[2]Feb-24'!$A:$A,'[2]Feb-24'!$H:$H,0)</f>
        <v>0</v>
      </c>
      <c r="H10" s="17">
        <f>_xlfn.XLOOKUP($B10,'[2]Mar-24'!$A:$A,'[2]Mar-24'!$H:$H,0)</f>
        <v>0</v>
      </c>
      <c r="I10" s="17">
        <f>_xlfn.XLOOKUP($B10,'[2]Apr-24'!$A:$A,'[2]Apr-24'!$H:$H,0)</f>
        <v>21241.919999999998</v>
      </c>
      <c r="J10" s="17">
        <f>_xlfn.XLOOKUP($B10,'[2]May-24'!$A:$A,'[2]May-24'!$H:$H,0)</f>
        <v>40523.08</v>
      </c>
      <c r="K10" s="17">
        <f>_xlfn.XLOOKUP($B10,'[2]Jun-24'!$A:$A,'[2]Jun-24'!$H:$H,0)</f>
        <v>58506.83</v>
      </c>
      <c r="L10" s="17">
        <f>_xlfn.XLOOKUP($B10,'[2]Jul-24'!$A:$A,'[2]Jul-24'!$H:$H,0)</f>
        <v>71019.7</v>
      </c>
      <c r="M10" s="17">
        <f>_xlfn.XLOOKUP($B10,'[2]Aug-24'!$A:$A,'[2]Aug-24'!$H:$H,0)</f>
        <v>57958.27</v>
      </c>
      <c r="N10" s="17">
        <f>_xlfn.XLOOKUP($B10,'[2]Sep-24'!$A:$A,'[2]Sep-24'!$H:$H,0)</f>
        <v>64104.26</v>
      </c>
      <c r="O10" s="17">
        <f>_xlfn.XLOOKUP($B10,'[2]Oct-24'!$A:$A,'[2]Oct-24'!$H:$H,0)</f>
        <v>60476.97</v>
      </c>
      <c r="P10" s="17">
        <f>_xlfn.XLOOKUP($B10,'[2]Nov-24'!$A:$A,'[2]Nov-24'!$H:$H,0)</f>
        <v>41369.46</v>
      </c>
      <c r="Q10" s="17">
        <f>_xlfn.XLOOKUP($B10,'[2]Dec-24'!$A:$A,'[2]Dec-24'!$H:$H,0)</f>
        <v>23736.720000000001</v>
      </c>
      <c r="R10" s="17">
        <f>_xlfn.XLOOKUP($B10,'[2]Jan-25'!$A:$A,'[2]Jan-25'!$H:$H,0)</f>
        <v>26837.03</v>
      </c>
      <c r="S10" s="17">
        <f>_xlfn.XLOOKUP($B10,'[2]Feb-25'!$A:$A,'[2]Feb-25'!$H:$H,0)</f>
        <v>40386.660000000003</v>
      </c>
      <c r="T10" s="17">
        <f>_xlfn.XLOOKUP($B10,'[2]Mar-25'!$A:$A,'[2]Mar-25'!$H:$H,0)</f>
        <v>20398.57</v>
      </c>
      <c r="U10" s="17">
        <f>_xlfn.XLOOKUP($B10,'[2]Apr-25'!$A:$A,'[2]Apr-25'!$H:$H,0)</f>
        <v>19629.37</v>
      </c>
      <c r="V10" s="17">
        <f>_xlfn.XLOOKUP($B10,'[2]May-25'!$A:$A,'[2]May-25'!$H:$H,0)</f>
        <v>20002.830000000002</v>
      </c>
      <c r="W10" s="17">
        <f>_xlfn.XLOOKUP($B10,'[2]Jun-25'!$A:$A,'[2]Jun-25'!$H:$H,0)</f>
        <v>13755.97</v>
      </c>
      <c r="X10" s="17">
        <f>_xlfn.XLOOKUP($B10,'[2]Jul-25'!$A:$A,'[2]Jul-25'!$H:$H,0)</f>
        <v>13586.28</v>
      </c>
      <c r="Y10" s="17">
        <f>_xlfn.XLOOKUP($B10,'[2]Aug-25'!$A:$A,'[2]Aug-25'!$H:$H,0)</f>
        <v>13178.04</v>
      </c>
      <c r="Z10" s="17">
        <f>_xlfn.XLOOKUP($B10,'[2]Sep-25'!$A:$A,'[2]Sep-25'!$H:$H,0)</f>
        <v>13289.18</v>
      </c>
      <c r="AA10" s="17">
        <f>_xlfn.XLOOKUP($B10,'[2]Oct-25'!$A:$A,'[2]Oct-25'!$H:$H,0)</f>
        <v>13851.07</v>
      </c>
      <c r="AB10" s="17">
        <f>_xlfn.XLOOKUP($B10,'[2]Nov-25'!$A:$A,'[2]Nov-25'!$H:$H,0)</f>
        <v>14032.81</v>
      </c>
      <c r="AC10" s="17">
        <f>_xlfn.XLOOKUP($B10,'[2]Dec-25'!$A:$A,'[2]Dec-25'!$H:$H,0)</f>
        <v>14179.27</v>
      </c>
      <c r="AD10" s="17">
        <f>_xlfn.XLOOKUP($B10,'[2]Jan-26'!$A:$A,'[2]Jan-26'!$H:$H,0)</f>
        <v>1547.33</v>
      </c>
      <c r="AE10" s="17">
        <f>_xlfn.XLOOKUP($B10,'[2]Feb-26'!$A:$A,'[2]Feb-26'!$H:$H,0)</f>
        <v>1286.81</v>
      </c>
      <c r="AF10" s="17">
        <f>_xlfn.XLOOKUP($B10,'[2]Mar-26'!$A:$A,'[2]Mar-26'!$H:$H,0)</f>
        <v>2415.27</v>
      </c>
      <c r="AG10" s="17">
        <f>_xlfn.XLOOKUP($B10,'[2]Apr-26'!$A:$A,'[2]Apr-26'!$H:$H,0)</f>
        <v>2736.32</v>
      </c>
    </row>
    <row r="11" spans="1:33" x14ac:dyDescent="0.2">
      <c r="A11" s="58">
        <v>10400</v>
      </c>
      <c r="B11" s="56" t="str">
        <f t="shared" si="2"/>
        <v>10400</v>
      </c>
      <c r="C11" s="57" t="s">
        <v>302</v>
      </c>
      <c r="D11" s="57" t="s">
        <v>303</v>
      </c>
      <c r="E11" s="44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x14ac:dyDescent="0.2">
      <c r="A12" s="58">
        <v>10401</v>
      </c>
      <c r="B12" s="56" t="str">
        <f>TEXT(A12,"00000")</f>
        <v>10401</v>
      </c>
      <c r="C12" s="57" t="s">
        <v>302</v>
      </c>
      <c r="D12" s="57" t="s">
        <v>303</v>
      </c>
      <c r="E12" s="44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3" x14ac:dyDescent="0.2">
      <c r="A13" s="58">
        <v>10500</v>
      </c>
      <c r="B13" s="56" t="str">
        <f t="shared" si="2"/>
        <v>10500</v>
      </c>
      <c r="C13" s="57" t="s">
        <v>302</v>
      </c>
      <c r="D13" s="57" t="s">
        <v>303</v>
      </c>
      <c r="E13" s="44" t="s">
        <v>361</v>
      </c>
      <c r="F13" s="17">
        <f>_xlfn.XLOOKUP($B13,'[2]Jan-24'!$A:$A,'[2]Jan-24'!$H:$H,0)</f>
        <v>0</v>
      </c>
      <c r="G13" s="17">
        <f>_xlfn.XLOOKUP($B13,'[2]Feb-24'!$A:$A,'[2]Feb-24'!$H:$H,0)</f>
        <v>0</v>
      </c>
      <c r="H13" s="17">
        <f>_xlfn.XLOOKUP($B13,'[2]Mar-24'!$A:$A,'[2]Mar-24'!$H:$H,0)</f>
        <v>0</v>
      </c>
      <c r="I13" s="17">
        <f>_xlfn.XLOOKUP($B13,'[2]Apr-24'!$A:$A,'[2]Apr-24'!$H:$H,0)</f>
        <v>0</v>
      </c>
      <c r="J13" s="17">
        <f>_xlfn.XLOOKUP($B13,'[2]May-24'!$A:$A,'[2]May-24'!$H:$H,0)</f>
        <v>0</v>
      </c>
      <c r="K13" s="17">
        <f>_xlfn.XLOOKUP($B13,'[2]Jun-24'!$A:$A,'[2]Jun-24'!$H:$H,0)</f>
        <v>0</v>
      </c>
      <c r="L13" s="17">
        <f>_xlfn.XLOOKUP($B13,'[2]Jul-24'!$A:$A,'[2]Jul-24'!$H:$H,0)</f>
        <v>0</v>
      </c>
      <c r="M13" s="17">
        <f>_xlfn.XLOOKUP($B13,'[2]Aug-24'!$A:$A,'[2]Aug-24'!$H:$H,0)</f>
        <v>0</v>
      </c>
      <c r="N13" s="17">
        <f>_xlfn.XLOOKUP($B13,'[2]Sep-24'!$A:$A,'[2]Sep-24'!$H:$H,0)</f>
        <v>0</v>
      </c>
      <c r="O13" s="17">
        <f>_xlfn.XLOOKUP($B13,'[2]Oct-24'!$A:$A,'[2]Oct-24'!$H:$H,0)</f>
        <v>0</v>
      </c>
      <c r="P13" s="17">
        <f>_xlfn.XLOOKUP($B13,'[2]Nov-24'!$A:$A,'[2]Nov-24'!$H:$H,0)</f>
        <v>0</v>
      </c>
      <c r="Q13" s="17">
        <f>_xlfn.XLOOKUP($B13,'[2]Dec-24'!$A:$A,'[2]Dec-24'!$H:$H,0)</f>
        <v>0</v>
      </c>
      <c r="R13" s="17">
        <f>_xlfn.XLOOKUP($B13,'[2]Jan-25'!$A:$A,'[2]Jan-25'!$H:$H,0)</f>
        <v>0</v>
      </c>
      <c r="S13" s="17">
        <f>_xlfn.XLOOKUP($B13,'[2]Feb-25'!$A:$A,'[2]Feb-25'!$H:$H,0)</f>
        <v>0</v>
      </c>
      <c r="T13" s="17">
        <f>_xlfn.XLOOKUP($B13,'[2]Mar-25'!$A:$A,'[2]Mar-25'!$H:$H,0)</f>
        <v>0</v>
      </c>
      <c r="U13" s="17">
        <f>_xlfn.XLOOKUP($B13,'[2]Apr-25'!$A:$A,'[2]Apr-25'!$H:$H,0)</f>
        <v>0</v>
      </c>
      <c r="V13" s="17">
        <f>_xlfn.XLOOKUP($B13,'[2]May-25'!$A:$A,'[2]May-25'!$H:$H,0)</f>
        <v>0</v>
      </c>
      <c r="W13" s="17">
        <f>_xlfn.XLOOKUP($B13,'[2]Jun-25'!$A:$A,'[2]Jun-25'!$H:$H,0)</f>
        <v>0</v>
      </c>
      <c r="X13" s="17">
        <f>_xlfn.XLOOKUP($B13,'[2]Jul-25'!$A:$A,'[2]Jul-25'!$H:$H,0)</f>
        <v>0</v>
      </c>
      <c r="Y13" s="17">
        <f>_xlfn.XLOOKUP($B13,'[2]Aug-25'!$A:$A,'[2]Aug-25'!$H:$H,0)</f>
        <v>0</v>
      </c>
      <c r="Z13" s="17">
        <f>_xlfn.XLOOKUP($B13,'[2]Sep-25'!$A:$A,'[2]Sep-25'!$H:$H,0)</f>
        <v>0</v>
      </c>
      <c r="AA13" s="17">
        <f>_xlfn.XLOOKUP($B13,'[2]Oct-25'!$A:$A,'[2]Oct-25'!$H:$H,0)</f>
        <v>0</v>
      </c>
      <c r="AB13" s="17">
        <f>_xlfn.XLOOKUP($B13,'[2]Nov-25'!$A:$A,'[2]Nov-25'!$H:$H,0)</f>
        <v>0</v>
      </c>
      <c r="AC13" s="17">
        <f>_xlfn.XLOOKUP($B13,'[2]Dec-25'!$A:$A,'[2]Dec-25'!$H:$H,0)</f>
        <v>0</v>
      </c>
      <c r="AD13" s="17">
        <f>_xlfn.XLOOKUP($B13,'[2]Jan-26'!$A:$A,'[2]Jan-26'!$H:$H,0)</f>
        <v>0</v>
      </c>
      <c r="AE13" s="17">
        <f>_xlfn.XLOOKUP($B13,'[2]Feb-26'!$A:$A,'[2]Feb-26'!$H:$H,0)</f>
        <v>0</v>
      </c>
      <c r="AF13" s="17">
        <f>_xlfn.XLOOKUP($B13,'[2]Mar-26'!$A:$A,'[2]Mar-26'!$H:$H,0)</f>
        <v>0</v>
      </c>
      <c r="AG13" s="17">
        <f>_xlfn.XLOOKUP($B13,'[2]Apr-26'!$A:$A,'[2]Apr-26'!$H:$H,0)</f>
        <v>0</v>
      </c>
    </row>
    <row r="14" spans="1:33" x14ac:dyDescent="0.2">
      <c r="A14" s="58">
        <v>10600</v>
      </c>
      <c r="B14" s="56" t="str">
        <f t="shared" si="2"/>
        <v>10600</v>
      </c>
      <c r="C14" s="57" t="s">
        <v>302</v>
      </c>
      <c r="D14" s="57" t="s">
        <v>303</v>
      </c>
      <c r="E14" s="44" t="s">
        <v>362</v>
      </c>
      <c r="F14" s="17">
        <f>_xlfn.XLOOKUP($B14,'[2]Jan-24'!$A:$A,'[2]Jan-24'!$H:$H,0)</f>
        <v>0</v>
      </c>
      <c r="G14" s="17">
        <f>_xlfn.XLOOKUP($B14,'[2]Feb-24'!$A:$A,'[2]Feb-24'!$H:$H,0)</f>
        <v>0</v>
      </c>
      <c r="H14" s="17">
        <f>_xlfn.XLOOKUP($B14,'[2]Mar-24'!$A:$A,'[2]Mar-24'!$H:$H,0)</f>
        <v>0</v>
      </c>
      <c r="I14" s="17">
        <f>_xlfn.XLOOKUP($B14,'[2]Apr-24'!$A:$A,'[2]Apr-24'!$H:$H,0)</f>
        <v>0</v>
      </c>
      <c r="J14" s="17">
        <f>_xlfn.XLOOKUP($B14,'[2]May-24'!$A:$A,'[2]May-24'!$H:$H,0)</f>
        <v>0</v>
      </c>
      <c r="K14" s="17">
        <f>_xlfn.XLOOKUP($B14,'[2]Jun-24'!$A:$A,'[2]Jun-24'!$H:$H,0)</f>
        <v>0</v>
      </c>
      <c r="L14" s="17">
        <f>_xlfn.XLOOKUP($B14,'[2]Jul-24'!$A:$A,'[2]Jul-24'!$H:$H,0)</f>
        <v>0</v>
      </c>
      <c r="M14" s="17">
        <f>_xlfn.XLOOKUP($B14,'[2]Aug-24'!$A:$A,'[2]Aug-24'!$H:$H,0)</f>
        <v>0</v>
      </c>
      <c r="N14" s="17">
        <f>_xlfn.XLOOKUP($B14,'[2]Sep-24'!$A:$A,'[2]Sep-24'!$H:$H,0)</f>
        <v>0</v>
      </c>
      <c r="O14" s="17">
        <f>_xlfn.XLOOKUP($B14,'[2]Oct-24'!$A:$A,'[2]Oct-24'!$H:$H,0)</f>
        <v>0</v>
      </c>
      <c r="P14" s="17">
        <f>_xlfn.XLOOKUP($B14,'[2]Nov-24'!$A:$A,'[2]Nov-24'!$H:$H,0)</f>
        <v>0</v>
      </c>
      <c r="Q14" s="17">
        <f>_xlfn.XLOOKUP($B14,'[2]Dec-24'!$A:$A,'[2]Dec-24'!$H:$H,0)</f>
        <v>0</v>
      </c>
      <c r="R14" s="17">
        <f>_xlfn.XLOOKUP($B14,'[2]Jan-25'!$A:$A,'[2]Jan-25'!$H:$H,0)</f>
        <v>0</v>
      </c>
      <c r="S14" s="17">
        <f>_xlfn.XLOOKUP($B14,'[2]Feb-25'!$A:$A,'[2]Feb-25'!$H:$H,0)</f>
        <v>0</v>
      </c>
      <c r="T14" s="17">
        <f>_xlfn.XLOOKUP($B14,'[2]Mar-25'!$A:$A,'[2]Mar-25'!$H:$H,0)</f>
        <v>0</v>
      </c>
      <c r="U14" s="17">
        <f>_xlfn.XLOOKUP($B14,'[2]Apr-25'!$A:$A,'[2]Apr-25'!$H:$H,0)</f>
        <v>0</v>
      </c>
      <c r="V14" s="17">
        <f>_xlfn.XLOOKUP($B14,'[2]May-25'!$A:$A,'[2]May-25'!$H:$H,0)</f>
        <v>0</v>
      </c>
      <c r="W14" s="17">
        <f>_xlfn.XLOOKUP($B14,'[2]Jun-25'!$A:$A,'[2]Jun-25'!$H:$H,0)</f>
        <v>0</v>
      </c>
      <c r="X14" s="17">
        <f>_xlfn.XLOOKUP($B14,'[2]Jul-25'!$A:$A,'[2]Jul-25'!$H:$H,0)</f>
        <v>0</v>
      </c>
      <c r="Y14" s="17">
        <f>_xlfn.XLOOKUP($B14,'[2]Aug-25'!$A:$A,'[2]Aug-25'!$H:$H,0)</f>
        <v>0</v>
      </c>
      <c r="Z14" s="17">
        <f>_xlfn.XLOOKUP($B14,'[2]Sep-25'!$A:$A,'[2]Sep-25'!$H:$H,0)</f>
        <v>0</v>
      </c>
      <c r="AA14" s="17">
        <f>_xlfn.XLOOKUP($B14,'[2]Oct-25'!$A:$A,'[2]Oct-25'!$H:$H,0)</f>
        <v>0</v>
      </c>
      <c r="AB14" s="17">
        <f>_xlfn.XLOOKUP($B14,'[2]Nov-25'!$A:$A,'[2]Nov-25'!$H:$H,0)</f>
        <v>0</v>
      </c>
      <c r="AC14" s="17">
        <f>_xlfn.XLOOKUP($B14,'[2]Dec-25'!$A:$A,'[2]Dec-25'!$H:$H,0)</f>
        <v>0</v>
      </c>
      <c r="AD14" s="17">
        <f>_xlfn.XLOOKUP($B14,'[2]Jan-26'!$A:$A,'[2]Jan-26'!$H:$H,0)</f>
        <v>0</v>
      </c>
      <c r="AE14" s="17">
        <f>_xlfn.XLOOKUP($B14,'[2]Feb-26'!$A:$A,'[2]Feb-26'!$H:$H,0)</f>
        <v>0</v>
      </c>
      <c r="AF14" s="17">
        <f>_xlfn.XLOOKUP($B14,'[2]Mar-26'!$A:$A,'[2]Mar-26'!$H:$H,0)</f>
        <v>0</v>
      </c>
      <c r="AG14" s="17">
        <f>_xlfn.XLOOKUP($B14,'[2]Apr-26'!$A:$A,'[2]Apr-26'!$H:$H,0)</f>
        <v>0</v>
      </c>
    </row>
    <row r="15" spans="1:33" x14ac:dyDescent="0.2">
      <c r="A15" s="58">
        <v>11000</v>
      </c>
      <c r="B15" s="56" t="str">
        <f t="shared" si="2"/>
        <v>11000</v>
      </c>
      <c r="C15" s="57" t="s">
        <v>368</v>
      </c>
      <c r="D15" s="57" t="s">
        <v>303</v>
      </c>
      <c r="E15" s="44" t="s">
        <v>195</v>
      </c>
      <c r="F15" s="17">
        <f>_xlfn.XLOOKUP($B15,'[2]Jan-24'!$A:$A,'[2]Jan-24'!$H:$H,0)</f>
        <v>0</v>
      </c>
      <c r="G15" s="17">
        <f>_xlfn.XLOOKUP($B15,'[2]Feb-24'!$A:$A,'[2]Feb-24'!$H:$H,0)</f>
        <v>0</v>
      </c>
      <c r="H15" s="17">
        <f>_xlfn.XLOOKUP($B15,'[2]Mar-24'!$A:$A,'[2]Mar-24'!$H:$H,0)</f>
        <v>0</v>
      </c>
      <c r="I15" s="17">
        <f>_xlfn.XLOOKUP($B15,'[2]Apr-24'!$A:$A,'[2]Apr-24'!$H:$H,0)</f>
        <v>19799.169999999998</v>
      </c>
      <c r="J15" s="17">
        <f>_xlfn.XLOOKUP($B15,'[2]May-24'!$A:$A,'[2]May-24'!$H:$H,0)</f>
        <v>18281.11</v>
      </c>
      <c r="K15" s="17">
        <f>_xlfn.XLOOKUP($B15,'[2]Jun-24'!$A:$A,'[2]Jun-24'!$H:$H,0)</f>
        <v>15567.06</v>
      </c>
      <c r="L15" s="17">
        <f>_xlfn.XLOOKUP($B15,'[2]Jul-24'!$A:$A,'[2]Jul-24'!$H:$H,0)</f>
        <v>6745.46</v>
      </c>
      <c r="M15" s="17">
        <f>_xlfn.XLOOKUP($B15,'[2]Aug-24'!$A:$A,'[2]Aug-24'!$H:$H,0)</f>
        <v>15953.74</v>
      </c>
      <c r="N15" s="17">
        <f>_xlfn.XLOOKUP($B15,'[2]Sep-24'!$A:$A,'[2]Sep-24'!$H:$H,0)</f>
        <v>14786.21</v>
      </c>
      <c r="O15" s="17">
        <f>_xlfn.XLOOKUP($B15,'[2]Oct-24'!$A:$A,'[2]Oct-24'!$H:$H,0)</f>
        <v>10155.89</v>
      </c>
      <c r="P15" s="17">
        <f>_xlfn.XLOOKUP($B15,'[2]Nov-24'!$A:$A,'[2]Nov-24'!$H:$H,0)</f>
        <v>14447.53</v>
      </c>
      <c r="Q15" s="17">
        <f>_xlfn.XLOOKUP($B15,'[2]Dec-24'!$A:$A,'[2]Dec-24'!$H:$H,0)</f>
        <v>12805.33</v>
      </c>
      <c r="R15" s="17">
        <f>_xlfn.XLOOKUP($B15,'[2]Jan-25'!$A:$A,'[2]Jan-25'!$H:$H,0)</f>
        <v>19524.48</v>
      </c>
      <c r="S15" s="17">
        <f>_xlfn.XLOOKUP($B15,'[2]Feb-25'!$A:$A,'[2]Feb-25'!$H:$H,0)</f>
        <v>17464.47</v>
      </c>
      <c r="T15" s="17">
        <f>_xlfn.XLOOKUP($B15,'[2]Mar-25'!$A:$A,'[2]Mar-25'!$H:$H,0)</f>
        <v>11773.59</v>
      </c>
      <c r="U15" s="17">
        <f>_xlfn.XLOOKUP($B15,'[2]Apr-25'!$A:$A,'[2]Apr-25'!$H:$H,0)</f>
        <v>12802.33</v>
      </c>
      <c r="V15" s="17">
        <f>_xlfn.XLOOKUP($B15,'[2]May-25'!$A:$A,'[2]May-25'!$H:$H,0)</f>
        <v>12020.46</v>
      </c>
      <c r="W15" s="17">
        <f>_xlfn.XLOOKUP($B15,'[2]Jun-25'!$A:$A,'[2]Jun-25'!$H:$H,0)</f>
        <v>11448.68</v>
      </c>
      <c r="X15" s="17">
        <f>_xlfn.XLOOKUP($B15,'[2]Jul-25'!$A:$A,'[2]Jul-25'!$H:$H,0)</f>
        <v>11726.99</v>
      </c>
      <c r="Y15" s="17">
        <f>_xlfn.XLOOKUP($B15,'[2]Aug-25'!$A:$A,'[2]Aug-25'!$H:$H,0)</f>
        <v>12697.96</v>
      </c>
      <c r="Z15" s="17">
        <f>_xlfn.XLOOKUP($B15,'[2]Sep-25'!$A:$A,'[2]Sep-25'!$H:$H,0)</f>
        <v>12768.56</v>
      </c>
      <c r="AA15" s="17">
        <f>_xlfn.XLOOKUP($B15,'[2]Oct-25'!$A:$A,'[2]Oct-25'!$H:$H,0)</f>
        <v>12352.29</v>
      </c>
      <c r="AB15" s="17">
        <f>_xlfn.XLOOKUP($B15,'[2]Nov-25'!$A:$A,'[2]Nov-25'!$H:$H,0)</f>
        <v>12538.61</v>
      </c>
      <c r="AC15" s="17">
        <f>_xlfn.XLOOKUP($B15,'[2]Dec-25'!$A:$A,'[2]Dec-25'!$H:$H,0)</f>
        <v>12131.63</v>
      </c>
      <c r="AD15" s="17">
        <f>_xlfn.XLOOKUP($B15,'[2]Jan-26'!$A:$A,'[2]Jan-26'!$H:$H,0)</f>
        <v>11489.69</v>
      </c>
      <c r="AE15" s="17">
        <f>_xlfn.XLOOKUP($B15,'[2]Feb-26'!$A:$A,'[2]Feb-26'!$H:$H,0)</f>
        <v>12287.35</v>
      </c>
      <c r="AF15" s="17">
        <f>_xlfn.XLOOKUP($B15,'[2]Mar-26'!$A:$A,'[2]Mar-26'!$H:$H,0)</f>
        <v>11485.12</v>
      </c>
      <c r="AG15" s="17">
        <f>_xlfn.XLOOKUP($B15,'[2]Apr-26'!$A:$A,'[2]Apr-26'!$H:$H,0)</f>
        <v>11273.8</v>
      </c>
    </row>
    <row r="16" spans="1:33" x14ac:dyDescent="0.2">
      <c r="A16" s="58">
        <v>11020</v>
      </c>
      <c r="B16" s="56" t="str">
        <f t="shared" si="2"/>
        <v>11020</v>
      </c>
      <c r="C16" s="57" t="s">
        <v>371</v>
      </c>
      <c r="D16" s="57" t="s">
        <v>303</v>
      </c>
      <c r="E16" s="44" t="s">
        <v>372</v>
      </c>
      <c r="F16" s="17">
        <f>_xlfn.XLOOKUP($B16,'[2]Jan-24'!$A:$A,'[2]Jan-24'!$H:$H,0)</f>
        <v>0</v>
      </c>
      <c r="G16" s="17">
        <f>_xlfn.XLOOKUP($B16,'[2]Feb-24'!$A:$A,'[2]Feb-24'!$H:$H,0)</f>
        <v>0</v>
      </c>
      <c r="H16" s="17">
        <f>_xlfn.XLOOKUP($B16,'[2]Mar-24'!$A:$A,'[2]Mar-24'!$H:$H,0)</f>
        <v>0</v>
      </c>
      <c r="I16" s="17">
        <f>_xlfn.XLOOKUP($B16,'[2]Apr-24'!$A:$A,'[2]Apr-24'!$H:$H,0)</f>
        <v>0</v>
      </c>
      <c r="J16" s="17">
        <f>_xlfn.XLOOKUP($B16,'[2]May-24'!$A:$A,'[2]May-24'!$H:$H,0)</f>
        <v>0</v>
      </c>
      <c r="K16" s="17">
        <f>_xlfn.XLOOKUP($B16,'[2]Jun-24'!$A:$A,'[2]Jun-24'!$H:$H,0)</f>
        <v>0</v>
      </c>
      <c r="L16" s="17">
        <f>_xlfn.XLOOKUP($B16,'[2]Jul-24'!$A:$A,'[2]Jul-24'!$H:$H,0)</f>
        <v>0</v>
      </c>
      <c r="M16" s="17">
        <f>_xlfn.XLOOKUP($B16,'[2]Aug-24'!$A:$A,'[2]Aug-24'!$H:$H,0)</f>
        <v>0</v>
      </c>
      <c r="N16" s="17">
        <f>_xlfn.XLOOKUP($B16,'[2]Sep-24'!$A:$A,'[2]Sep-24'!$H:$H,0)</f>
        <v>0</v>
      </c>
      <c r="O16" s="17">
        <f>_xlfn.XLOOKUP($B16,'[2]Oct-24'!$A:$A,'[2]Oct-24'!$H:$H,0)</f>
        <v>0</v>
      </c>
      <c r="P16" s="17">
        <f>_xlfn.XLOOKUP($B16,'[2]Nov-24'!$A:$A,'[2]Nov-24'!$H:$H,0)</f>
        <v>0</v>
      </c>
      <c r="Q16" s="17">
        <f>_xlfn.XLOOKUP($B16,'[2]Dec-24'!$A:$A,'[2]Dec-24'!$H:$H,0)</f>
        <v>0</v>
      </c>
      <c r="R16" s="17">
        <f>_xlfn.XLOOKUP($B16,'[2]Jan-25'!$A:$A,'[2]Jan-25'!$H:$H,0)</f>
        <v>0</v>
      </c>
      <c r="S16" s="17">
        <f>_xlfn.XLOOKUP($B16,'[2]Feb-25'!$A:$A,'[2]Feb-25'!$H:$H,0)</f>
        <v>0</v>
      </c>
      <c r="T16" s="17">
        <f>_xlfn.XLOOKUP($B16,'[2]Mar-25'!$A:$A,'[2]Mar-25'!$H:$H,0)</f>
        <v>0</v>
      </c>
      <c r="U16" s="17">
        <f>_xlfn.XLOOKUP($B16,'[2]Apr-25'!$A:$A,'[2]Apr-25'!$H:$H,0)</f>
        <v>0</v>
      </c>
      <c r="V16" s="17">
        <f>_xlfn.XLOOKUP($B16,'[2]May-25'!$A:$A,'[2]May-25'!$H:$H,0)</f>
        <v>0</v>
      </c>
      <c r="W16" s="17">
        <f>_xlfn.XLOOKUP($B16,'[2]Jun-25'!$A:$A,'[2]Jun-25'!$H:$H,0)</f>
        <v>0</v>
      </c>
      <c r="X16" s="17">
        <f>_xlfn.XLOOKUP($B16,'[2]Jul-25'!$A:$A,'[2]Jul-25'!$H:$H,0)</f>
        <v>0</v>
      </c>
      <c r="Y16" s="17">
        <f>_xlfn.XLOOKUP($B16,'[2]Aug-25'!$A:$A,'[2]Aug-25'!$H:$H,0)</f>
        <v>0</v>
      </c>
      <c r="Z16" s="17">
        <f>_xlfn.XLOOKUP($B16,'[2]Sep-25'!$A:$A,'[2]Sep-25'!$H:$H,0)</f>
        <v>0</v>
      </c>
      <c r="AA16" s="17">
        <f>_xlfn.XLOOKUP($B16,'[2]Oct-25'!$A:$A,'[2]Oct-25'!$H:$H,0)</f>
        <v>0</v>
      </c>
      <c r="AB16" s="17">
        <f>_xlfn.XLOOKUP($B16,'[2]Nov-25'!$A:$A,'[2]Nov-25'!$H:$H,0)</f>
        <v>0</v>
      </c>
      <c r="AC16" s="17">
        <f>_xlfn.XLOOKUP($B16,'[2]Dec-25'!$A:$A,'[2]Dec-25'!$H:$H,0)</f>
        <v>0</v>
      </c>
      <c r="AD16" s="17">
        <f>_xlfn.XLOOKUP($B16,'[2]Jan-26'!$A:$A,'[2]Jan-26'!$H:$H,0)</f>
        <v>0</v>
      </c>
      <c r="AE16" s="17">
        <f>_xlfn.XLOOKUP($B16,'[2]Feb-26'!$A:$A,'[2]Feb-26'!$H:$H,0)</f>
        <v>0</v>
      </c>
      <c r="AF16" s="17">
        <f>_xlfn.XLOOKUP($B16,'[2]Mar-26'!$A:$A,'[2]Mar-26'!$H:$H,0)</f>
        <v>0</v>
      </c>
      <c r="AG16" s="17">
        <f>_xlfn.XLOOKUP($B16,'[2]Apr-26'!$A:$A,'[2]Apr-26'!$H:$H,0)</f>
        <v>0</v>
      </c>
    </row>
    <row r="17" spans="1:33" x14ac:dyDescent="0.2">
      <c r="A17" s="58">
        <v>11100</v>
      </c>
      <c r="B17" s="56" t="str">
        <f t="shared" si="2"/>
        <v>11100</v>
      </c>
      <c r="C17" s="57" t="s">
        <v>419</v>
      </c>
      <c r="D17" s="57" t="s">
        <v>303</v>
      </c>
      <c r="E17" s="44" t="s">
        <v>757</v>
      </c>
      <c r="F17" s="17">
        <f>_xlfn.XLOOKUP($B17,'[2]Jan-24'!$A:$A,'[2]Jan-24'!$H:$H,0)</f>
        <v>0</v>
      </c>
      <c r="G17" s="17">
        <f>_xlfn.XLOOKUP($B17,'[2]Feb-24'!$A:$A,'[2]Feb-24'!$H:$H,0)</f>
        <v>0</v>
      </c>
      <c r="H17" s="17">
        <f>_xlfn.XLOOKUP($B17,'[2]Mar-24'!$A:$A,'[2]Mar-24'!$H:$H,0)</f>
        <v>0</v>
      </c>
      <c r="I17" s="17">
        <f>_xlfn.XLOOKUP($B17,'[2]Apr-24'!$A:$A,'[2]Apr-24'!$H:$H,0)</f>
        <v>0</v>
      </c>
      <c r="J17" s="17">
        <f>_xlfn.XLOOKUP($B17,'[2]May-24'!$A:$A,'[2]May-24'!$H:$H,0)</f>
        <v>0</v>
      </c>
      <c r="K17" s="17">
        <f>_xlfn.XLOOKUP($B17,'[2]Jun-24'!$A:$A,'[2]Jun-24'!$H:$H,0)</f>
        <v>0</v>
      </c>
      <c r="L17" s="17">
        <f>_xlfn.XLOOKUP($B17,'[2]Jul-24'!$A:$A,'[2]Jul-24'!$H:$H,0)</f>
        <v>0</v>
      </c>
      <c r="M17" s="17">
        <f>_xlfn.XLOOKUP($B17,'[2]Aug-24'!$A:$A,'[2]Aug-24'!$H:$H,0)</f>
        <v>0</v>
      </c>
      <c r="N17" s="17">
        <f>_xlfn.XLOOKUP($B17,'[2]Sep-24'!$A:$A,'[2]Sep-24'!$H:$H,0)</f>
        <v>0</v>
      </c>
      <c r="O17" s="17">
        <f>_xlfn.XLOOKUP($B17,'[2]Oct-24'!$A:$A,'[2]Oct-24'!$H:$H,0)</f>
        <v>0</v>
      </c>
      <c r="P17" s="17">
        <f>_xlfn.XLOOKUP($B17,'[2]Nov-24'!$A:$A,'[2]Nov-24'!$H:$H,0)</f>
        <v>0</v>
      </c>
      <c r="Q17" s="17">
        <f>_xlfn.XLOOKUP($B17,'[2]Dec-24'!$A:$A,'[2]Dec-24'!$H:$H,0)</f>
        <v>0</v>
      </c>
      <c r="R17" s="17">
        <f>_xlfn.XLOOKUP($B17,'[2]Jan-25'!$A:$A,'[2]Jan-25'!$H:$H,0)</f>
        <v>0</v>
      </c>
      <c r="S17" s="17">
        <f>_xlfn.XLOOKUP($B17,'[2]Feb-25'!$A:$A,'[2]Feb-25'!$H:$H,0)</f>
        <v>0</v>
      </c>
      <c r="T17" s="17">
        <f>_xlfn.XLOOKUP($B17,'[2]Mar-25'!$A:$A,'[2]Mar-25'!$H:$H,0)</f>
        <v>0</v>
      </c>
      <c r="U17" s="17">
        <f>_xlfn.XLOOKUP($B17,'[2]Apr-25'!$A:$A,'[2]Apr-25'!$H:$H,0)</f>
        <v>0</v>
      </c>
      <c r="V17" s="17">
        <f>_xlfn.XLOOKUP($B17,'[2]May-25'!$A:$A,'[2]May-25'!$H:$H,0)</f>
        <v>0</v>
      </c>
      <c r="W17" s="17">
        <f>_xlfn.XLOOKUP($B17,'[2]Jun-25'!$A:$A,'[2]Jun-25'!$H:$H,0)</f>
        <v>0</v>
      </c>
      <c r="X17" s="17">
        <f>_xlfn.XLOOKUP($B17,'[2]Jul-25'!$A:$A,'[2]Jul-25'!$H:$H,0)</f>
        <v>0</v>
      </c>
      <c r="Y17" s="17">
        <f>_xlfn.XLOOKUP($B17,'[2]Aug-25'!$A:$A,'[2]Aug-25'!$H:$H,0)</f>
        <v>0</v>
      </c>
      <c r="Z17" s="17">
        <f>_xlfn.XLOOKUP($B17,'[2]Sep-25'!$A:$A,'[2]Sep-25'!$H:$H,0)</f>
        <v>0</v>
      </c>
      <c r="AA17" s="17">
        <f>_xlfn.XLOOKUP($B17,'[2]Oct-25'!$A:$A,'[2]Oct-25'!$H:$H,0)</f>
        <v>0</v>
      </c>
      <c r="AB17" s="17">
        <f>_xlfn.XLOOKUP($B17,'[2]Nov-25'!$A:$A,'[2]Nov-25'!$H:$H,0)</f>
        <v>0</v>
      </c>
      <c r="AC17" s="17">
        <f>_xlfn.XLOOKUP($B17,'[2]Dec-25'!$A:$A,'[2]Dec-25'!$H:$H,0)</f>
        <v>0</v>
      </c>
      <c r="AD17" s="17">
        <f>_xlfn.XLOOKUP($B17,'[2]Jan-26'!$A:$A,'[2]Jan-26'!$H:$H,0)</f>
        <v>0</v>
      </c>
      <c r="AE17" s="17">
        <f>_xlfn.XLOOKUP($B17,'[2]Feb-26'!$A:$A,'[2]Feb-26'!$H:$H,0)</f>
        <v>0</v>
      </c>
      <c r="AF17" s="17">
        <f>_xlfn.XLOOKUP($B17,'[2]Mar-26'!$A:$A,'[2]Mar-26'!$H:$H,0)</f>
        <v>0</v>
      </c>
      <c r="AG17" s="17">
        <f>_xlfn.XLOOKUP($B17,'[2]Apr-26'!$A:$A,'[2]Apr-26'!$H:$H,0)</f>
        <v>0</v>
      </c>
    </row>
    <row r="18" spans="1:33" x14ac:dyDescent="0.2">
      <c r="A18" s="58">
        <v>11520</v>
      </c>
      <c r="B18" s="56" t="str">
        <f t="shared" si="2"/>
        <v>11520</v>
      </c>
      <c r="C18" s="57" t="s">
        <v>371</v>
      </c>
      <c r="D18" s="57" t="s">
        <v>303</v>
      </c>
      <c r="E18" s="44" t="s">
        <v>758</v>
      </c>
      <c r="F18" s="17">
        <f>_xlfn.XLOOKUP($B18,'[2]Jan-24'!$A:$A,'[2]Jan-24'!$H:$H,0)</f>
        <v>0</v>
      </c>
      <c r="G18" s="17">
        <f>_xlfn.XLOOKUP($B18,'[2]Feb-24'!$A:$A,'[2]Feb-24'!$H:$H,0)</f>
        <v>0</v>
      </c>
      <c r="H18" s="17">
        <f>_xlfn.XLOOKUP($B18,'[2]Mar-24'!$A:$A,'[2]Mar-24'!$H:$H,0)</f>
        <v>0</v>
      </c>
      <c r="I18" s="17">
        <f>_xlfn.XLOOKUP($B18,'[2]Apr-24'!$A:$A,'[2]Apr-24'!$H:$H,0)</f>
        <v>0</v>
      </c>
      <c r="J18" s="17">
        <f>_xlfn.XLOOKUP($B18,'[2]May-24'!$A:$A,'[2]May-24'!$H:$H,0)</f>
        <v>0</v>
      </c>
      <c r="K18" s="17">
        <f>_xlfn.XLOOKUP($B18,'[2]Jun-24'!$A:$A,'[2]Jun-24'!$H:$H,0)</f>
        <v>0</v>
      </c>
      <c r="L18" s="17">
        <f>_xlfn.XLOOKUP($B18,'[2]Jul-24'!$A:$A,'[2]Jul-24'!$H:$H,0)</f>
        <v>0</v>
      </c>
      <c r="M18" s="17">
        <f>_xlfn.XLOOKUP($B18,'[2]Aug-24'!$A:$A,'[2]Aug-24'!$H:$H,0)</f>
        <v>0</v>
      </c>
      <c r="N18" s="17">
        <f>_xlfn.XLOOKUP($B18,'[2]Sep-24'!$A:$A,'[2]Sep-24'!$H:$H,0)</f>
        <v>0</v>
      </c>
      <c r="O18" s="17">
        <f>_xlfn.XLOOKUP($B18,'[2]Oct-24'!$A:$A,'[2]Oct-24'!$H:$H,0)</f>
        <v>0</v>
      </c>
      <c r="P18" s="17">
        <f>_xlfn.XLOOKUP($B18,'[2]Nov-24'!$A:$A,'[2]Nov-24'!$H:$H,0)</f>
        <v>0</v>
      </c>
      <c r="Q18" s="17">
        <f>_xlfn.XLOOKUP($B18,'[2]Dec-24'!$A:$A,'[2]Dec-24'!$H:$H,0)</f>
        <v>0</v>
      </c>
      <c r="R18" s="17">
        <f>_xlfn.XLOOKUP($B18,'[2]Jan-25'!$A:$A,'[2]Jan-25'!$H:$H,0)</f>
        <v>0</v>
      </c>
      <c r="S18" s="17">
        <f>_xlfn.XLOOKUP($B18,'[2]Feb-25'!$A:$A,'[2]Feb-25'!$H:$H,0)</f>
        <v>0</v>
      </c>
      <c r="T18" s="17">
        <f>_xlfn.XLOOKUP($B18,'[2]Mar-25'!$A:$A,'[2]Mar-25'!$H:$H,0)</f>
        <v>0</v>
      </c>
      <c r="U18" s="17">
        <f>_xlfn.XLOOKUP($B18,'[2]Apr-25'!$A:$A,'[2]Apr-25'!$H:$H,0)</f>
        <v>0</v>
      </c>
      <c r="V18" s="17">
        <f>_xlfn.XLOOKUP($B18,'[2]May-25'!$A:$A,'[2]May-25'!$H:$H,0)</f>
        <v>0</v>
      </c>
      <c r="W18" s="17">
        <f>_xlfn.XLOOKUP($B18,'[2]Jun-25'!$A:$A,'[2]Jun-25'!$H:$H,0)</f>
        <v>0</v>
      </c>
      <c r="X18" s="17">
        <f>_xlfn.XLOOKUP($B18,'[2]Jul-25'!$A:$A,'[2]Jul-25'!$H:$H,0)</f>
        <v>0</v>
      </c>
      <c r="Y18" s="17">
        <f>_xlfn.XLOOKUP($B18,'[2]Aug-25'!$A:$A,'[2]Aug-25'!$H:$H,0)</f>
        <v>0</v>
      </c>
      <c r="Z18" s="17">
        <f>_xlfn.XLOOKUP($B18,'[2]Sep-25'!$A:$A,'[2]Sep-25'!$H:$H,0)</f>
        <v>0</v>
      </c>
      <c r="AA18" s="17">
        <f>_xlfn.XLOOKUP($B18,'[2]Oct-25'!$A:$A,'[2]Oct-25'!$H:$H,0)</f>
        <v>0</v>
      </c>
      <c r="AB18" s="17">
        <f>_xlfn.XLOOKUP($B18,'[2]Nov-25'!$A:$A,'[2]Nov-25'!$H:$H,0)</f>
        <v>0</v>
      </c>
      <c r="AC18" s="17">
        <f>_xlfn.XLOOKUP($B18,'[2]Dec-25'!$A:$A,'[2]Dec-25'!$H:$H,0)</f>
        <v>0</v>
      </c>
      <c r="AD18" s="17">
        <f>_xlfn.XLOOKUP($B18,'[2]Jan-26'!$A:$A,'[2]Jan-26'!$H:$H,0)</f>
        <v>0</v>
      </c>
      <c r="AE18" s="17">
        <f>_xlfn.XLOOKUP($B18,'[2]Feb-26'!$A:$A,'[2]Feb-26'!$H:$H,0)</f>
        <v>0</v>
      </c>
      <c r="AF18" s="17">
        <f>_xlfn.XLOOKUP($B18,'[2]Mar-26'!$A:$A,'[2]Mar-26'!$H:$H,0)</f>
        <v>0</v>
      </c>
      <c r="AG18" s="17">
        <f>_xlfn.XLOOKUP($B18,'[2]Apr-26'!$A:$A,'[2]Apr-26'!$H:$H,0)</f>
        <v>0</v>
      </c>
    </row>
    <row r="19" spans="1:33" x14ac:dyDescent="0.2">
      <c r="A19" s="58">
        <v>11530</v>
      </c>
      <c r="B19" s="56" t="str">
        <f t="shared" si="2"/>
        <v>11530</v>
      </c>
      <c r="C19" s="57" t="s">
        <v>371</v>
      </c>
      <c r="D19" s="57" t="s">
        <v>303</v>
      </c>
      <c r="E19" s="44" t="s">
        <v>759</v>
      </c>
      <c r="F19" s="17">
        <f>_xlfn.XLOOKUP($B19,'[2]Jan-24'!$A:$A,'[2]Jan-24'!$H:$H,0)</f>
        <v>0</v>
      </c>
      <c r="G19" s="17">
        <f>_xlfn.XLOOKUP($B19,'[2]Feb-24'!$A:$A,'[2]Feb-24'!$H:$H,0)</f>
        <v>0</v>
      </c>
      <c r="H19" s="17">
        <f>_xlfn.XLOOKUP($B19,'[2]Mar-24'!$A:$A,'[2]Mar-24'!$H:$H,0)</f>
        <v>0</v>
      </c>
      <c r="I19" s="17">
        <f>_xlfn.XLOOKUP($B19,'[2]Apr-24'!$A:$A,'[2]Apr-24'!$H:$H,0)</f>
        <v>0</v>
      </c>
      <c r="J19" s="17">
        <f>_xlfn.XLOOKUP($B19,'[2]May-24'!$A:$A,'[2]May-24'!$H:$H,0)</f>
        <v>0</v>
      </c>
      <c r="K19" s="17">
        <f>_xlfn.XLOOKUP($B19,'[2]Jun-24'!$A:$A,'[2]Jun-24'!$H:$H,0)</f>
        <v>0</v>
      </c>
      <c r="L19" s="17">
        <f>_xlfn.XLOOKUP($B19,'[2]Jul-24'!$A:$A,'[2]Jul-24'!$H:$H,0)</f>
        <v>0</v>
      </c>
      <c r="M19" s="17">
        <f>_xlfn.XLOOKUP($B19,'[2]Aug-24'!$A:$A,'[2]Aug-24'!$H:$H,0)</f>
        <v>0</v>
      </c>
      <c r="N19" s="17">
        <f>_xlfn.XLOOKUP($B19,'[2]Sep-24'!$A:$A,'[2]Sep-24'!$H:$H,0)</f>
        <v>0</v>
      </c>
      <c r="O19" s="17">
        <f>_xlfn.XLOOKUP($B19,'[2]Oct-24'!$A:$A,'[2]Oct-24'!$H:$H,0)</f>
        <v>0</v>
      </c>
      <c r="P19" s="17">
        <f>_xlfn.XLOOKUP($B19,'[2]Nov-24'!$A:$A,'[2]Nov-24'!$H:$H,0)</f>
        <v>0</v>
      </c>
      <c r="Q19" s="17">
        <f>_xlfn.XLOOKUP($B19,'[2]Dec-24'!$A:$A,'[2]Dec-24'!$H:$H,0)</f>
        <v>0</v>
      </c>
      <c r="R19" s="17">
        <f>_xlfn.XLOOKUP($B19,'[2]Jan-25'!$A:$A,'[2]Jan-25'!$H:$H,0)</f>
        <v>0</v>
      </c>
      <c r="S19" s="17">
        <f>_xlfn.XLOOKUP($B19,'[2]Feb-25'!$A:$A,'[2]Feb-25'!$H:$H,0)</f>
        <v>0</v>
      </c>
      <c r="T19" s="17">
        <f>_xlfn.XLOOKUP($B19,'[2]Mar-25'!$A:$A,'[2]Mar-25'!$H:$H,0)</f>
        <v>0</v>
      </c>
      <c r="U19" s="17">
        <f>_xlfn.XLOOKUP($B19,'[2]Apr-25'!$A:$A,'[2]Apr-25'!$H:$H,0)</f>
        <v>0</v>
      </c>
      <c r="V19" s="17">
        <f>_xlfn.XLOOKUP($B19,'[2]May-25'!$A:$A,'[2]May-25'!$H:$H,0)</f>
        <v>0</v>
      </c>
      <c r="W19" s="17">
        <f>_xlfn.XLOOKUP($B19,'[2]Jun-25'!$A:$A,'[2]Jun-25'!$H:$H,0)</f>
        <v>0</v>
      </c>
      <c r="X19" s="17">
        <f>_xlfn.XLOOKUP($B19,'[2]Jul-25'!$A:$A,'[2]Jul-25'!$H:$H,0)</f>
        <v>0</v>
      </c>
      <c r="Y19" s="17">
        <f>_xlfn.XLOOKUP($B19,'[2]Aug-25'!$A:$A,'[2]Aug-25'!$H:$H,0)</f>
        <v>0</v>
      </c>
      <c r="Z19" s="17">
        <f>_xlfn.XLOOKUP($B19,'[2]Sep-25'!$A:$A,'[2]Sep-25'!$H:$H,0)</f>
        <v>0</v>
      </c>
      <c r="AA19" s="17">
        <f>_xlfn.XLOOKUP($B19,'[2]Oct-25'!$A:$A,'[2]Oct-25'!$H:$H,0)</f>
        <v>0</v>
      </c>
      <c r="AB19" s="17">
        <f>_xlfn.XLOOKUP($B19,'[2]Nov-25'!$A:$A,'[2]Nov-25'!$H:$H,0)</f>
        <v>0</v>
      </c>
      <c r="AC19" s="17">
        <f>_xlfn.XLOOKUP($B19,'[2]Dec-25'!$A:$A,'[2]Dec-25'!$H:$H,0)</f>
        <v>0</v>
      </c>
      <c r="AD19" s="17">
        <f>_xlfn.XLOOKUP($B19,'[2]Jan-26'!$A:$A,'[2]Jan-26'!$H:$H,0)</f>
        <v>0</v>
      </c>
      <c r="AE19" s="17">
        <f>_xlfn.XLOOKUP($B19,'[2]Feb-26'!$A:$A,'[2]Feb-26'!$H:$H,0)</f>
        <v>0</v>
      </c>
      <c r="AF19" s="17">
        <f>_xlfn.XLOOKUP($B19,'[2]Mar-26'!$A:$A,'[2]Mar-26'!$H:$H,0)</f>
        <v>0</v>
      </c>
      <c r="AG19" s="17">
        <f>_xlfn.XLOOKUP($B19,'[2]Apr-26'!$A:$A,'[2]Apr-26'!$H:$H,0)</f>
        <v>0</v>
      </c>
    </row>
    <row r="20" spans="1:33" x14ac:dyDescent="0.2">
      <c r="A20" s="58">
        <v>11540</v>
      </c>
      <c r="B20" s="56" t="str">
        <f t="shared" si="2"/>
        <v>11540</v>
      </c>
      <c r="C20" s="57" t="s">
        <v>371</v>
      </c>
      <c r="D20" s="57" t="s">
        <v>303</v>
      </c>
      <c r="E20" s="44" t="s">
        <v>760</v>
      </c>
      <c r="F20" s="17">
        <f>_xlfn.XLOOKUP($B20,'[2]Jan-24'!$A:$A,'[2]Jan-24'!$H:$H,0)</f>
        <v>0</v>
      </c>
      <c r="G20" s="17">
        <f>_xlfn.XLOOKUP($B20,'[2]Feb-24'!$A:$A,'[2]Feb-24'!$H:$H,0)</f>
        <v>0</v>
      </c>
      <c r="H20" s="17">
        <f>_xlfn.XLOOKUP($B20,'[2]Mar-24'!$A:$A,'[2]Mar-24'!$H:$H,0)</f>
        <v>0</v>
      </c>
      <c r="I20" s="17">
        <f>_xlfn.XLOOKUP($B20,'[2]Apr-24'!$A:$A,'[2]Apr-24'!$H:$H,0)</f>
        <v>0</v>
      </c>
      <c r="J20" s="17">
        <f>_xlfn.XLOOKUP($B20,'[2]May-24'!$A:$A,'[2]May-24'!$H:$H,0)</f>
        <v>0</v>
      </c>
      <c r="K20" s="17">
        <f>_xlfn.XLOOKUP($B20,'[2]Jun-24'!$A:$A,'[2]Jun-24'!$H:$H,0)</f>
        <v>0</v>
      </c>
      <c r="L20" s="17">
        <f>_xlfn.XLOOKUP($B20,'[2]Jul-24'!$A:$A,'[2]Jul-24'!$H:$H,0)</f>
        <v>0</v>
      </c>
      <c r="M20" s="17">
        <f>_xlfn.XLOOKUP($B20,'[2]Aug-24'!$A:$A,'[2]Aug-24'!$H:$H,0)</f>
        <v>0</v>
      </c>
      <c r="N20" s="17">
        <f>_xlfn.XLOOKUP($B20,'[2]Sep-24'!$A:$A,'[2]Sep-24'!$H:$H,0)</f>
        <v>0</v>
      </c>
      <c r="O20" s="17">
        <f>_xlfn.XLOOKUP($B20,'[2]Oct-24'!$A:$A,'[2]Oct-24'!$H:$H,0)</f>
        <v>0</v>
      </c>
      <c r="P20" s="17">
        <f>_xlfn.XLOOKUP($B20,'[2]Nov-24'!$A:$A,'[2]Nov-24'!$H:$H,0)</f>
        <v>0</v>
      </c>
      <c r="Q20" s="17">
        <f>_xlfn.XLOOKUP($B20,'[2]Dec-24'!$A:$A,'[2]Dec-24'!$H:$H,0)</f>
        <v>0</v>
      </c>
      <c r="R20" s="17">
        <f>_xlfn.XLOOKUP($B20,'[2]Jan-25'!$A:$A,'[2]Jan-25'!$H:$H,0)</f>
        <v>0</v>
      </c>
      <c r="S20" s="17">
        <f>_xlfn.XLOOKUP($B20,'[2]Feb-25'!$A:$A,'[2]Feb-25'!$H:$H,0)</f>
        <v>0</v>
      </c>
      <c r="T20" s="17">
        <f>_xlfn.XLOOKUP($B20,'[2]Mar-25'!$A:$A,'[2]Mar-25'!$H:$H,0)</f>
        <v>0</v>
      </c>
      <c r="U20" s="17">
        <f>_xlfn.XLOOKUP($B20,'[2]Apr-25'!$A:$A,'[2]Apr-25'!$H:$H,0)</f>
        <v>0</v>
      </c>
      <c r="V20" s="17">
        <f>_xlfn.XLOOKUP($B20,'[2]May-25'!$A:$A,'[2]May-25'!$H:$H,0)</f>
        <v>0</v>
      </c>
      <c r="W20" s="17">
        <f>_xlfn.XLOOKUP($B20,'[2]Jun-25'!$A:$A,'[2]Jun-25'!$H:$H,0)</f>
        <v>0</v>
      </c>
      <c r="X20" s="17">
        <f>_xlfn.XLOOKUP($B20,'[2]Jul-25'!$A:$A,'[2]Jul-25'!$H:$H,0)</f>
        <v>0</v>
      </c>
      <c r="Y20" s="17">
        <f>_xlfn.XLOOKUP($B20,'[2]Aug-25'!$A:$A,'[2]Aug-25'!$H:$H,0)</f>
        <v>0</v>
      </c>
      <c r="Z20" s="17">
        <f>_xlfn.XLOOKUP($B20,'[2]Sep-25'!$A:$A,'[2]Sep-25'!$H:$H,0)</f>
        <v>0</v>
      </c>
      <c r="AA20" s="17">
        <f>_xlfn.XLOOKUP($B20,'[2]Oct-25'!$A:$A,'[2]Oct-25'!$H:$H,0)</f>
        <v>0</v>
      </c>
      <c r="AB20" s="17">
        <f>_xlfn.XLOOKUP($B20,'[2]Nov-25'!$A:$A,'[2]Nov-25'!$H:$H,0)</f>
        <v>0</v>
      </c>
      <c r="AC20" s="17">
        <f>_xlfn.XLOOKUP($B20,'[2]Dec-25'!$A:$A,'[2]Dec-25'!$H:$H,0)</f>
        <v>0</v>
      </c>
      <c r="AD20" s="17">
        <f>_xlfn.XLOOKUP($B20,'[2]Jan-26'!$A:$A,'[2]Jan-26'!$H:$H,0)</f>
        <v>0</v>
      </c>
      <c r="AE20" s="17">
        <f>_xlfn.XLOOKUP($B20,'[2]Feb-26'!$A:$A,'[2]Feb-26'!$H:$H,0)</f>
        <v>0</v>
      </c>
      <c r="AF20" s="17">
        <f>_xlfn.XLOOKUP($B20,'[2]Mar-26'!$A:$A,'[2]Mar-26'!$H:$H,0)</f>
        <v>0</v>
      </c>
      <c r="AG20" s="17">
        <f>_xlfn.XLOOKUP($B20,'[2]Apr-26'!$A:$A,'[2]Apr-26'!$H:$H,0)</f>
        <v>0</v>
      </c>
    </row>
    <row r="21" spans="1:33" x14ac:dyDescent="0.2">
      <c r="A21" s="58">
        <v>12100</v>
      </c>
      <c r="B21" s="56" t="str">
        <f t="shared" si="2"/>
        <v>12100</v>
      </c>
      <c r="C21" s="57" t="s">
        <v>371</v>
      </c>
      <c r="D21" s="57" t="s">
        <v>303</v>
      </c>
      <c r="E21" s="44" t="s">
        <v>203</v>
      </c>
      <c r="F21" s="17">
        <f>_xlfn.XLOOKUP($B21,'[2]Jan-24'!$A:$A,'[2]Jan-24'!$H:$H,0)</f>
        <v>0</v>
      </c>
      <c r="G21" s="17">
        <f>_xlfn.XLOOKUP($B21,'[2]Feb-24'!$A:$A,'[2]Feb-24'!$H:$H,0)</f>
        <v>0</v>
      </c>
      <c r="H21" s="17">
        <f>_xlfn.XLOOKUP($B21,'[2]Mar-24'!$A:$A,'[2]Mar-24'!$H:$H,0)</f>
        <v>0</v>
      </c>
      <c r="I21" s="17">
        <f>_xlfn.XLOOKUP($B21,'[2]Apr-24'!$A:$A,'[2]Apr-24'!$H:$H,0)</f>
        <v>1868.17</v>
      </c>
      <c r="J21" s="17">
        <f>_xlfn.XLOOKUP($B21,'[2]May-24'!$A:$A,'[2]May-24'!$H:$H,0)</f>
        <v>1868.17</v>
      </c>
      <c r="K21" s="17">
        <f>_xlfn.XLOOKUP($B21,'[2]Jun-24'!$A:$A,'[2]Jun-24'!$H:$H,0)</f>
        <v>1868.17</v>
      </c>
      <c r="L21" s="17">
        <f>_xlfn.XLOOKUP($B21,'[2]Jul-24'!$A:$A,'[2]Jul-24'!$H:$H,0)</f>
        <v>1868.17</v>
      </c>
      <c r="M21" s="17">
        <f>_xlfn.XLOOKUP($B21,'[2]Aug-24'!$A:$A,'[2]Aug-24'!$H:$H,0)</f>
        <v>1868.17</v>
      </c>
      <c r="N21" s="17">
        <f>_xlfn.XLOOKUP($B21,'[2]Sep-24'!$A:$A,'[2]Sep-24'!$H:$H,0)</f>
        <v>1868.17</v>
      </c>
      <c r="O21" s="17">
        <f>_xlfn.XLOOKUP($B21,'[2]Oct-24'!$A:$A,'[2]Oct-24'!$H:$H,0)</f>
        <v>1868.17</v>
      </c>
      <c r="P21" s="17">
        <f>_xlfn.XLOOKUP($B21,'[2]Nov-24'!$A:$A,'[2]Nov-24'!$H:$H,0)</f>
        <v>1868.17</v>
      </c>
      <c r="Q21" s="17">
        <f>_xlfn.XLOOKUP($B21,'[2]Dec-24'!$A:$A,'[2]Dec-24'!$H:$H,0)</f>
        <v>1868.17</v>
      </c>
      <c r="R21" s="17">
        <f>_xlfn.XLOOKUP($B21,'[2]Jan-25'!$A:$A,'[2]Jan-25'!$H:$H,0)</f>
        <v>1868.17</v>
      </c>
      <c r="S21" s="17">
        <f>_xlfn.XLOOKUP($B21,'[2]Feb-25'!$A:$A,'[2]Feb-25'!$H:$H,0)</f>
        <v>1868.17</v>
      </c>
      <c r="T21" s="17">
        <f>_xlfn.XLOOKUP($B21,'[2]Mar-25'!$A:$A,'[2]Mar-25'!$H:$H,0)</f>
        <v>1868.17</v>
      </c>
      <c r="U21" s="17">
        <f>_xlfn.XLOOKUP($B21,'[2]Apr-25'!$A:$A,'[2]Apr-25'!$H:$H,0)</f>
        <v>1868.17</v>
      </c>
      <c r="V21" s="17">
        <f>_xlfn.XLOOKUP($B21,'[2]May-25'!$A:$A,'[2]May-25'!$H:$H,0)</f>
        <v>1868.17</v>
      </c>
      <c r="W21" s="17">
        <f>_xlfn.XLOOKUP($B21,'[2]Jun-25'!$A:$A,'[2]Jun-25'!$H:$H,0)</f>
        <v>1868.17</v>
      </c>
      <c r="X21" s="17">
        <f>_xlfn.XLOOKUP($B21,'[2]Jul-25'!$A:$A,'[2]Jul-25'!$H:$H,0)</f>
        <v>1868.17</v>
      </c>
      <c r="Y21" s="17">
        <f>_xlfn.XLOOKUP($B21,'[2]Aug-25'!$A:$A,'[2]Aug-25'!$H:$H,0)</f>
        <v>1868.17</v>
      </c>
      <c r="Z21" s="17">
        <f>_xlfn.XLOOKUP($B21,'[2]Sep-25'!$A:$A,'[2]Sep-25'!$H:$H,0)</f>
        <v>1868.17</v>
      </c>
      <c r="AA21" s="17">
        <f>_xlfn.XLOOKUP($B21,'[2]Oct-25'!$A:$A,'[2]Oct-25'!$H:$H,0)</f>
        <v>1868.17</v>
      </c>
      <c r="AB21" s="17">
        <f>_xlfn.XLOOKUP($B21,'[2]Nov-25'!$A:$A,'[2]Nov-25'!$H:$H,0)</f>
        <v>1868.17</v>
      </c>
      <c r="AC21" s="17">
        <f>_xlfn.XLOOKUP($B21,'[2]Dec-25'!$A:$A,'[2]Dec-25'!$H:$H,0)</f>
        <v>1868.17</v>
      </c>
      <c r="AD21" s="17">
        <f>_xlfn.XLOOKUP($B21,'[2]Jan-26'!$A:$A,'[2]Jan-26'!$H:$H,0)</f>
        <v>1868.17</v>
      </c>
      <c r="AE21" s="17">
        <f>_xlfn.XLOOKUP($B21,'[2]Feb-26'!$A:$A,'[2]Feb-26'!$H:$H,0)</f>
        <v>1868.17</v>
      </c>
      <c r="AF21" s="17">
        <f>_xlfn.XLOOKUP($B21,'[2]Mar-26'!$A:$A,'[2]Mar-26'!$H:$H,0)</f>
        <v>1868.17</v>
      </c>
      <c r="AG21" s="17">
        <f>_xlfn.XLOOKUP($B21,'[2]Apr-26'!$A:$A,'[2]Apr-26'!$H:$H,0)</f>
        <v>1868.17</v>
      </c>
    </row>
    <row r="22" spans="1:33" x14ac:dyDescent="0.2">
      <c r="A22" s="58">
        <v>12400</v>
      </c>
      <c r="B22" s="56" t="str">
        <f t="shared" si="2"/>
        <v>12400</v>
      </c>
      <c r="C22" s="57" t="s">
        <v>378</v>
      </c>
      <c r="D22" s="57" t="s">
        <v>303</v>
      </c>
      <c r="E22" s="44" t="s">
        <v>379</v>
      </c>
      <c r="F22" s="17">
        <f>_xlfn.XLOOKUP($B22,'[2]Jan-24'!$A:$A,'[2]Jan-24'!$H:$H,0)</f>
        <v>0</v>
      </c>
      <c r="G22" s="17">
        <f>_xlfn.XLOOKUP($B22,'[2]Feb-24'!$A:$A,'[2]Feb-24'!$H:$H,0)</f>
        <v>0</v>
      </c>
      <c r="H22" s="17">
        <f>_xlfn.XLOOKUP($B22,'[2]Mar-24'!$A:$A,'[2]Mar-24'!$H:$H,0)</f>
        <v>0</v>
      </c>
      <c r="I22" s="17">
        <f>_xlfn.XLOOKUP($B22,'[2]Apr-24'!$A:$A,'[2]Apr-24'!$H:$H,0)</f>
        <v>0</v>
      </c>
      <c r="J22" s="17">
        <f>_xlfn.XLOOKUP($B22,'[2]May-24'!$A:$A,'[2]May-24'!$H:$H,0)</f>
        <v>0</v>
      </c>
      <c r="K22" s="17">
        <f>_xlfn.XLOOKUP($B22,'[2]Jun-24'!$A:$A,'[2]Jun-24'!$H:$H,0)</f>
        <v>0</v>
      </c>
      <c r="L22" s="17">
        <f>_xlfn.XLOOKUP($B22,'[2]Jul-24'!$A:$A,'[2]Jul-24'!$H:$H,0)</f>
        <v>0</v>
      </c>
      <c r="M22" s="17">
        <f>_xlfn.XLOOKUP($B22,'[2]Aug-24'!$A:$A,'[2]Aug-24'!$H:$H,0)</f>
        <v>0</v>
      </c>
      <c r="N22" s="17">
        <f>_xlfn.XLOOKUP($B22,'[2]Sep-24'!$A:$A,'[2]Sep-24'!$H:$H,0)</f>
        <v>0</v>
      </c>
      <c r="O22" s="17">
        <f>_xlfn.XLOOKUP($B22,'[2]Oct-24'!$A:$A,'[2]Oct-24'!$H:$H,0)</f>
        <v>0</v>
      </c>
      <c r="P22" s="17">
        <f>_xlfn.XLOOKUP($B22,'[2]Nov-24'!$A:$A,'[2]Nov-24'!$H:$H,0)</f>
        <v>0</v>
      </c>
      <c r="Q22" s="17">
        <f>_xlfn.XLOOKUP($B22,'[2]Dec-24'!$A:$A,'[2]Dec-24'!$H:$H,0)</f>
        <v>0</v>
      </c>
      <c r="R22" s="17">
        <f>_xlfn.XLOOKUP($B22,'[2]Jan-25'!$A:$A,'[2]Jan-25'!$H:$H,0)</f>
        <v>0</v>
      </c>
      <c r="S22" s="17">
        <f>_xlfn.XLOOKUP($B22,'[2]Feb-25'!$A:$A,'[2]Feb-25'!$H:$H,0)</f>
        <v>0</v>
      </c>
      <c r="T22" s="17">
        <f>_xlfn.XLOOKUP($B22,'[2]Mar-25'!$A:$A,'[2]Mar-25'!$H:$H,0)</f>
        <v>0</v>
      </c>
      <c r="U22" s="17">
        <f>_xlfn.XLOOKUP($B22,'[2]Apr-25'!$A:$A,'[2]Apr-25'!$H:$H,0)</f>
        <v>0</v>
      </c>
      <c r="V22" s="17">
        <f>_xlfn.XLOOKUP($B22,'[2]May-25'!$A:$A,'[2]May-25'!$H:$H,0)</f>
        <v>0</v>
      </c>
      <c r="W22" s="17">
        <f>_xlfn.XLOOKUP($B22,'[2]Jun-25'!$A:$A,'[2]Jun-25'!$H:$H,0)</f>
        <v>0</v>
      </c>
      <c r="X22" s="17">
        <f>_xlfn.XLOOKUP($B22,'[2]Jul-25'!$A:$A,'[2]Jul-25'!$H:$H,0)</f>
        <v>0</v>
      </c>
      <c r="Y22" s="17">
        <f>_xlfn.XLOOKUP($B22,'[2]Aug-25'!$A:$A,'[2]Aug-25'!$H:$H,0)</f>
        <v>0</v>
      </c>
      <c r="Z22" s="17">
        <f>_xlfn.XLOOKUP($B22,'[2]Sep-25'!$A:$A,'[2]Sep-25'!$H:$H,0)</f>
        <v>0</v>
      </c>
      <c r="AA22" s="17">
        <f>_xlfn.XLOOKUP($B22,'[2]Oct-25'!$A:$A,'[2]Oct-25'!$H:$H,0)</f>
        <v>0</v>
      </c>
      <c r="AB22" s="17">
        <f>_xlfn.XLOOKUP($B22,'[2]Nov-25'!$A:$A,'[2]Nov-25'!$H:$H,0)</f>
        <v>0</v>
      </c>
      <c r="AC22" s="17">
        <f>_xlfn.XLOOKUP($B22,'[2]Dec-25'!$A:$A,'[2]Dec-25'!$H:$H,0)</f>
        <v>0</v>
      </c>
      <c r="AD22" s="17">
        <f>_xlfn.XLOOKUP($B22,'[2]Jan-26'!$A:$A,'[2]Jan-26'!$H:$H,0)</f>
        <v>0</v>
      </c>
      <c r="AE22" s="17">
        <f>_xlfn.XLOOKUP($B22,'[2]Feb-26'!$A:$A,'[2]Feb-26'!$H:$H,0)</f>
        <v>0</v>
      </c>
      <c r="AF22" s="17">
        <f>_xlfn.XLOOKUP($B22,'[2]Mar-26'!$A:$A,'[2]Mar-26'!$H:$H,0)</f>
        <v>0</v>
      </c>
      <c r="AG22" s="17">
        <f>_xlfn.XLOOKUP($B22,'[2]Apr-26'!$A:$A,'[2]Apr-26'!$H:$H,0)</f>
        <v>0</v>
      </c>
    </row>
    <row r="23" spans="1:33" x14ac:dyDescent="0.2">
      <c r="A23" s="58">
        <v>13001</v>
      </c>
      <c r="B23" s="56" t="str">
        <f t="shared" si="2"/>
        <v>13001</v>
      </c>
      <c r="C23" s="57" t="s">
        <v>371</v>
      </c>
      <c r="D23" s="57" t="s">
        <v>303</v>
      </c>
      <c r="E23" s="44" t="s">
        <v>381</v>
      </c>
      <c r="F23" s="17">
        <f>_xlfn.XLOOKUP($B23,'[2]Jan-24'!$A:$A,'[2]Jan-24'!$H:$H,0)</f>
        <v>0</v>
      </c>
      <c r="G23" s="17">
        <f>_xlfn.XLOOKUP($B23,'[2]Feb-24'!$A:$A,'[2]Feb-24'!$H:$H,0)</f>
        <v>0</v>
      </c>
      <c r="H23" s="17">
        <f>_xlfn.XLOOKUP($B23,'[2]Mar-24'!$A:$A,'[2]Mar-24'!$H:$H,0)</f>
        <v>0</v>
      </c>
      <c r="I23" s="17">
        <f>_xlfn.XLOOKUP($B23,'[2]Apr-24'!$A:$A,'[2]Apr-24'!$H:$H,0)</f>
        <v>0</v>
      </c>
      <c r="J23" s="17">
        <f>_xlfn.XLOOKUP($B23,'[2]May-24'!$A:$A,'[2]May-24'!$H:$H,0)</f>
        <v>0</v>
      </c>
      <c r="K23" s="17">
        <f>_xlfn.XLOOKUP($B23,'[2]Jun-24'!$A:$A,'[2]Jun-24'!$H:$H,0)</f>
        <v>0</v>
      </c>
      <c r="L23" s="17">
        <f>_xlfn.XLOOKUP($B23,'[2]Jul-24'!$A:$A,'[2]Jul-24'!$H:$H,0)</f>
        <v>0</v>
      </c>
      <c r="M23" s="17">
        <f>_xlfn.XLOOKUP($B23,'[2]Aug-24'!$A:$A,'[2]Aug-24'!$H:$H,0)</f>
        <v>0</v>
      </c>
      <c r="N23" s="17">
        <f>_xlfn.XLOOKUP($B23,'[2]Sep-24'!$A:$A,'[2]Sep-24'!$H:$H,0)</f>
        <v>0</v>
      </c>
      <c r="O23" s="17">
        <f>_xlfn.XLOOKUP($B23,'[2]Oct-24'!$A:$A,'[2]Oct-24'!$H:$H,0)</f>
        <v>0</v>
      </c>
      <c r="P23" s="17">
        <f>_xlfn.XLOOKUP($B23,'[2]Nov-24'!$A:$A,'[2]Nov-24'!$H:$H,0)</f>
        <v>0</v>
      </c>
      <c r="Q23" s="17">
        <f>_xlfn.XLOOKUP($B23,'[2]Dec-24'!$A:$A,'[2]Dec-24'!$H:$H,0)</f>
        <v>0</v>
      </c>
      <c r="R23" s="17">
        <f>_xlfn.XLOOKUP($B23,'[2]Jan-25'!$A:$A,'[2]Jan-25'!$H:$H,0)</f>
        <v>0</v>
      </c>
      <c r="S23" s="17">
        <f>_xlfn.XLOOKUP($B23,'[2]Feb-25'!$A:$A,'[2]Feb-25'!$H:$H,0)</f>
        <v>0</v>
      </c>
      <c r="T23" s="17">
        <f>_xlfn.XLOOKUP($B23,'[2]Mar-25'!$A:$A,'[2]Mar-25'!$H:$H,0)</f>
        <v>0</v>
      </c>
      <c r="U23" s="17">
        <f>_xlfn.XLOOKUP($B23,'[2]Apr-25'!$A:$A,'[2]Apr-25'!$H:$H,0)</f>
        <v>0</v>
      </c>
      <c r="V23" s="17">
        <f>_xlfn.XLOOKUP($B23,'[2]May-25'!$A:$A,'[2]May-25'!$H:$H,0)</f>
        <v>0</v>
      </c>
      <c r="W23" s="17">
        <f>_xlfn.XLOOKUP($B23,'[2]Jun-25'!$A:$A,'[2]Jun-25'!$H:$H,0)</f>
        <v>0</v>
      </c>
      <c r="X23" s="17">
        <f>_xlfn.XLOOKUP($B23,'[2]Jul-25'!$A:$A,'[2]Jul-25'!$H:$H,0)</f>
        <v>0</v>
      </c>
      <c r="Y23" s="17">
        <f>_xlfn.XLOOKUP($B23,'[2]Aug-25'!$A:$A,'[2]Aug-25'!$H:$H,0)</f>
        <v>0</v>
      </c>
      <c r="Z23" s="17">
        <f>_xlfn.XLOOKUP($B23,'[2]Sep-25'!$A:$A,'[2]Sep-25'!$H:$H,0)</f>
        <v>0</v>
      </c>
      <c r="AA23" s="17">
        <f>_xlfn.XLOOKUP($B23,'[2]Oct-25'!$A:$A,'[2]Oct-25'!$H:$H,0)</f>
        <v>0</v>
      </c>
      <c r="AB23" s="17">
        <f>_xlfn.XLOOKUP($B23,'[2]Nov-25'!$A:$A,'[2]Nov-25'!$H:$H,0)</f>
        <v>0</v>
      </c>
      <c r="AC23" s="17">
        <f>_xlfn.XLOOKUP($B23,'[2]Dec-25'!$A:$A,'[2]Dec-25'!$H:$H,0)</f>
        <v>0</v>
      </c>
      <c r="AD23" s="17">
        <f>_xlfn.XLOOKUP($B23,'[2]Jan-26'!$A:$A,'[2]Jan-26'!$H:$H,0)</f>
        <v>0</v>
      </c>
      <c r="AE23" s="17">
        <f>_xlfn.XLOOKUP($B23,'[2]Feb-26'!$A:$A,'[2]Feb-26'!$H:$H,0)</f>
        <v>0</v>
      </c>
      <c r="AF23" s="17">
        <f>_xlfn.XLOOKUP($B23,'[2]Mar-26'!$A:$A,'[2]Mar-26'!$H:$H,0)</f>
        <v>0</v>
      </c>
      <c r="AG23" s="17">
        <f>_xlfn.XLOOKUP($B23,'[2]Apr-26'!$A:$A,'[2]Apr-26'!$H:$H,0)</f>
        <v>0</v>
      </c>
    </row>
    <row r="24" spans="1:33" x14ac:dyDescent="0.2">
      <c r="A24" s="58">
        <v>13004</v>
      </c>
      <c r="B24" s="56" t="str">
        <f t="shared" si="2"/>
        <v>13004</v>
      </c>
      <c r="C24" s="57" t="s">
        <v>382</v>
      </c>
      <c r="D24" s="57" t="s">
        <v>303</v>
      </c>
      <c r="E24" s="44" t="s">
        <v>39</v>
      </c>
      <c r="F24" s="17">
        <f>_xlfn.XLOOKUP($B24,'[2]Jan-24'!$A:$A,'[2]Jan-24'!$H:$H,0)</f>
        <v>0</v>
      </c>
      <c r="G24" s="17">
        <f>_xlfn.XLOOKUP($B24,'[2]Feb-24'!$A:$A,'[2]Feb-24'!$H:$H,0)</f>
        <v>0</v>
      </c>
      <c r="H24" s="17">
        <f>_xlfn.XLOOKUP($B24,'[2]Mar-24'!$A:$A,'[2]Mar-24'!$H:$H,0)</f>
        <v>0</v>
      </c>
      <c r="I24" s="17">
        <f>_xlfn.XLOOKUP($B24,'[2]Apr-24'!$A:$A,'[2]Apr-24'!$H:$H,0)</f>
        <v>0</v>
      </c>
      <c r="J24" s="17">
        <f>_xlfn.XLOOKUP($B24,'[2]May-24'!$A:$A,'[2]May-24'!$H:$H,0)</f>
        <v>0</v>
      </c>
      <c r="K24" s="17">
        <f>_xlfn.XLOOKUP($B24,'[2]Jun-24'!$A:$A,'[2]Jun-24'!$H:$H,0)</f>
        <v>0</v>
      </c>
      <c r="L24" s="17">
        <f>_xlfn.XLOOKUP($B24,'[2]Jul-24'!$A:$A,'[2]Jul-24'!$H:$H,0)</f>
        <v>0</v>
      </c>
      <c r="M24" s="17">
        <f>_xlfn.XLOOKUP($B24,'[2]Aug-24'!$A:$A,'[2]Aug-24'!$H:$H,0)</f>
        <v>0</v>
      </c>
      <c r="N24" s="17">
        <f>_xlfn.XLOOKUP($B24,'[2]Sep-24'!$A:$A,'[2]Sep-24'!$H:$H,0)</f>
        <v>0</v>
      </c>
      <c r="O24" s="17">
        <f>_xlfn.XLOOKUP($B24,'[2]Oct-24'!$A:$A,'[2]Oct-24'!$H:$H,0)</f>
        <v>0</v>
      </c>
      <c r="P24" s="17">
        <f>_xlfn.XLOOKUP($B24,'[2]Nov-24'!$A:$A,'[2]Nov-24'!$H:$H,0)</f>
        <v>0</v>
      </c>
      <c r="Q24" s="17">
        <f>_xlfn.XLOOKUP($B24,'[2]Dec-24'!$A:$A,'[2]Dec-24'!$H:$H,0)</f>
        <v>0</v>
      </c>
      <c r="R24" s="17">
        <f>_xlfn.XLOOKUP($B24,'[2]Jan-25'!$A:$A,'[2]Jan-25'!$H:$H,0)</f>
        <v>0</v>
      </c>
      <c r="S24" s="17">
        <f>_xlfn.XLOOKUP($B24,'[2]Feb-25'!$A:$A,'[2]Feb-25'!$H:$H,0)</f>
        <v>0</v>
      </c>
      <c r="T24" s="17">
        <f>_xlfn.XLOOKUP($B24,'[2]Mar-25'!$A:$A,'[2]Mar-25'!$H:$H,0)</f>
        <v>0</v>
      </c>
      <c r="U24" s="17">
        <f>_xlfn.XLOOKUP($B24,'[2]Apr-25'!$A:$A,'[2]Apr-25'!$H:$H,0)</f>
        <v>0</v>
      </c>
      <c r="V24" s="17">
        <f>_xlfn.XLOOKUP($B24,'[2]May-25'!$A:$A,'[2]May-25'!$H:$H,0)</f>
        <v>0</v>
      </c>
      <c r="W24" s="17">
        <f>_xlfn.XLOOKUP($B24,'[2]Jun-25'!$A:$A,'[2]Jun-25'!$H:$H,0)</f>
        <v>0</v>
      </c>
      <c r="X24" s="17">
        <f>_xlfn.XLOOKUP($B24,'[2]Jul-25'!$A:$A,'[2]Jul-25'!$H:$H,0)</f>
        <v>0</v>
      </c>
      <c r="Y24" s="17">
        <f>_xlfn.XLOOKUP($B24,'[2]Aug-25'!$A:$A,'[2]Aug-25'!$H:$H,0)</f>
        <v>0</v>
      </c>
      <c r="Z24" s="17">
        <f>_xlfn.XLOOKUP($B24,'[2]Sep-25'!$A:$A,'[2]Sep-25'!$H:$H,0)</f>
        <v>0</v>
      </c>
      <c r="AA24" s="17">
        <f>_xlfn.XLOOKUP($B24,'[2]Oct-25'!$A:$A,'[2]Oct-25'!$H:$H,0)</f>
        <v>0</v>
      </c>
      <c r="AB24" s="17">
        <f>_xlfn.XLOOKUP($B24,'[2]Nov-25'!$A:$A,'[2]Nov-25'!$H:$H,0)</f>
        <v>0</v>
      </c>
      <c r="AC24" s="17">
        <f>_xlfn.XLOOKUP($B24,'[2]Dec-25'!$A:$A,'[2]Dec-25'!$H:$H,0)</f>
        <v>0</v>
      </c>
      <c r="AD24" s="17">
        <f>_xlfn.XLOOKUP($B24,'[2]Jan-26'!$A:$A,'[2]Jan-26'!$H:$H,0)</f>
        <v>0</v>
      </c>
      <c r="AE24" s="17">
        <f>_xlfn.XLOOKUP($B24,'[2]Feb-26'!$A:$A,'[2]Feb-26'!$H:$H,0)</f>
        <v>0</v>
      </c>
      <c r="AF24" s="17">
        <f>_xlfn.XLOOKUP($B24,'[2]Mar-26'!$A:$A,'[2]Mar-26'!$H:$H,0)</f>
        <v>0</v>
      </c>
      <c r="AG24" s="17">
        <f>_xlfn.XLOOKUP($B24,'[2]Apr-26'!$A:$A,'[2]Apr-26'!$H:$H,0)</f>
        <v>1000</v>
      </c>
    </row>
    <row r="25" spans="1:33" x14ac:dyDescent="0.2">
      <c r="A25" s="58">
        <v>13010</v>
      </c>
      <c r="B25" s="56" t="str">
        <f t="shared" si="2"/>
        <v>13010</v>
      </c>
      <c r="C25" s="57" t="s">
        <v>371</v>
      </c>
      <c r="D25" s="57" t="s">
        <v>303</v>
      </c>
      <c r="E25" s="44" t="s">
        <v>216</v>
      </c>
      <c r="F25" s="17">
        <f>_xlfn.XLOOKUP($B25,'[2]Jan-24'!$A:$A,'[2]Jan-24'!$H:$H,0)</f>
        <v>0</v>
      </c>
      <c r="G25" s="17">
        <f>_xlfn.XLOOKUP($B25,'[2]Feb-24'!$A:$A,'[2]Feb-24'!$H:$H,0)</f>
        <v>0</v>
      </c>
      <c r="H25" s="17">
        <f>_xlfn.XLOOKUP($B25,'[2]Mar-24'!$A:$A,'[2]Mar-24'!$H:$H,0)</f>
        <v>0</v>
      </c>
      <c r="I25" s="17">
        <f>_xlfn.XLOOKUP($B25,'[2]Apr-24'!$A:$A,'[2]Apr-24'!$H:$H,0)</f>
        <v>0</v>
      </c>
      <c r="J25" s="17">
        <f>_xlfn.XLOOKUP($B25,'[2]May-24'!$A:$A,'[2]May-24'!$H:$H,0)</f>
        <v>0</v>
      </c>
      <c r="K25" s="17">
        <f>_xlfn.XLOOKUP($B25,'[2]Jun-24'!$A:$A,'[2]Jun-24'!$H:$H,0)</f>
        <v>0</v>
      </c>
      <c r="L25" s="17">
        <f>_xlfn.XLOOKUP($B25,'[2]Jul-24'!$A:$A,'[2]Jul-24'!$H:$H,0)</f>
        <v>0</v>
      </c>
      <c r="M25" s="17">
        <f>_xlfn.XLOOKUP($B25,'[2]Aug-24'!$A:$A,'[2]Aug-24'!$H:$H,0)</f>
        <v>0</v>
      </c>
      <c r="N25" s="17">
        <f>_xlfn.XLOOKUP($B25,'[2]Sep-24'!$A:$A,'[2]Sep-24'!$H:$H,0)</f>
        <v>0</v>
      </c>
      <c r="O25" s="17">
        <f>_xlfn.XLOOKUP($B25,'[2]Oct-24'!$A:$A,'[2]Oct-24'!$H:$H,0)</f>
        <v>0</v>
      </c>
      <c r="P25" s="17">
        <f>_xlfn.XLOOKUP($B25,'[2]Nov-24'!$A:$A,'[2]Nov-24'!$H:$H,0)</f>
        <v>0</v>
      </c>
      <c r="Q25" s="17">
        <f>_xlfn.XLOOKUP($B25,'[2]Dec-24'!$A:$A,'[2]Dec-24'!$H:$H,0)</f>
        <v>0</v>
      </c>
      <c r="R25" s="17">
        <f>_xlfn.XLOOKUP($B25,'[2]Jan-25'!$A:$A,'[2]Jan-25'!$H:$H,0)</f>
        <v>0</v>
      </c>
      <c r="S25" s="17">
        <f>_xlfn.XLOOKUP($B25,'[2]Feb-25'!$A:$A,'[2]Feb-25'!$H:$H,0)</f>
        <v>0</v>
      </c>
      <c r="T25" s="17">
        <f>_xlfn.XLOOKUP($B25,'[2]Mar-25'!$A:$A,'[2]Mar-25'!$H:$H,0)</f>
        <v>0</v>
      </c>
      <c r="U25" s="17">
        <f>_xlfn.XLOOKUP($B25,'[2]Apr-25'!$A:$A,'[2]Apr-25'!$H:$H,0)</f>
        <v>0</v>
      </c>
      <c r="V25" s="17">
        <f>_xlfn.XLOOKUP($B25,'[2]May-25'!$A:$A,'[2]May-25'!$H:$H,0)</f>
        <v>0</v>
      </c>
      <c r="W25" s="17">
        <f>_xlfn.XLOOKUP($B25,'[2]Jun-25'!$A:$A,'[2]Jun-25'!$H:$H,0)</f>
        <v>0</v>
      </c>
      <c r="X25" s="17">
        <f>_xlfn.XLOOKUP($B25,'[2]Jul-25'!$A:$A,'[2]Jul-25'!$H:$H,0)</f>
        <v>0</v>
      </c>
      <c r="Y25" s="17">
        <f>_xlfn.XLOOKUP($B25,'[2]Aug-25'!$A:$A,'[2]Aug-25'!$H:$H,0)</f>
        <v>0</v>
      </c>
      <c r="Z25" s="17">
        <f>_xlfn.XLOOKUP($B25,'[2]Sep-25'!$A:$A,'[2]Sep-25'!$H:$H,0)</f>
        <v>0</v>
      </c>
      <c r="AA25" s="17">
        <f>_xlfn.XLOOKUP($B25,'[2]Oct-25'!$A:$A,'[2]Oct-25'!$H:$H,0)</f>
        <v>0</v>
      </c>
      <c r="AB25" s="17">
        <f>_xlfn.XLOOKUP($B25,'[2]Nov-25'!$A:$A,'[2]Nov-25'!$H:$H,0)</f>
        <v>0</v>
      </c>
      <c r="AC25" s="17">
        <f>_xlfn.XLOOKUP($B25,'[2]Dec-25'!$A:$A,'[2]Dec-25'!$H:$H,0)</f>
        <v>0</v>
      </c>
      <c r="AD25" s="17">
        <f>_xlfn.XLOOKUP($B25,'[2]Jan-26'!$A:$A,'[2]Jan-26'!$H:$H,0)</f>
        <v>0</v>
      </c>
      <c r="AE25" s="17">
        <f>_xlfn.XLOOKUP($B25,'[2]Feb-26'!$A:$A,'[2]Feb-26'!$H:$H,0)</f>
        <v>0</v>
      </c>
      <c r="AF25" s="17">
        <f>_xlfn.XLOOKUP($B25,'[2]Mar-26'!$A:$A,'[2]Mar-26'!$H:$H,0)</f>
        <v>0</v>
      </c>
      <c r="AG25" s="17">
        <f>_xlfn.XLOOKUP($B25,'[2]Apr-26'!$A:$A,'[2]Apr-26'!$H:$H,0)</f>
        <v>0</v>
      </c>
    </row>
    <row r="26" spans="1:33" x14ac:dyDescent="0.2">
      <c r="A26" s="58">
        <v>13120</v>
      </c>
      <c r="B26" s="56" t="str">
        <f t="shared" si="2"/>
        <v>13120</v>
      </c>
      <c r="C26" s="57" t="s">
        <v>401</v>
      </c>
      <c r="D26" s="57" t="s">
        <v>303</v>
      </c>
      <c r="E26" s="44" t="s">
        <v>209</v>
      </c>
      <c r="F26" s="17">
        <f>_xlfn.XLOOKUP($B26,'[2]Jan-24'!$A:$A,'[2]Jan-24'!$H:$H,0)</f>
        <v>0</v>
      </c>
      <c r="G26" s="17">
        <f>_xlfn.XLOOKUP($B26,'[2]Feb-24'!$A:$A,'[2]Feb-24'!$H:$H,0)</f>
        <v>0</v>
      </c>
      <c r="H26" s="17">
        <f>_xlfn.XLOOKUP($B26,'[2]Mar-24'!$A:$A,'[2]Mar-24'!$H:$H,0)</f>
        <v>0</v>
      </c>
      <c r="I26" s="17">
        <f>_xlfn.XLOOKUP($B26,'[2]Apr-24'!$A:$A,'[2]Apr-24'!$H:$H,0)</f>
        <v>29.37</v>
      </c>
      <c r="J26" s="17">
        <f>_xlfn.XLOOKUP($B26,'[2]May-24'!$A:$A,'[2]May-24'!$H:$H,0)</f>
        <v>8.6</v>
      </c>
      <c r="K26" s="17">
        <f>_xlfn.XLOOKUP($B26,'[2]Jun-24'!$A:$A,'[2]Jun-24'!$H:$H,0)</f>
        <v>-12.17</v>
      </c>
      <c r="L26" s="17">
        <f>_xlfn.XLOOKUP($B26,'[2]Jul-24'!$A:$A,'[2]Jul-24'!$H:$H,0)</f>
        <v>207.06</v>
      </c>
      <c r="M26" s="17">
        <f>_xlfn.XLOOKUP($B26,'[2]Aug-24'!$A:$A,'[2]Aug-24'!$H:$H,0)</f>
        <v>186.29</v>
      </c>
      <c r="N26" s="17">
        <f>_xlfn.XLOOKUP($B26,'[2]Sep-24'!$A:$A,'[2]Sep-24'!$H:$H,0)</f>
        <v>165.52</v>
      </c>
      <c r="O26" s="17">
        <f>_xlfn.XLOOKUP($B26,'[2]Oct-24'!$A:$A,'[2]Oct-24'!$H:$H,0)</f>
        <v>144.75</v>
      </c>
      <c r="P26" s="17">
        <f>_xlfn.XLOOKUP($B26,'[2]Nov-24'!$A:$A,'[2]Nov-24'!$H:$H,0)</f>
        <v>123.98</v>
      </c>
      <c r="Q26" s="17">
        <f>_xlfn.XLOOKUP($B26,'[2]Dec-24'!$A:$A,'[2]Dec-24'!$H:$H,0)</f>
        <v>103.21</v>
      </c>
      <c r="R26" s="17">
        <f>_xlfn.XLOOKUP($B26,'[2]Jan-25'!$A:$A,'[2]Jan-25'!$H:$H,0)</f>
        <v>82.44</v>
      </c>
      <c r="S26" s="17">
        <f>_xlfn.XLOOKUP($B26,'[2]Feb-25'!$A:$A,'[2]Feb-25'!$H:$H,0)</f>
        <v>61.54</v>
      </c>
      <c r="T26" s="17">
        <f>_xlfn.XLOOKUP($B26,'[2]Mar-25'!$A:$A,'[2]Mar-25'!$H:$H,0)</f>
        <v>40.770000000000003</v>
      </c>
      <c r="U26" s="17">
        <f>_xlfn.XLOOKUP($B26,'[2]Apr-25'!$A:$A,'[2]Apr-25'!$H:$H,0)</f>
        <v>20</v>
      </c>
      <c r="V26" s="17">
        <f>_xlfn.XLOOKUP($B26,'[2]May-25'!$A:$A,'[2]May-25'!$H:$H,0)</f>
        <v>0</v>
      </c>
      <c r="W26" s="17">
        <f>_xlfn.XLOOKUP($B26,'[2]Jun-25'!$A:$A,'[2]Jun-25'!$H:$H,0)</f>
        <v>-20</v>
      </c>
      <c r="X26" s="17">
        <f>_xlfn.XLOOKUP($B26,'[2]Jul-25'!$A:$A,'[2]Jul-25'!$H:$H,0)</f>
        <v>200</v>
      </c>
      <c r="Y26" s="17">
        <f>_xlfn.XLOOKUP($B26,'[2]Aug-25'!$A:$A,'[2]Aug-25'!$H:$H,0)</f>
        <v>180</v>
      </c>
      <c r="Z26" s="17">
        <f>_xlfn.XLOOKUP($B26,'[2]Sep-25'!$A:$A,'[2]Sep-25'!$H:$H,0)</f>
        <v>160</v>
      </c>
      <c r="AA26" s="17">
        <f>_xlfn.XLOOKUP($B26,'[2]Oct-25'!$A:$A,'[2]Oct-25'!$H:$H,0)</f>
        <v>140</v>
      </c>
      <c r="AB26" s="17">
        <f>_xlfn.XLOOKUP($B26,'[2]Nov-25'!$A:$A,'[2]Nov-25'!$H:$H,0)</f>
        <v>120</v>
      </c>
      <c r="AC26" s="17">
        <f>_xlfn.XLOOKUP($B26,'[2]Dec-25'!$A:$A,'[2]Dec-25'!$H:$H,0)</f>
        <v>100</v>
      </c>
      <c r="AD26" s="17">
        <f>_xlfn.XLOOKUP($B26,'[2]Jan-26'!$A:$A,'[2]Jan-26'!$H:$H,0)</f>
        <v>80</v>
      </c>
      <c r="AE26" s="17">
        <f>_xlfn.XLOOKUP($B26,'[2]Feb-26'!$A:$A,'[2]Feb-26'!$H:$H,0)</f>
        <v>60</v>
      </c>
      <c r="AF26" s="17">
        <f>_xlfn.XLOOKUP($B26,'[2]Mar-26'!$A:$A,'[2]Mar-26'!$H:$H,0)</f>
        <v>40</v>
      </c>
      <c r="AG26" s="17">
        <f>_xlfn.XLOOKUP($B26,'[2]Apr-26'!$A:$A,'[2]Apr-26'!$H:$H,0)</f>
        <v>20</v>
      </c>
    </row>
    <row r="27" spans="1:33" x14ac:dyDescent="0.2">
      <c r="A27" s="58">
        <v>13130</v>
      </c>
      <c r="B27" s="56" t="str">
        <f t="shared" si="2"/>
        <v>13130</v>
      </c>
      <c r="C27" s="57" t="s">
        <v>401</v>
      </c>
      <c r="D27" s="57" t="s">
        <v>303</v>
      </c>
      <c r="E27" s="44" t="s">
        <v>210</v>
      </c>
      <c r="F27" s="17">
        <f>_xlfn.XLOOKUP($B27,'[2]Jan-24'!$A:$A,'[2]Jan-24'!$H:$H,0)</f>
        <v>0</v>
      </c>
      <c r="G27" s="17">
        <f>_xlfn.XLOOKUP($B27,'[2]Feb-24'!$A:$A,'[2]Feb-24'!$H:$H,0)</f>
        <v>0</v>
      </c>
      <c r="H27" s="17">
        <f>_xlfn.XLOOKUP($B27,'[2]Mar-24'!$A:$A,'[2]Mar-24'!$H:$H,0)</f>
        <v>0</v>
      </c>
      <c r="I27" s="17">
        <f>_xlfn.XLOOKUP($B27,'[2]Apr-24'!$A:$A,'[2]Apr-24'!$H:$H,0)</f>
        <v>0</v>
      </c>
      <c r="J27" s="17">
        <f>_xlfn.XLOOKUP($B27,'[2]May-24'!$A:$A,'[2]May-24'!$H:$H,0)</f>
        <v>0</v>
      </c>
      <c r="K27" s="17">
        <f>_xlfn.XLOOKUP($B27,'[2]Jun-24'!$A:$A,'[2]Jun-24'!$H:$H,0)</f>
        <v>0</v>
      </c>
      <c r="L27" s="17">
        <f>_xlfn.XLOOKUP($B27,'[2]Jul-24'!$A:$A,'[2]Jul-24'!$H:$H,0)</f>
        <v>0</v>
      </c>
      <c r="M27" s="17">
        <f>_xlfn.XLOOKUP($B27,'[2]Aug-24'!$A:$A,'[2]Aug-24'!$H:$H,0)</f>
        <v>0</v>
      </c>
      <c r="N27" s="17">
        <f>_xlfn.XLOOKUP($B27,'[2]Sep-24'!$A:$A,'[2]Sep-24'!$H:$H,0)</f>
        <v>0</v>
      </c>
      <c r="O27" s="17">
        <f>_xlfn.XLOOKUP($B27,'[2]Oct-24'!$A:$A,'[2]Oct-24'!$H:$H,0)</f>
        <v>0</v>
      </c>
      <c r="P27" s="17">
        <f>_xlfn.XLOOKUP($B27,'[2]Nov-24'!$A:$A,'[2]Nov-24'!$H:$H,0)</f>
        <v>0</v>
      </c>
      <c r="Q27" s="17">
        <f>_xlfn.XLOOKUP($B27,'[2]Dec-24'!$A:$A,'[2]Dec-24'!$H:$H,0)</f>
        <v>0</v>
      </c>
      <c r="R27" s="17">
        <f>_xlfn.XLOOKUP($B27,'[2]Jan-25'!$A:$A,'[2]Jan-25'!$H:$H,0)</f>
        <v>0</v>
      </c>
      <c r="S27" s="17">
        <f>_xlfn.XLOOKUP($B27,'[2]Feb-25'!$A:$A,'[2]Feb-25'!$H:$H,0)</f>
        <v>0</v>
      </c>
      <c r="T27" s="17">
        <f>_xlfn.XLOOKUP($B27,'[2]Mar-25'!$A:$A,'[2]Mar-25'!$H:$H,0)</f>
        <v>0</v>
      </c>
      <c r="U27" s="17">
        <f>_xlfn.XLOOKUP($B27,'[2]Apr-25'!$A:$A,'[2]Apr-25'!$H:$H,0)</f>
        <v>0</v>
      </c>
      <c r="V27" s="17">
        <f>_xlfn.XLOOKUP($B27,'[2]May-25'!$A:$A,'[2]May-25'!$H:$H,0)</f>
        <v>0</v>
      </c>
      <c r="W27" s="17">
        <f>_xlfn.XLOOKUP($B27,'[2]Jun-25'!$A:$A,'[2]Jun-25'!$H:$H,0)</f>
        <v>0</v>
      </c>
      <c r="X27" s="17">
        <f>_xlfn.XLOOKUP($B27,'[2]Jul-25'!$A:$A,'[2]Jul-25'!$H:$H,0)</f>
        <v>0</v>
      </c>
      <c r="Y27" s="17">
        <f>_xlfn.XLOOKUP($B27,'[2]Aug-25'!$A:$A,'[2]Aug-25'!$H:$H,0)</f>
        <v>0</v>
      </c>
      <c r="Z27" s="17">
        <f>_xlfn.XLOOKUP($B27,'[2]Sep-25'!$A:$A,'[2]Sep-25'!$H:$H,0)</f>
        <v>0</v>
      </c>
      <c r="AA27" s="17">
        <f>_xlfn.XLOOKUP($B27,'[2]Oct-25'!$A:$A,'[2]Oct-25'!$H:$H,0)</f>
        <v>0</v>
      </c>
      <c r="AB27" s="17">
        <f>_xlfn.XLOOKUP($B27,'[2]Nov-25'!$A:$A,'[2]Nov-25'!$H:$H,0)</f>
        <v>0</v>
      </c>
      <c r="AC27" s="17">
        <f>_xlfn.XLOOKUP($B27,'[2]Dec-25'!$A:$A,'[2]Dec-25'!$H:$H,0)</f>
        <v>0</v>
      </c>
      <c r="AD27" s="17">
        <f>_xlfn.XLOOKUP($B27,'[2]Jan-26'!$A:$A,'[2]Jan-26'!$H:$H,0)</f>
        <v>0</v>
      </c>
      <c r="AE27" s="17">
        <f>_xlfn.XLOOKUP($B27,'[2]Feb-26'!$A:$A,'[2]Feb-26'!$H:$H,0)</f>
        <v>0</v>
      </c>
      <c r="AF27" s="17">
        <f>_xlfn.XLOOKUP($B27,'[2]Mar-26'!$A:$A,'[2]Mar-26'!$H:$H,0)</f>
        <v>0</v>
      </c>
      <c r="AG27" s="17">
        <f>_xlfn.XLOOKUP($B27,'[2]Apr-26'!$A:$A,'[2]Apr-26'!$H:$H,0)</f>
        <v>0</v>
      </c>
    </row>
    <row r="28" spans="1:33" x14ac:dyDescent="0.2">
      <c r="A28" s="58">
        <v>13135</v>
      </c>
      <c r="B28" s="56" t="str">
        <f t="shared" si="2"/>
        <v>13135</v>
      </c>
      <c r="C28" s="57" t="s">
        <v>401</v>
      </c>
      <c r="D28" s="57" t="s">
        <v>303</v>
      </c>
      <c r="E28" s="44" t="s">
        <v>211</v>
      </c>
      <c r="F28" s="17">
        <f>_xlfn.XLOOKUP($B28,'[2]Jan-24'!$A:$A,'[2]Jan-24'!$H:$H,0)</f>
        <v>0</v>
      </c>
      <c r="G28" s="17">
        <f>_xlfn.XLOOKUP($B28,'[2]Feb-24'!$A:$A,'[2]Feb-24'!$H:$H,0)</f>
        <v>0</v>
      </c>
      <c r="H28" s="17">
        <f>_xlfn.XLOOKUP($B28,'[2]Mar-24'!$A:$A,'[2]Mar-24'!$H:$H,0)</f>
        <v>0</v>
      </c>
      <c r="I28" s="17">
        <f>_xlfn.XLOOKUP($B28,'[2]Apr-24'!$A:$A,'[2]Apr-24'!$H:$H,0)</f>
        <v>0</v>
      </c>
      <c r="J28" s="17">
        <f>_xlfn.XLOOKUP($B28,'[2]May-24'!$A:$A,'[2]May-24'!$H:$H,0)</f>
        <v>0</v>
      </c>
      <c r="K28" s="17">
        <f>_xlfn.XLOOKUP($B28,'[2]Jun-24'!$A:$A,'[2]Jun-24'!$H:$H,0)</f>
        <v>0</v>
      </c>
      <c r="L28" s="17">
        <f>_xlfn.XLOOKUP($B28,'[2]Jul-24'!$A:$A,'[2]Jul-24'!$H:$H,0)</f>
        <v>0</v>
      </c>
      <c r="M28" s="17">
        <f>_xlfn.XLOOKUP($B28,'[2]Aug-24'!$A:$A,'[2]Aug-24'!$H:$H,0)</f>
        <v>0</v>
      </c>
      <c r="N28" s="17">
        <f>_xlfn.XLOOKUP($B28,'[2]Sep-24'!$A:$A,'[2]Sep-24'!$H:$H,0)</f>
        <v>0</v>
      </c>
      <c r="O28" s="17">
        <f>_xlfn.XLOOKUP($B28,'[2]Oct-24'!$A:$A,'[2]Oct-24'!$H:$H,0)</f>
        <v>0</v>
      </c>
      <c r="P28" s="17">
        <f>_xlfn.XLOOKUP($B28,'[2]Nov-24'!$A:$A,'[2]Nov-24'!$H:$H,0)</f>
        <v>0</v>
      </c>
      <c r="Q28" s="17">
        <f>_xlfn.XLOOKUP($B28,'[2]Dec-24'!$A:$A,'[2]Dec-24'!$H:$H,0)</f>
        <v>0</v>
      </c>
      <c r="R28" s="17">
        <f>_xlfn.XLOOKUP($B28,'[2]Jan-25'!$A:$A,'[2]Jan-25'!$H:$H,0)</f>
        <v>0</v>
      </c>
      <c r="S28" s="17">
        <f>_xlfn.XLOOKUP($B28,'[2]Feb-25'!$A:$A,'[2]Feb-25'!$H:$H,0)</f>
        <v>0</v>
      </c>
      <c r="T28" s="17">
        <f>_xlfn.XLOOKUP($B28,'[2]Mar-25'!$A:$A,'[2]Mar-25'!$H:$H,0)</f>
        <v>0</v>
      </c>
      <c r="U28" s="17">
        <f>_xlfn.XLOOKUP($B28,'[2]Apr-25'!$A:$A,'[2]Apr-25'!$H:$H,0)</f>
        <v>0</v>
      </c>
      <c r="V28" s="17">
        <f>_xlfn.XLOOKUP($B28,'[2]May-25'!$A:$A,'[2]May-25'!$H:$H,0)</f>
        <v>0</v>
      </c>
      <c r="W28" s="17">
        <f>_xlfn.XLOOKUP($B28,'[2]Jun-25'!$A:$A,'[2]Jun-25'!$H:$H,0)</f>
        <v>0</v>
      </c>
      <c r="X28" s="17">
        <f>_xlfn.XLOOKUP($B28,'[2]Jul-25'!$A:$A,'[2]Jul-25'!$H:$H,0)</f>
        <v>0</v>
      </c>
      <c r="Y28" s="17">
        <f>_xlfn.XLOOKUP($B28,'[2]Aug-25'!$A:$A,'[2]Aug-25'!$H:$H,0)</f>
        <v>0</v>
      </c>
      <c r="Z28" s="17">
        <f>_xlfn.XLOOKUP($B28,'[2]Sep-25'!$A:$A,'[2]Sep-25'!$H:$H,0)</f>
        <v>0</v>
      </c>
      <c r="AA28" s="17">
        <f>_xlfn.XLOOKUP($B28,'[2]Oct-25'!$A:$A,'[2]Oct-25'!$H:$H,0)</f>
        <v>0</v>
      </c>
      <c r="AB28" s="17">
        <f>_xlfn.XLOOKUP($B28,'[2]Nov-25'!$A:$A,'[2]Nov-25'!$H:$H,0)</f>
        <v>0</v>
      </c>
      <c r="AC28" s="17">
        <f>_xlfn.XLOOKUP($B28,'[2]Dec-25'!$A:$A,'[2]Dec-25'!$H:$H,0)</f>
        <v>0</v>
      </c>
      <c r="AD28" s="17">
        <f>_xlfn.XLOOKUP($B28,'[2]Jan-26'!$A:$A,'[2]Jan-26'!$H:$H,0)</f>
        <v>0</v>
      </c>
      <c r="AE28" s="17">
        <f>_xlfn.XLOOKUP($B28,'[2]Feb-26'!$A:$A,'[2]Feb-26'!$H:$H,0)</f>
        <v>0</v>
      </c>
      <c r="AF28" s="17">
        <f>_xlfn.XLOOKUP($B28,'[2]Mar-26'!$A:$A,'[2]Mar-26'!$H:$H,0)</f>
        <v>0</v>
      </c>
      <c r="AG28" s="17">
        <f>_xlfn.XLOOKUP($B28,'[2]Apr-26'!$A:$A,'[2]Apr-26'!$H:$H,0)</f>
        <v>0</v>
      </c>
    </row>
    <row r="29" spans="1:33" x14ac:dyDescent="0.2">
      <c r="A29" s="58">
        <v>13200</v>
      </c>
      <c r="B29" s="56" t="str">
        <f t="shared" si="2"/>
        <v>13200</v>
      </c>
      <c r="C29" s="57" t="s">
        <v>401</v>
      </c>
      <c r="D29" s="57" t="s">
        <v>303</v>
      </c>
      <c r="E29" s="44" t="s">
        <v>761</v>
      </c>
      <c r="F29" s="17">
        <f>_xlfn.XLOOKUP($B29,'[2]Jan-24'!$A:$A,'[2]Jan-24'!$H:$H,0)</f>
        <v>0</v>
      </c>
      <c r="G29" s="17">
        <f>_xlfn.XLOOKUP($B29,'[2]Feb-24'!$A:$A,'[2]Feb-24'!$H:$H,0)</f>
        <v>0</v>
      </c>
      <c r="H29" s="17">
        <f>_xlfn.XLOOKUP($B29,'[2]Mar-24'!$A:$A,'[2]Mar-24'!$H:$H,0)</f>
        <v>0</v>
      </c>
      <c r="I29" s="17">
        <f>_xlfn.XLOOKUP($B29,'[2]Apr-24'!$A:$A,'[2]Apr-24'!$H:$H,0)</f>
        <v>120</v>
      </c>
      <c r="J29" s="17">
        <f>_xlfn.XLOOKUP($B29,'[2]May-24'!$A:$A,'[2]May-24'!$H:$H,0)</f>
        <v>218.4</v>
      </c>
      <c r="K29" s="17">
        <f>_xlfn.XLOOKUP($B29,'[2]Jun-24'!$A:$A,'[2]Jun-24'!$H:$H,0)</f>
        <v>218.4</v>
      </c>
      <c r="L29" s="17">
        <f>_xlfn.XLOOKUP($B29,'[2]Jul-24'!$A:$A,'[2]Jul-24'!$H:$H,0)</f>
        <v>218.4</v>
      </c>
      <c r="M29" s="17">
        <f>_xlfn.XLOOKUP($B29,'[2]Aug-24'!$A:$A,'[2]Aug-24'!$H:$H,0)</f>
        <v>218.4</v>
      </c>
      <c r="N29" s="17">
        <f>_xlfn.XLOOKUP($B29,'[2]Sep-24'!$A:$A,'[2]Sep-24'!$H:$H,0)</f>
        <v>218.4</v>
      </c>
      <c r="O29" s="17">
        <f>_xlfn.XLOOKUP($B29,'[2]Oct-24'!$A:$A,'[2]Oct-24'!$H:$H,0)</f>
        <v>218.4</v>
      </c>
      <c r="P29" s="17">
        <f>_xlfn.XLOOKUP($B29,'[2]Nov-24'!$A:$A,'[2]Nov-24'!$H:$H,0)</f>
        <v>218.4</v>
      </c>
      <c r="Q29" s="17">
        <f>_xlfn.XLOOKUP($B29,'[2]Dec-24'!$A:$A,'[2]Dec-24'!$H:$H,0)</f>
        <v>218.4</v>
      </c>
      <c r="R29" s="17">
        <f>_xlfn.XLOOKUP($B29,'[2]Jan-25'!$A:$A,'[2]Jan-25'!$H:$H,0)</f>
        <v>218.4</v>
      </c>
      <c r="S29" s="17">
        <f>_xlfn.XLOOKUP($B29,'[2]Feb-25'!$A:$A,'[2]Feb-25'!$H:$H,0)</f>
        <v>218.4</v>
      </c>
      <c r="T29" s="17">
        <f>_xlfn.XLOOKUP($B29,'[2]Mar-25'!$A:$A,'[2]Mar-25'!$H:$H,0)</f>
        <v>218.4</v>
      </c>
      <c r="U29" s="17">
        <f>_xlfn.XLOOKUP($B29,'[2]Apr-25'!$A:$A,'[2]Apr-25'!$H:$H,0)</f>
        <v>218.4</v>
      </c>
      <c r="V29" s="17">
        <f>_xlfn.XLOOKUP($B29,'[2]May-25'!$A:$A,'[2]May-25'!$H:$H,0)</f>
        <v>410.4</v>
      </c>
      <c r="W29" s="17">
        <f>_xlfn.XLOOKUP($B29,'[2]Jun-25'!$A:$A,'[2]Jun-25'!$H:$H,0)</f>
        <v>410.4</v>
      </c>
      <c r="X29" s="17">
        <f>_xlfn.XLOOKUP($B29,'[2]Jul-25'!$A:$A,'[2]Jul-25'!$H:$H,0)</f>
        <v>410.4</v>
      </c>
      <c r="Y29" s="17">
        <f>_xlfn.XLOOKUP($B29,'[2]Aug-25'!$A:$A,'[2]Aug-25'!$H:$H,0)</f>
        <v>410.4</v>
      </c>
      <c r="Z29" s="17">
        <f>_xlfn.XLOOKUP($B29,'[2]Sep-25'!$A:$A,'[2]Sep-25'!$H:$H,0)</f>
        <v>410.4</v>
      </c>
      <c r="AA29" s="17">
        <f>_xlfn.XLOOKUP($B29,'[2]Oct-25'!$A:$A,'[2]Oct-25'!$H:$H,0)</f>
        <v>410.4</v>
      </c>
      <c r="AB29" s="17">
        <f>_xlfn.XLOOKUP($B29,'[2]Nov-25'!$A:$A,'[2]Nov-25'!$H:$H,0)</f>
        <v>410.4</v>
      </c>
      <c r="AC29" s="17">
        <f>_xlfn.XLOOKUP($B29,'[2]Dec-25'!$A:$A,'[2]Dec-25'!$H:$H,0)</f>
        <v>410.4</v>
      </c>
      <c r="AD29" s="17">
        <f>_xlfn.XLOOKUP($B29,'[2]Jan-26'!$A:$A,'[2]Jan-26'!$H:$H,0)</f>
        <v>410.4</v>
      </c>
      <c r="AE29" s="17">
        <f>_xlfn.XLOOKUP($B29,'[2]Feb-26'!$A:$A,'[2]Feb-26'!$H:$H,0)</f>
        <v>410.4</v>
      </c>
      <c r="AF29" s="17">
        <f>_xlfn.XLOOKUP($B29,'[2]Mar-26'!$A:$A,'[2]Mar-26'!$H:$H,0)</f>
        <v>410.4</v>
      </c>
      <c r="AG29" s="17">
        <f>_xlfn.XLOOKUP($B29,'[2]Apr-26'!$A:$A,'[2]Apr-26'!$H:$H,0)</f>
        <v>410.4</v>
      </c>
    </row>
    <row r="30" spans="1:33" x14ac:dyDescent="0.2">
      <c r="A30" s="58">
        <v>13300</v>
      </c>
      <c r="B30" s="56" t="str">
        <f t="shared" si="2"/>
        <v>13300</v>
      </c>
      <c r="C30" s="57" t="s">
        <v>371</v>
      </c>
      <c r="D30" s="57" t="s">
        <v>303</v>
      </c>
      <c r="E30" s="44" t="s">
        <v>408</v>
      </c>
      <c r="F30" s="17">
        <f>_xlfn.XLOOKUP($B30,'[2]Jan-24'!$A:$A,'[2]Jan-24'!$H:$H,0)</f>
        <v>0</v>
      </c>
      <c r="G30" s="17">
        <f>_xlfn.XLOOKUP($B30,'[2]Feb-24'!$A:$A,'[2]Feb-24'!$H:$H,0)</f>
        <v>0</v>
      </c>
      <c r="H30" s="17">
        <f>_xlfn.XLOOKUP($B30,'[2]Mar-24'!$A:$A,'[2]Mar-24'!$H:$H,0)</f>
        <v>0</v>
      </c>
      <c r="I30" s="17">
        <f>_xlfn.XLOOKUP($B30,'[2]Apr-24'!$A:$A,'[2]Apr-24'!$H:$H,0)</f>
        <v>0</v>
      </c>
      <c r="J30" s="17">
        <f>_xlfn.XLOOKUP($B30,'[2]May-24'!$A:$A,'[2]May-24'!$H:$H,0)</f>
        <v>0</v>
      </c>
      <c r="K30" s="17">
        <f>_xlfn.XLOOKUP($B30,'[2]Jun-24'!$A:$A,'[2]Jun-24'!$H:$H,0)</f>
        <v>0</v>
      </c>
      <c r="L30" s="17">
        <f>_xlfn.XLOOKUP($B30,'[2]Jul-24'!$A:$A,'[2]Jul-24'!$H:$H,0)</f>
        <v>0</v>
      </c>
      <c r="M30" s="17">
        <f>_xlfn.XLOOKUP($B30,'[2]Aug-24'!$A:$A,'[2]Aug-24'!$H:$H,0)</f>
        <v>0</v>
      </c>
      <c r="N30" s="17">
        <f>_xlfn.XLOOKUP($B30,'[2]Sep-24'!$A:$A,'[2]Sep-24'!$H:$H,0)</f>
        <v>0</v>
      </c>
      <c r="O30" s="17">
        <f>_xlfn.XLOOKUP($B30,'[2]Oct-24'!$A:$A,'[2]Oct-24'!$H:$H,0)</f>
        <v>0</v>
      </c>
      <c r="P30" s="17">
        <f>_xlfn.XLOOKUP($B30,'[2]Nov-24'!$A:$A,'[2]Nov-24'!$H:$H,0)</f>
        <v>0</v>
      </c>
      <c r="Q30" s="17">
        <f>_xlfn.XLOOKUP($B30,'[2]Dec-24'!$A:$A,'[2]Dec-24'!$H:$H,0)</f>
        <v>0</v>
      </c>
      <c r="R30" s="17">
        <f>_xlfn.XLOOKUP($B30,'[2]Jan-25'!$A:$A,'[2]Jan-25'!$H:$H,0)</f>
        <v>0</v>
      </c>
      <c r="S30" s="17">
        <f>_xlfn.XLOOKUP($B30,'[2]Feb-25'!$A:$A,'[2]Feb-25'!$H:$H,0)</f>
        <v>0</v>
      </c>
      <c r="T30" s="17">
        <f>_xlfn.XLOOKUP($B30,'[2]Mar-25'!$A:$A,'[2]Mar-25'!$H:$H,0)</f>
        <v>0</v>
      </c>
      <c r="U30" s="17">
        <f>_xlfn.XLOOKUP($B30,'[2]Apr-25'!$A:$A,'[2]Apr-25'!$H:$H,0)</f>
        <v>0</v>
      </c>
      <c r="V30" s="17">
        <f>_xlfn.XLOOKUP($B30,'[2]May-25'!$A:$A,'[2]May-25'!$H:$H,0)</f>
        <v>0</v>
      </c>
      <c r="W30" s="17">
        <f>_xlfn.XLOOKUP($B30,'[2]Jun-25'!$A:$A,'[2]Jun-25'!$H:$H,0)</f>
        <v>0</v>
      </c>
      <c r="X30" s="17">
        <f>_xlfn.XLOOKUP($B30,'[2]Jul-25'!$A:$A,'[2]Jul-25'!$H:$H,0)</f>
        <v>0</v>
      </c>
      <c r="Y30" s="17">
        <f>_xlfn.XLOOKUP($B30,'[2]Aug-25'!$A:$A,'[2]Aug-25'!$H:$H,0)</f>
        <v>0</v>
      </c>
      <c r="Z30" s="17">
        <f>_xlfn.XLOOKUP($B30,'[2]Sep-25'!$A:$A,'[2]Sep-25'!$H:$H,0)</f>
        <v>0</v>
      </c>
      <c r="AA30" s="17">
        <f>_xlfn.XLOOKUP($B30,'[2]Oct-25'!$A:$A,'[2]Oct-25'!$H:$H,0)</f>
        <v>0</v>
      </c>
      <c r="AB30" s="17">
        <f>_xlfn.XLOOKUP($B30,'[2]Nov-25'!$A:$A,'[2]Nov-25'!$H:$H,0)</f>
        <v>0</v>
      </c>
      <c r="AC30" s="17">
        <f>_xlfn.XLOOKUP($B30,'[2]Dec-25'!$A:$A,'[2]Dec-25'!$H:$H,0)</f>
        <v>0</v>
      </c>
      <c r="AD30" s="17">
        <f>_xlfn.XLOOKUP($B30,'[2]Jan-26'!$A:$A,'[2]Jan-26'!$H:$H,0)</f>
        <v>0</v>
      </c>
      <c r="AE30" s="17">
        <f>_xlfn.XLOOKUP($B30,'[2]Feb-26'!$A:$A,'[2]Feb-26'!$H:$H,0)</f>
        <v>0</v>
      </c>
      <c r="AF30" s="17">
        <f>_xlfn.XLOOKUP($B30,'[2]Mar-26'!$A:$A,'[2]Mar-26'!$H:$H,0)</f>
        <v>0</v>
      </c>
      <c r="AG30" s="17">
        <f>_xlfn.XLOOKUP($B30,'[2]Apr-26'!$A:$A,'[2]Apr-26'!$H:$H,0)</f>
        <v>0</v>
      </c>
    </row>
    <row r="31" spans="1:33" x14ac:dyDescent="0.2">
      <c r="A31" s="58">
        <v>13400</v>
      </c>
      <c r="B31" s="56" t="str">
        <f t="shared" si="2"/>
        <v>13400</v>
      </c>
      <c r="C31" s="57" t="s">
        <v>371</v>
      </c>
      <c r="D31" s="57" t="s">
        <v>303</v>
      </c>
      <c r="E31" s="44" t="s">
        <v>218</v>
      </c>
      <c r="F31" s="17">
        <f>_xlfn.XLOOKUP($B31,'[2]Jan-24'!$A:$A,'[2]Jan-24'!$H:$H,0)</f>
        <v>0</v>
      </c>
      <c r="G31" s="17">
        <f>_xlfn.XLOOKUP($B31,'[2]Feb-24'!$A:$A,'[2]Feb-24'!$H:$H,0)</f>
        <v>0</v>
      </c>
      <c r="H31" s="17">
        <f>_xlfn.XLOOKUP($B31,'[2]Mar-24'!$A:$A,'[2]Mar-24'!$H:$H,0)</f>
        <v>0</v>
      </c>
      <c r="I31" s="17">
        <f>_xlfn.XLOOKUP($B31,'[2]Apr-24'!$A:$A,'[2]Apr-24'!$H:$H,0)</f>
        <v>0</v>
      </c>
      <c r="J31" s="17">
        <f>_xlfn.XLOOKUP($B31,'[2]May-24'!$A:$A,'[2]May-24'!$H:$H,0)</f>
        <v>0</v>
      </c>
      <c r="K31" s="17">
        <f>_xlfn.XLOOKUP($B31,'[2]Jun-24'!$A:$A,'[2]Jun-24'!$H:$H,0)</f>
        <v>0</v>
      </c>
      <c r="L31" s="17">
        <f>_xlfn.XLOOKUP($B31,'[2]Jul-24'!$A:$A,'[2]Jul-24'!$H:$H,0)</f>
        <v>0</v>
      </c>
      <c r="M31" s="17">
        <f>_xlfn.XLOOKUP($B31,'[2]Aug-24'!$A:$A,'[2]Aug-24'!$H:$H,0)</f>
        <v>0</v>
      </c>
      <c r="N31" s="17">
        <f>_xlfn.XLOOKUP($B31,'[2]Sep-24'!$A:$A,'[2]Sep-24'!$H:$H,0)</f>
        <v>0</v>
      </c>
      <c r="O31" s="17">
        <f>_xlfn.XLOOKUP($B31,'[2]Oct-24'!$A:$A,'[2]Oct-24'!$H:$H,0)</f>
        <v>0</v>
      </c>
      <c r="P31" s="17">
        <f>_xlfn.XLOOKUP($B31,'[2]Nov-24'!$A:$A,'[2]Nov-24'!$H:$H,0)</f>
        <v>0</v>
      </c>
      <c r="Q31" s="17">
        <f>_xlfn.XLOOKUP($B31,'[2]Dec-24'!$A:$A,'[2]Dec-24'!$H:$H,0)</f>
        <v>0</v>
      </c>
      <c r="R31" s="17">
        <f>_xlfn.XLOOKUP($B31,'[2]Jan-25'!$A:$A,'[2]Jan-25'!$H:$H,0)</f>
        <v>0</v>
      </c>
      <c r="S31" s="17">
        <f>_xlfn.XLOOKUP($B31,'[2]Feb-25'!$A:$A,'[2]Feb-25'!$H:$H,0)</f>
        <v>0</v>
      </c>
      <c r="T31" s="17">
        <f>_xlfn.XLOOKUP($B31,'[2]Mar-25'!$A:$A,'[2]Mar-25'!$H:$H,0)</f>
        <v>0</v>
      </c>
      <c r="U31" s="17">
        <f>_xlfn.XLOOKUP($B31,'[2]Apr-25'!$A:$A,'[2]Apr-25'!$H:$H,0)</f>
        <v>0</v>
      </c>
      <c r="V31" s="17">
        <f>_xlfn.XLOOKUP($B31,'[2]May-25'!$A:$A,'[2]May-25'!$H:$H,0)</f>
        <v>0</v>
      </c>
      <c r="W31" s="17">
        <f>_xlfn.XLOOKUP($B31,'[2]Jun-25'!$A:$A,'[2]Jun-25'!$H:$H,0)</f>
        <v>0</v>
      </c>
      <c r="X31" s="17">
        <f>_xlfn.XLOOKUP($B31,'[2]Jul-25'!$A:$A,'[2]Jul-25'!$H:$H,0)</f>
        <v>0</v>
      </c>
      <c r="Y31" s="17">
        <f>_xlfn.XLOOKUP($B31,'[2]Aug-25'!$A:$A,'[2]Aug-25'!$H:$H,0)</f>
        <v>0</v>
      </c>
      <c r="Z31" s="17">
        <f>_xlfn.XLOOKUP($B31,'[2]Sep-25'!$A:$A,'[2]Sep-25'!$H:$H,0)</f>
        <v>0</v>
      </c>
      <c r="AA31" s="17">
        <f>_xlfn.XLOOKUP($B31,'[2]Oct-25'!$A:$A,'[2]Oct-25'!$H:$H,0)</f>
        <v>0</v>
      </c>
      <c r="AB31" s="17">
        <f>_xlfn.XLOOKUP($B31,'[2]Nov-25'!$A:$A,'[2]Nov-25'!$H:$H,0)</f>
        <v>0</v>
      </c>
      <c r="AC31" s="17">
        <f>_xlfn.XLOOKUP($B31,'[2]Dec-25'!$A:$A,'[2]Dec-25'!$H:$H,0)</f>
        <v>0</v>
      </c>
      <c r="AD31" s="17">
        <f>_xlfn.XLOOKUP($B31,'[2]Jan-26'!$A:$A,'[2]Jan-26'!$H:$H,0)</f>
        <v>0</v>
      </c>
      <c r="AE31" s="17">
        <f>_xlfn.XLOOKUP($B31,'[2]Feb-26'!$A:$A,'[2]Feb-26'!$H:$H,0)</f>
        <v>0</v>
      </c>
      <c r="AF31" s="17">
        <f>_xlfn.XLOOKUP($B31,'[2]Mar-26'!$A:$A,'[2]Mar-26'!$H:$H,0)</f>
        <v>0</v>
      </c>
      <c r="AG31" s="17">
        <f>_xlfn.XLOOKUP($B31,'[2]Apr-26'!$A:$A,'[2]Apr-26'!$H:$H,0)</f>
        <v>0</v>
      </c>
    </row>
    <row r="32" spans="1:33" x14ac:dyDescent="0.2">
      <c r="A32" s="58">
        <v>14000</v>
      </c>
      <c r="B32" s="56" t="str">
        <f t="shared" si="2"/>
        <v>14000</v>
      </c>
      <c r="C32" s="57" t="s">
        <v>422</v>
      </c>
      <c r="D32" s="57" t="s">
        <v>303</v>
      </c>
      <c r="E32" s="44" t="s">
        <v>762</v>
      </c>
      <c r="F32" s="17">
        <f>_xlfn.XLOOKUP($B32,'[2]Jan-24'!$A:$A,'[2]Jan-24'!$H:$H,0)</f>
        <v>0</v>
      </c>
      <c r="G32" s="17">
        <f>_xlfn.XLOOKUP($B32,'[2]Feb-24'!$A:$A,'[2]Feb-24'!$H:$H,0)</f>
        <v>0</v>
      </c>
      <c r="H32" s="17">
        <f>_xlfn.XLOOKUP($B32,'[2]Mar-24'!$A:$A,'[2]Mar-24'!$H:$H,0)</f>
        <v>0</v>
      </c>
      <c r="I32" s="17">
        <f>_xlfn.XLOOKUP($B32,'[2]Apr-24'!$A:$A,'[2]Apr-24'!$H:$H,0)</f>
        <v>0</v>
      </c>
      <c r="J32" s="17">
        <f>_xlfn.XLOOKUP($B32,'[2]May-24'!$A:$A,'[2]May-24'!$H:$H,0)</f>
        <v>0</v>
      </c>
      <c r="K32" s="17">
        <f>_xlfn.XLOOKUP($B32,'[2]Jun-24'!$A:$A,'[2]Jun-24'!$H:$H,0)</f>
        <v>0</v>
      </c>
      <c r="L32" s="17">
        <f>_xlfn.XLOOKUP($B32,'[2]Jul-24'!$A:$A,'[2]Jul-24'!$H:$H,0)</f>
        <v>0</v>
      </c>
      <c r="M32" s="17">
        <f>_xlfn.XLOOKUP($B32,'[2]Aug-24'!$A:$A,'[2]Aug-24'!$H:$H,0)</f>
        <v>0</v>
      </c>
      <c r="N32" s="17">
        <f>_xlfn.XLOOKUP($B32,'[2]Sep-24'!$A:$A,'[2]Sep-24'!$H:$H,0)</f>
        <v>0</v>
      </c>
      <c r="O32" s="17">
        <f>_xlfn.XLOOKUP($B32,'[2]Oct-24'!$A:$A,'[2]Oct-24'!$H:$H,0)</f>
        <v>0</v>
      </c>
      <c r="P32" s="17">
        <f>_xlfn.XLOOKUP($B32,'[2]Nov-24'!$A:$A,'[2]Nov-24'!$H:$H,0)</f>
        <v>0</v>
      </c>
      <c r="Q32" s="17">
        <f>_xlfn.XLOOKUP($B32,'[2]Dec-24'!$A:$A,'[2]Dec-24'!$H:$H,0)</f>
        <v>0</v>
      </c>
      <c r="R32" s="17">
        <f>_xlfn.XLOOKUP($B32,'[2]Jan-25'!$A:$A,'[2]Jan-25'!$H:$H,0)</f>
        <v>0</v>
      </c>
      <c r="S32" s="17">
        <f>_xlfn.XLOOKUP($B32,'[2]Feb-25'!$A:$A,'[2]Feb-25'!$H:$H,0)</f>
        <v>0</v>
      </c>
      <c r="T32" s="17">
        <f>_xlfn.XLOOKUP($B32,'[2]Mar-25'!$A:$A,'[2]Mar-25'!$H:$H,0)</f>
        <v>0</v>
      </c>
      <c r="U32" s="17">
        <f>_xlfn.XLOOKUP($B32,'[2]Apr-25'!$A:$A,'[2]Apr-25'!$H:$H,0)</f>
        <v>0</v>
      </c>
      <c r="V32" s="17">
        <f>_xlfn.XLOOKUP($B32,'[2]May-25'!$A:$A,'[2]May-25'!$H:$H,0)</f>
        <v>0</v>
      </c>
      <c r="W32" s="17">
        <f>_xlfn.XLOOKUP($B32,'[2]Jun-25'!$A:$A,'[2]Jun-25'!$H:$H,0)</f>
        <v>0</v>
      </c>
      <c r="X32" s="17">
        <f>_xlfn.XLOOKUP($B32,'[2]Jul-25'!$A:$A,'[2]Jul-25'!$H:$H,0)</f>
        <v>0</v>
      </c>
      <c r="Y32" s="17">
        <f>_xlfn.XLOOKUP($B32,'[2]Aug-25'!$A:$A,'[2]Aug-25'!$H:$H,0)</f>
        <v>0</v>
      </c>
      <c r="Z32" s="17">
        <f>_xlfn.XLOOKUP($B32,'[2]Sep-25'!$A:$A,'[2]Sep-25'!$H:$H,0)</f>
        <v>0</v>
      </c>
      <c r="AA32" s="17">
        <f>_xlfn.XLOOKUP($B32,'[2]Oct-25'!$A:$A,'[2]Oct-25'!$H:$H,0)</f>
        <v>0</v>
      </c>
      <c r="AB32" s="17">
        <f>_xlfn.XLOOKUP($B32,'[2]Nov-25'!$A:$A,'[2]Nov-25'!$H:$H,0)</f>
        <v>0</v>
      </c>
      <c r="AC32" s="17">
        <f>_xlfn.XLOOKUP($B32,'[2]Dec-25'!$A:$A,'[2]Dec-25'!$H:$H,0)</f>
        <v>0</v>
      </c>
      <c r="AD32" s="17">
        <f>_xlfn.XLOOKUP($B32,'[2]Jan-26'!$A:$A,'[2]Jan-26'!$H:$H,0)</f>
        <v>0</v>
      </c>
      <c r="AE32" s="17">
        <f>_xlfn.XLOOKUP($B32,'[2]Feb-26'!$A:$A,'[2]Feb-26'!$H:$H,0)</f>
        <v>0</v>
      </c>
      <c r="AF32" s="17">
        <f>_xlfn.XLOOKUP($B32,'[2]Mar-26'!$A:$A,'[2]Mar-26'!$H:$H,0)</f>
        <v>0</v>
      </c>
      <c r="AG32" s="17">
        <f>_xlfn.XLOOKUP($B32,'[2]Apr-26'!$A:$A,'[2]Apr-26'!$H:$H,0)</f>
        <v>0</v>
      </c>
    </row>
    <row r="33" spans="1:33" x14ac:dyDescent="0.2">
      <c r="A33" s="58">
        <v>14011</v>
      </c>
      <c r="B33" s="56" t="str">
        <f t="shared" si="2"/>
        <v>14011</v>
      </c>
      <c r="C33" s="57" t="s">
        <v>430</v>
      </c>
      <c r="D33" s="57" t="s">
        <v>429</v>
      </c>
      <c r="E33" s="44" t="s">
        <v>412</v>
      </c>
      <c r="F33" s="17">
        <f>_xlfn.XLOOKUP($B33,'[2]Jan-24'!$A:$A,'[2]Jan-24'!$H:$H,0)</f>
        <v>0</v>
      </c>
      <c r="G33" s="17">
        <f>_xlfn.XLOOKUP($B33,'[2]Feb-24'!$A:$A,'[2]Feb-24'!$H:$H,0)</f>
        <v>0</v>
      </c>
      <c r="H33" s="17">
        <f>_xlfn.XLOOKUP($B33,'[2]Mar-24'!$A:$A,'[2]Mar-24'!$H:$H,0)</f>
        <v>0</v>
      </c>
      <c r="I33" s="17">
        <f>_xlfn.XLOOKUP($B33,'[2]Apr-24'!$A:$A,'[2]Apr-24'!$H:$H,0)</f>
        <v>0</v>
      </c>
      <c r="J33" s="17">
        <f>_xlfn.XLOOKUP($B33,'[2]May-24'!$A:$A,'[2]May-24'!$H:$H,0)</f>
        <v>0</v>
      </c>
      <c r="K33" s="17">
        <f>_xlfn.XLOOKUP($B33,'[2]Jun-24'!$A:$A,'[2]Jun-24'!$H:$H,0)</f>
        <v>0</v>
      </c>
      <c r="L33" s="17">
        <f>_xlfn.XLOOKUP($B33,'[2]Jul-24'!$A:$A,'[2]Jul-24'!$H:$H,0)</f>
        <v>0</v>
      </c>
      <c r="M33" s="17">
        <f>_xlfn.XLOOKUP($B33,'[2]Aug-24'!$A:$A,'[2]Aug-24'!$H:$H,0)</f>
        <v>0</v>
      </c>
      <c r="N33" s="17">
        <f>_xlfn.XLOOKUP($B33,'[2]Sep-24'!$A:$A,'[2]Sep-24'!$H:$H,0)</f>
        <v>0</v>
      </c>
      <c r="O33" s="17">
        <f>_xlfn.XLOOKUP($B33,'[2]Oct-24'!$A:$A,'[2]Oct-24'!$H:$H,0)</f>
        <v>0</v>
      </c>
      <c r="P33" s="17">
        <f>_xlfn.XLOOKUP($B33,'[2]Nov-24'!$A:$A,'[2]Nov-24'!$H:$H,0)</f>
        <v>0</v>
      </c>
      <c r="Q33" s="17">
        <f>_xlfn.XLOOKUP($B33,'[2]Dec-24'!$A:$A,'[2]Dec-24'!$H:$H,0)</f>
        <v>0</v>
      </c>
      <c r="R33" s="17">
        <f>_xlfn.XLOOKUP($B33,'[2]Jan-25'!$A:$A,'[2]Jan-25'!$H:$H,0)</f>
        <v>0</v>
      </c>
      <c r="S33" s="17">
        <f>_xlfn.XLOOKUP($B33,'[2]Feb-25'!$A:$A,'[2]Feb-25'!$H:$H,0)</f>
        <v>0</v>
      </c>
      <c r="T33" s="17">
        <f>_xlfn.XLOOKUP($B33,'[2]Mar-25'!$A:$A,'[2]Mar-25'!$H:$H,0)</f>
        <v>0</v>
      </c>
      <c r="U33" s="17">
        <f>_xlfn.XLOOKUP($B33,'[2]Apr-25'!$A:$A,'[2]Apr-25'!$H:$H,0)</f>
        <v>0</v>
      </c>
      <c r="V33" s="17">
        <f>_xlfn.XLOOKUP($B33,'[2]May-25'!$A:$A,'[2]May-25'!$H:$H,0)</f>
        <v>0</v>
      </c>
      <c r="W33" s="17">
        <f>_xlfn.XLOOKUP($B33,'[2]Jun-25'!$A:$A,'[2]Jun-25'!$H:$H,0)</f>
        <v>0</v>
      </c>
      <c r="X33" s="17">
        <f>_xlfn.XLOOKUP($B33,'[2]Jul-25'!$A:$A,'[2]Jul-25'!$H:$H,0)</f>
        <v>0</v>
      </c>
      <c r="Y33" s="17">
        <f>_xlfn.XLOOKUP($B33,'[2]Aug-25'!$A:$A,'[2]Aug-25'!$H:$H,0)</f>
        <v>0</v>
      </c>
      <c r="Z33" s="17">
        <f>_xlfn.XLOOKUP($B33,'[2]Sep-25'!$A:$A,'[2]Sep-25'!$H:$H,0)</f>
        <v>0</v>
      </c>
      <c r="AA33" s="17">
        <f>_xlfn.XLOOKUP($B33,'[2]Oct-25'!$A:$A,'[2]Oct-25'!$H:$H,0)</f>
        <v>0</v>
      </c>
      <c r="AB33" s="17">
        <f>_xlfn.XLOOKUP($B33,'[2]Nov-25'!$A:$A,'[2]Nov-25'!$H:$H,0)</f>
        <v>0</v>
      </c>
      <c r="AC33" s="17">
        <f>_xlfn.XLOOKUP($B33,'[2]Dec-25'!$A:$A,'[2]Dec-25'!$H:$H,0)</f>
        <v>0</v>
      </c>
      <c r="AD33" s="17">
        <f>_xlfn.XLOOKUP($B33,'[2]Jan-26'!$A:$A,'[2]Jan-26'!$H:$H,0)</f>
        <v>0</v>
      </c>
      <c r="AE33" s="17">
        <f>_xlfn.XLOOKUP($B33,'[2]Feb-26'!$A:$A,'[2]Feb-26'!$H:$H,0)</f>
        <v>0</v>
      </c>
      <c r="AF33" s="17">
        <f>_xlfn.XLOOKUP($B33,'[2]Mar-26'!$A:$A,'[2]Mar-26'!$H:$H,0)</f>
        <v>0</v>
      </c>
      <c r="AG33" s="17">
        <f>_xlfn.XLOOKUP($B33,'[2]Apr-26'!$A:$A,'[2]Apr-26'!$H:$H,0)</f>
        <v>0</v>
      </c>
    </row>
    <row r="34" spans="1:33" x14ac:dyDescent="0.2">
      <c r="A34" s="58">
        <v>14022</v>
      </c>
      <c r="B34" s="56" t="str">
        <f t="shared" si="2"/>
        <v>14022</v>
      </c>
      <c r="C34" s="57" t="s">
        <v>371</v>
      </c>
      <c r="D34" s="57" t="s">
        <v>303</v>
      </c>
      <c r="E34" s="44" t="s">
        <v>763</v>
      </c>
      <c r="F34" s="17">
        <f>_xlfn.XLOOKUP($B34,'[2]Jan-24'!$A:$A,'[2]Jan-24'!$H:$H,0)</f>
        <v>0</v>
      </c>
      <c r="G34" s="17">
        <f>_xlfn.XLOOKUP($B34,'[2]Feb-24'!$A:$A,'[2]Feb-24'!$H:$H,0)</f>
        <v>0</v>
      </c>
      <c r="H34" s="17">
        <f>_xlfn.XLOOKUP($B34,'[2]Mar-24'!$A:$A,'[2]Mar-24'!$H:$H,0)</f>
        <v>0</v>
      </c>
      <c r="I34" s="17">
        <f>_xlfn.XLOOKUP($B34,'[2]Apr-24'!$A:$A,'[2]Apr-24'!$H:$H,0)</f>
        <v>0</v>
      </c>
      <c r="J34" s="17">
        <f>_xlfn.XLOOKUP($B34,'[2]May-24'!$A:$A,'[2]May-24'!$H:$H,0)</f>
        <v>0</v>
      </c>
      <c r="K34" s="17">
        <f>_xlfn.XLOOKUP($B34,'[2]Jun-24'!$A:$A,'[2]Jun-24'!$H:$H,0)</f>
        <v>0</v>
      </c>
      <c r="L34" s="17">
        <f>_xlfn.XLOOKUP($B34,'[2]Jul-24'!$A:$A,'[2]Jul-24'!$H:$H,0)</f>
        <v>0</v>
      </c>
      <c r="M34" s="17">
        <f>_xlfn.XLOOKUP($B34,'[2]Aug-24'!$A:$A,'[2]Aug-24'!$H:$H,0)</f>
        <v>0</v>
      </c>
      <c r="N34" s="17">
        <f>_xlfn.XLOOKUP($B34,'[2]Sep-24'!$A:$A,'[2]Sep-24'!$H:$H,0)</f>
        <v>0</v>
      </c>
      <c r="O34" s="17">
        <f>_xlfn.XLOOKUP($B34,'[2]Oct-24'!$A:$A,'[2]Oct-24'!$H:$H,0)</f>
        <v>0</v>
      </c>
      <c r="P34" s="17">
        <f>_xlfn.XLOOKUP($B34,'[2]Nov-24'!$A:$A,'[2]Nov-24'!$H:$H,0)</f>
        <v>0</v>
      </c>
      <c r="Q34" s="17">
        <f>_xlfn.XLOOKUP($B34,'[2]Dec-24'!$A:$A,'[2]Dec-24'!$H:$H,0)</f>
        <v>0</v>
      </c>
      <c r="R34" s="17">
        <f>_xlfn.XLOOKUP($B34,'[2]Jan-25'!$A:$A,'[2]Jan-25'!$H:$H,0)</f>
        <v>0</v>
      </c>
      <c r="S34" s="17">
        <f>_xlfn.XLOOKUP($B34,'[2]Feb-25'!$A:$A,'[2]Feb-25'!$H:$H,0)</f>
        <v>0</v>
      </c>
      <c r="T34" s="17">
        <f>_xlfn.XLOOKUP($B34,'[2]Mar-25'!$A:$A,'[2]Mar-25'!$H:$H,0)</f>
        <v>0</v>
      </c>
      <c r="U34" s="17">
        <f>_xlfn.XLOOKUP($B34,'[2]Apr-25'!$A:$A,'[2]Apr-25'!$H:$H,0)</f>
        <v>0</v>
      </c>
      <c r="V34" s="17">
        <f>_xlfn.XLOOKUP($B34,'[2]May-25'!$A:$A,'[2]May-25'!$H:$H,0)</f>
        <v>0</v>
      </c>
      <c r="W34" s="17">
        <f>_xlfn.XLOOKUP($B34,'[2]Jun-25'!$A:$A,'[2]Jun-25'!$H:$H,0)</f>
        <v>0</v>
      </c>
      <c r="X34" s="17">
        <f>_xlfn.XLOOKUP($B34,'[2]Jul-25'!$A:$A,'[2]Jul-25'!$H:$H,0)</f>
        <v>0</v>
      </c>
      <c r="Y34" s="17">
        <f>_xlfn.XLOOKUP($B34,'[2]Aug-25'!$A:$A,'[2]Aug-25'!$H:$H,0)</f>
        <v>0</v>
      </c>
      <c r="Z34" s="17">
        <f>_xlfn.XLOOKUP($B34,'[2]Sep-25'!$A:$A,'[2]Sep-25'!$H:$H,0)</f>
        <v>0</v>
      </c>
      <c r="AA34" s="17">
        <f>_xlfn.XLOOKUP($B34,'[2]Oct-25'!$A:$A,'[2]Oct-25'!$H:$H,0)</f>
        <v>0</v>
      </c>
      <c r="AB34" s="17">
        <f>_xlfn.XLOOKUP($B34,'[2]Nov-25'!$A:$A,'[2]Nov-25'!$H:$H,0)</f>
        <v>0</v>
      </c>
      <c r="AC34" s="17">
        <f>_xlfn.XLOOKUP($B34,'[2]Dec-25'!$A:$A,'[2]Dec-25'!$H:$H,0)</f>
        <v>0</v>
      </c>
      <c r="AD34" s="17">
        <f>_xlfn.XLOOKUP($B34,'[2]Jan-26'!$A:$A,'[2]Jan-26'!$H:$H,0)</f>
        <v>0</v>
      </c>
      <c r="AE34" s="17">
        <f>_xlfn.XLOOKUP($B34,'[2]Feb-26'!$A:$A,'[2]Feb-26'!$H:$H,0)</f>
        <v>0</v>
      </c>
      <c r="AF34" s="17">
        <f>_xlfn.XLOOKUP($B34,'[2]Mar-26'!$A:$A,'[2]Mar-26'!$H:$H,0)</f>
        <v>0</v>
      </c>
      <c r="AG34" s="17">
        <f>_xlfn.XLOOKUP($B34,'[2]Apr-26'!$A:$A,'[2]Apr-26'!$H:$H,0)</f>
        <v>0</v>
      </c>
    </row>
    <row r="35" spans="1:33" x14ac:dyDescent="0.2">
      <c r="A35" s="58">
        <v>15000</v>
      </c>
      <c r="B35" s="56" t="str">
        <f t="shared" si="2"/>
        <v>15000</v>
      </c>
      <c r="C35" s="57" t="s">
        <v>416</v>
      </c>
      <c r="D35" s="57" t="s">
        <v>303</v>
      </c>
      <c r="E35" s="44" t="s">
        <v>764</v>
      </c>
      <c r="F35" s="17">
        <f>_xlfn.XLOOKUP($B35,'[2]Jan-24'!$A:$A,'[2]Jan-24'!$H:$H,0)</f>
        <v>0</v>
      </c>
      <c r="G35" s="17">
        <f>_xlfn.XLOOKUP($B35,'[2]Feb-24'!$A:$A,'[2]Feb-24'!$H:$H,0)</f>
        <v>0</v>
      </c>
      <c r="H35" s="17">
        <f>_xlfn.XLOOKUP($B35,'[2]Mar-24'!$A:$A,'[2]Mar-24'!$H:$H,0)</f>
        <v>0</v>
      </c>
      <c r="I35" s="17">
        <f>_xlfn.XLOOKUP($B35,'[2]Apr-24'!$A:$A,'[2]Apr-24'!$H:$H,0)</f>
        <v>416.63</v>
      </c>
      <c r="J35" s="17">
        <f>_xlfn.XLOOKUP($B35,'[2]May-24'!$A:$A,'[2]May-24'!$H:$H,0)</f>
        <v>1932.46</v>
      </c>
      <c r="K35" s="17">
        <f>_xlfn.XLOOKUP($B35,'[2]Jun-24'!$A:$A,'[2]Jun-24'!$H:$H,0)</f>
        <v>1932.46</v>
      </c>
      <c r="L35" s="17">
        <f>_xlfn.XLOOKUP($B35,'[2]Jul-24'!$A:$A,'[2]Jul-24'!$H:$H,0)</f>
        <v>1932.46</v>
      </c>
      <c r="M35" s="17">
        <f>_xlfn.XLOOKUP($B35,'[2]Aug-24'!$A:$A,'[2]Aug-24'!$H:$H,0)</f>
        <v>1932.46</v>
      </c>
      <c r="N35" s="17">
        <f>_xlfn.XLOOKUP($B35,'[2]Sep-24'!$A:$A,'[2]Sep-24'!$H:$H,0)</f>
        <v>1932.46</v>
      </c>
      <c r="O35" s="17">
        <f>_xlfn.XLOOKUP($B35,'[2]Oct-24'!$A:$A,'[2]Oct-24'!$H:$H,0)</f>
        <v>1932.46</v>
      </c>
      <c r="P35" s="17">
        <f>_xlfn.XLOOKUP($B35,'[2]Nov-24'!$A:$A,'[2]Nov-24'!$H:$H,0)</f>
        <v>1932.46</v>
      </c>
      <c r="Q35" s="17">
        <f>_xlfn.XLOOKUP($B35,'[2]Dec-24'!$A:$A,'[2]Dec-24'!$H:$H,0)</f>
        <v>1932.46</v>
      </c>
      <c r="R35" s="17">
        <f>_xlfn.XLOOKUP($B35,'[2]Jan-25'!$A:$A,'[2]Jan-25'!$H:$H,0)</f>
        <v>1932.46</v>
      </c>
      <c r="S35" s="17">
        <f>_xlfn.XLOOKUP($B35,'[2]Feb-25'!$A:$A,'[2]Feb-25'!$H:$H,0)</f>
        <v>1932.46</v>
      </c>
      <c r="T35" s="17">
        <f>_xlfn.XLOOKUP($B35,'[2]Mar-25'!$A:$A,'[2]Mar-25'!$H:$H,0)</f>
        <v>1932.46</v>
      </c>
      <c r="U35" s="17">
        <f>_xlfn.XLOOKUP($B35,'[2]Apr-25'!$A:$A,'[2]Apr-25'!$H:$H,0)</f>
        <v>1932.46</v>
      </c>
      <c r="V35" s="17">
        <f>_xlfn.XLOOKUP($B35,'[2]May-25'!$A:$A,'[2]May-25'!$H:$H,0)</f>
        <v>1932.46</v>
      </c>
      <c r="W35" s="17">
        <f>_xlfn.XLOOKUP($B35,'[2]Jun-25'!$A:$A,'[2]Jun-25'!$H:$H,0)</f>
        <v>1932.46</v>
      </c>
      <c r="X35" s="17">
        <f>_xlfn.XLOOKUP($B35,'[2]Jul-25'!$A:$A,'[2]Jul-25'!$H:$H,0)</f>
        <v>1932.46</v>
      </c>
      <c r="Y35" s="17">
        <f>_xlfn.XLOOKUP($B35,'[2]Aug-25'!$A:$A,'[2]Aug-25'!$H:$H,0)</f>
        <v>1932.46</v>
      </c>
      <c r="Z35" s="17">
        <f>_xlfn.XLOOKUP($B35,'[2]Sep-25'!$A:$A,'[2]Sep-25'!$H:$H,0)</f>
        <v>1932.46</v>
      </c>
      <c r="AA35" s="17">
        <f>_xlfn.XLOOKUP($B35,'[2]Oct-25'!$A:$A,'[2]Oct-25'!$H:$H,0)</f>
        <v>1932.46</v>
      </c>
      <c r="AB35" s="17">
        <f>_xlfn.XLOOKUP($B35,'[2]Nov-25'!$A:$A,'[2]Nov-25'!$H:$H,0)</f>
        <v>1932.46</v>
      </c>
      <c r="AC35" s="17">
        <f>_xlfn.XLOOKUP($B35,'[2]Dec-25'!$A:$A,'[2]Dec-25'!$H:$H,0)</f>
        <v>1932.46</v>
      </c>
      <c r="AD35" s="17">
        <f>_xlfn.XLOOKUP($B35,'[2]Jan-26'!$A:$A,'[2]Jan-26'!$H:$H,0)</f>
        <v>1932.46</v>
      </c>
      <c r="AE35" s="17">
        <f>_xlfn.XLOOKUP($B35,'[2]Feb-26'!$A:$A,'[2]Feb-26'!$H:$H,0)</f>
        <v>1932.46</v>
      </c>
      <c r="AF35" s="17">
        <f>_xlfn.XLOOKUP($B35,'[2]Mar-26'!$A:$A,'[2]Mar-26'!$H:$H,0)</f>
        <v>1932.46</v>
      </c>
      <c r="AG35" s="17">
        <f>_xlfn.XLOOKUP($B35,'[2]Apr-26'!$A:$A,'[2]Apr-26'!$H:$H,0)</f>
        <v>1932.46</v>
      </c>
    </row>
    <row r="36" spans="1:33" x14ac:dyDescent="0.2">
      <c r="A36" s="58">
        <v>15020</v>
      </c>
      <c r="B36" s="56" t="str">
        <f t="shared" si="2"/>
        <v>15020</v>
      </c>
      <c r="C36" s="57" t="s">
        <v>416</v>
      </c>
      <c r="D36" s="57" t="s">
        <v>303</v>
      </c>
      <c r="E36" s="44" t="s">
        <v>765</v>
      </c>
      <c r="F36" s="17">
        <f>_xlfn.XLOOKUP($B36,'[2]Jan-24'!$A:$A,'[2]Jan-24'!$H:$H,0)</f>
        <v>0</v>
      </c>
      <c r="G36" s="17">
        <f>_xlfn.XLOOKUP($B36,'[2]Feb-24'!$A:$A,'[2]Feb-24'!$H:$H,0)</f>
        <v>0</v>
      </c>
      <c r="H36" s="17">
        <f>_xlfn.XLOOKUP($B36,'[2]Mar-24'!$A:$A,'[2]Mar-24'!$H:$H,0)</f>
        <v>0</v>
      </c>
      <c r="I36" s="17">
        <f>_xlfn.XLOOKUP($B36,'[2]Apr-24'!$A:$A,'[2]Apr-24'!$H:$H,0)</f>
        <v>5075</v>
      </c>
      <c r="J36" s="17">
        <f>_xlfn.XLOOKUP($B36,'[2]May-24'!$A:$A,'[2]May-24'!$H:$H,0)</f>
        <v>5075</v>
      </c>
      <c r="K36" s="17">
        <f>_xlfn.XLOOKUP($B36,'[2]Jun-24'!$A:$A,'[2]Jun-24'!$H:$H,0)</f>
        <v>5548.24</v>
      </c>
      <c r="L36" s="17">
        <f>_xlfn.XLOOKUP($B36,'[2]Jul-24'!$A:$A,'[2]Jul-24'!$H:$H,0)</f>
        <v>5548.24</v>
      </c>
      <c r="M36" s="17">
        <f>_xlfn.XLOOKUP($B36,'[2]Aug-24'!$A:$A,'[2]Aug-24'!$H:$H,0)</f>
        <v>5548.24</v>
      </c>
      <c r="N36" s="17">
        <f>_xlfn.XLOOKUP($B36,'[2]Sep-24'!$A:$A,'[2]Sep-24'!$H:$H,0)</f>
        <v>5548.24</v>
      </c>
      <c r="O36" s="17">
        <f>_xlfn.XLOOKUP($B36,'[2]Oct-24'!$A:$A,'[2]Oct-24'!$H:$H,0)</f>
        <v>5548.24</v>
      </c>
      <c r="P36" s="17">
        <f>_xlfn.XLOOKUP($B36,'[2]Nov-24'!$A:$A,'[2]Nov-24'!$H:$H,0)</f>
        <v>5548.24</v>
      </c>
      <c r="Q36" s="17">
        <f>_xlfn.XLOOKUP($B36,'[2]Dec-24'!$A:$A,'[2]Dec-24'!$H:$H,0)</f>
        <v>5548.24</v>
      </c>
      <c r="R36" s="17">
        <f>_xlfn.XLOOKUP($B36,'[2]Jan-25'!$A:$A,'[2]Jan-25'!$H:$H,0)</f>
        <v>5548.24</v>
      </c>
      <c r="S36" s="17">
        <f>_xlfn.XLOOKUP($B36,'[2]Feb-25'!$A:$A,'[2]Feb-25'!$H:$H,0)</f>
        <v>5548.24</v>
      </c>
      <c r="T36" s="17">
        <f>_xlfn.XLOOKUP($B36,'[2]Mar-25'!$A:$A,'[2]Mar-25'!$H:$H,0)</f>
        <v>5548.24</v>
      </c>
      <c r="U36" s="17">
        <f>_xlfn.XLOOKUP($B36,'[2]Apr-25'!$A:$A,'[2]Apr-25'!$H:$H,0)</f>
        <v>5548.24</v>
      </c>
      <c r="V36" s="17">
        <f>_xlfn.XLOOKUP($B36,'[2]May-25'!$A:$A,'[2]May-25'!$H:$H,0)</f>
        <v>5548.24</v>
      </c>
      <c r="W36" s="17">
        <f>_xlfn.XLOOKUP($B36,'[2]Jun-25'!$A:$A,'[2]Jun-25'!$H:$H,0)</f>
        <v>5548.24</v>
      </c>
      <c r="X36" s="17">
        <f>_xlfn.XLOOKUP($B36,'[2]Jul-25'!$A:$A,'[2]Jul-25'!$H:$H,0)</f>
        <v>5548.24</v>
      </c>
      <c r="Y36" s="17">
        <f>_xlfn.XLOOKUP($B36,'[2]Aug-25'!$A:$A,'[2]Aug-25'!$H:$H,0)</f>
        <v>5548.24</v>
      </c>
      <c r="Z36" s="17">
        <f>_xlfn.XLOOKUP($B36,'[2]Sep-25'!$A:$A,'[2]Sep-25'!$H:$H,0)</f>
        <v>5548.24</v>
      </c>
      <c r="AA36" s="17">
        <f>_xlfn.XLOOKUP($B36,'[2]Oct-25'!$A:$A,'[2]Oct-25'!$H:$H,0)</f>
        <v>5548.24</v>
      </c>
      <c r="AB36" s="17">
        <f>_xlfn.XLOOKUP($B36,'[2]Nov-25'!$A:$A,'[2]Nov-25'!$H:$H,0)</f>
        <v>5548.24</v>
      </c>
      <c r="AC36" s="17">
        <f>_xlfn.XLOOKUP($B36,'[2]Dec-25'!$A:$A,'[2]Dec-25'!$H:$H,0)</f>
        <v>5548.24</v>
      </c>
      <c r="AD36" s="17">
        <f>_xlfn.XLOOKUP($B36,'[2]Jan-26'!$A:$A,'[2]Jan-26'!$H:$H,0)</f>
        <v>5548.24</v>
      </c>
      <c r="AE36" s="17">
        <f>_xlfn.XLOOKUP($B36,'[2]Feb-26'!$A:$A,'[2]Feb-26'!$H:$H,0)</f>
        <v>5548.24</v>
      </c>
      <c r="AF36" s="17">
        <f>_xlfn.XLOOKUP($B36,'[2]Mar-26'!$A:$A,'[2]Mar-26'!$H:$H,0)</f>
        <v>5548.24</v>
      </c>
      <c r="AG36" s="17">
        <f>_xlfn.XLOOKUP($B36,'[2]Apr-26'!$A:$A,'[2]Apr-26'!$H:$H,0)</f>
        <v>5548.24</v>
      </c>
    </row>
    <row r="37" spans="1:33" x14ac:dyDescent="0.2">
      <c r="A37" s="58">
        <v>15030</v>
      </c>
      <c r="B37" s="56" t="str">
        <f t="shared" si="2"/>
        <v>15030</v>
      </c>
      <c r="C37" s="57" t="s">
        <v>416</v>
      </c>
      <c r="D37" s="57" t="s">
        <v>303</v>
      </c>
      <c r="E37" s="44" t="s">
        <v>766</v>
      </c>
      <c r="F37" s="17">
        <f>_xlfn.XLOOKUP($B37,'[2]Jan-24'!$A:$A,'[2]Jan-24'!$H:$H,0)</f>
        <v>0</v>
      </c>
      <c r="G37" s="17">
        <f>_xlfn.XLOOKUP($B37,'[2]Feb-24'!$A:$A,'[2]Feb-24'!$H:$H,0)</f>
        <v>0</v>
      </c>
      <c r="H37" s="17">
        <f>_xlfn.XLOOKUP($B37,'[2]Mar-24'!$A:$A,'[2]Mar-24'!$H:$H,0)</f>
        <v>0</v>
      </c>
      <c r="I37" s="17">
        <f>_xlfn.XLOOKUP($B37,'[2]Apr-24'!$A:$A,'[2]Apr-24'!$H:$H,0)</f>
        <v>0</v>
      </c>
      <c r="J37" s="17">
        <f>_xlfn.XLOOKUP($B37,'[2]May-24'!$A:$A,'[2]May-24'!$H:$H,0)</f>
        <v>0</v>
      </c>
      <c r="K37" s="17">
        <f>_xlfn.XLOOKUP($B37,'[2]Jun-24'!$A:$A,'[2]Jun-24'!$H:$H,0)</f>
        <v>0</v>
      </c>
      <c r="L37" s="17">
        <f>_xlfn.XLOOKUP($B37,'[2]Jul-24'!$A:$A,'[2]Jul-24'!$H:$H,0)</f>
        <v>0</v>
      </c>
      <c r="M37" s="17">
        <f>_xlfn.XLOOKUP($B37,'[2]Aug-24'!$A:$A,'[2]Aug-24'!$H:$H,0)</f>
        <v>0</v>
      </c>
      <c r="N37" s="17">
        <f>_xlfn.XLOOKUP($B37,'[2]Sep-24'!$A:$A,'[2]Sep-24'!$H:$H,0)</f>
        <v>0</v>
      </c>
      <c r="O37" s="17">
        <f>_xlfn.XLOOKUP($B37,'[2]Oct-24'!$A:$A,'[2]Oct-24'!$H:$H,0)</f>
        <v>0</v>
      </c>
      <c r="P37" s="17">
        <f>_xlfn.XLOOKUP($B37,'[2]Nov-24'!$A:$A,'[2]Nov-24'!$H:$H,0)</f>
        <v>0</v>
      </c>
      <c r="Q37" s="17">
        <f>_xlfn.XLOOKUP($B37,'[2]Dec-24'!$A:$A,'[2]Dec-24'!$H:$H,0)</f>
        <v>0</v>
      </c>
      <c r="R37" s="17">
        <f>_xlfn.XLOOKUP($B37,'[2]Jan-25'!$A:$A,'[2]Jan-25'!$H:$H,0)</f>
        <v>0</v>
      </c>
      <c r="S37" s="17">
        <f>_xlfn.XLOOKUP($B37,'[2]Feb-25'!$A:$A,'[2]Feb-25'!$H:$H,0)</f>
        <v>0</v>
      </c>
      <c r="T37" s="17">
        <f>_xlfn.XLOOKUP($B37,'[2]Mar-25'!$A:$A,'[2]Mar-25'!$H:$H,0)</f>
        <v>0</v>
      </c>
      <c r="U37" s="17">
        <f>_xlfn.XLOOKUP($B37,'[2]Apr-25'!$A:$A,'[2]Apr-25'!$H:$H,0)</f>
        <v>0</v>
      </c>
      <c r="V37" s="17">
        <f>_xlfn.XLOOKUP($B37,'[2]May-25'!$A:$A,'[2]May-25'!$H:$H,0)</f>
        <v>0</v>
      </c>
      <c r="W37" s="17">
        <f>_xlfn.XLOOKUP($B37,'[2]Jun-25'!$A:$A,'[2]Jun-25'!$H:$H,0)</f>
        <v>0</v>
      </c>
      <c r="X37" s="17">
        <f>_xlfn.XLOOKUP($B37,'[2]Jul-25'!$A:$A,'[2]Jul-25'!$H:$H,0)</f>
        <v>0</v>
      </c>
      <c r="Y37" s="17">
        <f>_xlfn.XLOOKUP($B37,'[2]Aug-25'!$A:$A,'[2]Aug-25'!$H:$H,0)</f>
        <v>0</v>
      </c>
      <c r="Z37" s="17">
        <f>_xlfn.XLOOKUP($B37,'[2]Sep-25'!$A:$A,'[2]Sep-25'!$H:$H,0)</f>
        <v>0</v>
      </c>
      <c r="AA37" s="17">
        <f>_xlfn.XLOOKUP($B37,'[2]Oct-25'!$A:$A,'[2]Oct-25'!$H:$H,0)</f>
        <v>0</v>
      </c>
      <c r="AB37" s="17">
        <f>_xlfn.XLOOKUP($B37,'[2]Nov-25'!$A:$A,'[2]Nov-25'!$H:$H,0)</f>
        <v>0</v>
      </c>
      <c r="AC37" s="17">
        <f>_xlfn.XLOOKUP($B37,'[2]Dec-25'!$A:$A,'[2]Dec-25'!$H:$H,0)</f>
        <v>0</v>
      </c>
      <c r="AD37" s="17">
        <f>_xlfn.XLOOKUP($B37,'[2]Jan-26'!$A:$A,'[2]Jan-26'!$H:$H,0)</f>
        <v>0</v>
      </c>
      <c r="AE37" s="17">
        <f>_xlfn.XLOOKUP($B37,'[2]Feb-26'!$A:$A,'[2]Feb-26'!$H:$H,0)</f>
        <v>0</v>
      </c>
      <c r="AF37" s="17">
        <f>_xlfn.XLOOKUP($B37,'[2]Mar-26'!$A:$A,'[2]Mar-26'!$H:$H,0)</f>
        <v>0</v>
      </c>
      <c r="AG37" s="17">
        <f>_xlfn.XLOOKUP($B37,'[2]Apr-26'!$A:$A,'[2]Apr-26'!$H:$H,0)</f>
        <v>0</v>
      </c>
    </row>
    <row r="38" spans="1:33" x14ac:dyDescent="0.2">
      <c r="A38" s="58">
        <v>15040</v>
      </c>
      <c r="B38" s="56" t="str">
        <f t="shared" si="2"/>
        <v>15040</v>
      </c>
      <c r="C38" s="57" t="s">
        <v>416</v>
      </c>
      <c r="D38" s="57" t="s">
        <v>303</v>
      </c>
      <c r="E38" s="44" t="s">
        <v>767</v>
      </c>
      <c r="F38" s="17">
        <f>_xlfn.XLOOKUP($B38,'[2]Jan-24'!$A:$A,'[2]Jan-24'!$H:$H,0)</f>
        <v>0</v>
      </c>
      <c r="G38" s="17">
        <f>_xlfn.XLOOKUP($B38,'[2]Feb-24'!$A:$A,'[2]Feb-24'!$H:$H,0)</f>
        <v>0</v>
      </c>
      <c r="H38" s="17">
        <f>_xlfn.XLOOKUP($B38,'[2]Mar-24'!$A:$A,'[2]Mar-24'!$H:$H,0)</f>
        <v>0</v>
      </c>
      <c r="I38" s="17">
        <f>_xlfn.XLOOKUP($B38,'[2]Apr-24'!$A:$A,'[2]Apr-24'!$H:$H,0)</f>
        <v>0</v>
      </c>
      <c r="J38" s="17">
        <f>_xlfn.XLOOKUP($B38,'[2]May-24'!$A:$A,'[2]May-24'!$H:$H,0)</f>
        <v>0</v>
      </c>
      <c r="K38" s="17">
        <f>_xlfn.XLOOKUP($B38,'[2]Jun-24'!$A:$A,'[2]Jun-24'!$H:$H,0)</f>
        <v>0</v>
      </c>
      <c r="L38" s="17">
        <f>_xlfn.XLOOKUP($B38,'[2]Jul-24'!$A:$A,'[2]Jul-24'!$H:$H,0)</f>
        <v>0</v>
      </c>
      <c r="M38" s="17">
        <f>_xlfn.XLOOKUP($B38,'[2]Aug-24'!$A:$A,'[2]Aug-24'!$H:$H,0)</f>
        <v>0</v>
      </c>
      <c r="N38" s="17">
        <f>_xlfn.XLOOKUP($B38,'[2]Sep-24'!$A:$A,'[2]Sep-24'!$H:$H,0)</f>
        <v>0</v>
      </c>
      <c r="O38" s="17">
        <f>_xlfn.XLOOKUP($B38,'[2]Oct-24'!$A:$A,'[2]Oct-24'!$H:$H,0)</f>
        <v>0</v>
      </c>
      <c r="P38" s="17">
        <f>_xlfn.XLOOKUP($B38,'[2]Nov-24'!$A:$A,'[2]Nov-24'!$H:$H,0)</f>
        <v>0</v>
      </c>
      <c r="Q38" s="17">
        <f>_xlfn.XLOOKUP($B38,'[2]Dec-24'!$A:$A,'[2]Dec-24'!$H:$H,0)</f>
        <v>0</v>
      </c>
      <c r="R38" s="17">
        <f>_xlfn.XLOOKUP($B38,'[2]Jan-25'!$A:$A,'[2]Jan-25'!$H:$H,0)</f>
        <v>0</v>
      </c>
      <c r="S38" s="17">
        <f>_xlfn.XLOOKUP($B38,'[2]Feb-25'!$A:$A,'[2]Feb-25'!$H:$H,0)</f>
        <v>0</v>
      </c>
      <c r="T38" s="17">
        <f>_xlfn.XLOOKUP($B38,'[2]Mar-25'!$A:$A,'[2]Mar-25'!$H:$H,0)</f>
        <v>0</v>
      </c>
      <c r="U38" s="17">
        <f>_xlfn.XLOOKUP($B38,'[2]Apr-25'!$A:$A,'[2]Apr-25'!$H:$H,0)</f>
        <v>0</v>
      </c>
      <c r="V38" s="17">
        <f>_xlfn.XLOOKUP($B38,'[2]May-25'!$A:$A,'[2]May-25'!$H:$H,0)</f>
        <v>0</v>
      </c>
      <c r="W38" s="17">
        <f>_xlfn.XLOOKUP($B38,'[2]Jun-25'!$A:$A,'[2]Jun-25'!$H:$H,0)</f>
        <v>0</v>
      </c>
      <c r="X38" s="17">
        <f>_xlfn.XLOOKUP($B38,'[2]Jul-25'!$A:$A,'[2]Jul-25'!$H:$H,0)</f>
        <v>0</v>
      </c>
      <c r="Y38" s="17">
        <f>_xlfn.XLOOKUP($B38,'[2]Aug-25'!$A:$A,'[2]Aug-25'!$H:$H,0)</f>
        <v>0</v>
      </c>
      <c r="Z38" s="17">
        <f>_xlfn.XLOOKUP($B38,'[2]Sep-25'!$A:$A,'[2]Sep-25'!$H:$H,0)</f>
        <v>0</v>
      </c>
      <c r="AA38" s="17">
        <f>_xlfn.XLOOKUP($B38,'[2]Oct-25'!$A:$A,'[2]Oct-25'!$H:$H,0)</f>
        <v>0</v>
      </c>
      <c r="AB38" s="17">
        <f>_xlfn.XLOOKUP($B38,'[2]Nov-25'!$A:$A,'[2]Nov-25'!$H:$H,0)</f>
        <v>0</v>
      </c>
      <c r="AC38" s="17">
        <f>_xlfn.XLOOKUP($B38,'[2]Dec-25'!$A:$A,'[2]Dec-25'!$H:$H,0)</f>
        <v>0</v>
      </c>
      <c r="AD38" s="17">
        <f>_xlfn.XLOOKUP($B38,'[2]Jan-26'!$A:$A,'[2]Jan-26'!$H:$H,0)</f>
        <v>0</v>
      </c>
      <c r="AE38" s="17">
        <f>_xlfn.XLOOKUP($B38,'[2]Feb-26'!$A:$A,'[2]Feb-26'!$H:$H,0)</f>
        <v>0</v>
      </c>
      <c r="AF38" s="17">
        <f>_xlfn.XLOOKUP($B38,'[2]Mar-26'!$A:$A,'[2]Mar-26'!$H:$H,0)</f>
        <v>0</v>
      </c>
      <c r="AG38" s="17">
        <f>_xlfn.XLOOKUP($B38,'[2]Apr-26'!$A:$A,'[2]Apr-26'!$H:$H,0)</f>
        <v>0</v>
      </c>
    </row>
    <row r="39" spans="1:33" x14ac:dyDescent="0.2">
      <c r="A39" s="58">
        <v>15100</v>
      </c>
      <c r="B39" s="56" t="str">
        <f t="shared" si="2"/>
        <v>15100</v>
      </c>
      <c r="C39" s="57" t="s">
        <v>416</v>
      </c>
      <c r="D39" s="57" t="s">
        <v>303</v>
      </c>
      <c r="E39" s="44" t="s">
        <v>768</v>
      </c>
      <c r="F39" s="17">
        <f>_xlfn.XLOOKUP($B39,'[2]Jan-24'!$A:$A,'[2]Jan-24'!$H:$H,0)</f>
        <v>0</v>
      </c>
      <c r="G39" s="17">
        <f>_xlfn.XLOOKUP($B39,'[2]Feb-24'!$A:$A,'[2]Feb-24'!$H:$H,0)</f>
        <v>0</v>
      </c>
      <c r="H39" s="17">
        <f>_xlfn.XLOOKUP($B39,'[2]Mar-24'!$A:$A,'[2]Mar-24'!$H:$H,0)</f>
        <v>0</v>
      </c>
      <c r="I39" s="17">
        <f>_xlfn.XLOOKUP($B39,'[2]Apr-24'!$A:$A,'[2]Apr-24'!$H:$H,0)</f>
        <v>0</v>
      </c>
      <c r="J39" s="17">
        <f>_xlfn.XLOOKUP($B39,'[2]May-24'!$A:$A,'[2]May-24'!$H:$H,0)</f>
        <v>0</v>
      </c>
      <c r="K39" s="17">
        <f>_xlfn.XLOOKUP($B39,'[2]Jun-24'!$A:$A,'[2]Jun-24'!$H:$H,0)</f>
        <v>0</v>
      </c>
      <c r="L39" s="17">
        <f>_xlfn.XLOOKUP($B39,'[2]Jul-24'!$A:$A,'[2]Jul-24'!$H:$H,0)</f>
        <v>0</v>
      </c>
      <c r="M39" s="17">
        <f>_xlfn.XLOOKUP($B39,'[2]Aug-24'!$A:$A,'[2]Aug-24'!$H:$H,0)</f>
        <v>0</v>
      </c>
      <c r="N39" s="17">
        <f>_xlfn.XLOOKUP($B39,'[2]Sep-24'!$A:$A,'[2]Sep-24'!$H:$H,0)</f>
        <v>0</v>
      </c>
      <c r="O39" s="17">
        <f>_xlfn.XLOOKUP($B39,'[2]Oct-24'!$A:$A,'[2]Oct-24'!$H:$H,0)</f>
        <v>0</v>
      </c>
      <c r="P39" s="17">
        <f>_xlfn.XLOOKUP($B39,'[2]Nov-24'!$A:$A,'[2]Nov-24'!$H:$H,0)</f>
        <v>0</v>
      </c>
      <c r="Q39" s="17">
        <f>_xlfn.XLOOKUP($B39,'[2]Dec-24'!$A:$A,'[2]Dec-24'!$H:$H,0)</f>
        <v>0</v>
      </c>
      <c r="R39" s="17">
        <f>_xlfn.XLOOKUP($B39,'[2]Jan-25'!$A:$A,'[2]Jan-25'!$H:$H,0)</f>
        <v>0</v>
      </c>
      <c r="S39" s="17">
        <f>_xlfn.XLOOKUP($B39,'[2]Feb-25'!$A:$A,'[2]Feb-25'!$H:$H,0)</f>
        <v>0</v>
      </c>
      <c r="T39" s="17">
        <f>_xlfn.XLOOKUP($B39,'[2]Mar-25'!$A:$A,'[2]Mar-25'!$H:$H,0)</f>
        <v>0</v>
      </c>
      <c r="U39" s="17">
        <f>_xlfn.XLOOKUP($B39,'[2]Apr-25'!$A:$A,'[2]Apr-25'!$H:$H,0)</f>
        <v>0</v>
      </c>
      <c r="V39" s="17">
        <f>_xlfn.XLOOKUP($B39,'[2]May-25'!$A:$A,'[2]May-25'!$H:$H,0)</f>
        <v>0</v>
      </c>
      <c r="W39" s="17">
        <f>_xlfn.XLOOKUP($B39,'[2]Jun-25'!$A:$A,'[2]Jun-25'!$H:$H,0)</f>
        <v>0</v>
      </c>
      <c r="X39" s="17">
        <f>_xlfn.XLOOKUP($B39,'[2]Jul-25'!$A:$A,'[2]Jul-25'!$H:$H,0)</f>
        <v>0</v>
      </c>
      <c r="Y39" s="17">
        <f>_xlfn.XLOOKUP($B39,'[2]Aug-25'!$A:$A,'[2]Aug-25'!$H:$H,0)</f>
        <v>0</v>
      </c>
      <c r="Z39" s="17">
        <f>_xlfn.XLOOKUP($B39,'[2]Sep-25'!$A:$A,'[2]Sep-25'!$H:$H,0)</f>
        <v>0</v>
      </c>
      <c r="AA39" s="17">
        <f>_xlfn.XLOOKUP($B39,'[2]Oct-25'!$A:$A,'[2]Oct-25'!$H:$H,0)</f>
        <v>0</v>
      </c>
      <c r="AB39" s="17">
        <f>_xlfn.XLOOKUP($B39,'[2]Nov-25'!$A:$A,'[2]Nov-25'!$H:$H,0)</f>
        <v>0</v>
      </c>
      <c r="AC39" s="17">
        <f>_xlfn.XLOOKUP($B39,'[2]Dec-25'!$A:$A,'[2]Dec-25'!$H:$H,0)</f>
        <v>0</v>
      </c>
      <c r="AD39" s="17">
        <f>_xlfn.XLOOKUP($B39,'[2]Jan-26'!$A:$A,'[2]Jan-26'!$H:$H,0)</f>
        <v>0</v>
      </c>
      <c r="AE39" s="17">
        <f>_xlfn.XLOOKUP($B39,'[2]Feb-26'!$A:$A,'[2]Feb-26'!$H:$H,0)</f>
        <v>0</v>
      </c>
      <c r="AF39" s="17">
        <f>_xlfn.XLOOKUP($B39,'[2]Mar-26'!$A:$A,'[2]Mar-26'!$H:$H,0)</f>
        <v>0</v>
      </c>
      <c r="AG39" s="17">
        <f>_xlfn.XLOOKUP($B39,'[2]Apr-26'!$A:$A,'[2]Apr-26'!$H:$H,0)</f>
        <v>0</v>
      </c>
    </row>
    <row r="40" spans="1:33" x14ac:dyDescent="0.2">
      <c r="A40" s="58">
        <v>15200</v>
      </c>
      <c r="B40" s="56" t="str">
        <f t="shared" si="2"/>
        <v>15200</v>
      </c>
      <c r="C40" s="57" t="s">
        <v>416</v>
      </c>
      <c r="D40" s="57" t="s">
        <v>303</v>
      </c>
      <c r="E40" s="44" t="s">
        <v>769</v>
      </c>
      <c r="F40" s="17">
        <f>_xlfn.XLOOKUP($B40,'[2]Jan-24'!$A:$A,'[2]Jan-24'!$H:$H,0)</f>
        <v>0</v>
      </c>
      <c r="G40" s="17">
        <f>_xlfn.XLOOKUP($B40,'[2]Feb-24'!$A:$A,'[2]Feb-24'!$H:$H,0)</f>
        <v>0</v>
      </c>
      <c r="H40" s="17">
        <f>_xlfn.XLOOKUP($B40,'[2]Mar-24'!$A:$A,'[2]Mar-24'!$H:$H,0)</f>
        <v>0</v>
      </c>
      <c r="I40" s="17">
        <f>_xlfn.XLOOKUP($B40,'[2]Apr-24'!$A:$A,'[2]Apr-24'!$H:$H,0)</f>
        <v>0</v>
      </c>
      <c r="J40" s="17">
        <f>_xlfn.XLOOKUP($B40,'[2]May-24'!$A:$A,'[2]May-24'!$H:$H,0)</f>
        <v>0</v>
      </c>
      <c r="K40" s="17">
        <f>_xlfn.XLOOKUP($B40,'[2]Jun-24'!$A:$A,'[2]Jun-24'!$H:$H,0)</f>
        <v>0</v>
      </c>
      <c r="L40" s="17">
        <f>_xlfn.XLOOKUP($B40,'[2]Jul-24'!$A:$A,'[2]Jul-24'!$H:$H,0)</f>
        <v>0</v>
      </c>
      <c r="M40" s="17">
        <f>_xlfn.XLOOKUP($B40,'[2]Aug-24'!$A:$A,'[2]Aug-24'!$H:$H,0)</f>
        <v>0</v>
      </c>
      <c r="N40" s="17">
        <f>_xlfn.XLOOKUP($B40,'[2]Sep-24'!$A:$A,'[2]Sep-24'!$H:$H,0)</f>
        <v>0</v>
      </c>
      <c r="O40" s="17">
        <f>_xlfn.XLOOKUP($B40,'[2]Oct-24'!$A:$A,'[2]Oct-24'!$H:$H,0)</f>
        <v>0</v>
      </c>
      <c r="P40" s="17">
        <f>_xlfn.XLOOKUP($B40,'[2]Nov-24'!$A:$A,'[2]Nov-24'!$H:$H,0)</f>
        <v>0</v>
      </c>
      <c r="Q40" s="17">
        <f>_xlfn.XLOOKUP($B40,'[2]Dec-24'!$A:$A,'[2]Dec-24'!$H:$H,0)</f>
        <v>0</v>
      </c>
      <c r="R40" s="17">
        <f>_xlfn.XLOOKUP($B40,'[2]Jan-25'!$A:$A,'[2]Jan-25'!$H:$H,0)</f>
        <v>0</v>
      </c>
      <c r="S40" s="17">
        <f>_xlfn.XLOOKUP($B40,'[2]Feb-25'!$A:$A,'[2]Feb-25'!$H:$H,0)</f>
        <v>0</v>
      </c>
      <c r="T40" s="17">
        <f>_xlfn.XLOOKUP($B40,'[2]Mar-25'!$A:$A,'[2]Mar-25'!$H:$H,0)</f>
        <v>0</v>
      </c>
      <c r="U40" s="17">
        <f>_xlfn.XLOOKUP($B40,'[2]Apr-25'!$A:$A,'[2]Apr-25'!$H:$H,0)</f>
        <v>0</v>
      </c>
      <c r="V40" s="17">
        <f>_xlfn.XLOOKUP($B40,'[2]May-25'!$A:$A,'[2]May-25'!$H:$H,0)</f>
        <v>0</v>
      </c>
      <c r="W40" s="17">
        <f>_xlfn.XLOOKUP($B40,'[2]Jun-25'!$A:$A,'[2]Jun-25'!$H:$H,0)</f>
        <v>0</v>
      </c>
      <c r="X40" s="17">
        <f>_xlfn.XLOOKUP($B40,'[2]Jul-25'!$A:$A,'[2]Jul-25'!$H:$H,0)</f>
        <v>0</v>
      </c>
      <c r="Y40" s="17">
        <f>_xlfn.XLOOKUP($B40,'[2]Aug-25'!$A:$A,'[2]Aug-25'!$H:$H,0)</f>
        <v>0</v>
      </c>
      <c r="Z40" s="17">
        <f>_xlfn.XLOOKUP($B40,'[2]Sep-25'!$A:$A,'[2]Sep-25'!$H:$H,0)</f>
        <v>0</v>
      </c>
      <c r="AA40" s="17">
        <f>_xlfn.XLOOKUP($B40,'[2]Oct-25'!$A:$A,'[2]Oct-25'!$H:$H,0)</f>
        <v>0</v>
      </c>
      <c r="AB40" s="17">
        <f>_xlfn.XLOOKUP($B40,'[2]Nov-25'!$A:$A,'[2]Nov-25'!$H:$H,0)</f>
        <v>0</v>
      </c>
      <c r="AC40" s="17">
        <f>_xlfn.XLOOKUP($B40,'[2]Dec-25'!$A:$A,'[2]Dec-25'!$H:$H,0)</f>
        <v>0</v>
      </c>
      <c r="AD40" s="17">
        <f>_xlfn.XLOOKUP($B40,'[2]Jan-26'!$A:$A,'[2]Jan-26'!$H:$H,0)</f>
        <v>0</v>
      </c>
      <c r="AE40" s="17">
        <f>_xlfn.XLOOKUP($B40,'[2]Feb-26'!$A:$A,'[2]Feb-26'!$H:$H,0)</f>
        <v>0</v>
      </c>
      <c r="AF40" s="17">
        <f>_xlfn.XLOOKUP($B40,'[2]Mar-26'!$A:$A,'[2]Mar-26'!$H:$H,0)</f>
        <v>0</v>
      </c>
      <c r="AG40" s="17">
        <f>_xlfn.XLOOKUP($B40,'[2]Apr-26'!$A:$A,'[2]Apr-26'!$H:$H,0)</f>
        <v>0</v>
      </c>
    </row>
    <row r="41" spans="1:33" x14ac:dyDescent="0.2">
      <c r="A41" s="58">
        <v>15300</v>
      </c>
      <c r="B41" s="56" t="str">
        <f t="shared" si="2"/>
        <v>15300</v>
      </c>
      <c r="C41" s="57" t="s">
        <v>416</v>
      </c>
      <c r="D41" s="57" t="s">
        <v>303</v>
      </c>
      <c r="E41" s="44" t="s">
        <v>770</v>
      </c>
      <c r="F41" s="17">
        <f>_xlfn.XLOOKUP($B41,'[2]Jan-24'!$A:$A,'[2]Jan-24'!$H:$H,0)</f>
        <v>0</v>
      </c>
      <c r="G41" s="17">
        <f>_xlfn.XLOOKUP($B41,'[2]Feb-24'!$A:$A,'[2]Feb-24'!$H:$H,0)</f>
        <v>0</v>
      </c>
      <c r="H41" s="17">
        <f>_xlfn.XLOOKUP($B41,'[2]Mar-24'!$A:$A,'[2]Mar-24'!$H:$H,0)</f>
        <v>0</v>
      </c>
      <c r="I41" s="17">
        <f>_xlfn.XLOOKUP($B41,'[2]Apr-24'!$A:$A,'[2]Apr-24'!$H:$H,0)</f>
        <v>0</v>
      </c>
      <c r="J41" s="17">
        <f>_xlfn.XLOOKUP($B41,'[2]May-24'!$A:$A,'[2]May-24'!$H:$H,0)</f>
        <v>0</v>
      </c>
      <c r="K41" s="17">
        <f>_xlfn.XLOOKUP($B41,'[2]Jun-24'!$A:$A,'[2]Jun-24'!$H:$H,0)</f>
        <v>0</v>
      </c>
      <c r="L41" s="17">
        <f>_xlfn.XLOOKUP($B41,'[2]Jul-24'!$A:$A,'[2]Jul-24'!$H:$H,0)</f>
        <v>0</v>
      </c>
      <c r="M41" s="17">
        <f>_xlfn.XLOOKUP($B41,'[2]Aug-24'!$A:$A,'[2]Aug-24'!$H:$H,0)</f>
        <v>0</v>
      </c>
      <c r="N41" s="17">
        <f>_xlfn.XLOOKUP($B41,'[2]Sep-24'!$A:$A,'[2]Sep-24'!$H:$H,0)</f>
        <v>0</v>
      </c>
      <c r="O41" s="17">
        <f>_xlfn.XLOOKUP($B41,'[2]Oct-24'!$A:$A,'[2]Oct-24'!$H:$H,0)</f>
        <v>0</v>
      </c>
      <c r="P41" s="17">
        <f>_xlfn.XLOOKUP($B41,'[2]Nov-24'!$A:$A,'[2]Nov-24'!$H:$H,0)</f>
        <v>0</v>
      </c>
      <c r="Q41" s="17">
        <f>_xlfn.XLOOKUP($B41,'[2]Dec-24'!$A:$A,'[2]Dec-24'!$H:$H,0)</f>
        <v>0</v>
      </c>
      <c r="R41" s="17">
        <f>_xlfn.XLOOKUP($B41,'[2]Jan-25'!$A:$A,'[2]Jan-25'!$H:$H,0)</f>
        <v>0</v>
      </c>
      <c r="S41" s="17">
        <f>_xlfn.XLOOKUP($B41,'[2]Feb-25'!$A:$A,'[2]Feb-25'!$H:$H,0)</f>
        <v>0</v>
      </c>
      <c r="T41" s="17">
        <f>_xlfn.XLOOKUP($B41,'[2]Mar-25'!$A:$A,'[2]Mar-25'!$H:$H,0)</f>
        <v>0</v>
      </c>
      <c r="U41" s="17">
        <f>_xlfn.XLOOKUP($B41,'[2]Apr-25'!$A:$A,'[2]Apr-25'!$H:$H,0)</f>
        <v>0</v>
      </c>
      <c r="V41" s="17">
        <f>_xlfn.XLOOKUP($B41,'[2]May-25'!$A:$A,'[2]May-25'!$H:$H,0)</f>
        <v>0</v>
      </c>
      <c r="W41" s="17">
        <f>_xlfn.XLOOKUP($B41,'[2]Jun-25'!$A:$A,'[2]Jun-25'!$H:$H,0)</f>
        <v>0</v>
      </c>
      <c r="X41" s="17">
        <f>_xlfn.XLOOKUP($B41,'[2]Jul-25'!$A:$A,'[2]Jul-25'!$H:$H,0)</f>
        <v>0</v>
      </c>
      <c r="Y41" s="17">
        <f>_xlfn.XLOOKUP($B41,'[2]Aug-25'!$A:$A,'[2]Aug-25'!$H:$H,0)</f>
        <v>0</v>
      </c>
      <c r="Z41" s="17">
        <f>_xlfn.XLOOKUP($B41,'[2]Sep-25'!$A:$A,'[2]Sep-25'!$H:$H,0)</f>
        <v>0</v>
      </c>
      <c r="AA41" s="17">
        <f>_xlfn.XLOOKUP($B41,'[2]Oct-25'!$A:$A,'[2]Oct-25'!$H:$H,0)</f>
        <v>0</v>
      </c>
      <c r="AB41" s="17">
        <f>_xlfn.XLOOKUP($B41,'[2]Nov-25'!$A:$A,'[2]Nov-25'!$H:$H,0)</f>
        <v>0</v>
      </c>
      <c r="AC41" s="17">
        <f>_xlfn.XLOOKUP($B41,'[2]Dec-25'!$A:$A,'[2]Dec-25'!$H:$H,0)</f>
        <v>0</v>
      </c>
      <c r="AD41" s="17">
        <f>_xlfn.XLOOKUP($B41,'[2]Jan-26'!$A:$A,'[2]Jan-26'!$H:$H,0)</f>
        <v>0</v>
      </c>
      <c r="AE41" s="17">
        <f>_xlfn.XLOOKUP($B41,'[2]Feb-26'!$A:$A,'[2]Feb-26'!$H:$H,0)</f>
        <v>0</v>
      </c>
      <c r="AF41" s="17">
        <f>_xlfn.XLOOKUP($B41,'[2]Mar-26'!$A:$A,'[2]Mar-26'!$H:$H,0)</f>
        <v>0</v>
      </c>
      <c r="AG41" s="17">
        <f>_xlfn.XLOOKUP($B41,'[2]Apr-26'!$A:$A,'[2]Apr-26'!$H:$H,0)</f>
        <v>0</v>
      </c>
    </row>
    <row r="42" spans="1:33" x14ac:dyDescent="0.2">
      <c r="A42" s="58">
        <v>15400</v>
      </c>
      <c r="B42" s="56" t="str">
        <f t="shared" si="2"/>
        <v>15400</v>
      </c>
      <c r="C42" s="57" t="s">
        <v>416</v>
      </c>
      <c r="D42" s="57" t="s">
        <v>303</v>
      </c>
      <c r="E42" s="44" t="s">
        <v>237</v>
      </c>
      <c r="F42" s="17">
        <f>_xlfn.XLOOKUP($B42,'[2]Jan-24'!$A:$A,'[2]Jan-24'!$H:$H,0)</f>
        <v>0</v>
      </c>
      <c r="G42" s="17">
        <f>_xlfn.XLOOKUP($B42,'[2]Feb-24'!$A:$A,'[2]Feb-24'!$H:$H,0)</f>
        <v>0</v>
      </c>
      <c r="H42" s="17">
        <f>_xlfn.XLOOKUP($B42,'[2]Mar-24'!$A:$A,'[2]Mar-24'!$H:$H,0)</f>
        <v>0</v>
      </c>
      <c r="I42" s="17">
        <f>_xlfn.XLOOKUP($B42,'[2]Apr-24'!$A:$A,'[2]Apr-24'!$H:$H,0)</f>
        <v>0</v>
      </c>
      <c r="J42" s="17">
        <f>_xlfn.XLOOKUP($B42,'[2]May-24'!$A:$A,'[2]May-24'!$H:$H,0)</f>
        <v>0</v>
      </c>
      <c r="K42" s="17">
        <f>_xlfn.XLOOKUP($B42,'[2]Jun-24'!$A:$A,'[2]Jun-24'!$H:$H,0)</f>
        <v>0</v>
      </c>
      <c r="L42" s="17">
        <f>_xlfn.XLOOKUP($B42,'[2]Jul-24'!$A:$A,'[2]Jul-24'!$H:$H,0)</f>
        <v>0</v>
      </c>
      <c r="M42" s="17">
        <f>_xlfn.XLOOKUP($B42,'[2]Aug-24'!$A:$A,'[2]Aug-24'!$H:$H,0)</f>
        <v>0</v>
      </c>
      <c r="N42" s="17">
        <f>_xlfn.XLOOKUP($B42,'[2]Sep-24'!$A:$A,'[2]Sep-24'!$H:$H,0)</f>
        <v>0</v>
      </c>
      <c r="O42" s="17">
        <f>_xlfn.XLOOKUP($B42,'[2]Oct-24'!$A:$A,'[2]Oct-24'!$H:$H,0)</f>
        <v>0</v>
      </c>
      <c r="P42" s="17">
        <f>_xlfn.XLOOKUP($B42,'[2]Nov-24'!$A:$A,'[2]Nov-24'!$H:$H,0)</f>
        <v>0</v>
      </c>
      <c r="Q42" s="17">
        <f>_xlfn.XLOOKUP($B42,'[2]Dec-24'!$A:$A,'[2]Dec-24'!$H:$H,0)</f>
        <v>0</v>
      </c>
      <c r="R42" s="17">
        <f>_xlfn.XLOOKUP($B42,'[2]Jan-25'!$A:$A,'[2]Jan-25'!$H:$H,0)</f>
        <v>0</v>
      </c>
      <c r="S42" s="17">
        <f>_xlfn.XLOOKUP($B42,'[2]Feb-25'!$A:$A,'[2]Feb-25'!$H:$H,0)</f>
        <v>0</v>
      </c>
      <c r="T42" s="17">
        <f>_xlfn.XLOOKUP($B42,'[2]Mar-25'!$A:$A,'[2]Mar-25'!$H:$H,0)</f>
        <v>0</v>
      </c>
      <c r="U42" s="17">
        <f>_xlfn.XLOOKUP($B42,'[2]Apr-25'!$A:$A,'[2]Apr-25'!$H:$H,0)</f>
        <v>0</v>
      </c>
      <c r="V42" s="17">
        <f>_xlfn.XLOOKUP($B42,'[2]May-25'!$A:$A,'[2]May-25'!$H:$H,0)</f>
        <v>0</v>
      </c>
      <c r="W42" s="17">
        <f>_xlfn.XLOOKUP($B42,'[2]Jun-25'!$A:$A,'[2]Jun-25'!$H:$H,0)</f>
        <v>0</v>
      </c>
      <c r="X42" s="17">
        <f>_xlfn.XLOOKUP($B42,'[2]Jul-25'!$A:$A,'[2]Jul-25'!$H:$H,0)</f>
        <v>0</v>
      </c>
      <c r="Y42" s="17">
        <f>_xlfn.XLOOKUP($B42,'[2]Aug-25'!$A:$A,'[2]Aug-25'!$H:$H,0)</f>
        <v>0</v>
      </c>
      <c r="Z42" s="17">
        <f>_xlfn.XLOOKUP($B42,'[2]Sep-25'!$A:$A,'[2]Sep-25'!$H:$H,0)</f>
        <v>0</v>
      </c>
      <c r="AA42" s="17">
        <f>_xlfn.XLOOKUP($B42,'[2]Oct-25'!$A:$A,'[2]Oct-25'!$H:$H,0)</f>
        <v>0</v>
      </c>
      <c r="AB42" s="17">
        <f>_xlfn.XLOOKUP($B42,'[2]Nov-25'!$A:$A,'[2]Nov-25'!$H:$H,0)</f>
        <v>0</v>
      </c>
      <c r="AC42" s="17">
        <f>_xlfn.XLOOKUP($B42,'[2]Dec-25'!$A:$A,'[2]Dec-25'!$H:$H,0)</f>
        <v>0</v>
      </c>
      <c r="AD42" s="17">
        <f>_xlfn.XLOOKUP($B42,'[2]Jan-26'!$A:$A,'[2]Jan-26'!$H:$H,0)</f>
        <v>0</v>
      </c>
      <c r="AE42" s="17">
        <f>_xlfn.XLOOKUP($B42,'[2]Feb-26'!$A:$A,'[2]Feb-26'!$H:$H,0)</f>
        <v>0</v>
      </c>
      <c r="AF42" s="17">
        <f>_xlfn.XLOOKUP($B42,'[2]Mar-26'!$A:$A,'[2]Mar-26'!$H:$H,0)</f>
        <v>0</v>
      </c>
      <c r="AG42" s="17">
        <f>_xlfn.XLOOKUP($B42,'[2]Apr-26'!$A:$A,'[2]Apr-26'!$H:$H,0)</f>
        <v>0</v>
      </c>
    </row>
    <row r="43" spans="1:33" x14ac:dyDescent="0.2">
      <c r="A43" s="58">
        <v>15405</v>
      </c>
      <c r="B43" s="56" t="str">
        <f t="shared" si="2"/>
        <v>15405</v>
      </c>
      <c r="C43" s="57" t="s">
        <v>416</v>
      </c>
      <c r="D43" s="57" t="s">
        <v>303</v>
      </c>
      <c r="E43" s="44" t="s">
        <v>238</v>
      </c>
      <c r="F43" s="17">
        <f>_xlfn.XLOOKUP($B43,'[2]Jan-24'!$A:$A,'[2]Jan-24'!$H:$H,0)</f>
        <v>0</v>
      </c>
      <c r="G43" s="17">
        <f>_xlfn.XLOOKUP($B43,'[2]Feb-24'!$A:$A,'[2]Feb-24'!$H:$H,0)</f>
        <v>0</v>
      </c>
      <c r="H43" s="17">
        <f>_xlfn.XLOOKUP($B43,'[2]Mar-24'!$A:$A,'[2]Mar-24'!$H:$H,0)</f>
        <v>0</v>
      </c>
      <c r="I43" s="17">
        <f>_xlfn.XLOOKUP($B43,'[2]Apr-24'!$A:$A,'[2]Apr-24'!$H:$H,0)</f>
        <v>0</v>
      </c>
      <c r="J43" s="17">
        <f>_xlfn.XLOOKUP($B43,'[2]May-24'!$A:$A,'[2]May-24'!$H:$H,0)</f>
        <v>0</v>
      </c>
      <c r="K43" s="17">
        <f>_xlfn.XLOOKUP($B43,'[2]Jun-24'!$A:$A,'[2]Jun-24'!$H:$H,0)</f>
        <v>0</v>
      </c>
      <c r="L43" s="17">
        <f>_xlfn.XLOOKUP($B43,'[2]Jul-24'!$A:$A,'[2]Jul-24'!$H:$H,0)</f>
        <v>0</v>
      </c>
      <c r="M43" s="17">
        <f>_xlfn.XLOOKUP($B43,'[2]Aug-24'!$A:$A,'[2]Aug-24'!$H:$H,0)</f>
        <v>0</v>
      </c>
      <c r="N43" s="17">
        <f>_xlfn.XLOOKUP($B43,'[2]Sep-24'!$A:$A,'[2]Sep-24'!$H:$H,0)</f>
        <v>0</v>
      </c>
      <c r="O43" s="17">
        <f>_xlfn.XLOOKUP($B43,'[2]Oct-24'!$A:$A,'[2]Oct-24'!$H:$H,0)</f>
        <v>0</v>
      </c>
      <c r="P43" s="17">
        <f>_xlfn.XLOOKUP($B43,'[2]Nov-24'!$A:$A,'[2]Nov-24'!$H:$H,0)</f>
        <v>0</v>
      </c>
      <c r="Q43" s="17">
        <f>_xlfn.XLOOKUP($B43,'[2]Dec-24'!$A:$A,'[2]Dec-24'!$H:$H,0)</f>
        <v>0</v>
      </c>
      <c r="R43" s="17">
        <f>_xlfn.XLOOKUP($B43,'[2]Jan-25'!$A:$A,'[2]Jan-25'!$H:$H,0)</f>
        <v>0</v>
      </c>
      <c r="S43" s="17">
        <f>_xlfn.XLOOKUP($B43,'[2]Feb-25'!$A:$A,'[2]Feb-25'!$H:$H,0)</f>
        <v>0</v>
      </c>
      <c r="T43" s="17">
        <f>_xlfn.XLOOKUP($B43,'[2]Mar-25'!$A:$A,'[2]Mar-25'!$H:$H,0)</f>
        <v>0</v>
      </c>
      <c r="U43" s="17">
        <f>_xlfn.XLOOKUP($B43,'[2]Apr-25'!$A:$A,'[2]Apr-25'!$H:$H,0)</f>
        <v>0</v>
      </c>
      <c r="V43" s="17">
        <f>_xlfn.XLOOKUP($B43,'[2]May-25'!$A:$A,'[2]May-25'!$H:$H,0)</f>
        <v>0</v>
      </c>
      <c r="W43" s="17">
        <f>_xlfn.XLOOKUP($B43,'[2]Jun-25'!$A:$A,'[2]Jun-25'!$H:$H,0)</f>
        <v>0</v>
      </c>
      <c r="X43" s="17">
        <f>_xlfn.XLOOKUP($B43,'[2]Jul-25'!$A:$A,'[2]Jul-25'!$H:$H,0)</f>
        <v>0</v>
      </c>
      <c r="Y43" s="17">
        <f>_xlfn.XLOOKUP($B43,'[2]Aug-25'!$A:$A,'[2]Aug-25'!$H:$H,0)</f>
        <v>0</v>
      </c>
      <c r="Z43" s="17">
        <f>_xlfn.XLOOKUP($B43,'[2]Sep-25'!$A:$A,'[2]Sep-25'!$H:$H,0)</f>
        <v>0</v>
      </c>
      <c r="AA43" s="17">
        <f>_xlfn.XLOOKUP($B43,'[2]Oct-25'!$A:$A,'[2]Oct-25'!$H:$H,0)</f>
        <v>0</v>
      </c>
      <c r="AB43" s="17">
        <f>_xlfn.XLOOKUP($B43,'[2]Nov-25'!$A:$A,'[2]Nov-25'!$H:$H,0)</f>
        <v>0</v>
      </c>
      <c r="AC43" s="17">
        <f>_xlfn.XLOOKUP($B43,'[2]Dec-25'!$A:$A,'[2]Dec-25'!$H:$H,0)</f>
        <v>0</v>
      </c>
      <c r="AD43" s="17">
        <f>_xlfn.XLOOKUP($B43,'[2]Jan-26'!$A:$A,'[2]Jan-26'!$H:$H,0)</f>
        <v>0</v>
      </c>
      <c r="AE43" s="17">
        <f>_xlfn.XLOOKUP($B43,'[2]Feb-26'!$A:$A,'[2]Feb-26'!$H:$H,0)</f>
        <v>0</v>
      </c>
      <c r="AF43" s="17">
        <f>_xlfn.XLOOKUP($B43,'[2]Mar-26'!$A:$A,'[2]Mar-26'!$H:$H,0)</f>
        <v>0</v>
      </c>
      <c r="AG43" s="17">
        <f>_xlfn.XLOOKUP($B43,'[2]Apr-26'!$A:$A,'[2]Apr-26'!$H:$H,0)</f>
        <v>0</v>
      </c>
    </row>
    <row r="44" spans="1:33" x14ac:dyDescent="0.2">
      <c r="A44" s="58">
        <v>15410</v>
      </c>
      <c r="B44" s="56" t="str">
        <f t="shared" si="2"/>
        <v>15410</v>
      </c>
      <c r="C44" s="57" t="s">
        <v>416</v>
      </c>
      <c r="D44" s="57" t="s">
        <v>303</v>
      </c>
      <c r="E44" s="44" t="s">
        <v>239</v>
      </c>
      <c r="F44" s="17">
        <f>_xlfn.XLOOKUP($B44,'[2]Jan-24'!$A:$A,'[2]Jan-24'!$H:$H,0)</f>
        <v>0</v>
      </c>
      <c r="G44" s="17">
        <f>_xlfn.XLOOKUP($B44,'[2]Feb-24'!$A:$A,'[2]Feb-24'!$H:$H,0)</f>
        <v>0</v>
      </c>
      <c r="H44" s="17">
        <f>_xlfn.XLOOKUP($B44,'[2]Mar-24'!$A:$A,'[2]Mar-24'!$H:$H,0)</f>
        <v>0</v>
      </c>
      <c r="I44" s="17">
        <f>_xlfn.XLOOKUP($B44,'[2]Apr-24'!$A:$A,'[2]Apr-24'!$H:$H,0)</f>
        <v>0</v>
      </c>
      <c r="J44" s="17">
        <f>_xlfn.XLOOKUP($B44,'[2]May-24'!$A:$A,'[2]May-24'!$H:$H,0)</f>
        <v>0</v>
      </c>
      <c r="K44" s="17">
        <f>_xlfn.XLOOKUP($B44,'[2]Jun-24'!$A:$A,'[2]Jun-24'!$H:$H,0)</f>
        <v>0</v>
      </c>
      <c r="L44" s="17">
        <f>_xlfn.XLOOKUP($B44,'[2]Jul-24'!$A:$A,'[2]Jul-24'!$H:$H,0)</f>
        <v>0</v>
      </c>
      <c r="M44" s="17">
        <f>_xlfn.XLOOKUP($B44,'[2]Aug-24'!$A:$A,'[2]Aug-24'!$H:$H,0)</f>
        <v>0</v>
      </c>
      <c r="N44" s="17">
        <f>_xlfn.XLOOKUP($B44,'[2]Sep-24'!$A:$A,'[2]Sep-24'!$H:$H,0)</f>
        <v>0</v>
      </c>
      <c r="O44" s="17">
        <f>_xlfn.XLOOKUP($B44,'[2]Oct-24'!$A:$A,'[2]Oct-24'!$H:$H,0)</f>
        <v>0</v>
      </c>
      <c r="P44" s="17">
        <f>_xlfn.XLOOKUP($B44,'[2]Nov-24'!$A:$A,'[2]Nov-24'!$H:$H,0)</f>
        <v>0</v>
      </c>
      <c r="Q44" s="17">
        <f>_xlfn.XLOOKUP($B44,'[2]Dec-24'!$A:$A,'[2]Dec-24'!$H:$H,0)</f>
        <v>0</v>
      </c>
      <c r="R44" s="17">
        <f>_xlfn.XLOOKUP($B44,'[2]Jan-25'!$A:$A,'[2]Jan-25'!$H:$H,0)</f>
        <v>0</v>
      </c>
      <c r="S44" s="17">
        <f>_xlfn.XLOOKUP($B44,'[2]Feb-25'!$A:$A,'[2]Feb-25'!$H:$H,0)</f>
        <v>0</v>
      </c>
      <c r="T44" s="17">
        <f>_xlfn.XLOOKUP($B44,'[2]Mar-25'!$A:$A,'[2]Mar-25'!$H:$H,0)</f>
        <v>0</v>
      </c>
      <c r="U44" s="17">
        <f>_xlfn.XLOOKUP($B44,'[2]Apr-25'!$A:$A,'[2]Apr-25'!$H:$H,0)</f>
        <v>0</v>
      </c>
      <c r="V44" s="17">
        <f>_xlfn.XLOOKUP($B44,'[2]May-25'!$A:$A,'[2]May-25'!$H:$H,0)</f>
        <v>0</v>
      </c>
      <c r="W44" s="17">
        <f>_xlfn.XLOOKUP($B44,'[2]Jun-25'!$A:$A,'[2]Jun-25'!$H:$H,0)</f>
        <v>0</v>
      </c>
      <c r="X44" s="17">
        <f>_xlfn.XLOOKUP($B44,'[2]Jul-25'!$A:$A,'[2]Jul-25'!$H:$H,0)</f>
        <v>0</v>
      </c>
      <c r="Y44" s="17">
        <f>_xlfn.XLOOKUP($B44,'[2]Aug-25'!$A:$A,'[2]Aug-25'!$H:$H,0)</f>
        <v>0</v>
      </c>
      <c r="Z44" s="17">
        <f>_xlfn.XLOOKUP($B44,'[2]Sep-25'!$A:$A,'[2]Sep-25'!$H:$H,0)</f>
        <v>0</v>
      </c>
      <c r="AA44" s="17">
        <f>_xlfn.XLOOKUP($B44,'[2]Oct-25'!$A:$A,'[2]Oct-25'!$H:$H,0)</f>
        <v>0</v>
      </c>
      <c r="AB44" s="17">
        <f>_xlfn.XLOOKUP($B44,'[2]Nov-25'!$A:$A,'[2]Nov-25'!$H:$H,0)</f>
        <v>0</v>
      </c>
      <c r="AC44" s="17">
        <f>_xlfn.XLOOKUP($B44,'[2]Dec-25'!$A:$A,'[2]Dec-25'!$H:$H,0)</f>
        <v>0</v>
      </c>
      <c r="AD44" s="17">
        <f>_xlfn.XLOOKUP($B44,'[2]Jan-26'!$A:$A,'[2]Jan-26'!$H:$H,0)</f>
        <v>0</v>
      </c>
      <c r="AE44" s="17">
        <f>_xlfn.XLOOKUP($B44,'[2]Feb-26'!$A:$A,'[2]Feb-26'!$H:$H,0)</f>
        <v>0</v>
      </c>
      <c r="AF44" s="17">
        <f>_xlfn.XLOOKUP($B44,'[2]Mar-26'!$A:$A,'[2]Mar-26'!$H:$H,0)</f>
        <v>0</v>
      </c>
      <c r="AG44" s="17">
        <f>_xlfn.XLOOKUP($B44,'[2]Apr-26'!$A:$A,'[2]Apr-26'!$H:$H,0)</f>
        <v>0</v>
      </c>
    </row>
    <row r="45" spans="1:33" x14ac:dyDescent="0.2">
      <c r="A45" s="58">
        <v>15500</v>
      </c>
      <c r="B45" s="56" t="str">
        <f t="shared" si="2"/>
        <v>15500</v>
      </c>
      <c r="C45" s="57" t="s">
        <v>377</v>
      </c>
      <c r="D45" s="57" t="s">
        <v>303</v>
      </c>
      <c r="E45" s="44" t="s">
        <v>249</v>
      </c>
      <c r="F45" s="17">
        <f>_xlfn.XLOOKUP($B45,'[2]Jan-24'!$A:$A,'[2]Jan-24'!$H:$H,0)</f>
        <v>0</v>
      </c>
      <c r="G45" s="17">
        <f>_xlfn.XLOOKUP($B45,'[2]Feb-24'!$A:$A,'[2]Feb-24'!$H:$H,0)</f>
        <v>0</v>
      </c>
      <c r="H45" s="17">
        <f>_xlfn.XLOOKUP($B45,'[2]Mar-24'!$A:$A,'[2]Mar-24'!$H:$H,0)</f>
        <v>0</v>
      </c>
      <c r="I45" s="17">
        <f>_xlfn.XLOOKUP($B45,'[2]Apr-24'!$A:$A,'[2]Apr-24'!$H:$H,0)</f>
        <v>0</v>
      </c>
      <c r="J45" s="17">
        <f>_xlfn.XLOOKUP($B45,'[2]May-24'!$A:$A,'[2]May-24'!$H:$H,0)</f>
        <v>0</v>
      </c>
      <c r="K45" s="17">
        <f>_xlfn.XLOOKUP($B45,'[2]Jun-24'!$A:$A,'[2]Jun-24'!$H:$H,0)</f>
        <v>0</v>
      </c>
      <c r="L45" s="17">
        <f>_xlfn.XLOOKUP($B45,'[2]Jul-24'!$A:$A,'[2]Jul-24'!$H:$H,0)</f>
        <v>0</v>
      </c>
      <c r="M45" s="17">
        <f>_xlfn.XLOOKUP($B45,'[2]Aug-24'!$A:$A,'[2]Aug-24'!$H:$H,0)</f>
        <v>0</v>
      </c>
      <c r="N45" s="17">
        <f>_xlfn.XLOOKUP($B45,'[2]Sep-24'!$A:$A,'[2]Sep-24'!$H:$H,0)</f>
        <v>0</v>
      </c>
      <c r="O45" s="17">
        <f>_xlfn.XLOOKUP($B45,'[2]Oct-24'!$A:$A,'[2]Oct-24'!$H:$H,0)</f>
        <v>0</v>
      </c>
      <c r="P45" s="17">
        <f>_xlfn.XLOOKUP($B45,'[2]Nov-24'!$A:$A,'[2]Nov-24'!$H:$H,0)</f>
        <v>0</v>
      </c>
      <c r="Q45" s="17">
        <f>_xlfn.XLOOKUP($B45,'[2]Dec-24'!$A:$A,'[2]Dec-24'!$H:$H,0)</f>
        <v>0</v>
      </c>
      <c r="R45" s="17">
        <f>_xlfn.XLOOKUP($B45,'[2]Jan-25'!$A:$A,'[2]Jan-25'!$H:$H,0)</f>
        <v>0</v>
      </c>
      <c r="S45" s="17">
        <f>_xlfn.XLOOKUP($B45,'[2]Feb-25'!$A:$A,'[2]Feb-25'!$H:$H,0)</f>
        <v>0</v>
      </c>
      <c r="T45" s="17">
        <f>_xlfn.XLOOKUP($B45,'[2]Mar-25'!$A:$A,'[2]Mar-25'!$H:$H,0)</f>
        <v>0</v>
      </c>
      <c r="U45" s="17">
        <f>_xlfn.XLOOKUP($B45,'[2]Apr-25'!$A:$A,'[2]Apr-25'!$H:$H,0)</f>
        <v>0</v>
      </c>
      <c r="V45" s="17">
        <f>_xlfn.XLOOKUP($B45,'[2]May-25'!$A:$A,'[2]May-25'!$H:$H,0)</f>
        <v>0</v>
      </c>
      <c r="W45" s="17">
        <f>_xlfn.XLOOKUP($B45,'[2]Jun-25'!$A:$A,'[2]Jun-25'!$H:$H,0)</f>
        <v>0</v>
      </c>
      <c r="X45" s="17">
        <f>_xlfn.XLOOKUP($B45,'[2]Jul-25'!$A:$A,'[2]Jul-25'!$H:$H,0)</f>
        <v>0</v>
      </c>
      <c r="Y45" s="17">
        <f>_xlfn.XLOOKUP($B45,'[2]Aug-25'!$A:$A,'[2]Aug-25'!$H:$H,0)</f>
        <v>0</v>
      </c>
      <c r="Z45" s="17">
        <f>_xlfn.XLOOKUP($B45,'[2]Sep-25'!$A:$A,'[2]Sep-25'!$H:$H,0)</f>
        <v>0</v>
      </c>
      <c r="AA45" s="17">
        <f>_xlfn.XLOOKUP($B45,'[2]Oct-25'!$A:$A,'[2]Oct-25'!$H:$H,0)</f>
        <v>0</v>
      </c>
      <c r="AB45" s="17">
        <f>_xlfn.XLOOKUP($B45,'[2]Nov-25'!$A:$A,'[2]Nov-25'!$H:$H,0)</f>
        <v>0</v>
      </c>
      <c r="AC45" s="17">
        <f>_xlfn.XLOOKUP($B45,'[2]Dec-25'!$A:$A,'[2]Dec-25'!$H:$H,0)</f>
        <v>0</v>
      </c>
      <c r="AD45" s="17">
        <f>_xlfn.XLOOKUP($B45,'[2]Jan-26'!$A:$A,'[2]Jan-26'!$H:$H,0)</f>
        <v>0</v>
      </c>
      <c r="AE45" s="17">
        <f>_xlfn.XLOOKUP($B45,'[2]Feb-26'!$A:$A,'[2]Feb-26'!$H:$H,0)</f>
        <v>0</v>
      </c>
      <c r="AF45" s="17">
        <f>_xlfn.XLOOKUP($B45,'[2]Mar-26'!$A:$A,'[2]Mar-26'!$H:$H,0)</f>
        <v>0</v>
      </c>
      <c r="AG45" s="17">
        <f>_xlfn.XLOOKUP($B45,'[2]Apr-26'!$A:$A,'[2]Apr-26'!$H:$H,0)</f>
        <v>0</v>
      </c>
    </row>
    <row r="46" spans="1:33" x14ac:dyDescent="0.2">
      <c r="A46" s="58">
        <v>15560</v>
      </c>
      <c r="B46" s="56" t="str">
        <f t="shared" si="2"/>
        <v>15560</v>
      </c>
      <c r="C46" s="57" t="s">
        <v>377</v>
      </c>
      <c r="D46" s="57" t="s">
        <v>303</v>
      </c>
      <c r="E46" s="44" t="s">
        <v>771</v>
      </c>
      <c r="F46" s="17">
        <f>_xlfn.XLOOKUP($B46,'[2]Jan-24'!$A:$A,'[2]Jan-24'!$H:$H,0)</f>
        <v>0</v>
      </c>
      <c r="G46" s="17">
        <f>_xlfn.XLOOKUP($B46,'[2]Feb-24'!$A:$A,'[2]Feb-24'!$H:$H,0)</f>
        <v>0</v>
      </c>
      <c r="H46" s="17">
        <f>_xlfn.XLOOKUP($B46,'[2]Mar-24'!$A:$A,'[2]Mar-24'!$H:$H,0)</f>
        <v>0</v>
      </c>
      <c r="I46" s="17">
        <f>_xlfn.XLOOKUP($B46,'[2]Apr-24'!$A:$A,'[2]Apr-24'!$H:$H,0)</f>
        <v>0</v>
      </c>
      <c r="J46" s="17">
        <f>_xlfn.XLOOKUP($B46,'[2]May-24'!$A:$A,'[2]May-24'!$H:$H,0)</f>
        <v>0</v>
      </c>
      <c r="K46" s="17">
        <f>_xlfn.XLOOKUP($B46,'[2]Jun-24'!$A:$A,'[2]Jun-24'!$H:$H,0)</f>
        <v>0</v>
      </c>
      <c r="L46" s="17">
        <f>_xlfn.XLOOKUP($B46,'[2]Jul-24'!$A:$A,'[2]Jul-24'!$H:$H,0)</f>
        <v>0</v>
      </c>
      <c r="M46" s="17">
        <f>_xlfn.XLOOKUP($B46,'[2]Aug-24'!$A:$A,'[2]Aug-24'!$H:$H,0)</f>
        <v>0</v>
      </c>
      <c r="N46" s="17">
        <f>_xlfn.XLOOKUP($B46,'[2]Sep-24'!$A:$A,'[2]Sep-24'!$H:$H,0)</f>
        <v>0</v>
      </c>
      <c r="O46" s="17">
        <f>_xlfn.XLOOKUP($B46,'[2]Oct-24'!$A:$A,'[2]Oct-24'!$H:$H,0)</f>
        <v>0</v>
      </c>
      <c r="P46" s="17">
        <f>_xlfn.XLOOKUP($B46,'[2]Nov-24'!$A:$A,'[2]Nov-24'!$H:$H,0)</f>
        <v>0</v>
      </c>
      <c r="Q46" s="17">
        <f>_xlfn.XLOOKUP($B46,'[2]Dec-24'!$A:$A,'[2]Dec-24'!$H:$H,0)</f>
        <v>0</v>
      </c>
      <c r="R46" s="17">
        <f>_xlfn.XLOOKUP($B46,'[2]Jan-25'!$A:$A,'[2]Jan-25'!$H:$H,0)</f>
        <v>0</v>
      </c>
      <c r="S46" s="17">
        <f>_xlfn.XLOOKUP($B46,'[2]Feb-25'!$A:$A,'[2]Feb-25'!$H:$H,0)</f>
        <v>0</v>
      </c>
      <c r="T46" s="17">
        <f>_xlfn.XLOOKUP($B46,'[2]Mar-25'!$A:$A,'[2]Mar-25'!$H:$H,0)</f>
        <v>0</v>
      </c>
      <c r="U46" s="17">
        <f>_xlfn.XLOOKUP($B46,'[2]Apr-25'!$A:$A,'[2]Apr-25'!$H:$H,0)</f>
        <v>0</v>
      </c>
      <c r="V46" s="17">
        <f>_xlfn.XLOOKUP($B46,'[2]May-25'!$A:$A,'[2]May-25'!$H:$H,0)</f>
        <v>0</v>
      </c>
      <c r="W46" s="17">
        <f>_xlfn.XLOOKUP($B46,'[2]Jun-25'!$A:$A,'[2]Jun-25'!$H:$H,0)</f>
        <v>0</v>
      </c>
      <c r="X46" s="17">
        <f>_xlfn.XLOOKUP($B46,'[2]Jul-25'!$A:$A,'[2]Jul-25'!$H:$H,0)</f>
        <v>0</v>
      </c>
      <c r="Y46" s="17">
        <f>_xlfn.XLOOKUP($B46,'[2]Aug-25'!$A:$A,'[2]Aug-25'!$H:$H,0)</f>
        <v>0</v>
      </c>
      <c r="Z46" s="17">
        <f>_xlfn.XLOOKUP($B46,'[2]Sep-25'!$A:$A,'[2]Sep-25'!$H:$H,0)</f>
        <v>0</v>
      </c>
      <c r="AA46" s="17">
        <f>_xlfn.XLOOKUP($B46,'[2]Oct-25'!$A:$A,'[2]Oct-25'!$H:$H,0)</f>
        <v>0</v>
      </c>
      <c r="AB46" s="17">
        <f>_xlfn.XLOOKUP($B46,'[2]Nov-25'!$A:$A,'[2]Nov-25'!$H:$H,0)</f>
        <v>0</v>
      </c>
      <c r="AC46" s="17">
        <f>_xlfn.XLOOKUP($B46,'[2]Dec-25'!$A:$A,'[2]Dec-25'!$H:$H,0)</f>
        <v>0</v>
      </c>
      <c r="AD46" s="17">
        <f>_xlfn.XLOOKUP($B46,'[2]Jan-26'!$A:$A,'[2]Jan-26'!$H:$H,0)</f>
        <v>0</v>
      </c>
      <c r="AE46" s="17">
        <f>_xlfn.XLOOKUP($B46,'[2]Feb-26'!$A:$A,'[2]Feb-26'!$H:$H,0)</f>
        <v>0</v>
      </c>
      <c r="AF46" s="17">
        <f>_xlfn.XLOOKUP($B46,'[2]Mar-26'!$A:$A,'[2]Mar-26'!$H:$H,0)</f>
        <v>0</v>
      </c>
      <c r="AG46" s="17">
        <f>_xlfn.XLOOKUP($B46,'[2]Apr-26'!$A:$A,'[2]Apr-26'!$H:$H,0)</f>
        <v>0</v>
      </c>
    </row>
    <row r="47" spans="1:33" x14ac:dyDescent="0.2">
      <c r="A47" s="58">
        <v>15999</v>
      </c>
      <c r="B47" s="56" t="str">
        <f t="shared" si="2"/>
        <v>15999</v>
      </c>
      <c r="C47" s="57" t="s">
        <v>416</v>
      </c>
      <c r="D47" s="57" t="s">
        <v>303</v>
      </c>
      <c r="E47" s="44" t="s">
        <v>241</v>
      </c>
      <c r="F47" s="17">
        <f>_xlfn.XLOOKUP($B47,'[2]Jan-24'!$A:$A,'[2]Jan-24'!$H:$H,0)</f>
        <v>0</v>
      </c>
      <c r="G47" s="17">
        <f>_xlfn.XLOOKUP($B47,'[2]Feb-24'!$A:$A,'[2]Feb-24'!$H:$H,0)</f>
        <v>0</v>
      </c>
      <c r="H47" s="17">
        <f>_xlfn.XLOOKUP($B47,'[2]Mar-24'!$A:$A,'[2]Mar-24'!$H:$H,0)</f>
        <v>0</v>
      </c>
      <c r="I47" s="17">
        <f>_xlfn.XLOOKUP($B47,'[2]Apr-24'!$A:$A,'[2]Apr-24'!$H:$H,0)</f>
        <v>0</v>
      </c>
      <c r="J47" s="17">
        <f>_xlfn.XLOOKUP($B47,'[2]May-24'!$A:$A,'[2]May-24'!$H:$H,0)</f>
        <v>0</v>
      </c>
      <c r="K47" s="17">
        <f>_xlfn.XLOOKUP($B47,'[2]Jun-24'!$A:$A,'[2]Jun-24'!$H:$H,0)</f>
        <v>0</v>
      </c>
      <c r="L47" s="17">
        <f>_xlfn.XLOOKUP($B47,'[2]Jul-24'!$A:$A,'[2]Jul-24'!$H:$H,0)</f>
        <v>0</v>
      </c>
      <c r="M47" s="17">
        <f>_xlfn.XLOOKUP($B47,'[2]Aug-24'!$A:$A,'[2]Aug-24'!$H:$H,0)</f>
        <v>0</v>
      </c>
      <c r="N47" s="17">
        <f>_xlfn.XLOOKUP($B47,'[2]Sep-24'!$A:$A,'[2]Sep-24'!$H:$H,0)</f>
        <v>0</v>
      </c>
      <c r="O47" s="17">
        <f>_xlfn.XLOOKUP($B47,'[2]Oct-24'!$A:$A,'[2]Oct-24'!$H:$H,0)</f>
        <v>0</v>
      </c>
      <c r="P47" s="17">
        <f>_xlfn.XLOOKUP($B47,'[2]Nov-24'!$A:$A,'[2]Nov-24'!$H:$H,0)</f>
        <v>0</v>
      </c>
      <c r="Q47" s="17">
        <f>_xlfn.XLOOKUP($B47,'[2]Dec-24'!$A:$A,'[2]Dec-24'!$H:$H,0)</f>
        <v>0</v>
      </c>
      <c r="R47" s="17">
        <f>_xlfn.XLOOKUP($B47,'[2]Jan-25'!$A:$A,'[2]Jan-25'!$H:$H,0)</f>
        <v>0</v>
      </c>
      <c r="S47" s="17">
        <f>_xlfn.XLOOKUP($B47,'[2]Feb-25'!$A:$A,'[2]Feb-25'!$H:$H,0)</f>
        <v>0</v>
      </c>
      <c r="T47" s="17">
        <f>_xlfn.XLOOKUP($B47,'[2]Mar-25'!$A:$A,'[2]Mar-25'!$H:$H,0)</f>
        <v>0</v>
      </c>
      <c r="U47" s="17">
        <f>_xlfn.XLOOKUP($B47,'[2]Apr-25'!$A:$A,'[2]Apr-25'!$H:$H,0)</f>
        <v>0</v>
      </c>
      <c r="V47" s="17">
        <f>_xlfn.XLOOKUP($B47,'[2]May-25'!$A:$A,'[2]May-25'!$H:$H,0)</f>
        <v>0</v>
      </c>
      <c r="W47" s="17">
        <f>_xlfn.XLOOKUP($B47,'[2]Jun-25'!$A:$A,'[2]Jun-25'!$H:$H,0)</f>
        <v>0</v>
      </c>
      <c r="X47" s="17">
        <f>_xlfn.XLOOKUP($B47,'[2]Jul-25'!$A:$A,'[2]Jul-25'!$H:$H,0)</f>
        <v>0</v>
      </c>
      <c r="Y47" s="17">
        <f>_xlfn.XLOOKUP($B47,'[2]Aug-25'!$A:$A,'[2]Aug-25'!$H:$H,0)</f>
        <v>0</v>
      </c>
      <c r="Z47" s="17">
        <f>_xlfn.XLOOKUP($B47,'[2]Sep-25'!$A:$A,'[2]Sep-25'!$H:$H,0)</f>
        <v>0</v>
      </c>
      <c r="AA47" s="17">
        <f>_xlfn.XLOOKUP($B47,'[2]Oct-25'!$A:$A,'[2]Oct-25'!$H:$H,0)</f>
        <v>0</v>
      </c>
      <c r="AB47" s="17">
        <f>_xlfn.XLOOKUP($B47,'[2]Nov-25'!$A:$A,'[2]Nov-25'!$H:$H,0)</f>
        <v>0</v>
      </c>
      <c r="AC47" s="17">
        <f>_xlfn.XLOOKUP($B47,'[2]Dec-25'!$A:$A,'[2]Dec-25'!$H:$H,0)</f>
        <v>0</v>
      </c>
      <c r="AD47" s="17">
        <f>_xlfn.XLOOKUP($B47,'[2]Jan-26'!$A:$A,'[2]Jan-26'!$H:$H,0)</f>
        <v>0</v>
      </c>
      <c r="AE47" s="17">
        <f>_xlfn.XLOOKUP($B47,'[2]Feb-26'!$A:$A,'[2]Feb-26'!$H:$H,0)</f>
        <v>0</v>
      </c>
      <c r="AF47" s="17">
        <f>_xlfn.XLOOKUP($B47,'[2]Mar-26'!$A:$A,'[2]Mar-26'!$H:$H,0)</f>
        <v>0</v>
      </c>
      <c r="AG47" s="17">
        <f>_xlfn.XLOOKUP($B47,'[2]Apr-26'!$A:$A,'[2]Apr-26'!$H:$H,0)</f>
        <v>0</v>
      </c>
    </row>
    <row r="48" spans="1:33" x14ac:dyDescent="0.2">
      <c r="A48" s="58">
        <v>16000</v>
      </c>
      <c r="B48" s="56" t="str">
        <f t="shared" si="2"/>
        <v>16000</v>
      </c>
      <c r="C48" s="57" t="s">
        <v>418</v>
      </c>
      <c r="D48" s="57" t="s">
        <v>303</v>
      </c>
      <c r="E48" s="44" t="s">
        <v>772</v>
      </c>
      <c r="F48" s="17">
        <f>_xlfn.XLOOKUP($B48,'[2]Jan-24'!$A:$A,'[2]Jan-24'!$H:$H,0)</f>
        <v>0</v>
      </c>
      <c r="G48" s="17">
        <f>_xlfn.XLOOKUP($B48,'[2]Feb-24'!$A:$A,'[2]Feb-24'!$H:$H,0)</f>
        <v>0</v>
      </c>
      <c r="H48" s="17">
        <f>_xlfn.XLOOKUP($B48,'[2]Mar-24'!$A:$A,'[2]Mar-24'!$H:$H,0)</f>
        <v>0</v>
      </c>
      <c r="I48" s="17">
        <f>_xlfn.XLOOKUP($B48,'[2]Apr-24'!$A:$A,'[2]Apr-24'!$H:$H,0)</f>
        <v>-99.7</v>
      </c>
      <c r="J48" s="17">
        <f>_xlfn.XLOOKUP($B48,'[2]May-24'!$A:$A,'[2]May-24'!$H:$H,0)</f>
        <v>-131.91</v>
      </c>
      <c r="K48" s="17">
        <f>_xlfn.XLOOKUP($B48,'[2]Jun-24'!$A:$A,'[2]Jun-24'!$H:$H,0)</f>
        <v>-164.12</v>
      </c>
      <c r="L48" s="17">
        <f>_xlfn.XLOOKUP($B48,'[2]Jul-24'!$A:$A,'[2]Jul-24'!$H:$H,0)</f>
        <v>-196.33</v>
      </c>
      <c r="M48" s="17">
        <f>_xlfn.XLOOKUP($B48,'[2]Aug-24'!$A:$A,'[2]Aug-24'!$H:$H,0)</f>
        <v>-228.54</v>
      </c>
      <c r="N48" s="17">
        <f>_xlfn.XLOOKUP($B48,'[2]Sep-24'!$A:$A,'[2]Sep-24'!$H:$H,0)</f>
        <v>-260.75</v>
      </c>
      <c r="O48" s="17">
        <f>_xlfn.XLOOKUP($B48,'[2]Oct-24'!$A:$A,'[2]Oct-24'!$H:$H,0)</f>
        <v>-292.95999999999998</v>
      </c>
      <c r="P48" s="17">
        <f>_xlfn.XLOOKUP($B48,'[2]Nov-24'!$A:$A,'[2]Nov-24'!$H:$H,0)</f>
        <v>-325.17</v>
      </c>
      <c r="Q48" s="17">
        <f>_xlfn.XLOOKUP($B48,'[2]Dec-24'!$A:$A,'[2]Dec-24'!$H:$H,0)</f>
        <v>-357.38</v>
      </c>
      <c r="R48" s="17">
        <f>_xlfn.XLOOKUP($B48,'[2]Jan-25'!$A:$A,'[2]Jan-25'!$H:$H,0)</f>
        <v>-389.59</v>
      </c>
      <c r="S48" s="17">
        <f>_xlfn.XLOOKUP($B48,'[2]Feb-25'!$A:$A,'[2]Feb-25'!$H:$H,0)</f>
        <v>-421.8</v>
      </c>
      <c r="T48" s="17">
        <f>_xlfn.XLOOKUP($B48,'[2]Mar-25'!$A:$A,'[2]Mar-25'!$H:$H,0)</f>
        <v>-454.01</v>
      </c>
      <c r="U48" s="17">
        <f>_xlfn.XLOOKUP($B48,'[2]Apr-25'!$A:$A,'[2]Apr-25'!$H:$H,0)</f>
        <v>-486.22</v>
      </c>
      <c r="V48" s="17">
        <f>_xlfn.XLOOKUP($B48,'[2]May-25'!$A:$A,'[2]May-25'!$H:$H,0)</f>
        <v>-518.42999999999995</v>
      </c>
      <c r="W48" s="17">
        <f>_xlfn.XLOOKUP($B48,'[2]Jun-25'!$A:$A,'[2]Jun-25'!$H:$H,0)</f>
        <v>-550.64</v>
      </c>
      <c r="X48" s="17">
        <f>_xlfn.XLOOKUP($B48,'[2]Jul-25'!$A:$A,'[2]Jul-25'!$H:$H,0)</f>
        <v>-582.85</v>
      </c>
      <c r="Y48" s="17">
        <f>_xlfn.XLOOKUP($B48,'[2]Aug-25'!$A:$A,'[2]Aug-25'!$H:$H,0)</f>
        <v>-615.05999999999995</v>
      </c>
      <c r="Z48" s="17">
        <f>_xlfn.XLOOKUP($B48,'[2]Sep-25'!$A:$A,'[2]Sep-25'!$H:$H,0)</f>
        <v>-647.27</v>
      </c>
      <c r="AA48" s="17">
        <f>_xlfn.XLOOKUP($B48,'[2]Oct-25'!$A:$A,'[2]Oct-25'!$H:$H,0)</f>
        <v>-679.48</v>
      </c>
      <c r="AB48" s="17">
        <f>_xlfn.XLOOKUP($B48,'[2]Nov-25'!$A:$A,'[2]Nov-25'!$H:$H,0)</f>
        <v>-711.69</v>
      </c>
      <c r="AC48" s="17">
        <f>_xlfn.XLOOKUP($B48,'[2]Dec-25'!$A:$A,'[2]Dec-25'!$H:$H,0)</f>
        <v>-743.9</v>
      </c>
      <c r="AD48" s="17">
        <f>_xlfn.XLOOKUP($B48,'[2]Jan-26'!$A:$A,'[2]Jan-26'!$H:$H,0)</f>
        <v>-776.11</v>
      </c>
      <c r="AE48" s="17">
        <f>_xlfn.XLOOKUP($B48,'[2]Feb-26'!$A:$A,'[2]Feb-26'!$H:$H,0)</f>
        <v>-808.32</v>
      </c>
      <c r="AF48" s="17">
        <f>_xlfn.XLOOKUP($B48,'[2]Mar-26'!$A:$A,'[2]Mar-26'!$H:$H,0)</f>
        <v>-840.53</v>
      </c>
      <c r="AG48" s="17">
        <f>_xlfn.XLOOKUP($B48,'[2]Apr-26'!$A:$A,'[2]Apr-26'!$H:$H,0)</f>
        <v>-872.74</v>
      </c>
    </row>
    <row r="49" spans="1:33" x14ac:dyDescent="0.2">
      <c r="A49" s="58">
        <v>16010</v>
      </c>
      <c r="B49" s="56" t="str">
        <f t="shared" si="2"/>
        <v>16010</v>
      </c>
      <c r="C49" s="57" t="s">
        <v>418</v>
      </c>
      <c r="D49" s="57" t="s">
        <v>303</v>
      </c>
      <c r="E49" s="44" t="s">
        <v>773</v>
      </c>
      <c r="F49" s="17">
        <f>_xlfn.XLOOKUP($B49,'[2]Jan-24'!$A:$A,'[2]Jan-24'!$H:$H,0)</f>
        <v>0</v>
      </c>
      <c r="G49" s="17">
        <f>_xlfn.XLOOKUP($B49,'[2]Feb-24'!$A:$A,'[2]Feb-24'!$H:$H,0)</f>
        <v>0</v>
      </c>
      <c r="H49" s="17">
        <f>_xlfn.XLOOKUP($B49,'[2]Mar-24'!$A:$A,'[2]Mar-24'!$H:$H,0)</f>
        <v>0</v>
      </c>
      <c r="I49" s="17">
        <f>_xlfn.XLOOKUP($B49,'[2]Apr-24'!$A:$A,'[2]Apr-24'!$H:$H,0)</f>
        <v>0</v>
      </c>
      <c r="J49" s="17">
        <f>_xlfn.XLOOKUP($B49,'[2]May-24'!$A:$A,'[2]May-24'!$H:$H,0)</f>
        <v>0</v>
      </c>
      <c r="K49" s="17">
        <f>_xlfn.XLOOKUP($B49,'[2]Jun-24'!$A:$A,'[2]Jun-24'!$H:$H,0)</f>
        <v>0</v>
      </c>
      <c r="L49" s="17">
        <f>_xlfn.XLOOKUP($B49,'[2]Jul-24'!$A:$A,'[2]Jul-24'!$H:$H,0)</f>
        <v>0</v>
      </c>
      <c r="M49" s="17">
        <f>_xlfn.XLOOKUP($B49,'[2]Aug-24'!$A:$A,'[2]Aug-24'!$H:$H,0)</f>
        <v>0</v>
      </c>
      <c r="N49" s="17">
        <f>_xlfn.XLOOKUP($B49,'[2]Sep-24'!$A:$A,'[2]Sep-24'!$H:$H,0)</f>
        <v>0</v>
      </c>
      <c r="O49" s="17">
        <f>_xlfn.XLOOKUP($B49,'[2]Oct-24'!$A:$A,'[2]Oct-24'!$H:$H,0)</f>
        <v>0</v>
      </c>
      <c r="P49" s="17">
        <f>_xlfn.XLOOKUP($B49,'[2]Nov-24'!$A:$A,'[2]Nov-24'!$H:$H,0)</f>
        <v>0</v>
      </c>
      <c r="Q49" s="17">
        <f>_xlfn.XLOOKUP($B49,'[2]Dec-24'!$A:$A,'[2]Dec-24'!$H:$H,0)</f>
        <v>0</v>
      </c>
      <c r="R49" s="17">
        <f>_xlfn.XLOOKUP($B49,'[2]Jan-25'!$A:$A,'[2]Jan-25'!$H:$H,0)</f>
        <v>0</v>
      </c>
      <c r="S49" s="17">
        <f>_xlfn.XLOOKUP($B49,'[2]Feb-25'!$A:$A,'[2]Feb-25'!$H:$H,0)</f>
        <v>0</v>
      </c>
      <c r="T49" s="17">
        <f>_xlfn.XLOOKUP($B49,'[2]Mar-25'!$A:$A,'[2]Mar-25'!$H:$H,0)</f>
        <v>0</v>
      </c>
      <c r="U49" s="17">
        <f>_xlfn.XLOOKUP($B49,'[2]Apr-25'!$A:$A,'[2]Apr-25'!$H:$H,0)</f>
        <v>0</v>
      </c>
      <c r="V49" s="17">
        <f>_xlfn.XLOOKUP($B49,'[2]May-25'!$A:$A,'[2]May-25'!$H:$H,0)</f>
        <v>0</v>
      </c>
      <c r="W49" s="17">
        <f>_xlfn.XLOOKUP($B49,'[2]Jun-25'!$A:$A,'[2]Jun-25'!$H:$H,0)</f>
        <v>0</v>
      </c>
      <c r="X49" s="17">
        <f>_xlfn.XLOOKUP($B49,'[2]Jul-25'!$A:$A,'[2]Jul-25'!$H:$H,0)</f>
        <v>0</v>
      </c>
      <c r="Y49" s="17">
        <f>_xlfn.XLOOKUP($B49,'[2]Aug-25'!$A:$A,'[2]Aug-25'!$H:$H,0)</f>
        <v>0</v>
      </c>
      <c r="Z49" s="17">
        <f>_xlfn.XLOOKUP($B49,'[2]Sep-25'!$A:$A,'[2]Sep-25'!$H:$H,0)</f>
        <v>0</v>
      </c>
      <c r="AA49" s="17">
        <f>_xlfn.XLOOKUP($B49,'[2]Oct-25'!$A:$A,'[2]Oct-25'!$H:$H,0)</f>
        <v>0</v>
      </c>
      <c r="AB49" s="17">
        <f>_xlfn.XLOOKUP($B49,'[2]Nov-25'!$A:$A,'[2]Nov-25'!$H:$H,0)</f>
        <v>0</v>
      </c>
      <c r="AC49" s="17">
        <f>_xlfn.XLOOKUP($B49,'[2]Dec-25'!$A:$A,'[2]Dec-25'!$H:$H,0)</f>
        <v>0</v>
      </c>
      <c r="AD49" s="17">
        <f>_xlfn.XLOOKUP($B49,'[2]Jan-26'!$A:$A,'[2]Jan-26'!$H:$H,0)</f>
        <v>0</v>
      </c>
      <c r="AE49" s="17">
        <f>_xlfn.XLOOKUP($B49,'[2]Feb-26'!$A:$A,'[2]Feb-26'!$H:$H,0)</f>
        <v>0</v>
      </c>
      <c r="AF49" s="17">
        <f>_xlfn.XLOOKUP($B49,'[2]Mar-26'!$A:$A,'[2]Mar-26'!$H:$H,0)</f>
        <v>0</v>
      </c>
      <c r="AG49" s="17">
        <f>_xlfn.XLOOKUP($B49,'[2]Apr-26'!$A:$A,'[2]Apr-26'!$H:$H,0)</f>
        <v>0</v>
      </c>
    </row>
    <row r="50" spans="1:33" x14ac:dyDescent="0.2">
      <c r="A50" s="58">
        <v>16020</v>
      </c>
      <c r="B50" s="56" t="str">
        <f t="shared" si="2"/>
        <v>16020</v>
      </c>
      <c r="C50" s="57" t="s">
        <v>418</v>
      </c>
      <c r="D50" s="57" t="s">
        <v>303</v>
      </c>
      <c r="E50" s="44" t="s">
        <v>774</v>
      </c>
      <c r="F50" s="17">
        <f>_xlfn.XLOOKUP($B50,'[2]Jan-24'!$A:$A,'[2]Jan-24'!$H:$H,0)</f>
        <v>0</v>
      </c>
      <c r="G50" s="17">
        <f>_xlfn.XLOOKUP($B50,'[2]Feb-24'!$A:$A,'[2]Feb-24'!$H:$H,0)</f>
        <v>0</v>
      </c>
      <c r="H50" s="17">
        <f>_xlfn.XLOOKUP($B50,'[2]Mar-24'!$A:$A,'[2]Mar-24'!$H:$H,0)</f>
        <v>0</v>
      </c>
      <c r="I50" s="17">
        <f>_xlfn.XLOOKUP($B50,'[2]Apr-24'!$A:$A,'[2]Apr-24'!$H:$H,0)</f>
        <v>-2446.86</v>
      </c>
      <c r="J50" s="17">
        <f>_xlfn.XLOOKUP($B50,'[2]May-24'!$A:$A,'[2]May-24'!$H:$H,0)</f>
        <v>-2531.44</v>
      </c>
      <c r="K50" s="17">
        <f>_xlfn.XLOOKUP($B50,'[2]Jun-24'!$A:$A,'[2]Jun-24'!$H:$H,0)</f>
        <v>-2623.91</v>
      </c>
      <c r="L50" s="17">
        <f>_xlfn.XLOOKUP($B50,'[2]Jul-24'!$A:$A,'[2]Jul-24'!$H:$H,0)</f>
        <v>-2716.38</v>
      </c>
      <c r="M50" s="17">
        <f>_xlfn.XLOOKUP($B50,'[2]Aug-24'!$A:$A,'[2]Aug-24'!$H:$H,0)</f>
        <v>-2808.85</v>
      </c>
      <c r="N50" s="17">
        <f>_xlfn.XLOOKUP($B50,'[2]Sep-24'!$A:$A,'[2]Sep-24'!$H:$H,0)</f>
        <v>-2901.32</v>
      </c>
      <c r="O50" s="17">
        <f>_xlfn.XLOOKUP($B50,'[2]Oct-24'!$A:$A,'[2]Oct-24'!$H:$H,0)</f>
        <v>-2993.79</v>
      </c>
      <c r="P50" s="17">
        <f>_xlfn.XLOOKUP($B50,'[2]Nov-24'!$A:$A,'[2]Nov-24'!$H:$H,0)</f>
        <v>-3086.26</v>
      </c>
      <c r="Q50" s="17">
        <f>_xlfn.XLOOKUP($B50,'[2]Dec-24'!$A:$A,'[2]Dec-24'!$H:$H,0)</f>
        <v>-3178.73</v>
      </c>
      <c r="R50" s="17">
        <f>_xlfn.XLOOKUP($B50,'[2]Jan-25'!$A:$A,'[2]Jan-25'!$H:$H,0)</f>
        <v>-3271.2</v>
      </c>
      <c r="S50" s="17">
        <f>_xlfn.XLOOKUP($B50,'[2]Feb-25'!$A:$A,'[2]Feb-25'!$H:$H,0)</f>
        <v>-3363.67</v>
      </c>
      <c r="T50" s="17">
        <f>_xlfn.XLOOKUP($B50,'[2]Mar-25'!$A:$A,'[2]Mar-25'!$H:$H,0)</f>
        <v>-3456.14</v>
      </c>
      <c r="U50" s="17">
        <f>_xlfn.XLOOKUP($B50,'[2]Apr-25'!$A:$A,'[2]Apr-25'!$H:$H,0)</f>
        <v>-3548.61</v>
      </c>
      <c r="V50" s="17">
        <f>_xlfn.XLOOKUP($B50,'[2]May-25'!$A:$A,'[2]May-25'!$H:$H,0)</f>
        <v>-3641.08</v>
      </c>
      <c r="W50" s="17">
        <f>_xlfn.XLOOKUP($B50,'[2]Jun-25'!$A:$A,'[2]Jun-25'!$H:$H,0)</f>
        <v>-3733.55</v>
      </c>
      <c r="X50" s="17">
        <f>_xlfn.XLOOKUP($B50,'[2]Jul-25'!$A:$A,'[2]Jul-25'!$H:$H,0)</f>
        <v>-3826.02</v>
      </c>
      <c r="Y50" s="17">
        <f>_xlfn.XLOOKUP($B50,'[2]Aug-25'!$A:$A,'[2]Aug-25'!$H:$H,0)</f>
        <v>-3918.49</v>
      </c>
      <c r="Z50" s="17">
        <f>_xlfn.XLOOKUP($B50,'[2]Sep-25'!$A:$A,'[2]Sep-25'!$H:$H,0)</f>
        <v>-4010.96</v>
      </c>
      <c r="AA50" s="17">
        <f>_xlfn.XLOOKUP($B50,'[2]Oct-25'!$A:$A,'[2]Oct-25'!$H:$H,0)</f>
        <v>-4103.43</v>
      </c>
      <c r="AB50" s="17">
        <f>_xlfn.XLOOKUP($B50,'[2]Nov-25'!$A:$A,'[2]Nov-25'!$H:$H,0)</f>
        <v>-4195.8999999999996</v>
      </c>
      <c r="AC50" s="17">
        <f>_xlfn.XLOOKUP($B50,'[2]Dec-25'!$A:$A,'[2]Dec-25'!$H:$H,0)</f>
        <v>-4288.37</v>
      </c>
      <c r="AD50" s="17">
        <f>_xlfn.XLOOKUP($B50,'[2]Jan-26'!$A:$A,'[2]Jan-26'!$H:$H,0)</f>
        <v>-4380.84</v>
      </c>
      <c r="AE50" s="17">
        <f>_xlfn.XLOOKUP($B50,'[2]Feb-26'!$A:$A,'[2]Feb-26'!$H:$H,0)</f>
        <v>-4473.3100000000004</v>
      </c>
      <c r="AF50" s="17">
        <f>_xlfn.XLOOKUP($B50,'[2]Mar-26'!$A:$A,'[2]Mar-26'!$H:$H,0)</f>
        <v>-4565.78</v>
      </c>
      <c r="AG50" s="17">
        <f>_xlfn.XLOOKUP($B50,'[2]Apr-26'!$A:$A,'[2]Apr-26'!$H:$H,0)</f>
        <v>-4658.25</v>
      </c>
    </row>
    <row r="51" spans="1:33" x14ac:dyDescent="0.2">
      <c r="A51" s="58">
        <v>16030</v>
      </c>
      <c r="B51" s="56" t="str">
        <f t="shared" si="2"/>
        <v>16030</v>
      </c>
      <c r="C51" s="57" t="s">
        <v>418</v>
      </c>
      <c r="D51" s="57" t="s">
        <v>303</v>
      </c>
      <c r="E51" s="44" t="s">
        <v>775</v>
      </c>
      <c r="F51" s="17">
        <f>_xlfn.XLOOKUP($B51,'[2]Jan-24'!$A:$A,'[2]Jan-24'!$H:$H,0)</f>
        <v>0</v>
      </c>
      <c r="G51" s="17">
        <f>_xlfn.XLOOKUP($B51,'[2]Feb-24'!$A:$A,'[2]Feb-24'!$H:$H,0)</f>
        <v>0</v>
      </c>
      <c r="H51" s="17">
        <f>_xlfn.XLOOKUP($B51,'[2]Mar-24'!$A:$A,'[2]Mar-24'!$H:$H,0)</f>
        <v>0</v>
      </c>
      <c r="I51" s="17">
        <f>_xlfn.XLOOKUP($B51,'[2]Apr-24'!$A:$A,'[2]Apr-24'!$H:$H,0)</f>
        <v>0</v>
      </c>
      <c r="J51" s="17">
        <f>_xlfn.XLOOKUP($B51,'[2]May-24'!$A:$A,'[2]May-24'!$H:$H,0)</f>
        <v>0</v>
      </c>
      <c r="K51" s="17">
        <f>_xlfn.XLOOKUP($B51,'[2]Jun-24'!$A:$A,'[2]Jun-24'!$H:$H,0)</f>
        <v>0</v>
      </c>
      <c r="L51" s="17">
        <f>_xlfn.XLOOKUP($B51,'[2]Jul-24'!$A:$A,'[2]Jul-24'!$H:$H,0)</f>
        <v>0</v>
      </c>
      <c r="M51" s="17">
        <f>_xlfn.XLOOKUP($B51,'[2]Aug-24'!$A:$A,'[2]Aug-24'!$H:$H,0)</f>
        <v>0</v>
      </c>
      <c r="N51" s="17">
        <f>_xlfn.XLOOKUP($B51,'[2]Sep-24'!$A:$A,'[2]Sep-24'!$H:$H,0)</f>
        <v>0</v>
      </c>
      <c r="O51" s="17">
        <f>_xlfn.XLOOKUP($B51,'[2]Oct-24'!$A:$A,'[2]Oct-24'!$H:$H,0)</f>
        <v>0</v>
      </c>
      <c r="P51" s="17">
        <f>_xlfn.XLOOKUP($B51,'[2]Nov-24'!$A:$A,'[2]Nov-24'!$H:$H,0)</f>
        <v>0</v>
      </c>
      <c r="Q51" s="17">
        <f>_xlfn.XLOOKUP($B51,'[2]Dec-24'!$A:$A,'[2]Dec-24'!$H:$H,0)</f>
        <v>0</v>
      </c>
      <c r="R51" s="17">
        <f>_xlfn.XLOOKUP($B51,'[2]Jan-25'!$A:$A,'[2]Jan-25'!$H:$H,0)</f>
        <v>0</v>
      </c>
      <c r="S51" s="17">
        <f>_xlfn.XLOOKUP($B51,'[2]Feb-25'!$A:$A,'[2]Feb-25'!$H:$H,0)</f>
        <v>0</v>
      </c>
      <c r="T51" s="17">
        <f>_xlfn.XLOOKUP($B51,'[2]Mar-25'!$A:$A,'[2]Mar-25'!$H:$H,0)</f>
        <v>0</v>
      </c>
      <c r="U51" s="17">
        <f>_xlfn.XLOOKUP($B51,'[2]Apr-25'!$A:$A,'[2]Apr-25'!$H:$H,0)</f>
        <v>0</v>
      </c>
      <c r="V51" s="17">
        <f>_xlfn.XLOOKUP($B51,'[2]May-25'!$A:$A,'[2]May-25'!$H:$H,0)</f>
        <v>0</v>
      </c>
      <c r="W51" s="17">
        <f>_xlfn.XLOOKUP($B51,'[2]Jun-25'!$A:$A,'[2]Jun-25'!$H:$H,0)</f>
        <v>0</v>
      </c>
      <c r="X51" s="17">
        <f>_xlfn.XLOOKUP($B51,'[2]Jul-25'!$A:$A,'[2]Jul-25'!$H:$H,0)</f>
        <v>0</v>
      </c>
      <c r="Y51" s="17">
        <f>_xlfn.XLOOKUP($B51,'[2]Aug-25'!$A:$A,'[2]Aug-25'!$H:$H,0)</f>
        <v>0</v>
      </c>
      <c r="Z51" s="17">
        <f>_xlfn.XLOOKUP($B51,'[2]Sep-25'!$A:$A,'[2]Sep-25'!$H:$H,0)</f>
        <v>0</v>
      </c>
      <c r="AA51" s="17">
        <f>_xlfn.XLOOKUP($B51,'[2]Oct-25'!$A:$A,'[2]Oct-25'!$H:$H,0)</f>
        <v>0</v>
      </c>
      <c r="AB51" s="17">
        <f>_xlfn.XLOOKUP($B51,'[2]Nov-25'!$A:$A,'[2]Nov-25'!$H:$H,0)</f>
        <v>0</v>
      </c>
      <c r="AC51" s="17">
        <f>_xlfn.XLOOKUP($B51,'[2]Dec-25'!$A:$A,'[2]Dec-25'!$H:$H,0)</f>
        <v>0</v>
      </c>
      <c r="AD51" s="17">
        <f>_xlfn.XLOOKUP($B51,'[2]Jan-26'!$A:$A,'[2]Jan-26'!$H:$H,0)</f>
        <v>0</v>
      </c>
      <c r="AE51" s="17">
        <f>_xlfn.XLOOKUP($B51,'[2]Feb-26'!$A:$A,'[2]Feb-26'!$H:$H,0)</f>
        <v>0</v>
      </c>
      <c r="AF51" s="17">
        <f>_xlfn.XLOOKUP($B51,'[2]Mar-26'!$A:$A,'[2]Mar-26'!$H:$H,0)</f>
        <v>0</v>
      </c>
      <c r="AG51" s="17">
        <f>_xlfn.XLOOKUP($B51,'[2]Apr-26'!$A:$A,'[2]Apr-26'!$H:$H,0)</f>
        <v>0</v>
      </c>
    </row>
    <row r="52" spans="1:33" x14ac:dyDescent="0.2">
      <c r="A52" s="58">
        <v>16040</v>
      </c>
      <c r="B52" s="56" t="str">
        <f t="shared" si="2"/>
        <v>16040</v>
      </c>
      <c r="C52" s="57" t="s">
        <v>418</v>
      </c>
      <c r="D52" s="57" t="s">
        <v>303</v>
      </c>
      <c r="E52" s="44" t="s">
        <v>776</v>
      </c>
      <c r="F52" s="17">
        <f>_xlfn.XLOOKUP($B52,'[2]Jan-24'!$A:$A,'[2]Jan-24'!$H:$H,0)</f>
        <v>0</v>
      </c>
      <c r="G52" s="17">
        <f>_xlfn.XLOOKUP($B52,'[2]Feb-24'!$A:$A,'[2]Feb-24'!$H:$H,0)</f>
        <v>0</v>
      </c>
      <c r="H52" s="17">
        <f>_xlfn.XLOOKUP($B52,'[2]Mar-24'!$A:$A,'[2]Mar-24'!$H:$H,0)</f>
        <v>0</v>
      </c>
      <c r="I52" s="17">
        <f>_xlfn.XLOOKUP($B52,'[2]Apr-24'!$A:$A,'[2]Apr-24'!$H:$H,0)</f>
        <v>0</v>
      </c>
      <c r="J52" s="17">
        <f>_xlfn.XLOOKUP($B52,'[2]May-24'!$A:$A,'[2]May-24'!$H:$H,0)</f>
        <v>0</v>
      </c>
      <c r="K52" s="17">
        <f>_xlfn.XLOOKUP($B52,'[2]Jun-24'!$A:$A,'[2]Jun-24'!$H:$H,0)</f>
        <v>0</v>
      </c>
      <c r="L52" s="17">
        <f>_xlfn.XLOOKUP($B52,'[2]Jul-24'!$A:$A,'[2]Jul-24'!$H:$H,0)</f>
        <v>0</v>
      </c>
      <c r="M52" s="17">
        <f>_xlfn.XLOOKUP($B52,'[2]Aug-24'!$A:$A,'[2]Aug-24'!$H:$H,0)</f>
        <v>0</v>
      </c>
      <c r="N52" s="17">
        <f>_xlfn.XLOOKUP($B52,'[2]Sep-24'!$A:$A,'[2]Sep-24'!$H:$H,0)</f>
        <v>0</v>
      </c>
      <c r="O52" s="17">
        <f>_xlfn.XLOOKUP($B52,'[2]Oct-24'!$A:$A,'[2]Oct-24'!$H:$H,0)</f>
        <v>0</v>
      </c>
      <c r="P52" s="17">
        <f>_xlfn.XLOOKUP($B52,'[2]Nov-24'!$A:$A,'[2]Nov-24'!$H:$H,0)</f>
        <v>0</v>
      </c>
      <c r="Q52" s="17">
        <f>_xlfn.XLOOKUP($B52,'[2]Dec-24'!$A:$A,'[2]Dec-24'!$H:$H,0)</f>
        <v>0</v>
      </c>
      <c r="R52" s="17">
        <f>_xlfn.XLOOKUP($B52,'[2]Jan-25'!$A:$A,'[2]Jan-25'!$H:$H,0)</f>
        <v>0</v>
      </c>
      <c r="S52" s="17">
        <f>_xlfn.XLOOKUP($B52,'[2]Feb-25'!$A:$A,'[2]Feb-25'!$H:$H,0)</f>
        <v>0</v>
      </c>
      <c r="T52" s="17">
        <f>_xlfn.XLOOKUP($B52,'[2]Mar-25'!$A:$A,'[2]Mar-25'!$H:$H,0)</f>
        <v>0</v>
      </c>
      <c r="U52" s="17">
        <f>_xlfn.XLOOKUP($B52,'[2]Apr-25'!$A:$A,'[2]Apr-25'!$H:$H,0)</f>
        <v>0</v>
      </c>
      <c r="V52" s="17">
        <f>_xlfn.XLOOKUP($B52,'[2]May-25'!$A:$A,'[2]May-25'!$H:$H,0)</f>
        <v>0</v>
      </c>
      <c r="W52" s="17">
        <f>_xlfn.XLOOKUP($B52,'[2]Jun-25'!$A:$A,'[2]Jun-25'!$H:$H,0)</f>
        <v>0</v>
      </c>
      <c r="X52" s="17">
        <f>_xlfn.XLOOKUP($B52,'[2]Jul-25'!$A:$A,'[2]Jul-25'!$H:$H,0)</f>
        <v>0</v>
      </c>
      <c r="Y52" s="17">
        <f>_xlfn.XLOOKUP($B52,'[2]Aug-25'!$A:$A,'[2]Aug-25'!$H:$H,0)</f>
        <v>0</v>
      </c>
      <c r="Z52" s="17">
        <f>_xlfn.XLOOKUP($B52,'[2]Sep-25'!$A:$A,'[2]Sep-25'!$H:$H,0)</f>
        <v>0</v>
      </c>
      <c r="AA52" s="17">
        <f>_xlfn.XLOOKUP($B52,'[2]Oct-25'!$A:$A,'[2]Oct-25'!$H:$H,0)</f>
        <v>0</v>
      </c>
      <c r="AB52" s="17">
        <f>_xlfn.XLOOKUP($B52,'[2]Nov-25'!$A:$A,'[2]Nov-25'!$H:$H,0)</f>
        <v>0</v>
      </c>
      <c r="AC52" s="17">
        <f>_xlfn.XLOOKUP($B52,'[2]Dec-25'!$A:$A,'[2]Dec-25'!$H:$H,0)</f>
        <v>0</v>
      </c>
      <c r="AD52" s="17">
        <f>_xlfn.XLOOKUP($B52,'[2]Jan-26'!$A:$A,'[2]Jan-26'!$H:$H,0)</f>
        <v>0</v>
      </c>
      <c r="AE52" s="17">
        <f>_xlfn.XLOOKUP($B52,'[2]Feb-26'!$A:$A,'[2]Feb-26'!$H:$H,0)</f>
        <v>0</v>
      </c>
      <c r="AF52" s="17">
        <f>_xlfn.XLOOKUP($B52,'[2]Mar-26'!$A:$A,'[2]Mar-26'!$H:$H,0)</f>
        <v>0</v>
      </c>
      <c r="AG52" s="17">
        <f>_xlfn.XLOOKUP($B52,'[2]Apr-26'!$A:$A,'[2]Apr-26'!$H:$H,0)</f>
        <v>0</v>
      </c>
    </row>
    <row r="53" spans="1:33" x14ac:dyDescent="0.2">
      <c r="A53" s="58">
        <v>16060</v>
      </c>
      <c r="B53" s="56" t="str">
        <f t="shared" si="2"/>
        <v>16060</v>
      </c>
      <c r="C53" s="57" t="s">
        <v>420</v>
      </c>
      <c r="D53" s="57" t="s">
        <v>387</v>
      </c>
      <c r="E53" s="44" t="s">
        <v>777</v>
      </c>
      <c r="F53" s="17">
        <f>_xlfn.XLOOKUP($B53,'[2]Jan-24'!$A:$A,'[2]Jan-24'!$H:$H,0)</f>
        <v>6.94</v>
      </c>
      <c r="G53" s="17">
        <f>_xlfn.XLOOKUP($B53,'[2]Feb-24'!$A:$A,'[2]Feb-24'!$H:$H,0)</f>
        <v>6.94</v>
      </c>
      <c r="H53" s="17">
        <f>_xlfn.XLOOKUP($B53,'[2]Mar-24'!$A:$A,'[2]Mar-24'!$H:$H,0)</f>
        <v>6.94</v>
      </c>
      <c r="I53" s="17">
        <f>_xlfn.XLOOKUP($B53,'[2]Apr-24'!$A:$A,'[2]Apr-24'!$H:$H,0)</f>
        <v>6.94</v>
      </c>
      <c r="J53" s="17">
        <f>_xlfn.XLOOKUP($B53,'[2]May-24'!$A:$A,'[2]May-24'!$H:$H,0)</f>
        <v>32.21</v>
      </c>
      <c r="K53" s="17">
        <f>_xlfn.XLOOKUP($B53,'[2]Jun-24'!$A:$A,'[2]Jun-24'!$H:$H,0)</f>
        <v>32.21</v>
      </c>
      <c r="L53" s="17">
        <f>_xlfn.XLOOKUP($B53,'[2]Jul-24'!$A:$A,'[2]Jul-24'!$H:$H,0)</f>
        <v>32.21</v>
      </c>
      <c r="M53" s="17">
        <f>_xlfn.XLOOKUP($B53,'[2]Aug-24'!$A:$A,'[2]Aug-24'!$H:$H,0)</f>
        <v>32.21</v>
      </c>
      <c r="N53" s="17">
        <f>_xlfn.XLOOKUP($B53,'[2]Sep-24'!$A:$A,'[2]Sep-24'!$H:$H,0)</f>
        <v>32.21</v>
      </c>
      <c r="O53" s="17">
        <f>_xlfn.XLOOKUP($B53,'[2]Oct-24'!$A:$A,'[2]Oct-24'!$H:$H,0)</f>
        <v>32.21</v>
      </c>
      <c r="P53" s="17">
        <f>_xlfn.XLOOKUP($B53,'[2]Nov-24'!$A:$A,'[2]Nov-24'!$H:$H,0)</f>
        <v>32.21</v>
      </c>
      <c r="Q53" s="17">
        <f>_xlfn.XLOOKUP($B53,'[2]Dec-24'!$A:$A,'[2]Dec-24'!$H:$H,0)</f>
        <v>32.21</v>
      </c>
      <c r="R53" s="17">
        <f>_xlfn.XLOOKUP($B53,'[2]Jan-25'!$A:$A,'[2]Jan-25'!$H:$H,0)</f>
        <v>32.21</v>
      </c>
      <c r="S53" s="17">
        <f>_xlfn.XLOOKUP($B53,'[2]Feb-25'!$A:$A,'[2]Feb-25'!$H:$H,0)</f>
        <v>32.210000000006403</v>
      </c>
      <c r="T53" s="17">
        <f>_xlfn.XLOOKUP($B53,'[2]Mar-25'!$A:$A,'[2]Mar-25'!$H:$H,0)</f>
        <v>32.21</v>
      </c>
      <c r="U53" s="17">
        <f>_xlfn.XLOOKUP($B53,'[2]Apr-25'!$A:$A,'[2]Apr-25'!$H:$H,0)</f>
        <v>32.209999999999994</v>
      </c>
      <c r="V53" s="17">
        <f>_xlfn.XLOOKUP($B53,'[2]May-25'!$A:$A,'[2]May-25'!$H:$H,0)</f>
        <v>32.21</v>
      </c>
      <c r="W53" s="17">
        <f>_xlfn.XLOOKUP($B53,'[2]Jun-25'!$A:$A,'[2]Jun-25'!$H:$H,0)</f>
        <v>32.21</v>
      </c>
      <c r="X53" s="17">
        <f>_xlfn.XLOOKUP($B53,'[2]Jul-25'!$A:$A,'[2]Jul-25'!$H:$H,0)</f>
        <v>32.21</v>
      </c>
      <c r="Y53" s="17">
        <f>_xlfn.XLOOKUP($B53,'[2]Aug-25'!$A:$A,'[2]Aug-25'!$H:$H,0)</f>
        <v>32.21</v>
      </c>
      <c r="Z53" s="17">
        <f>_xlfn.XLOOKUP($B53,'[2]Sep-25'!$A:$A,'[2]Sep-25'!$H:$H,0)</f>
        <v>32.21</v>
      </c>
      <c r="AA53" s="17">
        <f>_xlfn.XLOOKUP($B53,'[2]Oct-25'!$A:$A,'[2]Oct-25'!$H:$H,0)</f>
        <v>32.21</v>
      </c>
      <c r="AB53" s="17">
        <f>_xlfn.XLOOKUP($B53,'[2]Nov-25'!$A:$A,'[2]Nov-25'!$H:$H,0)</f>
        <v>32.21</v>
      </c>
      <c r="AC53" s="17">
        <f>_xlfn.XLOOKUP($B53,'[2]Dec-25'!$A:$A,'[2]Dec-25'!$H:$H,0)</f>
        <v>32.21</v>
      </c>
      <c r="AD53" s="17">
        <f>_xlfn.XLOOKUP($B53,'[2]Jan-26'!$A:$A,'[2]Jan-26'!$H:$H,0)</f>
        <v>32.21</v>
      </c>
      <c r="AE53" s="17">
        <f>_xlfn.XLOOKUP($B53,'[2]Feb-26'!$A:$A,'[2]Feb-26'!$H:$H,0)</f>
        <v>32.21</v>
      </c>
      <c r="AF53" s="17">
        <f>_xlfn.XLOOKUP($B53,'[2]Mar-26'!$A:$A,'[2]Mar-26'!$H:$H,0)</f>
        <v>32.21</v>
      </c>
      <c r="AG53" s="17">
        <f>_xlfn.XLOOKUP($B53,'[2]Apr-26'!$A:$A,'[2]Apr-26'!$H:$H,0)</f>
        <v>32.21</v>
      </c>
    </row>
    <row r="54" spans="1:33" x14ac:dyDescent="0.2">
      <c r="A54" s="58">
        <v>16500</v>
      </c>
      <c r="B54" s="56" t="str">
        <f t="shared" si="2"/>
        <v>16500</v>
      </c>
      <c r="C54" s="57" t="s">
        <v>418</v>
      </c>
      <c r="D54" s="57" t="s">
        <v>303</v>
      </c>
      <c r="E54" s="44" t="s">
        <v>254</v>
      </c>
      <c r="F54" s="17">
        <f>_xlfn.XLOOKUP($B54,'[2]Jan-24'!$A:$A,'[2]Jan-24'!$H:$H,0)</f>
        <v>0</v>
      </c>
      <c r="G54" s="17">
        <f>_xlfn.XLOOKUP($B54,'[2]Feb-24'!$A:$A,'[2]Feb-24'!$H:$H,0)</f>
        <v>0</v>
      </c>
      <c r="H54" s="17">
        <f>_xlfn.XLOOKUP($B54,'[2]Mar-24'!$A:$A,'[2]Mar-24'!$H:$H,0)</f>
        <v>0</v>
      </c>
      <c r="I54" s="17">
        <f>_xlfn.XLOOKUP($B54,'[2]Apr-24'!$A:$A,'[2]Apr-24'!$H:$H,0)</f>
        <v>0</v>
      </c>
      <c r="J54" s="17">
        <f>_xlfn.XLOOKUP($B54,'[2]May-24'!$A:$A,'[2]May-24'!$H:$H,0)</f>
        <v>0</v>
      </c>
      <c r="K54" s="17">
        <f>_xlfn.XLOOKUP($B54,'[2]Jun-24'!$A:$A,'[2]Jun-24'!$H:$H,0)</f>
        <v>0</v>
      </c>
      <c r="L54" s="17">
        <f>_xlfn.XLOOKUP($B54,'[2]Jul-24'!$A:$A,'[2]Jul-24'!$H:$H,0)</f>
        <v>0</v>
      </c>
      <c r="M54" s="17">
        <f>_xlfn.XLOOKUP($B54,'[2]Aug-24'!$A:$A,'[2]Aug-24'!$H:$H,0)</f>
        <v>0</v>
      </c>
      <c r="N54" s="17">
        <f>_xlfn.XLOOKUP($B54,'[2]Sep-24'!$A:$A,'[2]Sep-24'!$H:$H,0)</f>
        <v>0</v>
      </c>
      <c r="O54" s="17">
        <f>_xlfn.XLOOKUP($B54,'[2]Oct-24'!$A:$A,'[2]Oct-24'!$H:$H,0)</f>
        <v>0</v>
      </c>
      <c r="P54" s="17">
        <f>_xlfn.XLOOKUP($B54,'[2]Nov-24'!$A:$A,'[2]Nov-24'!$H:$H,0)</f>
        <v>0</v>
      </c>
      <c r="Q54" s="17">
        <f>_xlfn.XLOOKUP($B54,'[2]Dec-24'!$A:$A,'[2]Dec-24'!$H:$H,0)</f>
        <v>0</v>
      </c>
      <c r="R54" s="17">
        <f>_xlfn.XLOOKUP($B54,'[2]Jan-25'!$A:$A,'[2]Jan-25'!$H:$H,0)</f>
        <v>0</v>
      </c>
      <c r="S54" s="17">
        <f>_xlfn.XLOOKUP($B54,'[2]Feb-25'!$A:$A,'[2]Feb-25'!$H:$H,0)</f>
        <v>0</v>
      </c>
      <c r="T54" s="17">
        <f>_xlfn.XLOOKUP($B54,'[2]Mar-25'!$A:$A,'[2]Mar-25'!$H:$H,0)</f>
        <v>0</v>
      </c>
      <c r="U54" s="17">
        <f>_xlfn.XLOOKUP($B54,'[2]Apr-25'!$A:$A,'[2]Apr-25'!$H:$H,0)</f>
        <v>0</v>
      </c>
      <c r="V54" s="17">
        <f>_xlfn.XLOOKUP($B54,'[2]May-25'!$A:$A,'[2]May-25'!$H:$H,0)</f>
        <v>0</v>
      </c>
      <c r="W54" s="17">
        <f>_xlfn.XLOOKUP($B54,'[2]Jun-25'!$A:$A,'[2]Jun-25'!$H:$H,0)</f>
        <v>0</v>
      </c>
      <c r="X54" s="17">
        <f>_xlfn.XLOOKUP($B54,'[2]Jul-25'!$A:$A,'[2]Jul-25'!$H:$H,0)</f>
        <v>0</v>
      </c>
      <c r="Y54" s="17">
        <f>_xlfn.XLOOKUP($B54,'[2]Aug-25'!$A:$A,'[2]Aug-25'!$H:$H,0)</f>
        <v>0</v>
      </c>
      <c r="Z54" s="17">
        <f>_xlfn.XLOOKUP($B54,'[2]Sep-25'!$A:$A,'[2]Sep-25'!$H:$H,0)</f>
        <v>0</v>
      </c>
      <c r="AA54" s="17">
        <f>_xlfn.XLOOKUP($B54,'[2]Oct-25'!$A:$A,'[2]Oct-25'!$H:$H,0)</f>
        <v>0</v>
      </c>
      <c r="AB54" s="17">
        <f>_xlfn.XLOOKUP($B54,'[2]Nov-25'!$A:$A,'[2]Nov-25'!$H:$H,0)</f>
        <v>0</v>
      </c>
      <c r="AC54" s="17">
        <f>_xlfn.XLOOKUP($B54,'[2]Dec-25'!$A:$A,'[2]Dec-25'!$H:$H,0)</f>
        <v>0</v>
      </c>
      <c r="AD54" s="17">
        <f>_xlfn.XLOOKUP($B54,'[2]Jan-26'!$A:$A,'[2]Jan-26'!$H:$H,0)</f>
        <v>0</v>
      </c>
      <c r="AE54" s="17">
        <f>_xlfn.XLOOKUP($B54,'[2]Feb-26'!$A:$A,'[2]Feb-26'!$H:$H,0)</f>
        <v>0</v>
      </c>
      <c r="AF54" s="17">
        <f>_xlfn.XLOOKUP($B54,'[2]Mar-26'!$A:$A,'[2]Mar-26'!$H:$H,0)</f>
        <v>0</v>
      </c>
      <c r="AG54" s="17">
        <f>_xlfn.XLOOKUP($B54,'[2]Apr-26'!$A:$A,'[2]Apr-26'!$H:$H,0)</f>
        <v>0</v>
      </c>
    </row>
    <row r="55" spans="1:33" x14ac:dyDescent="0.2">
      <c r="A55" s="58">
        <v>17000</v>
      </c>
      <c r="B55" s="56" t="str">
        <f t="shared" si="2"/>
        <v>17000</v>
      </c>
      <c r="C55" s="57" t="s">
        <v>371</v>
      </c>
      <c r="D55" s="57" t="s">
        <v>303</v>
      </c>
      <c r="E55" s="44" t="s">
        <v>219</v>
      </c>
      <c r="F55" s="17">
        <f>_xlfn.XLOOKUP($B55,'[2]Jan-24'!$A:$A,'[2]Jan-24'!$H:$H,0)</f>
        <v>0</v>
      </c>
      <c r="G55" s="17">
        <f>_xlfn.XLOOKUP($B55,'[2]Feb-24'!$A:$A,'[2]Feb-24'!$H:$H,0)</f>
        <v>0</v>
      </c>
      <c r="H55" s="17">
        <f>_xlfn.XLOOKUP($B55,'[2]Mar-24'!$A:$A,'[2]Mar-24'!$H:$H,0)</f>
        <v>0</v>
      </c>
      <c r="I55" s="17">
        <f>_xlfn.XLOOKUP($B55,'[2]Apr-24'!$A:$A,'[2]Apr-24'!$H:$H,0)</f>
        <v>0</v>
      </c>
      <c r="J55" s="17">
        <f>_xlfn.XLOOKUP($B55,'[2]May-24'!$A:$A,'[2]May-24'!$H:$H,0)</f>
        <v>0</v>
      </c>
      <c r="K55" s="17">
        <f>_xlfn.XLOOKUP($B55,'[2]Jun-24'!$A:$A,'[2]Jun-24'!$H:$H,0)</f>
        <v>0</v>
      </c>
      <c r="L55" s="17">
        <f>_xlfn.XLOOKUP($B55,'[2]Jul-24'!$A:$A,'[2]Jul-24'!$H:$H,0)</f>
        <v>0</v>
      </c>
      <c r="M55" s="17">
        <f>_xlfn.XLOOKUP($B55,'[2]Aug-24'!$A:$A,'[2]Aug-24'!$H:$H,0)</f>
        <v>0</v>
      </c>
      <c r="N55" s="17">
        <f>_xlfn.XLOOKUP($B55,'[2]Sep-24'!$A:$A,'[2]Sep-24'!$H:$H,0)</f>
        <v>0</v>
      </c>
      <c r="O55" s="17">
        <f>_xlfn.XLOOKUP($B55,'[2]Oct-24'!$A:$A,'[2]Oct-24'!$H:$H,0)</f>
        <v>0</v>
      </c>
      <c r="P55" s="17">
        <f>_xlfn.XLOOKUP($B55,'[2]Nov-24'!$A:$A,'[2]Nov-24'!$H:$H,0)</f>
        <v>0</v>
      </c>
      <c r="Q55" s="17">
        <f>_xlfn.XLOOKUP($B55,'[2]Dec-24'!$A:$A,'[2]Dec-24'!$H:$H,0)</f>
        <v>0</v>
      </c>
      <c r="R55" s="17">
        <f>_xlfn.XLOOKUP($B55,'[2]Jan-25'!$A:$A,'[2]Jan-25'!$H:$H,0)</f>
        <v>0</v>
      </c>
      <c r="S55" s="17">
        <f>_xlfn.XLOOKUP($B55,'[2]Feb-25'!$A:$A,'[2]Feb-25'!$H:$H,0)</f>
        <v>0</v>
      </c>
      <c r="T55" s="17">
        <f>_xlfn.XLOOKUP($B55,'[2]Mar-25'!$A:$A,'[2]Mar-25'!$H:$H,0)</f>
        <v>0</v>
      </c>
      <c r="U55" s="17">
        <f>_xlfn.XLOOKUP($B55,'[2]Apr-25'!$A:$A,'[2]Apr-25'!$H:$H,0)</f>
        <v>0</v>
      </c>
      <c r="V55" s="17">
        <f>_xlfn.XLOOKUP($B55,'[2]May-25'!$A:$A,'[2]May-25'!$H:$H,0)</f>
        <v>0</v>
      </c>
      <c r="W55" s="17">
        <f>_xlfn.XLOOKUP($B55,'[2]Jun-25'!$A:$A,'[2]Jun-25'!$H:$H,0)</f>
        <v>0</v>
      </c>
      <c r="X55" s="17">
        <f>_xlfn.XLOOKUP($B55,'[2]Jul-25'!$A:$A,'[2]Jul-25'!$H:$H,0)</f>
        <v>0</v>
      </c>
      <c r="Y55" s="17">
        <f>_xlfn.XLOOKUP($B55,'[2]Aug-25'!$A:$A,'[2]Aug-25'!$H:$H,0)</f>
        <v>0</v>
      </c>
      <c r="Z55" s="17">
        <f>_xlfn.XLOOKUP($B55,'[2]Sep-25'!$A:$A,'[2]Sep-25'!$H:$H,0)</f>
        <v>0</v>
      </c>
      <c r="AA55" s="17">
        <f>_xlfn.XLOOKUP($B55,'[2]Oct-25'!$A:$A,'[2]Oct-25'!$H:$H,0)</f>
        <v>0</v>
      </c>
      <c r="AB55" s="17">
        <f>_xlfn.XLOOKUP($B55,'[2]Nov-25'!$A:$A,'[2]Nov-25'!$H:$H,0)</f>
        <v>0</v>
      </c>
      <c r="AC55" s="17">
        <f>_xlfn.XLOOKUP($B55,'[2]Dec-25'!$A:$A,'[2]Dec-25'!$H:$H,0)</f>
        <v>0</v>
      </c>
      <c r="AD55" s="17">
        <f>_xlfn.XLOOKUP($B55,'[2]Jan-26'!$A:$A,'[2]Jan-26'!$H:$H,0)</f>
        <v>0</v>
      </c>
      <c r="AE55" s="17">
        <f>_xlfn.XLOOKUP($B55,'[2]Feb-26'!$A:$A,'[2]Feb-26'!$H:$H,0)</f>
        <v>0</v>
      </c>
      <c r="AF55" s="17">
        <f>_xlfn.XLOOKUP($B55,'[2]Mar-26'!$A:$A,'[2]Mar-26'!$H:$H,0)</f>
        <v>0</v>
      </c>
      <c r="AG55" s="17">
        <f>_xlfn.XLOOKUP($B55,'[2]Apr-26'!$A:$A,'[2]Apr-26'!$H:$H,0)</f>
        <v>0</v>
      </c>
    </row>
    <row r="56" spans="1:33" x14ac:dyDescent="0.2">
      <c r="A56" s="58">
        <v>20000</v>
      </c>
      <c r="B56" s="56" t="str">
        <f t="shared" si="2"/>
        <v>20000</v>
      </c>
      <c r="C56" s="57" t="s">
        <v>428</v>
      </c>
      <c r="D56" s="57" t="s">
        <v>429</v>
      </c>
      <c r="E56" s="44" t="s">
        <v>269</v>
      </c>
      <c r="F56" s="17">
        <f>_xlfn.XLOOKUP($B56,'[2]Jan-24'!$A:$A,'[2]Jan-24'!$H:$H,0)</f>
        <v>0</v>
      </c>
      <c r="G56" s="17">
        <f>_xlfn.XLOOKUP($B56,'[2]Feb-24'!$A:$A,'[2]Feb-24'!$H:$H,0)</f>
        <v>0</v>
      </c>
      <c r="H56" s="17">
        <f>_xlfn.XLOOKUP($B56,'[2]Mar-24'!$A:$A,'[2]Mar-24'!$H:$H,0)</f>
        <v>0</v>
      </c>
      <c r="I56" s="17">
        <f>_xlfn.XLOOKUP($B56,'[2]Apr-24'!$A:$A,'[2]Apr-24'!$H:$H,0)</f>
        <v>0</v>
      </c>
      <c r="J56" s="17">
        <f>_xlfn.XLOOKUP($B56,'[2]May-24'!$A:$A,'[2]May-24'!$H:$H,0)</f>
        <v>0</v>
      </c>
      <c r="K56" s="17">
        <f>_xlfn.XLOOKUP($B56,'[2]Jun-24'!$A:$A,'[2]Jun-24'!$H:$H,0)</f>
        <v>0</v>
      </c>
      <c r="L56" s="17">
        <f>_xlfn.XLOOKUP($B56,'[2]Jul-24'!$A:$A,'[2]Jul-24'!$H:$H,0)</f>
        <v>0</v>
      </c>
      <c r="M56" s="17">
        <f>_xlfn.XLOOKUP($B56,'[2]Aug-24'!$A:$A,'[2]Aug-24'!$H:$H,0)</f>
        <v>0</v>
      </c>
      <c r="N56" s="17">
        <f>_xlfn.XLOOKUP($B56,'[2]Sep-24'!$A:$A,'[2]Sep-24'!$H:$H,0)</f>
        <v>0</v>
      </c>
      <c r="O56" s="17">
        <f>_xlfn.XLOOKUP($B56,'[2]Oct-24'!$A:$A,'[2]Oct-24'!$H:$H,0)</f>
        <v>0</v>
      </c>
      <c r="P56" s="17">
        <f>_xlfn.XLOOKUP($B56,'[2]Nov-24'!$A:$A,'[2]Nov-24'!$H:$H,0)</f>
        <v>0</v>
      </c>
      <c r="Q56" s="17">
        <f>_xlfn.XLOOKUP($B56,'[2]Dec-24'!$A:$A,'[2]Dec-24'!$H:$H,0)</f>
        <v>0</v>
      </c>
      <c r="R56" s="17">
        <f>_xlfn.XLOOKUP($B56,'[2]Jan-25'!$A:$A,'[2]Jan-25'!$H:$H,0)</f>
        <v>0</v>
      </c>
      <c r="S56" s="17">
        <f>_xlfn.XLOOKUP($B56,'[2]Feb-25'!$A:$A,'[2]Feb-25'!$H:$H,0)</f>
        <v>0</v>
      </c>
      <c r="T56" s="17">
        <f>_xlfn.XLOOKUP($B56,'[2]Mar-25'!$A:$A,'[2]Mar-25'!$H:$H,0)</f>
        <v>0</v>
      </c>
      <c r="U56" s="17">
        <f>_xlfn.XLOOKUP($B56,'[2]Apr-25'!$A:$A,'[2]Apr-25'!$H:$H,0)</f>
        <v>0</v>
      </c>
      <c r="V56" s="17">
        <f>_xlfn.XLOOKUP($B56,'[2]May-25'!$A:$A,'[2]May-25'!$H:$H,0)</f>
        <v>0</v>
      </c>
      <c r="W56" s="17">
        <f>_xlfn.XLOOKUP($B56,'[2]Jun-25'!$A:$A,'[2]Jun-25'!$H:$H,0)</f>
        <v>0</v>
      </c>
      <c r="X56" s="17">
        <f>_xlfn.XLOOKUP($B56,'[2]Jul-25'!$A:$A,'[2]Jul-25'!$H:$H,0)</f>
        <v>0</v>
      </c>
      <c r="Y56" s="17">
        <f>_xlfn.XLOOKUP($B56,'[2]Aug-25'!$A:$A,'[2]Aug-25'!$H:$H,0)</f>
        <v>0</v>
      </c>
      <c r="Z56" s="17">
        <f>_xlfn.XLOOKUP($B56,'[2]Sep-25'!$A:$A,'[2]Sep-25'!$H:$H,0)</f>
        <v>0</v>
      </c>
      <c r="AA56" s="17">
        <f>_xlfn.XLOOKUP($B56,'[2]Oct-25'!$A:$A,'[2]Oct-25'!$H:$H,0)</f>
        <v>0</v>
      </c>
      <c r="AB56" s="17">
        <f>_xlfn.XLOOKUP($B56,'[2]Nov-25'!$A:$A,'[2]Nov-25'!$H:$H,0)</f>
        <v>0</v>
      </c>
      <c r="AC56" s="17">
        <f>_xlfn.XLOOKUP($B56,'[2]Dec-25'!$A:$A,'[2]Dec-25'!$H:$H,0)</f>
        <v>0</v>
      </c>
      <c r="AD56" s="17">
        <f>_xlfn.XLOOKUP($B56,'[2]Jan-26'!$A:$A,'[2]Jan-26'!$H:$H,0)</f>
        <v>0</v>
      </c>
      <c r="AE56" s="17">
        <f>_xlfn.XLOOKUP($B56,'[2]Feb-26'!$A:$A,'[2]Feb-26'!$H:$H,0)</f>
        <v>0</v>
      </c>
      <c r="AF56" s="17">
        <f>_xlfn.XLOOKUP($B56,'[2]Mar-26'!$A:$A,'[2]Mar-26'!$H:$H,0)</f>
        <v>0</v>
      </c>
      <c r="AG56" s="17">
        <f>_xlfn.XLOOKUP($B56,'[2]Apr-26'!$A:$A,'[2]Apr-26'!$H:$H,0)</f>
        <v>0</v>
      </c>
    </row>
    <row r="57" spans="1:33" x14ac:dyDescent="0.2">
      <c r="A57" s="58">
        <v>20015</v>
      </c>
      <c r="B57" s="56" t="str">
        <f t="shared" si="2"/>
        <v>20015</v>
      </c>
      <c r="C57" s="57" t="s">
        <v>430</v>
      </c>
      <c r="D57" s="57" t="s">
        <v>429</v>
      </c>
      <c r="E57" s="44" t="s">
        <v>778</v>
      </c>
      <c r="F57" s="17">
        <f>_xlfn.XLOOKUP($B57,'[2]Jan-24'!$A:$A,'[2]Jan-24'!$H:$H,0)</f>
        <v>0</v>
      </c>
      <c r="G57" s="17">
        <f>_xlfn.XLOOKUP($B57,'[2]Feb-24'!$A:$A,'[2]Feb-24'!$H:$H,0)</f>
        <v>0</v>
      </c>
      <c r="H57" s="17">
        <f>_xlfn.XLOOKUP($B57,'[2]Mar-24'!$A:$A,'[2]Mar-24'!$H:$H,0)</f>
        <v>0</v>
      </c>
      <c r="I57" s="17">
        <f>_xlfn.XLOOKUP($B57,'[2]Apr-24'!$A:$A,'[2]Apr-24'!$H:$H,0)</f>
        <v>-4000</v>
      </c>
      <c r="J57" s="17">
        <f>_xlfn.XLOOKUP($B57,'[2]May-24'!$A:$A,'[2]May-24'!$H:$H,0)</f>
        <v>-4000</v>
      </c>
      <c r="K57" s="17">
        <f>_xlfn.XLOOKUP($B57,'[2]Jun-24'!$A:$A,'[2]Jun-24'!$H:$H,0)</f>
        <v>-4000</v>
      </c>
      <c r="L57" s="17">
        <f>_xlfn.XLOOKUP($B57,'[2]Jul-24'!$A:$A,'[2]Jul-24'!$H:$H,0)</f>
        <v>-4000</v>
      </c>
      <c r="M57" s="17">
        <f>_xlfn.XLOOKUP($B57,'[2]Aug-24'!$A:$A,'[2]Aug-24'!$H:$H,0)</f>
        <v>-4000</v>
      </c>
      <c r="N57" s="17">
        <f>_xlfn.XLOOKUP($B57,'[2]Sep-24'!$A:$A,'[2]Sep-24'!$H:$H,0)</f>
        <v>-4000</v>
      </c>
      <c r="O57" s="17">
        <f>_xlfn.XLOOKUP($B57,'[2]Oct-24'!$A:$A,'[2]Oct-24'!$H:$H,0)</f>
        <v>-4000</v>
      </c>
      <c r="P57" s="17">
        <f>_xlfn.XLOOKUP($B57,'[2]Nov-24'!$A:$A,'[2]Nov-24'!$H:$H,0)</f>
        <v>-4000</v>
      </c>
      <c r="Q57" s="17">
        <f>_xlfn.XLOOKUP($B57,'[2]Dec-24'!$A:$A,'[2]Dec-24'!$H:$H,0)</f>
        <v>-4000</v>
      </c>
      <c r="R57" s="17">
        <f>_xlfn.XLOOKUP($B57,'[2]Jan-25'!$A:$A,'[2]Jan-25'!$H:$H,0)</f>
        <v>-4000</v>
      </c>
      <c r="S57" s="17">
        <f>_xlfn.XLOOKUP($B57,'[2]Feb-25'!$A:$A,'[2]Feb-25'!$H:$H,0)</f>
        <v>-4000</v>
      </c>
      <c r="T57" s="17">
        <f>_xlfn.XLOOKUP($B57,'[2]Mar-25'!$A:$A,'[2]Mar-25'!$H:$H,0)</f>
        <v>-8350</v>
      </c>
      <c r="U57" s="17">
        <f>_xlfn.XLOOKUP($B57,'[2]Apr-25'!$A:$A,'[2]Apr-25'!$H:$H,0)</f>
        <v>-8350</v>
      </c>
      <c r="V57" s="17">
        <f>_xlfn.XLOOKUP($B57,'[2]May-25'!$A:$A,'[2]May-25'!$H:$H,0)</f>
        <v>-8350</v>
      </c>
      <c r="W57" s="17">
        <f>_xlfn.XLOOKUP($B57,'[2]Jun-25'!$A:$A,'[2]Jun-25'!$H:$H,0)</f>
        <v>-8350</v>
      </c>
      <c r="X57" s="17">
        <f>_xlfn.XLOOKUP($B57,'[2]Jul-25'!$A:$A,'[2]Jul-25'!$H:$H,0)</f>
        <v>-8350</v>
      </c>
      <c r="Y57" s="17">
        <f>_xlfn.XLOOKUP($B57,'[2]Aug-25'!$A:$A,'[2]Aug-25'!$H:$H,0)</f>
        <v>0</v>
      </c>
      <c r="Z57" s="17">
        <f>_xlfn.XLOOKUP($B57,'[2]Sep-25'!$A:$A,'[2]Sep-25'!$H:$H,0)</f>
        <v>0</v>
      </c>
      <c r="AA57" s="17">
        <f>_xlfn.XLOOKUP($B57,'[2]Oct-25'!$A:$A,'[2]Oct-25'!$H:$H,0)</f>
        <v>0</v>
      </c>
      <c r="AB57" s="17">
        <f>_xlfn.XLOOKUP($B57,'[2]Nov-25'!$A:$A,'[2]Nov-25'!$H:$H,0)</f>
        <v>0</v>
      </c>
      <c r="AC57" s="17">
        <f>_xlfn.XLOOKUP($B57,'[2]Dec-25'!$A:$A,'[2]Dec-25'!$H:$H,0)</f>
        <v>0</v>
      </c>
      <c r="AD57" s="17">
        <f>_xlfn.XLOOKUP($B57,'[2]Jan-26'!$A:$A,'[2]Jan-26'!$H:$H,0)</f>
        <v>0</v>
      </c>
      <c r="AE57" s="17">
        <f>_xlfn.XLOOKUP($B57,'[2]Feb-26'!$A:$A,'[2]Feb-26'!$H:$H,0)</f>
        <v>0</v>
      </c>
      <c r="AF57" s="17">
        <f>_xlfn.XLOOKUP($B57,'[2]Mar-26'!$A:$A,'[2]Mar-26'!$H:$H,0)</f>
        <v>0</v>
      </c>
      <c r="AG57" s="17">
        <f>_xlfn.XLOOKUP($B57,'[2]Apr-26'!$A:$A,'[2]Apr-26'!$H:$H,0)</f>
        <v>0</v>
      </c>
    </row>
    <row r="58" spans="1:33" x14ac:dyDescent="0.2">
      <c r="A58" s="58">
        <v>20020</v>
      </c>
      <c r="B58" s="56" t="str">
        <f t="shared" si="2"/>
        <v>20020</v>
      </c>
      <c r="C58" s="57" t="s">
        <v>430</v>
      </c>
      <c r="D58" s="57" t="s">
        <v>429</v>
      </c>
      <c r="E58" s="44" t="s">
        <v>779</v>
      </c>
      <c r="F58" s="17">
        <f>_xlfn.XLOOKUP($B58,'[2]Jan-24'!$A:$A,'[2]Jan-24'!$H:$H,0)</f>
        <v>0</v>
      </c>
      <c r="G58" s="17">
        <f>_xlfn.XLOOKUP($B58,'[2]Feb-24'!$A:$A,'[2]Feb-24'!$H:$H,0)</f>
        <v>0</v>
      </c>
      <c r="H58" s="17">
        <f>_xlfn.XLOOKUP($B58,'[2]Mar-24'!$A:$A,'[2]Mar-24'!$H:$H,0)</f>
        <v>0</v>
      </c>
      <c r="I58" s="17">
        <f>_xlfn.XLOOKUP($B58,'[2]Apr-24'!$A:$A,'[2]Apr-24'!$H:$H,0)</f>
        <v>0</v>
      </c>
      <c r="J58" s="17">
        <f>_xlfn.XLOOKUP($B58,'[2]May-24'!$A:$A,'[2]May-24'!$H:$H,0)</f>
        <v>0</v>
      </c>
      <c r="K58" s="17">
        <f>_xlfn.XLOOKUP($B58,'[2]Jun-24'!$A:$A,'[2]Jun-24'!$H:$H,0)</f>
        <v>0</v>
      </c>
      <c r="L58" s="17">
        <f>_xlfn.XLOOKUP($B58,'[2]Jul-24'!$A:$A,'[2]Jul-24'!$H:$H,0)</f>
        <v>0</v>
      </c>
      <c r="M58" s="17">
        <f>_xlfn.XLOOKUP($B58,'[2]Aug-24'!$A:$A,'[2]Aug-24'!$H:$H,0)</f>
        <v>0</v>
      </c>
      <c r="N58" s="17">
        <f>_xlfn.XLOOKUP($B58,'[2]Sep-24'!$A:$A,'[2]Sep-24'!$H:$H,0)</f>
        <v>0</v>
      </c>
      <c r="O58" s="17">
        <f>_xlfn.XLOOKUP($B58,'[2]Oct-24'!$A:$A,'[2]Oct-24'!$H:$H,0)</f>
        <v>0</v>
      </c>
      <c r="P58" s="17">
        <f>_xlfn.XLOOKUP($B58,'[2]Nov-24'!$A:$A,'[2]Nov-24'!$H:$H,0)</f>
        <v>0</v>
      </c>
      <c r="Q58" s="17">
        <f>_xlfn.XLOOKUP($B58,'[2]Dec-24'!$A:$A,'[2]Dec-24'!$H:$H,0)</f>
        <v>0</v>
      </c>
      <c r="R58" s="17">
        <f>_xlfn.XLOOKUP($B58,'[2]Jan-25'!$A:$A,'[2]Jan-25'!$H:$H,0)</f>
        <v>0</v>
      </c>
      <c r="S58" s="17">
        <f>_xlfn.XLOOKUP($B58,'[2]Feb-25'!$A:$A,'[2]Feb-25'!$H:$H,0)</f>
        <v>0</v>
      </c>
      <c r="T58" s="17">
        <f>_xlfn.XLOOKUP($B58,'[2]Mar-25'!$A:$A,'[2]Mar-25'!$H:$H,0)</f>
        <v>0</v>
      </c>
      <c r="U58" s="17">
        <f>_xlfn.XLOOKUP($B58,'[2]Apr-25'!$A:$A,'[2]Apr-25'!$H:$H,0)</f>
        <v>0</v>
      </c>
      <c r="V58" s="17">
        <f>_xlfn.XLOOKUP($B58,'[2]May-25'!$A:$A,'[2]May-25'!$H:$H,0)</f>
        <v>0</v>
      </c>
      <c r="W58" s="17">
        <f>_xlfn.XLOOKUP($B58,'[2]Jun-25'!$A:$A,'[2]Jun-25'!$H:$H,0)</f>
        <v>0</v>
      </c>
      <c r="X58" s="17">
        <f>_xlfn.XLOOKUP($B58,'[2]Jul-25'!$A:$A,'[2]Jul-25'!$H:$H,0)</f>
        <v>0</v>
      </c>
      <c r="Y58" s="17">
        <f>_xlfn.XLOOKUP($B58,'[2]Aug-25'!$A:$A,'[2]Aug-25'!$H:$H,0)</f>
        <v>0</v>
      </c>
      <c r="Z58" s="17">
        <f>_xlfn.XLOOKUP($B58,'[2]Sep-25'!$A:$A,'[2]Sep-25'!$H:$H,0)</f>
        <v>0</v>
      </c>
      <c r="AA58" s="17">
        <f>_xlfn.XLOOKUP($B58,'[2]Oct-25'!$A:$A,'[2]Oct-25'!$H:$H,0)</f>
        <v>0</v>
      </c>
      <c r="AB58" s="17">
        <f>_xlfn.XLOOKUP($B58,'[2]Nov-25'!$A:$A,'[2]Nov-25'!$H:$H,0)</f>
        <v>0</v>
      </c>
      <c r="AC58" s="17">
        <f>_xlfn.XLOOKUP($B58,'[2]Dec-25'!$A:$A,'[2]Dec-25'!$H:$H,0)</f>
        <v>0</v>
      </c>
      <c r="AD58" s="17">
        <f>_xlfn.XLOOKUP($B58,'[2]Jan-26'!$A:$A,'[2]Jan-26'!$H:$H,0)</f>
        <v>0</v>
      </c>
      <c r="AE58" s="17">
        <f>_xlfn.XLOOKUP($B58,'[2]Feb-26'!$A:$A,'[2]Feb-26'!$H:$H,0)</f>
        <v>0</v>
      </c>
      <c r="AF58" s="17">
        <f>_xlfn.XLOOKUP($B58,'[2]Mar-26'!$A:$A,'[2]Mar-26'!$H:$H,0)</f>
        <v>0</v>
      </c>
      <c r="AG58" s="17">
        <f>_xlfn.XLOOKUP($B58,'[2]Apr-26'!$A:$A,'[2]Apr-26'!$H:$H,0)</f>
        <v>0</v>
      </c>
    </row>
    <row r="59" spans="1:33" x14ac:dyDescent="0.2">
      <c r="A59" s="58">
        <v>20025</v>
      </c>
      <c r="B59" s="56" t="str">
        <f t="shared" si="2"/>
        <v>20025</v>
      </c>
      <c r="C59" s="57" t="s">
        <v>430</v>
      </c>
      <c r="D59" s="57" t="s">
        <v>429</v>
      </c>
      <c r="E59" s="44" t="s">
        <v>780</v>
      </c>
      <c r="F59" s="17">
        <f>_xlfn.XLOOKUP($B59,'[2]Jan-24'!$A:$A,'[2]Jan-24'!$H:$H,0)</f>
        <v>0</v>
      </c>
      <c r="G59" s="17">
        <f>_xlfn.XLOOKUP($B59,'[2]Feb-24'!$A:$A,'[2]Feb-24'!$H:$H,0)</f>
        <v>0</v>
      </c>
      <c r="H59" s="17">
        <f>_xlfn.XLOOKUP($B59,'[2]Mar-24'!$A:$A,'[2]Mar-24'!$H:$H,0)</f>
        <v>0</v>
      </c>
      <c r="I59" s="17">
        <f>_xlfn.XLOOKUP($B59,'[2]Apr-24'!$A:$A,'[2]Apr-24'!$H:$H,0)</f>
        <v>0</v>
      </c>
      <c r="J59" s="17">
        <f>_xlfn.XLOOKUP($B59,'[2]May-24'!$A:$A,'[2]May-24'!$H:$H,0)</f>
        <v>0</v>
      </c>
      <c r="K59" s="17">
        <f>_xlfn.XLOOKUP($B59,'[2]Jun-24'!$A:$A,'[2]Jun-24'!$H:$H,0)</f>
        <v>0</v>
      </c>
      <c r="L59" s="17">
        <f>_xlfn.XLOOKUP($B59,'[2]Jul-24'!$A:$A,'[2]Jul-24'!$H:$H,0)</f>
        <v>0</v>
      </c>
      <c r="M59" s="17">
        <f>_xlfn.XLOOKUP($B59,'[2]Aug-24'!$A:$A,'[2]Aug-24'!$H:$H,0)</f>
        <v>0</v>
      </c>
      <c r="N59" s="17">
        <f>_xlfn.XLOOKUP($B59,'[2]Sep-24'!$A:$A,'[2]Sep-24'!$H:$H,0)</f>
        <v>0</v>
      </c>
      <c r="O59" s="17">
        <f>_xlfn.XLOOKUP($B59,'[2]Oct-24'!$A:$A,'[2]Oct-24'!$H:$H,0)</f>
        <v>0</v>
      </c>
      <c r="P59" s="17">
        <f>_xlfn.XLOOKUP($B59,'[2]Nov-24'!$A:$A,'[2]Nov-24'!$H:$H,0)</f>
        <v>0</v>
      </c>
      <c r="Q59" s="17">
        <f>_xlfn.XLOOKUP($B59,'[2]Dec-24'!$A:$A,'[2]Dec-24'!$H:$H,0)</f>
        <v>0</v>
      </c>
      <c r="R59" s="17">
        <f>_xlfn.XLOOKUP($B59,'[2]Jan-25'!$A:$A,'[2]Jan-25'!$H:$H,0)</f>
        <v>0</v>
      </c>
      <c r="S59" s="17">
        <f>_xlfn.XLOOKUP($B59,'[2]Feb-25'!$A:$A,'[2]Feb-25'!$H:$H,0)</f>
        <v>0</v>
      </c>
      <c r="T59" s="17">
        <f>_xlfn.XLOOKUP($B59,'[2]Mar-25'!$A:$A,'[2]Mar-25'!$H:$H,0)</f>
        <v>0</v>
      </c>
      <c r="U59" s="17">
        <f>_xlfn.XLOOKUP($B59,'[2]Apr-25'!$A:$A,'[2]Apr-25'!$H:$H,0)</f>
        <v>0</v>
      </c>
      <c r="V59" s="17">
        <f>_xlfn.XLOOKUP($B59,'[2]May-25'!$A:$A,'[2]May-25'!$H:$H,0)</f>
        <v>0</v>
      </c>
      <c r="W59" s="17">
        <f>_xlfn.XLOOKUP($B59,'[2]Jun-25'!$A:$A,'[2]Jun-25'!$H:$H,0)</f>
        <v>0</v>
      </c>
      <c r="X59" s="17">
        <f>_xlfn.XLOOKUP($B59,'[2]Jul-25'!$A:$A,'[2]Jul-25'!$H:$H,0)</f>
        <v>0</v>
      </c>
      <c r="Y59" s="17">
        <f>_xlfn.XLOOKUP($B59,'[2]Aug-25'!$A:$A,'[2]Aug-25'!$H:$H,0)</f>
        <v>0</v>
      </c>
      <c r="Z59" s="17">
        <f>_xlfn.XLOOKUP($B59,'[2]Sep-25'!$A:$A,'[2]Sep-25'!$H:$H,0)</f>
        <v>0</v>
      </c>
      <c r="AA59" s="17">
        <f>_xlfn.XLOOKUP($B59,'[2]Oct-25'!$A:$A,'[2]Oct-25'!$H:$H,0)</f>
        <v>0</v>
      </c>
      <c r="AB59" s="17">
        <f>_xlfn.XLOOKUP($B59,'[2]Nov-25'!$A:$A,'[2]Nov-25'!$H:$H,0)</f>
        <v>0</v>
      </c>
      <c r="AC59" s="17">
        <f>_xlfn.XLOOKUP($B59,'[2]Dec-25'!$A:$A,'[2]Dec-25'!$H:$H,0)</f>
        <v>0</v>
      </c>
      <c r="AD59" s="17">
        <f>_xlfn.XLOOKUP($B59,'[2]Jan-26'!$A:$A,'[2]Jan-26'!$H:$H,0)</f>
        <v>0</v>
      </c>
      <c r="AE59" s="17">
        <f>_xlfn.XLOOKUP($B59,'[2]Feb-26'!$A:$A,'[2]Feb-26'!$H:$H,0)</f>
        <v>0</v>
      </c>
      <c r="AF59" s="17">
        <f>_xlfn.XLOOKUP($B59,'[2]Mar-26'!$A:$A,'[2]Mar-26'!$H:$H,0)</f>
        <v>0</v>
      </c>
      <c r="AG59" s="17">
        <f>_xlfn.XLOOKUP($B59,'[2]Apr-26'!$A:$A,'[2]Apr-26'!$H:$H,0)</f>
        <v>0</v>
      </c>
    </row>
    <row r="60" spans="1:33" x14ac:dyDescent="0.2">
      <c r="A60" s="58">
        <v>20030</v>
      </c>
      <c r="B60" s="56" t="str">
        <f t="shared" si="2"/>
        <v>20030</v>
      </c>
      <c r="C60" s="57" t="s">
        <v>430</v>
      </c>
      <c r="D60" s="57" t="s">
        <v>429</v>
      </c>
      <c r="E60" s="44" t="s">
        <v>781</v>
      </c>
      <c r="F60" s="17">
        <f>_xlfn.XLOOKUP($B60,'[2]Jan-24'!$A:$A,'[2]Jan-24'!$H:$H,0)</f>
        <v>0</v>
      </c>
      <c r="G60" s="17">
        <f>_xlfn.XLOOKUP($B60,'[2]Feb-24'!$A:$A,'[2]Feb-24'!$H:$H,0)</f>
        <v>0</v>
      </c>
      <c r="H60" s="17">
        <f>_xlfn.XLOOKUP($B60,'[2]Mar-24'!$A:$A,'[2]Mar-24'!$H:$H,0)</f>
        <v>0</v>
      </c>
      <c r="I60" s="17">
        <f>_xlfn.XLOOKUP($B60,'[2]Apr-24'!$A:$A,'[2]Apr-24'!$H:$H,0)</f>
        <v>-4730.83</v>
      </c>
      <c r="J60" s="17">
        <f>_xlfn.XLOOKUP($B60,'[2]May-24'!$A:$A,'[2]May-24'!$H:$H,0)</f>
        <v>-4730.83</v>
      </c>
      <c r="K60" s="17">
        <f>_xlfn.XLOOKUP($B60,'[2]Jun-24'!$A:$A,'[2]Jun-24'!$H:$H,0)</f>
        <v>-4730.83</v>
      </c>
      <c r="L60" s="17">
        <f>_xlfn.XLOOKUP($B60,'[2]Jul-24'!$A:$A,'[2]Jul-24'!$H:$H,0)</f>
        <v>-4730.83</v>
      </c>
      <c r="M60" s="17">
        <f>_xlfn.XLOOKUP($B60,'[2]Aug-24'!$A:$A,'[2]Aug-24'!$H:$H,0)</f>
        <v>-4730.83</v>
      </c>
      <c r="N60" s="17">
        <f>_xlfn.XLOOKUP($B60,'[2]Sep-24'!$A:$A,'[2]Sep-24'!$H:$H,0)</f>
        <v>-4730.83</v>
      </c>
      <c r="O60" s="17">
        <f>_xlfn.XLOOKUP($B60,'[2]Oct-24'!$A:$A,'[2]Oct-24'!$H:$H,0)</f>
        <v>-4430.83</v>
      </c>
      <c r="P60" s="17">
        <f>_xlfn.XLOOKUP($B60,'[2]Nov-24'!$A:$A,'[2]Nov-24'!$H:$H,0)</f>
        <v>-4430.83</v>
      </c>
      <c r="Q60" s="17">
        <f>_xlfn.XLOOKUP($B60,'[2]Dec-24'!$A:$A,'[2]Dec-24'!$H:$H,0)</f>
        <v>-4430.83</v>
      </c>
      <c r="R60" s="17">
        <f>_xlfn.XLOOKUP($B60,'[2]Jan-25'!$A:$A,'[2]Jan-25'!$H:$H,0)</f>
        <v>-4430.83</v>
      </c>
      <c r="S60" s="17">
        <f>_xlfn.XLOOKUP($B60,'[2]Feb-25'!$A:$A,'[2]Feb-25'!$H:$H,0)</f>
        <v>-4430.83</v>
      </c>
      <c r="T60" s="17">
        <f>_xlfn.XLOOKUP($B60,'[2]Mar-25'!$A:$A,'[2]Mar-25'!$H:$H,0)</f>
        <v>-4430.83</v>
      </c>
      <c r="U60" s="17">
        <f>_xlfn.XLOOKUP($B60,'[2]Apr-25'!$A:$A,'[2]Apr-25'!$H:$H,0)</f>
        <v>-4430.83</v>
      </c>
      <c r="V60" s="17">
        <f>_xlfn.XLOOKUP($B60,'[2]May-25'!$A:$A,'[2]May-25'!$H:$H,0)</f>
        <v>-4430.83</v>
      </c>
      <c r="W60" s="17">
        <f>_xlfn.XLOOKUP($B60,'[2]Jun-25'!$A:$A,'[2]Jun-25'!$H:$H,0)</f>
        <v>-4430.83</v>
      </c>
      <c r="X60" s="17">
        <f>_xlfn.XLOOKUP($B60,'[2]Jul-25'!$A:$A,'[2]Jul-25'!$H:$H,0)</f>
        <v>-4538.83</v>
      </c>
      <c r="Y60" s="17">
        <f>_xlfn.XLOOKUP($B60,'[2]Aug-25'!$A:$A,'[2]Aug-25'!$H:$H,0)</f>
        <v>-4538.83</v>
      </c>
      <c r="Z60" s="17">
        <f>_xlfn.XLOOKUP($B60,'[2]Sep-25'!$A:$A,'[2]Sep-25'!$H:$H,0)</f>
        <v>-238</v>
      </c>
      <c r="AA60" s="17">
        <f>_xlfn.XLOOKUP($B60,'[2]Oct-25'!$A:$A,'[2]Oct-25'!$H:$H,0)</f>
        <v>-844.47</v>
      </c>
      <c r="AB60" s="17">
        <f>_xlfn.XLOOKUP($B60,'[2]Nov-25'!$A:$A,'[2]Nov-25'!$H:$H,0)</f>
        <v>-844.47</v>
      </c>
      <c r="AC60" s="17">
        <f>_xlfn.XLOOKUP($B60,'[2]Dec-25'!$A:$A,'[2]Dec-25'!$H:$H,0)</f>
        <v>-844.47</v>
      </c>
      <c r="AD60" s="17">
        <f>_xlfn.XLOOKUP($B60,'[2]Jan-26'!$A:$A,'[2]Jan-26'!$H:$H,0)</f>
        <v>-844.47</v>
      </c>
      <c r="AE60" s="17">
        <f>_xlfn.XLOOKUP($B60,'[2]Feb-26'!$A:$A,'[2]Feb-26'!$H:$H,0)</f>
        <v>-844.47</v>
      </c>
      <c r="AF60" s="17">
        <f>_xlfn.XLOOKUP($B60,'[2]Mar-26'!$A:$A,'[2]Mar-26'!$H:$H,0)</f>
        <v>-844.47</v>
      </c>
      <c r="AG60" s="17">
        <f>_xlfn.XLOOKUP($B60,'[2]Apr-26'!$A:$A,'[2]Apr-26'!$H:$H,0)</f>
        <v>-844.47</v>
      </c>
    </row>
    <row r="61" spans="1:33" x14ac:dyDescent="0.2">
      <c r="A61" s="58">
        <v>20035</v>
      </c>
      <c r="B61" s="56" t="str">
        <f t="shared" si="2"/>
        <v>20035</v>
      </c>
      <c r="C61" s="57" t="s">
        <v>441</v>
      </c>
      <c r="D61" s="57" t="s">
        <v>429</v>
      </c>
      <c r="E61" s="44" t="s">
        <v>782</v>
      </c>
      <c r="F61" s="17">
        <f>_xlfn.XLOOKUP($B61,'[2]Jan-24'!$A:$A,'[2]Jan-24'!$H:$H,0)</f>
        <v>0</v>
      </c>
      <c r="G61" s="17">
        <f>_xlfn.XLOOKUP($B61,'[2]Feb-24'!$A:$A,'[2]Feb-24'!$H:$H,0)</f>
        <v>0</v>
      </c>
      <c r="H61" s="17">
        <f>_xlfn.XLOOKUP($B61,'[2]Mar-24'!$A:$A,'[2]Mar-24'!$H:$H,0)</f>
        <v>0</v>
      </c>
      <c r="I61" s="17">
        <f>_xlfn.XLOOKUP($B61,'[2]Apr-24'!$A:$A,'[2]Apr-24'!$H:$H,0)</f>
        <v>0</v>
      </c>
      <c r="J61" s="17">
        <f>_xlfn.XLOOKUP($B61,'[2]May-24'!$A:$A,'[2]May-24'!$H:$H,0)</f>
        <v>-2943.84</v>
      </c>
      <c r="K61" s="17">
        <f>_xlfn.XLOOKUP($B61,'[2]Jun-24'!$A:$A,'[2]Jun-24'!$H:$H,0)</f>
        <v>-5455.45</v>
      </c>
      <c r="L61" s="17">
        <f>_xlfn.XLOOKUP($B61,'[2]Jul-24'!$A:$A,'[2]Jul-24'!$H:$H,0)</f>
        <v>0</v>
      </c>
      <c r="M61" s="17">
        <f>_xlfn.XLOOKUP($B61,'[2]Aug-24'!$A:$A,'[2]Aug-24'!$H:$H,0)</f>
        <v>-4487.41</v>
      </c>
      <c r="N61" s="17">
        <f>_xlfn.XLOOKUP($B61,'[2]Sep-24'!$A:$A,'[2]Sep-24'!$H:$H,0)</f>
        <v>-7128.68</v>
      </c>
      <c r="O61" s="17">
        <f>_xlfn.XLOOKUP($B61,'[2]Oct-24'!$A:$A,'[2]Oct-24'!$H:$H,0)</f>
        <v>0</v>
      </c>
      <c r="P61" s="17">
        <f>_xlfn.XLOOKUP($B61,'[2]Nov-24'!$A:$A,'[2]Nov-24'!$H:$H,0)</f>
        <v>-1825.55</v>
      </c>
      <c r="Q61" s="17">
        <f>_xlfn.XLOOKUP($B61,'[2]Dec-24'!$A:$A,'[2]Dec-24'!$H:$H,0)</f>
        <v>-1825.55</v>
      </c>
      <c r="R61" s="17">
        <f>_xlfn.XLOOKUP($B61,'[2]Jan-25'!$A:$A,'[2]Jan-25'!$H:$H,0)</f>
        <v>-1825.55</v>
      </c>
      <c r="S61" s="17">
        <f>_xlfn.XLOOKUP($B61,'[2]Feb-25'!$A:$A,'[2]Feb-25'!$H:$H,0)</f>
        <v>0</v>
      </c>
      <c r="T61" s="17">
        <f>_xlfn.XLOOKUP($B61,'[2]Mar-25'!$A:$A,'[2]Mar-25'!$H:$H,0)</f>
        <v>0</v>
      </c>
      <c r="U61" s="17">
        <f>_xlfn.XLOOKUP($B61,'[2]Apr-25'!$A:$A,'[2]Apr-25'!$H:$H,0)</f>
        <v>0</v>
      </c>
      <c r="V61" s="17">
        <f>_xlfn.XLOOKUP($B61,'[2]May-25'!$A:$A,'[2]May-25'!$H:$H,0)</f>
        <v>0</v>
      </c>
      <c r="W61" s="17">
        <f>_xlfn.XLOOKUP($B61,'[2]Jun-25'!$A:$A,'[2]Jun-25'!$H:$H,0)</f>
        <v>33.33</v>
      </c>
      <c r="X61" s="17">
        <f>_xlfn.XLOOKUP($B61,'[2]Jul-25'!$A:$A,'[2]Jul-25'!$H:$H,0)</f>
        <v>33.33</v>
      </c>
      <c r="Y61" s="17">
        <f>_xlfn.XLOOKUP($B61,'[2]Aug-25'!$A:$A,'[2]Aug-25'!$H:$H,0)</f>
        <v>33.33</v>
      </c>
      <c r="Z61" s="17">
        <f>_xlfn.XLOOKUP($B61,'[2]Sep-25'!$A:$A,'[2]Sep-25'!$H:$H,0)</f>
        <v>33.33</v>
      </c>
      <c r="AA61" s="17">
        <f>_xlfn.XLOOKUP($B61,'[2]Oct-25'!$A:$A,'[2]Oct-25'!$H:$H,0)</f>
        <v>33.33</v>
      </c>
      <c r="AB61" s="17">
        <f>_xlfn.XLOOKUP($B61,'[2]Nov-25'!$A:$A,'[2]Nov-25'!$H:$H,0)</f>
        <v>33.33</v>
      </c>
      <c r="AC61" s="17">
        <f>_xlfn.XLOOKUP($B61,'[2]Dec-25'!$A:$A,'[2]Dec-25'!$H:$H,0)</f>
        <v>33.33</v>
      </c>
      <c r="AD61" s="17">
        <f>_xlfn.XLOOKUP($B61,'[2]Jan-26'!$A:$A,'[2]Jan-26'!$H:$H,0)</f>
        <v>33.33</v>
      </c>
      <c r="AE61" s="17">
        <f>_xlfn.XLOOKUP($B61,'[2]Feb-26'!$A:$A,'[2]Feb-26'!$H:$H,0)</f>
        <v>33.33</v>
      </c>
      <c r="AF61" s="17">
        <f>_xlfn.XLOOKUP($B61,'[2]Mar-26'!$A:$A,'[2]Mar-26'!$H:$H,0)</f>
        <v>33.33</v>
      </c>
      <c r="AG61" s="17">
        <f>_xlfn.XLOOKUP($B61,'[2]Apr-26'!$A:$A,'[2]Apr-26'!$H:$H,0)</f>
        <v>33.33</v>
      </c>
    </row>
    <row r="62" spans="1:33" x14ac:dyDescent="0.2">
      <c r="A62" s="58">
        <v>20040</v>
      </c>
      <c r="B62" s="56" t="str">
        <f t="shared" si="2"/>
        <v>20040</v>
      </c>
      <c r="C62" s="57" t="s">
        <v>441</v>
      </c>
      <c r="D62" s="57" t="s">
        <v>429</v>
      </c>
      <c r="E62" s="44" t="s">
        <v>783</v>
      </c>
      <c r="F62" s="17">
        <f>_xlfn.XLOOKUP($B62,'[2]Jan-24'!$A:$A,'[2]Jan-24'!$H:$H,0)</f>
        <v>0</v>
      </c>
      <c r="G62" s="17">
        <f>_xlfn.XLOOKUP($B62,'[2]Feb-24'!$A:$A,'[2]Feb-24'!$H:$H,0)</f>
        <v>0</v>
      </c>
      <c r="H62" s="17">
        <f>_xlfn.XLOOKUP($B62,'[2]Mar-24'!$A:$A,'[2]Mar-24'!$H:$H,0)</f>
        <v>0</v>
      </c>
      <c r="I62" s="17">
        <f>_xlfn.XLOOKUP($B62,'[2]Apr-24'!$A:$A,'[2]Apr-24'!$H:$H,0)</f>
        <v>0</v>
      </c>
      <c r="J62" s="17">
        <f>_xlfn.XLOOKUP($B62,'[2]May-24'!$A:$A,'[2]May-24'!$H:$H,0)</f>
        <v>0</v>
      </c>
      <c r="K62" s="17">
        <f>_xlfn.XLOOKUP($B62,'[2]Jun-24'!$A:$A,'[2]Jun-24'!$H:$H,0)</f>
        <v>0</v>
      </c>
      <c r="L62" s="17">
        <f>_xlfn.XLOOKUP($B62,'[2]Jul-24'!$A:$A,'[2]Jul-24'!$H:$H,0)</f>
        <v>0</v>
      </c>
      <c r="M62" s="17">
        <f>_xlfn.XLOOKUP($B62,'[2]Aug-24'!$A:$A,'[2]Aug-24'!$H:$H,0)</f>
        <v>0</v>
      </c>
      <c r="N62" s="17">
        <f>_xlfn.XLOOKUP($B62,'[2]Sep-24'!$A:$A,'[2]Sep-24'!$H:$H,0)</f>
        <v>0</v>
      </c>
      <c r="O62" s="17">
        <f>_xlfn.XLOOKUP($B62,'[2]Oct-24'!$A:$A,'[2]Oct-24'!$H:$H,0)</f>
        <v>0</v>
      </c>
      <c r="P62" s="17">
        <f>_xlfn.XLOOKUP($B62,'[2]Nov-24'!$A:$A,'[2]Nov-24'!$H:$H,0)</f>
        <v>0</v>
      </c>
      <c r="Q62" s="17">
        <f>_xlfn.XLOOKUP($B62,'[2]Dec-24'!$A:$A,'[2]Dec-24'!$H:$H,0)</f>
        <v>0</v>
      </c>
      <c r="R62" s="17">
        <f>_xlfn.XLOOKUP($B62,'[2]Jan-25'!$A:$A,'[2]Jan-25'!$H:$H,0)</f>
        <v>0</v>
      </c>
      <c r="S62" s="17">
        <f>_xlfn.XLOOKUP($B62,'[2]Feb-25'!$A:$A,'[2]Feb-25'!$H:$H,0)</f>
        <v>0</v>
      </c>
      <c r="T62" s="17">
        <f>_xlfn.XLOOKUP($B62,'[2]Mar-25'!$A:$A,'[2]Mar-25'!$H:$H,0)</f>
        <v>0</v>
      </c>
      <c r="U62" s="17">
        <f>_xlfn.XLOOKUP($B62,'[2]Apr-25'!$A:$A,'[2]Apr-25'!$H:$H,0)</f>
        <v>0</v>
      </c>
      <c r="V62" s="17">
        <f>_xlfn.XLOOKUP($B62,'[2]May-25'!$A:$A,'[2]May-25'!$H:$H,0)</f>
        <v>0</v>
      </c>
      <c r="W62" s="17">
        <f>_xlfn.XLOOKUP($B62,'[2]Jun-25'!$A:$A,'[2]Jun-25'!$H:$H,0)</f>
        <v>0</v>
      </c>
      <c r="X62" s="17">
        <f>_xlfn.XLOOKUP($B62,'[2]Jul-25'!$A:$A,'[2]Jul-25'!$H:$H,0)</f>
        <v>0</v>
      </c>
      <c r="Y62" s="17">
        <f>_xlfn.XLOOKUP($B62,'[2]Aug-25'!$A:$A,'[2]Aug-25'!$H:$H,0)</f>
        <v>0</v>
      </c>
      <c r="Z62" s="17">
        <f>_xlfn.XLOOKUP($B62,'[2]Sep-25'!$A:$A,'[2]Sep-25'!$H:$H,0)</f>
        <v>0</v>
      </c>
      <c r="AA62" s="17">
        <f>_xlfn.XLOOKUP($B62,'[2]Oct-25'!$A:$A,'[2]Oct-25'!$H:$H,0)</f>
        <v>0</v>
      </c>
      <c r="AB62" s="17">
        <f>_xlfn.XLOOKUP($B62,'[2]Nov-25'!$A:$A,'[2]Nov-25'!$H:$H,0)</f>
        <v>0</v>
      </c>
      <c r="AC62" s="17">
        <f>_xlfn.XLOOKUP($B62,'[2]Dec-25'!$A:$A,'[2]Dec-25'!$H:$H,0)</f>
        <v>0</v>
      </c>
      <c r="AD62" s="17">
        <f>_xlfn.XLOOKUP($B62,'[2]Jan-26'!$A:$A,'[2]Jan-26'!$H:$H,0)</f>
        <v>0</v>
      </c>
      <c r="AE62" s="17">
        <f>_xlfn.XLOOKUP($B62,'[2]Feb-26'!$A:$A,'[2]Feb-26'!$H:$H,0)</f>
        <v>0</v>
      </c>
      <c r="AF62" s="17">
        <f>_xlfn.XLOOKUP($B62,'[2]Mar-26'!$A:$A,'[2]Mar-26'!$H:$H,0)</f>
        <v>0</v>
      </c>
      <c r="AG62" s="17">
        <f>_xlfn.XLOOKUP($B62,'[2]Apr-26'!$A:$A,'[2]Apr-26'!$H:$H,0)</f>
        <v>0</v>
      </c>
    </row>
    <row r="63" spans="1:33" x14ac:dyDescent="0.2">
      <c r="A63" s="58">
        <v>20045</v>
      </c>
      <c r="B63" s="56" t="str">
        <f t="shared" si="2"/>
        <v>20045</v>
      </c>
      <c r="C63" s="57" t="s">
        <v>441</v>
      </c>
      <c r="D63" s="57" t="s">
        <v>429</v>
      </c>
      <c r="E63" s="44" t="s">
        <v>784</v>
      </c>
      <c r="F63" s="17">
        <f>_xlfn.XLOOKUP($B63,'[2]Jan-24'!$A:$A,'[2]Jan-24'!$H:$H,0)</f>
        <v>0</v>
      </c>
      <c r="G63" s="17">
        <f>_xlfn.XLOOKUP($B63,'[2]Feb-24'!$A:$A,'[2]Feb-24'!$H:$H,0)</f>
        <v>0</v>
      </c>
      <c r="H63" s="17">
        <f>_xlfn.XLOOKUP($B63,'[2]Mar-24'!$A:$A,'[2]Mar-24'!$H:$H,0)</f>
        <v>0</v>
      </c>
      <c r="I63" s="17">
        <f>_xlfn.XLOOKUP($B63,'[2]Apr-24'!$A:$A,'[2]Apr-24'!$H:$H,0)</f>
        <v>-9888.7099999999991</v>
      </c>
      <c r="J63" s="17">
        <f>_xlfn.XLOOKUP($B63,'[2]May-24'!$A:$A,'[2]May-24'!$H:$H,0)</f>
        <v>-9888.7099999999991</v>
      </c>
      <c r="K63" s="17">
        <f>_xlfn.XLOOKUP($B63,'[2]Jun-24'!$A:$A,'[2]Jun-24'!$H:$H,0)</f>
        <v>0</v>
      </c>
      <c r="L63" s="17">
        <f>_xlfn.XLOOKUP($B63,'[2]Jul-24'!$A:$A,'[2]Jul-24'!$H:$H,0)</f>
        <v>-4302.9399999999996</v>
      </c>
      <c r="M63" s="17">
        <f>_xlfn.XLOOKUP($B63,'[2]Aug-24'!$A:$A,'[2]Aug-24'!$H:$H,0)</f>
        <v>-4302.9399999999996</v>
      </c>
      <c r="N63" s="17">
        <f>_xlfn.XLOOKUP($B63,'[2]Sep-24'!$A:$A,'[2]Sep-24'!$H:$H,0)</f>
        <v>0</v>
      </c>
      <c r="O63" s="17">
        <f>_xlfn.XLOOKUP($B63,'[2]Oct-24'!$A:$A,'[2]Oct-24'!$H:$H,0)</f>
        <v>-7336.8</v>
      </c>
      <c r="P63" s="17">
        <f>_xlfn.XLOOKUP($B63,'[2]Nov-24'!$A:$A,'[2]Nov-24'!$H:$H,0)</f>
        <v>0</v>
      </c>
      <c r="Q63" s="17">
        <f>_xlfn.XLOOKUP($B63,'[2]Dec-24'!$A:$A,'[2]Dec-24'!$H:$H,0)</f>
        <v>0</v>
      </c>
      <c r="R63" s="17">
        <f>_xlfn.XLOOKUP($B63,'[2]Jan-25'!$A:$A,'[2]Jan-25'!$H:$H,0)</f>
        <v>0</v>
      </c>
      <c r="S63" s="17">
        <f>_xlfn.XLOOKUP($B63,'[2]Feb-25'!$A:$A,'[2]Feb-25'!$H:$H,0)</f>
        <v>0</v>
      </c>
      <c r="T63" s="17">
        <f>_xlfn.XLOOKUP($B63,'[2]Mar-25'!$A:$A,'[2]Mar-25'!$H:$H,0)</f>
        <v>0</v>
      </c>
      <c r="U63" s="17">
        <f>_xlfn.XLOOKUP($B63,'[2]Apr-25'!$A:$A,'[2]Apr-25'!$H:$H,0)</f>
        <v>0</v>
      </c>
      <c r="V63" s="17">
        <f>_xlfn.XLOOKUP($B63,'[2]May-25'!$A:$A,'[2]May-25'!$H:$H,0)</f>
        <v>0</v>
      </c>
      <c r="W63" s="17">
        <f>_xlfn.XLOOKUP($B63,'[2]Jun-25'!$A:$A,'[2]Jun-25'!$H:$H,0)</f>
        <v>1957.39</v>
      </c>
      <c r="X63" s="17">
        <f>_xlfn.XLOOKUP($B63,'[2]Jul-25'!$A:$A,'[2]Jul-25'!$H:$H,0)</f>
        <v>1957.39</v>
      </c>
      <c r="Y63" s="17">
        <f>_xlfn.XLOOKUP($B63,'[2]Aug-25'!$A:$A,'[2]Aug-25'!$H:$H,0)</f>
        <v>-15.26</v>
      </c>
      <c r="Z63" s="17">
        <f>_xlfn.XLOOKUP($B63,'[2]Sep-25'!$A:$A,'[2]Sep-25'!$H:$H,0)</f>
        <v>-15.26</v>
      </c>
      <c r="AA63" s="17">
        <f>_xlfn.XLOOKUP($B63,'[2]Oct-25'!$A:$A,'[2]Oct-25'!$H:$H,0)</f>
        <v>-15.26</v>
      </c>
      <c r="AB63" s="17">
        <f>_xlfn.XLOOKUP($B63,'[2]Nov-25'!$A:$A,'[2]Nov-25'!$H:$H,0)</f>
        <v>-15.26</v>
      </c>
      <c r="AC63" s="17">
        <f>_xlfn.XLOOKUP($B63,'[2]Dec-25'!$A:$A,'[2]Dec-25'!$H:$H,0)</f>
        <v>-5124.49</v>
      </c>
      <c r="AD63" s="17">
        <f>_xlfn.XLOOKUP($B63,'[2]Jan-26'!$A:$A,'[2]Jan-26'!$H:$H,0)</f>
        <v>-5223.04</v>
      </c>
      <c r="AE63" s="17">
        <f>_xlfn.XLOOKUP($B63,'[2]Feb-26'!$A:$A,'[2]Feb-26'!$H:$H,0)</f>
        <v>-7663.95</v>
      </c>
      <c r="AF63" s="17">
        <f>_xlfn.XLOOKUP($B63,'[2]Mar-26'!$A:$A,'[2]Mar-26'!$H:$H,0)</f>
        <v>-7862.52</v>
      </c>
      <c r="AG63" s="17">
        <f>_xlfn.XLOOKUP($B63,'[2]Apr-26'!$A:$A,'[2]Apr-26'!$H:$H,0)</f>
        <v>-8667.52</v>
      </c>
    </row>
    <row r="64" spans="1:33" x14ac:dyDescent="0.2">
      <c r="A64" s="58">
        <v>20050</v>
      </c>
      <c r="B64" s="56" t="str">
        <f t="shared" si="2"/>
        <v>20050</v>
      </c>
      <c r="C64" s="57" t="s">
        <v>441</v>
      </c>
      <c r="D64" s="57" t="s">
        <v>429</v>
      </c>
      <c r="E64" s="44" t="s">
        <v>785</v>
      </c>
      <c r="F64" s="17">
        <f>_xlfn.XLOOKUP($B64,'[2]Jan-24'!$A:$A,'[2]Jan-24'!$H:$H,0)</f>
        <v>0</v>
      </c>
      <c r="G64" s="17">
        <f>_xlfn.XLOOKUP($B64,'[2]Feb-24'!$A:$A,'[2]Feb-24'!$H:$H,0)</f>
        <v>0</v>
      </c>
      <c r="H64" s="17">
        <f>_xlfn.XLOOKUP($B64,'[2]Mar-24'!$A:$A,'[2]Mar-24'!$H:$H,0)</f>
        <v>0</v>
      </c>
      <c r="I64" s="17">
        <f>_xlfn.XLOOKUP($B64,'[2]Apr-24'!$A:$A,'[2]Apr-24'!$H:$H,0)</f>
        <v>0</v>
      </c>
      <c r="J64" s="17">
        <f>_xlfn.XLOOKUP($B64,'[2]May-24'!$A:$A,'[2]May-24'!$H:$H,0)</f>
        <v>0</v>
      </c>
      <c r="K64" s="17">
        <f>_xlfn.XLOOKUP($B64,'[2]Jun-24'!$A:$A,'[2]Jun-24'!$H:$H,0)</f>
        <v>0</v>
      </c>
      <c r="L64" s="17">
        <f>_xlfn.XLOOKUP($B64,'[2]Jul-24'!$A:$A,'[2]Jul-24'!$H:$H,0)</f>
        <v>0</v>
      </c>
      <c r="M64" s="17">
        <f>_xlfn.XLOOKUP($B64,'[2]Aug-24'!$A:$A,'[2]Aug-24'!$H:$H,0)</f>
        <v>0</v>
      </c>
      <c r="N64" s="17">
        <f>_xlfn.XLOOKUP($B64,'[2]Sep-24'!$A:$A,'[2]Sep-24'!$H:$H,0)</f>
        <v>0</v>
      </c>
      <c r="O64" s="17">
        <f>_xlfn.XLOOKUP($B64,'[2]Oct-24'!$A:$A,'[2]Oct-24'!$H:$H,0)</f>
        <v>0</v>
      </c>
      <c r="P64" s="17">
        <f>_xlfn.XLOOKUP($B64,'[2]Nov-24'!$A:$A,'[2]Nov-24'!$H:$H,0)</f>
        <v>0</v>
      </c>
      <c r="Q64" s="17">
        <f>_xlfn.XLOOKUP($B64,'[2]Dec-24'!$A:$A,'[2]Dec-24'!$H:$H,0)</f>
        <v>0</v>
      </c>
      <c r="R64" s="17">
        <f>_xlfn.XLOOKUP($B64,'[2]Jan-25'!$A:$A,'[2]Jan-25'!$H:$H,0)</f>
        <v>0</v>
      </c>
      <c r="S64" s="17">
        <f>_xlfn.XLOOKUP($B64,'[2]Feb-25'!$A:$A,'[2]Feb-25'!$H:$H,0)</f>
        <v>0</v>
      </c>
      <c r="T64" s="17">
        <f>_xlfn.XLOOKUP($B64,'[2]Mar-25'!$A:$A,'[2]Mar-25'!$H:$H,0)</f>
        <v>0</v>
      </c>
      <c r="U64" s="17">
        <f>_xlfn.XLOOKUP($B64,'[2]Apr-25'!$A:$A,'[2]Apr-25'!$H:$H,0)</f>
        <v>0</v>
      </c>
      <c r="V64" s="17">
        <f>_xlfn.XLOOKUP($B64,'[2]May-25'!$A:$A,'[2]May-25'!$H:$H,0)</f>
        <v>0</v>
      </c>
      <c r="W64" s="17">
        <f>_xlfn.XLOOKUP($B64,'[2]Jun-25'!$A:$A,'[2]Jun-25'!$H:$H,0)</f>
        <v>0</v>
      </c>
      <c r="X64" s="17">
        <f>_xlfn.XLOOKUP($B64,'[2]Jul-25'!$A:$A,'[2]Jul-25'!$H:$H,0)</f>
        <v>0</v>
      </c>
      <c r="Y64" s="17">
        <f>_xlfn.XLOOKUP($B64,'[2]Aug-25'!$A:$A,'[2]Aug-25'!$H:$H,0)</f>
        <v>0</v>
      </c>
      <c r="Z64" s="17">
        <f>_xlfn.XLOOKUP($B64,'[2]Sep-25'!$A:$A,'[2]Sep-25'!$H:$H,0)</f>
        <v>0</v>
      </c>
      <c r="AA64" s="17">
        <f>_xlfn.XLOOKUP($B64,'[2]Oct-25'!$A:$A,'[2]Oct-25'!$H:$H,0)</f>
        <v>0</v>
      </c>
      <c r="AB64" s="17">
        <f>_xlfn.XLOOKUP($B64,'[2]Nov-25'!$A:$A,'[2]Nov-25'!$H:$H,0)</f>
        <v>0</v>
      </c>
      <c r="AC64" s="17">
        <f>_xlfn.XLOOKUP($B64,'[2]Dec-25'!$A:$A,'[2]Dec-25'!$H:$H,0)</f>
        <v>0</v>
      </c>
      <c r="AD64" s="17">
        <f>_xlfn.XLOOKUP($B64,'[2]Jan-26'!$A:$A,'[2]Jan-26'!$H:$H,0)</f>
        <v>0</v>
      </c>
      <c r="AE64" s="17">
        <f>_xlfn.XLOOKUP($B64,'[2]Feb-26'!$A:$A,'[2]Feb-26'!$H:$H,0)</f>
        <v>0</v>
      </c>
      <c r="AF64" s="17">
        <f>_xlfn.XLOOKUP($B64,'[2]Mar-26'!$A:$A,'[2]Mar-26'!$H:$H,0)</f>
        <v>0</v>
      </c>
      <c r="AG64" s="17">
        <f>_xlfn.XLOOKUP($B64,'[2]Apr-26'!$A:$A,'[2]Apr-26'!$H:$H,0)</f>
        <v>0</v>
      </c>
    </row>
    <row r="65" spans="1:33" x14ac:dyDescent="0.2">
      <c r="A65" s="58">
        <v>20055</v>
      </c>
      <c r="B65" s="56" t="str">
        <f t="shared" si="2"/>
        <v>20055</v>
      </c>
      <c r="C65" s="57" t="s">
        <v>441</v>
      </c>
      <c r="D65" s="57" t="s">
        <v>429</v>
      </c>
      <c r="E65" s="44" t="s">
        <v>786</v>
      </c>
      <c r="F65" s="17">
        <f>_xlfn.XLOOKUP($B65,'[2]Jan-24'!$A:$A,'[2]Jan-24'!$H:$H,0)</f>
        <v>0</v>
      </c>
      <c r="G65" s="17">
        <f>_xlfn.XLOOKUP($B65,'[2]Feb-24'!$A:$A,'[2]Feb-24'!$H:$H,0)</f>
        <v>0</v>
      </c>
      <c r="H65" s="17">
        <f>_xlfn.XLOOKUP($B65,'[2]Mar-24'!$A:$A,'[2]Mar-24'!$H:$H,0)</f>
        <v>0</v>
      </c>
      <c r="I65" s="17">
        <f>_xlfn.XLOOKUP($B65,'[2]Apr-24'!$A:$A,'[2]Apr-24'!$H:$H,0)</f>
        <v>0</v>
      </c>
      <c r="J65" s="17">
        <f>_xlfn.XLOOKUP($B65,'[2]May-24'!$A:$A,'[2]May-24'!$H:$H,0)</f>
        <v>0</v>
      </c>
      <c r="K65" s="17">
        <f>_xlfn.XLOOKUP($B65,'[2]Jun-24'!$A:$A,'[2]Jun-24'!$H:$H,0)</f>
        <v>0</v>
      </c>
      <c r="L65" s="17">
        <f>_xlfn.XLOOKUP($B65,'[2]Jul-24'!$A:$A,'[2]Jul-24'!$H:$H,0)</f>
        <v>0</v>
      </c>
      <c r="M65" s="17">
        <f>_xlfn.XLOOKUP($B65,'[2]Aug-24'!$A:$A,'[2]Aug-24'!$H:$H,0)</f>
        <v>0</v>
      </c>
      <c r="N65" s="17">
        <f>_xlfn.XLOOKUP($B65,'[2]Sep-24'!$A:$A,'[2]Sep-24'!$H:$H,0)</f>
        <v>0</v>
      </c>
      <c r="O65" s="17">
        <f>_xlfn.XLOOKUP($B65,'[2]Oct-24'!$A:$A,'[2]Oct-24'!$H:$H,0)</f>
        <v>0</v>
      </c>
      <c r="P65" s="17">
        <f>_xlfn.XLOOKUP($B65,'[2]Nov-24'!$A:$A,'[2]Nov-24'!$H:$H,0)</f>
        <v>0</v>
      </c>
      <c r="Q65" s="17">
        <f>_xlfn.XLOOKUP($B65,'[2]Dec-24'!$A:$A,'[2]Dec-24'!$H:$H,0)</f>
        <v>0</v>
      </c>
      <c r="R65" s="17">
        <f>_xlfn.XLOOKUP($B65,'[2]Jan-25'!$A:$A,'[2]Jan-25'!$H:$H,0)</f>
        <v>0</v>
      </c>
      <c r="S65" s="17">
        <f>_xlfn.XLOOKUP($B65,'[2]Feb-25'!$A:$A,'[2]Feb-25'!$H:$H,0)</f>
        <v>0</v>
      </c>
      <c r="T65" s="17">
        <f>_xlfn.XLOOKUP($B65,'[2]Mar-25'!$A:$A,'[2]Mar-25'!$H:$H,0)</f>
        <v>0</v>
      </c>
      <c r="U65" s="17">
        <f>_xlfn.XLOOKUP($B65,'[2]Apr-25'!$A:$A,'[2]Apr-25'!$H:$H,0)</f>
        <v>0</v>
      </c>
      <c r="V65" s="17">
        <f>_xlfn.XLOOKUP($B65,'[2]May-25'!$A:$A,'[2]May-25'!$H:$H,0)</f>
        <v>0</v>
      </c>
      <c r="W65" s="17">
        <f>_xlfn.XLOOKUP($B65,'[2]Jun-25'!$A:$A,'[2]Jun-25'!$H:$H,0)</f>
        <v>0</v>
      </c>
      <c r="X65" s="17">
        <f>_xlfn.XLOOKUP($B65,'[2]Jul-25'!$A:$A,'[2]Jul-25'!$H:$H,0)</f>
        <v>0</v>
      </c>
      <c r="Y65" s="17">
        <f>_xlfn.XLOOKUP($B65,'[2]Aug-25'!$A:$A,'[2]Aug-25'!$H:$H,0)</f>
        <v>0</v>
      </c>
      <c r="Z65" s="17">
        <f>_xlfn.XLOOKUP($B65,'[2]Sep-25'!$A:$A,'[2]Sep-25'!$H:$H,0)</f>
        <v>0</v>
      </c>
      <c r="AA65" s="17">
        <f>_xlfn.XLOOKUP($B65,'[2]Oct-25'!$A:$A,'[2]Oct-25'!$H:$H,0)</f>
        <v>0</v>
      </c>
      <c r="AB65" s="17">
        <f>_xlfn.XLOOKUP($B65,'[2]Nov-25'!$A:$A,'[2]Nov-25'!$H:$H,0)</f>
        <v>0</v>
      </c>
      <c r="AC65" s="17">
        <f>_xlfn.XLOOKUP($B65,'[2]Dec-25'!$A:$A,'[2]Dec-25'!$H:$H,0)</f>
        <v>0</v>
      </c>
      <c r="AD65" s="17">
        <f>_xlfn.XLOOKUP($B65,'[2]Jan-26'!$A:$A,'[2]Jan-26'!$H:$H,0)</f>
        <v>0</v>
      </c>
      <c r="AE65" s="17">
        <f>_xlfn.XLOOKUP($B65,'[2]Feb-26'!$A:$A,'[2]Feb-26'!$H:$H,0)</f>
        <v>0</v>
      </c>
      <c r="AF65" s="17">
        <f>_xlfn.XLOOKUP($B65,'[2]Mar-26'!$A:$A,'[2]Mar-26'!$H:$H,0)</f>
        <v>0</v>
      </c>
      <c r="AG65" s="17">
        <f>_xlfn.XLOOKUP($B65,'[2]Apr-26'!$A:$A,'[2]Apr-26'!$H:$H,0)</f>
        <v>0</v>
      </c>
    </row>
    <row r="66" spans="1:33" x14ac:dyDescent="0.2">
      <c r="A66" s="58">
        <v>20060</v>
      </c>
      <c r="B66" s="56" t="str">
        <f t="shared" si="2"/>
        <v>20060</v>
      </c>
      <c r="C66" s="57" t="s">
        <v>441</v>
      </c>
      <c r="D66" s="57" t="s">
        <v>429</v>
      </c>
      <c r="E66" s="44" t="s">
        <v>787</v>
      </c>
      <c r="F66" s="17">
        <f>_xlfn.XLOOKUP($B66,'[2]Jan-24'!$A:$A,'[2]Jan-24'!$H:$H,0)</f>
        <v>0</v>
      </c>
      <c r="G66" s="17">
        <f>_xlfn.XLOOKUP($B66,'[2]Feb-24'!$A:$A,'[2]Feb-24'!$H:$H,0)</f>
        <v>0</v>
      </c>
      <c r="H66" s="17">
        <f>_xlfn.XLOOKUP($B66,'[2]Mar-24'!$A:$A,'[2]Mar-24'!$H:$H,0)</f>
        <v>0</v>
      </c>
      <c r="I66" s="17">
        <f>_xlfn.XLOOKUP($B66,'[2]Apr-24'!$A:$A,'[2]Apr-24'!$H:$H,0)</f>
        <v>0</v>
      </c>
      <c r="J66" s="17">
        <f>_xlfn.XLOOKUP($B66,'[2]May-24'!$A:$A,'[2]May-24'!$H:$H,0)</f>
        <v>0</v>
      </c>
      <c r="K66" s="17">
        <f>_xlfn.XLOOKUP($B66,'[2]Jun-24'!$A:$A,'[2]Jun-24'!$H:$H,0)</f>
        <v>0</v>
      </c>
      <c r="L66" s="17">
        <f>_xlfn.XLOOKUP($B66,'[2]Jul-24'!$A:$A,'[2]Jul-24'!$H:$H,0)</f>
        <v>0</v>
      </c>
      <c r="M66" s="17">
        <f>_xlfn.XLOOKUP($B66,'[2]Aug-24'!$A:$A,'[2]Aug-24'!$H:$H,0)</f>
        <v>0</v>
      </c>
      <c r="N66" s="17">
        <f>_xlfn.XLOOKUP($B66,'[2]Sep-24'!$A:$A,'[2]Sep-24'!$H:$H,0)</f>
        <v>0</v>
      </c>
      <c r="O66" s="17">
        <f>_xlfn.XLOOKUP($B66,'[2]Oct-24'!$A:$A,'[2]Oct-24'!$H:$H,0)</f>
        <v>0</v>
      </c>
      <c r="P66" s="17">
        <f>_xlfn.XLOOKUP($B66,'[2]Nov-24'!$A:$A,'[2]Nov-24'!$H:$H,0)</f>
        <v>0</v>
      </c>
      <c r="Q66" s="17">
        <f>_xlfn.XLOOKUP($B66,'[2]Dec-24'!$A:$A,'[2]Dec-24'!$H:$H,0)</f>
        <v>0</v>
      </c>
      <c r="R66" s="17">
        <f>_xlfn.XLOOKUP($B66,'[2]Jan-25'!$A:$A,'[2]Jan-25'!$H:$H,0)</f>
        <v>0</v>
      </c>
      <c r="S66" s="17">
        <f>_xlfn.XLOOKUP($B66,'[2]Feb-25'!$A:$A,'[2]Feb-25'!$H:$H,0)</f>
        <v>0</v>
      </c>
      <c r="T66" s="17">
        <f>_xlfn.XLOOKUP($B66,'[2]Mar-25'!$A:$A,'[2]Mar-25'!$H:$H,0)</f>
        <v>0</v>
      </c>
      <c r="U66" s="17">
        <f>_xlfn.XLOOKUP($B66,'[2]Apr-25'!$A:$A,'[2]Apr-25'!$H:$H,0)</f>
        <v>0</v>
      </c>
      <c r="V66" s="17">
        <f>_xlfn.XLOOKUP($B66,'[2]May-25'!$A:$A,'[2]May-25'!$H:$H,0)</f>
        <v>0</v>
      </c>
      <c r="W66" s="17">
        <f>_xlfn.XLOOKUP($B66,'[2]Jun-25'!$A:$A,'[2]Jun-25'!$H:$H,0)</f>
        <v>0</v>
      </c>
      <c r="X66" s="17">
        <f>_xlfn.XLOOKUP($B66,'[2]Jul-25'!$A:$A,'[2]Jul-25'!$H:$H,0)</f>
        <v>0</v>
      </c>
      <c r="Y66" s="17">
        <f>_xlfn.XLOOKUP($B66,'[2]Aug-25'!$A:$A,'[2]Aug-25'!$H:$H,0)</f>
        <v>0</v>
      </c>
      <c r="Z66" s="17">
        <f>_xlfn.XLOOKUP($B66,'[2]Sep-25'!$A:$A,'[2]Sep-25'!$H:$H,0)</f>
        <v>0</v>
      </c>
      <c r="AA66" s="17">
        <f>_xlfn.XLOOKUP($B66,'[2]Oct-25'!$A:$A,'[2]Oct-25'!$H:$H,0)</f>
        <v>0</v>
      </c>
      <c r="AB66" s="17">
        <f>_xlfn.XLOOKUP($B66,'[2]Nov-25'!$A:$A,'[2]Nov-25'!$H:$H,0)</f>
        <v>0</v>
      </c>
      <c r="AC66" s="17">
        <f>_xlfn.XLOOKUP($B66,'[2]Dec-25'!$A:$A,'[2]Dec-25'!$H:$H,0)</f>
        <v>0</v>
      </c>
      <c r="AD66" s="17">
        <f>_xlfn.XLOOKUP($B66,'[2]Jan-26'!$A:$A,'[2]Jan-26'!$H:$H,0)</f>
        <v>0</v>
      </c>
      <c r="AE66" s="17">
        <f>_xlfn.XLOOKUP($B66,'[2]Feb-26'!$A:$A,'[2]Feb-26'!$H:$H,0)</f>
        <v>0</v>
      </c>
      <c r="AF66" s="17">
        <f>_xlfn.XLOOKUP($B66,'[2]Mar-26'!$A:$A,'[2]Mar-26'!$H:$H,0)</f>
        <v>0</v>
      </c>
      <c r="AG66" s="17">
        <f>_xlfn.XLOOKUP($B66,'[2]Apr-26'!$A:$A,'[2]Apr-26'!$H:$H,0)</f>
        <v>0</v>
      </c>
    </row>
    <row r="67" spans="1:33" x14ac:dyDescent="0.2">
      <c r="A67" s="58">
        <v>20085</v>
      </c>
      <c r="B67" s="56" t="str">
        <f t="shared" si="2"/>
        <v>20085</v>
      </c>
      <c r="C67" s="57" t="s">
        <v>441</v>
      </c>
      <c r="D67" s="57" t="s">
        <v>429</v>
      </c>
      <c r="E67" s="44" t="s">
        <v>788</v>
      </c>
      <c r="F67" s="17">
        <f>_xlfn.XLOOKUP($B67,'[2]Jan-24'!$A:$A,'[2]Jan-24'!$H:$H,0)</f>
        <v>0</v>
      </c>
      <c r="G67" s="17">
        <f>_xlfn.XLOOKUP($B67,'[2]Feb-24'!$A:$A,'[2]Feb-24'!$H:$H,0)</f>
        <v>0</v>
      </c>
      <c r="H67" s="17">
        <f>_xlfn.XLOOKUP($B67,'[2]Mar-24'!$A:$A,'[2]Mar-24'!$H:$H,0)</f>
        <v>0</v>
      </c>
      <c r="I67" s="17">
        <f>_xlfn.XLOOKUP($B67,'[2]Apr-24'!$A:$A,'[2]Apr-24'!$H:$H,0)</f>
        <v>0</v>
      </c>
      <c r="J67" s="17">
        <f>_xlfn.XLOOKUP($B67,'[2]May-24'!$A:$A,'[2]May-24'!$H:$H,0)</f>
        <v>0</v>
      </c>
      <c r="K67" s="17">
        <f>_xlfn.XLOOKUP($B67,'[2]Jun-24'!$A:$A,'[2]Jun-24'!$H:$H,0)</f>
        <v>0</v>
      </c>
      <c r="L67" s="17">
        <f>_xlfn.XLOOKUP($B67,'[2]Jul-24'!$A:$A,'[2]Jul-24'!$H:$H,0)</f>
        <v>0</v>
      </c>
      <c r="M67" s="17">
        <f>_xlfn.XLOOKUP($B67,'[2]Aug-24'!$A:$A,'[2]Aug-24'!$H:$H,0)</f>
        <v>0</v>
      </c>
      <c r="N67" s="17">
        <f>_xlfn.XLOOKUP($B67,'[2]Sep-24'!$A:$A,'[2]Sep-24'!$H:$H,0)</f>
        <v>0</v>
      </c>
      <c r="O67" s="17">
        <f>_xlfn.XLOOKUP($B67,'[2]Oct-24'!$A:$A,'[2]Oct-24'!$H:$H,0)</f>
        <v>0</v>
      </c>
      <c r="P67" s="17">
        <f>_xlfn.XLOOKUP($B67,'[2]Nov-24'!$A:$A,'[2]Nov-24'!$H:$H,0)</f>
        <v>0</v>
      </c>
      <c r="Q67" s="17">
        <f>_xlfn.XLOOKUP($B67,'[2]Dec-24'!$A:$A,'[2]Dec-24'!$H:$H,0)</f>
        <v>0</v>
      </c>
      <c r="R67" s="17">
        <f>_xlfn.XLOOKUP($B67,'[2]Jan-25'!$A:$A,'[2]Jan-25'!$H:$H,0)</f>
        <v>0</v>
      </c>
      <c r="S67" s="17">
        <f>_xlfn.XLOOKUP($B67,'[2]Feb-25'!$A:$A,'[2]Feb-25'!$H:$H,0)</f>
        <v>0</v>
      </c>
      <c r="T67" s="17">
        <f>_xlfn.XLOOKUP($B67,'[2]Mar-25'!$A:$A,'[2]Mar-25'!$H:$H,0)</f>
        <v>0</v>
      </c>
      <c r="U67" s="17">
        <f>_xlfn.XLOOKUP($B67,'[2]Apr-25'!$A:$A,'[2]Apr-25'!$H:$H,0)</f>
        <v>0</v>
      </c>
      <c r="V67" s="17">
        <f>_xlfn.XLOOKUP($B67,'[2]May-25'!$A:$A,'[2]May-25'!$H:$H,0)</f>
        <v>0</v>
      </c>
      <c r="W67" s="17">
        <f>_xlfn.XLOOKUP($B67,'[2]Jun-25'!$A:$A,'[2]Jun-25'!$H:$H,0)</f>
        <v>0</v>
      </c>
      <c r="X67" s="17">
        <f>_xlfn.XLOOKUP($B67,'[2]Jul-25'!$A:$A,'[2]Jul-25'!$H:$H,0)</f>
        <v>0</v>
      </c>
      <c r="Y67" s="17">
        <f>_xlfn.XLOOKUP($B67,'[2]Aug-25'!$A:$A,'[2]Aug-25'!$H:$H,0)</f>
        <v>0</v>
      </c>
      <c r="Z67" s="17">
        <f>_xlfn.XLOOKUP($B67,'[2]Sep-25'!$A:$A,'[2]Sep-25'!$H:$H,0)</f>
        <v>0</v>
      </c>
      <c r="AA67" s="17">
        <f>_xlfn.XLOOKUP($B67,'[2]Oct-25'!$A:$A,'[2]Oct-25'!$H:$H,0)</f>
        <v>0</v>
      </c>
      <c r="AB67" s="17">
        <f>_xlfn.XLOOKUP($B67,'[2]Nov-25'!$A:$A,'[2]Nov-25'!$H:$H,0)</f>
        <v>0</v>
      </c>
      <c r="AC67" s="17">
        <f>_xlfn.XLOOKUP($B67,'[2]Dec-25'!$A:$A,'[2]Dec-25'!$H:$H,0)</f>
        <v>0</v>
      </c>
      <c r="AD67" s="17">
        <f>_xlfn.XLOOKUP($B67,'[2]Jan-26'!$A:$A,'[2]Jan-26'!$H:$H,0)</f>
        <v>0</v>
      </c>
      <c r="AE67" s="17">
        <f>_xlfn.XLOOKUP($B67,'[2]Feb-26'!$A:$A,'[2]Feb-26'!$H:$H,0)</f>
        <v>0</v>
      </c>
      <c r="AF67" s="17">
        <f>_xlfn.XLOOKUP($B67,'[2]Mar-26'!$A:$A,'[2]Mar-26'!$H:$H,0)</f>
        <v>0</v>
      </c>
      <c r="AG67" s="17">
        <f>_xlfn.XLOOKUP($B67,'[2]Apr-26'!$A:$A,'[2]Apr-26'!$H:$H,0)</f>
        <v>0</v>
      </c>
    </row>
    <row r="68" spans="1:33" x14ac:dyDescent="0.2">
      <c r="A68" s="58">
        <v>20095</v>
      </c>
      <c r="B68" s="56" t="str">
        <f t="shared" si="2"/>
        <v>20095</v>
      </c>
      <c r="C68" s="57" t="s">
        <v>430</v>
      </c>
      <c r="D68" s="57" t="s">
        <v>429</v>
      </c>
      <c r="E68" s="44" t="s">
        <v>789</v>
      </c>
      <c r="F68" s="17">
        <f>_xlfn.XLOOKUP($B68,'[2]Jan-24'!$A:$A,'[2]Jan-24'!$H:$H,0)</f>
        <v>0</v>
      </c>
      <c r="G68" s="17">
        <f>_xlfn.XLOOKUP($B68,'[2]Feb-24'!$A:$A,'[2]Feb-24'!$H:$H,0)</f>
        <v>0</v>
      </c>
      <c r="H68" s="17">
        <f>_xlfn.XLOOKUP($B68,'[2]Mar-24'!$A:$A,'[2]Mar-24'!$H:$H,0)</f>
        <v>0</v>
      </c>
      <c r="I68" s="17">
        <f>_xlfn.XLOOKUP($B68,'[2]Apr-24'!$A:$A,'[2]Apr-24'!$H:$H,0)</f>
        <v>-54541.95</v>
      </c>
      <c r="J68" s="17">
        <f>_xlfn.XLOOKUP($B68,'[2]May-24'!$A:$A,'[2]May-24'!$H:$H,0)</f>
        <v>-43175.28</v>
      </c>
      <c r="K68" s="17">
        <f>_xlfn.XLOOKUP($B68,'[2]Jun-24'!$A:$A,'[2]Jun-24'!$H:$H,0)</f>
        <v>-45420.11</v>
      </c>
      <c r="L68" s="17">
        <f>_xlfn.XLOOKUP($B68,'[2]Jul-24'!$A:$A,'[2]Jul-24'!$H:$H,0)</f>
        <v>-46860.29</v>
      </c>
      <c r="M68" s="17">
        <f>_xlfn.XLOOKUP($B68,'[2]Aug-24'!$A:$A,'[2]Aug-24'!$H:$H,0)</f>
        <v>-48813.34</v>
      </c>
      <c r="N68" s="17">
        <f>_xlfn.XLOOKUP($B68,'[2]Sep-24'!$A:$A,'[2]Sep-24'!$H:$H,0)</f>
        <v>-50103</v>
      </c>
      <c r="O68" s="17">
        <f>_xlfn.XLOOKUP($B68,'[2]Oct-24'!$A:$A,'[2]Oct-24'!$H:$H,0)</f>
        <v>-51407.69</v>
      </c>
      <c r="P68" s="17">
        <f>_xlfn.XLOOKUP($B68,'[2]Nov-24'!$A:$A,'[2]Nov-24'!$H:$H,0)</f>
        <v>-52722.9</v>
      </c>
      <c r="Q68" s="17">
        <f>_xlfn.XLOOKUP($B68,'[2]Dec-24'!$A:$A,'[2]Dec-24'!$H:$H,0)</f>
        <v>-53704.82</v>
      </c>
      <c r="R68" s="17">
        <f>_xlfn.XLOOKUP($B68,'[2]Jan-25'!$A:$A,'[2]Jan-25'!$H:$H,0)</f>
        <v>-55503.03</v>
      </c>
      <c r="S68" s="17">
        <f>_xlfn.XLOOKUP($B68,'[2]Feb-25'!$A:$A,'[2]Feb-25'!$H:$H,0)</f>
        <v>-31287.37</v>
      </c>
      <c r="T68" s="17">
        <f>_xlfn.XLOOKUP($B68,'[2]Mar-25'!$A:$A,'[2]Mar-25'!$H:$H,0)</f>
        <v>-32198.82</v>
      </c>
      <c r="U68" s="17">
        <f>_xlfn.XLOOKUP($B68,'[2]Apr-25'!$A:$A,'[2]Apr-25'!$H:$H,0)</f>
        <v>-32198.82</v>
      </c>
      <c r="V68" s="17">
        <f>_xlfn.XLOOKUP($B68,'[2]May-25'!$A:$A,'[2]May-25'!$H:$H,0)</f>
        <v>-32198.82</v>
      </c>
      <c r="W68" s="17">
        <f>_xlfn.XLOOKUP($B68,'[2]Jun-25'!$A:$A,'[2]Jun-25'!$H:$H,0)</f>
        <v>-32198.82</v>
      </c>
      <c r="X68" s="17">
        <f>_xlfn.XLOOKUP($B68,'[2]Jul-25'!$A:$A,'[2]Jul-25'!$H:$H,0)</f>
        <v>-32457.5</v>
      </c>
      <c r="Y68" s="17">
        <f>_xlfn.XLOOKUP($B68,'[2]Aug-25'!$A:$A,'[2]Aug-25'!$H:$H,0)</f>
        <v>-33929.1</v>
      </c>
      <c r="Z68" s="17">
        <f>_xlfn.XLOOKUP($B68,'[2]Sep-25'!$A:$A,'[2]Sep-25'!$H:$H,0)</f>
        <v>-34774.14</v>
      </c>
      <c r="AA68" s="17">
        <f>_xlfn.XLOOKUP($B68,'[2]Oct-25'!$A:$A,'[2]Oct-25'!$H:$H,0)</f>
        <v>-32198.82</v>
      </c>
      <c r="AB68" s="17">
        <f>_xlfn.XLOOKUP($B68,'[2]Nov-25'!$A:$A,'[2]Nov-25'!$H:$H,0)</f>
        <v>-32198.82</v>
      </c>
      <c r="AC68" s="17">
        <f>_xlfn.XLOOKUP($B68,'[2]Dec-25'!$A:$A,'[2]Dec-25'!$H:$H,0)</f>
        <v>-43832.11</v>
      </c>
      <c r="AD68" s="17">
        <f>_xlfn.XLOOKUP($B68,'[2]Jan-26'!$A:$A,'[2]Jan-26'!$H:$H,0)</f>
        <v>-48620.2</v>
      </c>
      <c r="AE68" s="17">
        <f>_xlfn.XLOOKUP($B68,'[2]Feb-26'!$A:$A,'[2]Feb-26'!$H:$H,0)</f>
        <v>-52303.78</v>
      </c>
      <c r="AF68" s="17">
        <f>_xlfn.XLOOKUP($B68,'[2]Mar-26'!$A:$A,'[2]Mar-26'!$H:$H,0)</f>
        <v>-56602.57</v>
      </c>
      <c r="AG68" s="17">
        <f>_xlfn.XLOOKUP($B68,'[2]Apr-26'!$A:$A,'[2]Apr-26'!$H:$H,0)</f>
        <v>-60553.42</v>
      </c>
    </row>
    <row r="69" spans="1:33" x14ac:dyDescent="0.2">
      <c r="A69" s="58">
        <v>20100</v>
      </c>
      <c r="B69" s="56" t="str">
        <f t="shared" si="2"/>
        <v>20100</v>
      </c>
      <c r="C69" s="57" t="s">
        <v>430</v>
      </c>
      <c r="D69" s="57" t="s">
        <v>429</v>
      </c>
      <c r="E69" s="44" t="s">
        <v>432</v>
      </c>
      <c r="F69" s="17">
        <f>_xlfn.XLOOKUP($B69,'[2]Jan-24'!$A:$A,'[2]Jan-24'!$H:$H,0)</f>
        <v>0</v>
      </c>
      <c r="G69" s="17">
        <f>_xlfn.XLOOKUP($B69,'[2]Feb-24'!$A:$A,'[2]Feb-24'!$H:$H,0)</f>
        <v>0</v>
      </c>
      <c r="H69" s="17">
        <f>_xlfn.XLOOKUP($B69,'[2]Mar-24'!$A:$A,'[2]Mar-24'!$H:$H,0)</f>
        <v>0</v>
      </c>
      <c r="I69" s="17">
        <f>_xlfn.XLOOKUP($B69,'[2]Apr-24'!$A:$A,'[2]Apr-24'!$H:$H,0)</f>
        <v>0</v>
      </c>
      <c r="J69" s="17">
        <f>_xlfn.XLOOKUP($B69,'[2]May-24'!$A:$A,'[2]May-24'!$H:$H,0)</f>
        <v>0</v>
      </c>
      <c r="K69" s="17">
        <f>_xlfn.XLOOKUP($B69,'[2]Jun-24'!$A:$A,'[2]Jun-24'!$H:$H,0)</f>
        <v>0</v>
      </c>
      <c r="L69" s="17">
        <f>_xlfn.XLOOKUP($B69,'[2]Jul-24'!$A:$A,'[2]Jul-24'!$H:$H,0)</f>
        <v>0</v>
      </c>
      <c r="M69" s="17">
        <f>_xlfn.XLOOKUP($B69,'[2]Aug-24'!$A:$A,'[2]Aug-24'!$H:$H,0)</f>
        <v>0</v>
      </c>
      <c r="N69" s="17">
        <f>_xlfn.XLOOKUP($B69,'[2]Sep-24'!$A:$A,'[2]Sep-24'!$H:$H,0)</f>
        <v>0</v>
      </c>
      <c r="O69" s="17">
        <f>_xlfn.XLOOKUP($B69,'[2]Oct-24'!$A:$A,'[2]Oct-24'!$H:$H,0)</f>
        <v>0</v>
      </c>
      <c r="P69" s="17">
        <f>_xlfn.XLOOKUP($B69,'[2]Nov-24'!$A:$A,'[2]Nov-24'!$H:$H,0)</f>
        <v>0</v>
      </c>
      <c r="Q69" s="17">
        <f>_xlfn.XLOOKUP($B69,'[2]Dec-24'!$A:$A,'[2]Dec-24'!$H:$H,0)</f>
        <v>0</v>
      </c>
      <c r="R69" s="17">
        <f>_xlfn.XLOOKUP($B69,'[2]Jan-25'!$A:$A,'[2]Jan-25'!$H:$H,0)</f>
        <v>0</v>
      </c>
      <c r="S69" s="17">
        <f>_xlfn.XLOOKUP($B69,'[2]Feb-25'!$A:$A,'[2]Feb-25'!$H:$H,0)</f>
        <v>0</v>
      </c>
      <c r="T69" s="17">
        <f>_xlfn.XLOOKUP($B69,'[2]Mar-25'!$A:$A,'[2]Mar-25'!$H:$H,0)</f>
        <v>0</v>
      </c>
      <c r="U69" s="17">
        <f>_xlfn.XLOOKUP($B69,'[2]Apr-25'!$A:$A,'[2]Apr-25'!$H:$H,0)</f>
        <v>0</v>
      </c>
      <c r="V69" s="17">
        <f>_xlfn.XLOOKUP($B69,'[2]May-25'!$A:$A,'[2]May-25'!$H:$H,0)</f>
        <v>0</v>
      </c>
      <c r="W69" s="17">
        <f>_xlfn.XLOOKUP($B69,'[2]Jun-25'!$A:$A,'[2]Jun-25'!$H:$H,0)</f>
        <v>0</v>
      </c>
      <c r="X69" s="17">
        <f>_xlfn.XLOOKUP($B69,'[2]Jul-25'!$A:$A,'[2]Jul-25'!$H:$H,0)</f>
        <v>0</v>
      </c>
      <c r="Y69" s="17">
        <f>_xlfn.XLOOKUP($B69,'[2]Aug-25'!$A:$A,'[2]Aug-25'!$H:$H,0)</f>
        <v>0</v>
      </c>
      <c r="Z69" s="17">
        <f>_xlfn.XLOOKUP($B69,'[2]Sep-25'!$A:$A,'[2]Sep-25'!$H:$H,0)</f>
        <v>0</v>
      </c>
      <c r="AA69" s="17">
        <f>_xlfn.XLOOKUP($B69,'[2]Oct-25'!$A:$A,'[2]Oct-25'!$H:$H,0)</f>
        <v>0</v>
      </c>
      <c r="AB69" s="17">
        <f>_xlfn.XLOOKUP($B69,'[2]Nov-25'!$A:$A,'[2]Nov-25'!$H:$H,0)</f>
        <v>0</v>
      </c>
      <c r="AC69" s="17">
        <f>_xlfn.XLOOKUP($B69,'[2]Dec-25'!$A:$A,'[2]Dec-25'!$H:$H,0)</f>
        <v>0</v>
      </c>
      <c r="AD69" s="17">
        <f>_xlfn.XLOOKUP($B69,'[2]Jan-26'!$A:$A,'[2]Jan-26'!$H:$H,0)</f>
        <v>0</v>
      </c>
      <c r="AE69" s="17">
        <f>_xlfn.XLOOKUP($B69,'[2]Feb-26'!$A:$A,'[2]Feb-26'!$H:$H,0)</f>
        <v>0</v>
      </c>
      <c r="AF69" s="17">
        <f>_xlfn.XLOOKUP($B69,'[2]Mar-26'!$A:$A,'[2]Mar-26'!$H:$H,0)</f>
        <v>0</v>
      </c>
      <c r="AG69" s="17">
        <f>_xlfn.XLOOKUP($B69,'[2]Apr-26'!$A:$A,'[2]Apr-26'!$H:$H,0)</f>
        <v>0</v>
      </c>
    </row>
    <row r="70" spans="1:33" x14ac:dyDescent="0.2">
      <c r="A70" s="58">
        <v>22000</v>
      </c>
      <c r="B70" s="56" t="str">
        <f t="shared" si="2"/>
        <v>22000</v>
      </c>
      <c r="C70" s="57" t="s">
        <v>430</v>
      </c>
      <c r="D70" s="57" t="s">
        <v>429</v>
      </c>
      <c r="E70" s="44" t="s">
        <v>435</v>
      </c>
      <c r="F70" s="17">
        <f>_xlfn.XLOOKUP($B70,'[2]Jan-24'!$A:$A,'[2]Jan-24'!$H:$H,0)</f>
        <v>0</v>
      </c>
      <c r="G70" s="17">
        <f>_xlfn.XLOOKUP($B70,'[2]Feb-24'!$A:$A,'[2]Feb-24'!$H:$H,0)</f>
        <v>0</v>
      </c>
      <c r="H70" s="17">
        <f>_xlfn.XLOOKUP($B70,'[2]Mar-24'!$A:$A,'[2]Mar-24'!$H:$H,0)</f>
        <v>0</v>
      </c>
      <c r="I70" s="17">
        <f>_xlfn.XLOOKUP($B70,'[2]Apr-24'!$A:$A,'[2]Apr-24'!$H:$H,0)</f>
        <v>0</v>
      </c>
      <c r="J70" s="17">
        <f>_xlfn.XLOOKUP($B70,'[2]May-24'!$A:$A,'[2]May-24'!$H:$H,0)</f>
        <v>0</v>
      </c>
      <c r="K70" s="17">
        <f>_xlfn.XLOOKUP($B70,'[2]Jun-24'!$A:$A,'[2]Jun-24'!$H:$H,0)</f>
        <v>0</v>
      </c>
      <c r="L70" s="17">
        <f>_xlfn.XLOOKUP($B70,'[2]Jul-24'!$A:$A,'[2]Jul-24'!$H:$H,0)</f>
        <v>0</v>
      </c>
      <c r="M70" s="17">
        <f>_xlfn.XLOOKUP($B70,'[2]Aug-24'!$A:$A,'[2]Aug-24'!$H:$H,0)</f>
        <v>0</v>
      </c>
      <c r="N70" s="17">
        <f>_xlfn.XLOOKUP($B70,'[2]Sep-24'!$A:$A,'[2]Sep-24'!$H:$H,0)</f>
        <v>0</v>
      </c>
      <c r="O70" s="17">
        <f>_xlfn.XLOOKUP($B70,'[2]Oct-24'!$A:$A,'[2]Oct-24'!$H:$H,0)</f>
        <v>0</v>
      </c>
      <c r="P70" s="17">
        <f>_xlfn.XLOOKUP($B70,'[2]Nov-24'!$A:$A,'[2]Nov-24'!$H:$H,0)</f>
        <v>0</v>
      </c>
      <c r="Q70" s="17">
        <f>_xlfn.XLOOKUP($B70,'[2]Dec-24'!$A:$A,'[2]Dec-24'!$H:$H,0)</f>
        <v>0</v>
      </c>
      <c r="R70" s="17">
        <f>_xlfn.XLOOKUP($B70,'[2]Jan-25'!$A:$A,'[2]Jan-25'!$H:$H,0)</f>
        <v>0</v>
      </c>
      <c r="S70" s="17">
        <f>_xlfn.XLOOKUP($B70,'[2]Feb-25'!$A:$A,'[2]Feb-25'!$H:$H,0)</f>
        <v>0</v>
      </c>
      <c r="T70" s="17">
        <f>_xlfn.XLOOKUP($B70,'[2]Mar-25'!$A:$A,'[2]Mar-25'!$H:$H,0)</f>
        <v>0</v>
      </c>
      <c r="U70" s="17">
        <f>_xlfn.XLOOKUP($B70,'[2]Apr-25'!$A:$A,'[2]Apr-25'!$H:$H,0)</f>
        <v>0</v>
      </c>
      <c r="V70" s="17">
        <f>_xlfn.XLOOKUP($B70,'[2]May-25'!$A:$A,'[2]May-25'!$H:$H,0)</f>
        <v>0</v>
      </c>
      <c r="W70" s="17">
        <f>_xlfn.XLOOKUP($B70,'[2]Jun-25'!$A:$A,'[2]Jun-25'!$H:$H,0)</f>
        <v>0</v>
      </c>
      <c r="X70" s="17">
        <f>_xlfn.XLOOKUP($B70,'[2]Jul-25'!$A:$A,'[2]Jul-25'!$H:$H,0)</f>
        <v>0</v>
      </c>
      <c r="Y70" s="17">
        <f>_xlfn.XLOOKUP($B70,'[2]Aug-25'!$A:$A,'[2]Aug-25'!$H:$H,0)</f>
        <v>0</v>
      </c>
      <c r="Z70" s="17">
        <f>_xlfn.XLOOKUP($B70,'[2]Sep-25'!$A:$A,'[2]Sep-25'!$H:$H,0)</f>
        <v>0</v>
      </c>
      <c r="AA70" s="17">
        <f>_xlfn.XLOOKUP($B70,'[2]Oct-25'!$A:$A,'[2]Oct-25'!$H:$H,0)</f>
        <v>0</v>
      </c>
      <c r="AB70" s="17">
        <f>_xlfn.XLOOKUP($B70,'[2]Nov-25'!$A:$A,'[2]Nov-25'!$H:$H,0)</f>
        <v>0</v>
      </c>
      <c r="AC70" s="17">
        <f>_xlfn.XLOOKUP($B70,'[2]Dec-25'!$A:$A,'[2]Dec-25'!$H:$H,0)</f>
        <v>0</v>
      </c>
      <c r="AD70" s="17">
        <f>_xlfn.XLOOKUP($B70,'[2]Jan-26'!$A:$A,'[2]Jan-26'!$H:$H,0)</f>
        <v>0</v>
      </c>
      <c r="AE70" s="17">
        <f>_xlfn.XLOOKUP($B70,'[2]Feb-26'!$A:$A,'[2]Feb-26'!$H:$H,0)</f>
        <v>0</v>
      </c>
      <c r="AF70" s="17">
        <f>_xlfn.XLOOKUP($B70,'[2]Mar-26'!$A:$A,'[2]Mar-26'!$H:$H,0)</f>
        <v>0</v>
      </c>
      <c r="AG70" s="17">
        <f>_xlfn.XLOOKUP($B70,'[2]Apr-26'!$A:$A,'[2]Apr-26'!$H:$H,0)</f>
        <v>0</v>
      </c>
    </row>
    <row r="71" spans="1:33" x14ac:dyDescent="0.2">
      <c r="A71" s="58">
        <v>22100</v>
      </c>
      <c r="B71" s="56" t="str">
        <f t="shared" si="2"/>
        <v>22100</v>
      </c>
      <c r="C71" s="57" t="s">
        <v>430</v>
      </c>
      <c r="D71" s="57" t="s">
        <v>429</v>
      </c>
      <c r="E71" s="44" t="s">
        <v>279</v>
      </c>
      <c r="F71" s="17">
        <f>_xlfn.XLOOKUP($B71,'[2]Jan-24'!$A:$A,'[2]Jan-24'!$H:$H,0)</f>
        <v>0</v>
      </c>
      <c r="G71" s="17">
        <f>_xlfn.XLOOKUP($B71,'[2]Feb-24'!$A:$A,'[2]Feb-24'!$H:$H,0)</f>
        <v>0</v>
      </c>
      <c r="H71" s="17">
        <f>_xlfn.XLOOKUP($B71,'[2]Mar-24'!$A:$A,'[2]Mar-24'!$H:$H,0)</f>
        <v>0</v>
      </c>
      <c r="I71" s="17">
        <f>_xlfn.XLOOKUP($B71,'[2]Apr-24'!$A:$A,'[2]Apr-24'!$H:$H,0)</f>
        <v>0</v>
      </c>
      <c r="J71" s="17">
        <f>_xlfn.XLOOKUP($B71,'[2]May-24'!$A:$A,'[2]May-24'!$H:$H,0)</f>
        <v>0</v>
      </c>
      <c r="K71" s="17">
        <f>_xlfn.XLOOKUP($B71,'[2]Jun-24'!$A:$A,'[2]Jun-24'!$H:$H,0)</f>
        <v>0</v>
      </c>
      <c r="L71" s="17">
        <f>_xlfn.XLOOKUP($B71,'[2]Jul-24'!$A:$A,'[2]Jul-24'!$H:$H,0)</f>
        <v>0</v>
      </c>
      <c r="M71" s="17">
        <f>_xlfn.XLOOKUP($B71,'[2]Aug-24'!$A:$A,'[2]Aug-24'!$H:$H,0)</f>
        <v>0</v>
      </c>
      <c r="N71" s="17">
        <f>_xlfn.XLOOKUP($B71,'[2]Sep-24'!$A:$A,'[2]Sep-24'!$H:$H,0)</f>
        <v>0</v>
      </c>
      <c r="O71" s="17">
        <f>_xlfn.XLOOKUP($B71,'[2]Oct-24'!$A:$A,'[2]Oct-24'!$H:$H,0)</f>
        <v>0</v>
      </c>
      <c r="P71" s="17">
        <f>_xlfn.XLOOKUP($B71,'[2]Nov-24'!$A:$A,'[2]Nov-24'!$H:$H,0)</f>
        <v>0</v>
      </c>
      <c r="Q71" s="17">
        <f>_xlfn.XLOOKUP($B71,'[2]Dec-24'!$A:$A,'[2]Dec-24'!$H:$H,0)</f>
        <v>0</v>
      </c>
      <c r="R71" s="17">
        <f>_xlfn.XLOOKUP($B71,'[2]Jan-25'!$A:$A,'[2]Jan-25'!$H:$H,0)</f>
        <v>0</v>
      </c>
      <c r="S71" s="17">
        <f>_xlfn.XLOOKUP($B71,'[2]Feb-25'!$A:$A,'[2]Feb-25'!$H:$H,0)</f>
        <v>0</v>
      </c>
      <c r="T71" s="17">
        <f>_xlfn.XLOOKUP($B71,'[2]Mar-25'!$A:$A,'[2]Mar-25'!$H:$H,0)</f>
        <v>0</v>
      </c>
      <c r="U71" s="17">
        <f>_xlfn.XLOOKUP($B71,'[2]Apr-25'!$A:$A,'[2]Apr-25'!$H:$H,0)</f>
        <v>0</v>
      </c>
      <c r="V71" s="17">
        <f>_xlfn.XLOOKUP($B71,'[2]May-25'!$A:$A,'[2]May-25'!$H:$H,0)</f>
        <v>0</v>
      </c>
      <c r="W71" s="17">
        <f>_xlfn.XLOOKUP($B71,'[2]Jun-25'!$A:$A,'[2]Jun-25'!$H:$H,0)</f>
        <v>0</v>
      </c>
      <c r="X71" s="17">
        <f>_xlfn.XLOOKUP($B71,'[2]Jul-25'!$A:$A,'[2]Jul-25'!$H:$H,0)</f>
        <v>0</v>
      </c>
      <c r="Y71" s="17">
        <f>_xlfn.XLOOKUP($B71,'[2]Aug-25'!$A:$A,'[2]Aug-25'!$H:$H,0)</f>
        <v>0</v>
      </c>
      <c r="Z71" s="17">
        <f>_xlfn.XLOOKUP($B71,'[2]Sep-25'!$A:$A,'[2]Sep-25'!$H:$H,0)</f>
        <v>0</v>
      </c>
      <c r="AA71" s="17">
        <f>_xlfn.XLOOKUP($B71,'[2]Oct-25'!$A:$A,'[2]Oct-25'!$H:$H,0)</f>
        <v>0</v>
      </c>
      <c r="AB71" s="17">
        <f>_xlfn.XLOOKUP($B71,'[2]Nov-25'!$A:$A,'[2]Nov-25'!$H:$H,0)</f>
        <v>0</v>
      </c>
      <c r="AC71" s="17">
        <f>_xlfn.XLOOKUP($B71,'[2]Dec-25'!$A:$A,'[2]Dec-25'!$H:$H,0)</f>
        <v>0</v>
      </c>
      <c r="AD71" s="17">
        <f>_xlfn.XLOOKUP($B71,'[2]Jan-26'!$A:$A,'[2]Jan-26'!$H:$H,0)</f>
        <v>0</v>
      </c>
      <c r="AE71" s="17">
        <f>_xlfn.XLOOKUP($B71,'[2]Feb-26'!$A:$A,'[2]Feb-26'!$H:$H,0)</f>
        <v>0</v>
      </c>
      <c r="AF71" s="17">
        <f>_xlfn.XLOOKUP($B71,'[2]Mar-26'!$A:$A,'[2]Mar-26'!$H:$H,0)</f>
        <v>0</v>
      </c>
      <c r="AG71" s="17">
        <f>_xlfn.XLOOKUP($B71,'[2]Apr-26'!$A:$A,'[2]Apr-26'!$H:$H,0)</f>
        <v>0</v>
      </c>
    </row>
    <row r="72" spans="1:33" x14ac:dyDescent="0.2">
      <c r="A72" s="58">
        <v>22200</v>
      </c>
      <c r="B72" s="56" t="str">
        <f t="shared" ref="B72:B135" si="3">TEXT(A72,"00000")</f>
        <v>22200</v>
      </c>
      <c r="C72" s="57" t="s">
        <v>430</v>
      </c>
      <c r="D72" s="57" t="s">
        <v>429</v>
      </c>
      <c r="E72" s="44" t="s">
        <v>437</v>
      </c>
      <c r="F72" s="17">
        <f>_xlfn.XLOOKUP($B72,'[2]Jan-24'!$A:$A,'[2]Jan-24'!$H:$H,0)</f>
        <v>0</v>
      </c>
      <c r="G72" s="17">
        <f>_xlfn.XLOOKUP($B72,'[2]Feb-24'!$A:$A,'[2]Feb-24'!$H:$H,0)</f>
        <v>0</v>
      </c>
      <c r="H72" s="17">
        <f>_xlfn.XLOOKUP($B72,'[2]Mar-24'!$A:$A,'[2]Mar-24'!$H:$H,0)</f>
        <v>0</v>
      </c>
      <c r="I72" s="17">
        <f>_xlfn.XLOOKUP($B72,'[2]Apr-24'!$A:$A,'[2]Apr-24'!$H:$H,0)</f>
        <v>0</v>
      </c>
      <c r="J72" s="17">
        <f>_xlfn.XLOOKUP($B72,'[2]May-24'!$A:$A,'[2]May-24'!$H:$H,0)</f>
        <v>0</v>
      </c>
      <c r="K72" s="17">
        <f>_xlfn.XLOOKUP($B72,'[2]Jun-24'!$A:$A,'[2]Jun-24'!$H:$H,0)</f>
        <v>0</v>
      </c>
      <c r="L72" s="17">
        <f>_xlfn.XLOOKUP($B72,'[2]Jul-24'!$A:$A,'[2]Jul-24'!$H:$H,0)</f>
        <v>0</v>
      </c>
      <c r="M72" s="17">
        <f>_xlfn.XLOOKUP($B72,'[2]Aug-24'!$A:$A,'[2]Aug-24'!$H:$H,0)</f>
        <v>0</v>
      </c>
      <c r="N72" s="17">
        <f>_xlfn.XLOOKUP($B72,'[2]Sep-24'!$A:$A,'[2]Sep-24'!$H:$H,0)</f>
        <v>0</v>
      </c>
      <c r="O72" s="17">
        <f>_xlfn.XLOOKUP($B72,'[2]Oct-24'!$A:$A,'[2]Oct-24'!$H:$H,0)</f>
        <v>0</v>
      </c>
      <c r="P72" s="17">
        <f>_xlfn.XLOOKUP($B72,'[2]Nov-24'!$A:$A,'[2]Nov-24'!$H:$H,0)</f>
        <v>0</v>
      </c>
      <c r="Q72" s="17">
        <f>_xlfn.XLOOKUP($B72,'[2]Dec-24'!$A:$A,'[2]Dec-24'!$H:$H,0)</f>
        <v>0</v>
      </c>
      <c r="R72" s="17">
        <f>_xlfn.XLOOKUP($B72,'[2]Jan-25'!$A:$A,'[2]Jan-25'!$H:$H,0)</f>
        <v>0</v>
      </c>
      <c r="S72" s="17">
        <f>_xlfn.XLOOKUP($B72,'[2]Feb-25'!$A:$A,'[2]Feb-25'!$H:$H,0)</f>
        <v>0</v>
      </c>
      <c r="T72" s="17">
        <f>_xlfn.XLOOKUP($B72,'[2]Mar-25'!$A:$A,'[2]Mar-25'!$H:$H,0)</f>
        <v>0</v>
      </c>
      <c r="U72" s="17">
        <f>_xlfn.XLOOKUP($B72,'[2]Apr-25'!$A:$A,'[2]Apr-25'!$H:$H,0)</f>
        <v>0</v>
      </c>
      <c r="V72" s="17">
        <f>_xlfn.XLOOKUP($B72,'[2]May-25'!$A:$A,'[2]May-25'!$H:$H,0)</f>
        <v>0</v>
      </c>
      <c r="W72" s="17">
        <f>_xlfn.XLOOKUP($B72,'[2]Jun-25'!$A:$A,'[2]Jun-25'!$H:$H,0)</f>
        <v>0</v>
      </c>
      <c r="X72" s="17">
        <f>_xlfn.XLOOKUP($B72,'[2]Jul-25'!$A:$A,'[2]Jul-25'!$H:$H,0)</f>
        <v>0</v>
      </c>
      <c r="Y72" s="17">
        <f>_xlfn.XLOOKUP($B72,'[2]Aug-25'!$A:$A,'[2]Aug-25'!$H:$H,0)</f>
        <v>0</v>
      </c>
      <c r="Z72" s="17">
        <f>_xlfn.XLOOKUP($B72,'[2]Sep-25'!$A:$A,'[2]Sep-25'!$H:$H,0)</f>
        <v>0</v>
      </c>
      <c r="AA72" s="17">
        <f>_xlfn.XLOOKUP($B72,'[2]Oct-25'!$A:$A,'[2]Oct-25'!$H:$H,0)</f>
        <v>0</v>
      </c>
      <c r="AB72" s="17">
        <f>_xlfn.XLOOKUP($B72,'[2]Nov-25'!$A:$A,'[2]Nov-25'!$H:$H,0)</f>
        <v>0</v>
      </c>
      <c r="AC72" s="17">
        <f>_xlfn.XLOOKUP($B72,'[2]Dec-25'!$A:$A,'[2]Dec-25'!$H:$H,0)</f>
        <v>0</v>
      </c>
      <c r="AD72" s="17">
        <f>_xlfn.XLOOKUP($B72,'[2]Jan-26'!$A:$A,'[2]Jan-26'!$H:$H,0)</f>
        <v>0</v>
      </c>
      <c r="AE72" s="17">
        <f>_xlfn.XLOOKUP($B72,'[2]Feb-26'!$A:$A,'[2]Feb-26'!$H:$H,0)</f>
        <v>0</v>
      </c>
      <c r="AF72" s="17">
        <f>_xlfn.XLOOKUP($B72,'[2]Mar-26'!$A:$A,'[2]Mar-26'!$H:$H,0)</f>
        <v>0</v>
      </c>
      <c r="AG72" s="17">
        <f>_xlfn.XLOOKUP($B72,'[2]Apr-26'!$A:$A,'[2]Apr-26'!$H:$H,0)</f>
        <v>0</v>
      </c>
    </row>
    <row r="73" spans="1:33" x14ac:dyDescent="0.2">
      <c r="A73" s="58">
        <v>22210</v>
      </c>
      <c r="B73" s="56" t="str">
        <f t="shared" si="3"/>
        <v>22210</v>
      </c>
      <c r="C73" s="57" t="s">
        <v>430</v>
      </c>
      <c r="D73" s="57" t="s">
        <v>429</v>
      </c>
      <c r="E73" s="44" t="s">
        <v>790</v>
      </c>
      <c r="F73" s="17">
        <f>_xlfn.XLOOKUP($B73,'[2]Jan-24'!$A:$A,'[2]Jan-24'!$H:$H,0)</f>
        <v>0</v>
      </c>
      <c r="G73" s="17">
        <f>_xlfn.XLOOKUP($B73,'[2]Feb-24'!$A:$A,'[2]Feb-24'!$H:$H,0)</f>
        <v>0</v>
      </c>
      <c r="H73" s="17">
        <f>_xlfn.XLOOKUP($B73,'[2]Mar-24'!$A:$A,'[2]Mar-24'!$H:$H,0)</f>
        <v>0</v>
      </c>
      <c r="I73" s="17">
        <f>_xlfn.XLOOKUP($B73,'[2]Apr-24'!$A:$A,'[2]Apr-24'!$H:$H,0)</f>
        <v>0</v>
      </c>
      <c r="J73" s="17">
        <f>_xlfn.XLOOKUP($B73,'[2]May-24'!$A:$A,'[2]May-24'!$H:$H,0)</f>
        <v>0</v>
      </c>
      <c r="K73" s="17">
        <f>_xlfn.XLOOKUP($B73,'[2]Jun-24'!$A:$A,'[2]Jun-24'!$H:$H,0)</f>
        <v>0</v>
      </c>
      <c r="L73" s="17">
        <f>_xlfn.XLOOKUP($B73,'[2]Jul-24'!$A:$A,'[2]Jul-24'!$H:$H,0)</f>
        <v>0</v>
      </c>
      <c r="M73" s="17">
        <f>_xlfn.XLOOKUP($B73,'[2]Aug-24'!$A:$A,'[2]Aug-24'!$H:$H,0)</f>
        <v>0</v>
      </c>
      <c r="N73" s="17">
        <f>_xlfn.XLOOKUP($B73,'[2]Sep-24'!$A:$A,'[2]Sep-24'!$H:$H,0)</f>
        <v>0</v>
      </c>
      <c r="O73" s="17">
        <f>_xlfn.XLOOKUP($B73,'[2]Oct-24'!$A:$A,'[2]Oct-24'!$H:$H,0)</f>
        <v>0</v>
      </c>
      <c r="P73" s="17">
        <f>_xlfn.XLOOKUP($B73,'[2]Nov-24'!$A:$A,'[2]Nov-24'!$H:$H,0)</f>
        <v>0</v>
      </c>
      <c r="Q73" s="17">
        <f>_xlfn.XLOOKUP($B73,'[2]Dec-24'!$A:$A,'[2]Dec-24'!$H:$H,0)</f>
        <v>0</v>
      </c>
      <c r="R73" s="17">
        <f>_xlfn.XLOOKUP($B73,'[2]Jan-25'!$A:$A,'[2]Jan-25'!$H:$H,0)</f>
        <v>0</v>
      </c>
      <c r="S73" s="17">
        <f>_xlfn.XLOOKUP($B73,'[2]Feb-25'!$A:$A,'[2]Feb-25'!$H:$H,0)</f>
        <v>0</v>
      </c>
      <c r="T73" s="17">
        <f>_xlfn.XLOOKUP($B73,'[2]Mar-25'!$A:$A,'[2]Mar-25'!$H:$H,0)</f>
        <v>0</v>
      </c>
      <c r="U73" s="17">
        <f>_xlfn.XLOOKUP($B73,'[2]Apr-25'!$A:$A,'[2]Apr-25'!$H:$H,0)</f>
        <v>0</v>
      </c>
      <c r="V73" s="17">
        <f>_xlfn.XLOOKUP($B73,'[2]May-25'!$A:$A,'[2]May-25'!$H:$H,0)</f>
        <v>0</v>
      </c>
      <c r="W73" s="17">
        <f>_xlfn.XLOOKUP($B73,'[2]Jun-25'!$A:$A,'[2]Jun-25'!$H:$H,0)</f>
        <v>0</v>
      </c>
      <c r="X73" s="17">
        <f>_xlfn.XLOOKUP($B73,'[2]Jul-25'!$A:$A,'[2]Jul-25'!$H:$H,0)</f>
        <v>0</v>
      </c>
      <c r="Y73" s="17">
        <f>_xlfn.XLOOKUP($B73,'[2]Aug-25'!$A:$A,'[2]Aug-25'!$H:$H,0)</f>
        <v>0</v>
      </c>
      <c r="Z73" s="17">
        <f>_xlfn.XLOOKUP($B73,'[2]Sep-25'!$A:$A,'[2]Sep-25'!$H:$H,0)</f>
        <v>0</v>
      </c>
      <c r="AA73" s="17">
        <f>_xlfn.XLOOKUP($B73,'[2]Oct-25'!$A:$A,'[2]Oct-25'!$H:$H,0)</f>
        <v>0</v>
      </c>
      <c r="AB73" s="17">
        <f>_xlfn.XLOOKUP($B73,'[2]Nov-25'!$A:$A,'[2]Nov-25'!$H:$H,0)</f>
        <v>0</v>
      </c>
      <c r="AC73" s="17">
        <f>_xlfn.XLOOKUP($B73,'[2]Dec-25'!$A:$A,'[2]Dec-25'!$H:$H,0)</f>
        <v>0</v>
      </c>
      <c r="AD73" s="17">
        <f>_xlfn.XLOOKUP($B73,'[2]Jan-26'!$A:$A,'[2]Jan-26'!$H:$H,0)</f>
        <v>0</v>
      </c>
      <c r="AE73" s="17">
        <f>_xlfn.XLOOKUP($B73,'[2]Feb-26'!$A:$A,'[2]Feb-26'!$H:$H,0)</f>
        <v>0</v>
      </c>
      <c r="AF73" s="17">
        <f>_xlfn.XLOOKUP($B73,'[2]Mar-26'!$A:$A,'[2]Mar-26'!$H:$H,0)</f>
        <v>0</v>
      </c>
      <c r="AG73" s="17">
        <f>_xlfn.XLOOKUP($B73,'[2]Apr-26'!$A:$A,'[2]Apr-26'!$H:$H,0)</f>
        <v>0</v>
      </c>
    </row>
    <row r="74" spans="1:33" x14ac:dyDescent="0.2">
      <c r="A74" s="58">
        <v>23005</v>
      </c>
      <c r="B74" s="56" t="str">
        <f t="shared" si="3"/>
        <v>23005</v>
      </c>
      <c r="C74" s="57" t="s">
        <v>430</v>
      </c>
      <c r="D74" s="57" t="s">
        <v>429</v>
      </c>
      <c r="E74" s="44" t="s">
        <v>438</v>
      </c>
      <c r="F74" s="17">
        <f>_xlfn.XLOOKUP($B74,'[2]Jan-24'!$A:$A,'[2]Jan-24'!$H:$H,0)</f>
        <v>0</v>
      </c>
      <c r="G74" s="17">
        <f>_xlfn.XLOOKUP($B74,'[2]Feb-24'!$A:$A,'[2]Feb-24'!$H:$H,0)</f>
        <v>0</v>
      </c>
      <c r="H74" s="17">
        <f>_xlfn.XLOOKUP($B74,'[2]Mar-24'!$A:$A,'[2]Mar-24'!$H:$H,0)</f>
        <v>0</v>
      </c>
      <c r="I74" s="17">
        <f>_xlfn.XLOOKUP($B74,'[2]Apr-24'!$A:$A,'[2]Apr-24'!$H:$H,0)</f>
        <v>0</v>
      </c>
      <c r="J74" s="17">
        <f>_xlfn.XLOOKUP($B74,'[2]May-24'!$A:$A,'[2]May-24'!$H:$H,0)</f>
        <v>0</v>
      </c>
      <c r="K74" s="17">
        <f>_xlfn.XLOOKUP($B74,'[2]Jun-24'!$A:$A,'[2]Jun-24'!$H:$H,0)</f>
        <v>0</v>
      </c>
      <c r="L74" s="17">
        <f>_xlfn.XLOOKUP($B74,'[2]Jul-24'!$A:$A,'[2]Jul-24'!$H:$H,0)</f>
        <v>0</v>
      </c>
      <c r="M74" s="17">
        <f>_xlfn.XLOOKUP($B74,'[2]Aug-24'!$A:$A,'[2]Aug-24'!$H:$H,0)</f>
        <v>0</v>
      </c>
      <c r="N74" s="17">
        <f>_xlfn.XLOOKUP($B74,'[2]Sep-24'!$A:$A,'[2]Sep-24'!$H:$H,0)</f>
        <v>0</v>
      </c>
      <c r="O74" s="17">
        <f>_xlfn.XLOOKUP($B74,'[2]Oct-24'!$A:$A,'[2]Oct-24'!$H:$H,0)</f>
        <v>0</v>
      </c>
      <c r="P74" s="17">
        <f>_xlfn.XLOOKUP($B74,'[2]Nov-24'!$A:$A,'[2]Nov-24'!$H:$H,0)</f>
        <v>0</v>
      </c>
      <c r="Q74" s="17">
        <f>_xlfn.XLOOKUP($B74,'[2]Dec-24'!$A:$A,'[2]Dec-24'!$H:$H,0)</f>
        <v>0</v>
      </c>
      <c r="R74" s="17">
        <f>_xlfn.XLOOKUP($B74,'[2]Jan-25'!$A:$A,'[2]Jan-25'!$H:$H,0)</f>
        <v>0</v>
      </c>
      <c r="S74" s="17">
        <f>_xlfn.XLOOKUP($B74,'[2]Feb-25'!$A:$A,'[2]Feb-25'!$H:$H,0)</f>
        <v>0</v>
      </c>
      <c r="T74" s="17">
        <f>_xlfn.XLOOKUP($B74,'[2]Mar-25'!$A:$A,'[2]Mar-25'!$H:$H,0)</f>
        <v>0</v>
      </c>
      <c r="U74" s="17">
        <f>_xlfn.XLOOKUP($B74,'[2]Apr-25'!$A:$A,'[2]Apr-25'!$H:$H,0)</f>
        <v>0</v>
      </c>
      <c r="V74" s="17">
        <f>_xlfn.XLOOKUP($B74,'[2]May-25'!$A:$A,'[2]May-25'!$H:$H,0)</f>
        <v>0</v>
      </c>
      <c r="W74" s="17">
        <f>_xlfn.XLOOKUP($B74,'[2]Jun-25'!$A:$A,'[2]Jun-25'!$H:$H,0)</f>
        <v>0</v>
      </c>
      <c r="X74" s="17">
        <f>_xlfn.XLOOKUP($B74,'[2]Jul-25'!$A:$A,'[2]Jul-25'!$H:$H,0)</f>
        <v>0</v>
      </c>
      <c r="Y74" s="17">
        <f>_xlfn.XLOOKUP($B74,'[2]Aug-25'!$A:$A,'[2]Aug-25'!$H:$H,0)</f>
        <v>0</v>
      </c>
      <c r="Z74" s="17">
        <f>_xlfn.XLOOKUP($B74,'[2]Sep-25'!$A:$A,'[2]Sep-25'!$H:$H,0)</f>
        <v>0</v>
      </c>
      <c r="AA74" s="17">
        <f>_xlfn.XLOOKUP($B74,'[2]Oct-25'!$A:$A,'[2]Oct-25'!$H:$H,0)</f>
        <v>0</v>
      </c>
      <c r="AB74" s="17">
        <f>_xlfn.XLOOKUP($B74,'[2]Nov-25'!$A:$A,'[2]Nov-25'!$H:$H,0)</f>
        <v>0</v>
      </c>
      <c r="AC74" s="17">
        <f>_xlfn.XLOOKUP($B74,'[2]Dec-25'!$A:$A,'[2]Dec-25'!$H:$H,0)</f>
        <v>0</v>
      </c>
      <c r="AD74" s="17">
        <f>_xlfn.XLOOKUP($B74,'[2]Jan-26'!$A:$A,'[2]Jan-26'!$H:$H,0)</f>
        <v>0</v>
      </c>
      <c r="AE74" s="17">
        <f>_xlfn.XLOOKUP($B74,'[2]Feb-26'!$A:$A,'[2]Feb-26'!$H:$H,0)</f>
        <v>0</v>
      </c>
      <c r="AF74" s="17">
        <f>_xlfn.XLOOKUP($B74,'[2]Mar-26'!$A:$A,'[2]Mar-26'!$H:$H,0)</f>
        <v>0</v>
      </c>
      <c r="AG74" s="17">
        <f>_xlfn.XLOOKUP($B74,'[2]Apr-26'!$A:$A,'[2]Apr-26'!$H:$H,0)</f>
        <v>0</v>
      </c>
    </row>
    <row r="75" spans="1:33" x14ac:dyDescent="0.2">
      <c r="A75" s="58">
        <v>23010</v>
      </c>
      <c r="B75" s="56" t="str">
        <f t="shared" si="3"/>
        <v>23010</v>
      </c>
      <c r="C75" s="57" t="s">
        <v>430</v>
      </c>
      <c r="D75" s="57" t="s">
        <v>429</v>
      </c>
      <c r="E75" s="44" t="s">
        <v>282</v>
      </c>
      <c r="F75" s="17">
        <f>_xlfn.XLOOKUP($B75,'[2]Jan-24'!$A:$A,'[2]Jan-24'!$H:$H,0)</f>
        <v>0</v>
      </c>
      <c r="G75" s="17">
        <f>_xlfn.XLOOKUP($B75,'[2]Feb-24'!$A:$A,'[2]Feb-24'!$H:$H,0)</f>
        <v>0</v>
      </c>
      <c r="H75" s="17">
        <f>_xlfn.XLOOKUP($B75,'[2]Mar-24'!$A:$A,'[2]Mar-24'!$H:$H,0)</f>
        <v>0</v>
      </c>
      <c r="I75" s="17">
        <f>_xlfn.XLOOKUP($B75,'[2]Apr-24'!$A:$A,'[2]Apr-24'!$H:$H,0)</f>
        <v>0</v>
      </c>
      <c r="J75" s="17">
        <f>_xlfn.XLOOKUP($B75,'[2]May-24'!$A:$A,'[2]May-24'!$H:$H,0)</f>
        <v>0</v>
      </c>
      <c r="K75" s="17">
        <f>_xlfn.XLOOKUP($B75,'[2]Jun-24'!$A:$A,'[2]Jun-24'!$H:$H,0)</f>
        <v>0</v>
      </c>
      <c r="L75" s="17">
        <f>_xlfn.XLOOKUP($B75,'[2]Jul-24'!$A:$A,'[2]Jul-24'!$H:$H,0)</f>
        <v>0</v>
      </c>
      <c r="M75" s="17">
        <f>_xlfn.XLOOKUP($B75,'[2]Aug-24'!$A:$A,'[2]Aug-24'!$H:$H,0)</f>
        <v>0</v>
      </c>
      <c r="N75" s="17">
        <f>_xlfn.XLOOKUP($B75,'[2]Sep-24'!$A:$A,'[2]Sep-24'!$H:$H,0)</f>
        <v>0</v>
      </c>
      <c r="O75" s="17">
        <f>_xlfn.XLOOKUP($B75,'[2]Oct-24'!$A:$A,'[2]Oct-24'!$H:$H,0)</f>
        <v>0</v>
      </c>
      <c r="P75" s="17">
        <f>_xlfn.XLOOKUP($B75,'[2]Nov-24'!$A:$A,'[2]Nov-24'!$H:$H,0)</f>
        <v>0</v>
      </c>
      <c r="Q75" s="17">
        <f>_xlfn.XLOOKUP($B75,'[2]Dec-24'!$A:$A,'[2]Dec-24'!$H:$H,0)</f>
        <v>0</v>
      </c>
      <c r="R75" s="17">
        <f>_xlfn.XLOOKUP($B75,'[2]Jan-25'!$A:$A,'[2]Jan-25'!$H:$H,0)</f>
        <v>0</v>
      </c>
      <c r="S75" s="17">
        <f>_xlfn.XLOOKUP($B75,'[2]Feb-25'!$A:$A,'[2]Feb-25'!$H:$H,0)</f>
        <v>0</v>
      </c>
      <c r="T75" s="17">
        <f>_xlfn.XLOOKUP($B75,'[2]Mar-25'!$A:$A,'[2]Mar-25'!$H:$H,0)</f>
        <v>0</v>
      </c>
      <c r="U75" s="17">
        <f>_xlfn.XLOOKUP($B75,'[2]Apr-25'!$A:$A,'[2]Apr-25'!$H:$H,0)</f>
        <v>0</v>
      </c>
      <c r="V75" s="17">
        <f>_xlfn.XLOOKUP($B75,'[2]May-25'!$A:$A,'[2]May-25'!$H:$H,0)</f>
        <v>0</v>
      </c>
      <c r="W75" s="17">
        <f>_xlfn.XLOOKUP($B75,'[2]Jun-25'!$A:$A,'[2]Jun-25'!$H:$H,0)</f>
        <v>0</v>
      </c>
      <c r="X75" s="17">
        <f>_xlfn.XLOOKUP($B75,'[2]Jul-25'!$A:$A,'[2]Jul-25'!$H:$H,0)</f>
        <v>0</v>
      </c>
      <c r="Y75" s="17">
        <f>_xlfn.XLOOKUP($B75,'[2]Aug-25'!$A:$A,'[2]Aug-25'!$H:$H,0)</f>
        <v>0</v>
      </c>
      <c r="Z75" s="17">
        <f>_xlfn.XLOOKUP($B75,'[2]Sep-25'!$A:$A,'[2]Sep-25'!$H:$H,0)</f>
        <v>0</v>
      </c>
      <c r="AA75" s="17">
        <f>_xlfn.XLOOKUP($B75,'[2]Oct-25'!$A:$A,'[2]Oct-25'!$H:$H,0)</f>
        <v>0</v>
      </c>
      <c r="AB75" s="17">
        <f>_xlfn.XLOOKUP($B75,'[2]Nov-25'!$A:$A,'[2]Nov-25'!$H:$H,0)</f>
        <v>0</v>
      </c>
      <c r="AC75" s="17">
        <f>_xlfn.XLOOKUP($B75,'[2]Dec-25'!$A:$A,'[2]Dec-25'!$H:$H,0)</f>
        <v>0</v>
      </c>
      <c r="AD75" s="17">
        <f>_xlfn.XLOOKUP($B75,'[2]Jan-26'!$A:$A,'[2]Jan-26'!$H:$H,0)</f>
        <v>0</v>
      </c>
      <c r="AE75" s="17">
        <f>_xlfn.XLOOKUP($B75,'[2]Feb-26'!$A:$A,'[2]Feb-26'!$H:$H,0)</f>
        <v>0</v>
      </c>
      <c r="AF75" s="17">
        <f>_xlfn.XLOOKUP($B75,'[2]Mar-26'!$A:$A,'[2]Mar-26'!$H:$H,0)</f>
        <v>0</v>
      </c>
      <c r="AG75" s="17">
        <f>_xlfn.XLOOKUP($B75,'[2]Apr-26'!$A:$A,'[2]Apr-26'!$H:$H,0)</f>
        <v>0</v>
      </c>
    </row>
    <row r="76" spans="1:33" x14ac:dyDescent="0.2">
      <c r="A76" s="58">
        <v>23015</v>
      </c>
      <c r="B76" s="56" t="str">
        <f t="shared" si="3"/>
        <v>23015</v>
      </c>
      <c r="C76" s="57" t="s">
        <v>430</v>
      </c>
      <c r="D76" s="57" t="s">
        <v>429</v>
      </c>
      <c r="E76" s="44" t="s">
        <v>283</v>
      </c>
      <c r="F76" s="17">
        <f>_xlfn.XLOOKUP($B76,'[2]Jan-24'!$A:$A,'[2]Jan-24'!$H:$H,0)</f>
        <v>0</v>
      </c>
      <c r="G76" s="17">
        <f>_xlfn.XLOOKUP($B76,'[2]Feb-24'!$A:$A,'[2]Feb-24'!$H:$H,0)</f>
        <v>0</v>
      </c>
      <c r="H76" s="17">
        <f>_xlfn.XLOOKUP($B76,'[2]Mar-24'!$A:$A,'[2]Mar-24'!$H:$H,0)</f>
        <v>0</v>
      </c>
      <c r="I76" s="17">
        <f>_xlfn.XLOOKUP($B76,'[2]Apr-24'!$A:$A,'[2]Apr-24'!$H:$H,0)</f>
        <v>0</v>
      </c>
      <c r="J76" s="17">
        <f>_xlfn.XLOOKUP($B76,'[2]May-24'!$A:$A,'[2]May-24'!$H:$H,0)</f>
        <v>0</v>
      </c>
      <c r="K76" s="17">
        <f>_xlfn.XLOOKUP($B76,'[2]Jun-24'!$A:$A,'[2]Jun-24'!$H:$H,0)</f>
        <v>0</v>
      </c>
      <c r="L76" s="17">
        <f>_xlfn.XLOOKUP($B76,'[2]Jul-24'!$A:$A,'[2]Jul-24'!$H:$H,0)</f>
        <v>0</v>
      </c>
      <c r="M76" s="17">
        <f>_xlfn.XLOOKUP($B76,'[2]Aug-24'!$A:$A,'[2]Aug-24'!$H:$H,0)</f>
        <v>0</v>
      </c>
      <c r="N76" s="17">
        <f>_xlfn.XLOOKUP($B76,'[2]Sep-24'!$A:$A,'[2]Sep-24'!$H:$H,0)</f>
        <v>0</v>
      </c>
      <c r="O76" s="17">
        <f>_xlfn.XLOOKUP($B76,'[2]Oct-24'!$A:$A,'[2]Oct-24'!$H:$H,0)</f>
        <v>0</v>
      </c>
      <c r="P76" s="17">
        <f>_xlfn.XLOOKUP($B76,'[2]Nov-24'!$A:$A,'[2]Nov-24'!$H:$H,0)</f>
        <v>0</v>
      </c>
      <c r="Q76" s="17">
        <f>_xlfn.XLOOKUP($B76,'[2]Dec-24'!$A:$A,'[2]Dec-24'!$H:$H,0)</f>
        <v>0</v>
      </c>
      <c r="R76" s="17">
        <f>_xlfn.XLOOKUP($B76,'[2]Jan-25'!$A:$A,'[2]Jan-25'!$H:$H,0)</f>
        <v>0</v>
      </c>
      <c r="S76" s="17">
        <f>_xlfn.XLOOKUP($B76,'[2]Feb-25'!$A:$A,'[2]Feb-25'!$H:$H,0)</f>
        <v>0</v>
      </c>
      <c r="T76" s="17">
        <f>_xlfn.XLOOKUP($B76,'[2]Mar-25'!$A:$A,'[2]Mar-25'!$H:$H,0)</f>
        <v>0</v>
      </c>
      <c r="U76" s="17">
        <f>_xlfn.XLOOKUP($B76,'[2]Apr-25'!$A:$A,'[2]Apr-25'!$H:$H,0)</f>
        <v>0</v>
      </c>
      <c r="V76" s="17">
        <f>_xlfn.XLOOKUP($B76,'[2]May-25'!$A:$A,'[2]May-25'!$H:$H,0)</f>
        <v>0</v>
      </c>
      <c r="W76" s="17">
        <f>_xlfn.XLOOKUP($B76,'[2]Jun-25'!$A:$A,'[2]Jun-25'!$H:$H,0)</f>
        <v>0</v>
      </c>
      <c r="X76" s="17">
        <f>_xlfn.XLOOKUP($B76,'[2]Jul-25'!$A:$A,'[2]Jul-25'!$H:$H,0)</f>
        <v>0</v>
      </c>
      <c r="Y76" s="17">
        <f>_xlfn.XLOOKUP($B76,'[2]Aug-25'!$A:$A,'[2]Aug-25'!$H:$H,0)</f>
        <v>0</v>
      </c>
      <c r="Z76" s="17">
        <f>_xlfn.XLOOKUP($B76,'[2]Sep-25'!$A:$A,'[2]Sep-25'!$H:$H,0)</f>
        <v>0</v>
      </c>
      <c r="AA76" s="17">
        <f>_xlfn.XLOOKUP($B76,'[2]Oct-25'!$A:$A,'[2]Oct-25'!$H:$H,0)</f>
        <v>0</v>
      </c>
      <c r="AB76" s="17">
        <f>_xlfn.XLOOKUP($B76,'[2]Nov-25'!$A:$A,'[2]Nov-25'!$H:$H,0)</f>
        <v>0</v>
      </c>
      <c r="AC76" s="17">
        <f>_xlfn.XLOOKUP($B76,'[2]Dec-25'!$A:$A,'[2]Dec-25'!$H:$H,0)</f>
        <v>0</v>
      </c>
      <c r="AD76" s="17">
        <f>_xlfn.XLOOKUP($B76,'[2]Jan-26'!$A:$A,'[2]Jan-26'!$H:$H,0)</f>
        <v>0</v>
      </c>
      <c r="AE76" s="17">
        <f>_xlfn.XLOOKUP($B76,'[2]Feb-26'!$A:$A,'[2]Feb-26'!$H:$H,0)</f>
        <v>0</v>
      </c>
      <c r="AF76" s="17">
        <f>_xlfn.XLOOKUP($B76,'[2]Mar-26'!$A:$A,'[2]Mar-26'!$H:$H,0)</f>
        <v>0</v>
      </c>
      <c r="AG76" s="17">
        <f>_xlfn.XLOOKUP($B76,'[2]Apr-26'!$A:$A,'[2]Apr-26'!$H:$H,0)</f>
        <v>0</v>
      </c>
    </row>
    <row r="77" spans="1:33" x14ac:dyDescent="0.2">
      <c r="A77" s="58">
        <v>23030</v>
      </c>
      <c r="B77" s="56" t="str">
        <f t="shared" si="3"/>
        <v>23030</v>
      </c>
      <c r="C77" s="57" t="s">
        <v>441</v>
      </c>
      <c r="D77" s="57" t="s">
        <v>429</v>
      </c>
      <c r="E77" s="44" t="s">
        <v>791</v>
      </c>
      <c r="F77" s="17">
        <f>_xlfn.XLOOKUP($B77,'[2]Jan-24'!$A:$A,'[2]Jan-24'!$H:$H,0)</f>
        <v>0</v>
      </c>
      <c r="G77" s="17">
        <f>_xlfn.XLOOKUP($B77,'[2]Feb-24'!$A:$A,'[2]Feb-24'!$H:$H,0)</f>
        <v>0</v>
      </c>
      <c r="H77" s="17">
        <f>_xlfn.XLOOKUP($B77,'[2]Mar-24'!$A:$A,'[2]Mar-24'!$H:$H,0)</f>
        <v>0</v>
      </c>
      <c r="I77" s="17">
        <f>_xlfn.XLOOKUP($B77,'[2]Apr-24'!$A:$A,'[2]Apr-24'!$H:$H,0)</f>
        <v>0</v>
      </c>
      <c r="J77" s="17">
        <f>_xlfn.XLOOKUP($B77,'[2]May-24'!$A:$A,'[2]May-24'!$H:$H,0)</f>
        <v>0</v>
      </c>
      <c r="K77" s="17">
        <f>_xlfn.XLOOKUP($B77,'[2]Jun-24'!$A:$A,'[2]Jun-24'!$H:$H,0)</f>
        <v>0</v>
      </c>
      <c r="L77" s="17">
        <f>_xlfn.XLOOKUP($B77,'[2]Jul-24'!$A:$A,'[2]Jul-24'!$H:$H,0)</f>
        <v>0</v>
      </c>
      <c r="M77" s="17">
        <f>_xlfn.XLOOKUP($B77,'[2]Aug-24'!$A:$A,'[2]Aug-24'!$H:$H,0)</f>
        <v>0</v>
      </c>
      <c r="N77" s="17">
        <f>_xlfn.XLOOKUP($B77,'[2]Sep-24'!$A:$A,'[2]Sep-24'!$H:$H,0)</f>
        <v>0</v>
      </c>
      <c r="O77" s="17">
        <f>_xlfn.XLOOKUP($B77,'[2]Oct-24'!$A:$A,'[2]Oct-24'!$H:$H,0)</f>
        <v>0</v>
      </c>
      <c r="P77" s="17">
        <f>_xlfn.XLOOKUP($B77,'[2]Nov-24'!$A:$A,'[2]Nov-24'!$H:$H,0)</f>
        <v>0</v>
      </c>
      <c r="Q77" s="17">
        <f>_xlfn.XLOOKUP($B77,'[2]Dec-24'!$A:$A,'[2]Dec-24'!$H:$H,0)</f>
        <v>0</v>
      </c>
      <c r="R77" s="17">
        <f>_xlfn.XLOOKUP($B77,'[2]Jan-25'!$A:$A,'[2]Jan-25'!$H:$H,0)</f>
        <v>0</v>
      </c>
      <c r="S77" s="17">
        <f>_xlfn.XLOOKUP($B77,'[2]Feb-25'!$A:$A,'[2]Feb-25'!$H:$H,0)</f>
        <v>0</v>
      </c>
      <c r="T77" s="17">
        <f>_xlfn.XLOOKUP($B77,'[2]Mar-25'!$A:$A,'[2]Mar-25'!$H:$H,0)</f>
        <v>0</v>
      </c>
      <c r="U77" s="17">
        <f>_xlfn.XLOOKUP($B77,'[2]Apr-25'!$A:$A,'[2]Apr-25'!$H:$H,0)</f>
        <v>0</v>
      </c>
      <c r="V77" s="17">
        <f>_xlfn.XLOOKUP($B77,'[2]May-25'!$A:$A,'[2]May-25'!$H:$H,0)</f>
        <v>0</v>
      </c>
      <c r="W77" s="17">
        <f>_xlfn.XLOOKUP($B77,'[2]Jun-25'!$A:$A,'[2]Jun-25'!$H:$H,0)</f>
        <v>0</v>
      </c>
      <c r="X77" s="17">
        <f>_xlfn.XLOOKUP($B77,'[2]Jul-25'!$A:$A,'[2]Jul-25'!$H:$H,0)</f>
        <v>0</v>
      </c>
      <c r="Y77" s="17">
        <f>_xlfn.XLOOKUP($B77,'[2]Aug-25'!$A:$A,'[2]Aug-25'!$H:$H,0)</f>
        <v>0</v>
      </c>
      <c r="Z77" s="17">
        <f>_xlfn.XLOOKUP($B77,'[2]Sep-25'!$A:$A,'[2]Sep-25'!$H:$H,0)</f>
        <v>0</v>
      </c>
      <c r="AA77" s="17">
        <f>_xlfn.XLOOKUP($B77,'[2]Oct-25'!$A:$A,'[2]Oct-25'!$H:$H,0)</f>
        <v>0</v>
      </c>
      <c r="AB77" s="17">
        <f>_xlfn.XLOOKUP($B77,'[2]Nov-25'!$A:$A,'[2]Nov-25'!$H:$H,0)</f>
        <v>0</v>
      </c>
      <c r="AC77" s="17">
        <f>_xlfn.XLOOKUP($B77,'[2]Dec-25'!$A:$A,'[2]Dec-25'!$H:$H,0)</f>
        <v>0</v>
      </c>
      <c r="AD77" s="17">
        <f>_xlfn.XLOOKUP($B77,'[2]Jan-26'!$A:$A,'[2]Jan-26'!$H:$H,0)</f>
        <v>0</v>
      </c>
      <c r="AE77" s="17">
        <f>_xlfn.XLOOKUP($B77,'[2]Feb-26'!$A:$A,'[2]Feb-26'!$H:$H,0)</f>
        <v>0</v>
      </c>
      <c r="AF77" s="17">
        <f>_xlfn.XLOOKUP($B77,'[2]Mar-26'!$A:$A,'[2]Mar-26'!$H:$H,0)</f>
        <v>0</v>
      </c>
      <c r="AG77" s="17">
        <f>_xlfn.XLOOKUP($B77,'[2]Apr-26'!$A:$A,'[2]Apr-26'!$H:$H,0)</f>
        <v>0</v>
      </c>
    </row>
    <row r="78" spans="1:33" x14ac:dyDescent="0.2">
      <c r="A78" s="58">
        <v>23040</v>
      </c>
      <c r="B78" s="56" t="str">
        <f t="shared" si="3"/>
        <v>23040</v>
      </c>
      <c r="C78" s="57" t="s">
        <v>430</v>
      </c>
      <c r="D78" s="57" t="s">
        <v>429</v>
      </c>
      <c r="E78" s="44" t="s">
        <v>284</v>
      </c>
      <c r="F78" s="17">
        <f>_xlfn.XLOOKUP($B78,'[2]Jan-24'!$A:$A,'[2]Jan-24'!$H:$H,0)</f>
        <v>0</v>
      </c>
      <c r="G78" s="17">
        <f>_xlfn.XLOOKUP($B78,'[2]Feb-24'!$A:$A,'[2]Feb-24'!$H:$H,0)</f>
        <v>0</v>
      </c>
      <c r="H78" s="17">
        <f>_xlfn.XLOOKUP($B78,'[2]Mar-24'!$A:$A,'[2]Mar-24'!$H:$H,0)</f>
        <v>0</v>
      </c>
      <c r="I78" s="17">
        <f>_xlfn.XLOOKUP($B78,'[2]Apr-24'!$A:$A,'[2]Apr-24'!$H:$H,0)</f>
        <v>-534.03</v>
      </c>
      <c r="J78" s="17">
        <f>_xlfn.XLOOKUP($B78,'[2]May-24'!$A:$A,'[2]May-24'!$H:$H,0)</f>
        <v>-534.03</v>
      </c>
      <c r="K78" s="17">
        <f>_xlfn.XLOOKUP($B78,'[2]Jun-24'!$A:$A,'[2]Jun-24'!$H:$H,0)</f>
        <v>-891.66</v>
      </c>
      <c r="L78" s="17">
        <f>_xlfn.XLOOKUP($B78,'[2]Jul-24'!$A:$A,'[2]Jul-24'!$H:$H,0)</f>
        <v>-856.66</v>
      </c>
      <c r="M78" s="17">
        <f>_xlfn.XLOOKUP($B78,'[2]Aug-24'!$A:$A,'[2]Aug-24'!$H:$H,0)</f>
        <v>-825.86</v>
      </c>
      <c r="N78" s="17">
        <f>_xlfn.XLOOKUP($B78,'[2]Sep-24'!$A:$A,'[2]Sep-24'!$H:$H,0)</f>
        <v>-652.26</v>
      </c>
      <c r="O78" s="17">
        <f>_xlfn.XLOOKUP($B78,'[2]Oct-24'!$A:$A,'[2]Oct-24'!$H:$H,0)</f>
        <v>-652.26</v>
      </c>
      <c r="P78" s="17">
        <f>_xlfn.XLOOKUP($B78,'[2]Nov-24'!$A:$A,'[2]Nov-24'!$H:$H,0)</f>
        <v>-652.26</v>
      </c>
      <c r="Q78" s="17">
        <f>_xlfn.XLOOKUP($B78,'[2]Dec-24'!$A:$A,'[2]Dec-24'!$H:$H,0)</f>
        <v>-652.26</v>
      </c>
      <c r="R78" s="17">
        <f>_xlfn.XLOOKUP($B78,'[2]Jan-25'!$A:$A,'[2]Jan-25'!$H:$H,0)</f>
        <v>-652.26</v>
      </c>
      <c r="S78" s="17">
        <f>_xlfn.XLOOKUP($B78,'[2]Feb-25'!$A:$A,'[2]Feb-25'!$H:$H,0)</f>
        <v>-652.26</v>
      </c>
      <c r="T78" s="17">
        <f>_xlfn.XLOOKUP($B78,'[2]Mar-25'!$A:$A,'[2]Mar-25'!$H:$H,0)</f>
        <v>-652.26</v>
      </c>
      <c r="U78" s="17">
        <f>_xlfn.XLOOKUP($B78,'[2]Apr-25'!$A:$A,'[2]Apr-25'!$H:$H,0)</f>
        <v>-652.26</v>
      </c>
      <c r="V78" s="17">
        <f>_xlfn.XLOOKUP($B78,'[2]May-25'!$A:$A,'[2]May-25'!$H:$H,0)</f>
        <v>-652.26</v>
      </c>
      <c r="W78" s="17">
        <f>_xlfn.XLOOKUP($B78,'[2]Jun-25'!$A:$A,'[2]Jun-25'!$H:$H,0)</f>
        <v>-395.43</v>
      </c>
      <c r="X78" s="17">
        <f>_xlfn.XLOOKUP($B78,'[2]Jul-25'!$A:$A,'[2]Jul-25'!$H:$H,0)</f>
        <v>-395.43</v>
      </c>
      <c r="Y78" s="17">
        <f>_xlfn.XLOOKUP($B78,'[2]Aug-25'!$A:$A,'[2]Aug-25'!$H:$H,0)</f>
        <v>-349.66</v>
      </c>
      <c r="Z78" s="17">
        <f>_xlfn.XLOOKUP($B78,'[2]Sep-25'!$A:$A,'[2]Sep-25'!$H:$H,0)</f>
        <v>-256.83</v>
      </c>
      <c r="AA78" s="17">
        <f>_xlfn.XLOOKUP($B78,'[2]Oct-25'!$A:$A,'[2]Oct-25'!$H:$H,0)</f>
        <v>-256.83</v>
      </c>
      <c r="AB78" s="17">
        <f>_xlfn.XLOOKUP($B78,'[2]Nov-25'!$A:$A,'[2]Nov-25'!$H:$H,0)</f>
        <v>-283.43</v>
      </c>
      <c r="AC78" s="17">
        <f>_xlfn.XLOOKUP($B78,'[2]Dec-25'!$A:$A,'[2]Dec-25'!$H:$H,0)</f>
        <v>-372.1</v>
      </c>
      <c r="AD78" s="17">
        <f>_xlfn.XLOOKUP($B78,'[2]Jan-26'!$A:$A,'[2]Jan-26'!$H:$H,0)</f>
        <v>-744.2</v>
      </c>
      <c r="AE78" s="17">
        <f>_xlfn.XLOOKUP($B78,'[2]Feb-26'!$A:$A,'[2]Feb-26'!$H:$H,0)</f>
        <v>-1041.6300000000001</v>
      </c>
      <c r="AF78" s="17">
        <f>_xlfn.XLOOKUP($B78,'[2]Mar-26'!$A:$A,'[2]Mar-26'!$H:$H,0)</f>
        <v>-256.83</v>
      </c>
      <c r="AG78" s="17">
        <f>_xlfn.XLOOKUP($B78,'[2]Apr-26'!$A:$A,'[2]Apr-26'!$H:$H,0)</f>
        <v>-513.66</v>
      </c>
    </row>
    <row r="79" spans="1:33" x14ac:dyDescent="0.2">
      <c r="A79" s="58">
        <v>23300</v>
      </c>
      <c r="B79" s="56" t="str">
        <f t="shared" si="3"/>
        <v>23300</v>
      </c>
      <c r="C79" s="57" t="s">
        <v>430</v>
      </c>
      <c r="D79" s="57" t="s">
        <v>429</v>
      </c>
      <c r="E79" s="44" t="s">
        <v>792</v>
      </c>
      <c r="F79" s="17">
        <f>_xlfn.XLOOKUP($B79,'[2]Jan-24'!$A:$A,'[2]Jan-24'!$H:$H,0)</f>
        <v>0</v>
      </c>
      <c r="G79" s="17">
        <f>_xlfn.XLOOKUP($B79,'[2]Feb-24'!$A:$A,'[2]Feb-24'!$H:$H,0)</f>
        <v>0</v>
      </c>
      <c r="H79" s="17">
        <f>_xlfn.XLOOKUP($B79,'[2]Mar-24'!$A:$A,'[2]Mar-24'!$H:$H,0)</f>
        <v>0</v>
      </c>
      <c r="I79" s="17">
        <f>_xlfn.XLOOKUP($B79,'[2]Apr-24'!$A:$A,'[2]Apr-24'!$H:$H,0)</f>
        <v>-100</v>
      </c>
      <c r="J79" s="17">
        <f>_xlfn.XLOOKUP($B79,'[2]May-24'!$A:$A,'[2]May-24'!$H:$H,0)</f>
        <v>-200</v>
      </c>
      <c r="K79" s="17">
        <f>_xlfn.XLOOKUP($B79,'[2]Jun-24'!$A:$A,'[2]Jun-24'!$H:$H,0)</f>
        <v>-400</v>
      </c>
      <c r="L79" s="17">
        <f>_xlfn.XLOOKUP($B79,'[2]Jul-24'!$A:$A,'[2]Jul-24'!$H:$H,0)</f>
        <v>-100</v>
      </c>
      <c r="M79" s="17">
        <f>_xlfn.XLOOKUP($B79,'[2]Aug-24'!$A:$A,'[2]Aug-24'!$H:$H,0)</f>
        <v>-100</v>
      </c>
      <c r="N79" s="17">
        <f>_xlfn.XLOOKUP($B79,'[2]Sep-24'!$A:$A,'[2]Sep-24'!$H:$H,0)</f>
        <v>0</v>
      </c>
      <c r="O79" s="17">
        <f>_xlfn.XLOOKUP($B79,'[2]Oct-24'!$A:$A,'[2]Oct-24'!$H:$H,0)</f>
        <v>0</v>
      </c>
      <c r="P79" s="17">
        <f>_xlfn.XLOOKUP($B79,'[2]Nov-24'!$A:$A,'[2]Nov-24'!$H:$H,0)</f>
        <v>0</v>
      </c>
      <c r="Q79" s="17">
        <f>_xlfn.XLOOKUP($B79,'[2]Dec-24'!$A:$A,'[2]Dec-24'!$H:$H,0)</f>
        <v>0</v>
      </c>
      <c r="R79" s="17">
        <f>_xlfn.XLOOKUP($B79,'[2]Jan-25'!$A:$A,'[2]Jan-25'!$H:$H,0)</f>
        <v>0</v>
      </c>
      <c r="S79" s="17">
        <f>_xlfn.XLOOKUP($B79,'[2]Feb-25'!$A:$A,'[2]Feb-25'!$H:$H,0)</f>
        <v>0</v>
      </c>
      <c r="T79" s="17">
        <f>_xlfn.XLOOKUP($B79,'[2]Mar-25'!$A:$A,'[2]Mar-25'!$H:$H,0)</f>
        <v>0</v>
      </c>
      <c r="U79" s="17">
        <f>_xlfn.XLOOKUP($B79,'[2]Apr-25'!$A:$A,'[2]Apr-25'!$H:$H,0)</f>
        <v>0</v>
      </c>
      <c r="V79" s="17">
        <f>_xlfn.XLOOKUP($B79,'[2]May-25'!$A:$A,'[2]May-25'!$H:$H,0)</f>
        <v>0</v>
      </c>
      <c r="W79" s="17">
        <f>_xlfn.XLOOKUP($B79,'[2]Jun-25'!$A:$A,'[2]Jun-25'!$H:$H,0)</f>
        <v>-651.70000000000005</v>
      </c>
      <c r="X79" s="17">
        <f>_xlfn.XLOOKUP($B79,'[2]Jul-25'!$A:$A,'[2]Jul-25'!$H:$H,0)</f>
        <v>-651.70000000000005</v>
      </c>
      <c r="Y79" s="17">
        <f>_xlfn.XLOOKUP($B79,'[2]Aug-25'!$A:$A,'[2]Aug-25'!$H:$H,0)</f>
        <v>-488.77</v>
      </c>
      <c r="Z79" s="17">
        <f>_xlfn.XLOOKUP($B79,'[2]Sep-25'!$A:$A,'[2]Sep-25'!$H:$H,0)</f>
        <v>-434.46</v>
      </c>
      <c r="AA79" s="17">
        <f>_xlfn.XLOOKUP($B79,'[2]Oct-25'!$A:$A,'[2]Oct-25'!$H:$H,0)</f>
        <v>-380.15</v>
      </c>
      <c r="AB79" s="17">
        <f>_xlfn.XLOOKUP($B79,'[2]Nov-25'!$A:$A,'[2]Nov-25'!$H:$H,0)</f>
        <v>-325.83999999999997</v>
      </c>
      <c r="AC79" s="17">
        <f>_xlfn.XLOOKUP($B79,'[2]Dec-25'!$A:$A,'[2]Dec-25'!$H:$H,0)</f>
        <v>-271.52999999999997</v>
      </c>
      <c r="AD79" s="17">
        <f>_xlfn.XLOOKUP($B79,'[2]Jan-26'!$A:$A,'[2]Jan-26'!$H:$H,0)</f>
        <v>-217.22</v>
      </c>
      <c r="AE79" s="17">
        <f>_xlfn.XLOOKUP($B79,'[2]Feb-26'!$A:$A,'[2]Feb-26'!$H:$H,0)</f>
        <v>-162.91</v>
      </c>
      <c r="AF79" s="17">
        <f>_xlfn.XLOOKUP($B79,'[2]Mar-26'!$A:$A,'[2]Mar-26'!$H:$H,0)</f>
        <v>-108.6</v>
      </c>
      <c r="AG79" s="17">
        <f>_xlfn.XLOOKUP($B79,'[2]Apr-26'!$A:$A,'[2]Apr-26'!$H:$H,0)</f>
        <v>-54.29</v>
      </c>
    </row>
    <row r="80" spans="1:33" x14ac:dyDescent="0.2">
      <c r="A80" s="58">
        <v>23400</v>
      </c>
      <c r="B80" s="56" t="str">
        <f t="shared" si="3"/>
        <v>23400</v>
      </c>
      <c r="C80" s="57" t="s">
        <v>441</v>
      </c>
      <c r="D80" s="57" t="s">
        <v>429</v>
      </c>
      <c r="E80" s="44" t="s">
        <v>273</v>
      </c>
      <c r="F80" s="17">
        <f>_xlfn.XLOOKUP($B80,'[2]Jan-24'!$A:$A,'[2]Jan-24'!$H:$H,0)</f>
        <v>0</v>
      </c>
      <c r="G80" s="17">
        <f>_xlfn.XLOOKUP($B80,'[2]Feb-24'!$A:$A,'[2]Feb-24'!$H:$H,0)</f>
        <v>0</v>
      </c>
      <c r="H80" s="17">
        <f>_xlfn.XLOOKUP($B80,'[2]Mar-24'!$A:$A,'[2]Mar-24'!$H:$H,0)</f>
        <v>0</v>
      </c>
      <c r="I80" s="17">
        <f>_xlfn.XLOOKUP($B80,'[2]Apr-24'!$A:$A,'[2]Apr-24'!$H:$H,0)</f>
        <v>0</v>
      </c>
      <c r="J80" s="17">
        <f>_xlfn.XLOOKUP($B80,'[2]May-24'!$A:$A,'[2]May-24'!$H:$H,0)</f>
        <v>0</v>
      </c>
      <c r="K80" s="17">
        <f>_xlfn.XLOOKUP($B80,'[2]Jun-24'!$A:$A,'[2]Jun-24'!$H:$H,0)</f>
        <v>0</v>
      </c>
      <c r="L80" s="17">
        <f>_xlfn.XLOOKUP($B80,'[2]Jul-24'!$A:$A,'[2]Jul-24'!$H:$H,0)</f>
        <v>0</v>
      </c>
      <c r="M80" s="17">
        <f>_xlfn.XLOOKUP($B80,'[2]Aug-24'!$A:$A,'[2]Aug-24'!$H:$H,0)</f>
        <v>0</v>
      </c>
      <c r="N80" s="17">
        <f>_xlfn.XLOOKUP($B80,'[2]Sep-24'!$A:$A,'[2]Sep-24'!$H:$H,0)</f>
        <v>0</v>
      </c>
      <c r="O80" s="17">
        <f>_xlfn.XLOOKUP($B80,'[2]Oct-24'!$A:$A,'[2]Oct-24'!$H:$H,0)</f>
        <v>0</v>
      </c>
      <c r="P80" s="17">
        <f>_xlfn.XLOOKUP($B80,'[2]Nov-24'!$A:$A,'[2]Nov-24'!$H:$H,0)</f>
        <v>0</v>
      </c>
      <c r="Q80" s="17">
        <f>_xlfn.XLOOKUP($B80,'[2]Dec-24'!$A:$A,'[2]Dec-24'!$H:$H,0)</f>
        <v>0</v>
      </c>
      <c r="R80" s="17">
        <f>_xlfn.XLOOKUP($B80,'[2]Jan-25'!$A:$A,'[2]Jan-25'!$H:$H,0)</f>
        <v>0</v>
      </c>
      <c r="S80" s="17">
        <f>_xlfn.XLOOKUP($B80,'[2]Feb-25'!$A:$A,'[2]Feb-25'!$H:$H,0)</f>
        <v>0</v>
      </c>
      <c r="T80" s="17">
        <f>_xlfn.XLOOKUP($B80,'[2]Mar-25'!$A:$A,'[2]Mar-25'!$H:$H,0)</f>
        <v>0</v>
      </c>
      <c r="U80" s="17">
        <f>_xlfn.XLOOKUP($B80,'[2]Apr-25'!$A:$A,'[2]Apr-25'!$H:$H,0)</f>
        <v>0</v>
      </c>
      <c r="V80" s="17">
        <f>_xlfn.XLOOKUP($B80,'[2]May-25'!$A:$A,'[2]May-25'!$H:$H,0)</f>
        <v>0</v>
      </c>
      <c r="W80" s="17">
        <f>_xlfn.XLOOKUP($B80,'[2]Jun-25'!$A:$A,'[2]Jun-25'!$H:$H,0)</f>
        <v>0</v>
      </c>
      <c r="X80" s="17">
        <f>_xlfn.XLOOKUP($B80,'[2]Jul-25'!$A:$A,'[2]Jul-25'!$H:$H,0)</f>
        <v>0</v>
      </c>
      <c r="Y80" s="17">
        <f>_xlfn.XLOOKUP($B80,'[2]Aug-25'!$A:$A,'[2]Aug-25'!$H:$H,0)</f>
        <v>0</v>
      </c>
      <c r="Z80" s="17">
        <f>_xlfn.XLOOKUP($B80,'[2]Sep-25'!$A:$A,'[2]Sep-25'!$H:$H,0)</f>
        <v>0</v>
      </c>
      <c r="AA80" s="17">
        <f>_xlfn.XLOOKUP($B80,'[2]Oct-25'!$A:$A,'[2]Oct-25'!$H:$H,0)</f>
        <v>0</v>
      </c>
      <c r="AB80" s="17">
        <f>_xlfn.XLOOKUP($B80,'[2]Nov-25'!$A:$A,'[2]Nov-25'!$H:$H,0)</f>
        <v>0</v>
      </c>
      <c r="AC80" s="17">
        <f>_xlfn.XLOOKUP($B80,'[2]Dec-25'!$A:$A,'[2]Dec-25'!$H:$H,0)</f>
        <v>0</v>
      </c>
      <c r="AD80" s="17">
        <f>_xlfn.XLOOKUP($B80,'[2]Jan-26'!$A:$A,'[2]Jan-26'!$H:$H,0)</f>
        <v>0</v>
      </c>
      <c r="AE80" s="17">
        <f>_xlfn.XLOOKUP($B80,'[2]Feb-26'!$A:$A,'[2]Feb-26'!$H:$H,0)</f>
        <v>0</v>
      </c>
      <c r="AF80" s="17">
        <f>_xlfn.XLOOKUP($B80,'[2]Mar-26'!$A:$A,'[2]Mar-26'!$H:$H,0)</f>
        <v>0</v>
      </c>
      <c r="AG80" s="17">
        <f>_xlfn.XLOOKUP($B80,'[2]Apr-26'!$A:$A,'[2]Apr-26'!$H:$H,0)</f>
        <v>0</v>
      </c>
    </row>
    <row r="81" spans="1:33" x14ac:dyDescent="0.2">
      <c r="A81" s="58">
        <v>23406</v>
      </c>
      <c r="B81" s="56" t="str">
        <f t="shared" si="3"/>
        <v>23406</v>
      </c>
      <c r="C81" s="57" t="s">
        <v>441</v>
      </c>
      <c r="D81" s="57" t="s">
        <v>429</v>
      </c>
      <c r="E81" s="44" t="s">
        <v>793</v>
      </c>
      <c r="F81" s="17">
        <f>_xlfn.XLOOKUP($B81,'[2]Jan-24'!$A:$A,'[2]Jan-24'!$H:$H,0)</f>
        <v>0</v>
      </c>
      <c r="G81" s="17">
        <f>_xlfn.XLOOKUP($B81,'[2]Feb-24'!$A:$A,'[2]Feb-24'!$H:$H,0)</f>
        <v>0</v>
      </c>
      <c r="H81" s="17">
        <f>_xlfn.XLOOKUP($B81,'[2]Mar-24'!$A:$A,'[2]Mar-24'!$H:$H,0)</f>
        <v>0</v>
      </c>
      <c r="I81" s="17">
        <f>_xlfn.XLOOKUP($B81,'[2]Apr-24'!$A:$A,'[2]Apr-24'!$H:$H,0)</f>
        <v>0</v>
      </c>
      <c r="J81" s="17">
        <f>_xlfn.XLOOKUP($B81,'[2]May-24'!$A:$A,'[2]May-24'!$H:$H,0)</f>
        <v>1055.79</v>
      </c>
      <c r="K81" s="17">
        <f>_xlfn.XLOOKUP($B81,'[2]Jun-24'!$A:$A,'[2]Jun-24'!$H:$H,0)</f>
        <v>1262.8599999999999</v>
      </c>
      <c r="L81" s="17">
        <f>_xlfn.XLOOKUP($B81,'[2]Jul-24'!$A:$A,'[2]Jul-24'!$H:$H,0)</f>
        <v>463.64</v>
      </c>
      <c r="M81" s="17">
        <f>_xlfn.XLOOKUP($B81,'[2]Aug-24'!$A:$A,'[2]Aug-24'!$H:$H,0)</f>
        <v>700.99</v>
      </c>
      <c r="N81" s="17">
        <f>_xlfn.XLOOKUP($B81,'[2]Sep-24'!$A:$A,'[2]Sep-24'!$H:$H,0)</f>
        <v>856.9</v>
      </c>
      <c r="O81" s="17">
        <f>_xlfn.XLOOKUP($B81,'[2]Oct-24'!$A:$A,'[2]Oct-24'!$H:$H,0)</f>
        <v>0</v>
      </c>
      <c r="P81" s="17">
        <f>_xlfn.XLOOKUP($B81,'[2]Nov-24'!$A:$A,'[2]Nov-24'!$H:$H,0)</f>
        <v>505.77</v>
      </c>
      <c r="Q81" s="17">
        <f>_xlfn.XLOOKUP($B81,'[2]Dec-24'!$A:$A,'[2]Dec-24'!$H:$H,0)</f>
        <v>184.51</v>
      </c>
      <c r="R81" s="17">
        <f>_xlfn.XLOOKUP($B81,'[2]Jan-25'!$A:$A,'[2]Jan-25'!$H:$H,0)</f>
        <v>-857.62</v>
      </c>
      <c r="S81" s="17">
        <f>_xlfn.XLOOKUP($B81,'[2]Feb-25'!$A:$A,'[2]Feb-25'!$H:$H,0)</f>
        <v>-1548.91</v>
      </c>
      <c r="T81" s="17">
        <f>_xlfn.XLOOKUP($B81,'[2]Mar-25'!$A:$A,'[2]Mar-25'!$H:$H,0)</f>
        <v>-2339.25</v>
      </c>
      <c r="U81" s="17">
        <f>_xlfn.XLOOKUP($B81,'[2]Apr-25'!$A:$A,'[2]Apr-25'!$H:$H,0)</f>
        <v>-1948.05</v>
      </c>
      <c r="V81" s="17">
        <f>_xlfn.XLOOKUP($B81,'[2]May-25'!$A:$A,'[2]May-25'!$H:$H,0)</f>
        <v>-1632</v>
      </c>
      <c r="W81" s="17">
        <f>_xlfn.XLOOKUP($B81,'[2]Jun-25'!$A:$A,'[2]Jun-25'!$H:$H,0)</f>
        <v>-813.64</v>
      </c>
      <c r="X81" s="17">
        <f>_xlfn.XLOOKUP($B81,'[2]Jul-25'!$A:$A,'[2]Jul-25'!$H:$H,0)</f>
        <v>-18.09</v>
      </c>
      <c r="Y81" s="17">
        <f>_xlfn.XLOOKUP($B81,'[2]Aug-25'!$A:$A,'[2]Aug-25'!$H:$H,0)</f>
        <v>2207.14</v>
      </c>
      <c r="Z81" s="17">
        <f>_xlfn.XLOOKUP($B81,'[2]Sep-25'!$A:$A,'[2]Sep-25'!$H:$H,0)</f>
        <v>3622.75</v>
      </c>
      <c r="AA81" s="17">
        <f>_xlfn.XLOOKUP($B81,'[2]Oct-25'!$A:$A,'[2]Oct-25'!$H:$H,0)</f>
        <v>4987.79</v>
      </c>
      <c r="AB81" s="17">
        <f>_xlfn.XLOOKUP($B81,'[2]Nov-25'!$A:$A,'[2]Nov-25'!$H:$H,0)</f>
        <v>6731.39</v>
      </c>
      <c r="AC81" s="17">
        <f>_xlfn.XLOOKUP($B81,'[2]Dec-25'!$A:$A,'[2]Dec-25'!$H:$H,0)</f>
        <v>7295.76</v>
      </c>
      <c r="AD81" s="17">
        <f>_xlfn.XLOOKUP($B81,'[2]Jan-26'!$A:$A,'[2]Jan-26'!$H:$H,0)</f>
        <v>7773.69</v>
      </c>
      <c r="AE81" s="17">
        <f>_xlfn.XLOOKUP($B81,'[2]Feb-26'!$A:$A,'[2]Feb-26'!$H:$H,0)</f>
        <v>8103.03</v>
      </c>
      <c r="AF81" s="17">
        <f>_xlfn.XLOOKUP($B81,'[2]Mar-26'!$A:$A,'[2]Mar-26'!$H:$H,0)</f>
        <v>8468.27</v>
      </c>
      <c r="AG81" s="17">
        <f>_xlfn.XLOOKUP($B81,'[2]Apr-26'!$A:$A,'[2]Apr-26'!$H:$H,0)</f>
        <v>8808.83</v>
      </c>
    </row>
    <row r="82" spans="1:33" x14ac:dyDescent="0.2">
      <c r="A82" s="58">
        <v>23420</v>
      </c>
      <c r="B82" s="56" t="str">
        <f t="shared" si="3"/>
        <v>23420</v>
      </c>
      <c r="C82" s="57" t="s">
        <v>441</v>
      </c>
      <c r="D82" s="57" t="s">
        <v>429</v>
      </c>
      <c r="E82" s="44" t="s">
        <v>276</v>
      </c>
      <c r="F82" s="17">
        <f>_xlfn.XLOOKUP($B82,'[2]Jan-24'!$A:$A,'[2]Jan-24'!$H:$H,0)</f>
        <v>0</v>
      </c>
      <c r="G82" s="17">
        <f>_xlfn.XLOOKUP($B82,'[2]Feb-24'!$A:$A,'[2]Feb-24'!$H:$H,0)</f>
        <v>0</v>
      </c>
      <c r="H82" s="17">
        <f>_xlfn.XLOOKUP($B82,'[2]Mar-24'!$A:$A,'[2]Mar-24'!$H:$H,0)</f>
        <v>0</v>
      </c>
      <c r="I82" s="17">
        <f>_xlfn.XLOOKUP($B82,'[2]Apr-24'!$A:$A,'[2]Apr-24'!$H:$H,0)</f>
        <v>0</v>
      </c>
      <c r="J82" s="17">
        <f>_xlfn.XLOOKUP($B82,'[2]May-24'!$A:$A,'[2]May-24'!$H:$H,0)</f>
        <v>0</v>
      </c>
      <c r="K82" s="17">
        <f>_xlfn.XLOOKUP($B82,'[2]Jun-24'!$A:$A,'[2]Jun-24'!$H:$H,0)</f>
        <v>0</v>
      </c>
      <c r="L82" s="17">
        <f>_xlfn.XLOOKUP($B82,'[2]Jul-24'!$A:$A,'[2]Jul-24'!$H:$H,0)</f>
        <v>0</v>
      </c>
      <c r="M82" s="17">
        <f>_xlfn.XLOOKUP($B82,'[2]Aug-24'!$A:$A,'[2]Aug-24'!$H:$H,0)</f>
        <v>0</v>
      </c>
      <c r="N82" s="17">
        <f>_xlfn.XLOOKUP($B82,'[2]Sep-24'!$A:$A,'[2]Sep-24'!$H:$H,0)</f>
        <v>0</v>
      </c>
      <c r="O82" s="17">
        <f>_xlfn.XLOOKUP($B82,'[2]Oct-24'!$A:$A,'[2]Oct-24'!$H:$H,0)</f>
        <v>0</v>
      </c>
      <c r="P82" s="17">
        <f>_xlfn.XLOOKUP($B82,'[2]Nov-24'!$A:$A,'[2]Nov-24'!$H:$H,0)</f>
        <v>0</v>
      </c>
      <c r="Q82" s="17">
        <f>_xlfn.XLOOKUP($B82,'[2]Dec-24'!$A:$A,'[2]Dec-24'!$H:$H,0)</f>
        <v>0</v>
      </c>
      <c r="R82" s="17">
        <f>_xlfn.XLOOKUP($B82,'[2]Jan-25'!$A:$A,'[2]Jan-25'!$H:$H,0)</f>
        <v>0</v>
      </c>
      <c r="S82" s="17">
        <f>_xlfn.XLOOKUP($B82,'[2]Feb-25'!$A:$A,'[2]Feb-25'!$H:$H,0)</f>
        <v>0</v>
      </c>
      <c r="T82" s="17">
        <f>_xlfn.XLOOKUP($B82,'[2]Mar-25'!$A:$A,'[2]Mar-25'!$H:$H,0)</f>
        <v>0</v>
      </c>
      <c r="U82" s="17">
        <f>_xlfn.XLOOKUP($B82,'[2]Apr-25'!$A:$A,'[2]Apr-25'!$H:$H,0)</f>
        <v>0</v>
      </c>
      <c r="V82" s="17">
        <f>_xlfn.XLOOKUP($B82,'[2]May-25'!$A:$A,'[2]May-25'!$H:$H,0)</f>
        <v>0</v>
      </c>
      <c r="W82" s="17">
        <f>_xlfn.XLOOKUP($B82,'[2]Jun-25'!$A:$A,'[2]Jun-25'!$H:$H,0)</f>
        <v>0</v>
      </c>
      <c r="X82" s="17">
        <f>_xlfn.XLOOKUP($B82,'[2]Jul-25'!$A:$A,'[2]Jul-25'!$H:$H,0)</f>
        <v>0</v>
      </c>
      <c r="Y82" s="17">
        <f>_xlfn.XLOOKUP($B82,'[2]Aug-25'!$A:$A,'[2]Aug-25'!$H:$H,0)</f>
        <v>0</v>
      </c>
      <c r="Z82" s="17">
        <f>_xlfn.XLOOKUP($B82,'[2]Sep-25'!$A:$A,'[2]Sep-25'!$H:$H,0)</f>
        <v>0</v>
      </c>
      <c r="AA82" s="17">
        <f>_xlfn.XLOOKUP($B82,'[2]Oct-25'!$A:$A,'[2]Oct-25'!$H:$H,0)</f>
        <v>0</v>
      </c>
      <c r="AB82" s="17">
        <f>_xlfn.XLOOKUP($B82,'[2]Nov-25'!$A:$A,'[2]Nov-25'!$H:$H,0)</f>
        <v>0</v>
      </c>
      <c r="AC82" s="17">
        <f>_xlfn.XLOOKUP($B82,'[2]Dec-25'!$A:$A,'[2]Dec-25'!$H:$H,0)</f>
        <v>0</v>
      </c>
      <c r="AD82" s="17">
        <f>_xlfn.XLOOKUP($B82,'[2]Jan-26'!$A:$A,'[2]Jan-26'!$H:$H,0)</f>
        <v>0</v>
      </c>
      <c r="AE82" s="17">
        <f>_xlfn.XLOOKUP($B82,'[2]Feb-26'!$A:$A,'[2]Feb-26'!$H:$H,0)</f>
        <v>0</v>
      </c>
      <c r="AF82" s="17">
        <f>_xlfn.XLOOKUP($B82,'[2]Mar-26'!$A:$A,'[2]Mar-26'!$H:$H,0)</f>
        <v>0</v>
      </c>
      <c r="AG82" s="17">
        <f>_xlfn.XLOOKUP($B82,'[2]Apr-26'!$A:$A,'[2]Apr-26'!$H:$H,0)</f>
        <v>0</v>
      </c>
    </row>
    <row r="83" spans="1:33" x14ac:dyDescent="0.2">
      <c r="A83" s="58">
        <v>24010</v>
      </c>
      <c r="B83" s="56" t="str">
        <f t="shared" si="3"/>
        <v>24010</v>
      </c>
      <c r="C83" s="57" t="s">
        <v>430</v>
      </c>
      <c r="D83" s="57" t="s">
        <v>429</v>
      </c>
      <c r="E83" s="44" t="s">
        <v>285</v>
      </c>
      <c r="F83" s="17">
        <f>_xlfn.XLOOKUP($B83,'[2]Jan-24'!$A:$A,'[2]Jan-24'!$H:$H,0)</f>
        <v>0</v>
      </c>
      <c r="G83" s="17">
        <f>_xlfn.XLOOKUP($B83,'[2]Feb-24'!$A:$A,'[2]Feb-24'!$H:$H,0)</f>
        <v>0</v>
      </c>
      <c r="H83" s="17">
        <f>_xlfn.XLOOKUP($B83,'[2]Mar-24'!$A:$A,'[2]Mar-24'!$H:$H,0)</f>
        <v>0</v>
      </c>
      <c r="I83" s="17">
        <f>_xlfn.XLOOKUP($B83,'[2]Apr-24'!$A:$A,'[2]Apr-24'!$H:$H,0)</f>
        <v>0</v>
      </c>
      <c r="J83" s="17">
        <f>_xlfn.XLOOKUP($B83,'[2]May-24'!$A:$A,'[2]May-24'!$H:$H,0)</f>
        <v>0</v>
      </c>
      <c r="K83" s="17">
        <f>_xlfn.XLOOKUP($B83,'[2]Jun-24'!$A:$A,'[2]Jun-24'!$H:$H,0)</f>
        <v>0</v>
      </c>
      <c r="L83" s="17">
        <f>_xlfn.XLOOKUP($B83,'[2]Jul-24'!$A:$A,'[2]Jul-24'!$H:$H,0)</f>
        <v>0</v>
      </c>
      <c r="M83" s="17">
        <f>_xlfn.XLOOKUP($B83,'[2]Aug-24'!$A:$A,'[2]Aug-24'!$H:$H,0)</f>
        <v>0</v>
      </c>
      <c r="N83" s="17">
        <f>_xlfn.XLOOKUP($B83,'[2]Sep-24'!$A:$A,'[2]Sep-24'!$H:$H,0)</f>
        <v>0</v>
      </c>
      <c r="O83" s="17">
        <f>_xlfn.XLOOKUP($B83,'[2]Oct-24'!$A:$A,'[2]Oct-24'!$H:$H,0)</f>
        <v>0</v>
      </c>
      <c r="P83" s="17">
        <f>_xlfn.XLOOKUP($B83,'[2]Nov-24'!$A:$A,'[2]Nov-24'!$H:$H,0)</f>
        <v>0</v>
      </c>
      <c r="Q83" s="17">
        <f>_xlfn.XLOOKUP($B83,'[2]Dec-24'!$A:$A,'[2]Dec-24'!$H:$H,0)</f>
        <v>0</v>
      </c>
      <c r="R83" s="17">
        <f>_xlfn.XLOOKUP($B83,'[2]Jan-25'!$A:$A,'[2]Jan-25'!$H:$H,0)</f>
        <v>0</v>
      </c>
      <c r="S83" s="17">
        <f>_xlfn.XLOOKUP($B83,'[2]Feb-25'!$A:$A,'[2]Feb-25'!$H:$H,0)</f>
        <v>0</v>
      </c>
      <c r="T83" s="17">
        <f>_xlfn.XLOOKUP($B83,'[2]Mar-25'!$A:$A,'[2]Mar-25'!$H:$H,0)</f>
        <v>0</v>
      </c>
      <c r="U83" s="17">
        <f>_xlfn.XLOOKUP($B83,'[2]Apr-25'!$A:$A,'[2]Apr-25'!$H:$H,0)</f>
        <v>0</v>
      </c>
      <c r="V83" s="17">
        <f>_xlfn.XLOOKUP($B83,'[2]May-25'!$A:$A,'[2]May-25'!$H:$H,0)</f>
        <v>0</v>
      </c>
      <c r="W83" s="17">
        <f>_xlfn.XLOOKUP($B83,'[2]Jun-25'!$A:$A,'[2]Jun-25'!$H:$H,0)</f>
        <v>0</v>
      </c>
      <c r="X83" s="17">
        <f>_xlfn.XLOOKUP($B83,'[2]Jul-25'!$A:$A,'[2]Jul-25'!$H:$H,0)</f>
        <v>0</v>
      </c>
      <c r="Y83" s="17">
        <f>_xlfn.XLOOKUP($B83,'[2]Aug-25'!$A:$A,'[2]Aug-25'!$H:$H,0)</f>
        <v>0</v>
      </c>
      <c r="Z83" s="17">
        <f>_xlfn.XLOOKUP($B83,'[2]Sep-25'!$A:$A,'[2]Sep-25'!$H:$H,0)</f>
        <v>0</v>
      </c>
      <c r="AA83" s="17">
        <f>_xlfn.XLOOKUP($B83,'[2]Oct-25'!$A:$A,'[2]Oct-25'!$H:$H,0)</f>
        <v>0</v>
      </c>
      <c r="AB83" s="17">
        <f>_xlfn.XLOOKUP($B83,'[2]Nov-25'!$A:$A,'[2]Nov-25'!$H:$H,0)</f>
        <v>0</v>
      </c>
      <c r="AC83" s="17">
        <f>_xlfn.XLOOKUP($B83,'[2]Dec-25'!$A:$A,'[2]Dec-25'!$H:$H,0)</f>
        <v>0</v>
      </c>
      <c r="AD83" s="17">
        <f>_xlfn.XLOOKUP($B83,'[2]Jan-26'!$A:$A,'[2]Jan-26'!$H:$H,0)</f>
        <v>0</v>
      </c>
      <c r="AE83" s="17">
        <f>_xlfn.XLOOKUP($B83,'[2]Feb-26'!$A:$A,'[2]Feb-26'!$H:$H,0)</f>
        <v>0</v>
      </c>
      <c r="AF83" s="17">
        <f>_xlfn.XLOOKUP($B83,'[2]Mar-26'!$A:$A,'[2]Mar-26'!$H:$H,0)</f>
        <v>0</v>
      </c>
      <c r="AG83" s="17">
        <f>_xlfn.XLOOKUP($B83,'[2]Apr-26'!$A:$A,'[2]Apr-26'!$H:$H,0)</f>
        <v>0</v>
      </c>
    </row>
    <row r="84" spans="1:33" x14ac:dyDescent="0.2">
      <c r="A84" s="58">
        <v>24100</v>
      </c>
      <c r="B84" s="56" t="str">
        <f t="shared" si="3"/>
        <v>24100</v>
      </c>
      <c r="C84" s="57" t="s">
        <v>441</v>
      </c>
      <c r="D84" s="57" t="s">
        <v>429</v>
      </c>
      <c r="E84" s="44" t="s">
        <v>277</v>
      </c>
      <c r="F84" s="17">
        <f>_xlfn.XLOOKUP($B84,'[2]Jan-24'!$A:$A,'[2]Jan-24'!$H:$H,0)</f>
        <v>0</v>
      </c>
      <c r="G84" s="17">
        <f>_xlfn.XLOOKUP($B84,'[2]Feb-24'!$A:$A,'[2]Feb-24'!$H:$H,0)</f>
        <v>0</v>
      </c>
      <c r="H84" s="17">
        <f>_xlfn.XLOOKUP($B84,'[2]Mar-24'!$A:$A,'[2]Mar-24'!$H:$H,0)</f>
        <v>0</v>
      </c>
      <c r="I84" s="17">
        <f>_xlfn.XLOOKUP($B84,'[2]Apr-24'!$A:$A,'[2]Apr-24'!$H:$H,0)</f>
        <v>0</v>
      </c>
      <c r="J84" s="17">
        <f>_xlfn.XLOOKUP($B84,'[2]May-24'!$A:$A,'[2]May-24'!$H:$H,0)</f>
        <v>0</v>
      </c>
      <c r="K84" s="17">
        <f>_xlfn.XLOOKUP($B84,'[2]Jun-24'!$A:$A,'[2]Jun-24'!$H:$H,0)</f>
        <v>0</v>
      </c>
      <c r="L84" s="17">
        <f>_xlfn.XLOOKUP($B84,'[2]Jul-24'!$A:$A,'[2]Jul-24'!$H:$H,0)</f>
        <v>0</v>
      </c>
      <c r="M84" s="17">
        <f>_xlfn.XLOOKUP($B84,'[2]Aug-24'!$A:$A,'[2]Aug-24'!$H:$H,0)</f>
        <v>0</v>
      </c>
      <c r="N84" s="17">
        <f>_xlfn.XLOOKUP($B84,'[2]Sep-24'!$A:$A,'[2]Sep-24'!$H:$H,0)</f>
        <v>0</v>
      </c>
      <c r="O84" s="17">
        <f>_xlfn.XLOOKUP($B84,'[2]Oct-24'!$A:$A,'[2]Oct-24'!$H:$H,0)</f>
        <v>0</v>
      </c>
      <c r="P84" s="17">
        <f>_xlfn.XLOOKUP($B84,'[2]Nov-24'!$A:$A,'[2]Nov-24'!$H:$H,0)</f>
        <v>0</v>
      </c>
      <c r="Q84" s="17">
        <f>_xlfn.XLOOKUP($B84,'[2]Dec-24'!$A:$A,'[2]Dec-24'!$H:$H,0)</f>
        <v>0</v>
      </c>
      <c r="R84" s="17">
        <f>_xlfn.XLOOKUP($B84,'[2]Jan-25'!$A:$A,'[2]Jan-25'!$H:$H,0)</f>
        <v>0</v>
      </c>
      <c r="S84" s="17">
        <f>_xlfn.XLOOKUP($B84,'[2]Feb-25'!$A:$A,'[2]Feb-25'!$H:$H,0)</f>
        <v>0</v>
      </c>
      <c r="T84" s="17">
        <f>_xlfn.XLOOKUP($B84,'[2]Mar-25'!$A:$A,'[2]Mar-25'!$H:$H,0)</f>
        <v>0</v>
      </c>
      <c r="U84" s="17">
        <f>_xlfn.XLOOKUP($B84,'[2]Apr-25'!$A:$A,'[2]Apr-25'!$H:$H,0)</f>
        <v>0</v>
      </c>
      <c r="V84" s="17">
        <f>_xlfn.XLOOKUP($B84,'[2]May-25'!$A:$A,'[2]May-25'!$H:$H,0)</f>
        <v>0</v>
      </c>
      <c r="W84" s="17">
        <f>_xlfn.XLOOKUP($B84,'[2]Jun-25'!$A:$A,'[2]Jun-25'!$H:$H,0)</f>
        <v>0</v>
      </c>
      <c r="X84" s="17">
        <f>_xlfn.XLOOKUP($B84,'[2]Jul-25'!$A:$A,'[2]Jul-25'!$H:$H,0)</f>
        <v>0</v>
      </c>
      <c r="Y84" s="17">
        <f>_xlfn.XLOOKUP($B84,'[2]Aug-25'!$A:$A,'[2]Aug-25'!$H:$H,0)</f>
        <v>0</v>
      </c>
      <c r="Z84" s="17">
        <f>_xlfn.XLOOKUP($B84,'[2]Sep-25'!$A:$A,'[2]Sep-25'!$H:$H,0)</f>
        <v>0</v>
      </c>
      <c r="AA84" s="17">
        <f>_xlfn.XLOOKUP($B84,'[2]Oct-25'!$A:$A,'[2]Oct-25'!$H:$H,0)</f>
        <v>0</v>
      </c>
      <c r="AB84" s="17">
        <f>_xlfn.XLOOKUP($B84,'[2]Nov-25'!$A:$A,'[2]Nov-25'!$H:$H,0)</f>
        <v>0</v>
      </c>
      <c r="AC84" s="17">
        <f>_xlfn.XLOOKUP($B84,'[2]Dec-25'!$A:$A,'[2]Dec-25'!$H:$H,0)</f>
        <v>0</v>
      </c>
      <c r="AD84" s="17">
        <f>_xlfn.XLOOKUP($B84,'[2]Jan-26'!$A:$A,'[2]Jan-26'!$H:$H,0)</f>
        <v>0</v>
      </c>
      <c r="AE84" s="17">
        <f>_xlfn.XLOOKUP($B84,'[2]Feb-26'!$A:$A,'[2]Feb-26'!$H:$H,0)</f>
        <v>0</v>
      </c>
      <c r="AF84" s="17">
        <f>_xlfn.XLOOKUP($B84,'[2]Mar-26'!$A:$A,'[2]Mar-26'!$H:$H,0)</f>
        <v>0</v>
      </c>
      <c r="AG84" s="17">
        <f>_xlfn.XLOOKUP($B84,'[2]Apr-26'!$A:$A,'[2]Apr-26'!$H:$H,0)</f>
        <v>0</v>
      </c>
    </row>
    <row r="85" spans="1:33" x14ac:dyDescent="0.2">
      <c r="A85" s="58">
        <v>24510</v>
      </c>
      <c r="B85" s="56" t="str">
        <f t="shared" si="3"/>
        <v>24510</v>
      </c>
      <c r="C85" s="57" t="s">
        <v>457</v>
      </c>
      <c r="D85" s="57" t="s">
        <v>429</v>
      </c>
      <c r="E85" s="44" t="s">
        <v>794</v>
      </c>
      <c r="F85" s="17">
        <f>_xlfn.XLOOKUP($B85,'[2]Jan-24'!$A:$A,'[2]Jan-24'!$H:$H,0)</f>
        <v>0</v>
      </c>
      <c r="G85" s="17">
        <f>_xlfn.XLOOKUP($B85,'[2]Feb-24'!$A:$A,'[2]Feb-24'!$H:$H,0)</f>
        <v>0</v>
      </c>
      <c r="H85" s="17">
        <f>_xlfn.XLOOKUP($B85,'[2]Mar-24'!$A:$A,'[2]Mar-24'!$H:$H,0)</f>
        <v>0</v>
      </c>
      <c r="I85" s="17">
        <f>_xlfn.XLOOKUP($B85,'[2]Apr-24'!$A:$A,'[2]Apr-24'!$H:$H,0)</f>
        <v>-6529.04</v>
      </c>
      <c r="J85" s="17">
        <f>_xlfn.XLOOKUP($B85,'[2]May-24'!$A:$A,'[2]May-24'!$H:$H,0)</f>
        <v>-6529.04</v>
      </c>
      <c r="K85" s="17">
        <f>_xlfn.XLOOKUP($B85,'[2]Jun-24'!$A:$A,'[2]Jun-24'!$H:$H,0)</f>
        <v>-6529.04</v>
      </c>
      <c r="L85" s="17">
        <f>_xlfn.XLOOKUP($B85,'[2]Jul-24'!$A:$A,'[2]Jul-24'!$H:$H,0)</f>
        <v>-6529.04</v>
      </c>
      <c r="M85" s="17">
        <f>_xlfn.XLOOKUP($B85,'[2]Aug-24'!$A:$A,'[2]Aug-24'!$H:$H,0)</f>
        <v>-6529.04</v>
      </c>
      <c r="N85" s="17">
        <f>_xlfn.XLOOKUP($B85,'[2]Sep-24'!$A:$A,'[2]Sep-24'!$H:$H,0)</f>
        <v>-6529.04</v>
      </c>
      <c r="O85" s="17">
        <f>_xlfn.XLOOKUP($B85,'[2]Oct-24'!$A:$A,'[2]Oct-24'!$H:$H,0)</f>
        <v>-6529.04</v>
      </c>
      <c r="P85" s="17">
        <f>_xlfn.XLOOKUP($B85,'[2]Nov-24'!$A:$A,'[2]Nov-24'!$H:$H,0)</f>
        <v>-6529.04</v>
      </c>
      <c r="Q85" s="17">
        <f>_xlfn.XLOOKUP($B85,'[2]Dec-24'!$A:$A,'[2]Dec-24'!$H:$H,0)</f>
        <v>-18850.189999999999</v>
      </c>
      <c r="R85" s="17">
        <f>_xlfn.XLOOKUP($B85,'[2]Jan-25'!$A:$A,'[2]Jan-25'!$H:$H,0)</f>
        <v>-18850.189999999999</v>
      </c>
      <c r="S85" s="17">
        <f>_xlfn.XLOOKUP($B85,'[2]Feb-25'!$A:$A,'[2]Feb-25'!$H:$H,0)</f>
        <v>-18850.189999999999</v>
      </c>
      <c r="T85" s="17">
        <f>_xlfn.XLOOKUP($B85,'[2]Mar-25'!$A:$A,'[2]Mar-25'!$H:$H,0)</f>
        <v>-18850.189999999999</v>
      </c>
      <c r="U85" s="17">
        <f>_xlfn.XLOOKUP($B85,'[2]Apr-25'!$A:$A,'[2]Apr-25'!$H:$H,0)</f>
        <v>-18850.189999999999</v>
      </c>
      <c r="V85" s="17">
        <f>_xlfn.XLOOKUP($B85,'[2]May-25'!$A:$A,'[2]May-25'!$H:$H,0)</f>
        <v>-18850.189999999999</v>
      </c>
      <c r="W85" s="17">
        <f>_xlfn.XLOOKUP($B85,'[2]Jun-25'!$A:$A,'[2]Jun-25'!$H:$H,0)</f>
        <v>-18850.189999999999</v>
      </c>
      <c r="X85" s="17">
        <f>_xlfn.XLOOKUP($B85,'[2]Jul-25'!$A:$A,'[2]Jul-25'!$H:$H,0)</f>
        <v>-18850.189999999999</v>
      </c>
      <c r="Y85" s="17">
        <f>_xlfn.XLOOKUP($B85,'[2]Aug-25'!$A:$A,'[2]Aug-25'!$H:$H,0)</f>
        <v>-18850.189999999999</v>
      </c>
      <c r="Z85" s="17">
        <f>_xlfn.XLOOKUP($B85,'[2]Sep-25'!$A:$A,'[2]Sep-25'!$H:$H,0)</f>
        <v>-18850.189999999999</v>
      </c>
      <c r="AA85" s="17">
        <f>_xlfn.XLOOKUP($B85,'[2]Oct-25'!$A:$A,'[2]Oct-25'!$H:$H,0)</f>
        <v>-18850.189999999999</v>
      </c>
      <c r="AB85" s="17">
        <f>_xlfn.XLOOKUP($B85,'[2]Nov-25'!$A:$A,'[2]Nov-25'!$H:$H,0)</f>
        <v>-18850.189999999999</v>
      </c>
      <c r="AC85" s="17">
        <f>_xlfn.XLOOKUP($B85,'[2]Dec-25'!$A:$A,'[2]Dec-25'!$H:$H,0)</f>
        <v>-21637.42</v>
      </c>
      <c r="AD85" s="17">
        <f>_xlfn.XLOOKUP($B85,'[2]Jan-26'!$A:$A,'[2]Jan-26'!$H:$H,0)</f>
        <v>-21637.42</v>
      </c>
      <c r="AE85" s="17">
        <f>_xlfn.XLOOKUP($B85,'[2]Feb-26'!$A:$A,'[2]Feb-26'!$H:$H,0)</f>
        <v>-21637.42</v>
      </c>
      <c r="AF85" s="17">
        <f>_xlfn.XLOOKUP($B85,'[2]Mar-26'!$A:$A,'[2]Mar-26'!$H:$H,0)</f>
        <v>-21637.42</v>
      </c>
      <c r="AG85" s="17">
        <f>_xlfn.XLOOKUP($B85,'[2]Apr-26'!$A:$A,'[2]Apr-26'!$H:$H,0)</f>
        <v>-21637.42</v>
      </c>
    </row>
    <row r="86" spans="1:33" x14ac:dyDescent="0.2">
      <c r="A86" s="58">
        <v>24600</v>
      </c>
      <c r="B86" s="56" t="str">
        <f t="shared" si="3"/>
        <v>24600</v>
      </c>
      <c r="C86" s="57" t="s">
        <v>457</v>
      </c>
      <c r="D86" s="57" t="s">
        <v>429</v>
      </c>
      <c r="E86" s="44" t="s">
        <v>795</v>
      </c>
      <c r="F86" s="17">
        <f>_xlfn.XLOOKUP($B86,'[2]Jan-24'!$A:$A,'[2]Jan-24'!$H:$H,0)</f>
        <v>0</v>
      </c>
      <c r="G86" s="17">
        <f>_xlfn.XLOOKUP($B86,'[2]Feb-24'!$A:$A,'[2]Feb-24'!$H:$H,0)</f>
        <v>0</v>
      </c>
      <c r="H86" s="17">
        <f>_xlfn.XLOOKUP($B86,'[2]Mar-24'!$A:$A,'[2]Mar-24'!$H:$H,0)</f>
        <v>0</v>
      </c>
      <c r="I86" s="17">
        <f>_xlfn.XLOOKUP($B86,'[2]Apr-24'!$A:$A,'[2]Apr-24'!$H:$H,0)</f>
        <v>-182561.84</v>
      </c>
      <c r="J86" s="17">
        <f>_xlfn.XLOOKUP($B86,'[2]May-24'!$A:$A,'[2]May-24'!$H:$H,0)</f>
        <v>-180307.66</v>
      </c>
      <c r="K86" s="17">
        <f>_xlfn.XLOOKUP($B86,'[2]Jun-24'!$A:$A,'[2]Jun-24'!$H:$H,0)</f>
        <v>-177110.17</v>
      </c>
      <c r="L86" s="17">
        <f>_xlfn.XLOOKUP($B86,'[2]Jul-24'!$A:$A,'[2]Jul-24'!$H:$H,0)</f>
        <v>-174180.2</v>
      </c>
      <c r="M86" s="17">
        <f>_xlfn.XLOOKUP($B86,'[2]Aug-24'!$A:$A,'[2]Aug-24'!$H:$H,0)</f>
        <v>-171237.7</v>
      </c>
      <c r="N86" s="17">
        <f>_xlfn.XLOOKUP($B86,'[2]Sep-24'!$A:$A,'[2]Sep-24'!$H:$H,0)</f>
        <v>-170641.72</v>
      </c>
      <c r="O86" s="17">
        <f>_xlfn.XLOOKUP($B86,'[2]Oct-24'!$A:$A,'[2]Oct-24'!$H:$H,0)</f>
        <v>-170047.13</v>
      </c>
      <c r="P86" s="17">
        <f>_xlfn.XLOOKUP($B86,'[2]Nov-24'!$A:$A,'[2]Nov-24'!$H:$H,0)</f>
        <v>-169467.13</v>
      </c>
      <c r="Q86" s="17">
        <f>_xlfn.XLOOKUP($B86,'[2]Dec-24'!$A:$A,'[2]Dec-24'!$H:$H,0)</f>
        <v>-172599.41</v>
      </c>
      <c r="R86" s="17">
        <f>_xlfn.XLOOKUP($B86,'[2]Jan-25'!$A:$A,'[2]Jan-25'!$H:$H,0)</f>
        <v>-172801.83</v>
      </c>
      <c r="S86" s="17">
        <f>_xlfn.XLOOKUP($B86,'[2]Feb-25'!$A:$A,'[2]Feb-25'!$H:$H,0)</f>
        <v>-173139.55</v>
      </c>
      <c r="T86" s="17">
        <f>_xlfn.XLOOKUP($B86,'[2]Mar-25'!$A:$A,'[2]Mar-25'!$H:$H,0)</f>
        <v>-173530.07</v>
      </c>
      <c r="U86" s="17">
        <f>_xlfn.XLOOKUP($B86,'[2]Apr-25'!$A:$A,'[2]Apr-25'!$H:$H,0)</f>
        <v>-173594.13</v>
      </c>
      <c r="V86" s="17">
        <f>_xlfn.XLOOKUP($B86,'[2]May-25'!$A:$A,'[2]May-25'!$H:$H,0)</f>
        <v>-173760.91</v>
      </c>
      <c r="W86" s="17">
        <f>_xlfn.XLOOKUP($B86,'[2]Jun-25'!$A:$A,'[2]Jun-25'!$H:$H,0)</f>
        <v>-173954.12</v>
      </c>
      <c r="X86" s="17">
        <f>_xlfn.XLOOKUP($B86,'[2]Jul-25'!$A:$A,'[2]Jul-25'!$H:$H,0)</f>
        <v>-174195.51</v>
      </c>
      <c r="Y86" s="17">
        <f>_xlfn.XLOOKUP($B86,'[2]Aug-25'!$A:$A,'[2]Aug-25'!$H:$H,0)</f>
        <v>-175167.81</v>
      </c>
      <c r="Z86" s="17">
        <f>_xlfn.XLOOKUP($B86,'[2]Sep-25'!$A:$A,'[2]Sep-25'!$H:$H,0)</f>
        <v>-176604.95</v>
      </c>
      <c r="AA86" s="17">
        <f>_xlfn.XLOOKUP($B86,'[2]Oct-25'!$A:$A,'[2]Oct-25'!$H:$H,0)</f>
        <v>-181453.58</v>
      </c>
      <c r="AB86" s="17">
        <f>_xlfn.XLOOKUP($B86,'[2]Nov-25'!$A:$A,'[2]Nov-25'!$H:$H,0)</f>
        <v>-184496.61</v>
      </c>
      <c r="AC86" s="17">
        <f>_xlfn.XLOOKUP($B86,'[2]Dec-25'!$A:$A,'[2]Dec-25'!$H:$H,0)</f>
        <v>-188602.79</v>
      </c>
      <c r="AD86" s="17">
        <f>_xlfn.XLOOKUP($B86,'[2]Jan-26'!$A:$A,'[2]Jan-26'!$H:$H,0)</f>
        <v>-191452.98</v>
      </c>
      <c r="AE86" s="17">
        <f>_xlfn.XLOOKUP($B86,'[2]Feb-26'!$A:$A,'[2]Feb-26'!$H:$H,0)</f>
        <v>-194864.48</v>
      </c>
      <c r="AF86" s="17">
        <f>_xlfn.XLOOKUP($B86,'[2]Mar-26'!$A:$A,'[2]Mar-26'!$H:$H,0)</f>
        <v>-198158.27</v>
      </c>
      <c r="AG86" s="17">
        <f>_xlfn.XLOOKUP($B86,'[2]Apr-26'!$A:$A,'[2]Apr-26'!$H:$H,0)</f>
        <v>-201433.06</v>
      </c>
    </row>
    <row r="87" spans="1:33" x14ac:dyDescent="0.2">
      <c r="A87" s="58">
        <v>26200</v>
      </c>
      <c r="B87" s="56" t="str">
        <f t="shared" si="3"/>
        <v>26200</v>
      </c>
      <c r="C87" s="57" t="s">
        <v>454</v>
      </c>
      <c r="D87" s="57" t="s">
        <v>429</v>
      </c>
      <c r="E87" s="44" t="s">
        <v>796</v>
      </c>
      <c r="F87" s="17">
        <f>_xlfn.XLOOKUP($B87,'[2]Jan-24'!$A:$A,'[2]Jan-24'!$H:$H,0)</f>
        <v>0</v>
      </c>
      <c r="G87" s="17">
        <f>_xlfn.XLOOKUP($B87,'[2]Feb-24'!$A:$A,'[2]Feb-24'!$H:$H,0)</f>
        <v>0</v>
      </c>
      <c r="H87" s="17">
        <f>_xlfn.XLOOKUP($B87,'[2]Mar-24'!$A:$A,'[2]Mar-24'!$H:$H,0)</f>
        <v>0</v>
      </c>
      <c r="I87" s="17">
        <f>_xlfn.XLOOKUP($B87,'[2]Apr-24'!$A:$A,'[2]Apr-24'!$H:$H,0)</f>
        <v>0</v>
      </c>
      <c r="J87" s="17">
        <f>_xlfn.XLOOKUP($B87,'[2]May-24'!$A:$A,'[2]May-24'!$H:$H,0)</f>
        <v>0</v>
      </c>
      <c r="K87" s="17">
        <f>_xlfn.XLOOKUP($B87,'[2]Jun-24'!$A:$A,'[2]Jun-24'!$H:$H,0)</f>
        <v>0</v>
      </c>
      <c r="L87" s="17">
        <f>_xlfn.XLOOKUP($B87,'[2]Jul-24'!$A:$A,'[2]Jul-24'!$H:$H,0)</f>
        <v>0</v>
      </c>
      <c r="M87" s="17">
        <f>_xlfn.XLOOKUP($B87,'[2]Aug-24'!$A:$A,'[2]Aug-24'!$H:$H,0)</f>
        <v>0</v>
      </c>
      <c r="N87" s="17">
        <f>_xlfn.XLOOKUP($B87,'[2]Sep-24'!$A:$A,'[2]Sep-24'!$H:$H,0)</f>
        <v>0</v>
      </c>
      <c r="O87" s="17">
        <f>_xlfn.XLOOKUP($B87,'[2]Oct-24'!$A:$A,'[2]Oct-24'!$H:$H,0)</f>
        <v>0</v>
      </c>
      <c r="P87" s="17">
        <f>_xlfn.XLOOKUP($B87,'[2]Nov-24'!$A:$A,'[2]Nov-24'!$H:$H,0)</f>
        <v>0</v>
      </c>
      <c r="Q87" s="17">
        <f>_xlfn.XLOOKUP($B87,'[2]Dec-24'!$A:$A,'[2]Dec-24'!$H:$H,0)</f>
        <v>0</v>
      </c>
      <c r="R87" s="17">
        <f>_xlfn.XLOOKUP($B87,'[2]Jan-25'!$A:$A,'[2]Jan-25'!$H:$H,0)</f>
        <v>0</v>
      </c>
      <c r="S87" s="17">
        <f>_xlfn.XLOOKUP($B87,'[2]Feb-25'!$A:$A,'[2]Feb-25'!$H:$H,0)</f>
        <v>0</v>
      </c>
      <c r="T87" s="17">
        <f>_xlfn.XLOOKUP($B87,'[2]Mar-25'!$A:$A,'[2]Mar-25'!$H:$H,0)</f>
        <v>0</v>
      </c>
      <c r="U87" s="17">
        <f>_xlfn.XLOOKUP($B87,'[2]Apr-25'!$A:$A,'[2]Apr-25'!$H:$H,0)</f>
        <v>0</v>
      </c>
      <c r="V87" s="17">
        <f>_xlfn.XLOOKUP($B87,'[2]May-25'!$A:$A,'[2]May-25'!$H:$H,0)</f>
        <v>0</v>
      </c>
      <c r="W87" s="17">
        <f>_xlfn.XLOOKUP($B87,'[2]Jun-25'!$A:$A,'[2]Jun-25'!$H:$H,0)</f>
        <v>0</v>
      </c>
      <c r="X87" s="17">
        <f>_xlfn.XLOOKUP($B87,'[2]Jul-25'!$A:$A,'[2]Jul-25'!$H:$H,0)</f>
        <v>0</v>
      </c>
      <c r="Y87" s="17">
        <f>_xlfn.XLOOKUP($B87,'[2]Aug-25'!$A:$A,'[2]Aug-25'!$H:$H,0)</f>
        <v>0</v>
      </c>
      <c r="Z87" s="17">
        <f>_xlfn.XLOOKUP($B87,'[2]Sep-25'!$A:$A,'[2]Sep-25'!$H:$H,0)</f>
        <v>0</v>
      </c>
      <c r="AA87" s="17">
        <f>_xlfn.XLOOKUP($B87,'[2]Oct-25'!$A:$A,'[2]Oct-25'!$H:$H,0)</f>
        <v>0</v>
      </c>
      <c r="AB87" s="17">
        <f>_xlfn.XLOOKUP($B87,'[2]Nov-25'!$A:$A,'[2]Nov-25'!$H:$H,0)</f>
        <v>0</v>
      </c>
      <c r="AC87" s="17">
        <f>_xlfn.XLOOKUP($B87,'[2]Dec-25'!$A:$A,'[2]Dec-25'!$H:$H,0)</f>
        <v>0</v>
      </c>
      <c r="AD87" s="17">
        <f>_xlfn.XLOOKUP($B87,'[2]Jan-26'!$A:$A,'[2]Jan-26'!$H:$H,0)</f>
        <v>0</v>
      </c>
      <c r="AE87" s="17">
        <f>_xlfn.XLOOKUP($B87,'[2]Feb-26'!$A:$A,'[2]Feb-26'!$H:$H,0)</f>
        <v>0</v>
      </c>
      <c r="AF87" s="17">
        <f>_xlfn.XLOOKUP($B87,'[2]Mar-26'!$A:$A,'[2]Mar-26'!$H:$H,0)</f>
        <v>0</v>
      </c>
      <c r="AG87" s="17">
        <f>_xlfn.XLOOKUP($B87,'[2]Apr-26'!$A:$A,'[2]Apr-26'!$H:$H,0)</f>
        <v>0</v>
      </c>
    </row>
    <row r="88" spans="1:33" x14ac:dyDescent="0.2">
      <c r="A88" s="58">
        <v>29000</v>
      </c>
      <c r="B88" s="56" t="str">
        <f t="shared" si="3"/>
        <v>29000</v>
      </c>
      <c r="C88" s="57" t="s">
        <v>441</v>
      </c>
      <c r="D88" s="57" t="s">
        <v>429</v>
      </c>
      <c r="E88" s="44" t="s">
        <v>797</v>
      </c>
      <c r="F88" s="17">
        <f>_xlfn.XLOOKUP($B88,'[2]Jan-24'!$A:$A,'[2]Jan-24'!$H:$H,0)</f>
        <v>0</v>
      </c>
      <c r="G88" s="17">
        <f>_xlfn.XLOOKUP($B88,'[2]Feb-24'!$A:$A,'[2]Feb-24'!$H:$H,0)</f>
        <v>0</v>
      </c>
      <c r="H88" s="17">
        <f>_xlfn.XLOOKUP($B88,'[2]Mar-24'!$A:$A,'[2]Mar-24'!$H:$H,0)</f>
        <v>0</v>
      </c>
      <c r="I88" s="17">
        <f>_xlfn.XLOOKUP($B88,'[2]Apr-24'!$A:$A,'[2]Apr-24'!$H:$H,0)</f>
        <v>-4144.0600000000004</v>
      </c>
      <c r="J88" s="17">
        <f>_xlfn.XLOOKUP($B88,'[2]May-24'!$A:$A,'[2]May-24'!$H:$H,0)</f>
        <v>0</v>
      </c>
      <c r="K88" s="17">
        <f>_xlfn.XLOOKUP($B88,'[2]Jun-24'!$A:$A,'[2]Jun-24'!$H:$H,0)</f>
        <v>0</v>
      </c>
      <c r="L88" s="17">
        <f>_xlfn.XLOOKUP($B88,'[2]Jul-24'!$A:$A,'[2]Jul-24'!$H:$H,0)</f>
        <v>-4536.6000000000004</v>
      </c>
      <c r="M88" s="17">
        <f>_xlfn.XLOOKUP($B88,'[2]Aug-24'!$A:$A,'[2]Aug-24'!$H:$H,0)</f>
        <v>-5027.07</v>
      </c>
      <c r="N88" s="17">
        <f>_xlfn.XLOOKUP($B88,'[2]Sep-24'!$A:$A,'[2]Sep-24'!$H:$H,0)</f>
        <v>0</v>
      </c>
      <c r="O88" s="17">
        <f>_xlfn.XLOOKUP($B88,'[2]Oct-24'!$A:$A,'[2]Oct-24'!$H:$H,0)</f>
        <v>-4595.66</v>
      </c>
      <c r="P88" s="17">
        <f>_xlfn.XLOOKUP($B88,'[2]Nov-24'!$A:$A,'[2]Nov-24'!$H:$H,0)</f>
        <v>-4595.67</v>
      </c>
      <c r="Q88" s="17">
        <f>_xlfn.XLOOKUP($B88,'[2]Dec-24'!$A:$A,'[2]Dec-24'!$H:$H,0)</f>
        <v>0</v>
      </c>
      <c r="R88" s="17">
        <f>_xlfn.XLOOKUP($B88,'[2]Jan-25'!$A:$A,'[2]Jan-25'!$H:$H,0)</f>
        <v>0</v>
      </c>
      <c r="S88" s="17">
        <f>_xlfn.XLOOKUP($B88,'[2]Feb-25'!$A:$A,'[2]Feb-25'!$H:$H,0)</f>
        <v>-4780.9399999999996</v>
      </c>
      <c r="T88" s="17">
        <f>_xlfn.XLOOKUP($B88,'[2]Mar-25'!$A:$A,'[2]Mar-25'!$H:$H,0)</f>
        <v>-4780.9399999999996</v>
      </c>
      <c r="U88" s="17">
        <f>_xlfn.XLOOKUP($B88,'[2]Apr-25'!$A:$A,'[2]Apr-25'!$H:$H,0)</f>
        <v>-0.2</v>
      </c>
      <c r="V88" s="17">
        <f>_xlfn.XLOOKUP($B88,'[2]May-25'!$A:$A,'[2]May-25'!$H:$H,0)</f>
        <v>-4695.1400000000003</v>
      </c>
      <c r="W88" s="17">
        <f>_xlfn.XLOOKUP($B88,'[2]Jun-25'!$A:$A,'[2]Jun-25'!$H:$H,0)</f>
        <v>-0.2</v>
      </c>
      <c r="X88" s="17">
        <f>_xlfn.XLOOKUP($B88,'[2]Jul-25'!$A:$A,'[2]Jul-25'!$H:$H,0)</f>
        <v>-0.2</v>
      </c>
      <c r="Y88" s="17">
        <f>_xlfn.XLOOKUP($B88,'[2]Aug-25'!$A:$A,'[2]Aug-25'!$H:$H,0)</f>
        <v>-3445.47</v>
      </c>
      <c r="Z88" s="17">
        <f>_xlfn.XLOOKUP($B88,'[2]Sep-25'!$A:$A,'[2]Sep-25'!$H:$H,0)</f>
        <v>-3285.87</v>
      </c>
      <c r="AA88" s="17">
        <f>_xlfn.XLOOKUP($B88,'[2]Oct-25'!$A:$A,'[2]Oct-25'!$H:$H,0)</f>
        <v>-3285.86</v>
      </c>
      <c r="AB88" s="17">
        <f>_xlfn.XLOOKUP($B88,'[2]Nov-25'!$A:$A,'[2]Nov-25'!$H:$H,0)</f>
        <v>-3285.87</v>
      </c>
      <c r="AC88" s="17">
        <f>_xlfn.XLOOKUP($B88,'[2]Dec-25'!$A:$A,'[2]Dec-25'!$H:$H,0)</f>
        <v>-3285.87</v>
      </c>
      <c r="AD88" s="17">
        <f>_xlfn.XLOOKUP($B88,'[2]Jan-26'!$A:$A,'[2]Jan-26'!$H:$H,0)</f>
        <v>-3285.87</v>
      </c>
      <c r="AE88" s="17">
        <f>_xlfn.XLOOKUP($B88,'[2]Feb-26'!$A:$A,'[2]Feb-26'!$H:$H,0)</f>
        <v>-3285.87</v>
      </c>
      <c r="AF88" s="17">
        <f>_xlfn.XLOOKUP($B88,'[2]Mar-26'!$A:$A,'[2]Mar-26'!$H:$H,0)</f>
        <v>-3285.87</v>
      </c>
      <c r="AG88" s="17">
        <f>_xlfn.XLOOKUP($B88,'[2]Apr-26'!$A:$A,'[2]Apr-26'!$H:$H,0)</f>
        <v>-3285.86</v>
      </c>
    </row>
    <row r="89" spans="1:33" x14ac:dyDescent="0.2">
      <c r="A89" s="58">
        <v>29010</v>
      </c>
      <c r="B89" s="56" t="str">
        <f t="shared" si="3"/>
        <v>29010</v>
      </c>
      <c r="C89" s="57" t="s">
        <v>441</v>
      </c>
      <c r="D89" s="57" t="s">
        <v>429</v>
      </c>
      <c r="E89" s="44" t="s">
        <v>798</v>
      </c>
      <c r="F89" s="17">
        <f>_xlfn.XLOOKUP($B89,'[2]Jan-24'!$A:$A,'[2]Jan-24'!$H:$H,0)</f>
        <v>0</v>
      </c>
      <c r="G89" s="17">
        <f>_xlfn.XLOOKUP($B89,'[2]Feb-24'!$A:$A,'[2]Feb-24'!$H:$H,0)</f>
        <v>0</v>
      </c>
      <c r="H89" s="17">
        <f>_xlfn.XLOOKUP($B89,'[2]Mar-24'!$A:$A,'[2]Mar-24'!$H:$H,0)</f>
        <v>0</v>
      </c>
      <c r="I89" s="17">
        <f>_xlfn.XLOOKUP($B89,'[2]Apr-24'!$A:$A,'[2]Apr-24'!$H:$H,0)</f>
        <v>-599.82000000000005</v>
      </c>
      <c r="J89" s="17">
        <f>_xlfn.XLOOKUP($B89,'[2]May-24'!$A:$A,'[2]May-24'!$H:$H,0)</f>
        <v>0</v>
      </c>
      <c r="K89" s="17">
        <f>_xlfn.XLOOKUP($B89,'[2]Jun-24'!$A:$A,'[2]Jun-24'!$H:$H,0)</f>
        <v>0</v>
      </c>
      <c r="L89" s="17">
        <f>_xlfn.XLOOKUP($B89,'[2]Jul-24'!$A:$A,'[2]Jul-24'!$H:$H,0)</f>
        <v>-3411.63</v>
      </c>
      <c r="M89" s="17">
        <f>_xlfn.XLOOKUP($B89,'[2]Aug-24'!$A:$A,'[2]Aug-24'!$H:$H,0)</f>
        <v>-3383.75</v>
      </c>
      <c r="N89" s="17">
        <f>_xlfn.XLOOKUP($B89,'[2]Sep-24'!$A:$A,'[2]Sep-24'!$H:$H,0)</f>
        <v>0</v>
      </c>
      <c r="O89" s="17">
        <f>_xlfn.XLOOKUP($B89,'[2]Oct-24'!$A:$A,'[2]Oct-24'!$H:$H,0)</f>
        <v>-2918.19</v>
      </c>
      <c r="P89" s="17">
        <f>_xlfn.XLOOKUP($B89,'[2]Nov-24'!$A:$A,'[2]Nov-24'!$H:$H,0)</f>
        <v>-2918.19</v>
      </c>
      <c r="Q89" s="17">
        <f>_xlfn.XLOOKUP($B89,'[2]Dec-24'!$A:$A,'[2]Dec-24'!$H:$H,0)</f>
        <v>0</v>
      </c>
      <c r="R89" s="17">
        <f>_xlfn.XLOOKUP($B89,'[2]Jan-25'!$A:$A,'[2]Jan-25'!$H:$H,0)</f>
        <v>0</v>
      </c>
      <c r="S89" s="17">
        <f>_xlfn.XLOOKUP($B89,'[2]Feb-25'!$A:$A,'[2]Feb-25'!$H:$H,0)</f>
        <v>-2918.19</v>
      </c>
      <c r="T89" s="17">
        <f>_xlfn.XLOOKUP($B89,'[2]Mar-25'!$A:$A,'[2]Mar-25'!$H:$H,0)</f>
        <v>-2918.19</v>
      </c>
      <c r="U89" s="17">
        <f>_xlfn.XLOOKUP($B89,'[2]Apr-25'!$A:$A,'[2]Apr-25'!$H:$H,0)</f>
        <v>0</v>
      </c>
      <c r="V89" s="17">
        <f>_xlfn.XLOOKUP($B89,'[2]May-25'!$A:$A,'[2]May-25'!$H:$H,0)</f>
        <v>-759.49</v>
      </c>
      <c r="W89" s="17">
        <f>_xlfn.XLOOKUP($B89,'[2]Jun-25'!$A:$A,'[2]Jun-25'!$H:$H,0)</f>
        <v>0</v>
      </c>
      <c r="X89" s="17">
        <f>_xlfn.XLOOKUP($B89,'[2]Jul-25'!$A:$A,'[2]Jul-25'!$H:$H,0)</f>
        <v>0</v>
      </c>
      <c r="Y89" s="17">
        <f>_xlfn.XLOOKUP($B89,'[2]Aug-25'!$A:$A,'[2]Aug-25'!$H:$H,0)</f>
        <v>-431.35</v>
      </c>
      <c r="Z89" s="17">
        <f>_xlfn.XLOOKUP($B89,'[2]Sep-25'!$A:$A,'[2]Sep-25'!$H:$H,0)</f>
        <v>-1689.47</v>
      </c>
      <c r="AA89" s="17">
        <f>_xlfn.XLOOKUP($B89,'[2]Oct-25'!$A:$A,'[2]Oct-25'!$H:$H,0)</f>
        <v>-1804.95</v>
      </c>
      <c r="AB89" s="17">
        <f>_xlfn.XLOOKUP($B89,'[2]Nov-25'!$A:$A,'[2]Nov-25'!$H:$H,0)</f>
        <v>-1877.4</v>
      </c>
      <c r="AC89" s="17">
        <f>_xlfn.XLOOKUP($B89,'[2]Dec-25'!$A:$A,'[2]Dec-25'!$H:$H,0)</f>
        <v>-1966.89</v>
      </c>
      <c r="AD89" s="17">
        <f>_xlfn.XLOOKUP($B89,'[2]Jan-26'!$A:$A,'[2]Jan-26'!$H:$H,0)</f>
        <v>-1966.89</v>
      </c>
      <c r="AE89" s="17">
        <f>_xlfn.XLOOKUP($B89,'[2]Feb-26'!$A:$A,'[2]Feb-26'!$H:$H,0)</f>
        <v>-1911.57</v>
      </c>
      <c r="AF89" s="17">
        <f>_xlfn.XLOOKUP($B89,'[2]Mar-26'!$A:$A,'[2]Mar-26'!$H:$H,0)</f>
        <v>-1806.16</v>
      </c>
      <c r="AG89" s="17">
        <f>_xlfn.XLOOKUP($B89,'[2]Apr-26'!$A:$A,'[2]Apr-26'!$H:$H,0)</f>
        <v>-1804.96</v>
      </c>
    </row>
    <row r="90" spans="1:33" x14ac:dyDescent="0.2">
      <c r="A90" s="58">
        <v>30010</v>
      </c>
      <c r="B90" s="56" t="str">
        <f t="shared" si="3"/>
        <v>30010</v>
      </c>
      <c r="C90" s="57" t="s">
        <v>287</v>
      </c>
      <c r="D90" s="57" t="s">
        <v>429</v>
      </c>
      <c r="E90" s="44" t="s">
        <v>464</v>
      </c>
      <c r="F90" s="17">
        <f>_xlfn.XLOOKUP($B90,'[2]Jan-24'!$A:$A,'[2]Jan-24'!$H:$H,0)</f>
        <v>0</v>
      </c>
      <c r="G90" s="17">
        <f>_xlfn.XLOOKUP($B90,'[2]Feb-24'!$A:$A,'[2]Feb-24'!$H:$H,0)</f>
        <v>0</v>
      </c>
      <c r="H90" s="17">
        <f>_xlfn.XLOOKUP($B90,'[2]Mar-24'!$A:$A,'[2]Mar-24'!$H:$H,0)</f>
        <v>0</v>
      </c>
      <c r="I90" s="17">
        <f>_xlfn.XLOOKUP($B90,'[2]Apr-24'!$A:$A,'[2]Apr-24'!$H:$H,0)</f>
        <v>0</v>
      </c>
      <c r="J90" s="17">
        <f>_xlfn.XLOOKUP($B90,'[2]May-24'!$A:$A,'[2]May-24'!$H:$H,0)</f>
        <v>0</v>
      </c>
      <c r="K90" s="17">
        <f>_xlfn.XLOOKUP($B90,'[2]Jun-24'!$A:$A,'[2]Jun-24'!$H:$H,0)</f>
        <v>0</v>
      </c>
      <c r="L90" s="17">
        <f>_xlfn.XLOOKUP($B90,'[2]Jul-24'!$A:$A,'[2]Jul-24'!$H:$H,0)</f>
        <v>0</v>
      </c>
      <c r="M90" s="17">
        <f>_xlfn.XLOOKUP($B90,'[2]Aug-24'!$A:$A,'[2]Aug-24'!$H:$H,0)</f>
        <v>0</v>
      </c>
      <c r="N90" s="17">
        <f>_xlfn.XLOOKUP($B90,'[2]Sep-24'!$A:$A,'[2]Sep-24'!$H:$H,0)</f>
        <v>0</v>
      </c>
      <c r="O90" s="17">
        <f>_xlfn.XLOOKUP($B90,'[2]Oct-24'!$A:$A,'[2]Oct-24'!$H:$H,0)</f>
        <v>0</v>
      </c>
      <c r="P90" s="17">
        <f>_xlfn.XLOOKUP($B90,'[2]Nov-24'!$A:$A,'[2]Nov-24'!$H:$H,0)</f>
        <v>0</v>
      </c>
      <c r="Q90" s="17">
        <f>_xlfn.XLOOKUP($B90,'[2]Dec-24'!$A:$A,'[2]Dec-24'!$H:$H,0)</f>
        <v>0</v>
      </c>
      <c r="R90" s="17">
        <f>_xlfn.XLOOKUP($B90,'[2]Jan-25'!$A:$A,'[2]Jan-25'!$H:$H,0)</f>
        <v>0</v>
      </c>
      <c r="S90" s="17">
        <f>_xlfn.XLOOKUP($B90,'[2]Feb-25'!$A:$A,'[2]Feb-25'!$H:$H,0)</f>
        <v>0</v>
      </c>
      <c r="T90" s="17">
        <f>_xlfn.XLOOKUP($B90,'[2]Mar-25'!$A:$A,'[2]Mar-25'!$H:$H,0)</f>
        <v>0</v>
      </c>
      <c r="U90" s="17">
        <f>_xlfn.XLOOKUP($B90,'[2]Apr-25'!$A:$A,'[2]Apr-25'!$H:$H,0)</f>
        <v>0</v>
      </c>
      <c r="V90" s="17">
        <f>_xlfn.XLOOKUP($B90,'[2]May-25'!$A:$A,'[2]May-25'!$H:$H,0)</f>
        <v>0</v>
      </c>
      <c r="W90" s="17">
        <f>_xlfn.XLOOKUP($B90,'[2]Jun-25'!$A:$A,'[2]Jun-25'!$H:$H,0)</f>
        <v>0</v>
      </c>
      <c r="X90" s="17">
        <f>_xlfn.XLOOKUP($B90,'[2]Jul-25'!$A:$A,'[2]Jul-25'!$H:$H,0)</f>
        <v>0</v>
      </c>
      <c r="Y90" s="17">
        <f>_xlfn.XLOOKUP($B90,'[2]Aug-25'!$A:$A,'[2]Aug-25'!$H:$H,0)</f>
        <v>0</v>
      </c>
      <c r="Z90" s="17">
        <f>_xlfn.XLOOKUP($B90,'[2]Sep-25'!$A:$A,'[2]Sep-25'!$H:$H,0)</f>
        <v>0</v>
      </c>
      <c r="AA90" s="17">
        <f>_xlfn.XLOOKUP($B90,'[2]Oct-25'!$A:$A,'[2]Oct-25'!$H:$H,0)</f>
        <v>0</v>
      </c>
      <c r="AB90" s="17">
        <f>_xlfn.XLOOKUP($B90,'[2]Nov-25'!$A:$A,'[2]Nov-25'!$H:$H,0)</f>
        <v>0</v>
      </c>
      <c r="AC90" s="17">
        <f>_xlfn.XLOOKUP($B90,'[2]Dec-25'!$A:$A,'[2]Dec-25'!$H:$H,0)</f>
        <v>0</v>
      </c>
      <c r="AD90" s="17">
        <f>_xlfn.XLOOKUP($B90,'[2]Jan-26'!$A:$A,'[2]Jan-26'!$H:$H,0)</f>
        <v>0</v>
      </c>
      <c r="AE90" s="17">
        <f>_xlfn.XLOOKUP($B90,'[2]Feb-26'!$A:$A,'[2]Feb-26'!$H:$H,0)</f>
        <v>0</v>
      </c>
      <c r="AF90" s="17">
        <f>_xlfn.XLOOKUP($B90,'[2]Mar-26'!$A:$A,'[2]Mar-26'!$H:$H,0)</f>
        <v>0</v>
      </c>
      <c r="AG90" s="17">
        <f>_xlfn.XLOOKUP($B90,'[2]Apr-26'!$A:$A,'[2]Apr-26'!$H:$H,0)</f>
        <v>0</v>
      </c>
    </row>
    <row r="91" spans="1:33" x14ac:dyDescent="0.2">
      <c r="A91" s="58">
        <v>30022</v>
      </c>
      <c r="B91" s="56" t="str">
        <f t="shared" si="3"/>
        <v>30022</v>
      </c>
      <c r="C91" s="57" t="s">
        <v>287</v>
      </c>
      <c r="D91" s="57" t="s">
        <v>429</v>
      </c>
      <c r="E91" s="44" t="s">
        <v>799</v>
      </c>
      <c r="F91" s="17">
        <f>_xlfn.XLOOKUP($B91,'[2]Jan-24'!$A:$A,'[2]Jan-24'!$H:$H,0)</f>
        <v>0</v>
      </c>
      <c r="G91" s="17">
        <f>_xlfn.XLOOKUP($B91,'[2]Feb-24'!$A:$A,'[2]Feb-24'!$H:$H,0)</f>
        <v>0</v>
      </c>
      <c r="H91" s="17">
        <f>_xlfn.XLOOKUP($B91,'[2]Mar-24'!$A:$A,'[2]Mar-24'!$H:$H,0)</f>
        <v>0</v>
      </c>
      <c r="I91" s="17">
        <f>_xlfn.XLOOKUP($B91,'[2]Apr-24'!$A:$A,'[2]Apr-24'!$H:$H,0)</f>
        <v>-135183.44</v>
      </c>
      <c r="J91" s="17">
        <f>_xlfn.XLOOKUP($B91,'[2]May-24'!$A:$A,'[2]May-24'!$H:$H,0)</f>
        <v>-135183.44</v>
      </c>
      <c r="K91" s="17">
        <f>_xlfn.XLOOKUP($B91,'[2]Jun-24'!$A:$A,'[2]Jun-24'!$H:$H,0)</f>
        <v>-135708.12</v>
      </c>
      <c r="L91" s="17">
        <f>_xlfn.XLOOKUP($B91,'[2]Jul-24'!$A:$A,'[2]Jul-24'!$H:$H,0)</f>
        <v>-136024.94</v>
      </c>
      <c r="M91" s="17">
        <f>_xlfn.XLOOKUP($B91,'[2]Aug-24'!$A:$A,'[2]Aug-24'!$H:$H,0)</f>
        <v>-136253.73000000001</v>
      </c>
      <c r="N91" s="17">
        <f>_xlfn.XLOOKUP($B91,'[2]Sep-24'!$A:$A,'[2]Sep-24'!$H:$H,0)</f>
        <v>-196292.65</v>
      </c>
      <c r="O91" s="17">
        <f>_xlfn.XLOOKUP($B91,'[2]Oct-24'!$A:$A,'[2]Oct-24'!$H:$H,0)</f>
        <v>-196321.56</v>
      </c>
      <c r="P91" s="17">
        <f>_xlfn.XLOOKUP($B91,'[2]Nov-24'!$A:$A,'[2]Nov-24'!$H:$H,0)</f>
        <v>-196364.67</v>
      </c>
      <c r="Q91" s="17">
        <f>_xlfn.XLOOKUP($B91,'[2]Dec-24'!$A:$A,'[2]Dec-24'!$H:$H,0)</f>
        <v>-94718.17</v>
      </c>
      <c r="R91" s="17">
        <f>_xlfn.XLOOKUP($B91,'[2]Jan-25'!$A:$A,'[2]Jan-25'!$H:$H,0)</f>
        <v>-156879.85999999999</v>
      </c>
      <c r="S91" s="17">
        <f>_xlfn.XLOOKUP($B91,'[2]Feb-25'!$A:$A,'[2]Feb-25'!$H:$H,0)</f>
        <v>-182737.34</v>
      </c>
      <c r="T91" s="17">
        <f>_xlfn.XLOOKUP($B91,'[2]Mar-25'!$A:$A,'[2]Mar-25'!$H:$H,0)</f>
        <v>-182800.27</v>
      </c>
      <c r="U91" s="17">
        <f>_xlfn.XLOOKUP($B91,'[2]Apr-25'!$A:$A,'[2]Apr-25'!$H:$H,0)</f>
        <v>-232982.16</v>
      </c>
      <c r="V91" s="17">
        <f>_xlfn.XLOOKUP($B91,'[2]May-25'!$A:$A,'[2]May-25'!$H:$H,0)</f>
        <v>-233010.89</v>
      </c>
      <c r="W91" s="17">
        <f>_xlfn.XLOOKUP($B91,'[2]Jun-25'!$A:$A,'[2]Jun-25'!$H:$H,0)</f>
        <v>-303015.39</v>
      </c>
      <c r="X91" s="17">
        <f>_xlfn.XLOOKUP($B91,'[2]Jul-25'!$A:$A,'[2]Jul-25'!$H:$H,0)</f>
        <v>-408452.15</v>
      </c>
      <c r="Y91" s="17">
        <f>_xlfn.XLOOKUP($B91,'[2]Aug-25'!$A:$A,'[2]Aug-25'!$H:$H,0)</f>
        <v>-408519.58</v>
      </c>
      <c r="Z91" s="17">
        <f>_xlfn.XLOOKUP($B91,'[2]Sep-25'!$A:$A,'[2]Sep-25'!$H:$H,0)</f>
        <v>-408574.77</v>
      </c>
      <c r="AA91" s="17">
        <f>_xlfn.XLOOKUP($B91,'[2]Oct-25'!$A:$A,'[2]Oct-25'!$H:$H,0)</f>
        <v>-418300.5</v>
      </c>
      <c r="AB91" s="17">
        <f>_xlfn.XLOOKUP($B91,'[2]Nov-25'!$A:$A,'[2]Nov-25'!$H:$H,0)</f>
        <v>-486148.34</v>
      </c>
      <c r="AC91" s="17">
        <f>_xlfn.XLOOKUP($B91,'[2]Dec-25'!$A:$A,'[2]Dec-25'!$H:$H,0)</f>
        <v>-340438.48</v>
      </c>
      <c r="AD91" s="17">
        <f>_xlfn.XLOOKUP($B91,'[2]Jan-26'!$A:$A,'[2]Jan-26'!$H:$H,0)</f>
        <v>-347651.98</v>
      </c>
      <c r="AE91" s="17">
        <f>_xlfn.XLOOKUP($B91,'[2]Feb-26'!$A:$A,'[2]Feb-26'!$H:$H,0)</f>
        <v>-353177.36</v>
      </c>
      <c r="AF91" s="17">
        <f>_xlfn.XLOOKUP($B91,'[2]Mar-26'!$A:$A,'[2]Mar-26'!$H:$H,0)</f>
        <v>-359673.25</v>
      </c>
      <c r="AG91" s="17">
        <f>_xlfn.XLOOKUP($B91,'[2]Apr-26'!$A:$A,'[2]Apr-26'!$H:$H,0)</f>
        <v>-388778.01</v>
      </c>
    </row>
    <row r="92" spans="1:33" x14ac:dyDescent="0.2">
      <c r="A92" s="58">
        <v>30045</v>
      </c>
      <c r="B92" s="56" t="str">
        <f t="shared" si="3"/>
        <v>30045</v>
      </c>
      <c r="C92" s="57" t="s">
        <v>287</v>
      </c>
      <c r="D92" s="57" t="s">
        <v>429</v>
      </c>
      <c r="E92" s="44" t="s">
        <v>800</v>
      </c>
      <c r="F92" s="17">
        <f>_xlfn.XLOOKUP($B92,'[2]Jan-24'!$A:$A,'[2]Jan-24'!$H:$H,0)</f>
        <v>0</v>
      </c>
      <c r="G92" s="17">
        <f>_xlfn.XLOOKUP($B92,'[2]Feb-24'!$A:$A,'[2]Feb-24'!$H:$H,0)</f>
        <v>0</v>
      </c>
      <c r="H92" s="17">
        <f>_xlfn.XLOOKUP($B92,'[2]Mar-24'!$A:$A,'[2]Mar-24'!$H:$H,0)</f>
        <v>0</v>
      </c>
      <c r="I92" s="17">
        <f>_xlfn.XLOOKUP($B92,'[2]Apr-24'!$A:$A,'[2]Apr-24'!$H:$H,0)</f>
        <v>-300</v>
      </c>
      <c r="J92" s="17">
        <f>_xlfn.XLOOKUP($B92,'[2]May-24'!$A:$A,'[2]May-24'!$H:$H,0)</f>
        <v>-300</v>
      </c>
      <c r="K92" s="17">
        <f>_xlfn.XLOOKUP($B92,'[2]Jun-24'!$A:$A,'[2]Jun-24'!$H:$H,0)</f>
        <v>-300</v>
      </c>
      <c r="L92" s="17">
        <f>_xlfn.XLOOKUP($B92,'[2]Jul-24'!$A:$A,'[2]Jul-24'!$H:$H,0)</f>
        <v>-300</v>
      </c>
      <c r="M92" s="17">
        <f>_xlfn.XLOOKUP($B92,'[2]Aug-24'!$A:$A,'[2]Aug-24'!$H:$H,0)</f>
        <v>-300</v>
      </c>
      <c r="N92" s="17">
        <f>_xlfn.XLOOKUP($B92,'[2]Sep-24'!$A:$A,'[2]Sep-24'!$H:$H,0)</f>
        <v>-300</v>
      </c>
      <c r="O92" s="17">
        <f>_xlfn.XLOOKUP($B92,'[2]Oct-24'!$A:$A,'[2]Oct-24'!$H:$H,0)</f>
        <v>-300</v>
      </c>
      <c r="P92" s="17">
        <f>_xlfn.XLOOKUP($B92,'[2]Nov-24'!$A:$A,'[2]Nov-24'!$H:$H,0)</f>
        <v>-300</v>
      </c>
      <c r="Q92" s="17">
        <f>_xlfn.XLOOKUP($B92,'[2]Dec-24'!$A:$A,'[2]Dec-24'!$H:$H,0)</f>
        <v>-300</v>
      </c>
      <c r="R92" s="17">
        <f>_xlfn.XLOOKUP($B92,'[2]Jan-25'!$A:$A,'[2]Jan-25'!$H:$H,0)</f>
        <v>-300</v>
      </c>
      <c r="S92" s="17">
        <f>_xlfn.XLOOKUP($B92,'[2]Feb-25'!$A:$A,'[2]Feb-25'!$H:$H,0)</f>
        <v>-300</v>
      </c>
      <c r="T92" s="17">
        <f>_xlfn.XLOOKUP($B92,'[2]Mar-25'!$A:$A,'[2]Mar-25'!$H:$H,0)</f>
        <v>-300</v>
      </c>
      <c r="U92" s="17">
        <f>_xlfn.XLOOKUP($B92,'[2]Apr-25'!$A:$A,'[2]Apr-25'!$H:$H,0)</f>
        <v>-300</v>
      </c>
      <c r="V92" s="17">
        <f>_xlfn.XLOOKUP($B92,'[2]May-25'!$A:$A,'[2]May-25'!$H:$H,0)</f>
        <v>-300</v>
      </c>
      <c r="W92" s="17">
        <f>_xlfn.XLOOKUP($B92,'[2]Jun-25'!$A:$A,'[2]Jun-25'!$H:$H,0)</f>
        <v>-300</v>
      </c>
      <c r="X92" s="17">
        <f>_xlfn.XLOOKUP($B92,'[2]Jul-25'!$A:$A,'[2]Jul-25'!$H:$H,0)</f>
        <v>-300</v>
      </c>
      <c r="Y92" s="17">
        <f>_xlfn.XLOOKUP($B92,'[2]Aug-25'!$A:$A,'[2]Aug-25'!$H:$H,0)</f>
        <v>-300</v>
      </c>
      <c r="Z92" s="17">
        <f>_xlfn.XLOOKUP($B92,'[2]Sep-25'!$A:$A,'[2]Sep-25'!$H:$H,0)</f>
        <v>-300</v>
      </c>
      <c r="AA92" s="17">
        <f>_xlfn.XLOOKUP($B92,'[2]Oct-25'!$A:$A,'[2]Oct-25'!$H:$H,0)</f>
        <v>-300</v>
      </c>
      <c r="AB92" s="17">
        <f>_xlfn.XLOOKUP($B92,'[2]Nov-25'!$A:$A,'[2]Nov-25'!$H:$H,0)</f>
        <v>-300</v>
      </c>
      <c r="AC92" s="17">
        <f>_xlfn.XLOOKUP($B92,'[2]Dec-25'!$A:$A,'[2]Dec-25'!$H:$H,0)</f>
        <v>-300</v>
      </c>
      <c r="AD92" s="17">
        <f>_xlfn.XLOOKUP($B92,'[2]Jan-26'!$A:$A,'[2]Jan-26'!$H:$H,0)</f>
        <v>-300</v>
      </c>
      <c r="AE92" s="17">
        <f>_xlfn.XLOOKUP($B92,'[2]Feb-26'!$A:$A,'[2]Feb-26'!$H:$H,0)</f>
        <v>-300</v>
      </c>
      <c r="AF92" s="17">
        <f>_xlfn.XLOOKUP($B92,'[2]Mar-26'!$A:$A,'[2]Mar-26'!$H:$H,0)</f>
        <v>-300</v>
      </c>
      <c r="AG92" s="17">
        <f>_xlfn.XLOOKUP($B92,'[2]Apr-26'!$A:$A,'[2]Apr-26'!$H:$H,0)</f>
        <v>-300</v>
      </c>
    </row>
    <row r="93" spans="1:33" x14ac:dyDescent="0.2">
      <c r="A93" s="58">
        <v>30500</v>
      </c>
      <c r="B93" s="56" t="str">
        <f t="shared" si="3"/>
        <v>30500</v>
      </c>
      <c r="C93" s="57" t="s">
        <v>801</v>
      </c>
      <c r="D93" s="57" t="s">
        <v>429</v>
      </c>
      <c r="E93" s="44" t="s">
        <v>802</v>
      </c>
      <c r="F93" s="17">
        <f>_xlfn.XLOOKUP($B93,'[2]Jan-24'!$A:$A,'[2]Jan-24'!$H:$H,0)</f>
        <v>0</v>
      </c>
      <c r="G93" s="17">
        <f>_xlfn.XLOOKUP($B93,'[2]Feb-24'!$A:$A,'[2]Feb-24'!$H:$H,0)</f>
        <v>0</v>
      </c>
      <c r="H93" s="17">
        <f>_xlfn.XLOOKUP($B93,'[2]Mar-24'!$A:$A,'[2]Mar-24'!$H:$H,0)</f>
        <v>0</v>
      </c>
      <c r="I93" s="17">
        <f>_xlfn.XLOOKUP($B93,'[2]Apr-24'!$A:$A,'[2]Apr-24'!$H:$H,0)</f>
        <v>0</v>
      </c>
      <c r="J93" s="17">
        <f>_xlfn.XLOOKUP($B93,'[2]May-24'!$A:$A,'[2]May-24'!$H:$H,0)</f>
        <v>0</v>
      </c>
      <c r="K93" s="17">
        <f>_xlfn.XLOOKUP($B93,'[2]Jun-24'!$A:$A,'[2]Jun-24'!$H:$H,0)</f>
        <v>0</v>
      </c>
      <c r="L93" s="17">
        <f>_xlfn.XLOOKUP($B93,'[2]Jul-24'!$A:$A,'[2]Jul-24'!$H:$H,0)</f>
        <v>0</v>
      </c>
      <c r="M93" s="17">
        <f>_xlfn.XLOOKUP($B93,'[2]Aug-24'!$A:$A,'[2]Aug-24'!$H:$H,0)</f>
        <v>0</v>
      </c>
      <c r="N93" s="17">
        <f>_xlfn.XLOOKUP($B93,'[2]Sep-24'!$A:$A,'[2]Sep-24'!$H:$H,0)</f>
        <v>0</v>
      </c>
      <c r="O93" s="17">
        <f>_xlfn.XLOOKUP($B93,'[2]Oct-24'!$A:$A,'[2]Oct-24'!$H:$H,0)</f>
        <v>0</v>
      </c>
      <c r="P93" s="17">
        <f>_xlfn.XLOOKUP($B93,'[2]Nov-24'!$A:$A,'[2]Nov-24'!$H:$H,0)</f>
        <v>0</v>
      </c>
      <c r="Q93" s="17">
        <f>_xlfn.XLOOKUP($B93,'[2]Dec-24'!$A:$A,'[2]Dec-24'!$H:$H,0)</f>
        <v>0</v>
      </c>
      <c r="R93" s="17">
        <f>_xlfn.XLOOKUP($B93,'[2]Jan-25'!$A:$A,'[2]Jan-25'!$H:$H,0)</f>
        <v>0</v>
      </c>
      <c r="S93" s="17">
        <f>_xlfn.XLOOKUP($B93,'[2]Feb-25'!$A:$A,'[2]Feb-25'!$H:$H,0)</f>
        <v>0</v>
      </c>
      <c r="T93" s="17">
        <f>_xlfn.XLOOKUP($B93,'[2]Mar-25'!$A:$A,'[2]Mar-25'!$H:$H,0)</f>
        <v>0</v>
      </c>
      <c r="U93" s="17">
        <f>_xlfn.XLOOKUP($B93,'[2]Apr-25'!$A:$A,'[2]Apr-25'!$H:$H,0)</f>
        <v>0</v>
      </c>
      <c r="V93" s="17">
        <f>_xlfn.XLOOKUP($B93,'[2]May-25'!$A:$A,'[2]May-25'!$H:$H,0)</f>
        <v>0</v>
      </c>
      <c r="W93" s="17">
        <f>_xlfn.XLOOKUP($B93,'[2]Jun-25'!$A:$A,'[2]Jun-25'!$H:$H,0)</f>
        <v>0</v>
      </c>
      <c r="X93" s="17">
        <f>_xlfn.XLOOKUP($B93,'[2]Jul-25'!$A:$A,'[2]Jul-25'!$H:$H,0)</f>
        <v>0</v>
      </c>
      <c r="Y93" s="17">
        <f>_xlfn.XLOOKUP($B93,'[2]Aug-25'!$A:$A,'[2]Aug-25'!$H:$H,0)</f>
        <v>0</v>
      </c>
      <c r="Z93" s="17">
        <f>_xlfn.XLOOKUP($B93,'[2]Sep-25'!$A:$A,'[2]Sep-25'!$H:$H,0)</f>
        <v>0</v>
      </c>
      <c r="AA93" s="17">
        <f>_xlfn.XLOOKUP($B93,'[2]Oct-25'!$A:$A,'[2]Oct-25'!$H:$H,0)</f>
        <v>0</v>
      </c>
      <c r="AB93" s="17">
        <f>_xlfn.XLOOKUP($B93,'[2]Nov-25'!$A:$A,'[2]Nov-25'!$H:$H,0)</f>
        <v>0</v>
      </c>
      <c r="AC93" s="17">
        <f>_xlfn.XLOOKUP($B93,'[2]Dec-25'!$A:$A,'[2]Dec-25'!$H:$H,0)</f>
        <v>0</v>
      </c>
      <c r="AD93" s="17">
        <f>_xlfn.XLOOKUP($B93,'[2]Jan-26'!$A:$A,'[2]Jan-26'!$H:$H,0)</f>
        <v>0</v>
      </c>
      <c r="AE93" s="17">
        <f>_xlfn.XLOOKUP($B93,'[2]Feb-26'!$A:$A,'[2]Feb-26'!$H:$H,0)</f>
        <v>0</v>
      </c>
      <c r="AF93" s="17">
        <f>_xlfn.XLOOKUP($B93,'[2]Mar-26'!$A:$A,'[2]Mar-26'!$H:$H,0)</f>
        <v>0</v>
      </c>
      <c r="AG93" s="17">
        <f>_xlfn.XLOOKUP($B93,'[2]Apr-26'!$A:$A,'[2]Apr-26'!$H:$H,0)</f>
        <v>0</v>
      </c>
    </row>
    <row r="94" spans="1:33" x14ac:dyDescent="0.2">
      <c r="A94" s="58">
        <v>30510</v>
      </c>
      <c r="B94" s="56" t="str">
        <f t="shared" si="3"/>
        <v>30510</v>
      </c>
      <c r="C94" s="57" t="s">
        <v>287</v>
      </c>
      <c r="D94" s="57" t="s">
        <v>429</v>
      </c>
      <c r="E94" s="44" t="s">
        <v>803</v>
      </c>
      <c r="F94" s="17">
        <f>_xlfn.XLOOKUP($B94,'[2]Jan-24'!$A:$A,'[2]Jan-24'!$H:$H,0)</f>
        <v>0</v>
      </c>
      <c r="G94" s="17">
        <f>_xlfn.XLOOKUP($B94,'[2]Feb-24'!$A:$A,'[2]Feb-24'!$H:$H,0)</f>
        <v>0</v>
      </c>
      <c r="H94" s="17">
        <f>_xlfn.XLOOKUP($B94,'[2]Mar-24'!$A:$A,'[2]Mar-24'!$H:$H,0)</f>
        <v>0</v>
      </c>
      <c r="I94" s="17">
        <f>_xlfn.XLOOKUP($B94,'[2]Apr-24'!$A:$A,'[2]Apr-24'!$H:$H,0)</f>
        <v>-446102.03</v>
      </c>
      <c r="J94" s="17">
        <f>_xlfn.XLOOKUP($B94,'[2]May-24'!$A:$A,'[2]May-24'!$H:$H,0)</f>
        <v>-446102.03</v>
      </c>
      <c r="K94" s="17">
        <f>_xlfn.XLOOKUP($B94,'[2]Jun-24'!$A:$A,'[2]Jun-24'!$H:$H,0)</f>
        <v>-446102.03</v>
      </c>
      <c r="L94" s="17">
        <f>_xlfn.XLOOKUP($B94,'[2]Jul-24'!$A:$A,'[2]Jul-24'!$H:$H,0)</f>
        <v>-446102.03</v>
      </c>
      <c r="M94" s="17">
        <f>_xlfn.XLOOKUP($B94,'[2]Aug-24'!$A:$A,'[2]Aug-24'!$H:$H,0)</f>
        <v>-446102.03</v>
      </c>
      <c r="N94" s="17">
        <f>_xlfn.XLOOKUP($B94,'[2]Sep-24'!$A:$A,'[2]Sep-24'!$H:$H,0)</f>
        <v>-446102.03</v>
      </c>
      <c r="O94" s="17">
        <f>_xlfn.XLOOKUP($B94,'[2]Oct-24'!$A:$A,'[2]Oct-24'!$H:$H,0)</f>
        <v>-446102.03</v>
      </c>
      <c r="P94" s="17">
        <f>_xlfn.XLOOKUP($B94,'[2]Nov-24'!$A:$A,'[2]Nov-24'!$H:$H,0)</f>
        <v>-446102.03</v>
      </c>
      <c r="Q94" s="17">
        <f>_xlfn.XLOOKUP($B94,'[2]Dec-24'!$A:$A,'[2]Dec-24'!$H:$H,0)</f>
        <v>-446102.03</v>
      </c>
      <c r="R94" s="17">
        <f>_xlfn.XLOOKUP($B94,'[2]Jan-25'!$A:$A,'[2]Jan-25'!$H:$H,0)</f>
        <v>-446102.03</v>
      </c>
      <c r="S94" s="17">
        <f>_xlfn.XLOOKUP($B94,'[2]Feb-25'!$A:$A,'[2]Feb-25'!$H:$H,0)</f>
        <v>-446102.03</v>
      </c>
      <c r="T94" s="17">
        <f>_xlfn.XLOOKUP($B94,'[2]Mar-25'!$A:$A,'[2]Mar-25'!$H:$H,0)</f>
        <v>-446102.03</v>
      </c>
      <c r="U94" s="17">
        <f>_xlfn.XLOOKUP($B94,'[2]Apr-25'!$A:$A,'[2]Apr-25'!$H:$H,0)</f>
        <v>-446102.03</v>
      </c>
      <c r="V94" s="17">
        <f>_xlfn.XLOOKUP($B94,'[2]May-25'!$A:$A,'[2]May-25'!$H:$H,0)</f>
        <v>-446102.03</v>
      </c>
      <c r="W94" s="17">
        <f>_xlfn.XLOOKUP($B94,'[2]Jun-25'!$A:$A,'[2]Jun-25'!$H:$H,0)</f>
        <v>-446102.03</v>
      </c>
      <c r="X94" s="17">
        <f>_xlfn.XLOOKUP($B94,'[2]Jul-25'!$A:$A,'[2]Jul-25'!$H:$H,0)</f>
        <v>-446102.03</v>
      </c>
      <c r="Y94" s="17">
        <f>_xlfn.XLOOKUP($B94,'[2]Aug-25'!$A:$A,'[2]Aug-25'!$H:$H,0)</f>
        <v>-446102.03</v>
      </c>
      <c r="Z94" s="17">
        <f>_xlfn.XLOOKUP($B94,'[2]Sep-25'!$A:$A,'[2]Sep-25'!$H:$H,0)</f>
        <v>-446102.03</v>
      </c>
      <c r="AA94" s="17">
        <f>_xlfn.XLOOKUP($B94,'[2]Oct-25'!$A:$A,'[2]Oct-25'!$H:$H,0)</f>
        <v>-446102.03</v>
      </c>
      <c r="AB94" s="17">
        <f>_xlfn.XLOOKUP($B94,'[2]Nov-25'!$A:$A,'[2]Nov-25'!$H:$H,0)</f>
        <v>-446102.03</v>
      </c>
      <c r="AC94" s="17">
        <f>_xlfn.XLOOKUP($B94,'[2]Dec-25'!$A:$A,'[2]Dec-25'!$H:$H,0)</f>
        <v>-446102.03</v>
      </c>
      <c r="AD94" s="17">
        <f>_xlfn.XLOOKUP($B94,'[2]Jan-26'!$A:$A,'[2]Jan-26'!$H:$H,0)</f>
        <v>-446102.03</v>
      </c>
      <c r="AE94" s="17">
        <f>_xlfn.XLOOKUP($B94,'[2]Feb-26'!$A:$A,'[2]Feb-26'!$H:$H,0)</f>
        <v>-446102.03</v>
      </c>
      <c r="AF94" s="17">
        <f>_xlfn.XLOOKUP($B94,'[2]Mar-26'!$A:$A,'[2]Mar-26'!$H:$H,0)</f>
        <v>-446102.03</v>
      </c>
      <c r="AG94" s="17">
        <f>_xlfn.XLOOKUP($B94,'[2]Apr-26'!$A:$A,'[2]Apr-26'!$H:$H,0)</f>
        <v>-446102.03</v>
      </c>
    </row>
    <row r="95" spans="1:33" x14ac:dyDescent="0.2">
      <c r="A95" s="58">
        <v>30520</v>
      </c>
      <c r="B95" s="56" t="str">
        <f t="shared" si="3"/>
        <v>30520</v>
      </c>
      <c r="C95" s="57" t="s">
        <v>801</v>
      </c>
      <c r="D95" s="57" t="s">
        <v>429</v>
      </c>
      <c r="E95" s="44" t="s">
        <v>804</v>
      </c>
      <c r="F95" s="17">
        <f>_xlfn.XLOOKUP($B95,'[2]Jan-24'!$A:$A,'[2]Jan-24'!$H:$H,0)</f>
        <v>0</v>
      </c>
      <c r="G95" s="17">
        <f>_xlfn.XLOOKUP($B95,'[2]Feb-24'!$A:$A,'[2]Feb-24'!$H:$H,0)</f>
        <v>0</v>
      </c>
      <c r="H95" s="17">
        <f>_xlfn.XLOOKUP($B95,'[2]Mar-24'!$A:$A,'[2]Mar-24'!$H:$H,0)</f>
        <v>0</v>
      </c>
      <c r="I95" s="17">
        <f>_xlfn.XLOOKUP($B95,'[2]Apr-24'!$A:$A,'[2]Apr-24'!$H:$H,0)</f>
        <v>0</v>
      </c>
      <c r="J95" s="17">
        <f>_xlfn.XLOOKUP($B95,'[2]May-24'!$A:$A,'[2]May-24'!$H:$H,0)</f>
        <v>0</v>
      </c>
      <c r="K95" s="17">
        <f>_xlfn.XLOOKUP($B95,'[2]Jun-24'!$A:$A,'[2]Jun-24'!$H:$H,0)</f>
        <v>0</v>
      </c>
      <c r="L95" s="17">
        <f>_xlfn.XLOOKUP($B95,'[2]Jul-24'!$A:$A,'[2]Jul-24'!$H:$H,0)</f>
        <v>0</v>
      </c>
      <c r="M95" s="17">
        <f>_xlfn.XLOOKUP($B95,'[2]Aug-24'!$A:$A,'[2]Aug-24'!$H:$H,0)</f>
        <v>0</v>
      </c>
      <c r="N95" s="17">
        <f>_xlfn.XLOOKUP($B95,'[2]Sep-24'!$A:$A,'[2]Sep-24'!$H:$H,0)</f>
        <v>0</v>
      </c>
      <c r="O95" s="17">
        <f>_xlfn.XLOOKUP($B95,'[2]Oct-24'!$A:$A,'[2]Oct-24'!$H:$H,0)</f>
        <v>0</v>
      </c>
      <c r="P95" s="17">
        <f>_xlfn.XLOOKUP($B95,'[2]Nov-24'!$A:$A,'[2]Nov-24'!$H:$H,0)</f>
        <v>0</v>
      </c>
      <c r="Q95" s="17">
        <f>_xlfn.XLOOKUP($B95,'[2]Dec-24'!$A:$A,'[2]Dec-24'!$H:$H,0)</f>
        <v>0</v>
      </c>
      <c r="R95" s="17">
        <f>_xlfn.XLOOKUP($B95,'[2]Jan-25'!$A:$A,'[2]Jan-25'!$H:$H,0)</f>
        <v>0</v>
      </c>
      <c r="S95" s="17">
        <f>_xlfn.XLOOKUP($B95,'[2]Feb-25'!$A:$A,'[2]Feb-25'!$H:$H,0)</f>
        <v>0</v>
      </c>
      <c r="T95" s="17">
        <f>_xlfn.XLOOKUP($B95,'[2]Mar-25'!$A:$A,'[2]Mar-25'!$H:$H,0)</f>
        <v>0</v>
      </c>
      <c r="U95" s="17">
        <f>_xlfn.XLOOKUP($B95,'[2]Apr-25'!$A:$A,'[2]Apr-25'!$H:$H,0)</f>
        <v>0</v>
      </c>
      <c r="V95" s="17">
        <f>_xlfn.XLOOKUP($B95,'[2]May-25'!$A:$A,'[2]May-25'!$H:$H,0)</f>
        <v>0</v>
      </c>
      <c r="W95" s="17">
        <f>_xlfn.XLOOKUP($B95,'[2]Jun-25'!$A:$A,'[2]Jun-25'!$H:$H,0)</f>
        <v>0</v>
      </c>
      <c r="X95" s="17">
        <f>_xlfn.XLOOKUP($B95,'[2]Jul-25'!$A:$A,'[2]Jul-25'!$H:$H,0)</f>
        <v>0</v>
      </c>
      <c r="Y95" s="17">
        <f>_xlfn.XLOOKUP($B95,'[2]Aug-25'!$A:$A,'[2]Aug-25'!$H:$H,0)</f>
        <v>0</v>
      </c>
      <c r="Z95" s="17">
        <f>_xlfn.XLOOKUP($B95,'[2]Sep-25'!$A:$A,'[2]Sep-25'!$H:$H,0)</f>
        <v>0</v>
      </c>
      <c r="AA95" s="17">
        <f>_xlfn.XLOOKUP($B95,'[2]Oct-25'!$A:$A,'[2]Oct-25'!$H:$H,0)</f>
        <v>0</v>
      </c>
      <c r="AB95" s="17">
        <f>_xlfn.XLOOKUP($B95,'[2]Nov-25'!$A:$A,'[2]Nov-25'!$H:$H,0)</f>
        <v>0</v>
      </c>
      <c r="AC95" s="17">
        <f>_xlfn.XLOOKUP($B95,'[2]Dec-25'!$A:$A,'[2]Dec-25'!$H:$H,0)</f>
        <v>0</v>
      </c>
      <c r="AD95" s="17">
        <f>_xlfn.XLOOKUP($B95,'[2]Jan-26'!$A:$A,'[2]Jan-26'!$H:$H,0)</f>
        <v>0</v>
      </c>
      <c r="AE95" s="17">
        <f>_xlfn.XLOOKUP($B95,'[2]Feb-26'!$A:$A,'[2]Feb-26'!$H:$H,0)</f>
        <v>0</v>
      </c>
      <c r="AF95" s="17">
        <f>_xlfn.XLOOKUP($B95,'[2]Mar-26'!$A:$A,'[2]Mar-26'!$H:$H,0)</f>
        <v>0</v>
      </c>
      <c r="AG95" s="17">
        <f>_xlfn.XLOOKUP($B95,'[2]Apr-26'!$A:$A,'[2]Apr-26'!$H:$H,0)</f>
        <v>0</v>
      </c>
    </row>
    <row r="96" spans="1:33" x14ac:dyDescent="0.2">
      <c r="A96" s="58">
        <v>30530</v>
      </c>
      <c r="B96" s="56" t="str">
        <f t="shared" si="3"/>
        <v>30530</v>
      </c>
      <c r="C96" s="57" t="s">
        <v>801</v>
      </c>
      <c r="D96" s="57" t="s">
        <v>429</v>
      </c>
      <c r="E96" s="44" t="s">
        <v>805</v>
      </c>
      <c r="F96" s="17">
        <f>_xlfn.XLOOKUP($B96,'[2]Jan-24'!$A:$A,'[2]Jan-24'!$H:$H,0)</f>
        <v>0</v>
      </c>
      <c r="G96" s="17">
        <f>_xlfn.XLOOKUP($B96,'[2]Feb-24'!$A:$A,'[2]Feb-24'!$H:$H,0)</f>
        <v>0</v>
      </c>
      <c r="H96" s="17">
        <f>_xlfn.XLOOKUP($B96,'[2]Mar-24'!$A:$A,'[2]Mar-24'!$H:$H,0)</f>
        <v>0</v>
      </c>
      <c r="I96" s="17">
        <f>_xlfn.XLOOKUP($B96,'[2]Apr-24'!$A:$A,'[2]Apr-24'!$H:$H,0)</f>
        <v>0</v>
      </c>
      <c r="J96" s="17">
        <f>_xlfn.XLOOKUP($B96,'[2]May-24'!$A:$A,'[2]May-24'!$H:$H,0)</f>
        <v>0</v>
      </c>
      <c r="K96" s="17">
        <f>_xlfn.XLOOKUP($B96,'[2]Jun-24'!$A:$A,'[2]Jun-24'!$H:$H,0)</f>
        <v>0</v>
      </c>
      <c r="L96" s="17">
        <f>_xlfn.XLOOKUP($B96,'[2]Jul-24'!$A:$A,'[2]Jul-24'!$H:$H,0)</f>
        <v>0</v>
      </c>
      <c r="M96" s="17">
        <f>_xlfn.XLOOKUP($B96,'[2]Aug-24'!$A:$A,'[2]Aug-24'!$H:$H,0)</f>
        <v>0</v>
      </c>
      <c r="N96" s="17">
        <f>_xlfn.XLOOKUP($B96,'[2]Sep-24'!$A:$A,'[2]Sep-24'!$H:$H,0)</f>
        <v>0</v>
      </c>
      <c r="O96" s="17">
        <f>_xlfn.XLOOKUP($B96,'[2]Oct-24'!$A:$A,'[2]Oct-24'!$H:$H,0)</f>
        <v>0</v>
      </c>
      <c r="P96" s="17">
        <f>_xlfn.XLOOKUP($B96,'[2]Nov-24'!$A:$A,'[2]Nov-24'!$H:$H,0)</f>
        <v>0</v>
      </c>
      <c r="Q96" s="17">
        <f>_xlfn.XLOOKUP($B96,'[2]Dec-24'!$A:$A,'[2]Dec-24'!$H:$H,0)</f>
        <v>0</v>
      </c>
      <c r="R96" s="17">
        <f>_xlfn.XLOOKUP($B96,'[2]Jan-25'!$A:$A,'[2]Jan-25'!$H:$H,0)</f>
        <v>0</v>
      </c>
      <c r="S96" s="17">
        <f>_xlfn.XLOOKUP($B96,'[2]Feb-25'!$A:$A,'[2]Feb-25'!$H:$H,0)</f>
        <v>0</v>
      </c>
      <c r="T96" s="17">
        <f>_xlfn.XLOOKUP($B96,'[2]Mar-25'!$A:$A,'[2]Mar-25'!$H:$H,0)</f>
        <v>0</v>
      </c>
      <c r="U96" s="17">
        <f>_xlfn.XLOOKUP($B96,'[2]Apr-25'!$A:$A,'[2]Apr-25'!$H:$H,0)</f>
        <v>0</v>
      </c>
      <c r="V96" s="17">
        <f>_xlfn.XLOOKUP($B96,'[2]May-25'!$A:$A,'[2]May-25'!$H:$H,0)</f>
        <v>0</v>
      </c>
      <c r="W96" s="17">
        <f>_xlfn.XLOOKUP($B96,'[2]Jun-25'!$A:$A,'[2]Jun-25'!$H:$H,0)</f>
        <v>0</v>
      </c>
      <c r="X96" s="17">
        <f>_xlfn.XLOOKUP($B96,'[2]Jul-25'!$A:$A,'[2]Jul-25'!$H:$H,0)</f>
        <v>0</v>
      </c>
      <c r="Y96" s="17">
        <f>_xlfn.XLOOKUP($B96,'[2]Aug-25'!$A:$A,'[2]Aug-25'!$H:$H,0)</f>
        <v>0</v>
      </c>
      <c r="Z96" s="17">
        <f>_xlfn.XLOOKUP($B96,'[2]Sep-25'!$A:$A,'[2]Sep-25'!$H:$H,0)</f>
        <v>0</v>
      </c>
      <c r="AA96" s="17">
        <f>_xlfn.XLOOKUP($B96,'[2]Oct-25'!$A:$A,'[2]Oct-25'!$H:$H,0)</f>
        <v>0</v>
      </c>
      <c r="AB96" s="17">
        <f>_xlfn.XLOOKUP($B96,'[2]Nov-25'!$A:$A,'[2]Nov-25'!$H:$H,0)</f>
        <v>0</v>
      </c>
      <c r="AC96" s="17">
        <f>_xlfn.XLOOKUP($B96,'[2]Dec-25'!$A:$A,'[2]Dec-25'!$H:$H,0)</f>
        <v>0</v>
      </c>
      <c r="AD96" s="17">
        <f>_xlfn.XLOOKUP($B96,'[2]Jan-26'!$A:$A,'[2]Jan-26'!$H:$H,0)</f>
        <v>0</v>
      </c>
      <c r="AE96" s="17">
        <f>_xlfn.XLOOKUP($B96,'[2]Feb-26'!$A:$A,'[2]Feb-26'!$H:$H,0)</f>
        <v>0</v>
      </c>
      <c r="AF96" s="17">
        <f>_xlfn.XLOOKUP($B96,'[2]Mar-26'!$A:$A,'[2]Mar-26'!$H:$H,0)</f>
        <v>0</v>
      </c>
      <c r="AG96" s="17">
        <f>_xlfn.XLOOKUP($B96,'[2]Apr-26'!$A:$A,'[2]Apr-26'!$H:$H,0)</f>
        <v>0</v>
      </c>
    </row>
    <row r="97" spans="1:33" x14ac:dyDescent="0.2">
      <c r="A97" s="58">
        <v>30540</v>
      </c>
      <c r="B97" s="56" t="str">
        <f t="shared" si="3"/>
        <v>30540</v>
      </c>
      <c r="C97" s="57" t="s">
        <v>462</v>
      </c>
      <c r="D97" s="57" t="s">
        <v>429</v>
      </c>
      <c r="E97" s="44" t="s">
        <v>806</v>
      </c>
      <c r="F97" s="17">
        <f>_xlfn.XLOOKUP($B97,'[2]Jan-24'!$A:$A,'[2]Jan-24'!$H:$H,0)</f>
        <v>0</v>
      </c>
      <c r="G97" s="17">
        <f>_xlfn.XLOOKUP($B97,'[2]Feb-24'!$A:$A,'[2]Feb-24'!$H:$H,0)</f>
        <v>0</v>
      </c>
      <c r="H97" s="17">
        <f>_xlfn.XLOOKUP($B97,'[2]Mar-24'!$A:$A,'[2]Mar-24'!$H:$H,0)</f>
        <v>0</v>
      </c>
      <c r="I97" s="17">
        <f>_xlfn.XLOOKUP($B97,'[2]Apr-24'!$A:$A,'[2]Apr-24'!$H:$H,0)</f>
        <v>217687.62</v>
      </c>
      <c r="J97" s="17">
        <f>_xlfn.XLOOKUP($B97,'[2]May-24'!$A:$A,'[2]May-24'!$H:$H,0)</f>
        <v>217687.62</v>
      </c>
      <c r="K97" s="17">
        <f>_xlfn.XLOOKUP($B97,'[2]Jun-24'!$A:$A,'[2]Jun-24'!$H:$H,0)</f>
        <v>217687.62</v>
      </c>
      <c r="L97" s="17">
        <f>_xlfn.XLOOKUP($B97,'[2]Jul-24'!$A:$A,'[2]Jul-24'!$H:$H,0)</f>
        <v>217687.62</v>
      </c>
      <c r="M97" s="17">
        <f>_xlfn.XLOOKUP($B97,'[2]Aug-24'!$A:$A,'[2]Aug-24'!$H:$H,0)</f>
        <v>217687.62</v>
      </c>
      <c r="N97" s="17">
        <f>_xlfn.XLOOKUP($B97,'[2]Sep-24'!$A:$A,'[2]Sep-24'!$H:$H,0)</f>
        <v>217687.62</v>
      </c>
      <c r="O97" s="17">
        <f>_xlfn.XLOOKUP($B97,'[2]Oct-24'!$A:$A,'[2]Oct-24'!$H:$H,0)</f>
        <v>217687.62</v>
      </c>
      <c r="P97" s="17">
        <f>_xlfn.XLOOKUP($B97,'[2]Nov-24'!$A:$A,'[2]Nov-24'!$H:$H,0)</f>
        <v>217687.62</v>
      </c>
      <c r="Q97" s="17">
        <f>_xlfn.XLOOKUP($B97,'[2]Dec-24'!$A:$A,'[2]Dec-24'!$H:$H,0)</f>
        <v>217687.62</v>
      </c>
      <c r="R97" s="17">
        <f>_xlfn.XLOOKUP($B97,'[2]Jan-25'!$A:$A,'[2]Jan-25'!$H:$H,0)</f>
        <v>217687.62</v>
      </c>
      <c r="S97" s="17">
        <f>_xlfn.XLOOKUP($B97,'[2]Feb-25'!$A:$A,'[2]Feb-25'!$H:$H,0)</f>
        <v>217687.62</v>
      </c>
      <c r="T97" s="17">
        <f>_xlfn.XLOOKUP($B97,'[2]Mar-25'!$A:$A,'[2]Mar-25'!$H:$H,0)</f>
        <v>217687.62</v>
      </c>
      <c r="U97" s="17">
        <f>_xlfn.XLOOKUP($B97,'[2]Apr-25'!$A:$A,'[2]Apr-25'!$H:$H,0)</f>
        <v>217687.62</v>
      </c>
      <c r="V97" s="17">
        <f>_xlfn.XLOOKUP($B97,'[2]May-25'!$A:$A,'[2]May-25'!$H:$H,0)</f>
        <v>217687.62</v>
      </c>
      <c r="W97" s="17">
        <f>_xlfn.XLOOKUP($B97,'[2]Jun-25'!$A:$A,'[2]Jun-25'!$H:$H,0)</f>
        <v>217687.62</v>
      </c>
      <c r="X97" s="17">
        <f>_xlfn.XLOOKUP($B97,'[2]Jul-25'!$A:$A,'[2]Jul-25'!$H:$H,0)</f>
        <v>217687.62</v>
      </c>
      <c r="Y97" s="17">
        <f>_xlfn.XLOOKUP($B97,'[2]Aug-25'!$A:$A,'[2]Aug-25'!$H:$H,0)</f>
        <v>217687.62</v>
      </c>
      <c r="Z97" s="17">
        <f>_xlfn.XLOOKUP($B97,'[2]Sep-25'!$A:$A,'[2]Sep-25'!$H:$H,0)</f>
        <v>217687.62</v>
      </c>
      <c r="AA97" s="17">
        <f>_xlfn.XLOOKUP($B97,'[2]Oct-25'!$A:$A,'[2]Oct-25'!$H:$H,0)</f>
        <v>217687.62</v>
      </c>
      <c r="AB97" s="17">
        <f>_xlfn.XLOOKUP($B97,'[2]Nov-25'!$A:$A,'[2]Nov-25'!$H:$H,0)</f>
        <v>217687.62</v>
      </c>
      <c r="AC97" s="17">
        <f>_xlfn.XLOOKUP($B97,'[2]Dec-25'!$A:$A,'[2]Dec-25'!$H:$H,0)</f>
        <v>217687.62</v>
      </c>
      <c r="AD97" s="17">
        <f>_xlfn.XLOOKUP($B97,'[2]Jan-26'!$A:$A,'[2]Jan-26'!$H:$H,0)</f>
        <v>217687.62</v>
      </c>
      <c r="AE97" s="17">
        <f>_xlfn.XLOOKUP($B97,'[2]Feb-26'!$A:$A,'[2]Feb-26'!$H:$H,0)</f>
        <v>217687.62</v>
      </c>
      <c r="AF97" s="17">
        <f>_xlfn.XLOOKUP($B97,'[2]Mar-26'!$A:$A,'[2]Mar-26'!$H:$H,0)</f>
        <v>217687.62</v>
      </c>
      <c r="AG97" s="17">
        <f>_xlfn.XLOOKUP($B97,'[2]Apr-26'!$A:$A,'[2]Apr-26'!$H:$H,0)</f>
        <v>217687.62</v>
      </c>
    </row>
    <row r="98" spans="1:33" x14ac:dyDescent="0.2">
      <c r="A98" s="58">
        <v>30550</v>
      </c>
      <c r="B98" s="56" t="str">
        <f t="shared" si="3"/>
        <v>30550</v>
      </c>
      <c r="C98" s="57" t="s">
        <v>801</v>
      </c>
      <c r="D98" s="57" t="s">
        <v>429</v>
      </c>
      <c r="E98" s="44" t="s">
        <v>807</v>
      </c>
      <c r="F98" s="17">
        <f>_xlfn.XLOOKUP($B98,'[2]Jan-24'!$A:$A,'[2]Jan-24'!$H:$H,0)</f>
        <v>0</v>
      </c>
      <c r="G98" s="17">
        <f>_xlfn.XLOOKUP($B98,'[2]Feb-24'!$A:$A,'[2]Feb-24'!$H:$H,0)</f>
        <v>0</v>
      </c>
      <c r="H98" s="17">
        <f>_xlfn.XLOOKUP($B98,'[2]Mar-24'!$A:$A,'[2]Mar-24'!$H:$H,0)</f>
        <v>0</v>
      </c>
      <c r="I98" s="17">
        <f>_xlfn.XLOOKUP($B98,'[2]Apr-24'!$A:$A,'[2]Apr-24'!$H:$H,0)</f>
        <v>0</v>
      </c>
      <c r="J98" s="17">
        <f>_xlfn.XLOOKUP($B98,'[2]May-24'!$A:$A,'[2]May-24'!$H:$H,0)</f>
        <v>0</v>
      </c>
      <c r="K98" s="17">
        <f>_xlfn.XLOOKUP($B98,'[2]Jun-24'!$A:$A,'[2]Jun-24'!$H:$H,0)</f>
        <v>0</v>
      </c>
      <c r="L98" s="17">
        <f>_xlfn.XLOOKUP($B98,'[2]Jul-24'!$A:$A,'[2]Jul-24'!$H:$H,0)</f>
        <v>0</v>
      </c>
      <c r="M98" s="17">
        <f>_xlfn.XLOOKUP($B98,'[2]Aug-24'!$A:$A,'[2]Aug-24'!$H:$H,0)</f>
        <v>0</v>
      </c>
      <c r="N98" s="17">
        <f>_xlfn.XLOOKUP($B98,'[2]Sep-24'!$A:$A,'[2]Sep-24'!$H:$H,0)</f>
        <v>0</v>
      </c>
      <c r="O98" s="17">
        <f>_xlfn.XLOOKUP($B98,'[2]Oct-24'!$A:$A,'[2]Oct-24'!$H:$H,0)</f>
        <v>0</v>
      </c>
      <c r="P98" s="17">
        <f>_xlfn.XLOOKUP($B98,'[2]Nov-24'!$A:$A,'[2]Nov-24'!$H:$H,0)</f>
        <v>0</v>
      </c>
      <c r="Q98" s="17">
        <f>_xlfn.XLOOKUP($B98,'[2]Dec-24'!$A:$A,'[2]Dec-24'!$H:$H,0)</f>
        <v>0</v>
      </c>
      <c r="R98" s="17">
        <f>_xlfn.XLOOKUP($B98,'[2]Jan-25'!$A:$A,'[2]Jan-25'!$H:$H,0)</f>
        <v>0</v>
      </c>
      <c r="S98" s="17">
        <f>_xlfn.XLOOKUP($B98,'[2]Feb-25'!$A:$A,'[2]Feb-25'!$H:$H,0)</f>
        <v>0</v>
      </c>
      <c r="T98" s="17">
        <f>_xlfn.XLOOKUP($B98,'[2]Mar-25'!$A:$A,'[2]Mar-25'!$H:$H,0)</f>
        <v>0</v>
      </c>
      <c r="U98" s="17">
        <f>_xlfn.XLOOKUP($B98,'[2]Apr-25'!$A:$A,'[2]Apr-25'!$H:$H,0)</f>
        <v>0</v>
      </c>
      <c r="V98" s="17">
        <f>_xlfn.XLOOKUP($B98,'[2]May-25'!$A:$A,'[2]May-25'!$H:$H,0)</f>
        <v>0</v>
      </c>
      <c r="W98" s="17">
        <f>_xlfn.XLOOKUP($B98,'[2]Jun-25'!$A:$A,'[2]Jun-25'!$H:$H,0)</f>
        <v>0</v>
      </c>
      <c r="X98" s="17">
        <f>_xlfn.XLOOKUP($B98,'[2]Jul-25'!$A:$A,'[2]Jul-25'!$H:$H,0)</f>
        <v>0</v>
      </c>
      <c r="Y98" s="17">
        <f>_xlfn.XLOOKUP($B98,'[2]Aug-25'!$A:$A,'[2]Aug-25'!$H:$H,0)</f>
        <v>0</v>
      </c>
      <c r="Z98" s="17">
        <f>_xlfn.XLOOKUP($B98,'[2]Sep-25'!$A:$A,'[2]Sep-25'!$H:$H,0)</f>
        <v>0</v>
      </c>
      <c r="AA98" s="17">
        <f>_xlfn.XLOOKUP($B98,'[2]Oct-25'!$A:$A,'[2]Oct-25'!$H:$H,0)</f>
        <v>0</v>
      </c>
      <c r="AB98" s="17">
        <f>_xlfn.XLOOKUP($B98,'[2]Nov-25'!$A:$A,'[2]Nov-25'!$H:$H,0)</f>
        <v>0</v>
      </c>
      <c r="AC98" s="17">
        <f>_xlfn.XLOOKUP($B98,'[2]Dec-25'!$A:$A,'[2]Dec-25'!$H:$H,0)</f>
        <v>0</v>
      </c>
      <c r="AD98" s="17">
        <f>_xlfn.XLOOKUP($B98,'[2]Jan-26'!$A:$A,'[2]Jan-26'!$H:$H,0)</f>
        <v>0</v>
      </c>
      <c r="AE98" s="17">
        <f>_xlfn.XLOOKUP($B98,'[2]Feb-26'!$A:$A,'[2]Feb-26'!$H:$H,0)</f>
        <v>0</v>
      </c>
      <c r="AF98" s="17">
        <f>_xlfn.XLOOKUP($B98,'[2]Mar-26'!$A:$A,'[2]Mar-26'!$H:$H,0)</f>
        <v>0</v>
      </c>
      <c r="AG98" s="17">
        <f>_xlfn.XLOOKUP($B98,'[2]Apr-26'!$A:$A,'[2]Apr-26'!$H:$H,0)</f>
        <v>0</v>
      </c>
    </row>
    <row r="99" spans="1:33" x14ac:dyDescent="0.2">
      <c r="A99" s="58">
        <v>32000</v>
      </c>
      <c r="B99" s="56" t="str">
        <f t="shared" si="3"/>
        <v>32000</v>
      </c>
      <c r="C99" s="57" t="s">
        <v>462</v>
      </c>
      <c r="D99" s="57" t="s">
        <v>429</v>
      </c>
      <c r="E99" s="44" t="s">
        <v>63</v>
      </c>
      <c r="F99" s="17">
        <f>_xlfn.XLOOKUP($B99,'[2]Jan-24'!$A:$A,'[2]Jan-24'!$H:$H,0)</f>
        <v>0</v>
      </c>
      <c r="G99" s="17">
        <f>_xlfn.XLOOKUP($B99,'[2]Feb-24'!$A:$A,'[2]Feb-24'!$H:$H,0)</f>
        <v>0</v>
      </c>
      <c r="H99" s="17">
        <f>_xlfn.XLOOKUP($B99,'[2]Mar-24'!$A:$A,'[2]Mar-24'!$H:$H,0)</f>
        <v>0</v>
      </c>
      <c r="I99" s="17">
        <f>_xlfn.XLOOKUP($B99,'[2]Apr-24'!$A:$A,'[2]Apr-24'!$H:$H,0)</f>
        <v>445358.91</v>
      </c>
      <c r="J99" s="17">
        <f>_xlfn.XLOOKUP($B99,'[2]May-24'!$A:$A,'[2]May-24'!$H:$H,0)</f>
        <v>445358.91</v>
      </c>
      <c r="K99" s="17">
        <f>_xlfn.XLOOKUP($B99,'[2]Jun-24'!$A:$A,'[2]Jun-24'!$H:$H,0)</f>
        <v>445358.91</v>
      </c>
      <c r="L99" s="17">
        <f>_xlfn.XLOOKUP($B99,'[2]Jul-24'!$A:$A,'[2]Jul-24'!$H:$H,0)</f>
        <v>445358.91</v>
      </c>
      <c r="M99" s="17">
        <f>_xlfn.XLOOKUP($B99,'[2]Aug-24'!$A:$A,'[2]Aug-24'!$H:$H,0)</f>
        <v>445358.91</v>
      </c>
      <c r="N99" s="17">
        <f>_xlfn.XLOOKUP($B99,'[2]Sep-24'!$A:$A,'[2]Sep-24'!$H:$H,0)</f>
        <v>445358.91</v>
      </c>
      <c r="O99" s="17">
        <f>_xlfn.XLOOKUP($B99,'[2]Oct-24'!$A:$A,'[2]Oct-24'!$H:$H,0)</f>
        <v>445358.91</v>
      </c>
      <c r="P99" s="17">
        <f>_xlfn.XLOOKUP($B99,'[2]Nov-24'!$A:$A,'[2]Nov-24'!$H:$H,0)</f>
        <v>445358.91</v>
      </c>
      <c r="Q99" s="17">
        <f>_xlfn.XLOOKUP($B99,'[2]Dec-24'!$A:$A,'[2]Dec-24'!$H:$H,0)</f>
        <v>445358.91</v>
      </c>
      <c r="R99" s="17">
        <f>_xlfn.XLOOKUP($B99,'[2]Jan-25'!$A:$A,'[2]Jan-25'!$H:$H,0)</f>
        <v>445358.91</v>
      </c>
      <c r="S99" s="17">
        <f>_xlfn.XLOOKUP($B99,'[2]Feb-25'!$A:$A,'[2]Feb-25'!$H:$H,0)</f>
        <v>445358.91</v>
      </c>
      <c r="T99" s="17">
        <f>_xlfn.XLOOKUP($B99,'[2]Mar-25'!$A:$A,'[2]Mar-25'!$H:$H,0)</f>
        <v>445358.91</v>
      </c>
      <c r="U99" s="17">
        <f>_xlfn.XLOOKUP($B99,'[2]Apr-25'!$A:$A,'[2]Apr-25'!$H:$H,0)</f>
        <v>603457.26</v>
      </c>
      <c r="V99" s="17">
        <f>_xlfn.XLOOKUP($B99,'[2]May-25'!$A:$A,'[2]May-25'!$H:$H,0)</f>
        <v>603457.26</v>
      </c>
      <c r="W99" s="17">
        <f>_xlfn.XLOOKUP($B99,'[2]Jun-25'!$A:$A,'[2]Jun-25'!$H:$H,0)</f>
        <v>603457.26</v>
      </c>
      <c r="X99" s="17">
        <f>_xlfn.XLOOKUP($B99,'[2]Jul-25'!$A:$A,'[2]Jul-25'!$H:$H,0)</f>
        <v>603457.26</v>
      </c>
      <c r="Y99" s="17">
        <f>_xlfn.XLOOKUP($B99,'[2]Aug-25'!$A:$A,'[2]Aug-25'!$H:$H,0)</f>
        <v>603457.26</v>
      </c>
      <c r="Z99" s="17">
        <f>_xlfn.XLOOKUP($B99,'[2]Sep-25'!$A:$A,'[2]Sep-25'!$H:$H,0)</f>
        <v>603457.26</v>
      </c>
      <c r="AA99" s="17">
        <f>_xlfn.XLOOKUP($B99,'[2]Oct-25'!$A:$A,'[2]Oct-25'!$H:$H,0)</f>
        <v>603457.26</v>
      </c>
      <c r="AB99" s="17">
        <f>_xlfn.XLOOKUP($B99,'[2]Nov-25'!$A:$A,'[2]Nov-25'!$H:$H,0)</f>
        <v>603457.26</v>
      </c>
      <c r="AC99" s="17">
        <f>_xlfn.XLOOKUP($B99,'[2]Dec-25'!$A:$A,'[2]Dec-25'!$H:$H,0)</f>
        <v>603457.26</v>
      </c>
      <c r="AD99" s="17">
        <f>_xlfn.XLOOKUP($B99,'[2]Jan-26'!$A:$A,'[2]Jan-26'!$H:$H,0)</f>
        <v>603457.26</v>
      </c>
      <c r="AE99" s="17">
        <f>_xlfn.XLOOKUP($B99,'[2]Feb-26'!$A:$A,'[2]Feb-26'!$H:$H,0)</f>
        <v>603457.26</v>
      </c>
      <c r="AF99" s="17">
        <f>_xlfn.XLOOKUP($B99,'[2]Mar-26'!$A:$A,'[2]Mar-26'!$H:$H,0)</f>
        <v>603457.26</v>
      </c>
      <c r="AG99" s="17">
        <f>_xlfn.XLOOKUP($B99,'[2]Apr-26'!$A:$A,'[2]Apr-26'!$H:$H,0)</f>
        <v>820867.22</v>
      </c>
    </row>
    <row r="100" spans="1:33" x14ac:dyDescent="0.2">
      <c r="A100" s="58">
        <v>33000</v>
      </c>
      <c r="B100" s="56" t="str">
        <f t="shared" si="3"/>
        <v>33000</v>
      </c>
      <c r="C100" s="57" t="s">
        <v>470</v>
      </c>
      <c r="D100" s="57" t="s">
        <v>429</v>
      </c>
      <c r="E100" s="44" t="s">
        <v>295</v>
      </c>
      <c r="F100" s="17">
        <f>_xlfn.XLOOKUP($B100,'[2]Jan-24'!$A:$A,'[2]Jan-24'!$H:$H,0)</f>
        <v>0</v>
      </c>
      <c r="G100" s="17">
        <f>_xlfn.XLOOKUP($B100,'[2]Feb-24'!$A:$A,'[2]Feb-24'!$H:$H,0)</f>
        <v>0</v>
      </c>
      <c r="H100" s="17">
        <f>_xlfn.XLOOKUP($B100,'[2]Mar-24'!$A:$A,'[2]Mar-24'!$H:$H,0)</f>
        <v>0</v>
      </c>
      <c r="I100" s="17">
        <f>_xlfn.XLOOKUP($B100,'[2]Apr-24'!$A:$A,'[2]Apr-24'!$H:$H,0)</f>
        <v>0</v>
      </c>
      <c r="J100" s="17">
        <f>_xlfn.XLOOKUP($B100,'[2]May-24'!$A:$A,'[2]May-24'!$H:$H,0)</f>
        <v>0</v>
      </c>
      <c r="K100" s="17">
        <f>_xlfn.XLOOKUP($B100,'[2]Jun-24'!$A:$A,'[2]Jun-24'!$H:$H,0)</f>
        <v>0</v>
      </c>
      <c r="L100" s="17">
        <f>_xlfn.XLOOKUP($B100,'[2]Jul-24'!$A:$A,'[2]Jul-24'!$H:$H,0)</f>
        <v>0</v>
      </c>
      <c r="M100" s="17">
        <f>_xlfn.XLOOKUP($B100,'[2]Aug-24'!$A:$A,'[2]Aug-24'!$H:$H,0)</f>
        <v>0</v>
      </c>
      <c r="N100" s="17">
        <f>_xlfn.XLOOKUP($B100,'[2]Sep-24'!$A:$A,'[2]Sep-24'!$H:$H,0)</f>
        <v>0</v>
      </c>
      <c r="O100" s="17">
        <f>_xlfn.XLOOKUP($B100,'[2]Oct-24'!$A:$A,'[2]Oct-24'!$H:$H,0)</f>
        <v>0</v>
      </c>
      <c r="P100" s="17">
        <f>_xlfn.XLOOKUP($B100,'[2]Nov-24'!$A:$A,'[2]Nov-24'!$H:$H,0)</f>
        <v>0</v>
      </c>
      <c r="Q100" s="17">
        <f>_xlfn.XLOOKUP($B100,'[2]Dec-24'!$A:$A,'[2]Dec-24'!$H:$H,0)</f>
        <v>0</v>
      </c>
      <c r="R100" s="17">
        <f>_xlfn.XLOOKUP($B100,'[2]Jan-25'!$A:$A,'[2]Jan-25'!$H:$H,0)</f>
        <v>0</v>
      </c>
      <c r="S100" s="17">
        <f>_xlfn.XLOOKUP($B100,'[2]Feb-25'!$A:$A,'[2]Feb-25'!$H:$H,0)</f>
        <v>0</v>
      </c>
      <c r="T100" s="17">
        <f>_xlfn.XLOOKUP($B100,'[2]Mar-25'!$A:$A,'[2]Mar-25'!$H:$H,0)</f>
        <v>0</v>
      </c>
      <c r="U100" s="17">
        <f>_xlfn.XLOOKUP($B100,'[2]Apr-25'!$A:$A,'[2]Apr-25'!$H:$H,0)</f>
        <v>0</v>
      </c>
      <c r="V100" s="17">
        <f>_xlfn.XLOOKUP($B100,'[2]May-25'!$A:$A,'[2]May-25'!$H:$H,0)</f>
        <v>0</v>
      </c>
      <c r="W100" s="17">
        <f>_xlfn.XLOOKUP($B100,'[2]Jun-25'!$A:$A,'[2]Jun-25'!$H:$H,0)</f>
        <v>0</v>
      </c>
      <c r="X100" s="17">
        <f>_xlfn.XLOOKUP($B100,'[2]Jul-25'!$A:$A,'[2]Jul-25'!$H:$H,0)</f>
        <v>0</v>
      </c>
      <c r="Y100" s="17">
        <f>_xlfn.XLOOKUP($B100,'[2]Aug-25'!$A:$A,'[2]Aug-25'!$H:$H,0)</f>
        <v>0</v>
      </c>
      <c r="Z100" s="17">
        <f>_xlfn.XLOOKUP($B100,'[2]Sep-25'!$A:$A,'[2]Sep-25'!$H:$H,0)</f>
        <v>0</v>
      </c>
      <c r="AA100" s="17">
        <f>_xlfn.XLOOKUP($B100,'[2]Oct-25'!$A:$A,'[2]Oct-25'!$H:$H,0)</f>
        <v>0</v>
      </c>
      <c r="AB100" s="17">
        <f>_xlfn.XLOOKUP($B100,'[2]Nov-25'!$A:$A,'[2]Nov-25'!$H:$H,0)</f>
        <v>0</v>
      </c>
      <c r="AC100" s="17">
        <f>_xlfn.XLOOKUP($B100,'[2]Dec-25'!$A:$A,'[2]Dec-25'!$H:$H,0)</f>
        <v>0</v>
      </c>
      <c r="AD100" s="17">
        <f>_xlfn.XLOOKUP($B100,'[2]Jan-26'!$A:$A,'[2]Jan-26'!$H:$H,0)</f>
        <v>0</v>
      </c>
      <c r="AE100" s="17">
        <f>_xlfn.XLOOKUP($B100,'[2]Feb-26'!$A:$A,'[2]Feb-26'!$H:$H,0)</f>
        <v>0</v>
      </c>
      <c r="AF100" s="17">
        <f>_xlfn.XLOOKUP($B100,'[2]Mar-26'!$A:$A,'[2]Mar-26'!$H:$H,0)</f>
        <v>0</v>
      </c>
      <c r="AG100" s="17">
        <f>_xlfn.XLOOKUP($B100,'[2]Apr-26'!$A:$A,'[2]Apr-26'!$H:$H,0)</f>
        <v>0</v>
      </c>
    </row>
    <row r="101" spans="1:33" x14ac:dyDescent="0.2">
      <c r="A101" s="58">
        <v>40000</v>
      </c>
      <c r="B101" s="56" t="str">
        <f t="shared" si="3"/>
        <v>40000</v>
      </c>
      <c r="C101" s="57" t="s">
        <v>471</v>
      </c>
      <c r="D101" s="57" t="s">
        <v>369</v>
      </c>
      <c r="E101" s="44" t="s">
        <v>472</v>
      </c>
      <c r="F101" s="17">
        <f>_xlfn.XLOOKUP($B101,'[2]Jan-24'!$A:$A,'[2]Jan-24'!$H:$H,0)</f>
        <v>0</v>
      </c>
      <c r="G101" s="17">
        <f>_xlfn.XLOOKUP($B101,'[2]Feb-24'!$A:$A,'[2]Feb-24'!$H:$H,0)</f>
        <v>0</v>
      </c>
      <c r="H101" s="17">
        <f>_xlfn.XLOOKUP($B101,'[2]Mar-24'!$A:$A,'[2]Mar-24'!$H:$H,0)</f>
        <v>0</v>
      </c>
      <c r="I101" s="17">
        <f>_xlfn.XLOOKUP($B101,'[2]Apr-24'!$A:$A,'[2]Apr-24'!$H:$H,0)</f>
        <v>0</v>
      </c>
      <c r="J101" s="17">
        <f>_xlfn.XLOOKUP($B101,'[2]May-24'!$A:$A,'[2]May-24'!$H:$H,0)</f>
        <v>0</v>
      </c>
      <c r="K101" s="17">
        <f>_xlfn.XLOOKUP($B101,'[2]Jun-24'!$A:$A,'[2]Jun-24'!$H:$H,0)</f>
        <v>0</v>
      </c>
      <c r="L101" s="17">
        <f>_xlfn.XLOOKUP($B101,'[2]Jul-24'!$A:$A,'[2]Jul-24'!$H:$H,0)</f>
        <v>0</v>
      </c>
      <c r="M101" s="17">
        <f>_xlfn.XLOOKUP($B101,'[2]Aug-24'!$A:$A,'[2]Aug-24'!$H:$H,0)</f>
        <v>0</v>
      </c>
      <c r="N101" s="17">
        <f>_xlfn.XLOOKUP($B101,'[2]Sep-24'!$A:$A,'[2]Sep-24'!$H:$H,0)</f>
        <v>0</v>
      </c>
      <c r="O101" s="17">
        <f>_xlfn.XLOOKUP($B101,'[2]Oct-24'!$A:$A,'[2]Oct-24'!$H:$H,0)</f>
        <v>0</v>
      </c>
      <c r="P101" s="17">
        <f>_xlfn.XLOOKUP($B101,'[2]Nov-24'!$A:$A,'[2]Nov-24'!$H:$H,0)</f>
        <v>0</v>
      </c>
      <c r="Q101" s="17">
        <f>_xlfn.XLOOKUP($B101,'[2]Dec-24'!$A:$A,'[2]Dec-24'!$H:$H,0)</f>
        <v>0</v>
      </c>
      <c r="R101" s="17">
        <f>_xlfn.XLOOKUP($B101,'[2]Jan-25'!$A:$A,'[2]Jan-25'!$H:$H,0)</f>
        <v>0</v>
      </c>
      <c r="S101" s="17">
        <f>_xlfn.XLOOKUP($B101,'[2]Feb-25'!$A:$A,'[2]Feb-25'!$H:$H,0)</f>
        <v>0</v>
      </c>
      <c r="T101" s="17">
        <f>_xlfn.XLOOKUP($B101,'[2]Mar-25'!$A:$A,'[2]Mar-25'!$H:$H,0)</f>
        <v>0</v>
      </c>
      <c r="U101" s="17">
        <f>_xlfn.XLOOKUP($B101,'[2]Apr-25'!$A:$A,'[2]Apr-25'!$H:$H,0)</f>
        <v>0</v>
      </c>
      <c r="V101" s="17">
        <f>_xlfn.XLOOKUP($B101,'[2]May-25'!$A:$A,'[2]May-25'!$H:$H,0)</f>
        <v>0</v>
      </c>
      <c r="W101" s="17">
        <f>_xlfn.XLOOKUP($B101,'[2]Jun-25'!$A:$A,'[2]Jun-25'!$H:$H,0)</f>
        <v>0</v>
      </c>
      <c r="X101" s="17">
        <f>_xlfn.XLOOKUP($B101,'[2]Jul-25'!$A:$A,'[2]Jul-25'!$H:$H,0)</f>
        <v>0</v>
      </c>
      <c r="Y101" s="17">
        <f>_xlfn.XLOOKUP($B101,'[2]Aug-25'!$A:$A,'[2]Aug-25'!$H:$H,0)</f>
        <v>0</v>
      </c>
      <c r="Z101" s="17">
        <f>_xlfn.XLOOKUP($B101,'[2]Sep-25'!$A:$A,'[2]Sep-25'!$H:$H,0)</f>
        <v>0</v>
      </c>
      <c r="AA101" s="17">
        <f>_xlfn.XLOOKUP($B101,'[2]Oct-25'!$A:$A,'[2]Oct-25'!$H:$H,0)</f>
        <v>0</v>
      </c>
      <c r="AB101" s="17">
        <f>_xlfn.XLOOKUP($B101,'[2]Nov-25'!$A:$A,'[2]Nov-25'!$H:$H,0)</f>
        <v>0</v>
      </c>
      <c r="AC101" s="17">
        <f>_xlfn.XLOOKUP($B101,'[2]Dec-25'!$A:$A,'[2]Dec-25'!$H:$H,0)</f>
        <v>0</v>
      </c>
      <c r="AD101" s="17">
        <f>_xlfn.XLOOKUP($B101,'[2]Jan-26'!$A:$A,'[2]Jan-26'!$H:$H,0)</f>
        <v>0</v>
      </c>
      <c r="AE101" s="17">
        <f>_xlfn.XLOOKUP($B101,'[2]Feb-26'!$A:$A,'[2]Feb-26'!$H:$H,0)</f>
        <v>0</v>
      </c>
      <c r="AF101" s="17">
        <f>_xlfn.XLOOKUP($B101,'[2]Mar-26'!$A:$A,'[2]Mar-26'!$H:$H,0)</f>
        <v>0</v>
      </c>
      <c r="AG101" s="17">
        <f>_xlfn.XLOOKUP($B101,'[2]Apr-26'!$A:$A,'[2]Apr-26'!$H:$H,0)</f>
        <v>0</v>
      </c>
    </row>
    <row r="102" spans="1:33" x14ac:dyDescent="0.2">
      <c r="A102" s="58">
        <v>40005</v>
      </c>
      <c r="B102" s="56" t="str">
        <f t="shared" si="3"/>
        <v>40005</v>
      </c>
      <c r="C102" s="57" t="s">
        <v>471</v>
      </c>
      <c r="D102" s="57" t="s">
        <v>369</v>
      </c>
      <c r="E102" s="44" t="s">
        <v>473</v>
      </c>
      <c r="F102" s="17">
        <f>_xlfn.XLOOKUP($B102,'[2]Jan-24'!$A:$A,'[2]Jan-24'!$H:$H,0)</f>
        <v>0</v>
      </c>
      <c r="G102" s="17">
        <f>_xlfn.XLOOKUP($B102,'[2]Feb-24'!$A:$A,'[2]Feb-24'!$H:$H,0)</f>
        <v>0</v>
      </c>
      <c r="H102" s="17">
        <f>_xlfn.XLOOKUP($B102,'[2]Mar-24'!$A:$A,'[2]Mar-24'!$H:$H,0)</f>
        <v>0</v>
      </c>
      <c r="I102" s="17">
        <f>_xlfn.XLOOKUP($B102,'[2]Apr-24'!$A:$A,'[2]Apr-24'!$H:$H,0)</f>
        <v>0</v>
      </c>
      <c r="J102" s="17">
        <f>_xlfn.XLOOKUP($B102,'[2]May-24'!$A:$A,'[2]May-24'!$H:$H,0)</f>
        <v>0</v>
      </c>
      <c r="K102" s="17">
        <f>_xlfn.XLOOKUP($B102,'[2]Jun-24'!$A:$A,'[2]Jun-24'!$H:$H,0)</f>
        <v>0</v>
      </c>
      <c r="L102" s="17">
        <f>_xlfn.XLOOKUP($B102,'[2]Jul-24'!$A:$A,'[2]Jul-24'!$H:$H,0)</f>
        <v>0</v>
      </c>
      <c r="M102" s="17">
        <f>_xlfn.XLOOKUP($B102,'[2]Aug-24'!$A:$A,'[2]Aug-24'!$H:$H,0)</f>
        <v>0</v>
      </c>
      <c r="N102" s="17">
        <f>_xlfn.XLOOKUP($B102,'[2]Sep-24'!$A:$A,'[2]Sep-24'!$H:$H,0)</f>
        <v>0</v>
      </c>
      <c r="O102" s="17">
        <f>_xlfn.XLOOKUP($B102,'[2]Oct-24'!$A:$A,'[2]Oct-24'!$H:$H,0)</f>
        <v>0</v>
      </c>
      <c r="P102" s="17">
        <f>_xlfn.XLOOKUP($B102,'[2]Nov-24'!$A:$A,'[2]Nov-24'!$H:$H,0)</f>
        <v>0</v>
      </c>
      <c r="Q102" s="17">
        <f>_xlfn.XLOOKUP($B102,'[2]Dec-24'!$A:$A,'[2]Dec-24'!$H:$H,0)</f>
        <v>0</v>
      </c>
      <c r="R102" s="17">
        <f>_xlfn.XLOOKUP($B102,'[2]Jan-25'!$A:$A,'[2]Jan-25'!$H:$H,0)</f>
        <v>0</v>
      </c>
      <c r="S102" s="17">
        <f>_xlfn.XLOOKUP($B102,'[2]Feb-25'!$A:$A,'[2]Feb-25'!$H:$H,0)</f>
        <v>0</v>
      </c>
      <c r="T102" s="17">
        <f>_xlfn.XLOOKUP($B102,'[2]Mar-25'!$A:$A,'[2]Mar-25'!$H:$H,0)</f>
        <v>0</v>
      </c>
      <c r="U102" s="17">
        <f>_xlfn.XLOOKUP($B102,'[2]Apr-25'!$A:$A,'[2]Apr-25'!$H:$H,0)</f>
        <v>0</v>
      </c>
      <c r="V102" s="17">
        <f>_xlfn.XLOOKUP($B102,'[2]May-25'!$A:$A,'[2]May-25'!$H:$H,0)</f>
        <v>0</v>
      </c>
      <c r="W102" s="17">
        <f>_xlfn.XLOOKUP($B102,'[2]Jun-25'!$A:$A,'[2]Jun-25'!$H:$H,0)</f>
        <v>0</v>
      </c>
      <c r="X102" s="17">
        <f>_xlfn.XLOOKUP($B102,'[2]Jul-25'!$A:$A,'[2]Jul-25'!$H:$H,0)</f>
        <v>0</v>
      </c>
      <c r="Y102" s="17">
        <f>_xlfn.XLOOKUP($B102,'[2]Aug-25'!$A:$A,'[2]Aug-25'!$H:$H,0)</f>
        <v>0</v>
      </c>
      <c r="Z102" s="17">
        <f>_xlfn.XLOOKUP($B102,'[2]Sep-25'!$A:$A,'[2]Sep-25'!$H:$H,0)</f>
        <v>0</v>
      </c>
      <c r="AA102" s="17">
        <f>_xlfn.XLOOKUP($B102,'[2]Oct-25'!$A:$A,'[2]Oct-25'!$H:$H,0)</f>
        <v>0</v>
      </c>
      <c r="AB102" s="17">
        <f>_xlfn.XLOOKUP($B102,'[2]Nov-25'!$A:$A,'[2]Nov-25'!$H:$H,0)</f>
        <v>0</v>
      </c>
      <c r="AC102" s="17">
        <f>_xlfn.XLOOKUP($B102,'[2]Dec-25'!$A:$A,'[2]Dec-25'!$H:$H,0)</f>
        <v>0</v>
      </c>
      <c r="AD102" s="17">
        <f>_xlfn.XLOOKUP($B102,'[2]Jan-26'!$A:$A,'[2]Jan-26'!$H:$H,0)</f>
        <v>0</v>
      </c>
      <c r="AE102" s="17">
        <f>_xlfn.XLOOKUP($B102,'[2]Feb-26'!$A:$A,'[2]Feb-26'!$H:$H,0)</f>
        <v>0</v>
      </c>
      <c r="AF102" s="17">
        <f>_xlfn.XLOOKUP($B102,'[2]Mar-26'!$A:$A,'[2]Mar-26'!$H:$H,0)</f>
        <v>0</v>
      </c>
      <c r="AG102" s="17">
        <f>_xlfn.XLOOKUP($B102,'[2]Apr-26'!$A:$A,'[2]Apr-26'!$H:$H,0)</f>
        <v>0</v>
      </c>
    </row>
    <row r="103" spans="1:33" x14ac:dyDescent="0.2">
      <c r="A103" s="58">
        <v>40010</v>
      </c>
      <c r="B103" s="56" t="str">
        <f t="shared" si="3"/>
        <v>40010</v>
      </c>
      <c r="C103" s="57" t="s">
        <v>471</v>
      </c>
      <c r="D103" s="57" t="s">
        <v>369</v>
      </c>
      <c r="E103" s="44" t="s">
        <v>474</v>
      </c>
      <c r="F103" s="17">
        <f>_xlfn.XLOOKUP($B103,'[2]Jan-24'!$A:$A,'[2]Jan-24'!$H:$H,0)</f>
        <v>0</v>
      </c>
      <c r="G103" s="17">
        <f>_xlfn.XLOOKUP($B103,'[2]Feb-24'!$A:$A,'[2]Feb-24'!$H:$H,0)</f>
        <v>0</v>
      </c>
      <c r="H103" s="17">
        <f>_xlfn.XLOOKUP($B103,'[2]Mar-24'!$A:$A,'[2]Mar-24'!$H:$H,0)</f>
        <v>0</v>
      </c>
      <c r="I103" s="17">
        <f>_xlfn.XLOOKUP($B103,'[2]Apr-24'!$A:$A,'[2]Apr-24'!$H:$H,0)</f>
        <v>0</v>
      </c>
      <c r="J103" s="17">
        <f>_xlfn.XLOOKUP($B103,'[2]May-24'!$A:$A,'[2]May-24'!$H:$H,0)</f>
        <v>0</v>
      </c>
      <c r="K103" s="17">
        <f>_xlfn.XLOOKUP($B103,'[2]Jun-24'!$A:$A,'[2]Jun-24'!$H:$H,0)</f>
        <v>0</v>
      </c>
      <c r="L103" s="17">
        <f>_xlfn.XLOOKUP($B103,'[2]Jul-24'!$A:$A,'[2]Jul-24'!$H:$H,0)</f>
        <v>0</v>
      </c>
      <c r="M103" s="17">
        <f>_xlfn.XLOOKUP($B103,'[2]Aug-24'!$A:$A,'[2]Aug-24'!$H:$H,0)</f>
        <v>0</v>
      </c>
      <c r="N103" s="17">
        <f>_xlfn.XLOOKUP($B103,'[2]Sep-24'!$A:$A,'[2]Sep-24'!$H:$H,0)</f>
        <v>0</v>
      </c>
      <c r="O103" s="17">
        <f>_xlfn.XLOOKUP($B103,'[2]Oct-24'!$A:$A,'[2]Oct-24'!$H:$H,0)</f>
        <v>0</v>
      </c>
      <c r="P103" s="17">
        <f>_xlfn.XLOOKUP($B103,'[2]Nov-24'!$A:$A,'[2]Nov-24'!$H:$H,0)</f>
        <v>0</v>
      </c>
      <c r="Q103" s="17">
        <f>_xlfn.XLOOKUP($B103,'[2]Dec-24'!$A:$A,'[2]Dec-24'!$H:$H,0)</f>
        <v>0</v>
      </c>
      <c r="R103" s="17">
        <f>_xlfn.XLOOKUP($B103,'[2]Jan-25'!$A:$A,'[2]Jan-25'!$H:$H,0)</f>
        <v>0</v>
      </c>
      <c r="S103" s="17">
        <f>_xlfn.XLOOKUP($B103,'[2]Feb-25'!$A:$A,'[2]Feb-25'!$H:$H,0)</f>
        <v>0</v>
      </c>
      <c r="T103" s="17">
        <f>_xlfn.XLOOKUP($B103,'[2]Mar-25'!$A:$A,'[2]Mar-25'!$H:$H,0)</f>
        <v>0</v>
      </c>
      <c r="U103" s="17">
        <f>_xlfn.XLOOKUP($B103,'[2]Apr-25'!$A:$A,'[2]Apr-25'!$H:$H,0)</f>
        <v>0</v>
      </c>
      <c r="V103" s="17">
        <f>_xlfn.XLOOKUP($B103,'[2]May-25'!$A:$A,'[2]May-25'!$H:$H,0)</f>
        <v>0</v>
      </c>
      <c r="W103" s="17">
        <f>_xlfn.XLOOKUP($B103,'[2]Jun-25'!$A:$A,'[2]Jun-25'!$H:$H,0)</f>
        <v>0</v>
      </c>
      <c r="X103" s="17">
        <f>_xlfn.XLOOKUP($B103,'[2]Jul-25'!$A:$A,'[2]Jul-25'!$H:$H,0)</f>
        <v>0</v>
      </c>
      <c r="Y103" s="17">
        <f>_xlfn.XLOOKUP($B103,'[2]Aug-25'!$A:$A,'[2]Aug-25'!$H:$H,0)</f>
        <v>0</v>
      </c>
      <c r="Z103" s="17">
        <f>_xlfn.XLOOKUP($B103,'[2]Sep-25'!$A:$A,'[2]Sep-25'!$H:$H,0)</f>
        <v>0</v>
      </c>
      <c r="AA103" s="17">
        <f>_xlfn.XLOOKUP($B103,'[2]Oct-25'!$A:$A,'[2]Oct-25'!$H:$H,0)</f>
        <v>0</v>
      </c>
      <c r="AB103" s="17">
        <f>_xlfn.XLOOKUP($B103,'[2]Nov-25'!$A:$A,'[2]Nov-25'!$H:$H,0)</f>
        <v>0</v>
      </c>
      <c r="AC103" s="17">
        <f>_xlfn.XLOOKUP($B103,'[2]Dec-25'!$A:$A,'[2]Dec-25'!$H:$H,0)</f>
        <v>0</v>
      </c>
      <c r="AD103" s="17">
        <f>_xlfn.XLOOKUP($B103,'[2]Jan-26'!$A:$A,'[2]Jan-26'!$H:$H,0)</f>
        <v>0</v>
      </c>
      <c r="AE103" s="17">
        <f>_xlfn.XLOOKUP($B103,'[2]Feb-26'!$A:$A,'[2]Feb-26'!$H:$H,0)</f>
        <v>0</v>
      </c>
      <c r="AF103" s="17">
        <f>_xlfn.XLOOKUP($B103,'[2]Mar-26'!$A:$A,'[2]Mar-26'!$H:$H,0)</f>
        <v>0</v>
      </c>
      <c r="AG103" s="17">
        <f>_xlfn.XLOOKUP($B103,'[2]Apr-26'!$A:$A,'[2]Apr-26'!$H:$H,0)</f>
        <v>0</v>
      </c>
    </row>
    <row r="104" spans="1:33" x14ac:dyDescent="0.2">
      <c r="A104" s="58">
        <v>40015</v>
      </c>
      <c r="B104" s="56" t="str">
        <f t="shared" si="3"/>
        <v>40015</v>
      </c>
      <c r="C104" s="57" t="s">
        <v>471</v>
      </c>
      <c r="D104" s="57" t="s">
        <v>369</v>
      </c>
      <c r="E104" s="44" t="s">
        <v>93</v>
      </c>
      <c r="F104" s="17">
        <f>_xlfn.XLOOKUP($B104,'[2]Jan-24'!$A:$A,'[2]Jan-24'!$H:$H,0)</f>
        <v>0</v>
      </c>
      <c r="G104" s="17">
        <f>_xlfn.XLOOKUP($B104,'[2]Feb-24'!$A:$A,'[2]Feb-24'!$H:$H,0)</f>
        <v>0</v>
      </c>
      <c r="H104" s="17">
        <f>_xlfn.XLOOKUP($B104,'[2]Mar-24'!$A:$A,'[2]Mar-24'!$H:$H,0)</f>
        <v>0</v>
      </c>
      <c r="I104" s="17">
        <f>_xlfn.XLOOKUP($B104,'[2]Apr-24'!$A:$A,'[2]Apr-24'!$H:$H,0)</f>
        <v>0</v>
      </c>
      <c r="J104" s="17">
        <f>_xlfn.XLOOKUP($B104,'[2]May-24'!$A:$A,'[2]May-24'!$H:$H,0)</f>
        <v>0</v>
      </c>
      <c r="K104" s="17">
        <f>_xlfn.XLOOKUP($B104,'[2]Jun-24'!$A:$A,'[2]Jun-24'!$H:$H,0)</f>
        <v>0</v>
      </c>
      <c r="L104" s="17">
        <f>_xlfn.XLOOKUP($B104,'[2]Jul-24'!$A:$A,'[2]Jul-24'!$H:$H,0)</f>
        <v>0</v>
      </c>
      <c r="M104" s="17">
        <f>_xlfn.XLOOKUP($B104,'[2]Aug-24'!$A:$A,'[2]Aug-24'!$H:$H,0)</f>
        <v>0</v>
      </c>
      <c r="N104" s="17">
        <f>_xlfn.XLOOKUP($B104,'[2]Sep-24'!$A:$A,'[2]Sep-24'!$H:$H,0)</f>
        <v>0</v>
      </c>
      <c r="O104" s="17">
        <f>_xlfn.XLOOKUP($B104,'[2]Oct-24'!$A:$A,'[2]Oct-24'!$H:$H,0)</f>
        <v>0</v>
      </c>
      <c r="P104" s="17">
        <f>_xlfn.XLOOKUP($B104,'[2]Nov-24'!$A:$A,'[2]Nov-24'!$H:$H,0)</f>
        <v>0</v>
      </c>
      <c r="Q104" s="17">
        <f>_xlfn.XLOOKUP($B104,'[2]Dec-24'!$A:$A,'[2]Dec-24'!$H:$H,0)</f>
        <v>0</v>
      </c>
      <c r="R104" s="17">
        <f>_xlfn.XLOOKUP($B104,'[2]Jan-25'!$A:$A,'[2]Jan-25'!$H:$H,0)</f>
        <v>0</v>
      </c>
      <c r="S104" s="17">
        <f>_xlfn.XLOOKUP($B104,'[2]Feb-25'!$A:$A,'[2]Feb-25'!$H:$H,0)</f>
        <v>0</v>
      </c>
      <c r="T104" s="17">
        <f>_xlfn.XLOOKUP($B104,'[2]Mar-25'!$A:$A,'[2]Mar-25'!$H:$H,0)</f>
        <v>0</v>
      </c>
      <c r="U104" s="17">
        <f>_xlfn.XLOOKUP($B104,'[2]Apr-25'!$A:$A,'[2]Apr-25'!$H:$H,0)</f>
        <v>0</v>
      </c>
      <c r="V104" s="17">
        <f>_xlfn.XLOOKUP($B104,'[2]May-25'!$A:$A,'[2]May-25'!$H:$H,0)</f>
        <v>0</v>
      </c>
      <c r="W104" s="17">
        <f>_xlfn.XLOOKUP($B104,'[2]Jun-25'!$A:$A,'[2]Jun-25'!$H:$H,0)</f>
        <v>0</v>
      </c>
      <c r="X104" s="17">
        <f>_xlfn.XLOOKUP($B104,'[2]Jul-25'!$A:$A,'[2]Jul-25'!$H:$H,0)</f>
        <v>0</v>
      </c>
      <c r="Y104" s="17">
        <f>_xlfn.XLOOKUP($B104,'[2]Aug-25'!$A:$A,'[2]Aug-25'!$H:$H,0)</f>
        <v>0</v>
      </c>
      <c r="Z104" s="17">
        <f>_xlfn.XLOOKUP($B104,'[2]Sep-25'!$A:$A,'[2]Sep-25'!$H:$H,0)</f>
        <v>0</v>
      </c>
      <c r="AA104" s="17">
        <f>_xlfn.XLOOKUP($B104,'[2]Oct-25'!$A:$A,'[2]Oct-25'!$H:$H,0)</f>
        <v>0</v>
      </c>
      <c r="AB104" s="17">
        <f>_xlfn.XLOOKUP($B104,'[2]Nov-25'!$A:$A,'[2]Nov-25'!$H:$H,0)</f>
        <v>0</v>
      </c>
      <c r="AC104" s="17">
        <f>_xlfn.XLOOKUP($B104,'[2]Dec-25'!$A:$A,'[2]Dec-25'!$H:$H,0)</f>
        <v>0</v>
      </c>
      <c r="AD104" s="17">
        <f>_xlfn.XLOOKUP($B104,'[2]Jan-26'!$A:$A,'[2]Jan-26'!$H:$H,0)</f>
        <v>0</v>
      </c>
      <c r="AE104" s="17">
        <f>_xlfn.XLOOKUP($B104,'[2]Feb-26'!$A:$A,'[2]Feb-26'!$H:$H,0)</f>
        <v>0</v>
      </c>
      <c r="AF104" s="17">
        <f>_xlfn.XLOOKUP($B104,'[2]Mar-26'!$A:$A,'[2]Mar-26'!$H:$H,0)</f>
        <v>0</v>
      </c>
      <c r="AG104" s="17">
        <f>_xlfn.XLOOKUP($B104,'[2]Apr-26'!$A:$A,'[2]Apr-26'!$H:$H,0)</f>
        <v>0</v>
      </c>
    </row>
    <row r="105" spans="1:33" x14ac:dyDescent="0.2">
      <c r="A105" s="58">
        <v>40020</v>
      </c>
      <c r="B105" s="56" t="str">
        <f t="shared" si="3"/>
        <v>40020</v>
      </c>
      <c r="C105" s="57" t="s">
        <v>471</v>
      </c>
      <c r="D105" s="57" t="s">
        <v>369</v>
      </c>
      <c r="E105" s="44" t="s">
        <v>94</v>
      </c>
      <c r="F105" s="17">
        <f>_xlfn.XLOOKUP($B105,'[2]Jan-24'!$A:$A,'[2]Jan-24'!$H:$H,0)</f>
        <v>0</v>
      </c>
      <c r="G105" s="17">
        <f>_xlfn.XLOOKUP($B105,'[2]Feb-24'!$A:$A,'[2]Feb-24'!$H:$H,0)</f>
        <v>0</v>
      </c>
      <c r="H105" s="17">
        <f>_xlfn.XLOOKUP($B105,'[2]Mar-24'!$A:$A,'[2]Mar-24'!$H:$H,0)</f>
        <v>0</v>
      </c>
      <c r="I105" s="17">
        <f>_xlfn.XLOOKUP($B105,'[2]Apr-24'!$A:$A,'[2]Apr-24'!$H:$H,0)</f>
        <v>0</v>
      </c>
      <c r="J105" s="17">
        <f>_xlfn.XLOOKUP($B105,'[2]May-24'!$A:$A,'[2]May-24'!$H:$H,0)</f>
        <v>0</v>
      </c>
      <c r="K105" s="17">
        <f>_xlfn.XLOOKUP($B105,'[2]Jun-24'!$A:$A,'[2]Jun-24'!$H:$H,0)</f>
        <v>0</v>
      </c>
      <c r="L105" s="17">
        <f>_xlfn.XLOOKUP($B105,'[2]Jul-24'!$A:$A,'[2]Jul-24'!$H:$H,0)</f>
        <v>0</v>
      </c>
      <c r="M105" s="17">
        <f>_xlfn.XLOOKUP($B105,'[2]Aug-24'!$A:$A,'[2]Aug-24'!$H:$H,0)</f>
        <v>0</v>
      </c>
      <c r="N105" s="17">
        <f>_xlfn.XLOOKUP($B105,'[2]Sep-24'!$A:$A,'[2]Sep-24'!$H:$H,0)</f>
        <v>0</v>
      </c>
      <c r="O105" s="17">
        <f>_xlfn.XLOOKUP($B105,'[2]Oct-24'!$A:$A,'[2]Oct-24'!$H:$H,0)</f>
        <v>0</v>
      </c>
      <c r="P105" s="17">
        <f>_xlfn.XLOOKUP($B105,'[2]Nov-24'!$A:$A,'[2]Nov-24'!$H:$H,0)</f>
        <v>0</v>
      </c>
      <c r="Q105" s="17">
        <f>_xlfn.XLOOKUP($B105,'[2]Dec-24'!$A:$A,'[2]Dec-24'!$H:$H,0)</f>
        <v>0</v>
      </c>
      <c r="R105" s="17">
        <f>_xlfn.XLOOKUP($B105,'[2]Jan-25'!$A:$A,'[2]Jan-25'!$H:$H,0)</f>
        <v>0</v>
      </c>
      <c r="S105" s="17">
        <f>_xlfn.XLOOKUP($B105,'[2]Feb-25'!$A:$A,'[2]Feb-25'!$H:$H,0)</f>
        <v>0</v>
      </c>
      <c r="T105" s="17">
        <f>_xlfn.XLOOKUP($B105,'[2]Mar-25'!$A:$A,'[2]Mar-25'!$H:$H,0)</f>
        <v>0</v>
      </c>
      <c r="U105" s="17">
        <f>_xlfn.XLOOKUP($B105,'[2]Apr-25'!$A:$A,'[2]Apr-25'!$H:$H,0)</f>
        <v>0</v>
      </c>
      <c r="V105" s="17">
        <f>_xlfn.XLOOKUP($B105,'[2]May-25'!$A:$A,'[2]May-25'!$H:$H,0)</f>
        <v>0</v>
      </c>
      <c r="W105" s="17">
        <f>_xlfn.XLOOKUP($B105,'[2]Jun-25'!$A:$A,'[2]Jun-25'!$H:$H,0)</f>
        <v>0</v>
      </c>
      <c r="X105" s="17">
        <f>_xlfn.XLOOKUP($B105,'[2]Jul-25'!$A:$A,'[2]Jul-25'!$H:$H,0)</f>
        <v>0</v>
      </c>
      <c r="Y105" s="17">
        <f>_xlfn.XLOOKUP($B105,'[2]Aug-25'!$A:$A,'[2]Aug-25'!$H:$H,0)</f>
        <v>0</v>
      </c>
      <c r="Z105" s="17">
        <f>_xlfn.XLOOKUP($B105,'[2]Sep-25'!$A:$A,'[2]Sep-25'!$H:$H,0)</f>
        <v>0</v>
      </c>
      <c r="AA105" s="17">
        <f>_xlfn.XLOOKUP($B105,'[2]Oct-25'!$A:$A,'[2]Oct-25'!$H:$H,0)</f>
        <v>0</v>
      </c>
      <c r="AB105" s="17">
        <f>_xlfn.XLOOKUP($B105,'[2]Nov-25'!$A:$A,'[2]Nov-25'!$H:$H,0)</f>
        <v>0</v>
      </c>
      <c r="AC105" s="17">
        <f>_xlfn.XLOOKUP($B105,'[2]Dec-25'!$A:$A,'[2]Dec-25'!$H:$H,0)</f>
        <v>0</v>
      </c>
      <c r="AD105" s="17">
        <f>_xlfn.XLOOKUP($B105,'[2]Jan-26'!$A:$A,'[2]Jan-26'!$H:$H,0)</f>
        <v>0</v>
      </c>
      <c r="AE105" s="17">
        <f>_xlfn.XLOOKUP($B105,'[2]Feb-26'!$A:$A,'[2]Feb-26'!$H:$H,0)</f>
        <v>0</v>
      </c>
      <c r="AF105" s="17">
        <f>_xlfn.XLOOKUP($B105,'[2]Mar-26'!$A:$A,'[2]Mar-26'!$H:$H,0)</f>
        <v>0</v>
      </c>
      <c r="AG105" s="17">
        <f>_xlfn.XLOOKUP($B105,'[2]Apr-26'!$A:$A,'[2]Apr-26'!$H:$H,0)</f>
        <v>0</v>
      </c>
    </row>
    <row r="106" spans="1:33" x14ac:dyDescent="0.2">
      <c r="A106" s="58">
        <v>40025</v>
      </c>
      <c r="B106" s="56" t="str">
        <f t="shared" si="3"/>
        <v>40025</v>
      </c>
      <c r="C106" s="57" t="s">
        <v>471</v>
      </c>
      <c r="D106" s="57" t="s">
        <v>369</v>
      </c>
      <c r="E106" s="44" t="s">
        <v>95</v>
      </c>
      <c r="F106" s="17">
        <f>_xlfn.XLOOKUP($B106,'[2]Jan-24'!$A:$A,'[2]Jan-24'!$H:$H,0)</f>
        <v>-19132.47</v>
      </c>
      <c r="G106" s="17">
        <f>_xlfn.XLOOKUP($B106,'[2]Feb-24'!$A:$A,'[2]Feb-24'!$H:$H,0)</f>
        <v>-18123.88</v>
      </c>
      <c r="H106" s="17">
        <f>_xlfn.XLOOKUP($B106,'[2]Mar-24'!$A:$A,'[2]Mar-24'!$H:$H,0)</f>
        <v>-19651.060000000001</v>
      </c>
      <c r="I106" s="17">
        <f>_xlfn.XLOOKUP($B106,'[2]Apr-24'!$A:$A,'[2]Apr-24'!$H:$H,0)</f>
        <v>-14481.62</v>
      </c>
      <c r="J106" s="17">
        <f>_xlfn.XLOOKUP($B106,'[2]May-24'!$A:$A,'[2]May-24'!$H:$H,0)</f>
        <v>-13546.42</v>
      </c>
      <c r="K106" s="17">
        <f>_xlfn.XLOOKUP($B106,'[2]Jun-24'!$A:$A,'[2]Jun-24'!$H:$H,0)</f>
        <v>-11157.74</v>
      </c>
      <c r="L106" s="17">
        <f>_xlfn.XLOOKUP($B106,'[2]Jul-24'!$A:$A,'[2]Jul-24'!$H:$H,0)</f>
        <v>-3392.86</v>
      </c>
      <c r="M106" s="17">
        <f>_xlfn.XLOOKUP($B106,'[2]Aug-24'!$A:$A,'[2]Aug-24'!$H:$H,0)</f>
        <v>-21581.88</v>
      </c>
      <c r="N106" s="17">
        <f>_xlfn.XLOOKUP($B106,'[2]Sep-24'!$A:$A,'[2]Sep-24'!$H:$H,0)</f>
        <v>-11525.1</v>
      </c>
      <c r="O106" s="17">
        <f>_xlfn.XLOOKUP($B106,'[2]Oct-24'!$A:$A,'[2]Oct-24'!$H:$H,0)</f>
        <v>-9157.67</v>
      </c>
      <c r="P106" s="17">
        <f>_xlfn.XLOOKUP($B106,'[2]Nov-24'!$A:$A,'[2]Nov-24'!$H:$H,0)</f>
        <v>-8167.62</v>
      </c>
      <c r="Q106" s="17">
        <f>_xlfn.XLOOKUP($B106,'[2]Dec-24'!$A:$A,'[2]Dec-24'!$H:$H,0)</f>
        <v>-4306.04</v>
      </c>
      <c r="R106" s="17">
        <f>_xlfn.XLOOKUP($B106,'[2]Jan-25'!$A:$A,'[2]Jan-25'!$H:$H,0)</f>
        <v>-11695.83</v>
      </c>
      <c r="S106" s="17">
        <f>_xlfn.XLOOKUP($B106,'[2]Feb-25'!$A:$A,'[2]Feb-25'!$H:$H,0)</f>
        <v>-9637.7800000011921</v>
      </c>
      <c r="T106" s="17">
        <f>_xlfn.XLOOKUP($B106,'[2]Mar-25'!$A:$A,'[2]Mar-25'!$H:$H,0)</f>
        <v>-5309.7999999999993</v>
      </c>
      <c r="U106" s="17">
        <f>_xlfn.XLOOKUP($B106,'[2]Apr-25'!$A:$A,'[2]Apr-25'!$H:$H,0)</f>
        <v>0</v>
      </c>
      <c r="V106" s="17">
        <f>_xlfn.XLOOKUP($B106,'[2]May-25'!$A:$A,'[2]May-25'!$H:$H,0)</f>
        <v>-509.77</v>
      </c>
      <c r="W106" s="17">
        <f>_xlfn.XLOOKUP($B106,'[2]Jun-25'!$A:$A,'[2]Jun-25'!$H:$H,0)</f>
        <v>166.67</v>
      </c>
      <c r="X106" s="17">
        <f>_xlfn.XLOOKUP($B106,'[2]Jul-25'!$A:$A,'[2]Jul-25'!$H:$H,0)</f>
        <v>0</v>
      </c>
      <c r="Y106" s="17">
        <f>_xlfn.XLOOKUP($B106,'[2]Aug-25'!$A:$A,'[2]Aug-25'!$H:$H,0)</f>
        <v>0</v>
      </c>
      <c r="Z106" s="17">
        <f>_xlfn.XLOOKUP($B106,'[2]Sep-25'!$A:$A,'[2]Sep-25'!$H:$H,0)</f>
        <v>0</v>
      </c>
      <c r="AA106" s="17">
        <f>_xlfn.XLOOKUP($B106,'[2]Oct-25'!$A:$A,'[2]Oct-25'!$H:$H,0)</f>
        <v>0</v>
      </c>
      <c r="AB106" s="17">
        <f>_xlfn.XLOOKUP($B106,'[2]Nov-25'!$A:$A,'[2]Nov-25'!$H:$H,0)</f>
        <v>0</v>
      </c>
      <c r="AC106" s="17">
        <f>_xlfn.XLOOKUP($B106,'[2]Dec-25'!$A:$A,'[2]Dec-25'!$H:$H,0)</f>
        <v>0</v>
      </c>
      <c r="AD106" s="17">
        <f>_xlfn.XLOOKUP($B106,'[2]Jan-26'!$A:$A,'[2]Jan-26'!$H:$H,0)</f>
        <v>0</v>
      </c>
      <c r="AE106" s="17">
        <f>_xlfn.XLOOKUP($B106,'[2]Feb-26'!$A:$A,'[2]Feb-26'!$H:$H,0)</f>
        <v>0</v>
      </c>
      <c r="AF106" s="17">
        <f>_xlfn.XLOOKUP($B106,'[2]Mar-26'!$A:$A,'[2]Mar-26'!$H:$H,0)</f>
        <v>0</v>
      </c>
      <c r="AG106" s="17">
        <f>_xlfn.XLOOKUP($B106,'[2]Apr-26'!$A:$A,'[2]Apr-26'!$H:$H,0)</f>
        <v>0</v>
      </c>
    </row>
    <row r="107" spans="1:33" x14ac:dyDescent="0.2">
      <c r="A107" s="58">
        <v>40026</v>
      </c>
      <c r="B107" s="56" t="str">
        <f t="shared" si="3"/>
        <v>40026</v>
      </c>
      <c r="C107" s="57" t="s">
        <v>471</v>
      </c>
      <c r="D107" s="57" t="s">
        <v>369</v>
      </c>
      <c r="E107" s="44" t="s">
        <v>808</v>
      </c>
      <c r="F107" s="17">
        <f>_xlfn.XLOOKUP($B107,'[2]Jan-24'!$A:$A,'[2]Jan-24'!$H:$H,0)</f>
        <v>0</v>
      </c>
      <c r="G107" s="17">
        <f>_xlfn.XLOOKUP($B107,'[2]Feb-24'!$A:$A,'[2]Feb-24'!$H:$H,0)</f>
        <v>0</v>
      </c>
      <c r="H107" s="17">
        <f>_xlfn.XLOOKUP($B107,'[2]Mar-24'!$A:$A,'[2]Mar-24'!$H:$H,0)</f>
        <v>0</v>
      </c>
      <c r="I107" s="17">
        <f>_xlfn.XLOOKUP($B107,'[2]Apr-24'!$A:$A,'[2]Apr-24'!$H:$H,0)</f>
        <v>0</v>
      </c>
      <c r="J107" s="17">
        <f>_xlfn.XLOOKUP($B107,'[2]May-24'!$A:$A,'[2]May-24'!$H:$H,0)</f>
        <v>0</v>
      </c>
      <c r="K107" s="17">
        <f>_xlfn.XLOOKUP($B107,'[2]Jun-24'!$A:$A,'[2]Jun-24'!$H:$H,0)</f>
        <v>0</v>
      </c>
      <c r="L107" s="17">
        <f>_xlfn.XLOOKUP($B107,'[2]Jul-24'!$A:$A,'[2]Jul-24'!$H:$H,0)</f>
        <v>0</v>
      </c>
      <c r="M107" s="17">
        <f>_xlfn.XLOOKUP($B107,'[2]Aug-24'!$A:$A,'[2]Aug-24'!$H:$H,0)</f>
        <v>0</v>
      </c>
      <c r="N107" s="17">
        <f>_xlfn.XLOOKUP($B107,'[2]Sep-24'!$A:$A,'[2]Sep-24'!$H:$H,0)</f>
        <v>0</v>
      </c>
      <c r="O107" s="17">
        <f>_xlfn.XLOOKUP($B107,'[2]Oct-24'!$A:$A,'[2]Oct-24'!$H:$H,0)</f>
        <v>0</v>
      </c>
      <c r="P107" s="17">
        <f>_xlfn.XLOOKUP($B107,'[2]Nov-24'!$A:$A,'[2]Nov-24'!$H:$H,0)</f>
        <v>0</v>
      </c>
      <c r="Q107" s="17">
        <f>_xlfn.XLOOKUP($B107,'[2]Dec-24'!$A:$A,'[2]Dec-24'!$H:$H,0)</f>
        <v>0</v>
      </c>
      <c r="R107" s="17">
        <f>_xlfn.XLOOKUP($B107,'[2]Jan-25'!$A:$A,'[2]Jan-25'!$H:$H,0)</f>
        <v>0</v>
      </c>
      <c r="S107" s="17">
        <f>_xlfn.XLOOKUP($B107,'[2]Feb-25'!$A:$A,'[2]Feb-25'!$H:$H,0)</f>
        <v>0</v>
      </c>
      <c r="T107" s="17">
        <f>_xlfn.XLOOKUP($B107,'[2]Mar-25'!$A:$A,'[2]Mar-25'!$H:$H,0)</f>
        <v>0</v>
      </c>
      <c r="U107" s="17">
        <f>_xlfn.XLOOKUP($B107,'[2]Apr-25'!$A:$A,'[2]Apr-25'!$H:$H,0)</f>
        <v>0</v>
      </c>
      <c r="V107" s="17">
        <f>_xlfn.XLOOKUP($B107,'[2]May-25'!$A:$A,'[2]May-25'!$H:$H,0)</f>
        <v>0</v>
      </c>
      <c r="W107" s="17">
        <f>_xlfn.XLOOKUP($B107,'[2]Jun-25'!$A:$A,'[2]Jun-25'!$H:$H,0)</f>
        <v>0</v>
      </c>
      <c r="X107" s="17">
        <f>_xlfn.XLOOKUP($B107,'[2]Jul-25'!$A:$A,'[2]Jul-25'!$H:$H,0)</f>
        <v>-646.70000000000005</v>
      </c>
      <c r="Y107" s="17">
        <f>_xlfn.XLOOKUP($B107,'[2]Aug-25'!$A:$A,'[2]Aug-25'!$H:$H,0)</f>
        <v>-3679</v>
      </c>
      <c r="Z107" s="17">
        <f>_xlfn.XLOOKUP($B107,'[2]Sep-25'!$A:$A,'[2]Sep-25'!$H:$H,0)</f>
        <v>-2081.25</v>
      </c>
      <c r="AA107" s="17">
        <f>_xlfn.XLOOKUP($B107,'[2]Oct-25'!$A:$A,'[2]Oct-25'!$H:$H,0)</f>
        <v>6406.9500000000007</v>
      </c>
      <c r="AB107" s="17">
        <f>_xlfn.XLOOKUP($B107,'[2]Nov-25'!$A:$A,'[2]Nov-25'!$H:$H,0)</f>
        <v>0</v>
      </c>
      <c r="AC107" s="17">
        <f>_xlfn.XLOOKUP($B107,'[2]Dec-25'!$A:$A,'[2]Dec-25'!$H:$H,0)</f>
        <v>0</v>
      </c>
      <c r="AD107" s="17">
        <f>_xlfn.XLOOKUP($B107,'[2]Jan-26'!$A:$A,'[2]Jan-26'!$H:$H,0)</f>
        <v>0</v>
      </c>
      <c r="AE107" s="17">
        <f>_xlfn.XLOOKUP($B107,'[2]Feb-26'!$A:$A,'[2]Feb-26'!$H:$H,0)</f>
        <v>0</v>
      </c>
      <c r="AF107" s="17">
        <f>_xlfn.XLOOKUP($B107,'[2]Mar-26'!$A:$A,'[2]Mar-26'!$H:$H,0)</f>
        <v>0</v>
      </c>
      <c r="AG107" s="17">
        <f>_xlfn.XLOOKUP($B107,'[2]Apr-26'!$A:$A,'[2]Apr-26'!$H:$H,0)</f>
        <v>0</v>
      </c>
    </row>
    <row r="108" spans="1:33" x14ac:dyDescent="0.2">
      <c r="A108" s="58">
        <v>40027</v>
      </c>
      <c r="B108" s="56" t="str">
        <f t="shared" si="3"/>
        <v>40027</v>
      </c>
      <c r="C108" s="57" t="s">
        <v>471</v>
      </c>
      <c r="D108" s="57" t="s">
        <v>369</v>
      </c>
      <c r="E108" s="44" t="s">
        <v>809</v>
      </c>
      <c r="F108" s="17">
        <f>_xlfn.XLOOKUP($B108,'[2]Jan-24'!$A:$A,'[2]Jan-24'!$H:$H,0)</f>
        <v>0</v>
      </c>
      <c r="G108" s="17">
        <f>_xlfn.XLOOKUP($B108,'[2]Feb-24'!$A:$A,'[2]Feb-24'!$H:$H,0)</f>
        <v>0</v>
      </c>
      <c r="H108" s="17">
        <f>_xlfn.XLOOKUP($B108,'[2]Mar-24'!$A:$A,'[2]Mar-24'!$H:$H,0)</f>
        <v>0</v>
      </c>
      <c r="I108" s="17">
        <f>_xlfn.XLOOKUP($B108,'[2]Apr-24'!$A:$A,'[2]Apr-24'!$H:$H,0)</f>
        <v>0</v>
      </c>
      <c r="J108" s="17">
        <f>_xlfn.XLOOKUP($B108,'[2]May-24'!$A:$A,'[2]May-24'!$H:$H,0)</f>
        <v>0</v>
      </c>
      <c r="K108" s="17">
        <f>_xlfn.XLOOKUP($B108,'[2]Jun-24'!$A:$A,'[2]Jun-24'!$H:$H,0)</f>
        <v>0</v>
      </c>
      <c r="L108" s="17">
        <f>_xlfn.XLOOKUP($B108,'[2]Jul-24'!$A:$A,'[2]Jul-24'!$H:$H,0)</f>
        <v>0</v>
      </c>
      <c r="M108" s="17">
        <f>_xlfn.XLOOKUP($B108,'[2]Aug-24'!$A:$A,'[2]Aug-24'!$H:$H,0)</f>
        <v>0</v>
      </c>
      <c r="N108" s="17">
        <f>_xlfn.XLOOKUP($B108,'[2]Sep-24'!$A:$A,'[2]Sep-24'!$H:$H,0)</f>
        <v>0</v>
      </c>
      <c r="O108" s="17">
        <f>_xlfn.XLOOKUP($B108,'[2]Oct-24'!$A:$A,'[2]Oct-24'!$H:$H,0)</f>
        <v>0</v>
      </c>
      <c r="P108" s="17">
        <f>_xlfn.XLOOKUP($B108,'[2]Nov-24'!$A:$A,'[2]Nov-24'!$H:$H,0)</f>
        <v>0</v>
      </c>
      <c r="Q108" s="17">
        <f>_xlfn.XLOOKUP($B108,'[2]Dec-24'!$A:$A,'[2]Dec-24'!$H:$H,0)</f>
        <v>0</v>
      </c>
      <c r="R108" s="17">
        <f>_xlfn.XLOOKUP($B108,'[2]Jan-25'!$A:$A,'[2]Jan-25'!$H:$H,0)</f>
        <v>0</v>
      </c>
      <c r="S108" s="17">
        <f>_xlfn.XLOOKUP($B108,'[2]Feb-25'!$A:$A,'[2]Feb-25'!$H:$H,0)</f>
        <v>0</v>
      </c>
      <c r="T108" s="17">
        <f>_xlfn.XLOOKUP($B108,'[2]Mar-25'!$A:$A,'[2]Mar-25'!$H:$H,0)</f>
        <v>0</v>
      </c>
      <c r="U108" s="17">
        <f>_xlfn.XLOOKUP($B108,'[2]Apr-25'!$A:$A,'[2]Apr-25'!$H:$H,0)</f>
        <v>0</v>
      </c>
      <c r="V108" s="17">
        <f>_xlfn.XLOOKUP($B108,'[2]May-25'!$A:$A,'[2]May-25'!$H:$H,0)</f>
        <v>0</v>
      </c>
      <c r="W108" s="17">
        <f>_xlfn.XLOOKUP($B108,'[2]Jun-25'!$A:$A,'[2]Jun-25'!$H:$H,0)</f>
        <v>0</v>
      </c>
      <c r="X108" s="17">
        <f>_xlfn.XLOOKUP($B108,'[2]Jul-25'!$A:$A,'[2]Jul-25'!$H:$H,0)</f>
        <v>0</v>
      </c>
      <c r="Y108" s="17">
        <f>_xlfn.XLOOKUP($B108,'[2]Aug-25'!$A:$A,'[2]Aug-25'!$H:$H,0)</f>
        <v>-194.27</v>
      </c>
      <c r="Z108" s="17">
        <f>_xlfn.XLOOKUP($B108,'[2]Sep-25'!$A:$A,'[2]Sep-25'!$H:$H,0)</f>
        <v>-85.65</v>
      </c>
      <c r="AA108" s="17">
        <f>_xlfn.XLOOKUP($B108,'[2]Oct-25'!$A:$A,'[2]Oct-25'!$H:$H,0)</f>
        <v>8.3700000000000045</v>
      </c>
      <c r="AB108" s="17">
        <f>_xlfn.XLOOKUP($B108,'[2]Nov-25'!$A:$A,'[2]Nov-25'!$H:$H,0)</f>
        <v>-54.31</v>
      </c>
      <c r="AC108" s="17">
        <f>_xlfn.XLOOKUP($B108,'[2]Dec-25'!$A:$A,'[2]Dec-25'!$H:$H,0)</f>
        <v>-54.31</v>
      </c>
      <c r="AD108" s="17">
        <f>_xlfn.XLOOKUP($B108,'[2]Jan-26'!$A:$A,'[2]Jan-26'!$H:$H,0)</f>
        <v>-54.31</v>
      </c>
      <c r="AE108" s="17">
        <f>_xlfn.XLOOKUP($B108,'[2]Feb-26'!$A:$A,'[2]Feb-26'!$H:$H,0)</f>
        <v>-54.31</v>
      </c>
      <c r="AF108" s="17">
        <f>_xlfn.XLOOKUP($B108,'[2]Mar-26'!$A:$A,'[2]Mar-26'!$H:$H,0)</f>
        <v>-54.31</v>
      </c>
      <c r="AG108" s="17">
        <f>_xlfn.XLOOKUP($B108,'[2]Apr-26'!$A:$A,'[2]Apr-26'!$H:$H,0)</f>
        <v>-54.31</v>
      </c>
    </row>
    <row r="109" spans="1:33" x14ac:dyDescent="0.2">
      <c r="A109" s="58">
        <v>40032</v>
      </c>
      <c r="B109" s="56" t="str">
        <f t="shared" si="3"/>
        <v>40032</v>
      </c>
      <c r="C109" s="57" t="s">
        <v>471</v>
      </c>
      <c r="D109" s="57" t="s">
        <v>369</v>
      </c>
      <c r="E109" s="44" t="s">
        <v>810</v>
      </c>
      <c r="F109" s="17">
        <f>_xlfn.XLOOKUP($B109,'[2]Jan-24'!$A:$A,'[2]Jan-24'!$H:$H,0)</f>
        <v>-1364.89</v>
      </c>
      <c r="G109" s="17">
        <f>_xlfn.XLOOKUP($B109,'[2]Feb-24'!$A:$A,'[2]Feb-24'!$H:$H,0)</f>
        <v>-1406.38</v>
      </c>
      <c r="H109" s="17">
        <f>_xlfn.XLOOKUP($B109,'[2]Mar-24'!$A:$A,'[2]Mar-24'!$H:$H,0)</f>
        <v>-1155.22</v>
      </c>
      <c r="I109" s="17">
        <f>_xlfn.XLOOKUP($B109,'[2]Apr-24'!$A:$A,'[2]Apr-24'!$H:$H,0)</f>
        <v>-1017</v>
      </c>
      <c r="J109" s="17">
        <f>_xlfn.XLOOKUP($B109,'[2]May-24'!$A:$A,'[2]May-24'!$H:$H,0)</f>
        <v>-1173</v>
      </c>
      <c r="K109" s="17">
        <f>_xlfn.XLOOKUP($B109,'[2]Jun-24'!$A:$A,'[2]Jun-24'!$H:$H,0)</f>
        <v>-1400.51</v>
      </c>
      <c r="L109" s="17">
        <f>_xlfn.XLOOKUP($B109,'[2]Jul-24'!$A:$A,'[2]Jul-24'!$H:$H,0)</f>
        <v>0</v>
      </c>
      <c r="M109" s="17">
        <f>_xlfn.XLOOKUP($B109,'[2]Aug-24'!$A:$A,'[2]Aug-24'!$H:$H,0)</f>
        <v>-855.24</v>
      </c>
      <c r="N109" s="17">
        <f>_xlfn.XLOOKUP($B109,'[2]Sep-24'!$A:$A,'[2]Sep-24'!$H:$H,0)</f>
        <v>-1681.41</v>
      </c>
      <c r="O109" s="17">
        <f>_xlfn.XLOOKUP($B109,'[2]Oct-24'!$A:$A,'[2]Oct-24'!$H:$H,0)</f>
        <v>-1143.9100000000001</v>
      </c>
      <c r="P109" s="17">
        <f>_xlfn.XLOOKUP($B109,'[2]Nov-24'!$A:$A,'[2]Nov-24'!$H:$H,0)</f>
        <v>-960.16</v>
      </c>
      <c r="Q109" s="17">
        <f>_xlfn.XLOOKUP($B109,'[2]Dec-24'!$A:$A,'[2]Dec-24'!$H:$H,0)</f>
        <v>-1105.8399999999999</v>
      </c>
      <c r="R109" s="17">
        <f>_xlfn.XLOOKUP($B109,'[2]Jan-25'!$A:$A,'[2]Jan-25'!$H:$H,0)</f>
        <v>-459.8</v>
      </c>
      <c r="S109" s="17">
        <f>_xlfn.XLOOKUP($B109,'[2]Feb-25'!$A:$A,'[2]Feb-25'!$H:$H,0)</f>
        <v>-577.89999999990687</v>
      </c>
      <c r="T109" s="17">
        <f>_xlfn.XLOOKUP($B109,'[2]Mar-25'!$A:$A,'[2]Mar-25'!$H:$H,0)</f>
        <v>-598.72</v>
      </c>
      <c r="U109" s="17">
        <f>_xlfn.XLOOKUP($B109,'[2]Apr-25'!$A:$A,'[2]Apr-25'!$H:$H,0)</f>
        <v>-857.28</v>
      </c>
      <c r="V109" s="17">
        <f>_xlfn.XLOOKUP($B109,'[2]May-25'!$A:$A,'[2]May-25'!$H:$H,0)</f>
        <v>-581.69000000000005</v>
      </c>
      <c r="W109" s="17">
        <f>_xlfn.XLOOKUP($B109,'[2]Jun-25'!$A:$A,'[2]Jun-25'!$H:$H,0)</f>
        <v>-380.8</v>
      </c>
      <c r="X109" s="17">
        <f>_xlfn.XLOOKUP($B109,'[2]Jul-25'!$A:$A,'[2]Jul-25'!$H:$H,0)</f>
        <v>-813.62</v>
      </c>
      <c r="Y109" s="17">
        <f>_xlfn.XLOOKUP($B109,'[2]Aug-25'!$A:$A,'[2]Aug-25'!$H:$H,0)</f>
        <v>-1189.94</v>
      </c>
      <c r="Z109" s="17">
        <f>_xlfn.XLOOKUP($B109,'[2]Sep-25'!$A:$A,'[2]Sep-25'!$H:$H,0)</f>
        <v>-872.45</v>
      </c>
      <c r="AA109" s="17">
        <f>_xlfn.XLOOKUP($B109,'[2]Oct-25'!$A:$A,'[2]Oct-25'!$H:$H,0)</f>
        <v>-843.05</v>
      </c>
      <c r="AB109" s="17">
        <f>_xlfn.XLOOKUP($B109,'[2]Nov-25'!$A:$A,'[2]Nov-25'!$H:$H,0)</f>
        <v>-1027.72</v>
      </c>
      <c r="AC109" s="17">
        <f>_xlfn.XLOOKUP($B109,'[2]Dec-25'!$A:$A,'[2]Dec-25'!$H:$H,0)</f>
        <v>-503.9</v>
      </c>
      <c r="AD109" s="17">
        <f>_xlfn.XLOOKUP($B109,'[2]Jan-26'!$A:$A,'[2]Jan-26'!$H:$H,0)</f>
        <v>-492.77</v>
      </c>
      <c r="AE109" s="17">
        <f>_xlfn.XLOOKUP($B109,'[2]Feb-26'!$A:$A,'[2]Feb-26'!$H:$H,0)</f>
        <v>-1168.6199999999999</v>
      </c>
      <c r="AF109" s="17">
        <f>_xlfn.XLOOKUP($B109,'[2]Mar-26'!$A:$A,'[2]Mar-26'!$H:$H,0)</f>
        <v>-992.86</v>
      </c>
      <c r="AG109" s="17">
        <f>_xlfn.XLOOKUP($B109,'[2]Apr-26'!$A:$A,'[2]Apr-26'!$H:$H,0)</f>
        <v>-816.76</v>
      </c>
    </row>
    <row r="110" spans="1:33" x14ac:dyDescent="0.2">
      <c r="A110" s="58">
        <v>40042</v>
      </c>
      <c r="B110" s="56" t="str">
        <f t="shared" si="3"/>
        <v>40042</v>
      </c>
      <c r="C110" s="57" t="s">
        <v>471</v>
      </c>
      <c r="D110" s="57" t="s">
        <v>369</v>
      </c>
      <c r="E110" s="44" t="s">
        <v>811</v>
      </c>
      <c r="F110" s="17">
        <f>_xlfn.XLOOKUP($B110,'[2]Jan-24'!$A:$A,'[2]Jan-24'!$H:$H,0)</f>
        <v>0</v>
      </c>
      <c r="G110" s="17">
        <f>_xlfn.XLOOKUP($B110,'[2]Feb-24'!$A:$A,'[2]Feb-24'!$H:$H,0)</f>
        <v>0.01</v>
      </c>
      <c r="H110" s="17">
        <f>_xlfn.XLOOKUP($B110,'[2]Mar-24'!$A:$A,'[2]Mar-24'!$H:$H,0)</f>
        <v>0.26</v>
      </c>
      <c r="I110" s="17">
        <f>_xlfn.XLOOKUP($B110,'[2]Apr-24'!$A:$A,'[2]Apr-24'!$H:$H,0)</f>
        <v>0.2</v>
      </c>
      <c r="J110" s="17">
        <f>_xlfn.XLOOKUP($B110,'[2]May-24'!$A:$A,'[2]May-24'!$H:$H,0)</f>
        <v>0.16</v>
      </c>
      <c r="K110" s="17">
        <f>_xlfn.XLOOKUP($B110,'[2]Jun-24'!$A:$A,'[2]Jun-24'!$H:$H,0)</f>
        <v>0.16</v>
      </c>
      <c r="L110" s="17">
        <f>_xlfn.XLOOKUP($B110,'[2]Jul-24'!$A:$A,'[2]Jul-24'!$H:$H,0)</f>
        <v>0.14000000000000001</v>
      </c>
      <c r="M110" s="17">
        <f>_xlfn.XLOOKUP($B110,'[2]Aug-24'!$A:$A,'[2]Aug-24'!$H:$H,0)</f>
        <v>0.08</v>
      </c>
      <c r="N110" s="17">
        <f>_xlfn.XLOOKUP($B110,'[2]Sep-24'!$A:$A,'[2]Sep-24'!$H:$H,0)</f>
        <v>0.12</v>
      </c>
      <c r="O110" s="17">
        <f>_xlfn.XLOOKUP($B110,'[2]Oct-24'!$A:$A,'[2]Oct-24'!$H:$H,0)</f>
        <v>0.1</v>
      </c>
      <c r="P110" s="17">
        <f>_xlfn.XLOOKUP($B110,'[2]Nov-24'!$A:$A,'[2]Nov-24'!$H:$H,0)</f>
        <v>0</v>
      </c>
      <c r="Q110" s="17">
        <f>_xlfn.XLOOKUP($B110,'[2]Dec-24'!$A:$A,'[2]Dec-24'!$H:$H,0)</f>
        <v>0</v>
      </c>
      <c r="R110" s="17">
        <f>_xlfn.XLOOKUP($B110,'[2]Jan-25'!$A:$A,'[2]Jan-25'!$H:$H,0)</f>
        <v>0</v>
      </c>
      <c r="S110" s="17">
        <f>_xlfn.XLOOKUP($B110,'[2]Feb-25'!$A:$A,'[2]Feb-25'!$H:$H,0)</f>
        <v>0</v>
      </c>
      <c r="T110" s="17">
        <f>_xlfn.XLOOKUP($B110,'[2]Mar-25'!$A:$A,'[2]Mar-25'!$H:$H,0)</f>
        <v>0</v>
      </c>
      <c r="U110" s="17">
        <f>_xlfn.XLOOKUP($B110,'[2]Apr-25'!$A:$A,'[2]Apr-25'!$H:$H,0)</f>
        <v>0</v>
      </c>
      <c r="V110" s="17">
        <f>_xlfn.XLOOKUP($B110,'[2]May-25'!$A:$A,'[2]May-25'!$H:$H,0)</f>
        <v>0</v>
      </c>
      <c r="W110" s="17">
        <f>_xlfn.XLOOKUP($B110,'[2]Jun-25'!$A:$A,'[2]Jun-25'!$H:$H,0)</f>
        <v>0</v>
      </c>
      <c r="X110" s="17">
        <f>_xlfn.XLOOKUP($B110,'[2]Jul-25'!$A:$A,'[2]Jul-25'!$H:$H,0)</f>
        <v>0</v>
      </c>
      <c r="Y110" s="17">
        <f>_xlfn.XLOOKUP($B110,'[2]Aug-25'!$A:$A,'[2]Aug-25'!$H:$H,0)</f>
        <v>0</v>
      </c>
      <c r="Z110" s="17">
        <f>_xlfn.XLOOKUP($B110,'[2]Sep-25'!$A:$A,'[2]Sep-25'!$H:$H,0)</f>
        <v>0</v>
      </c>
      <c r="AA110" s="17">
        <f>_xlfn.XLOOKUP($B110,'[2]Oct-25'!$A:$A,'[2]Oct-25'!$H:$H,0)</f>
        <v>0</v>
      </c>
      <c r="AB110" s="17">
        <f>_xlfn.XLOOKUP($B110,'[2]Nov-25'!$A:$A,'[2]Nov-25'!$H:$H,0)</f>
        <v>0</v>
      </c>
      <c r="AC110" s="17">
        <f>_xlfn.XLOOKUP($B110,'[2]Dec-25'!$A:$A,'[2]Dec-25'!$H:$H,0)</f>
        <v>0</v>
      </c>
      <c r="AD110" s="17">
        <f>_xlfn.XLOOKUP($B110,'[2]Jan-26'!$A:$A,'[2]Jan-26'!$H:$H,0)</f>
        <v>0</v>
      </c>
      <c r="AE110" s="17">
        <f>_xlfn.XLOOKUP($B110,'[2]Feb-26'!$A:$A,'[2]Feb-26'!$H:$H,0)</f>
        <v>0</v>
      </c>
      <c r="AF110" s="17">
        <f>_xlfn.XLOOKUP($B110,'[2]Mar-26'!$A:$A,'[2]Mar-26'!$H:$H,0)</f>
        <v>0</v>
      </c>
      <c r="AG110" s="17">
        <f>_xlfn.XLOOKUP($B110,'[2]Apr-26'!$A:$A,'[2]Apr-26'!$H:$H,0)</f>
        <v>0</v>
      </c>
    </row>
    <row r="111" spans="1:33" x14ac:dyDescent="0.2">
      <c r="A111" s="58">
        <v>40045</v>
      </c>
      <c r="B111" s="56" t="str">
        <f t="shared" si="3"/>
        <v>40045</v>
      </c>
      <c r="C111" s="57" t="s">
        <v>471</v>
      </c>
      <c r="D111" s="57" t="s">
        <v>369</v>
      </c>
      <c r="E111" s="44" t="s">
        <v>479</v>
      </c>
      <c r="F111" s="17">
        <f>_xlfn.XLOOKUP($B111,'[2]Jan-24'!$A:$A,'[2]Jan-24'!$H:$H,0)</f>
        <v>0</v>
      </c>
      <c r="G111" s="17">
        <f>_xlfn.XLOOKUP($B111,'[2]Feb-24'!$A:$A,'[2]Feb-24'!$H:$H,0)</f>
        <v>0</v>
      </c>
      <c r="H111" s="17">
        <f>_xlfn.XLOOKUP($B111,'[2]Mar-24'!$A:$A,'[2]Mar-24'!$H:$H,0)</f>
        <v>0</v>
      </c>
      <c r="I111" s="17">
        <f>_xlfn.XLOOKUP($B111,'[2]Apr-24'!$A:$A,'[2]Apr-24'!$H:$H,0)</f>
        <v>0</v>
      </c>
      <c r="J111" s="17">
        <f>_xlfn.XLOOKUP($B111,'[2]May-24'!$A:$A,'[2]May-24'!$H:$H,0)</f>
        <v>0</v>
      </c>
      <c r="K111" s="17">
        <f>_xlfn.XLOOKUP($B111,'[2]Jun-24'!$A:$A,'[2]Jun-24'!$H:$H,0)</f>
        <v>0</v>
      </c>
      <c r="L111" s="17">
        <f>_xlfn.XLOOKUP($B111,'[2]Jul-24'!$A:$A,'[2]Jul-24'!$H:$H,0)</f>
        <v>0</v>
      </c>
      <c r="M111" s="17">
        <f>_xlfn.XLOOKUP($B111,'[2]Aug-24'!$A:$A,'[2]Aug-24'!$H:$H,0)</f>
        <v>0</v>
      </c>
      <c r="N111" s="17">
        <f>_xlfn.XLOOKUP($B111,'[2]Sep-24'!$A:$A,'[2]Sep-24'!$H:$H,0)</f>
        <v>0</v>
      </c>
      <c r="O111" s="17">
        <f>_xlfn.XLOOKUP($B111,'[2]Oct-24'!$A:$A,'[2]Oct-24'!$H:$H,0)</f>
        <v>0</v>
      </c>
      <c r="P111" s="17">
        <f>_xlfn.XLOOKUP($B111,'[2]Nov-24'!$A:$A,'[2]Nov-24'!$H:$H,0)</f>
        <v>0</v>
      </c>
      <c r="Q111" s="17">
        <f>_xlfn.XLOOKUP($B111,'[2]Dec-24'!$A:$A,'[2]Dec-24'!$H:$H,0)</f>
        <v>0</v>
      </c>
      <c r="R111" s="17">
        <f>_xlfn.XLOOKUP($B111,'[2]Jan-25'!$A:$A,'[2]Jan-25'!$H:$H,0)</f>
        <v>0</v>
      </c>
      <c r="S111" s="17">
        <f>_xlfn.XLOOKUP($B111,'[2]Feb-25'!$A:$A,'[2]Feb-25'!$H:$H,0)</f>
        <v>0</v>
      </c>
      <c r="T111" s="17">
        <f>_xlfn.XLOOKUP($B111,'[2]Mar-25'!$A:$A,'[2]Mar-25'!$H:$H,0)</f>
        <v>0</v>
      </c>
      <c r="U111" s="17">
        <f>_xlfn.XLOOKUP($B111,'[2]Apr-25'!$A:$A,'[2]Apr-25'!$H:$H,0)</f>
        <v>0</v>
      </c>
      <c r="V111" s="17">
        <f>_xlfn.XLOOKUP($B111,'[2]May-25'!$A:$A,'[2]May-25'!$H:$H,0)</f>
        <v>0</v>
      </c>
      <c r="W111" s="17">
        <f>_xlfn.XLOOKUP($B111,'[2]Jun-25'!$A:$A,'[2]Jun-25'!$H:$H,0)</f>
        <v>0</v>
      </c>
      <c r="X111" s="17">
        <f>_xlfn.XLOOKUP($B111,'[2]Jul-25'!$A:$A,'[2]Jul-25'!$H:$H,0)</f>
        <v>0</v>
      </c>
      <c r="Y111" s="17">
        <f>_xlfn.XLOOKUP($B111,'[2]Aug-25'!$A:$A,'[2]Aug-25'!$H:$H,0)</f>
        <v>0</v>
      </c>
      <c r="Z111" s="17">
        <f>_xlfn.XLOOKUP($B111,'[2]Sep-25'!$A:$A,'[2]Sep-25'!$H:$H,0)</f>
        <v>0</v>
      </c>
      <c r="AA111" s="17">
        <f>_xlfn.XLOOKUP($B111,'[2]Oct-25'!$A:$A,'[2]Oct-25'!$H:$H,0)</f>
        <v>0</v>
      </c>
      <c r="AB111" s="17">
        <f>_xlfn.XLOOKUP($B111,'[2]Nov-25'!$A:$A,'[2]Nov-25'!$H:$H,0)</f>
        <v>0</v>
      </c>
      <c r="AC111" s="17">
        <f>_xlfn.XLOOKUP($B111,'[2]Dec-25'!$A:$A,'[2]Dec-25'!$H:$H,0)</f>
        <v>0</v>
      </c>
      <c r="AD111" s="17">
        <f>_xlfn.XLOOKUP($B111,'[2]Jan-26'!$A:$A,'[2]Jan-26'!$H:$H,0)</f>
        <v>0</v>
      </c>
      <c r="AE111" s="17">
        <f>_xlfn.XLOOKUP($B111,'[2]Feb-26'!$A:$A,'[2]Feb-26'!$H:$H,0)</f>
        <v>0</v>
      </c>
      <c r="AF111" s="17">
        <f>_xlfn.XLOOKUP($B111,'[2]Mar-26'!$A:$A,'[2]Mar-26'!$H:$H,0)</f>
        <v>0</v>
      </c>
      <c r="AG111" s="17">
        <f>_xlfn.XLOOKUP($B111,'[2]Apr-26'!$A:$A,'[2]Apr-26'!$H:$H,0)</f>
        <v>0</v>
      </c>
    </row>
    <row r="112" spans="1:33" x14ac:dyDescent="0.2">
      <c r="A112" s="58">
        <v>40051</v>
      </c>
      <c r="B112" s="56" t="str">
        <f t="shared" si="3"/>
        <v>40051</v>
      </c>
      <c r="C112" s="57" t="s">
        <v>471</v>
      </c>
      <c r="D112" s="57" t="s">
        <v>369</v>
      </c>
      <c r="E112" s="44" t="s">
        <v>481</v>
      </c>
      <c r="F112" s="17">
        <f>_xlfn.XLOOKUP($B112,'[2]Jan-24'!$A:$A,'[2]Jan-24'!$H:$H,0)</f>
        <v>0</v>
      </c>
      <c r="G112" s="17">
        <f>_xlfn.XLOOKUP($B112,'[2]Feb-24'!$A:$A,'[2]Feb-24'!$H:$H,0)</f>
        <v>0</v>
      </c>
      <c r="H112" s="17">
        <f>_xlfn.XLOOKUP($B112,'[2]Mar-24'!$A:$A,'[2]Mar-24'!$H:$H,0)</f>
        <v>0</v>
      </c>
      <c r="I112" s="17">
        <f>_xlfn.XLOOKUP($B112,'[2]Apr-24'!$A:$A,'[2]Apr-24'!$H:$H,0)</f>
        <v>0</v>
      </c>
      <c r="J112" s="17">
        <f>_xlfn.XLOOKUP($B112,'[2]May-24'!$A:$A,'[2]May-24'!$H:$H,0)</f>
        <v>0</v>
      </c>
      <c r="K112" s="17">
        <f>_xlfn.XLOOKUP($B112,'[2]Jun-24'!$A:$A,'[2]Jun-24'!$H:$H,0)</f>
        <v>0</v>
      </c>
      <c r="L112" s="17">
        <f>_xlfn.XLOOKUP($B112,'[2]Jul-24'!$A:$A,'[2]Jul-24'!$H:$H,0)</f>
        <v>0</v>
      </c>
      <c r="M112" s="17">
        <f>_xlfn.XLOOKUP($B112,'[2]Aug-24'!$A:$A,'[2]Aug-24'!$H:$H,0)</f>
        <v>0</v>
      </c>
      <c r="N112" s="17">
        <f>_xlfn.XLOOKUP($B112,'[2]Sep-24'!$A:$A,'[2]Sep-24'!$H:$H,0)</f>
        <v>0</v>
      </c>
      <c r="O112" s="17">
        <f>_xlfn.XLOOKUP($B112,'[2]Oct-24'!$A:$A,'[2]Oct-24'!$H:$H,0)</f>
        <v>0</v>
      </c>
      <c r="P112" s="17">
        <f>_xlfn.XLOOKUP($B112,'[2]Nov-24'!$A:$A,'[2]Nov-24'!$H:$H,0)</f>
        <v>0</v>
      </c>
      <c r="Q112" s="17">
        <f>_xlfn.XLOOKUP($B112,'[2]Dec-24'!$A:$A,'[2]Dec-24'!$H:$H,0)</f>
        <v>0</v>
      </c>
      <c r="R112" s="17">
        <f>_xlfn.XLOOKUP($B112,'[2]Jan-25'!$A:$A,'[2]Jan-25'!$H:$H,0)</f>
        <v>0</v>
      </c>
      <c r="S112" s="17">
        <f>_xlfn.XLOOKUP($B112,'[2]Feb-25'!$A:$A,'[2]Feb-25'!$H:$H,0)</f>
        <v>0</v>
      </c>
      <c r="T112" s="17">
        <f>_xlfn.XLOOKUP($B112,'[2]Mar-25'!$A:$A,'[2]Mar-25'!$H:$H,0)</f>
        <v>0</v>
      </c>
      <c r="U112" s="17">
        <f>_xlfn.XLOOKUP($B112,'[2]Apr-25'!$A:$A,'[2]Apr-25'!$H:$H,0)</f>
        <v>0</v>
      </c>
      <c r="V112" s="17">
        <f>_xlfn.XLOOKUP($B112,'[2]May-25'!$A:$A,'[2]May-25'!$H:$H,0)</f>
        <v>0</v>
      </c>
      <c r="W112" s="17">
        <f>_xlfn.XLOOKUP($B112,'[2]Jun-25'!$A:$A,'[2]Jun-25'!$H:$H,0)</f>
        <v>0</v>
      </c>
      <c r="X112" s="17">
        <f>_xlfn.XLOOKUP($B112,'[2]Jul-25'!$A:$A,'[2]Jul-25'!$H:$H,0)</f>
        <v>0</v>
      </c>
      <c r="Y112" s="17">
        <f>_xlfn.XLOOKUP($B112,'[2]Aug-25'!$A:$A,'[2]Aug-25'!$H:$H,0)</f>
        <v>0</v>
      </c>
      <c r="Z112" s="17">
        <f>_xlfn.XLOOKUP($B112,'[2]Sep-25'!$A:$A,'[2]Sep-25'!$H:$H,0)</f>
        <v>0</v>
      </c>
      <c r="AA112" s="17">
        <f>_xlfn.XLOOKUP($B112,'[2]Oct-25'!$A:$A,'[2]Oct-25'!$H:$H,0)</f>
        <v>0</v>
      </c>
      <c r="AB112" s="17">
        <f>_xlfn.XLOOKUP($B112,'[2]Nov-25'!$A:$A,'[2]Nov-25'!$H:$H,0)</f>
        <v>0</v>
      </c>
      <c r="AC112" s="17">
        <f>_xlfn.XLOOKUP($B112,'[2]Dec-25'!$A:$A,'[2]Dec-25'!$H:$H,0)</f>
        <v>0</v>
      </c>
      <c r="AD112" s="17">
        <f>_xlfn.XLOOKUP($B112,'[2]Jan-26'!$A:$A,'[2]Jan-26'!$H:$H,0)</f>
        <v>0</v>
      </c>
      <c r="AE112" s="17">
        <f>_xlfn.XLOOKUP($B112,'[2]Feb-26'!$A:$A,'[2]Feb-26'!$H:$H,0)</f>
        <v>0</v>
      </c>
      <c r="AF112" s="17">
        <f>_xlfn.XLOOKUP($B112,'[2]Mar-26'!$A:$A,'[2]Mar-26'!$H:$H,0)</f>
        <v>0</v>
      </c>
      <c r="AG112" s="17">
        <f>_xlfn.XLOOKUP($B112,'[2]Apr-26'!$A:$A,'[2]Apr-26'!$H:$H,0)</f>
        <v>0</v>
      </c>
    </row>
    <row r="113" spans="1:33" x14ac:dyDescent="0.2">
      <c r="A113" s="58">
        <v>40055</v>
      </c>
      <c r="B113" s="56" t="str">
        <f t="shared" si="3"/>
        <v>40055</v>
      </c>
      <c r="C113" s="57" t="s">
        <v>471</v>
      </c>
      <c r="D113" s="57" t="s">
        <v>369</v>
      </c>
      <c r="E113" s="44" t="s">
        <v>96</v>
      </c>
      <c r="F113" s="17">
        <f>_xlfn.XLOOKUP($B113,'[2]Jan-24'!$A:$A,'[2]Jan-24'!$H:$H,0)</f>
        <v>0</v>
      </c>
      <c r="G113" s="17">
        <f>_xlfn.XLOOKUP($B113,'[2]Feb-24'!$A:$A,'[2]Feb-24'!$H:$H,0)</f>
        <v>0</v>
      </c>
      <c r="H113" s="17">
        <f>_xlfn.XLOOKUP($B113,'[2]Mar-24'!$A:$A,'[2]Mar-24'!$H:$H,0)</f>
        <v>0</v>
      </c>
      <c r="I113" s="17">
        <f>_xlfn.XLOOKUP($B113,'[2]Apr-24'!$A:$A,'[2]Apr-24'!$H:$H,0)</f>
        <v>0</v>
      </c>
      <c r="J113" s="17">
        <f>_xlfn.XLOOKUP($B113,'[2]May-24'!$A:$A,'[2]May-24'!$H:$H,0)</f>
        <v>0</v>
      </c>
      <c r="K113" s="17">
        <f>_xlfn.XLOOKUP($B113,'[2]Jun-24'!$A:$A,'[2]Jun-24'!$H:$H,0)</f>
        <v>0</v>
      </c>
      <c r="L113" s="17">
        <f>_xlfn.XLOOKUP($B113,'[2]Jul-24'!$A:$A,'[2]Jul-24'!$H:$H,0)</f>
        <v>0</v>
      </c>
      <c r="M113" s="17">
        <f>_xlfn.XLOOKUP($B113,'[2]Aug-24'!$A:$A,'[2]Aug-24'!$H:$H,0)</f>
        <v>0</v>
      </c>
      <c r="N113" s="17">
        <f>_xlfn.XLOOKUP($B113,'[2]Sep-24'!$A:$A,'[2]Sep-24'!$H:$H,0)</f>
        <v>0</v>
      </c>
      <c r="O113" s="17">
        <f>_xlfn.XLOOKUP($B113,'[2]Oct-24'!$A:$A,'[2]Oct-24'!$H:$H,0)</f>
        <v>0</v>
      </c>
      <c r="P113" s="17">
        <f>_xlfn.XLOOKUP($B113,'[2]Nov-24'!$A:$A,'[2]Nov-24'!$H:$H,0)</f>
        <v>0</v>
      </c>
      <c r="Q113" s="17">
        <f>_xlfn.XLOOKUP($B113,'[2]Dec-24'!$A:$A,'[2]Dec-24'!$H:$H,0)</f>
        <v>0</v>
      </c>
      <c r="R113" s="17">
        <f>_xlfn.XLOOKUP($B113,'[2]Jan-25'!$A:$A,'[2]Jan-25'!$H:$H,0)</f>
        <v>0</v>
      </c>
      <c r="S113" s="17">
        <f>_xlfn.XLOOKUP($B113,'[2]Feb-25'!$A:$A,'[2]Feb-25'!$H:$H,0)</f>
        <v>0</v>
      </c>
      <c r="T113" s="17">
        <f>_xlfn.XLOOKUP($B113,'[2]Mar-25'!$A:$A,'[2]Mar-25'!$H:$H,0)</f>
        <v>0</v>
      </c>
      <c r="U113" s="17">
        <f>_xlfn.XLOOKUP($B113,'[2]Apr-25'!$A:$A,'[2]Apr-25'!$H:$H,0)</f>
        <v>0</v>
      </c>
      <c r="V113" s="17">
        <f>_xlfn.XLOOKUP($B113,'[2]May-25'!$A:$A,'[2]May-25'!$H:$H,0)</f>
        <v>0</v>
      </c>
      <c r="W113" s="17">
        <f>_xlfn.XLOOKUP($B113,'[2]Jun-25'!$A:$A,'[2]Jun-25'!$H:$H,0)</f>
        <v>0</v>
      </c>
      <c r="X113" s="17">
        <f>_xlfn.XLOOKUP($B113,'[2]Jul-25'!$A:$A,'[2]Jul-25'!$H:$H,0)</f>
        <v>0</v>
      </c>
      <c r="Y113" s="17">
        <f>_xlfn.XLOOKUP($B113,'[2]Aug-25'!$A:$A,'[2]Aug-25'!$H:$H,0)</f>
        <v>0</v>
      </c>
      <c r="Z113" s="17">
        <f>_xlfn.XLOOKUP($B113,'[2]Sep-25'!$A:$A,'[2]Sep-25'!$H:$H,0)</f>
        <v>0</v>
      </c>
      <c r="AA113" s="17">
        <f>_xlfn.XLOOKUP($B113,'[2]Oct-25'!$A:$A,'[2]Oct-25'!$H:$H,0)</f>
        <v>0</v>
      </c>
      <c r="AB113" s="17">
        <f>_xlfn.XLOOKUP($B113,'[2]Nov-25'!$A:$A,'[2]Nov-25'!$H:$H,0)</f>
        <v>0</v>
      </c>
      <c r="AC113" s="17">
        <f>_xlfn.XLOOKUP($B113,'[2]Dec-25'!$A:$A,'[2]Dec-25'!$H:$H,0)</f>
        <v>0</v>
      </c>
      <c r="AD113" s="17">
        <f>_xlfn.XLOOKUP($B113,'[2]Jan-26'!$A:$A,'[2]Jan-26'!$H:$H,0)</f>
        <v>0</v>
      </c>
      <c r="AE113" s="17">
        <f>_xlfn.XLOOKUP($B113,'[2]Feb-26'!$A:$A,'[2]Feb-26'!$H:$H,0)</f>
        <v>0</v>
      </c>
      <c r="AF113" s="17">
        <f>_xlfn.XLOOKUP($B113,'[2]Mar-26'!$A:$A,'[2]Mar-26'!$H:$H,0)</f>
        <v>0</v>
      </c>
      <c r="AG113" s="17">
        <f>_xlfn.XLOOKUP($B113,'[2]Apr-26'!$A:$A,'[2]Apr-26'!$H:$H,0)</f>
        <v>0</v>
      </c>
    </row>
    <row r="114" spans="1:33" x14ac:dyDescent="0.2">
      <c r="A114" s="58">
        <v>40060</v>
      </c>
      <c r="B114" s="56" t="str">
        <f t="shared" si="3"/>
        <v>40060</v>
      </c>
      <c r="C114" s="57" t="s">
        <v>486</v>
      </c>
      <c r="D114" s="57" t="s">
        <v>369</v>
      </c>
      <c r="E114" s="44" t="s">
        <v>122</v>
      </c>
      <c r="F114" s="17">
        <f>_xlfn.XLOOKUP($B114,'[2]Jan-24'!$A:$A,'[2]Jan-24'!$H:$H,0)</f>
        <v>0</v>
      </c>
      <c r="G114" s="17">
        <f>_xlfn.XLOOKUP($B114,'[2]Feb-24'!$A:$A,'[2]Feb-24'!$H:$H,0)</f>
        <v>0</v>
      </c>
      <c r="H114" s="17">
        <f>_xlfn.XLOOKUP($B114,'[2]Mar-24'!$A:$A,'[2]Mar-24'!$H:$H,0)</f>
        <v>0</v>
      </c>
      <c r="I114" s="17">
        <f>_xlfn.XLOOKUP($B114,'[2]Apr-24'!$A:$A,'[2]Apr-24'!$H:$H,0)</f>
        <v>0</v>
      </c>
      <c r="J114" s="17">
        <f>_xlfn.XLOOKUP($B114,'[2]May-24'!$A:$A,'[2]May-24'!$H:$H,0)</f>
        <v>0</v>
      </c>
      <c r="K114" s="17">
        <f>_xlfn.XLOOKUP($B114,'[2]Jun-24'!$A:$A,'[2]Jun-24'!$H:$H,0)</f>
        <v>0</v>
      </c>
      <c r="L114" s="17">
        <f>_xlfn.XLOOKUP($B114,'[2]Jul-24'!$A:$A,'[2]Jul-24'!$H:$H,0)</f>
        <v>0</v>
      </c>
      <c r="M114" s="17">
        <f>_xlfn.XLOOKUP($B114,'[2]Aug-24'!$A:$A,'[2]Aug-24'!$H:$H,0)</f>
        <v>0</v>
      </c>
      <c r="N114" s="17">
        <f>_xlfn.XLOOKUP($B114,'[2]Sep-24'!$A:$A,'[2]Sep-24'!$H:$H,0)</f>
        <v>0</v>
      </c>
      <c r="O114" s="17">
        <f>_xlfn.XLOOKUP($B114,'[2]Oct-24'!$A:$A,'[2]Oct-24'!$H:$H,0)</f>
        <v>0</v>
      </c>
      <c r="P114" s="17">
        <f>_xlfn.XLOOKUP($B114,'[2]Nov-24'!$A:$A,'[2]Nov-24'!$H:$H,0)</f>
        <v>0</v>
      </c>
      <c r="Q114" s="17">
        <f>_xlfn.XLOOKUP($B114,'[2]Dec-24'!$A:$A,'[2]Dec-24'!$H:$H,0)</f>
        <v>0</v>
      </c>
      <c r="R114" s="17">
        <f>_xlfn.XLOOKUP($B114,'[2]Jan-25'!$A:$A,'[2]Jan-25'!$H:$H,0)</f>
        <v>0</v>
      </c>
      <c r="S114" s="17">
        <f>_xlfn.XLOOKUP($B114,'[2]Feb-25'!$A:$A,'[2]Feb-25'!$H:$H,0)</f>
        <v>0</v>
      </c>
      <c r="T114" s="17">
        <f>_xlfn.XLOOKUP($B114,'[2]Mar-25'!$A:$A,'[2]Mar-25'!$H:$H,0)</f>
        <v>0</v>
      </c>
      <c r="U114" s="17">
        <f>_xlfn.XLOOKUP($B114,'[2]Apr-25'!$A:$A,'[2]Apr-25'!$H:$H,0)</f>
        <v>0</v>
      </c>
      <c r="V114" s="17">
        <f>_xlfn.XLOOKUP($B114,'[2]May-25'!$A:$A,'[2]May-25'!$H:$H,0)</f>
        <v>0</v>
      </c>
      <c r="W114" s="17">
        <f>_xlfn.XLOOKUP($B114,'[2]Jun-25'!$A:$A,'[2]Jun-25'!$H:$H,0)</f>
        <v>0</v>
      </c>
      <c r="X114" s="17">
        <f>_xlfn.XLOOKUP($B114,'[2]Jul-25'!$A:$A,'[2]Jul-25'!$H:$H,0)</f>
        <v>0</v>
      </c>
      <c r="Y114" s="17">
        <f>_xlfn.XLOOKUP($B114,'[2]Aug-25'!$A:$A,'[2]Aug-25'!$H:$H,0)</f>
        <v>0</v>
      </c>
      <c r="Z114" s="17">
        <f>_xlfn.XLOOKUP($B114,'[2]Sep-25'!$A:$A,'[2]Sep-25'!$H:$H,0)</f>
        <v>0</v>
      </c>
      <c r="AA114" s="17">
        <f>_xlfn.XLOOKUP($B114,'[2]Oct-25'!$A:$A,'[2]Oct-25'!$H:$H,0)</f>
        <v>0</v>
      </c>
      <c r="AB114" s="17">
        <f>_xlfn.XLOOKUP($B114,'[2]Nov-25'!$A:$A,'[2]Nov-25'!$H:$H,0)</f>
        <v>0</v>
      </c>
      <c r="AC114" s="17">
        <f>_xlfn.XLOOKUP($B114,'[2]Dec-25'!$A:$A,'[2]Dec-25'!$H:$H,0)</f>
        <v>0</v>
      </c>
      <c r="AD114" s="17">
        <f>_xlfn.XLOOKUP($B114,'[2]Jan-26'!$A:$A,'[2]Jan-26'!$H:$H,0)</f>
        <v>0</v>
      </c>
      <c r="AE114" s="17">
        <f>_xlfn.XLOOKUP($B114,'[2]Feb-26'!$A:$A,'[2]Feb-26'!$H:$H,0)</f>
        <v>0</v>
      </c>
      <c r="AF114" s="17">
        <f>_xlfn.XLOOKUP($B114,'[2]Mar-26'!$A:$A,'[2]Mar-26'!$H:$H,0)</f>
        <v>0</v>
      </c>
      <c r="AG114" s="17">
        <f>_xlfn.XLOOKUP($B114,'[2]Apr-26'!$A:$A,'[2]Apr-26'!$H:$H,0)</f>
        <v>0</v>
      </c>
    </row>
    <row r="115" spans="1:33" x14ac:dyDescent="0.2">
      <c r="A115" s="58">
        <v>40065</v>
      </c>
      <c r="B115" s="56" t="str">
        <f t="shared" si="3"/>
        <v>40065</v>
      </c>
      <c r="C115" s="57" t="s">
        <v>471</v>
      </c>
      <c r="D115" s="57" t="s">
        <v>369</v>
      </c>
      <c r="E115" s="44" t="s">
        <v>484</v>
      </c>
      <c r="F115" s="17">
        <f>_xlfn.XLOOKUP($B115,'[2]Jan-24'!$A:$A,'[2]Jan-24'!$H:$H,0)</f>
        <v>0</v>
      </c>
      <c r="G115" s="17">
        <f>_xlfn.XLOOKUP($B115,'[2]Feb-24'!$A:$A,'[2]Feb-24'!$H:$H,0)</f>
        <v>0</v>
      </c>
      <c r="H115" s="17">
        <f>_xlfn.XLOOKUP($B115,'[2]Mar-24'!$A:$A,'[2]Mar-24'!$H:$H,0)</f>
        <v>0</v>
      </c>
      <c r="I115" s="17">
        <f>_xlfn.XLOOKUP($B115,'[2]Apr-24'!$A:$A,'[2]Apr-24'!$H:$H,0)</f>
        <v>0</v>
      </c>
      <c r="J115" s="17">
        <f>_xlfn.XLOOKUP($B115,'[2]May-24'!$A:$A,'[2]May-24'!$H:$H,0)</f>
        <v>0</v>
      </c>
      <c r="K115" s="17">
        <f>_xlfn.XLOOKUP($B115,'[2]Jun-24'!$A:$A,'[2]Jun-24'!$H:$H,0)</f>
        <v>0</v>
      </c>
      <c r="L115" s="17">
        <f>_xlfn.XLOOKUP($B115,'[2]Jul-24'!$A:$A,'[2]Jul-24'!$H:$H,0)</f>
        <v>0</v>
      </c>
      <c r="M115" s="17">
        <f>_xlfn.XLOOKUP($B115,'[2]Aug-24'!$A:$A,'[2]Aug-24'!$H:$H,0)</f>
        <v>0</v>
      </c>
      <c r="N115" s="17">
        <f>_xlfn.XLOOKUP($B115,'[2]Sep-24'!$A:$A,'[2]Sep-24'!$H:$H,0)</f>
        <v>0</v>
      </c>
      <c r="O115" s="17">
        <f>_xlfn.XLOOKUP($B115,'[2]Oct-24'!$A:$A,'[2]Oct-24'!$H:$H,0)</f>
        <v>0</v>
      </c>
      <c r="P115" s="17">
        <f>_xlfn.XLOOKUP($B115,'[2]Nov-24'!$A:$A,'[2]Nov-24'!$H:$H,0)</f>
        <v>0</v>
      </c>
      <c r="Q115" s="17">
        <f>_xlfn.XLOOKUP($B115,'[2]Dec-24'!$A:$A,'[2]Dec-24'!$H:$H,0)</f>
        <v>0</v>
      </c>
      <c r="R115" s="17">
        <f>_xlfn.XLOOKUP($B115,'[2]Jan-25'!$A:$A,'[2]Jan-25'!$H:$H,0)</f>
        <v>0</v>
      </c>
      <c r="S115" s="17">
        <f>_xlfn.XLOOKUP($B115,'[2]Feb-25'!$A:$A,'[2]Feb-25'!$H:$H,0)</f>
        <v>0</v>
      </c>
      <c r="T115" s="17">
        <f>_xlfn.XLOOKUP($B115,'[2]Mar-25'!$A:$A,'[2]Mar-25'!$H:$H,0)</f>
        <v>0</v>
      </c>
      <c r="U115" s="17">
        <f>_xlfn.XLOOKUP($B115,'[2]Apr-25'!$A:$A,'[2]Apr-25'!$H:$H,0)</f>
        <v>0</v>
      </c>
      <c r="V115" s="17">
        <f>_xlfn.XLOOKUP($B115,'[2]May-25'!$A:$A,'[2]May-25'!$H:$H,0)</f>
        <v>0</v>
      </c>
      <c r="W115" s="17">
        <f>_xlfn.XLOOKUP($B115,'[2]Jun-25'!$A:$A,'[2]Jun-25'!$H:$H,0)</f>
        <v>0</v>
      </c>
      <c r="X115" s="17">
        <f>_xlfn.XLOOKUP($B115,'[2]Jul-25'!$A:$A,'[2]Jul-25'!$H:$H,0)</f>
        <v>0</v>
      </c>
      <c r="Y115" s="17">
        <f>_xlfn.XLOOKUP($B115,'[2]Aug-25'!$A:$A,'[2]Aug-25'!$H:$H,0)</f>
        <v>0</v>
      </c>
      <c r="Z115" s="17">
        <f>_xlfn.XLOOKUP($B115,'[2]Sep-25'!$A:$A,'[2]Sep-25'!$H:$H,0)</f>
        <v>0</v>
      </c>
      <c r="AA115" s="17">
        <f>_xlfn.XLOOKUP($B115,'[2]Oct-25'!$A:$A,'[2]Oct-25'!$H:$H,0)</f>
        <v>0</v>
      </c>
      <c r="AB115" s="17">
        <f>_xlfn.XLOOKUP($B115,'[2]Nov-25'!$A:$A,'[2]Nov-25'!$H:$H,0)</f>
        <v>0</v>
      </c>
      <c r="AC115" s="17">
        <f>_xlfn.XLOOKUP($B115,'[2]Dec-25'!$A:$A,'[2]Dec-25'!$H:$H,0)</f>
        <v>0</v>
      </c>
      <c r="AD115" s="17">
        <f>_xlfn.XLOOKUP($B115,'[2]Jan-26'!$A:$A,'[2]Jan-26'!$H:$H,0)</f>
        <v>0</v>
      </c>
      <c r="AE115" s="17">
        <f>_xlfn.XLOOKUP($B115,'[2]Feb-26'!$A:$A,'[2]Feb-26'!$H:$H,0)</f>
        <v>0</v>
      </c>
      <c r="AF115" s="17">
        <f>_xlfn.XLOOKUP($B115,'[2]Mar-26'!$A:$A,'[2]Mar-26'!$H:$H,0)</f>
        <v>0</v>
      </c>
      <c r="AG115" s="17">
        <f>_xlfn.XLOOKUP($B115,'[2]Apr-26'!$A:$A,'[2]Apr-26'!$H:$H,0)</f>
        <v>0</v>
      </c>
    </row>
    <row r="116" spans="1:33" x14ac:dyDescent="0.2">
      <c r="A116" s="58">
        <v>40090</v>
      </c>
      <c r="B116" s="56" t="str">
        <f t="shared" si="3"/>
        <v>40090</v>
      </c>
      <c r="C116" s="57" t="s">
        <v>471</v>
      </c>
      <c r="D116" s="57" t="s">
        <v>369</v>
      </c>
      <c r="E116" s="44" t="s">
        <v>490</v>
      </c>
      <c r="F116" s="17">
        <f>_xlfn.XLOOKUP($B116,'[2]Jan-24'!$A:$A,'[2]Jan-24'!$H:$H,0)</f>
        <v>0</v>
      </c>
      <c r="G116" s="17">
        <f>_xlfn.XLOOKUP($B116,'[2]Feb-24'!$A:$A,'[2]Feb-24'!$H:$H,0)</f>
        <v>0</v>
      </c>
      <c r="H116" s="17">
        <f>_xlfn.XLOOKUP($B116,'[2]Mar-24'!$A:$A,'[2]Mar-24'!$H:$H,0)</f>
        <v>0</v>
      </c>
      <c r="I116" s="17">
        <f>_xlfn.XLOOKUP($B116,'[2]Apr-24'!$A:$A,'[2]Apr-24'!$H:$H,0)</f>
        <v>0</v>
      </c>
      <c r="J116" s="17">
        <f>_xlfn.XLOOKUP($B116,'[2]May-24'!$A:$A,'[2]May-24'!$H:$H,0)</f>
        <v>0</v>
      </c>
      <c r="K116" s="17">
        <f>_xlfn.XLOOKUP($B116,'[2]Jun-24'!$A:$A,'[2]Jun-24'!$H:$H,0)</f>
        <v>0</v>
      </c>
      <c r="L116" s="17">
        <f>_xlfn.XLOOKUP($B116,'[2]Jul-24'!$A:$A,'[2]Jul-24'!$H:$H,0)</f>
        <v>0</v>
      </c>
      <c r="M116" s="17">
        <f>_xlfn.XLOOKUP($B116,'[2]Aug-24'!$A:$A,'[2]Aug-24'!$H:$H,0)</f>
        <v>0</v>
      </c>
      <c r="N116" s="17">
        <f>_xlfn.XLOOKUP($B116,'[2]Sep-24'!$A:$A,'[2]Sep-24'!$H:$H,0)</f>
        <v>0</v>
      </c>
      <c r="O116" s="17">
        <f>_xlfn.XLOOKUP($B116,'[2]Oct-24'!$A:$A,'[2]Oct-24'!$H:$H,0)</f>
        <v>0</v>
      </c>
      <c r="P116" s="17">
        <f>_xlfn.XLOOKUP($B116,'[2]Nov-24'!$A:$A,'[2]Nov-24'!$H:$H,0)</f>
        <v>0</v>
      </c>
      <c r="Q116" s="17">
        <f>_xlfn.XLOOKUP($B116,'[2]Dec-24'!$A:$A,'[2]Dec-24'!$H:$H,0)</f>
        <v>0</v>
      </c>
      <c r="R116" s="17">
        <f>_xlfn.XLOOKUP($B116,'[2]Jan-25'!$A:$A,'[2]Jan-25'!$H:$H,0)</f>
        <v>0</v>
      </c>
      <c r="S116" s="17">
        <f>_xlfn.XLOOKUP($B116,'[2]Feb-25'!$A:$A,'[2]Feb-25'!$H:$H,0)</f>
        <v>0</v>
      </c>
      <c r="T116" s="17">
        <f>_xlfn.XLOOKUP($B116,'[2]Mar-25'!$A:$A,'[2]Mar-25'!$H:$H,0)</f>
        <v>0</v>
      </c>
      <c r="U116" s="17">
        <f>_xlfn.XLOOKUP($B116,'[2]Apr-25'!$A:$A,'[2]Apr-25'!$H:$H,0)</f>
        <v>0</v>
      </c>
      <c r="V116" s="17">
        <f>_xlfn.XLOOKUP($B116,'[2]May-25'!$A:$A,'[2]May-25'!$H:$H,0)</f>
        <v>0</v>
      </c>
      <c r="W116" s="17">
        <f>_xlfn.XLOOKUP($B116,'[2]Jun-25'!$A:$A,'[2]Jun-25'!$H:$H,0)</f>
        <v>0</v>
      </c>
      <c r="X116" s="17">
        <f>_xlfn.XLOOKUP($B116,'[2]Jul-25'!$A:$A,'[2]Jul-25'!$H:$H,0)</f>
        <v>0</v>
      </c>
      <c r="Y116" s="17">
        <f>_xlfn.XLOOKUP($B116,'[2]Aug-25'!$A:$A,'[2]Aug-25'!$H:$H,0)</f>
        <v>0</v>
      </c>
      <c r="Z116" s="17">
        <f>_xlfn.XLOOKUP($B116,'[2]Sep-25'!$A:$A,'[2]Sep-25'!$H:$H,0)</f>
        <v>0</v>
      </c>
      <c r="AA116" s="17">
        <f>_xlfn.XLOOKUP($B116,'[2]Oct-25'!$A:$A,'[2]Oct-25'!$H:$H,0)</f>
        <v>0</v>
      </c>
      <c r="AB116" s="17">
        <f>_xlfn.XLOOKUP($B116,'[2]Nov-25'!$A:$A,'[2]Nov-25'!$H:$H,0)</f>
        <v>0</v>
      </c>
      <c r="AC116" s="17">
        <f>_xlfn.XLOOKUP($B116,'[2]Dec-25'!$A:$A,'[2]Dec-25'!$H:$H,0)</f>
        <v>0</v>
      </c>
      <c r="AD116" s="17">
        <f>_xlfn.XLOOKUP($B116,'[2]Jan-26'!$A:$A,'[2]Jan-26'!$H:$H,0)</f>
        <v>0</v>
      </c>
      <c r="AE116" s="17">
        <f>_xlfn.XLOOKUP($B116,'[2]Feb-26'!$A:$A,'[2]Feb-26'!$H:$H,0)</f>
        <v>0</v>
      </c>
      <c r="AF116" s="17">
        <f>_xlfn.XLOOKUP($B116,'[2]Mar-26'!$A:$A,'[2]Mar-26'!$H:$H,0)</f>
        <v>0</v>
      </c>
      <c r="AG116" s="17">
        <f>_xlfn.XLOOKUP($B116,'[2]Apr-26'!$A:$A,'[2]Apr-26'!$H:$H,0)</f>
        <v>0</v>
      </c>
    </row>
    <row r="117" spans="1:33" x14ac:dyDescent="0.2">
      <c r="A117" s="58">
        <v>40155</v>
      </c>
      <c r="B117" s="56" t="str">
        <f t="shared" si="3"/>
        <v>40155</v>
      </c>
      <c r="C117" s="57" t="s">
        <v>471</v>
      </c>
      <c r="D117" s="57" t="s">
        <v>369</v>
      </c>
      <c r="E117" s="44" t="s">
        <v>98</v>
      </c>
      <c r="F117" s="17">
        <f>_xlfn.XLOOKUP($B117,'[2]Jan-24'!$A:$A,'[2]Jan-24'!$H:$H,0)</f>
        <v>0</v>
      </c>
      <c r="G117" s="17">
        <f>_xlfn.XLOOKUP($B117,'[2]Feb-24'!$A:$A,'[2]Feb-24'!$H:$H,0)</f>
        <v>0</v>
      </c>
      <c r="H117" s="17">
        <f>_xlfn.XLOOKUP($B117,'[2]Mar-24'!$A:$A,'[2]Mar-24'!$H:$H,0)</f>
        <v>0</v>
      </c>
      <c r="I117" s="17">
        <f>_xlfn.XLOOKUP($B117,'[2]Apr-24'!$A:$A,'[2]Apr-24'!$H:$H,0)</f>
        <v>0</v>
      </c>
      <c r="J117" s="17">
        <f>_xlfn.XLOOKUP($B117,'[2]May-24'!$A:$A,'[2]May-24'!$H:$H,0)</f>
        <v>0</v>
      </c>
      <c r="K117" s="17">
        <f>_xlfn.XLOOKUP($B117,'[2]Jun-24'!$A:$A,'[2]Jun-24'!$H:$H,0)</f>
        <v>0</v>
      </c>
      <c r="L117" s="17">
        <f>_xlfn.XLOOKUP($B117,'[2]Jul-24'!$A:$A,'[2]Jul-24'!$H:$H,0)</f>
        <v>0</v>
      </c>
      <c r="M117" s="17">
        <f>_xlfn.XLOOKUP($B117,'[2]Aug-24'!$A:$A,'[2]Aug-24'!$H:$H,0)</f>
        <v>0</v>
      </c>
      <c r="N117" s="17">
        <f>_xlfn.XLOOKUP($B117,'[2]Sep-24'!$A:$A,'[2]Sep-24'!$H:$H,0)</f>
        <v>0</v>
      </c>
      <c r="O117" s="17">
        <f>_xlfn.XLOOKUP($B117,'[2]Oct-24'!$A:$A,'[2]Oct-24'!$H:$H,0)</f>
        <v>0</v>
      </c>
      <c r="P117" s="17">
        <f>_xlfn.XLOOKUP($B117,'[2]Nov-24'!$A:$A,'[2]Nov-24'!$H:$H,0)</f>
        <v>0</v>
      </c>
      <c r="Q117" s="17">
        <f>_xlfn.XLOOKUP($B117,'[2]Dec-24'!$A:$A,'[2]Dec-24'!$H:$H,0)</f>
        <v>0</v>
      </c>
      <c r="R117" s="17">
        <f>_xlfn.XLOOKUP($B117,'[2]Jan-25'!$A:$A,'[2]Jan-25'!$H:$H,0)</f>
        <v>0</v>
      </c>
      <c r="S117" s="17">
        <f>_xlfn.XLOOKUP($B117,'[2]Feb-25'!$A:$A,'[2]Feb-25'!$H:$H,0)</f>
        <v>0</v>
      </c>
      <c r="T117" s="17">
        <f>_xlfn.XLOOKUP($B117,'[2]Mar-25'!$A:$A,'[2]Mar-25'!$H:$H,0)</f>
        <v>0</v>
      </c>
      <c r="U117" s="17">
        <f>_xlfn.XLOOKUP($B117,'[2]Apr-25'!$A:$A,'[2]Apr-25'!$H:$H,0)</f>
        <v>0</v>
      </c>
      <c r="V117" s="17">
        <f>_xlfn.XLOOKUP($B117,'[2]May-25'!$A:$A,'[2]May-25'!$H:$H,0)</f>
        <v>0</v>
      </c>
      <c r="W117" s="17">
        <f>_xlfn.XLOOKUP($B117,'[2]Jun-25'!$A:$A,'[2]Jun-25'!$H:$H,0)</f>
        <v>0</v>
      </c>
      <c r="X117" s="17">
        <f>_xlfn.XLOOKUP($B117,'[2]Jul-25'!$A:$A,'[2]Jul-25'!$H:$H,0)</f>
        <v>0</v>
      </c>
      <c r="Y117" s="17">
        <f>_xlfn.XLOOKUP($B117,'[2]Aug-25'!$A:$A,'[2]Aug-25'!$H:$H,0)</f>
        <v>0</v>
      </c>
      <c r="Z117" s="17">
        <f>_xlfn.XLOOKUP($B117,'[2]Sep-25'!$A:$A,'[2]Sep-25'!$H:$H,0)</f>
        <v>0</v>
      </c>
      <c r="AA117" s="17">
        <f>_xlfn.XLOOKUP($B117,'[2]Oct-25'!$A:$A,'[2]Oct-25'!$H:$H,0)</f>
        <v>0</v>
      </c>
      <c r="AB117" s="17">
        <f>_xlfn.XLOOKUP($B117,'[2]Nov-25'!$A:$A,'[2]Nov-25'!$H:$H,0)</f>
        <v>0</v>
      </c>
      <c r="AC117" s="17">
        <f>_xlfn.XLOOKUP($B117,'[2]Dec-25'!$A:$A,'[2]Dec-25'!$H:$H,0)</f>
        <v>0</v>
      </c>
      <c r="AD117" s="17">
        <f>_xlfn.XLOOKUP($B117,'[2]Jan-26'!$A:$A,'[2]Jan-26'!$H:$H,0)</f>
        <v>0</v>
      </c>
      <c r="AE117" s="17">
        <f>_xlfn.XLOOKUP($B117,'[2]Feb-26'!$A:$A,'[2]Feb-26'!$H:$H,0)</f>
        <v>0</v>
      </c>
      <c r="AF117" s="17">
        <f>_xlfn.XLOOKUP($B117,'[2]Mar-26'!$A:$A,'[2]Mar-26'!$H:$H,0)</f>
        <v>0</v>
      </c>
      <c r="AG117" s="17">
        <f>_xlfn.XLOOKUP($B117,'[2]Apr-26'!$A:$A,'[2]Apr-26'!$H:$H,0)</f>
        <v>0</v>
      </c>
    </row>
    <row r="118" spans="1:33" x14ac:dyDescent="0.2">
      <c r="A118" s="58">
        <v>40170</v>
      </c>
      <c r="B118" s="56" t="str">
        <f t="shared" si="3"/>
        <v>40170</v>
      </c>
      <c r="C118" s="57" t="s">
        <v>486</v>
      </c>
      <c r="D118" s="57" t="s">
        <v>369</v>
      </c>
      <c r="E118" s="44" t="s">
        <v>812</v>
      </c>
      <c r="F118" s="17">
        <f>_xlfn.XLOOKUP($B118,'[2]Jan-24'!$A:$A,'[2]Jan-24'!$H:$H,0)</f>
        <v>0</v>
      </c>
      <c r="G118" s="17">
        <f>_xlfn.XLOOKUP($B118,'[2]Feb-24'!$A:$A,'[2]Feb-24'!$H:$H,0)</f>
        <v>0</v>
      </c>
      <c r="H118" s="17">
        <f>_xlfn.XLOOKUP($B118,'[2]Mar-24'!$A:$A,'[2]Mar-24'!$H:$H,0)</f>
        <v>0</v>
      </c>
      <c r="I118" s="17">
        <f>_xlfn.XLOOKUP($B118,'[2]Apr-24'!$A:$A,'[2]Apr-24'!$H:$H,0)</f>
        <v>0</v>
      </c>
      <c r="J118" s="17">
        <f>_xlfn.XLOOKUP($B118,'[2]May-24'!$A:$A,'[2]May-24'!$H:$H,0)</f>
        <v>0</v>
      </c>
      <c r="K118" s="17">
        <f>_xlfn.XLOOKUP($B118,'[2]Jun-24'!$A:$A,'[2]Jun-24'!$H:$H,0)</f>
        <v>0</v>
      </c>
      <c r="L118" s="17">
        <f>_xlfn.XLOOKUP($B118,'[2]Jul-24'!$A:$A,'[2]Jul-24'!$H:$H,0)</f>
        <v>0</v>
      </c>
      <c r="M118" s="17">
        <f>_xlfn.XLOOKUP($B118,'[2]Aug-24'!$A:$A,'[2]Aug-24'!$H:$H,0)</f>
        <v>0</v>
      </c>
      <c r="N118" s="17">
        <f>_xlfn.XLOOKUP($B118,'[2]Sep-24'!$A:$A,'[2]Sep-24'!$H:$H,0)</f>
        <v>0</v>
      </c>
      <c r="O118" s="17">
        <f>_xlfn.XLOOKUP($B118,'[2]Oct-24'!$A:$A,'[2]Oct-24'!$H:$H,0)</f>
        <v>0</v>
      </c>
      <c r="P118" s="17">
        <f>_xlfn.XLOOKUP($B118,'[2]Nov-24'!$A:$A,'[2]Nov-24'!$H:$H,0)</f>
        <v>0</v>
      </c>
      <c r="Q118" s="17">
        <f>_xlfn.XLOOKUP($B118,'[2]Dec-24'!$A:$A,'[2]Dec-24'!$H:$H,0)</f>
        <v>0</v>
      </c>
      <c r="R118" s="17">
        <f>_xlfn.XLOOKUP($B118,'[2]Jan-25'!$A:$A,'[2]Jan-25'!$H:$H,0)</f>
        <v>0</v>
      </c>
      <c r="S118" s="17">
        <f>_xlfn.XLOOKUP($B118,'[2]Feb-25'!$A:$A,'[2]Feb-25'!$H:$H,0)</f>
        <v>0</v>
      </c>
      <c r="T118" s="17">
        <f>_xlfn.XLOOKUP($B118,'[2]Mar-25'!$A:$A,'[2]Mar-25'!$H:$H,0)</f>
        <v>0</v>
      </c>
      <c r="U118" s="17">
        <f>_xlfn.XLOOKUP($B118,'[2]Apr-25'!$A:$A,'[2]Apr-25'!$H:$H,0)</f>
        <v>0</v>
      </c>
      <c r="V118" s="17">
        <f>_xlfn.XLOOKUP($B118,'[2]May-25'!$A:$A,'[2]May-25'!$H:$H,0)</f>
        <v>0</v>
      </c>
      <c r="W118" s="17">
        <f>_xlfn.XLOOKUP($B118,'[2]Jun-25'!$A:$A,'[2]Jun-25'!$H:$H,0)</f>
        <v>0</v>
      </c>
      <c r="X118" s="17">
        <f>_xlfn.XLOOKUP($B118,'[2]Jul-25'!$A:$A,'[2]Jul-25'!$H:$H,0)</f>
        <v>0</v>
      </c>
      <c r="Y118" s="17">
        <f>_xlfn.XLOOKUP($B118,'[2]Aug-25'!$A:$A,'[2]Aug-25'!$H:$H,0)</f>
        <v>0</v>
      </c>
      <c r="Z118" s="17">
        <f>_xlfn.XLOOKUP($B118,'[2]Sep-25'!$A:$A,'[2]Sep-25'!$H:$H,0)</f>
        <v>0</v>
      </c>
      <c r="AA118" s="17">
        <f>_xlfn.XLOOKUP($B118,'[2]Oct-25'!$A:$A,'[2]Oct-25'!$H:$H,0)</f>
        <v>0</v>
      </c>
      <c r="AB118" s="17">
        <f>_xlfn.XLOOKUP($B118,'[2]Nov-25'!$A:$A,'[2]Nov-25'!$H:$H,0)</f>
        <v>0</v>
      </c>
      <c r="AC118" s="17">
        <f>_xlfn.XLOOKUP($B118,'[2]Dec-25'!$A:$A,'[2]Dec-25'!$H:$H,0)</f>
        <v>0</v>
      </c>
      <c r="AD118" s="17">
        <f>_xlfn.XLOOKUP($B118,'[2]Jan-26'!$A:$A,'[2]Jan-26'!$H:$H,0)</f>
        <v>0</v>
      </c>
      <c r="AE118" s="17">
        <f>_xlfn.XLOOKUP($B118,'[2]Feb-26'!$A:$A,'[2]Feb-26'!$H:$H,0)</f>
        <v>0</v>
      </c>
      <c r="AF118" s="17">
        <f>_xlfn.XLOOKUP($B118,'[2]Mar-26'!$A:$A,'[2]Mar-26'!$H:$H,0)</f>
        <v>0</v>
      </c>
      <c r="AG118" s="17">
        <f>_xlfn.XLOOKUP($B118,'[2]Apr-26'!$A:$A,'[2]Apr-26'!$H:$H,0)</f>
        <v>0</v>
      </c>
    </row>
    <row r="119" spans="1:33" x14ac:dyDescent="0.2">
      <c r="A119" s="58">
        <v>40180</v>
      </c>
      <c r="B119" s="56" t="str">
        <f t="shared" si="3"/>
        <v>40180</v>
      </c>
      <c r="C119" s="57" t="s">
        <v>486</v>
      </c>
      <c r="D119" s="57" t="s">
        <v>369</v>
      </c>
      <c r="E119" s="44" t="s">
        <v>813</v>
      </c>
      <c r="F119" s="17">
        <f>_xlfn.XLOOKUP($B119,'[2]Jan-24'!$A:$A,'[2]Jan-24'!$H:$H,0)</f>
        <v>0</v>
      </c>
      <c r="G119" s="17">
        <f>_xlfn.XLOOKUP($B119,'[2]Feb-24'!$A:$A,'[2]Feb-24'!$H:$H,0)</f>
        <v>0</v>
      </c>
      <c r="H119" s="17">
        <f>_xlfn.XLOOKUP($B119,'[2]Mar-24'!$A:$A,'[2]Mar-24'!$H:$H,0)</f>
        <v>0</v>
      </c>
      <c r="I119" s="17">
        <f>_xlfn.XLOOKUP($B119,'[2]Apr-24'!$A:$A,'[2]Apr-24'!$H:$H,0)</f>
        <v>0</v>
      </c>
      <c r="J119" s="17">
        <f>_xlfn.XLOOKUP($B119,'[2]May-24'!$A:$A,'[2]May-24'!$H:$H,0)</f>
        <v>0</v>
      </c>
      <c r="K119" s="17">
        <f>_xlfn.XLOOKUP($B119,'[2]Jun-24'!$A:$A,'[2]Jun-24'!$H:$H,0)</f>
        <v>0</v>
      </c>
      <c r="L119" s="17">
        <f>_xlfn.XLOOKUP($B119,'[2]Jul-24'!$A:$A,'[2]Jul-24'!$H:$H,0)</f>
        <v>0</v>
      </c>
      <c r="M119" s="17">
        <f>_xlfn.XLOOKUP($B119,'[2]Aug-24'!$A:$A,'[2]Aug-24'!$H:$H,0)</f>
        <v>0</v>
      </c>
      <c r="N119" s="17">
        <f>_xlfn.XLOOKUP($B119,'[2]Sep-24'!$A:$A,'[2]Sep-24'!$H:$H,0)</f>
        <v>0</v>
      </c>
      <c r="O119" s="17">
        <f>_xlfn.XLOOKUP($B119,'[2]Oct-24'!$A:$A,'[2]Oct-24'!$H:$H,0)</f>
        <v>0</v>
      </c>
      <c r="P119" s="17">
        <f>_xlfn.XLOOKUP($B119,'[2]Nov-24'!$A:$A,'[2]Nov-24'!$H:$H,0)</f>
        <v>0</v>
      </c>
      <c r="Q119" s="17">
        <f>_xlfn.XLOOKUP($B119,'[2]Dec-24'!$A:$A,'[2]Dec-24'!$H:$H,0)</f>
        <v>0</v>
      </c>
      <c r="R119" s="17">
        <f>_xlfn.XLOOKUP($B119,'[2]Jan-25'!$A:$A,'[2]Jan-25'!$H:$H,0)</f>
        <v>0</v>
      </c>
      <c r="S119" s="17">
        <f>_xlfn.XLOOKUP($B119,'[2]Feb-25'!$A:$A,'[2]Feb-25'!$H:$H,0)</f>
        <v>0</v>
      </c>
      <c r="T119" s="17">
        <f>_xlfn.XLOOKUP($B119,'[2]Mar-25'!$A:$A,'[2]Mar-25'!$H:$H,0)</f>
        <v>0</v>
      </c>
      <c r="U119" s="17">
        <f>_xlfn.XLOOKUP($B119,'[2]Apr-25'!$A:$A,'[2]Apr-25'!$H:$H,0)</f>
        <v>0</v>
      </c>
      <c r="V119" s="17">
        <f>_xlfn.XLOOKUP($B119,'[2]May-25'!$A:$A,'[2]May-25'!$H:$H,0)</f>
        <v>0</v>
      </c>
      <c r="W119" s="17">
        <f>_xlfn.XLOOKUP($B119,'[2]Jun-25'!$A:$A,'[2]Jun-25'!$H:$H,0)</f>
        <v>0</v>
      </c>
      <c r="X119" s="17">
        <f>_xlfn.XLOOKUP($B119,'[2]Jul-25'!$A:$A,'[2]Jul-25'!$H:$H,0)</f>
        <v>0</v>
      </c>
      <c r="Y119" s="17">
        <f>_xlfn.XLOOKUP($B119,'[2]Aug-25'!$A:$A,'[2]Aug-25'!$H:$H,0)</f>
        <v>0</v>
      </c>
      <c r="Z119" s="17">
        <f>_xlfn.XLOOKUP($B119,'[2]Sep-25'!$A:$A,'[2]Sep-25'!$H:$H,0)</f>
        <v>0</v>
      </c>
      <c r="AA119" s="17">
        <f>_xlfn.XLOOKUP($B119,'[2]Oct-25'!$A:$A,'[2]Oct-25'!$H:$H,0)</f>
        <v>0</v>
      </c>
      <c r="AB119" s="17">
        <f>_xlfn.XLOOKUP($B119,'[2]Nov-25'!$A:$A,'[2]Nov-25'!$H:$H,0)</f>
        <v>0</v>
      </c>
      <c r="AC119" s="17">
        <f>_xlfn.XLOOKUP($B119,'[2]Dec-25'!$A:$A,'[2]Dec-25'!$H:$H,0)</f>
        <v>0</v>
      </c>
      <c r="AD119" s="17">
        <f>_xlfn.XLOOKUP($B119,'[2]Jan-26'!$A:$A,'[2]Jan-26'!$H:$H,0)</f>
        <v>0</v>
      </c>
      <c r="AE119" s="17">
        <f>_xlfn.XLOOKUP($B119,'[2]Feb-26'!$A:$A,'[2]Feb-26'!$H:$H,0)</f>
        <v>0</v>
      </c>
      <c r="AF119" s="17">
        <f>_xlfn.XLOOKUP($B119,'[2]Mar-26'!$A:$A,'[2]Mar-26'!$H:$H,0)</f>
        <v>0</v>
      </c>
      <c r="AG119" s="17">
        <f>_xlfn.XLOOKUP($B119,'[2]Apr-26'!$A:$A,'[2]Apr-26'!$H:$H,0)</f>
        <v>0</v>
      </c>
    </row>
    <row r="120" spans="1:33" x14ac:dyDescent="0.2">
      <c r="A120" s="58">
        <v>40190</v>
      </c>
      <c r="B120" s="56" t="str">
        <f t="shared" si="3"/>
        <v>40190</v>
      </c>
      <c r="C120" s="57" t="s">
        <v>486</v>
      </c>
      <c r="D120" s="57" t="s">
        <v>369</v>
      </c>
      <c r="E120" s="44" t="s">
        <v>814</v>
      </c>
      <c r="F120" s="17">
        <f>_xlfn.XLOOKUP($B120,'[2]Jan-24'!$A:$A,'[2]Jan-24'!$H:$H,0)</f>
        <v>0</v>
      </c>
      <c r="G120" s="17">
        <f>_xlfn.XLOOKUP($B120,'[2]Feb-24'!$A:$A,'[2]Feb-24'!$H:$H,0)</f>
        <v>0</v>
      </c>
      <c r="H120" s="17">
        <f>_xlfn.XLOOKUP($B120,'[2]Mar-24'!$A:$A,'[2]Mar-24'!$H:$H,0)</f>
        <v>0</v>
      </c>
      <c r="I120" s="17">
        <f>_xlfn.XLOOKUP($B120,'[2]Apr-24'!$A:$A,'[2]Apr-24'!$H:$H,0)</f>
        <v>0</v>
      </c>
      <c r="J120" s="17">
        <f>_xlfn.XLOOKUP($B120,'[2]May-24'!$A:$A,'[2]May-24'!$H:$H,0)</f>
        <v>0</v>
      </c>
      <c r="K120" s="17">
        <f>_xlfn.XLOOKUP($B120,'[2]Jun-24'!$A:$A,'[2]Jun-24'!$H:$H,0)</f>
        <v>0</v>
      </c>
      <c r="L120" s="17">
        <f>_xlfn.XLOOKUP($B120,'[2]Jul-24'!$A:$A,'[2]Jul-24'!$H:$H,0)</f>
        <v>0</v>
      </c>
      <c r="M120" s="17">
        <f>_xlfn.XLOOKUP($B120,'[2]Aug-24'!$A:$A,'[2]Aug-24'!$H:$H,0)</f>
        <v>0</v>
      </c>
      <c r="N120" s="17">
        <f>_xlfn.XLOOKUP($B120,'[2]Sep-24'!$A:$A,'[2]Sep-24'!$H:$H,0)</f>
        <v>0</v>
      </c>
      <c r="O120" s="17">
        <f>_xlfn.XLOOKUP($B120,'[2]Oct-24'!$A:$A,'[2]Oct-24'!$H:$H,0)</f>
        <v>0</v>
      </c>
      <c r="P120" s="17">
        <f>_xlfn.XLOOKUP($B120,'[2]Nov-24'!$A:$A,'[2]Nov-24'!$H:$H,0)</f>
        <v>0</v>
      </c>
      <c r="Q120" s="17">
        <f>_xlfn.XLOOKUP($B120,'[2]Dec-24'!$A:$A,'[2]Dec-24'!$H:$H,0)</f>
        <v>0</v>
      </c>
      <c r="R120" s="17">
        <f>_xlfn.XLOOKUP($B120,'[2]Jan-25'!$A:$A,'[2]Jan-25'!$H:$H,0)</f>
        <v>0</v>
      </c>
      <c r="S120" s="17">
        <f>_xlfn.XLOOKUP($B120,'[2]Feb-25'!$A:$A,'[2]Feb-25'!$H:$H,0)</f>
        <v>0</v>
      </c>
      <c r="T120" s="17">
        <f>_xlfn.XLOOKUP($B120,'[2]Mar-25'!$A:$A,'[2]Mar-25'!$H:$H,0)</f>
        <v>0</v>
      </c>
      <c r="U120" s="17">
        <f>_xlfn.XLOOKUP($B120,'[2]Apr-25'!$A:$A,'[2]Apr-25'!$H:$H,0)</f>
        <v>0</v>
      </c>
      <c r="V120" s="17">
        <f>_xlfn.XLOOKUP($B120,'[2]May-25'!$A:$A,'[2]May-25'!$H:$H,0)</f>
        <v>0</v>
      </c>
      <c r="W120" s="17">
        <f>_xlfn.XLOOKUP($B120,'[2]Jun-25'!$A:$A,'[2]Jun-25'!$H:$H,0)</f>
        <v>0</v>
      </c>
      <c r="X120" s="17">
        <f>_xlfn.XLOOKUP($B120,'[2]Jul-25'!$A:$A,'[2]Jul-25'!$H:$H,0)</f>
        <v>0</v>
      </c>
      <c r="Y120" s="17">
        <f>_xlfn.XLOOKUP($B120,'[2]Aug-25'!$A:$A,'[2]Aug-25'!$H:$H,0)</f>
        <v>0</v>
      </c>
      <c r="Z120" s="17">
        <f>_xlfn.XLOOKUP($B120,'[2]Sep-25'!$A:$A,'[2]Sep-25'!$H:$H,0)</f>
        <v>0</v>
      </c>
      <c r="AA120" s="17">
        <f>_xlfn.XLOOKUP($B120,'[2]Oct-25'!$A:$A,'[2]Oct-25'!$H:$H,0)</f>
        <v>0</v>
      </c>
      <c r="AB120" s="17">
        <f>_xlfn.XLOOKUP($B120,'[2]Nov-25'!$A:$A,'[2]Nov-25'!$H:$H,0)</f>
        <v>0</v>
      </c>
      <c r="AC120" s="17">
        <f>_xlfn.XLOOKUP($B120,'[2]Dec-25'!$A:$A,'[2]Dec-25'!$H:$H,0)</f>
        <v>0</v>
      </c>
      <c r="AD120" s="17">
        <f>_xlfn.XLOOKUP($B120,'[2]Jan-26'!$A:$A,'[2]Jan-26'!$H:$H,0)</f>
        <v>0</v>
      </c>
      <c r="AE120" s="17">
        <f>_xlfn.XLOOKUP($B120,'[2]Feb-26'!$A:$A,'[2]Feb-26'!$H:$H,0)</f>
        <v>0</v>
      </c>
      <c r="AF120" s="17">
        <f>_xlfn.XLOOKUP($B120,'[2]Mar-26'!$A:$A,'[2]Mar-26'!$H:$H,0)</f>
        <v>0</v>
      </c>
      <c r="AG120" s="17">
        <f>_xlfn.XLOOKUP($B120,'[2]Apr-26'!$A:$A,'[2]Apr-26'!$H:$H,0)</f>
        <v>0</v>
      </c>
    </row>
    <row r="121" spans="1:33" x14ac:dyDescent="0.2">
      <c r="A121" s="58">
        <v>40192</v>
      </c>
      <c r="B121" s="56" t="str">
        <f t="shared" si="3"/>
        <v>40192</v>
      </c>
      <c r="C121" s="57" t="s">
        <v>471</v>
      </c>
      <c r="D121" s="57" t="s">
        <v>369</v>
      </c>
      <c r="E121" s="44" t="s">
        <v>815</v>
      </c>
      <c r="F121" s="17">
        <f>_xlfn.XLOOKUP($B121,'[2]Jan-24'!$A:$A,'[2]Jan-24'!$H:$H,0)</f>
        <v>0</v>
      </c>
      <c r="G121" s="17">
        <f>_xlfn.XLOOKUP($B121,'[2]Feb-24'!$A:$A,'[2]Feb-24'!$H:$H,0)</f>
        <v>0</v>
      </c>
      <c r="H121" s="17">
        <f>_xlfn.XLOOKUP($B121,'[2]Mar-24'!$A:$A,'[2]Mar-24'!$H:$H,0)</f>
        <v>0</v>
      </c>
      <c r="I121" s="17">
        <f>_xlfn.XLOOKUP($B121,'[2]Apr-24'!$A:$A,'[2]Apr-24'!$H:$H,0)</f>
        <v>0</v>
      </c>
      <c r="J121" s="17">
        <f>_xlfn.XLOOKUP($B121,'[2]May-24'!$A:$A,'[2]May-24'!$H:$H,0)</f>
        <v>0</v>
      </c>
      <c r="K121" s="17">
        <f>_xlfn.XLOOKUP($B121,'[2]Jun-24'!$A:$A,'[2]Jun-24'!$H:$H,0)</f>
        <v>0</v>
      </c>
      <c r="L121" s="17">
        <f>_xlfn.XLOOKUP($B121,'[2]Jul-24'!$A:$A,'[2]Jul-24'!$H:$H,0)</f>
        <v>0</v>
      </c>
      <c r="M121" s="17">
        <f>_xlfn.XLOOKUP($B121,'[2]Aug-24'!$A:$A,'[2]Aug-24'!$H:$H,0)</f>
        <v>0</v>
      </c>
      <c r="N121" s="17">
        <f>_xlfn.XLOOKUP($B121,'[2]Sep-24'!$A:$A,'[2]Sep-24'!$H:$H,0)</f>
        <v>0</v>
      </c>
      <c r="O121" s="17">
        <f>_xlfn.XLOOKUP($B121,'[2]Oct-24'!$A:$A,'[2]Oct-24'!$H:$H,0)</f>
        <v>0</v>
      </c>
      <c r="P121" s="17">
        <f>_xlfn.XLOOKUP($B121,'[2]Nov-24'!$A:$A,'[2]Nov-24'!$H:$H,0)</f>
        <v>0</v>
      </c>
      <c r="Q121" s="17">
        <f>_xlfn.XLOOKUP($B121,'[2]Dec-24'!$A:$A,'[2]Dec-24'!$H:$H,0)</f>
        <v>0</v>
      </c>
      <c r="R121" s="17">
        <f>_xlfn.XLOOKUP($B121,'[2]Jan-25'!$A:$A,'[2]Jan-25'!$H:$H,0)</f>
        <v>0</v>
      </c>
      <c r="S121" s="17">
        <f>_xlfn.XLOOKUP($B121,'[2]Feb-25'!$A:$A,'[2]Feb-25'!$H:$H,0)</f>
        <v>0</v>
      </c>
      <c r="T121" s="17">
        <f>_xlfn.XLOOKUP($B121,'[2]Mar-25'!$A:$A,'[2]Mar-25'!$H:$H,0)</f>
        <v>0</v>
      </c>
      <c r="U121" s="17">
        <f>_xlfn.XLOOKUP($B121,'[2]Apr-25'!$A:$A,'[2]Apr-25'!$H:$H,0)</f>
        <v>0</v>
      </c>
      <c r="V121" s="17">
        <f>_xlfn.XLOOKUP($B121,'[2]May-25'!$A:$A,'[2]May-25'!$H:$H,0)</f>
        <v>0</v>
      </c>
      <c r="W121" s="17">
        <f>_xlfn.XLOOKUP($B121,'[2]Jun-25'!$A:$A,'[2]Jun-25'!$H:$H,0)</f>
        <v>0</v>
      </c>
      <c r="X121" s="17">
        <f>_xlfn.XLOOKUP($B121,'[2]Jul-25'!$A:$A,'[2]Jul-25'!$H:$H,0)</f>
        <v>0</v>
      </c>
      <c r="Y121" s="17">
        <f>_xlfn.XLOOKUP($B121,'[2]Aug-25'!$A:$A,'[2]Aug-25'!$H:$H,0)</f>
        <v>0</v>
      </c>
      <c r="Z121" s="17">
        <f>_xlfn.XLOOKUP($B121,'[2]Sep-25'!$A:$A,'[2]Sep-25'!$H:$H,0)</f>
        <v>0</v>
      </c>
      <c r="AA121" s="17">
        <f>_xlfn.XLOOKUP($B121,'[2]Oct-25'!$A:$A,'[2]Oct-25'!$H:$H,0)</f>
        <v>0</v>
      </c>
      <c r="AB121" s="17">
        <f>_xlfn.XLOOKUP($B121,'[2]Nov-25'!$A:$A,'[2]Nov-25'!$H:$H,0)</f>
        <v>0</v>
      </c>
      <c r="AC121" s="17">
        <f>_xlfn.XLOOKUP($B121,'[2]Dec-25'!$A:$A,'[2]Dec-25'!$H:$H,0)</f>
        <v>0</v>
      </c>
      <c r="AD121" s="17">
        <f>_xlfn.XLOOKUP($B121,'[2]Jan-26'!$A:$A,'[2]Jan-26'!$H:$H,0)</f>
        <v>0</v>
      </c>
      <c r="AE121" s="17">
        <f>_xlfn.XLOOKUP($B121,'[2]Feb-26'!$A:$A,'[2]Feb-26'!$H:$H,0)</f>
        <v>0</v>
      </c>
      <c r="AF121" s="17">
        <f>_xlfn.XLOOKUP($B121,'[2]Mar-26'!$A:$A,'[2]Mar-26'!$H:$H,0)</f>
        <v>0</v>
      </c>
      <c r="AG121" s="17">
        <f>_xlfn.XLOOKUP($B121,'[2]Apr-26'!$A:$A,'[2]Apr-26'!$H:$H,0)</f>
        <v>0</v>
      </c>
    </row>
    <row r="122" spans="1:33" x14ac:dyDescent="0.2">
      <c r="A122" s="58">
        <v>40250</v>
      </c>
      <c r="B122" s="56" t="str">
        <f t="shared" si="3"/>
        <v>40250</v>
      </c>
      <c r="C122" s="57" t="s">
        <v>471</v>
      </c>
      <c r="D122" s="57" t="s">
        <v>369</v>
      </c>
      <c r="E122" s="44" t="s">
        <v>816</v>
      </c>
      <c r="F122" s="17">
        <f>_xlfn.XLOOKUP($B122,'[2]Jan-24'!$A:$A,'[2]Jan-24'!$H:$H,0)</f>
        <v>0</v>
      </c>
      <c r="G122" s="17">
        <f>_xlfn.XLOOKUP($B122,'[2]Feb-24'!$A:$A,'[2]Feb-24'!$H:$H,0)</f>
        <v>0</v>
      </c>
      <c r="H122" s="17">
        <f>_xlfn.XLOOKUP($B122,'[2]Mar-24'!$A:$A,'[2]Mar-24'!$H:$H,0)</f>
        <v>0</v>
      </c>
      <c r="I122" s="17">
        <f>_xlfn.XLOOKUP($B122,'[2]Apr-24'!$A:$A,'[2]Apr-24'!$H:$H,0)</f>
        <v>0</v>
      </c>
      <c r="J122" s="17">
        <f>_xlfn.XLOOKUP($B122,'[2]May-24'!$A:$A,'[2]May-24'!$H:$H,0)</f>
        <v>0</v>
      </c>
      <c r="K122" s="17">
        <f>_xlfn.XLOOKUP($B122,'[2]Jun-24'!$A:$A,'[2]Jun-24'!$H:$H,0)</f>
        <v>0</v>
      </c>
      <c r="L122" s="17">
        <f>_xlfn.XLOOKUP($B122,'[2]Jul-24'!$A:$A,'[2]Jul-24'!$H:$H,0)</f>
        <v>0</v>
      </c>
      <c r="M122" s="17">
        <f>_xlfn.XLOOKUP($B122,'[2]Aug-24'!$A:$A,'[2]Aug-24'!$H:$H,0)</f>
        <v>0</v>
      </c>
      <c r="N122" s="17">
        <f>_xlfn.XLOOKUP($B122,'[2]Sep-24'!$A:$A,'[2]Sep-24'!$H:$H,0)</f>
        <v>0</v>
      </c>
      <c r="O122" s="17">
        <f>_xlfn.XLOOKUP($B122,'[2]Oct-24'!$A:$A,'[2]Oct-24'!$H:$H,0)</f>
        <v>0</v>
      </c>
      <c r="P122" s="17">
        <f>_xlfn.XLOOKUP($B122,'[2]Nov-24'!$A:$A,'[2]Nov-24'!$H:$H,0)</f>
        <v>0</v>
      </c>
      <c r="Q122" s="17">
        <f>_xlfn.XLOOKUP($B122,'[2]Dec-24'!$A:$A,'[2]Dec-24'!$H:$H,0)</f>
        <v>0</v>
      </c>
      <c r="R122" s="17">
        <f>_xlfn.XLOOKUP($B122,'[2]Jan-25'!$A:$A,'[2]Jan-25'!$H:$H,0)</f>
        <v>0</v>
      </c>
      <c r="S122" s="17">
        <f>_xlfn.XLOOKUP($B122,'[2]Feb-25'!$A:$A,'[2]Feb-25'!$H:$H,0)</f>
        <v>0</v>
      </c>
      <c r="T122" s="17">
        <f>_xlfn.XLOOKUP($B122,'[2]Mar-25'!$A:$A,'[2]Mar-25'!$H:$H,0)</f>
        <v>0</v>
      </c>
      <c r="U122" s="17">
        <f>_xlfn.XLOOKUP($B122,'[2]Apr-25'!$A:$A,'[2]Apr-25'!$H:$H,0)</f>
        <v>0</v>
      </c>
      <c r="V122" s="17">
        <f>_xlfn.XLOOKUP($B122,'[2]May-25'!$A:$A,'[2]May-25'!$H:$H,0)</f>
        <v>0</v>
      </c>
      <c r="W122" s="17">
        <f>_xlfn.XLOOKUP($B122,'[2]Jun-25'!$A:$A,'[2]Jun-25'!$H:$H,0)</f>
        <v>0</v>
      </c>
      <c r="X122" s="17">
        <f>_xlfn.XLOOKUP($B122,'[2]Jul-25'!$A:$A,'[2]Jul-25'!$H:$H,0)</f>
        <v>0</v>
      </c>
      <c r="Y122" s="17">
        <f>_xlfn.XLOOKUP($B122,'[2]Aug-25'!$A:$A,'[2]Aug-25'!$H:$H,0)</f>
        <v>0</v>
      </c>
      <c r="Z122" s="17">
        <f>_xlfn.XLOOKUP($B122,'[2]Sep-25'!$A:$A,'[2]Sep-25'!$H:$H,0)</f>
        <v>0</v>
      </c>
      <c r="AA122" s="17">
        <f>_xlfn.XLOOKUP($B122,'[2]Oct-25'!$A:$A,'[2]Oct-25'!$H:$H,0)</f>
        <v>0</v>
      </c>
      <c r="AB122" s="17">
        <f>_xlfn.XLOOKUP($B122,'[2]Nov-25'!$A:$A,'[2]Nov-25'!$H:$H,0)</f>
        <v>0</v>
      </c>
      <c r="AC122" s="17">
        <f>_xlfn.XLOOKUP($B122,'[2]Dec-25'!$A:$A,'[2]Dec-25'!$H:$H,0)</f>
        <v>0</v>
      </c>
      <c r="AD122" s="17">
        <f>_xlfn.XLOOKUP($B122,'[2]Jan-26'!$A:$A,'[2]Jan-26'!$H:$H,0)</f>
        <v>0</v>
      </c>
      <c r="AE122" s="17">
        <f>_xlfn.XLOOKUP($B122,'[2]Feb-26'!$A:$A,'[2]Feb-26'!$H:$H,0)</f>
        <v>0</v>
      </c>
      <c r="AF122" s="17">
        <f>_xlfn.XLOOKUP($B122,'[2]Mar-26'!$A:$A,'[2]Mar-26'!$H:$H,0)</f>
        <v>0</v>
      </c>
      <c r="AG122" s="17">
        <f>_xlfn.XLOOKUP($B122,'[2]Apr-26'!$A:$A,'[2]Apr-26'!$H:$H,0)</f>
        <v>0</v>
      </c>
    </row>
    <row r="123" spans="1:33" x14ac:dyDescent="0.2">
      <c r="A123" s="58">
        <v>40300</v>
      </c>
      <c r="B123" s="56" t="str">
        <f t="shared" si="3"/>
        <v>40300</v>
      </c>
      <c r="C123" s="57" t="s">
        <v>486</v>
      </c>
      <c r="D123" s="57" t="s">
        <v>369</v>
      </c>
      <c r="E123" s="44" t="s">
        <v>817</v>
      </c>
      <c r="F123" s="17">
        <f>_xlfn.XLOOKUP($B123,'[2]Jan-24'!$A:$A,'[2]Jan-24'!$H:$H,0)</f>
        <v>0</v>
      </c>
      <c r="G123" s="17">
        <f>_xlfn.XLOOKUP($B123,'[2]Feb-24'!$A:$A,'[2]Feb-24'!$H:$H,0)</f>
        <v>0</v>
      </c>
      <c r="H123" s="17">
        <f>_xlfn.XLOOKUP($B123,'[2]Mar-24'!$A:$A,'[2]Mar-24'!$H:$H,0)</f>
        <v>0</v>
      </c>
      <c r="I123" s="17">
        <f>_xlfn.XLOOKUP($B123,'[2]Apr-24'!$A:$A,'[2]Apr-24'!$H:$H,0)</f>
        <v>0</v>
      </c>
      <c r="J123" s="17">
        <f>_xlfn.XLOOKUP($B123,'[2]May-24'!$A:$A,'[2]May-24'!$H:$H,0)</f>
        <v>0</v>
      </c>
      <c r="K123" s="17">
        <f>_xlfn.XLOOKUP($B123,'[2]Jun-24'!$A:$A,'[2]Jun-24'!$H:$H,0)</f>
        <v>0</v>
      </c>
      <c r="L123" s="17">
        <f>_xlfn.XLOOKUP($B123,'[2]Jul-24'!$A:$A,'[2]Jul-24'!$H:$H,0)</f>
        <v>0</v>
      </c>
      <c r="M123" s="17">
        <f>_xlfn.XLOOKUP($B123,'[2]Aug-24'!$A:$A,'[2]Aug-24'!$H:$H,0)</f>
        <v>0</v>
      </c>
      <c r="N123" s="17">
        <f>_xlfn.XLOOKUP($B123,'[2]Sep-24'!$A:$A,'[2]Sep-24'!$H:$H,0)</f>
        <v>0</v>
      </c>
      <c r="O123" s="17">
        <f>_xlfn.XLOOKUP($B123,'[2]Oct-24'!$A:$A,'[2]Oct-24'!$H:$H,0)</f>
        <v>0</v>
      </c>
      <c r="P123" s="17">
        <f>_xlfn.XLOOKUP($B123,'[2]Nov-24'!$A:$A,'[2]Nov-24'!$H:$H,0)</f>
        <v>0</v>
      </c>
      <c r="Q123" s="17">
        <f>_xlfn.XLOOKUP($B123,'[2]Dec-24'!$A:$A,'[2]Dec-24'!$H:$H,0)</f>
        <v>0</v>
      </c>
      <c r="R123" s="17">
        <f>_xlfn.XLOOKUP($B123,'[2]Jan-25'!$A:$A,'[2]Jan-25'!$H:$H,0)</f>
        <v>0</v>
      </c>
      <c r="S123" s="17">
        <f>_xlfn.XLOOKUP($B123,'[2]Feb-25'!$A:$A,'[2]Feb-25'!$H:$H,0)</f>
        <v>0</v>
      </c>
      <c r="T123" s="17">
        <f>_xlfn.XLOOKUP($B123,'[2]Mar-25'!$A:$A,'[2]Mar-25'!$H:$H,0)</f>
        <v>0</v>
      </c>
      <c r="U123" s="17">
        <f>_xlfn.XLOOKUP($B123,'[2]Apr-25'!$A:$A,'[2]Apr-25'!$H:$H,0)</f>
        <v>0</v>
      </c>
      <c r="V123" s="17">
        <f>_xlfn.XLOOKUP($B123,'[2]May-25'!$A:$A,'[2]May-25'!$H:$H,0)</f>
        <v>0</v>
      </c>
      <c r="W123" s="17">
        <f>_xlfn.XLOOKUP($B123,'[2]Jun-25'!$A:$A,'[2]Jun-25'!$H:$H,0)</f>
        <v>0</v>
      </c>
      <c r="X123" s="17">
        <f>_xlfn.XLOOKUP($B123,'[2]Jul-25'!$A:$A,'[2]Jul-25'!$H:$H,0)</f>
        <v>0</v>
      </c>
      <c r="Y123" s="17">
        <f>_xlfn.XLOOKUP($B123,'[2]Aug-25'!$A:$A,'[2]Aug-25'!$H:$H,0)</f>
        <v>0</v>
      </c>
      <c r="Z123" s="17">
        <f>_xlfn.XLOOKUP($B123,'[2]Sep-25'!$A:$A,'[2]Sep-25'!$H:$H,0)</f>
        <v>0</v>
      </c>
      <c r="AA123" s="17">
        <f>_xlfn.XLOOKUP($B123,'[2]Oct-25'!$A:$A,'[2]Oct-25'!$H:$H,0)</f>
        <v>0</v>
      </c>
      <c r="AB123" s="17">
        <f>_xlfn.XLOOKUP($B123,'[2]Nov-25'!$A:$A,'[2]Nov-25'!$H:$H,0)</f>
        <v>0</v>
      </c>
      <c r="AC123" s="17">
        <f>_xlfn.XLOOKUP($B123,'[2]Dec-25'!$A:$A,'[2]Dec-25'!$H:$H,0)</f>
        <v>0</v>
      </c>
      <c r="AD123" s="17">
        <f>_xlfn.XLOOKUP($B123,'[2]Jan-26'!$A:$A,'[2]Jan-26'!$H:$H,0)</f>
        <v>0</v>
      </c>
      <c r="AE123" s="17">
        <f>_xlfn.XLOOKUP($B123,'[2]Feb-26'!$A:$A,'[2]Feb-26'!$H:$H,0)</f>
        <v>0</v>
      </c>
      <c r="AF123" s="17">
        <f>_xlfn.XLOOKUP($B123,'[2]Mar-26'!$A:$A,'[2]Mar-26'!$H:$H,0)</f>
        <v>0</v>
      </c>
      <c r="AG123" s="17">
        <f>_xlfn.XLOOKUP($B123,'[2]Apr-26'!$A:$A,'[2]Apr-26'!$H:$H,0)</f>
        <v>0</v>
      </c>
    </row>
    <row r="124" spans="1:33" x14ac:dyDescent="0.2">
      <c r="A124" s="58">
        <v>41000</v>
      </c>
      <c r="B124" s="56" t="str">
        <f t="shared" si="3"/>
        <v>41000</v>
      </c>
      <c r="C124" s="57" t="s">
        <v>471</v>
      </c>
      <c r="D124" s="57" t="s">
        <v>369</v>
      </c>
      <c r="E124" s="44" t="s">
        <v>510</v>
      </c>
      <c r="F124" s="17">
        <f>_xlfn.XLOOKUP($B124,'[2]Jan-24'!$A:$A,'[2]Jan-24'!$H:$H,0)</f>
        <v>0</v>
      </c>
      <c r="G124" s="17">
        <f>_xlfn.XLOOKUP($B124,'[2]Feb-24'!$A:$A,'[2]Feb-24'!$H:$H,0)</f>
        <v>0</v>
      </c>
      <c r="H124" s="17">
        <f>_xlfn.XLOOKUP($B124,'[2]Mar-24'!$A:$A,'[2]Mar-24'!$H:$H,0)</f>
        <v>0</v>
      </c>
      <c r="I124" s="17">
        <f>_xlfn.XLOOKUP($B124,'[2]Apr-24'!$A:$A,'[2]Apr-24'!$H:$H,0)</f>
        <v>0</v>
      </c>
      <c r="J124" s="17">
        <f>_xlfn.XLOOKUP($B124,'[2]May-24'!$A:$A,'[2]May-24'!$H:$H,0)</f>
        <v>0</v>
      </c>
      <c r="K124" s="17">
        <f>_xlfn.XLOOKUP($B124,'[2]Jun-24'!$A:$A,'[2]Jun-24'!$H:$H,0)</f>
        <v>0</v>
      </c>
      <c r="L124" s="17">
        <f>_xlfn.XLOOKUP($B124,'[2]Jul-24'!$A:$A,'[2]Jul-24'!$H:$H,0)</f>
        <v>0</v>
      </c>
      <c r="M124" s="17">
        <f>_xlfn.XLOOKUP($B124,'[2]Aug-24'!$A:$A,'[2]Aug-24'!$H:$H,0)</f>
        <v>0</v>
      </c>
      <c r="N124" s="17">
        <f>_xlfn.XLOOKUP($B124,'[2]Sep-24'!$A:$A,'[2]Sep-24'!$H:$H,0)</f>
        <v>0</v>
      </c>
      <c r="O124" s="17">
        <f>_xlfn.XLOOKUP($B124,'[2]Oct-24'!$A:$A,'[2]Oct-24'!$H:$H,0)</f>
        <v>0</v>
      </c>
      <c r="P124" s="17">
        <f>_xlfn.XLOOKUP($B124,'[2]Nov-24'!$A:$A,'[2]Nov-24'!$H:$H,0)</f>
        <v>0</v>
      </c>
      <c r="Q124" s="17">
        <f>_xlfn.XLOOKUP($B124,'[2]Dec-24'!$A:$A,'[2]Dec-24'!$H:$H,0)</f>
        <v>0</v>
      </c>
      <c r="R124" s="17">
        <f>_xlfn.XLOOKUP($B124,'[2]Jan-25'!$A:$A,'[2]Jan-25'!$H:$H,0)</f>
        <v>0</v>
      </c>
      <c r="S124" s="17">
        <f>_xlfn.XLOOKUP($B124,'[2]Feb-25'!$A:$A,'[2]Feb-25'!$H:$H,0)</f>
        <v>0</v>
      </c>
      <c r="T124" s="17">
        <f>_xlfn.XLOOKUP($B124,'[2]Mar-25'!$A:$A,'[2]Mar-25'!$H:$H,0)</f>
        <v>0</v>
      </c>
      <c r="U124" s="17">
        <f>_xlfn.XLOOKUP($B124,'[2]Apr-25'!$A:$A,'[2]Apr-25'!$H:$H,0)</f>
        <v>0</v>
      </c>
      <c r="V124" s="17">
        <f>_xlfn.XLOOKUP($B124,'[2]May-25'!$A:$A,'[2]May-25'!$H:$H,0)</f>
        <v>0</v>
      </c>
      <c r="W124" s="17">
        <f>_xlfn.XLOOKUP($B124,'[2]Jun-25'!$A:$A,'[2]Jun-25'!$H:$H,0)</f>
        <v>0</v>
      </c>
      <c r="X124" s="17">
        <f>_xlfn.XLOOKUP($B124,'[2]Jul-25'!$A:$A,'[2]Jul-25'!$H:$H,0)</f>
        <v>0</v>
      </c>
      <c r="Y124" s="17">
        <f>_xlfn.XLOOKUP($B124,'[2]Aug-25'!$A:$A,'[2]Aug-25'!$H:$H,0)</f>
        <v>0</v>
      </c>
      <c r="Z124" s="17">
        <f>_xlfn.XLOOKUP($B124,'[2]Sep-25'!$A:$A,'[2]Sep-25'!$H:$H,0)</f>
        <v>0</v>
      </c>
      <c r="AA124" s="17">
        <f>_xlfn.XLOOKUP($B124,'[2]Oct-25'!$A:$A,'[2]Oct-25'!$H:$H,0)</f>
        <v>0</v>
      </c>
      <c r="AB124" s="17">
        <f>_xlfn.XLOOKUP($B124,'[2]Nov-25'!$A:$A,'[2]Nov-25'!$H:$H,0)</f>
        <v>0</v>
      </c>
      <c r="AC124" s="17">
        <f>_xlfn.XLOOKUP($B124,'[2]Dec-25'!$A:$A,'[2]Dec-25'!$H:$H,0)</f>
        <v>0</v>
      </c>
      <c r="AD124" s="17">
        <f>_xlfn.XLOOKUP($B124,'[2]Jan-26'!$A:$A,'[2]Jan-26'!$H:$H,0)</f>
        <v>0</v>
      </c>
      <c r="AE124" s="17">
        <f>_xlfn.XLOOKUP($B124,'[2]Feb-26'!$A:$A,'[2]Feb-26'!$H:$H,0)</f>
        <v>0</v>
      </c>
      <c r="AF124" s="17">
        <f>_xlfn.XLOOKUP($B124,'[2]Mar-26'!$A:$A,'[2]Mar-26'!$H:$H,0)</f>
        <v>0</v>
      </c>
      <c r="AG124" s="17">
        <f>_xlfn.XLOOKUP($B124,'[2]Apr-26'!$A:$A,'[2]Apr-26'!$H:$H,0)</f>
        <v>0</v>
      </c>
    </row>
    <row r="125" spans="1:33" x14ac:dyDescent="0.2">
      <c r="A125" s="58">
        <v>49000</v>
      </c>
      <c r="B125" s="56" t="str">
        <f t="shared" si="3"/>
        <v>49000</v>
      </c>
      <c r="C125" s="57" t="s">
        <v>486</v>
      </c>
      <c r="D125" s="57" t="s">
        <v>369</v>
      </c>
      <c r="E125" s="44" t="s">
        <v>514</v>
      </c>
      <c r="F125" s="17">
        <f>_xlfn.XLOOKUP($B125,'[2]Jan-24'!$A:$A,'[2]Jan-24'!$H:$H,0)</f>
        <v>0</v>
      </c>
      <c r="G125" s="17">
        <f>_xlfn.XLOOKUP($B125,'[2]Feb-24'!$A:$A,'[2]Feb-24'!$H:$H,0)</f>
        <v>0</v>
      </c>
      <c r="H125" s="17">
        <f>_xlfn.XLOOKUP($B125,'[2]Mar-24'!$A:$A,'[2]Mar-24'!$H:$H,0)</f>
        <v>0</v>
      </c>
      <c r="I125" s="17">
        <f>_xlfn.XLOOKUP($B125,'[2]Apr-24'!$A:$A,'[2]Apr-24'!$H:$H,0)</f>
        <v>0</v>
      </c>
      <c r="J125" s="17">
        <f>_xlfn.XLOOKUP($B125,'[2]May-24'!$A:$A,'[2]May-24'!$H:$H,0)</f>
        <v>0</v>
      </c>
      <c r="K125" s="17">
        <f>_xlfn.XLOOKUP($B125,'[2]Jun-24'!$A:$A,'[2]Jun-24'!$H:$H,0)</f>
        <v>0</v>
      </c>
      <c r="L125" s="17">
        <f>_xlfn.XLOOKUP($B125,'[2]Jul-24'!$A:$A,'[2]Jul-24'!$H:$H,0)</f>
        <v>0</v>
      </c>
      <c r="M125" s="17">
        <f>_xlfn.XLOOKUP($B125,'[2]Aug-24'!$A:$A,'[2]Aug-24'!$H:$H,0)</f>
        <v>0</v>
      </c>
      <c r="N125" s="17">
        <f>_xlfn.XLOOKUP($B125,'[2]Sep-24'!$A:$A,'[2]Sep-24'!$H:$H,0)</f>
        <v>0</v>
      </c>
      <c r="O125" s="17">
        <f>_xlfn.XLOOKUP($B125,'[2]Oct-24'!$A:$A,'[2]Oct-24'!$H:$H,0)</f>
        <v>0</v>
      </c>
      <c r="P125" s="17">
        <f>_xlfn.XLOOKUP($B125,'[2]Nov-24'!$A:$A,'[2]Nov-24'!$H:$H,0)</f>
        <v>0</v>
      </c>
      <c r="Q125" s="17">
        <f>_xlfn.XLOOKUP($B125,'[2]Dec-24'!$A:$A,'[2]Dec-24'!$H:$H,0)</f>
        <v>0</v>
      </c>
      <c r="R125" s="17">
        <f>_xlfn.XLOOKUP($B125,'[2]Jan-25'!$A:$A,'[2]Jan-25'!$H:$H,0)</f>
        <v>0</v>
      </c>
      <c r="S125" s="17">
        <f>_xlfn.XLOOKUP($B125,'[2]Feb-25'!$A:$A,'[2]Feb-25'!$H:$H,0)</f>
        <v>0</v>
      </c>
      <c r="T125" s="17">
        <f>_xlfn.XLOOKUP($B125,'[2]Mar-25'!$A:$A,'[2]Mar-25'!$H:$H,0)</f>
        <v>0</v>
      </c>
      <c r="U125" s="17">
        <f>_xlfn.XLOOKUP($B125,'[2]Apr-25'!$A:$A,'[2]Apr-25'!$H:$H,0)</f>
        <v>0</v>
      </c>
      <c r="V125" s="17">
        <f>_xlfn.XLOOKUP($B125,'[2]May-25'!$A:$A,'[2]May-25'!$H:$H,0)</f>
        <v>0</v>
      </c>
      <c r="W125" s="17">
        <f>_xlfn.XLOOKUP($B125,'[2]Jun-25'!$A:$A,'[2]Jun-25'!$H:$H,0)</f>
        <v>0</v>
      </c>
      <c r="X125" s="17">
        <f>_xlfn.XLOOKUP($B125,'[2]Jul-25'!$A:$A,'[2]Jul-25'!$H:$H,0)</f>
        <v>0</v>
      </c>
      <c r="Y125" s="17">
        <f>_xlfn.XLOOKUP($B125,'[2]Aug-25'!$A:$A,'[2]Aug-25'!$H:$H,0)</f>
        <v>0</v>
      </c>
      <c r="Z125" s="17">
        <f>_xlfn.XLOOKUP($B125,'[2]Sep-25'!$A:$A,'[2]Sep-25'!$H:$H,0)</f>
        <v>0</v>
      </c>
      <c r="AA125" s="17">
        <f>_xlfn.XLOOKUP($B125,'[2]Oct-25'!$A:$A,'[2]Oct-25'!$H:$H,0)</f>
        <v>0</v>
      </c>
      <c r="AB125" s="17">
        <f>_xlfn.XLOOKUP($B125,'[2]Nov-25'!$A:$A,'[2]Nov-25'!$H:$H,0)</f>
        <v>0</v>
      </c>
      <c r="AC125" s="17">
        <f>_xlfn.XLOOKUP($B125,'[2]Dec-25'!$A:$A,'[2]Dec-25'!$H:$H,0)</f>
        <v>0</v>
      </c>
      <c r="AD125" s="17">
        <f>_xlfn.XLOOKUP($B125,'[2]Jan-26'!$A:$A,'[2]Jan-26'!$H:$H,0)</f>
        <v>0</v>
      </c>
      <c r="AE125" s="17">
        <f>_xlfn.XLOOKUP($B125,'[2]Feb-26'!$A:$A,'[2]Feb-26'!$H:$H,0)</f>
        <v>0</v>
      </c>
      <c r="AF125" s="17">
        <f>_xlfn.XLOOKUP($B125,'[2]Mar-26'!$A:$A,'[2]Mar-26'!$H:$H,0)</f>
        <v>0</v>
      </c>
      <c r="AG125" s="17">
        <f>_xlfn.XLOOKUP($B125,'[2]Apr-26'!$A:$A,'[2]Apr-26'!$H:$H,0)</f>
        <v>0</v>
      </c>
    </row>
    <row r="126" spans="1:33" x14ac:dyDescent="0.2">
      <c r="A126" s="58">
        <v>49305</v>
      </c>
      <c r="B126" s="56" t="str">
        <f t="shared" si="3"/>
        <v>49305</v>
      </c>
      <c r="C126" s="57" t="s">
        <v>471</v>
      </c>
      <c r="D126" s="57" t="s">
        <v>369</v>
      </c>
      <c r="E126" s="44" t="s">
        <v>818</v>
      </c>
      <c r="F126" s="17">
        <f>_xlfn.XLOOKUP($B126,'[2]Jan-24'!$A:$A,'[2]Jan-24'!$H:$H,0)</f>
        <v>0</v>
      </c>
      <c r="G126" s="17">
        <f>_xlfn.XLOOKUP($B126,'[2]Feb-24'!$A:$A,'[2]Feb-24'!$H:$H,0)</f>
        <v>0</v>
      </c>
      <c r="H126" s="17">
        <f>_xlfn.XLOOKUP($B126,'[2]Mar-24'!$A:$A,'[2]Mar-24'!$H:$H,0)</f>
        <v>0</v>
      </c>
      <c r="I126" s="17">
        <f>_xlfn.XLOOKUP($B126,'[2]Apr-24'!$A:$A,'[2]Apr-24'!$H:$H,0)</f>
        <v>0</v>
      </c>
      <c r="J126" s="17">
        <f>_xlfn.XLOOKUP($B126,'[2]May-24'!$A:$A,'[2]May-24'!$H:$H,0)</f>
        <v>0</v>
      </c>
      <c r="K126" s="17">
        <f>_xlfn.XLOOKUP($B126,'[2]Jun-24'!$A:$A,'[2]Jun-24'!$H:$H,0)</f>
        <v>0</v>
      </c>
      <c r="L126" s="17">
        <f>_xlfn.XLOOKUP($B126,'[2]Jul-24'!$A:$A,'[2]Jul-24'!$H:$H,0)</f>
        <v>0</v>
      </c>
      <c r="M126" s="17">
        <f>_xlfn.XLOOKUP($B126,'[2]Aug-24'!$A:$A,'[2]Aug-24'!$H:$H,0)</f>
        <v>0</v>
      </c>
      <c r="N126" s="17">
        <f>_xlfn.XLOOKUP($B126,'[2]Sep-24'!$A:$A,'[2]Sep-24'!$H:$H,0)</f>
        <v>0</v>
      </c>
      <c r="O126" s="17">
        <f>_xlfn.XLOOKUP($B126,'[2]Oct-24'!$A:$A,'[2]Oct-24'!$H:$H,0)</f>
        <v>0</v>
      </c>
      <c r="P126" s="17">
        <f>_xlfn.XLOOKUP($B126,'[2]Nov-24'!$A:$A,'[2]Nov-24'!$H:$H,0)</f>
        <v>0</v>
      </c>
      <c r="Q126" s="17">
        <f>_xlfn.XLOOKUP($B126,'[2]Dec-24'!$A:$A,'[2]Dec-24'!$H:$H,0)</f>
        <v>0</v>
      </c>
      <c r="R126" s="17">
        <f>_xlfn.XLOOKUP($B126,'[2]Jan-25'!$A:$A,'[2]Jan-25'!$H:$H,0)</f>
        <v>0</v>
      </c>
      <c r="S126" s="17">
        <f>_xlfn.XLOOKUP($B126,'[2]Feb-25'!$A:$A,'[2]Feb-25'!$H:$H,0)</f>
        <v>0</v>
      </c>
      <c r="T126" s="17">
        <f>_xlfn.XLOOKUP($B126,'[2]Mar-25'!$A:$A,'[2]Mar-25'!$H:$H,0)</f>
        <v>0</v>
      </c>
      <c r="U126" s="17">
        <f>_xlfn.XLOOKUP($B126,'[2]Apr-25'!$A:$A,'[2]Apr-25'!$H:$H,0)</f>
        <v>0</v>
      </c>
      <c r="V126" s="17">
        <f>_xlfn.XLOOKUP($B126,'[2]May-25'!$A:$A,'[2]May-25'!$H:$H,0)</f>
        <v>0</v>
      </c>
      <c r="W126" s="17">
        <f>_xlfn.XLOOKUP($B126,'[2]Jun-25'!$A:$A,'[2]Jun-25'!$H:$H,0)</f>
        <v>0</v>
      </c>
      <c r="X126" s="17">
        <f>_xlfn.XLOOKUP($B126,'[2]Jul-25'!$A:$A,'[2]Jul-25'!$H:$H,0)</f>
        <v>0</v>
      </c>
      <c r="Y126" s="17">
        <f>_xlfn.XLOOKUP($B126,'[2]Aug-25'!$A:$A,'[2]Aug-25'!$H:$H,0)</f>
        <v>0</v>
      </c>
      <c r="Z126" s="17">
        <f>_xlfn.XLOOKUP($B126,'[2]Sep-25'!$A:$A,'[2]Sep-25'!$H:$H,0)</f>
        <v>0</v>
      </c>
      <c r="AA126" s="17">
        <f>_xlfn.XLOOKUP($B126,'[2]Oct-25'!$A:$A,'[2]Oct-25'!$H:$H,0)</f>
        <v>0</v>
      </c>
      <c r="AB126" s="17">
        <f>_xlfn.XLOOKUP($B126,'[2]Nov-25'!$A:$A,'[2]Nov-25'!$H:$H,0)</f>
        <v>0</v>
      </c>
      <c r="AC126" s="17">
        <f>_xlfn.XLOOKUP($B126,'[2]Dec-25'!$A:$A,'[2]Dec-25'!$H:$H,0)</f>
        <v>0</v>
      </c>
      <c r="AD126" s="17">
        <f>_xlfn.XLOOKUP($B126,'[2]Jan-26'!$A:$A,'[2]Jan-26'!$H:$H,0)</f>
        <v>0</v>
      </c>
      <c r="AE126" s="17">
        <f>_xlfn.XLOOKUP($B126,'[2]Feb-26'!$A:$A,'[2]Feb-26'!$H:$H,0)</f>
        <v>0</v>
      </c>
      <c r="AF126" s="17">
        <f>_xlfn.XLOOKUP($B126,'[2]Mar-26'!$A:$A,'[2]Mar-26'!$H:$H,0)</f>
        <v>0</v>
      </c>
      <c r="AG126" s="17">
        <f>_xlfn.XLOOKUP($B126,'[2]Apr-26'!$A:$A,'[2]Apr-26'!$H:$H,0)</f>
        <v>0</v>
      </c>
    </row>
    <row r="127" spans="1:33" x14ac:dyDescent="0.2">
      <c r="A127" s="58">
        <v>49401</v>
      </c>
      <c r="B127" s="56" t="str">
        <f t="shared" si="3"/>
        <v>49401</v>
      </c>
      <c r="C127" s="57" t="s">
        <v>486</v>
      </c>
      <c r="D127" s="57" t="s">
        <v>369</v>
      </c>
      <c r="E127" s="44" t="s">
        <v>819</v>
      </c>
      <c r="F127" s="17">
        <f>_xlfn.XLOOKUP($B127,'[2]Jan-24'!$A:$A,'[2]Jan-24'!$H:$H,0)</f>
        <v>0</v>
      </c>
      <c r="G127" s="17">
        <f>_xlfn.XLOOKUP($B127,'[2]Feb-24'!$A:$A,'[2]Feb-24'!$H:$H,0)</f>
        <v>0</v>
      </c>
      <c r="H127" s="17">
        <f>_xlfn.XLOOKUP($B127,'[2]Mar-24'!$A:$A,'[2]Mar-24'!$H:$H,0)</f>
        <v>0</v>
      </c>
      <c r="I127" s="17">
        <f>_xlfn.XLOOKUP($B127,'[2]Apr-24'!$A:$A,'[2]Apr-24'!$H:$H,0)</f>
        <v>0</v>
      </c>
      <c r="J127" s="17">
        <f>_xlfn.XLOOKUP($B127,'[2]May-24'!$A:$A,'[2]May-24'!$H:$H,0)</f>
        <v>0</v>
      </c>
      <c r="K127" s="17">
        <f>_xlfn.XLOOKUP($B127,'[2]Jun-24'!$A:$A,'[2]Jun-24'!$H:$H,0)</f>
        <v>0</v>
      </c>
      <c r="L127" s="17">
        <f>_xlfn.XLOOKUP($B127,'[2]Jul-24'!$A:$A,'[2]Jul-24'!$H:$H,0)</f>
        <v>0</v>
      </c>
      <c r="M127" s="17">
        <f>_xlfn.XLOOKUP($B127,'[2]Aug-24'!$A:$A,'[2]Aug-24'!$H:$H,0)</f>
        <v>0</v>
      </c>
      <c r="N127" s="17">
        <f>_xlfn.XLOOKUP($B127,'[2]Sep-24'!$A:$A,'[2]Sep-24'!$H:$H,0)</f>
        <v>0</v>
      </c>
      <c r="O127" s="17">
        <f>_xlfn.XLOOKUP($B127,'[2]Oct-24'!$A:$A,'[2]Oct-24'!$H:$H,0)</f>
        <v>0</v>
      </c>
      <c r="P127" s="17">
        <f>_xlfn.XLOOKUP($B127,'[2]Nov-24'!$A:$A,'[2]Nov-24'!$H:$H,0)</f>
        <v>0</v>
      </c>
      <c r="Q127" s="17">
        <f>_xlfn.XLOOKUP($B127,'[2]Dec-24'!$A:$A,'[2]Dec-24'!$H:$H,0)</f>
        <v>0</v>
      </c>
      <c r="R127" s="17">
        <f>_xlfn.XLOOKUP($B127,'[2]Jan-25'!$A:$A,'[2]Jan-25'!$H:$H,0)</f>
        <v>-1.91</v>
      </c>
      <c r="S127" s="17">
        <f>_xlfn.XLOOKUP($B127,'[2]Feb-25'!$A:$A,'[2]Feb-25'!$H:$H,0)</f>
        <v>0</v>
      </c>
      <c r="T127" s="17">
        <f>_xlfn.XLOOKUP($B127,'[2]Mar-25'!$A:$A,'[2]Mar-25'!$H:$H,0)</f>
        <v>0</v>
      </c>
      <c r="U127" s="17">
        <f>_xlfn.XLOOKUP($B127,'[2]Apr-25'!$A:$A,'[2]Apr-25'!$H:$H,0)</f>
        <v>0</v>
      </c>
      <c r="V127" s="17">
        <f>_xlfn.XLOOKUP($B127,'[2]May-25'!$A:$A,'[2]May-25'!$H:$H,0)</f>
        <v>0</v>
      </c>
      <c r="W127" s="17">
        <f>_xlfn.XLOOKUP($B127,'[2]Jun-25'!$A:$A,'[2]Jun-25'!$H:$H,0)</f>
        <v>0</v>
      </c>
      <c r="X127" s="17">
        <f>_xlfn.XLOOKUP($B127,'[2]Jul-25'!$A:$A,'[2]Jul-25'!$H:$H,0)</f>
        <v>0</v>
      </c>
      <c r="Y127" s="17">
        <f>_xlfn.XLOOKUP($B127,'[2]Aug-25'!$A:$A,'[2]Aug-25'!$H:$H,0)</f>
        <v>-83.33</v>
      </c>
      <c r="Z127" s="17">
        <f>_xlfn.XLOOKUP($B127,'[2]Sep-25'!$A:$A,'[2]Sep-25'!$H:$H,0)</f>
        <v>0</v>
      </c>
      <c r="AA127" s="17">
        <f>_xlfn.XLOOKUP($B127,'[2]Oct-25'!$A:$A,'[2]Oct-25'!$H:$H,0)</f>
        <v>0</v>
      </c>
      <c r="AB127" s="17">
        <f>_xlfn.XLOOKUP($B127,'[2]Nov-25'!$A:$A,'[2]Nov-25'!$H:$H,0)</f>
        <v>0</v>
      </c>
      <c r="AC127" s="17">
        <f>_xlfn.XLOOKUP($B127,'[2]Dec-25'!$A:$A,'[2]Dec-25'!$H:$H,0)</f>
        <v>-11335.97</v>
      </c>
      <c r="AD127" s="17">
        <f>_xlfn.XLOOKUP($B127,'[2]Jan-26'!$A:$A,'[2]Jan-26'!$H:$H,0)</f>
        <v>0</v>
      </c>
      <c r="AE127" s="17">
        <f>_xlfn.XLOOKUP($B127,'[2]Feb-26'!$A:$A,'[2]Feb-26'!$H:$H,0)</f>
        <v>0</v>
      </c>
      <c r="AF127" s="17">
        <f>_xlfn.XLOOKUP($B127,'[2]Mar-26'!$A:$A,'[2]Mar-26'!$H:$H,0)</f>
        <v>0</v>
      </c>
      <c r="AG127" s="17">
        <f>_xlfn.XLOOKUP($B127,'[2]Apr-26'!$A:$A,'[2]Apr-26'!$H:$H,0)</f>
        <v>0</v>
      </c>
    </row>
    <row r="128" spans="1:33" x14ac:dyDescent="0.2">
      <c r="A128" s="58">
        <v>49405</v>
      </c>
      <c r="B128" s="56" t="str">
        <f t="shared" si="3"/>
        <v>49405</v>
      </c>
      <c r="C128" s="57" t="s">
        <v>471</v>
      </c>
      <c r="D128" s="57" t="s">
        <v>369</v>
      </c>
      <c r="E128" s="44" t="s">
        <v>102</v>
      </c>
      <c r="F128" s="17">
        <f>_xlfn.XLOOKUP($B128,'[2]Jan-24'!$A:$A,'[2]Jan-24'!$H:$H,0)</f>
        <v>0</v>
      </c>
      <c r="G128" s="17">
        <f>_xlfn.XLOOKUP($B128,'[2]Feb-24'!$A:$A,'[2]Feb-24'!$H:$H,0)</f>
        <v>0</v>
      </c>
      <c r="H128" s="17">
        <f>_xlfn.XLOOKUP($B128,'[2]Mar-24'!$A:$A,'[2]Mar-24'!$H:$H,0)</f>
        <v>0</v>
      </c>
      <c r="I128" s="17">
        <f>_xlfn.XLOOKUP($B128,'[2]Apr-24'!$A:$A,'[2]Apr-24'!$H:$H,0)</f>
        <v>0</v>
      </c>
      <c r="J128" s="17">
        <f>_xlfn.XLOOKUP($B128,'[2]May-24'!$A:$A,'[2]May-24'!$H:$H,0)</f>
        <v>0</v>
      </c>
      <c r="K128" s="17">
        <f>_xlfn.XLOOKUP($B128,'[2]Jun-24'!$A:$A,'[2]Jun-24'!$H:$H,0)</f>
        <v>0</v>
      </c>
      <c r="L128" s="17">
        <f>_xlfn.XLOOKUP($B128,'[2]Jul-24'!$A:$A,'[2]Jul-24'!$H:$H,0)</f>
        <v>0</v>
      </c>
      <c r="M128" s="17">
        <f>_xlfn.XLOOKUP($B128,'[2]Aug-24'!$A:$A,'[2]Aug-24'!$H:$H,0)</f>
        <v>0</v>
      </c>
      <c r="N128" s="17">
        <f>_xlfn.XLOOKUP($B128,'[2]Sep-24'!$A:$A,'[2]Sep-24'!$H:$H,0)</f>
        <v>0</v>
      </c>
      <c r="O128" s="17">
        <f>_xlfn.XLOOKUP($B128,'[2]Oct-24'!$A:$A,'[2]Oct-24'!$H:$H,0)</f>
        <v>0</v>
      </c>
      <c r="P128" s="17">
        <f>_xlfn.XLOOKUP($B128,'[2]Nov-24'!$A:$A,'[2]Nov-24'!$H:$H,0)</f>
        <v>0</v>
      </c>
      <c r="Q128" s="17">
        <f>_xlfn.XLOOKUP($B128,'[2]Dec-24'!$A:$A,'[2]Dec-24'!$H:$H,0)</f>
        <v>0</v>
      </c>
      <c r="R128" s="17">
        <f>_xlfn.XLOOKUP($B128,'[2]Jan-25'!$A:$A,'[2]Jan-25'!$H:$H,0)</f>
        <v>0</v>
      </c>
      <c r="S128" s="17">
        <f>_xlfn.XLOOKUP($B128,'[2]Feb-25'!$A:$A,'[2]Feb-25'!$H:$H,0)</f>
        <v>0</v>
      </c>
      <c r="T128" s="17">
        <f>_xlfn.XLOOKUP($B128,'[2]Mar-25'!$A:$A,'[2]Mar-25'!$H:$H,0)</f>
        <v>0</v>
      </c>
      <c r="U128" s="17">
        <f>_xlfn.XLOOKUP($B128,'[2]Apr-25'!$A:$A,'[2]Apr-25'!$H:$H,0)</f>
        <v>0</v>
      </c>
      <c r="V128" s="17">
        <f>_xlfn.XLOOKUP($B128,'[2]May-25'!$A:$A,'[2]May-25'!$H:$H,0)</f>
        <v>0</v>
      </c>
      <c r="W128" s="17">
        <f>_xlfn.XLOOKUP($B128,'[2]Jun-25'!$A:$A,'[2]Jun-25'!$H:$H,0)</f>
        <v>0</v>
      </c>
      <c r="X128" s="17">
        <f>_xlfn.XLOOKUP($B128,'[2]Jul-25'!$A:$A,'[2]Jul-25'!$H:$H,0)</f>
        <v>0</v>
      </c>
      <c r="Y128" s="17">
        <f>_xlfn.XLOOKUP($B128,'[2]Aug-25'!$A:$A,'[2]Aug-25'!$H:$H,0)</f>
        <v>0</v>
      </c>
      <c r="Z128" s="17">
        <f>_xlfn.XLOOKUP($B128,'[2]Sep-25'!$A:$A,'[2]Sep-25'!$H:$H,0)</f>
        <v>0</v>
      </c>
      <c r="AA128" s="17">
        <f>_xlfn.XLOOKUP($B128,'[2]Oct-25'!$A:$A,'[2]Oct-25'!$H:$H,0)</f>
        <v>0</v>
      </c>
      <c r="AB128" s="17">
        <f>_xlfn.XLOOKUP($B128,'[2]Nov-25'!$A:$A,'[2]Nov-25'!$H:$H,0)</f>
        <v>0</v>
      </c>
      <c r="AC128" s="17">
        <f>_xlfn.XLOOKUP($B128,'[2]Dec-25'!$A:$A,'[2]Dec-25'!$H:$H,0)</f>
        <v>0</v>
      </c>
      <c r="AD128" s="17">
        <f>_xlfn.XLOOKUP($B128,'[2]Jan-26'!$A:$A,'[2]Jan-26'!$H:$H,0)</f>
        <v>0</v>
      </c>
      <c r="AE128" s="17">
        <f>_xlfn.XLOOKUP($B128,'[2]Feb-26'!$A:$A,'[2]Feb-26'!$H:$H,0)</f>
        <v>0</v>
      </c>
      <c r="AF128" s="17">
        <f>_xlfn.XLOOKUP($B128,'[2]Mar-26'!$A:$A,'[2]Mar-26'!$H:$H,0)</f>
        <v>0</v>
      </c>
      <c r="AG128" s="17">
        <f>_xlfn.XLOOKUP($B128,'[2]Apr-26'!$A:$A,'[2]Apr-26'!$H:$H,0)</f>
        <v>0</v>
      </c>
    </row>
    <row r="129" spans="1:33" x14ac:dyDescent="0.2">
      <c r="A129" s="58">
        <v>50000</v>
      </c>
      <c r="B129" s="56" t="str">
        <f t="shared" si="3"/>
        <v>50000</v>
      </c>
      <c r="C129" s="57" t="s">
        <v>517</v>
      </c>
      <c r="D129" s="57" t="s">
        <v>387</v>
      </c>
      <c r="E129" s="44" t="s">
        <v>518</v>
      </c>
      <c r="F129" s="17">
        <f>_xlfn.XLOOKUP($B129,'[2]Jan-24'!$A:$A,'[2]Jan-24'!$H:$H,0)</f>
        <v>0</v>
      </c>
      <c r="G129" s="17">
        <f>_xlfn.XLOOKUP($B129,'[2]Feb-24'!$A:$A,'[2]Feb-24'!$H:$H,0)</f>
        <v>0</v>
      </c>
      <c r="H129" s="17">
        <f>_xlfn.XLOOKUP($B129,'[2]Mar-24'!$A:$A,'[2]Mar-24'!$H:$H,0)</f>
        <v>0</v>
      </c>
      <c r="I129" s="17">
        <f>_xlfn.XLOOKUP($B129,'[2]Apr-24'!$A:$A,'[2]Apr-24'!$H:$H,0)</f>
        <v>336.28</v>
      </c>
      <c r="J129" s="17">
        <f>_xlfn.XLOOKUP($B129,'[2]May-24'!$A:$A,'[2]May-24'!$H:$H,0)</f>
        <v>0</v>
      </c>
      <c r="K129" s="17">
        <f>_xlfn.XLOOKUP($B129,'[2]Jun-24'!$A:$A,'[2]Jun-24'!$H:$H,0)</f>
        <v>0</v>
      </c>
      <c r="L129" s="17">
        <f>_xlfn.XLOOKUP($B129,'[2]Jul-24'!$A:$A,'[2]Jul-24'!$H:$H,0)</f>
        <v>0</v>
      </c>
      <c r="M129" s="17">
        <f>_xlfn.XLOOKUP($B129,'[2]Aug-24'!$A:$A,'[2]Aug-24'!$H:$H,0)</f>
        <v>0</v>
      </c>
      <c r="N129" s="17">
        <f>_xlfn.XLOOKUP($B129,'[2]Sep-24'!$A:$A,'[2]Sep-24'!$H:$H,0)</f>
        <v>0</v>
      </c>
      <c r="O129" s="17">
        <f>_xlfn.XLOOKUP($B129,'[2]Oct-24'!$A:$A,'[2]Oct-24'!$H:$H,0)</f>
        <v>0</v>
      </c>
      <c r="P129" s="17">
        <f>_xlfn.XLOOKUP($B129,'[2]Nov-24'!$A:$A,'[2]Nov-24'!$H:$H,0)</f>
        <v>0</v>
      </c>
      <c r="Q129" s="17">
        <f>_xlfn.XLOOKUP($B129,'[2]Dec-24'!$A:$A,'[2]Dec-24'!$H:$H,0)</f>
        <v>0</v>
      </c>
      <c r="R129" s="17">
        <f>_xlfn.XLOOKUP($B129,'[2]Jan-25'!$A:$A,'[2]Jan-25'!$H:$H,0)</f>
        <v>0</v>
      </c>
      <c r="S129" s="17">
        <f>_xlfn.XLOOKUP($B129,'[2]Feb-25'!$A:$A,'[2]Feb-25'!$H:$H,0)</f>
        <v>0</v>
      </c>
      <c r="T129" s="17">
        <f>_xlfn.XLOOKUP($B129,'[2]Mar-25'!$A:$A,'[2]Mar-25'!$H:$H,0)</f>
        <v>0</v>
      </c>
      <c r="U129" s="17">
        <f>_xlfn.XLOOKUP($B129,'[2]Apr-25'!$A:$A,'[2]Apr-25'!$H:$H,0)</f>
        <v>0</v>
      </c>
      <c r="V129" s="17">
        <f>_xlfn.XLOOKUP($B129,'[2]May-25'!$A:$A,'[2]May-25'!$H:$H,0)</f>
        <v>0</v>
      </c>
      <c r="W129" s="17">
        <f>_xlfn.XLOOKUP($B129,'[2]Jun-25'!$A:$A,'[2]Jun-25'!$H:$H,0)</f>
        <v>0</v>
      </c>
      <c r="X129" s="17">
        <f>_xlfn.XLOOKUP($B129,'[2]Jul-25'!$A:$A,'[2]Jul-25'!$H:$H,0)</f>
        <v>0</v>
      </c>
      <c r="Y129" s="17">
        <f>_xlfn.XLOOKUP($B129,'[2]Aug-25'!$A:$A,'[2]Aug-25'!$H:$H,0)</f>
        <v>0</v>
      </c>
      <c r="Z129" s="17">
        <f>_xlfn.XLOOKUP($B129,'[2]Sep-25'!$A:$A,'[2]Sep-25'!$H:$H,0)</f>
        <v>0</v>
      </c>
      <c r="AA129" s="17">
        <f>_xlfn.XLOOKUP($B129,'[2]Oct-25'!$A:$A,'[2]Oct-25'!$H:$H,0)</f>
        <v>0</v>
      </c>
      <c r="AB129" s="17">
        <f>_xlfn.XLOOKUP($B129,'[2]Nov-25'!$A:$A,'[2]Nov-25'!$H:$H,0)</f>
        <v>0</v>
      </c>
      <c r="AC129" s="17">
        <f>_xlfn.XLOOKUP($B129,'[2]Dec-25'!$A:$A,'[2]Dec-25'!$H:$H,0)</f>
        <v>0</v>
      </c>
      <c r="AD129" s="17">
        <f>_xlfn.XLOOKUP($B129,'[2]Jan-26'!$A:$A,'[2]Jan-26'!$H:$H,0)</f>
        <v>0</v>
      </c>
      <c r="AE129" s="17">
        <f>_xlfn.XLOOKUP($B129,'[2]Feb-26'!$A:$A,'[2]Feb-26'!$H:$H,0)</f>
        <v>0</v>
      </c>
      <c r="AF129" s="17">
        <f>_xlfn.XLOOKUP($B129,'[2]Mar-26'!$A:$A,'[2]Mar-26'!$H:$H,0)</f>
        <v>0</v>
      </c>
      <c r="AG129" s="17">
        <f>_xlfn.XLOOKUP($B129,'[2]Apr-26'!$A:$A,'[2]Apr-26'!$H:$H,0)</f>
        <v>0</v>
      </c>
    </row>
    <row r="130" spans="1:33" x14ac:dyDescent="0.2">
      <c r="A130" s="58">
        <v>50022</v>
      </c>
      <c r="B130" s="56" t="str">
        <f t="shared" si="3"/>
        <v>50022</v>
      </c>
      <c r="C130" s="57" t="s">
        <v>517</v>
      </c>
      <c r="D130" s="57" t="s">
        <v>387</v>
      </c>
      <c r="E130" s="44" t="s">
        <v>820</v>
      </c>
      <c r="F130" s="17">
        <f>_xlfn.XLOOKUP($B130,'[2]Jan-24'!$A:$A,'[2]Jan-24'!$H:$H,0)</f>
        <v>0</v>
      </c>
      <c r="G130" s="17">
        <f>_xlfn.XLOOKUP($B130,'[2]Feb-24'!$A:$A,'[2]Feb-24'!$H:$H,0)</f>
        <v>0</v>
      </c>
      <c r="H130" s="17">
        <f>_xlfn.XLOOKUP($B130,'[2]Mar-24'!$A:$A,'[2]Mar-24'!$H:$H,0)</f>
        <v>0</v>
      </c>
      <c r="I130" s="17">
        <f>_xlfn.XLOOKUP($B130,'[2]Apr-24'!$A:$A,'[2]Apr-24'!$H:$H,0)</f>
        <v>0</v>
      </c>
      <c r="J130" s="17">
        <f>_xlfn.XLOOKUP($B130,'[2]May-24'!$A:$A,'[2]May-24'!$H:$H,0)</f>
        <v>0</v>
      </c>
      <c r="K130" s="17">
        <f>_xlfn.XLOOKUP($B130,'[2]Jun-24'!$A:$A,'[2]Jun-24'!$H:$H,0)</f>
        <v>0</v>
      </c>
      <c r="L130" s="17">
        <f>_xlfn.XLOOKUP($B130,'[2]Jul-24'!$A:$A,'[2]Jul-24'!$H:$H,0)</f>
        <v>0</v>
      </c>
      <c r="M130" s="17">
        <f>_xlfn.XLOOKUP($B130,'[2]Aug-24'!$A:$A,'[2]Aug-24'!$H:$H,0)</f>
        <v>0</v>
      </c>
      <c r="N130" s="17">
        <f>_xlfn.XLOOKUP($B130,'[2]Sep-24'!$A:$A,'[2]Sep-24'!$H:$H,0)</f>
        <v>0</v>
      </c>
      <c r="O130" s="17">
        <f>_xlfn.XLOOKUP($B130,'[2]Oct-24'!$A:$A,'[2]Oct-24'!$H:$H,0)</f>
        <v>0</v>
      </c>
      <c r="P130" s="17">
        <f>_xlfn.XLOOKUP($B130,'[2]Nov-24'!$A:$A,'[2]Nov-24'!$H:$H,0)</f>
        <v>0</v>
      </c>
      <c r="Q130" s="17">
        <f>_xlfn.XLOOKUP($B130,'[2]Dec-24'!$A:$A,'[2]Dec-24'!$H:$H,0)</f>
        <v>0</v>
      </c>
      <c r="R130" s="17">
        <f>_xlfn.XLOOKUP($B130,'[2]Jan-25'!$A:$A,'[2]Jan-25'!$H:$H,0)</f>
        <v>0</v>
      </c>
      <c r="S130" s="17">
        <f>_xlfn.XLOOKUP($B130,'[2]Feb-25'!$A:$A,'[2]Feb-25'!$H:$H,0)</f>
        <v>0</v>
      </c>
      <c r="T130" s="17">
        <f>_xlfn.XLOOKUP($B130,'[2]Mar-25'!$A:$A,'[2]Mar-25'!$H:$H,0)</f>
        <v>0</v>
      </c>
      <c r="U130" s="17">
        <f>_xlfn.XLOOKUP($B130,'[2]Apr-25'!$A:$A,'[2]Apr-25'!$H:$H,0)</f>
        <v>0</v>
      </c>
      <c r="V130" s="17">
        <f>_xlfn.XLOOKUP($B130,'[2]May-25'!$A:$A,'[2]May-25'!$H:$H,0)</f>
        <v>0</v>
      </c>
      <c r="W130" s="17">
        <f>_xlfn.XLOOKUP($B130,'[2]Jun-25'!$A:$A,'[2]Jun-25'!$H:$H,0)</f>
        <v>0</v>
      </c>
      <c r="X130" s="17">
        <f>_xlfn.XLOOKUP($B130,'[2]Jul-25'!$A:$A,'[2]Jul-25'!$H:$H,0)</f>
        <v>0</v>
      </c>
      <c r="Y130" s="17">
        <f>_xlfn.XLOOKUP($B130,'[2]Aug-25'!$A:$A,'[2]Aug-25'!$H:$H,0)</f>
        <v>0</v>
      </c>
      <c r="Z130" s="17">
        <f>_xlfn.XLOOKUP($B130,'[2]Sep-25'!$A:$A,'[2]Sep-25'!$H:$H,0)</f>
        <v>0</v>
      </c>
      <c r="AA130" s="17">
        <f>_xlfn.XLOOKUP($B130,'[2]Oct-25'!$A:$A,'[2]Oct-25'!$H:$H,0)</f>
        <v>0</v>
      </c>
      <c r="AB130" s="17">
        <f>_xlfn.XLOOKUP($B130,'[2]Nov-25'!$A:$A,'[2]Nov-25'!$H:$H,0)</f>
        <v>0</v>
      </c>
      <c r="AC130" s="17">
        <f>_xlfn.XLOOKUP($B130,'[2]Dec-25'!$A:$A,'[2]Dec-25'!$H:$H,0)</f>
        <v>0</v>
      </c>
      <c r="AD130" s="17">
        <f>_xlfn.XLOOKUP($B130,'[2]Jan-26'!$A:$A,'[2]Jan-26'!$H:$H,0)</f>
        <v>0</v>
      </c>
      <c r="AE130" s="17">
        <f>_xlfn.XLOOKUP($B130,'[2]Feb-26'!$A:$A,'[2]Feb-26'!$H:$H,0)</f>
        <v>0</v>
      </c>
      <c r="AF130" s="17">
        <f>_xlfn.XLOOKUP($B130,'[2]Mar-26'!$A:$A,'[2]Mar-26'!$H:$H,0)</f>
        <v>0</v>
      </c>
      <c r="AG130" s="17">
        <f>_xlfn.XLOOKUP($B130,'[2]Apr-26'!$A:$A,'[2]Apr-26'!$H:$H,0)</f>
        <v>0</v>
      </c>
    </row>
    <row r="131" spans="1:33" x14ac:dyDescent="0.2">
      <c r="A131" s="58">
        <v>50050</v>
      </c>
      <c r="B131" s="56" t="str">
        <f t="shared" si="3"/>
        <v>50050</v>
      </c>
      <c r="C131" s="57" t="s">
        <v>517</v>
      </c>
      <c r="D131" s="57" t="s">
        <v>387</v>
      </c>
      <c r="E131" s="44" t="s">
        <v>113</v>
      </c>
      <c r="F131" s="17">
        <f>_xlfn.XLOOKUP($B131,'[2]Jan-24'!$A:$A,'[2]Jan-24'!$H:$H,0)</f>
        <v>0</v>
      </c>
      <c r="G131" s="17">
        <f>_xlfn.XLOOKUP($B131,'[2]Feb-24'!$A:$A,'[2]Feb-24'!$H:$H,0)</f>
        <v>0</v>
      </c>
      <c r="H131" s="17">
        <f>_xlfn.XLOOKUP($B131,'[2]Mar-24'!$A:$A,'[2]Mar-24'!$H:$H,0)</f>
        <v>0</v>
      </c>
      <c r="I131" s="17">
        <f>_xlfn.XLOOKUP($B131,'[2]Apr-24'!$A:$A,'[2]Apr-24'!$H:$H,0)</f>
        <v>0</v>
      </c>
      <c r="J131" s="17">
        <f>_xlfn.XLOOKUP($B131,'[2]May-24'!$A:$A,'[2]May-24'!$H:$H,0)</f>
        <v>0</v>
      </c>
      <c r="K131" s="17">
        <f>_xlfn.XLOOKUP($B131,'[2]Jun-24'!$A:$A,'[2]Jun-24'!$H:$H,0)</f>
        <v>0</v>
      </c>
      <c r="L131" s="17">
        <f>_xlfn.XLOOKUP($B131,'[2]Jul-24'!$A:$A,'[2]Jul-24'!$H:$H,0)</f>
        <v>0</v>
      </c>
      <c r="M131" s="17">
        <f>_xlfn.XLOOKUP($B131,'[2]Aug-24'!$A:$A,'[2]Aug-24'!$H:$H,0)</f>
        <v>0</v>
      </c>
      <c r="N131" s="17">
        <f>_xlfn.XLOOKUP($B131,'[2]Sep-24'!$A:$A,'[2]Sep-24'!$H:$H,0)</f>
        <v>0</v>
      </c>
      <c r="O131" s="17">
        <f>_xlfn.XLOOKUP($B131,'[2]Oct-24'!$A:$A,'[2]Oct-24'!$H:$H,0)</f>
        <v>0</v>
      </c>
      <c r="P131" s="17">
        <f>_xlfn.XLOOKUP($B131,'[2]Nov-24'!$A:$A,'[2]Nov-24'!$H:$H,0)</f>
        <v>0</v>
      </c>
      <c r="Q131" s="17">
        <f>_xlfn.XLOOKUP($B131,'[2]Dec-24'!$A:$A,'[2]Dec-24'!$H:$H,0)</f>
        <v>0</v>
      </c>
      <c r="R131" s="17">
        <f>_xlfn.XLOOKUP($B131,'[2]Jan-25'!$A:$A,'[2]Jan-25'!$H:$H,0)</f>
        <v>0</v>
      </c>
      <c r="S131" s="17">
        <f>_xlfn.XLOOKUP($B131,'[2]Feb-25'!$A:$A,'[2]Feb-25'!$H:$H,0)</f>
        <v>0</v>
      </c>
      <c r="T131" s="17">
        <f>_xlfn.XLOOKUP($B131,'[2]Mar-25'!$A:$A,'[2]Mar-25'!$H:$H,0)</f>
        <v>0</v>
      </c>
      <c r="U131" s="17">
        <f>_xlfn.XLOOKUP($B131,'[2]Apr-25'!$A:$A,'[2]Apr-25'!$H:$H,0)</f>
        <v>0</v>
      </c>
      <c r="V131" s="17">
        <f>_xlfn.XLOOKUP($B131,'[2]May-25'!$A:$A,'[2]May-25'!$H:$H,0)</f>
        <v>0</v>
      </c>
      <c r="W131" s="17">
        <f>_xlfn.XLOOKUP($B131,'[2]Jun-25'!$A:$A,'[2]Jun-25'!$H:$H,0)</f>
        <v>0</v>
      </c>
      <c r="X131" s="17">
        <f>_xlfn.XLOOKUP($B131,'[2]Jul-25'!$A:$A,'[2]Jul-25'!$H:$H,0)</f>
        <v>0</v>
      </c>
      <c r="Y131" s="17">
        <f>_xlfn.XLOOKUP($B131,'[2]Aug-25'!$A:$A,'[2]Aug-25'!$H:$H,0)</f>
        <v>0</v>
      </c>
      <c r="Z131" s="17">
        <f>_xlfn.XLOOKUP($B131,'[2]Sep-25'!$A:$A,'[2]Sep-25'!$H:$H,0)</f>
        <v>0</v>
      </c>
      <c r="AA131" s="17">
        <f>_xlfn.XLOOKUP($B131,'[2]Oct-25'!$A:$A,'[2]Oct-25'!$H:$H,0)</f>
        <v>0</v>
      </c>
      <c r="AB131" s="17">
        <f>_xlfn.XLOOKUP($B131,'[2]Nov-25'!$A:$A,'[2]Nov-25'!$H:$H,0)</f>
        <v>0</v>
      </c>
      <c r="AC131" s="17">
        <f>_xlfn.XLOOKUP($B131,'[2]Dec-25'!$A:$A,'[2]Dec-25'!$H:$H,0)</f>
        <v>0</v>
      </c>
      <c r="AD131" s="17">
        <f>_xlfn.XLOOKUP($B131,'[2]Jan-26'!$A:$A,'[2]Jan-26'!$H:$H,0)</f>
        <v>0</v>
      </c>
      <c r="AE131" s="17">
        <f>_xlfn.XLOOKUP($B131,'[2]Feb-26'!$A:$A,'[2]Feb-26'!$H:$H,0)</f>
        <v>0</v>
      </c>
      <c r="AF131" s="17">
        <f>_xlfn.XLOOKUP($B131,'[2]Mar-26'!$A:$A,'[2]Mar-26'!$H:$H,0)</f>
        <v>0</v>
      </c>
      <c r="AG131" s="17">
        <f>_xlfn.XLOOKUP($B131,'[2]Apr-26'!$A:$A,'[2]Apr-26'!$H:$H,0)</f>
        <v>0</v>
      </c>
    </row>
    <row r="132" spans="1:33" x14ac:dyDescent="0.2">
      <c r="A132" s="58">
        <v>50065</v>
      </c>
      <c r="B132" s="56" t="str">
        <f t="shared" si="3"/>
        <v>50065</v>
      </c>
      <c r="C132" s="57" t="s">
        <v>517</v>
      </c>
      <c r="D132" s="57" t="s">
        <v>387</v>
      </c>
      <c r="E132" s="44" t="s">
        <v>821</v>
      </c>
      <c r="F132" s="17">
        <f>_xlfn.XLOOKUP($B132,'[2]Jan-24'!$A:$A,'[2]Jan-24'!$H:$H,0)</f>
        <v>0</v>
      </c>
      <c r="G132" s="17">
        <f>_xlfn.XLOOKUP($B132,'[2]Feb-24'!$A:$A,'[2]Feb-24'!$H:$H,0)</f>
        <v>0</v>
      </c>
      <c r="H132" s="17">
        <f>_xlfn.XLOOKUP($B132,'[2]Mar-24'!$A:$A,'[2]Mar-24'!$H:$H,0)</f>
        <v>0</v>
      </c>
      <c r="I132" s="17">
        <f>_xlfn.XLOOKUP($B132,'[2]Apr-24'!$A:$A,'[2]Apr-24'!$H:$H,0)</f>
        <v>0</v>
      </c>
      <c r="J132" s="17">
        <f>_xlfn.XLOOKUP($B132,'[2]May-24'!$A:$A,'[2]May-24'!$H:$H,0)</f>
        <v>0</v>
      </c>
      <c r="K132" s="17">
        <f>_xlfn.XLOOKUP($B132,'[2]Jun-24'!$A:$A,'[2]Jun-24'!$H:$H,0)</f>
        <v>0</v>
      </c>
      <c r="L132" s="17">
        <f>_xlfn.XLOOKUP($B132,'[2]Jul-24'!$A:$A,'[2]Jul-24'!$H:$H,0)</f>
        <v>0</v>
      </c>
      <c r="M132" s="17">
        <f>_xlfn.XLOOKUP($B132,'[2]Aug-24'!$A:$A,'[2]Aug-24'!$H:$H,0)</f>
        <v>0</v>
      </c>
      <c r="N132" s="17">
        <f>_xlfn.XLOOKUP($B132,'[2]Sep-24'!$A:$A,'[2]Sep-24'!$H:$H,0)</f>
        <v>0</v>
      </c>
      <c r="O132" s="17">
        <f>_xlfn.XLOOKUP($B132,'[2]Oct-24'!$A:$A,'[2]Oct-24'!$H:$H,0)</f>
        <v>0</v>
      </c>
      <c r="P132" s="17">
        <f>_xlfn.XLOOKUP($B132,'[2]Nov-24'!$A:$A,'[2]Nov-24'!$H:$H,0)</f>
        <v>0</v>
      </c>
      <c r="Q132" s="17">
        <f>_xlfn.XLOOKUP($B132,'[2]Dec-24'!$A:$A,'[2]Dec-24'!$H:$H,0)</f>
        <v>0</v>
      </c>
      <c r="R132" s="17">
        <f>_xlfn.XLOOKUP($B132,'[2]Jan-25'!$A:$A,'[2]Jan-25'!$H:$H,0)</f>
        <v>0</v>
      </c>
      <c r="S132" s="17">
        <f>_xlfn.XLOOKUP($B132,'[2]Feb-25'!$A:$A,'[2]Feb-25'!$H:$H,0)</f>
        <v>0</v>
      </c>
      <c r="T132" s="17">
        <f>_xlfn.XLOOKUP($B132,'[2]Mar-25'!$A:$A,'[2]Mar-25'!$H:$H,0)</f>
        <v>0</v>
      </c>
      <c r="U132" s="17">
        <f>_xlfn.XLOOKUP($B132,'[2]Apr-25'!$A:$A,'[2]Apr-25'!$H:$H,0)</f>
        <v>0</v>
      </c>
      <c r="V132" s="17">
        <f>_xlfn.XLOOKUP($B132,'[2]May-25'!$A:$A,'[2]May-25'!$H:$H,0)</f>
        <v>0</v>
      </c>
      <c r="W132" s="17">
        <f>_xlfn.XLOOKUP($B132,'[2]Jun-25'!$A:$A,'[2]Jun-25'!$H:$H,0)</f>
        <v>0</v>
      </c>
      <c r="X132" s="17">
        <f>_xlfn.XLOOKUP($B132,'[2]Jul-25'!$A:$A,'[2]Jul-25'!$H:$H,0)</f>
        <v>0</v>
      </c>
      <c r="Y132" s="17">
        <f>_xlfn.XLOOKUP($B132,'[2]Aug-25'!$A:$A,'[2]Aug-25'!$H:$H,0)</f>
        <v>0</v>
      </c>
      <c r="Z132" s="17">
        <f>_xlfn.XLOOKUP($B132,'[2]Sep-25'!$A:$A,'[2]Sep-25'!$H:$H,0)</f>
        <v>0</v>
      </c>
      <c r="AA132" s="17">
        <f>_xlfn.XLOOKUP($B132,'[2]Oct-25'!$A:$A,'[2]Oct-25'!$H:$H,0)</f>
        <v>0</v>
      </c>
      <c r="AB132" s="17">
        <f>_xlfn.XLOOKUP($B132,'[2]Nov-25'!$A:$A,'[2]Nov-25'!$H:$H,0)</f>
        <v>0</v>
      </c>
      <c r="AC132" s="17">
        <f>_xlfn.XLOOKUP($B132,'[2]Dec-25'!$A:$A,'[2]Dec-25'!$H:$H,0)</f>
        <v>0</v>
      </c>
      <c r="AD132" s="17">
        <f>_xlfn.XLOOKUP($B132,'[2]Jan-26'!$A:$A,'[2]Jan-26'!$H:$H,0)</f>
        <v>0</v>
      </c>
      <c r="AE132" s="17">
        <f>_xlfn.XLOOKUP($B132,'[2]Feb-26'!$A:$A,'[2]Feb-26'!$H:$H,0)</f>
        <v>0</v>
      </c>
      <c r="AF132" s="17">
        <f>_xlfn.XLOOKUP($B132,'[2]Mar-26'!$A:$A,'[2]Mar-26'!$H:$H,0)</f>
        <v>0</v>
      </c>
      <c r="AG132" s="17">
        <f>_xlfn.XLOOKUP($B132,'[2]Apr-26'!$A:$A,'[2]Apr-26'!$H:$H,0)</f>
        <v>0</v>
      </c>
    </row>
    <row r="133" spans="1:33" x14ac:dyDescent="0.2">
      <c r="A133" s="58">
        <v>50070</v>
      </c>
      <c r="B133" s="56" t="str">
        <f t="shared" si="3"/>
        <v>50070</v>
      </c>
      <c r="C133" s="57" t="s">
        <v>517</v>
      </c>
      <c r="D133" s="57" t="s">
        <v>387</v>
      </c>
      <c r="E133" s="44" t="s">
        <v>822</v>
      </c>
      <c r="F133" s="17">
        <f>_xlfn.XLOOKUP($B133,'[2]Jan-24'!$A:$A,'[2]Jan-24'!$H:$H,0)</f>
        <v>3698.81</v>
      </c>
      <c r="G133" s="17">
        <f>_xlfn.XLOOKUP($B133,'[2]Feb-24'!$A:$A,'[2]Feb-24'!$H:$H,0)</f>
        <v>3986.48</v>
      </c>
      <c r="H133" s="17">
        <f>_xlfn.XLOOKUP($B133,'[2]Mar-24'!$A:$A,'[2]Mar-24'!$H:$H,0)</f>
        <v>4089.7</v>
      </c>
      <c r="I133" s="17">
        <f>_xlfn.XLOOKUP($B133,'[2]Apr-24'!$A:$A,'[2]Apr-24'!$H:$H,0)</f>
        <v>2993.46</v>
      </c>
      <c r="J133" s="17">
        <f>_xlfn.XLOOKUP($B133,'[2]May-24'!$A:$A,'[2]May-24'!$H:$H,0)</f>
        <v>-11366.67</v>
      </c>
      <c r="K133" s="17">
        <f>_xlfn.XLOOKUP($B133,'[2]Jun-24'!$A:$A,'[2]Jun-24'!$H:$H,0)</f>
        <v>2244.83</v>
      </c>
      <c r="L133" s="17">
        <f>_xlfn.XLOOKUP($B133,'[2]Jul-24'!$A:$A,'[2]Jul-24'!$H:$H,0)</f>
        <v>1440.18</v>
      </c>
      <c r="M133" s="17">
        <f>_xlfn.XLOOKUP($B133,'[2]Aug-24'!$A:$A,'[2]Aug-24'!$H:$H,0)</f>
        <v>1953.05</v>
      </c>
      <c r="N133" s="17">
        <f>_xlfn.XLOOKUP($B133,'[2]Sep-24'!$A:$A,'[2]Sep-24'!$H:$H,0)</f>
        <v>1289.6600000000001</v>
      </c>
      <c r="O133" s="17">
        <f>_xlfn.XLOOKUP($B133,'[2]Oct-24'!$A:$A,'[2]Oct-24'!$H:$H,0)</f>
        <v>1304.69</v>
      </c>
      <c r="P133" s="17">
        <f>_xlfn.XLOOKUP($B133,'[2]Nov-24'!$A:$A,'[2]Nov-24'!$H:$H,0)</f>
        <v>1315.21</v>
      </c>
      <c r="Q133" s="17">
        <f>_xlfn.XLOOKUP($B133,'[2]Dec-24'!$A:$A,'[2]Dec-24'!$H:$H,0)</f>
        <v>981.92</v>
      </c>
      <c r="R133" s="17">
        <f>_xlfn.XLOOKUP($B133,'[2]Jan-25'!$A:$A,'[2]Jan-25'!$H:$H,0)</f>
        <v>1798.21</v>
      </c>
      <c r="S133" s="17">
        <f>_xlfn.XLOOKUP($B133,'[2]Feb-25'!$A:$A,'[2]Feb-25'!$H:$H,0)</f>
        <v>1599.6500000003725</v>
      </c>
      <c r="T133" s="17">
        <f>_xlfn.XLOOKUP($B133,'[2]Mar-25'!$A:$A,'[2]Mar-25'!$H:$H,0)</f>
        <v>911.44999999999993</v>
      </c>
      <c r="U133" s="17">
        <f>_xlfn.XLOOKUP($B133,'[2]Apr-25'!$A:$A,'[2]Apr-25'!$H:$H,0)</f>
        <v>0</v>
      </c>
      <c r="V133" s="17">
        <f>_xlfn.XLOOKUP($B133,'[2]May-25'!$A:$A,'[2]May-25'!$H:$H,0)</f>
        <v>0</v>
      </c>
      <c r="W133" s="17">
        <f>_xlfn.XLOOKUP($B133,'[2]Jun-25'!$A:$A,'[2]Jun-25'!$H:$H,0)</f>
        <v>0</v>
      </c>
      <c r="X133" s="17">
        <f>_xlfn.XLOOKUP($B133,'[2]Jul-25'!$A:$A,'[2]Jul-25'!$H:$H,0)</f>
        <v>0</v>
      </c>
      <c r="Y133" s="17">
        <f>_xlfn.XLOOKUP($B133,'[2]Aug-25'!$A:$A,'[2]Aug-25'!$H:$H,0)</f>
        <v>0</v>
      </c>
      <c r="Z133" s="17">
        <f>_xlfn.XLOOKUP($B133,'[2]Sep-25'!$A:$A,'[2]Sep-25'!$H:$H,0)</f>
        <v>0</v>
      </c>
      <c r="AA133" s="17">
        <f>_xlfn.XLOOKUP($B133,'[2]Oct-25'!$A:$A,'[2]Oct-25'!$H:$H,0)</f>
        <v>0</v>
      </c>
      <c r="AB133" s="17">
        <f>_xlfn.XLOOKUP($B133,'[2]Nov-25'!$A:$A,'[2]Nov-25'!$H:$H,0)</f>
        <v>0</v>
      </c>
      <c r="AC133" s="17">
        <f>_xlfn.XLOOKUP($B133,'[2]Dec-25'!$A:$A,'[2]Dec-25'!$H:$H,0)</f>
        <v>0</v>
      </c>
      <c r="AD133" s="17">
        <f>_xlfn.XLOOKUP($B133,'[2]Jan-26'!$A:$A,'[2]Jan-26'!$H:$H,0)</f>
        <v>0</v>
      </c>
      <c r="AE133" s="17">
        <f>_xlfn.XLOOKUP($B133,'[2]Feb-26'!$A:$A,'[2]Feb-26'!$H:$H,0)</f>
        <v>0</v>
      </c>
      <c r="AF133" s="17">
        <f>_xlfn.XLOOKUP($B133,'[2]Mar-26'!$A:$A,'[2]Mar-26'!$H:$H,0)</f>
        <v>0</v>
      </c>
      <c r="AG133" s="17">
        <f>_xlfn.XLOOKUP($B133,'[2]Apr-26'!$A:$A,'[2]Apr-26'!$H:$H,0)</f>
        <v>0</v>
      </c>
    </row>
    <row r="134" spans="1:33" x14ac:dyDescent="0.2">
      <c r="A134" s="58">
        <v>50075</v>
      </c>
      <c r="B134" s="56" t="str">
        <f t="shared" si="3"/>
        <v>50075</v>
      </c>
      <c r="C134" s="57" t="s">
        <v>517</v>
      </c>
      <c r="D134" s="57" t="s">
        <v>387</v>
      </c>
      <c r="E134" s="44" t="s">
        <v>823</v>
      </c>
      <c r="F134" s="17">
        <f>_xlfn.XLOOKUP($B134,'[2]Jan-24'!$A:$A,'[2]Jan-24'!$H:$H,0)</f>
        <v>0</v>
      </c>
      <c r="G134" s="17">
        <f>_xlfn.XLOOKUP($B134,'[2]Feb-24'!$A:$A,'[2]Feb-24'!$H:$H,0)</f>
        <v>0</v>
      </c>
      <c r="H134" s="17">
        <f>_xlfn.XLOOKUP($B134,'[2]Mar-24'!$A:$A,'[2]Mar-24'!$H:$H,0)</f>
        <v>0</v>
      </c>
      <c r="I134" s="17">
        <f>_xlfn.XLOOKUP($B134,'[2]Apr-24'!$A:$A,'[2]Apr-24'!$H:$H,0)</f>
        <v>0</v>
      </c>
      <c r="J134" s="17">
        <f>_xlfn.XLOOKUP($B134,'[2]May-24'!$A:$A,'[2]May-24'!$H:$H,0)</f>
        <v>0</v>
      </c>
      <c r="K134" s="17">
        <f>_xlfn.XLOOKUP($B134,'[2]Jun-24'!$A:$A,'[2]Jun-24'!$H:$H,0)</f>
        <v>0</v>
      </c>
      <c r="L134" s="17">
        <f>_xlfn.XLOOKUP($B134,'[2]Jul-24'!$A:$A,'[2]Jul-24'!$H:$H,0)</f>
        <v>0</v>
      </c>
      <c r="M134" s="17">
        <f>_xlfn.XLOOKUP($B134,'[2]Aug-24'!$A:$A,'[2]Aug-24'!$H:$H,0)</f>
        <v>0</v>
      </c>
      <c r="N134" s="17">
        <f>_xlfn.XLOOKUP($B134,'[2]Sep-24'!$A:$A,'[2]Sep-24'!$H:$H,0)</f>
        <v>0</v>
      </c>
      <c r="O134" s="17">
        <f>_xlfn.XLOOKUP($B134,'[2]Oct-24'!$A:$A,'[2]Oct-24'!$H:$H,0)</f>
        <v>0</v>
      </c>
      <c r="P134" s="17">
        <f>_xlfn.XLOOKUP($B134,'[2]Nov-24'!$A:$A,'[2]Nov-24'!$H:$H,0)</f>
        <v>0</v>
      </c>
      <c r="Q134" s="17">
        <f>_xlfn.XLOOKUP($B134,'[2]Dec-24'!$A:$A,'[2]Dec-24'!$H:$H,0)</f>
        <v>0</v>
      </c>
      <c r="R134" s="17">
        <f>_xlfn.XLOOKUP($B134,'[2]Jan-25'!$A:$A,'[2]Jan-25'!$H:$H,0)</f>
        <v>0</v>
      </c>
      <c r="S134" s="17">
        <f>_xlfn.XLOOKUP($B134,'[2]Feb-25'!$A:$A,'[2]Feb-25'!$H:$H,0)</f>
        <v>0</v>
      </c>
      <c r="T134" s="17">
        <f>_xlfn.XLOOKUP($B134,'[2]Mar-25'!$A:$A,'[2]Mar-25'!$H:$H,0)</f>
        <v>0</v>
      </c>
      <c r="U134" s="17">
        <f>_xlfn.XLOOKUP($B134,'[2]Apr-25'!$A:$A,'[2]Apr-25'!$H:$H,0)</f>
        <v>0</v>
      </c>
      <c r="V134" s="17">
        <f>_xlfn.XLOOKUP($B134,'[2]May-25'!$A:$A,'[2]May-25'!$H:$H,0)</f>
        <v>0</v>
      </c>
      <c r="W134" s="17">
        <f>_xlfn.XLOOKUP($B134,'[2]Jun-25'!$A:$A,'[2]Jun-25'!$H:$H,0)</f>
        <v>0</v>
      </c>
      <c r="X134" s="17">
        <f>_xlfn.XLOOKUP($B134,'[2]Jul-25'!$A:$A,'[2]Jul-25'!$H:$H,0)</f>
        <v>0</v>
      </c>
      <c r="Y134" s="17">
        <f>_xlfn.XLOOKUP($B134,'[2]Aug-25'!$A:$A,'[2]Aug-25'!$H:$H,0)</f>
        <v>0</v>
      </c>
      <c r="Z134" s="17">
        <f>_xlfn.XLOOKUP($B134,'[2]Sep-25'!$A:$A,'[2]Sep-25'!$H:$H,0)</f>
        <v>0</v>
      </c>
      <c r="AA134" s="17">
        <f>_xlfn.XLOOKUP($B134,'[2]Oct-25'!$A:$A,'[2]Oct-25'!$H:$H,0)</f>
        <v>0</v>
      </c>
      <c r="AB134" s="17">
        <f>_xlfn.XLOOKUP($B134,'[2]Nov-25'!$A:$A,'[2]Nov-25'!$H:$H,0)</f>
        <v>0</v>
      </c>
      <c r="AC134" s="17">
        <f>_xlfn.XLOOKUP($B134,'[2]Dec-25'!$A:$A,'[2]Dec-25'!$H:$H,0)</f>
        <v>0</v>
      </c>
      <c r="AD134" s="17">
        <f>_xlfn.XLOOKUP($B134,'[2]Jan-26'!$A:$A,'[2]Jan-26'!$H:$H,0)</f>
        <v>0</v>
      </c>
      <c r="AE134" s="17">
        <f>_xlfn.XLOOKUP($B134,'[2]Feb-26'!$A:$A,'[2]Feb-26'!$H:$H,0)</f>
        <v>0</v>
      </c>
      <c r="AF134" s="17">
        <f>_xlfn.XLOOKUP($B134,'[2]Mar-26'!$A:$A,'[2]Mar-26'!$H:$H,0)</f>
        <v>0</v>
      </c>
      <c r="AG134" s="17">
        <f>_xlfn.XLOOKUP($B134,'[2]Apr-26'!$A:$A,'[2]Apr-26'!$H:$H,0)</f>
        <v>0</v>
      </c>
    </row>
    <row r="135" spans="1:33" x14ac:dyDescent="0.2">
      <c r="A135" s="58">
        <v>50080</v>
      </c>
      <c r="B135" s="56" t="str">
        <f t="shared" si="3"/>
        <v>50080</v>
      </c>
      <c r="C135" s="57" t="s">
        <v>517</v>
      </c>
      <c r="D135" s="57" t="s">
        <v>387</v>
      </c>
      <c r="E135" s="44" t="s">
        <v>824</v>
      </c>
      <c r="F135" s="17">
        <f>_xlfn.XLOOKUP($B135,'[2]Jan-24'!$A:$A,'[2]Jan-24'!$H:$H,0)</f>
        <v>0</v>
      </c>
      <c r="G135" s="17">
        <f>_xlfn.XLOOKUP($B135,'[2]Feb-24'!$A:$A,'[2]Feb-24'!$H:$H,0)</f>
        <v>0</v>
      </c>
      <c r="H135" s="17">
        <f>_xlfn.XLOOKUP($B135,'[2]Mar-24'!$A:$A,'[2]Mar-24'!$H:$H,0)</f>
        <v>0</v>
      </c>
      <c r="I135" s="17">
        <f>_xlfn.XLOOKUP($B135,'[2]Apr-24'!$A:$A,'[2]Apr-24'!$H:$H,0)</f>
        <v>0</v>
      </c>
      <c r="J135" s="17">
        <f>_xlfn.XLOOKUP($B135,'[2]May-24'!$A:$A,'[2]May-24'!$H:$H,0)</f>
        <v>0</v>
      </c>
      <c r="K135" s="17">
        <f>_xlfn.XLOOKUP($B135,'[2]Jun-24'!$A:$A,'[2]Jun-24'!$H:$H,0)</f>
        <v>0</v>
      </c>
      <c r="L135" s="17">
        <f>_xlfn.XLOOKUP($B135,'[2]Jul-24'!$A:$A,'[2]Jul-24'!$H:$H,0)</f>
        <v>0</v>
      </c>
      <c r="M135" s="17">
        <f>_xlfn.XLOOKUP($B135,'[2]Aug-24'!$A:$A,'[2]Aug-24'!$H:$H,0)</f>
        <v>0</v>
      </c>
      <c r="N135" s="17">
        <f>_xlfn.XLOOKUP($B135,'[2]Sep-24'!$A:$A,'[2]Sep-24'!$H:$H,0)</f>
        <v>0</v>
      </c>
      <c r="O135" s="17">
        <f>_xlfn.XLOOKUP($B135,'[2]Oct-24'!$A:$A,'[2]Oct-24'!$H:$H,0)</f>
        <v>0</v>
      </c>
      <c r="P135" s="17">
        <f>_xlfn.XLOOKUP($B135,'[2]Nov-24'!$A:$A,'[2]Nov-24'!$H:$H,0)</f>
        <v>0</v>
      </c>
      <c r="Q135" s="17">
        <f>_xlfn.XLOOKUP($B135,'[2]Dec-24'!$A:$A,'[2]Dec-24'!$H:$H,0)</f>
        <v>0</v>
      </c>
      <c r="R135" s="17">
        <f>_xlfn.XLOOKUP($B135,'[2]Jan-25'!$A:$A,'[2]Jan-25'!$H:$H,0)</f>
        <v>0</v>
      </c>
      <c r="S135" s="17">
        <f>_xlfn.XLOOKUP($B135,'[2]Feb-25'!$A:$A,'[2]Feb-25'!$H:$H,0)</f>
        <v>0</v>
      </c>
      <c r="T135" s="17">
        <f>_xlfn.XLOOKUP($B135,'[2]Mar-25'!$A:$A,'[2]Mar-25'!$H:$H,0)</f>
        <v>0</v>
      </c>
      <c r="U135" s="17">
        <f>_xlfn.XLOOKUP($B135,'[2]Apr-25'!$A:$A,'[2]Apr-25'!$H:$H,0)</f>
        <v>0</v>
      </c>
      <c r="V135" s="17">
        <f>_xlfn.XLOOKUP($B135,'[2]May-25'!$A:$A,'[2]May-25'!$H:$H,0)</f>
        <v>0</v>
      </c>
      <c r="W135" s="17">
        <f>_xlfn.XLOOKUP($B135,'[2]Jun-25'!$A:$A,'[2]Jun-25'!$H:$H,0)</f>
        <v>0</v>
      </c>
      <c r="X135" s="17">
        <f>_xlfn.XLOOKUP($B135,'[2]Jul-25'!$A:$A,'[2]Jul-25'!$H:$H,0)</f>
        <v>0</v>
      </c>
      <c r="Y135" s="17">
        <f>_xlfn.XLOOKUP($B135,'[2]Aug-25'!$A:$A,'[2]Aug-25'!$H:$H,0)</f>
        <v>0</v>
      </c>
      <c r="Z135" s="17">
        <f>_xlfn.XLOOKUP($B135,'[2]Sep-25'!$A:$A,'[2]Sep-25'!$H:$H,0)</f>
        <v>0</v>
      </c>
      <c r="AA135" s="17">
        <f>_xlfn.XLOOKUP($B135,'[2]Oct-25'!$A:$A,'[2]Oct-25'!$H:$H,0)</f>
        <v>0</v>
      </c>
      <c r="AB135" s="17">
        <f>_xlfn.XLOOKUP($B135,'[2]Nov-25'!$A:$A,'[2]Nov-25'!$H:$H,0)</f>
        <v>0</v>
      </c>
      <c r="AC135" s="17">
        <f>_xlfn.XLOOKUP($B135,'[2]Dec-25'!$A:$A,'[2]Dec-25'!$H:$H,0)</f>
        <v>0</v>
      </c>
      <c r="AD135" s="17">
        <f>_xlfn.XLOOKUP($B135,'[2]Jan-26'!$A:$A,'[2]Jan-26'!$H:$H,0)</f>
        <v>0</v>
      </c>
      <c r="AE135" s="17">
        <f>_xlfn.XLOOKUP($B135,'[2]Feb-26'!$A:$A,'[2]Feb-26'!$H:$H,0)</f>
        <v>0</v>
      </c>
      <c r="AF135" s="17">
        <f>_xlfn.XLOOKUP($B135,'[2]Mar-26'!$A:$A,'[2]Mar-26'!$H:$H,0)</f>
        <v>0</v>
      </c>
      <c r="AG135" s="17">
        <f>_xlfn.XLOOKUP($B135,'[2]Apr-26'!$A:$A,'[2]Apr-26'!$H:$H,0)</f>
        <v>0</v>
      </c>
    </row>
    <row r="136" spans="1:33" x14ac:dyDescent="0.2">
      <c r="A136" s="58">
        <v>50085</v>
      </c>
      <c r="B136" s="56" t="str">
        <f t="shared" ref="B136:B199" si="4">TEXT(A136,"00000")</f>
        <v>50085</v>
      </c>
      <c r="C136" s="57" t="s">
        <v>517</v>
      </c>
      <c r="D136" s="57" t="s">
        <v>387</v>
      </c>
      <c r="E136" s="44" t="s">
        <v>825</v>
      </c>
      <c r="F136" s="17">
        <f>_xlfn.XLOOKUP($B136,'[2]Jan-24'!$A:$A,'[2]Jan-24'!$H:$H,0)</f>
        <v>0</v>
      </c>
      <c r="G136" s="17">
        <f>_xlfn.XLOOKUP($B136,'[2]Feb-24'!$A:$A,'[2]Feb-24'!$H:$H,0)</f>
        <v>0</v>
      </c>
      <c r="H136" s="17">
        <f>_xlfn.XLOOKUP($B136,'[2]Mar-24'!$A:$A,'[2]Mar-24'!$H:$H,0)</f>
        <v>0</v>
      </c>
      <c r="I136" s="17">
        <f>_xlfn.XLOOKUP($B136,'[2]Apr-24'!$A:$A,'[2]Apr-24'!$H:$H,0)</f>
        <v>0</v>
      </c>
      <c r="J136" s="17">
        <f>_xlfn.XLOOKUP($B136,'[2]May-24'!$A:$A,'[2]May-24'!$H:$H,0)</f>
        <v>0</v>
      </c>
      <c r="K136" s="17">
        <f>_xlfn.XLOOKUP($B136,'[2]Jun-24'!$A:$A,'[2]Jun-24'!$H:$H,0)</f>
        <v>0</v>
      </c>
      <c r="L136" s="17">
        <f>_xlfn.XLOOKUP($B136,'[2]Jul-24'!$A:$A,'[2]Jul-24'!$H:$H,0)</f>
        <v>0</v>
      </c>
      <c r="M136" s="17">
        <f>_xlfn.XLOOKUP($B136,'[2]Aug-24'!$A:$A,'[2]Aug-24'!$H:$H,0)</f>
        <v>0</v>
      </c>
      <c r="N136" s="17">
        <f>_xlfn.XLOOKUP($B136,'[2]Sep-24'!$A:$A,'[2]Sep-24'!$H:$H,0)</f>
        <v>0</v>
      </c>
      <c r="O136" s="17">
        <f>_xlfn.XLOOKUP($B136,'[2]Oct-24'!$A:$A,'[2]Oct-24'!$H:$H,0)</f>
        <v>0</v>
      </c>
      <c r="P136" s="17">
        <f>_xlfn.XLOOKUP($B136,'[2]Nov-24'!$A:$A,'[2]Nov-24'!$H:$H,0)</f>
        <v>0</v>
      </c>
      <c r="Q136" s="17">
        <f>_xlfn.XLOOKUP($B136,'[2]Dec-24'!$A:$A,'[2]Dec-24'!$H:$H,0)</f>
        <v>0</v>
      </c>
      <c r="R136" s="17">
        <f>_xlfn.XLOOKUP($B136,'[2]Jan-25'!$A:$A,'[2]Jan-25'!$H:$H,0)</f>
        <v>0</v>
      </c>
      <c r="S136" s="17">
        <f>_xlfn.XLOOKUP($B136,'[2]Feb-25'!$A:$A,'[2]Feb-25'!$H:$H,0)</f>
        <v>0</v>
      </c>
      <c r="T136" s="17">
        <f>_xlfn.XLOOKUP($B136,'[2]Mar-25'!$A:$A,'[2]Mar-25'!$H:$H,0)</f>
        <v>0</v>
      </c>
      <c r="U136" s="17">
        <f>_xlfn.XLOOKUP($B136,'[2]Apr-25'!$A:$A,'[2]Apr-25'!$H:$H,0)</f>
        <v>0</v>
      </c>
      <c r="V136" s="17">
        <f>_xlfn.XLOOKUP($B136,'[2]May-25'!$A:$A,'[2]May-25'!$H:$H,0)</f>
        <v>0</v>
      </c>
      <c r="W136" s="17">
        <f>_xlfn.XLOOKUP($B136,'[2]Jun-25'!$A:$A,'[2]Jun-25'!$H:$H,0)</f>
        <v>0</v>
      </c>
      <c r="X136" s="17">
        <f>_xlfn.XLOOKUP($B136,'[2]Jul-25'!$A:$A,'[2]Jul-25'!$H:$H,0)</f>
        <v>0</v>
      </c>
      <c r="Y136" s="17">
        <f>_xlfn.XLOOKUP($B136,'[2]Aug-25'!$A:$A,'[2]Aug-25'!$H:$H,0)</f>
        <v>0</v>
      </c>
      <c r="Z136" s="17">
        <f>_xlfn.XLOOKUP($B136,'[2]Sep-25'!$A:$A,'[2]Sep-25'!$H:$H,0)</f>
        <v>0</v>
      </c>
      <c r="AA136" s="17">
        <f>_xlfn.XLOOKUP($B136,'[2]Oct-25'!$A:$A,'[2]Oct-25'!$H:$H,0)</f>
        <v>0</v>
      </c>
      <c r="AB136" s="17">
        <f>_xlfn.XLOOKUP($B136,'[2]Nov-25'!$A:$A,'[2]Nov-25'!$H:$H,0)</f>
        <v>0</v>
      </c>
      <c r="AC136" s="17">
        <f>_xlfn.XLOOKUP($B136,'[2]Dec-25'!$A:$A,'[2]Dec-25'!$H:$H,0)</f>
        <v>0</v>
      </c>
      <c r="AD136" s="17">
        <f>_xlfn.XLOOKUP($B136,'[2]Jan-26'!$A:$A,'[2]Jan-26'!$H:$H,0)</f>
        <v>0</v>
      </c>
      <c r="AE136" s="17">
        <f>_xlfn.XLOOKUP($B136,'[2]Feb-26'!$A:$A,'[2]Feb-26'!$H:$H,0)</f>
        <v>0</v>
      </c>
      <c r="AF136" s="17">
        <f>_xlfn.XLOOKUP($B136,'[2]Mar-26'!$A:$A,'[2]Mar-26'!$H:$H,0)</f>
        <v>0</v>
      </c>
      <c r="AG136" s="17">
        <f>_xlfn.XLOOKUP($B136,'[2]Apr-26'!$A:$A,'[2]Apr-26'!$H:$H,0)</f>
        <v>0</v>
      </c>
    </row>
    <row r="137" spans="1:33" x14ac:dyDescent="0.2">
      <c r="A137" s="58">
        <v>51000</v>
      </c>
      <c r="B137" s="56" t="str">
        <f t="shared" si="4"/>
        <v>51000</v>
      </c>
      <c r="C137" s="57" t="s">
        <v>517</v>
      </c>
      <c r="D137" s="57" t="s">
        <v>387</v>
      </c>
      <c r="E137" s="44" t="s">
        <v>522</v>
      </c>
      <c r="F137" s="17">
        <f>_xlfn.XLOOKUP($B137,'[2]Jan-24'!$A:$A,'[2]Jan-24'!$H:$H,0)</f>
        <v>0</v>
      </c>
      <c r="G137" s="17">
        <f>_xlfn.XLOOKUP($B137,'[2]Feb-24'!$A:$A,'[2]Feb-24'!$H:$H,0)</f>
        <v>0</v>
      </c>
      <c r="H137" s="17">
        <f>_xlfn.XLOOKUP($B137,'[2]Mar-24'!$A:$A,'[2]Mar-24'!$H:$H,0)</f>
        <v>0</v>
      </c>
      <c r="I137" s="17">
        <f>_xlfn.XLOOKUP($B137,'[2]Apr-24'!$A:$A,'[2]Apr-24'!$H:$H,0)</f>
        <v>0</v>
      </c>
      <c r="J137" s="17">
        <f>_xlfn.XLOOKUP($B137,'[2]May-24'!$A:$A,'[2]May-24'!$H:$H,0)</f>
        <v>0</v>
      </c>
      <c r="K137" s="17">
        <f>_xlfn.XLOOKUP($B137,'[2]Jun-24'!$A:$A,'[2]Jun-24'!$H:$H,0)</f>
        <v>0</v>
      </c>
      <c r="L137" s="17">
        <f>_xlfn.XLOOKUP($B137,'[2]Jul-24'!$A:$A,'[2]Jul-24'!$H:$H,0)</f>
        <v>0</v>
      </c>
      <c r="M137" s="17">
        <f>_xlfn.XLOOKUP($B137,'[2]Aug-24'!$A:$A,'[2]Aug-24'!$H:$H,0)</f>
        <v>0</v>
      </c>
      <c r="N137" s="17">
        <f>_xlfn.XLOOKUP($B137,'[2]Sep-24'!$A:$A,'[2]Sep-24'!$H:$H,0)</f>
        <v>0</v>
      </c>
      <c r="O137" s="17">
        <f>_xlfn.XLOOKUP($B137,'[2]Oct-24'!$A:$A,'[2]Oct-24'!$H:$H,0)</f>
        <v>0</v>
      </c>
      <c r="P137" s="17">
        <f>_xlfn.XLOOKUP($B137,'[2]Nov-24'!$A:$A,'[2]Nov-24'!$H:$H,0)</f>
        <v>0</v>
      </c>
      <c r="Q137" s="17">
        <f>_xlfn.XLOOKUP($B137,'[2]Dec-24'!$A:$A,'[2]Dec-24'!$H:$H,0)</f>
        <v>0</v>
      </c>
      <c r="R137" s="17">
        <f>_xlfn.XLOOKUP($B137,'[2]Jan-25'!$A:$A,'[2]Jan-25'!$H:$H,0)</f>
        <v>0</v>
      </c>
      <c r="S137" s="17">
        <f>_xlfn.XLOOKUP($B137,'[2]Feb-25'!$A:$A,'[2]Feb-25'!$H:$H,0)</f>
        <v>0</v>
      </c>
      <c r="T137" s="17">
        <f>_xlfn.XLOOKUP($B137,'[2]Mar-25'!$A:$A,'[2]Mar-25'!$H:$H,0)</f>
        <v>0</v>
      </c>
      <c r="U137" s="17">
        <f>_xlfn.XLOOKUP($B137,'[2]Apr-25'!$A:$A,'[2]Apr-25'!$H:$H,0)</f>
        <v>0</v>
      </c>
      <c r="V137" s="17">
        <f>_xlfn.XLOOKUP($B137,'[2]May-25'!$A:$A,'[2]May-25'!$H:$H,0)</f>
        <v>0</v>
      </c>
      <c r="W137" s="17">
        <f>_xlfn.XLOOKUP($B137,'[2]Jun-25'!$A:$A,'[2]Jun-25'!$H:$H,0)</f>
        <v>0</v>
      </c>
      <c r="X137" s="17">
        <f>_xlfn.XLOOKUP($B137,'[2]Jul-25'!$A:$A,'[2]Jul-25'!$H:$H,0)</f>
        <v>0</v>
      </c>
      <c r="Y137" s="17">
        <f>_xlfn.XLOOKUP($B137,'[2]Aug-25'!$A:$A,'[2]Aug-25'!$H:$H,0)</f>
        <v>0</v>
      </c>
      <c r="Z137" s="17">
        <f>_xlfn.XLOOKUP($B137,'[2]Sep-25'!$A:$A,'[2]Sep-25'!$H:$H,0)</f>
        <v>0</v>
      </c>
      <c r="AA137" s="17">
        <f>_xlfn.XLOOKUP($B137,'[2]Oct-25'!$A:$A,'[2]Oct-25'!$H:$H,0)</f>
        <v>0</v>
      </c>
      <c r="AB137" s="17">
        <f>_xlfn.XLOOKUP($B137,'[2]Nov-25'!$A:$A,'[2]Nov-25'!$H:$H,0)</f>
        <v>0</v>
      </c>
      <c r="AC137" s="17">
        <f>_xlfn.XLOOKUP($B137,'[2]Dec-25'!$A:$A,'[2]Dec-25'!$H:$H,0)</f>
        <v>0</v>
      </c>
      <c r="AD137" s="17">
        <f>_xlfn.XLOOKUP($B137,'[2]Jan-26'!$A:$A,'[2]Jan-26'!$H:$H,0)</f>
        <v>0</v>
      </c>
      <c r="AE137" s="17">
        <f>_xlfn.XLOOKUP($B137,'[2]Feb-26'!$A:$A,'[2]Feb-26'!$H:$H,0)</f>
        <v>0</v>
      </c>
      <c r="AF137" s="17">
        <f>_xlfn.XLOOKUP($B137,'[2]Mar-26'!$A:$A,'[2]Mar-26'!$H:$H,0)</f>
        <v>0</v>
      </c>
      <c r="AG137" s="17">
        <f>_xlfn.XLOOKUP($B137,'[2]Apr-26'!$A:$A,'[2]Apr-26'!$H:$H,0)</f>
        <v>0</v>
      </c>
    </row>
    <row r="138" spans="1:33" x14ac:dyDescent="0.2">
      <c r="A138" s="58">
        <v>51022</v>
      </c>
      <c r="B138" s="56" t="str">
        <f t="shared" si="4"/>
        <v>51022</v>
      </c>
      <c r="C138" s="57" t="s">
        <v>552</v>
      </c>
      <c r="D138" s="57" t="s">
        <v>387</v>
      </c>
      <c r="E138" s="44" t="s">
        <v>826</v>
      </c>
      <c r="F138" s="17">
        <f>_xlfn.XLOOKUP($B138,'[2]Jan-24'!$A:$A,'[2]Jan-24'!$H:$H,0)</f>
        <v>0</v>
      </c>
      <c r="G138" s="17">
        <f>_xlfn.XLOOKUP($B138,'[2]Feb-24'!$A:$A,'[2]Feb-24'!$H:$H,0)</f>
        <v>0</v>
      </c>
      <c r="H138" s="17">
        <f>_xlfn.XLOOKUP($B138,'[2]Mar-24'!$A:$A,'[2]Mar-24'!$H:$H,0)</f>
        <v>0</v>
      </c>
      <c r="I138" s="17">
        <f>_xlfn.XLOOKUP($B138,'[2]Apr-24'!$A:$A,'[2]Apr-24'!$H:$H,0)</f>
        <v>0</v>
      </c>
      <c r="J138" s="17">
        <f>_xlfn.XLOOKUP($B138,'[2]May-24'!$A:$A,'[2]May-24'!$H:$H,0)</f>
        <v>0</v>
      </c>
      <c r="K138" s="17">
        <f>_xlfn.XLOOKUP($B138,'[2]Jun-24'!$A:$A,'[2]Jun-24'!$H:$H,0)</f>
        <v>0</v>
      </c>
      <c r="L138" s="17">
        <f>_xlfn.XLOOKUP($B138,'[2]Jul-24'!$A:$A,'[2]Jul-24'!$H:$H,0)</f>
        <v>0</v>
      </c>
      <c r="M138" s="17">
        <f>_xlfn.XLOOKUP($B138,'[2]Aug-24'!$A:$A,'[2]Aug-24'!$H:$H,0)</f>
        <v>0</v>
      </c>
      <c r="N138" s="17">
        <f>_xlfn.XLOOKUP($B138,'[2]Sep-24'!$A:$A,'[2]Sep-24'!$H:$H,0)</f>
        <v>0</v>
      </c>
      <c r="O138" s="17">
        <f>_xlfn.XLOOKUP($B138,'[2]Oct-24'!$A:$A,'[2]Oct-24'!$H:$H,0)</f>
        <v>0</v>
      </c>
      <c r="P138" s="17">
        <f>_xlfn.XLOOKUP($B138,'[2]Nov-24'!$A:$A,'[2]Nov-24'!$H:$H,0)</f>
        <v>0</v>
      </c>
      <c r="Q138" s="17">
        <f>_xlfn.XLOOKUP($B138,'[2]Dec-24'!$A:$A,'[2]Dec-24'!$H:$H,0)</f>
        <v>0</v>
      </c>
      <c r="R138" s="17">
        <f>_xlfn.XLOOKUP($B138,'[2]Jan-25'!$A:$A,'[2]Jan-25'!$H:$H,0)</f>
        <v>0</v>
      </c>
      <c r="S138" s="17">
        <f>_xlfn.XLOOKUP($B138,'[2]Feb-25'!$A:$A,'[2]Feb-25'!$H:$H,0)</f>
        <v>0</v>
      </c>
      <c r="T138" s="17">
        <f>_xlfn.XLOOKUP($B138,'[2]Mar-25'!$A:$A,'[2]Mar-25'!$H:$H,0)</f>
        <v>0</v>
      </c>
      <c r="U138" s="17">
        <f>_xlfn.XLOOKUP($B138,'[2]Apr-25'!$A:$A,'[2]Apr-25'!$H:$H,0)</f>
        <v>0</v>
      </c>
      <c r="V138" s="17">
        <f>_xlfn.XLOOKUP($B138,'[2]May-25'!$A:$A,'[2]May-25'!$H:$H,0)</f>
        <v>550.79999999999995</v>
      </c>
      <c r="W138" s="17">
        <f>_xlfn.XLOOKUP($B138,'[2]Jun-25'!$A:$A,'[2]Jun-25'!$H:$H,0)</f>
        <v>0</v>
      </c>
      <c r="X138" s="17">
        <f>_xlfn.XLOOKUP($B138,'[2]Jul-25'!$A:$A,'[2]Jul-25'!$H:$H,0)</f>
        <v>0</v>
      </c>
      <c r="Y138" s="17">
        <f>_xlfn.XLOOKUP($B138,'[2]Aug-25'!$A:$A,'[2]Aug-25'!$H:$H,0)</f>
        <v>0</v>
      </c>
      <c r="Z138" s="17">
        <f>_xlfn.XLOOKUP($B138,'[2]Sep-25'!$A:$A,'[2]Sep-25'!$H:$H,0)</f>
        <v>0</v>
      </c>
      <c r="AA138" s="17">
        <f>_xlfn.XLOOKUP($B138,'[2]Oct-25'!$A:$A,'[2]Oct-25'!$H:$H,0)</f>
        <v>0</v>
      </c>
      <c r="AB138" s="17">
        <f>_xlfn.XLOOKUP($B138,'[2]Nov-25'!$A:$A,'[2]Nov-25'!$H:$H,0)</f>
        <v>0</v>
      </c>
      <c r="AC138" s="17">
        <f>_xlfn.XLOOKUP($B138,'[2]Dec-25'!$A:$A,'[2]Dec-25'!$H:$H,0)</f>
        <v>0</v>
      </c>
      <c r="AD138" s="17">
        <f>_xlfn.XLOOKUP($B138,'[2]Jan-26'!$A:$A,'[2]Jan-26'!$H:$H,0)</f>
        <v>0</v>
      </c>
      <c r="AE138" s="17">
        <f>_xlfn.XLOOKUP($B138,'[2]Feb-26'!$A:$A,'[2]Feb-26'!$H:$H,0)</f>
        <v>0</v>
      </c>
      <c r="AF138" s="17">
        <f>_xlfn.XLOOKUP($B138,'[2]Mar-26'!$A:$A,'[2]Mar-26'!$H:$H,0)</f>
        <v>125.37</v>
      </c>
      <c r="AG138" s="17">
        <f>_xlfn.XLOOKUP($B138,'[2]Apr-26'!$A:$A,'[2]Apr-26'!$H:$H,0)</f>
        <v>0</v>
      </c>
    </row>
    <row r="139" spans="1:33" x14ac:dyDescent="0.2">
      <c r="A139" s="58">
        <v>51030</v>
      </c>
      <c r="B139" s="56" t="str">
        <f t="shared" si="4"/>
        <v>51030</v>
      </c>
      <c r="C139" s="57" t="s">
        <v>552</v>
      </c>
      <c r="D139" s="57" t="s">
        <v>387</v>
      </c>
      <c r="E139" s="44" t="s">
        <v>827</v>
      </c>
      <c r="F139" s="17">
        <f>_xlfn.XLOOKUP($B139,'[2]Jan-24'!$A:$A,'[2]Jan-24'!$H:$H,0)</f>
        <v>0</v>
      </c>
      <c r="G139" s="17">
        <f>_xlfn.XLOOKUP($B139,'[2]Feb-24'!$A:$A,'[2]Feb-24'!$H:$H,0)</f>
        <v>0</v>
      </c>
      <c r="H139" s="17">
        <f>_xlfn.XLOOKUP($B139,'[2]Mar-24'!$A:$A,'[2]Mar-24'!$H:$H,0)</f>
        <v>0</v>
      </c>
      <c r="I139" s="17">
        <f>_xlfn.XLOOKUP($B139,'[2]Apr-24'!$A:$A,'[2]Apr-24'!$H:$H,0)</f>
        <v>0</v>
      </c>
      <c r="J139" s="17">
        <f>_xlfn.XLOOKUP($B139,'[2]May-24'!$A:$A,'[2]May-24'!$H:$H,0)</f>
        <v>0</v>
      </c>
      <c r="K139" s="17">
        <f>_xlfn.XLOOKUP($B139,'[2]Jun-24'!$A:$A,'[2]Jun-24'!$H:$H,0)</f>
        <v>0</v>
      </c>
      <c r="L139" s="17">
        <f>_xlfn.XLOOKUP($B139,'[2]Jul-24'!$A:$A,'[2]Jul-24'!$H:$H,0)</f>
        <v>0</v>
      </c>
      <c r="M139" s="17">
        <f>_xlfn.XLOOKUP($B139,'[2]Aug-24'!$A:$A,'[2]Aug-24'!$H:$H,0)</f>
        <v>0</v>
      </c>
      <c r="N139" s="17">
        <f>_xlfn.XLOOKUP($B139,'[2]Sep-24'!$A:$A,'[2]Sep-24'!$H:$H,0)</f>
        <v>0</v>
      </c>
      <c r="O139" s="17">
        <f>_xlfn.XLOOKUP($B139,'[2]Oct-24'!$A:$A,'[2]Oct-24'!$H:$H,0)</f>
        <v>0</v>
      </c>
      <c r="P139" s="17">
        <f>_xlfn.XLOOKUP($B139,'[2]Nov-24'!$A:$A,'[2]Nov-24'!$H:$H,0)</f>
        <v>0</v>
      </c>
      <c r="Q139" s="17">
        <f>_xlfn.XLOOKUP($B139,'[2]Dec-24'!$A:$A,'[2]Dec-24'!$H:$H,0)</f>
        <v>0</v>
      </c>
      <c r="R139" s="17">
        <f>_xlfn.XLOOKUP($B139,'[2]Jan-25'!$A:$A,'[2]Jan-25'!$H:$H,0)</f>
        <v>0</v>
      </c>
      <c r="S139" s="17">
        <f>_xlfn.XLOOKUP($B139,'[2]Feb-25'!$A:$A,'[2]Feb-25'!$H:$H,0)</f>
        <v>0</v>
      </c>
      <c r="T139" s="17">
        <f>_xlfn.XLOOKUP($B139,'[2]Mar-25'!$A:$A,'[2]Mar-25'!$H:$H,0)</f>
        <v>0</v>
      </c>
      <c r="U139" s="17">
        <f>_xlfn.XLOOKUP($B139,'[2]Apr-25'!$A:$A,'[2]Apr-25'!$H:$H,0)</f>
        <v>0</v>
      </c>
      <c r="V139" s="17">
        <f>_xlfn.XLOOKUP($B139,'[2]May-25'!$A:$A,'[2]May-25'!$H:$H,0)</f>
        <v>0</v>
      </c>
      <c r="W139" s="17">
        <f>_xlfn.XLOOKUP($B139,'[2]Jun-25'!$A:$A,'[2]Jun-25'!$H:$H,0)</f>
        <v>0</v>
      </c>
      <c r="X139" s="17">
        <f>_xlfn.XLOOKUP($B139,'[2]Jul-25'!$A:$A,'[2]Jul-25'!$H:$H,0)</f>
        <v>0</v>
      </c>
      <c r="Y139" s="17">
        <f>_xlfn.XLOOKUP($B139,'[2]Aug-25'!$A:$A,'[2]Aug-25'!$H:$H,0)</f>
        <v>0</v>
      </c>
      <c r="Z139" s="17">
        <f>_xlfn.XLOOKUP($B139,'[2]Sep-25'!$A:$A,'[2]Sep-25'!$H:$H,0)</f>
        <v>0</v>
      </c>
      <c r="AA139" s="17">
        <f>_xlfn.XLOOKUP($B139,'[2]Oct-25'!$A:$A,'[2]Oct-25'!$H:$H,0)</f>
        <v>0</v>
      </c>
      <c r="AB139" s="17">
        <f>_xlfn.XLOOKUP($B139,'[2]Nov-25'!$A:$A,'[2]Nov-25'!$H:$H,0)</f>
        <v>0</v>
      </c>
      <c r="AC139" s="17">
        <f>_xlfn.XLOOKUP($B139,'[2]Dec-25'!$A:$A,'[2]Dec-25'!$H:$H,0)</f>
        <v>0</v>
      </c>
      <c r="AD139" s="17">
        <f>_xlfn.XLOOKUP($B139,'[2]Jan-26'!$A:$A,'[2]Jan-26'!$H:$H,0)</f>
        <v>0</v>
      </c>
      <c r="AE139" s="17">
        <f>_xlfn.XLOOKUP($B139,'[2]Feb-26'!$A:$A,'[2]Feb-26'!$H:$H,0)</f>
        <v>0</v>
      </c>
      <c r="AF139" s="17">
        <f>_xlfn.XLOOKUP($B139,'[2]Mar-26'!$A:$A,'[2]Mar-26'!$H:$H,0)</f>
        <v>0</v>
      </c>
      <c r="AG139" s="17">
        <f>_xlfn.XLOOKUP($B139,'[2]Apr-26'!$A:$A,'[2]Apr-26'!$H:$H,0)</f>
        <v>0</v>
      </c>
    </row>
    <row r="140" spans="1:33" x14ac:dyDescent="0.2">
      <c r="A140" s="58">
        <v>51040</v>
      </c>
      <c r="B140" s="56" t="str">
        <f t="shared" si="4"/>
        <v>51040</v>
      </c>
      <c r="C140" s="57" t="s">
        <v>629</v>
      </c>
      <c r="D140" s="57" t="s">
        <v>387</v>
      </c>
      <c r="E140" s="44" t="s">
        <v>828</v>
      </c>
      <c r="F140" s="17">
        <f>_xlfn.XLOOKUP($B140,'[2]Jan-24'!$A:$A,'[2]Jan-24'!$H:$H,0)</f>
        <v>0</v>
      </c>
      <c r="G140" s="17">
        <f>_xlfn.XLOOKUP($B140,'[2]Feb-24'!$A:$A,'[2]Feb-24'!$H:$H,0)</f>
        <v>0</v>
      </c>
      <c r="H140" s="17">
        <f>_xlfn.XLOOKUP($B140,'[2]Mar-24'!$A:$A,'[2]Mar-24'!$H:$H,0)</f>
        <v>0</v>
      </c>
      <c r="I140" s="17">
        <f>_xlfn.XLOOKUP($B140,'[2]Apr-24'!$A:$A,'[2]Apr-24'!$H:$H,0)</f>
        <v>0</v>
      </c>
      <c r="J140" s="17">
        <f>_xlfn.XLOOKUP($B140,'[2]May-24'!$A:$A,'[2]May-24'!$H:$H,0)</f>
        <v>0</v>
      </c>
      <c r="K140" s="17">
        <f>_xlfn.XLOOKUP($B140,'[2]Jun-24'!$A:$A,'[2]Jun-24'!$H:$H,0)</f>
        <v>0</v>
      </c>
      <c r="L140" s="17">
        <f>_xlfn.XLOOKUP($B140,'[2]Jul-24'!$A:$A,'[2]Jul-24'!$H:$H,0)</f>
        <v>0</v>
      </c>
      <c r="M140" s="17">
        <f>_xlfn.XLOOKUP($B140,'[2]Aug-24'!$A:$A,'[2]Aug-24'!$H:$H,0)</f>
        <v>0</v>
      </c>
      <c r="N140" s="17">
        <f>_xlfn.XLOOKUP($B140,'[2]Sep-24'!$A:$A,'[2]Sep-24'!$H:$H,0)</f>
        <v>0</v>
      </c>
      <c r="O140" s="17">
        <f>_xlfn.XLOOKUP($B140,'[2]Oct-24'!$A:$A,'[2]Oct-24'!$H:$H,0)</f>
        <v>0</v>
      </c>
      <c r="P140" s="17">
        <f>_xlfn.XLOOKUP($B140,'[2]Nov-24'!$A:$A,'[2]Nov-24'!$H:$H,0)</f>
        <v>0</v>
      </c>
      <c r="Q140" s="17">
        <f>_xlfn.XLOOKUP($B140,'[2]Dec-24'!$A:$A,'[2]Dec-24'!$H:$H,0)</f>
        <v>0</v>
      </c>
      <c r="R140" s="17">
        <f>_xlfn.XLOOKUP($B140,'[2]Jan-25'!$A:$A,'[2]Jan-25'!$H:$H,0)</f>
        <v>0</v>
      </c>
      <c r="S140" s="17">
        <f>_xlfn.XLOOKUP($B140,'[2]Feb-25'!$A:$A,'[2]Feb-25'!$H:$H,0)</f>
        <v>0</v>
      </c>
      <c r="T140" s="17">
        <f>_xlfn.XLOOKUP($B140,'[2]Mar-25'!$A:$A,'[2]Mar-25'!$H:$H,0)</f>
        <v>0</v>
      </c>
      <c r="U140" s="17">
        <f>_xlfn.XLOOKUP($B140,'[2]Apr-25'!$A:$A,'[2]Apr-25'!$H:$H,0)</f>
        <v>0</v>
      </c>
      <c r="V140" s="17">
        <f>_xlfn.XLOOKUP($B140,'[2]May-25'!$A:$A,'[2]May-25'!$H:$H,0)</f>
        <v>0</v>
      </c>
      <c r="W140" s="17">
        <f>_xlfn.XLOOKUP($B140,'[2]Jun-25'!$A:$A,'[2]Jun-25'!$H:$H,0)</f>
        <v>0</v>
      </c>
      <c r="X140" s="17">
        <f>_xlfn.XLOOKUP($B140,'[2]Jul-25'!$A:$A,'[2]Jul-25'!$H:$H,0)</f>
        <v>0</v>
      </c>
      <c r="Y140" s="17">
        <f>_xlfn.XLOOKUP($B140,'[2]Aug-25'!$A:$A,'[2]Aug-25'!$H:$H,0)</f>
        <v>0</v>
      </c>
      <c r="Z140" s="17">
        <f>_xlfn.XLOOKUP($B140,'[2]Sep-25'!$A:$A,'[2]Sep-25'!$H:$H,0)</f>
        <v>0</v>
      </c>
      <c r="AA140" s="17">
        <f>_xlfn.XLOOKUP($B140,'[2]Oct-25'!$A:$A,'[2]Oct-25'!$H:$H,0)</f>
        <v>0</v>
      </c>
      <c r="AB140" s="17">
        <f>_xlfn.XLOOKUP($B140,'[2]Nov-25'!$A:$A,'[2]Nov-25'!$H:$H,0)</f>
        <v>0</v>
      </c>
      <c r="AC140" s="17">
        <f>_xlfn.XLOOKUP($B140,'[2]Dec-25'!$A:$A,'[2]Dec-25'!$H:$H,0)</f>
        <v>0</v>
      </c>
      <c r="AD140" s="17">
        <f>_xlfn.XLOOKUP($B140,'[2]Jan-26'!$A:$A,'[2]Jan-26'!$H:$H,0)</f>
        <v>0</v>
      </c>
      <c r="AE140" s="17">
        <f>_xlfn.XLOOKUP($B140,'[2]Feb-26'!$A:$A,'[2]Feb-26'!$H:$H,0)</f>
        <v>0</v>
      </c>
      <c r="AF140" s="17">
        <f>_xlfn.XLOOKUP($B140,'[2]Mar-26'!$A:$A,'[2]Mar-26'!$H:$H,0)</f>
        <v>0</v>
      </c>
      <c r="AG140" s="17">
        <f>_xlfn.XLOOKUP($B140,'[2]Apr-26'!$A:$A,'[2]Apr-26'!$H:$H,0)</f>
        <v>0</v>
      </c>
    </row>
    <row r="141" spans="1:33" x14ac:dyDescent="0.2">
      <c r="A141" s="58">
        <v>51060</v>
      </c>
      <c r="B141" s="56" t="str">
        <f t="shared" si="4"/>
        <v>51060</v>
      </c>
      <c r="C141" s="57" t="s">
        <v>552</v>
      </c>
      <c r="D141" s="57" t="s">
        <v>387</v>
      </c>
      <c r="E141" s="44" t="s">
        <v>829</v>
      </c>
      <c r="F141" s="17">
        <f>_xlfn.XLOOKUP($B141,'[2]Jan-24'!$A:$A,'[2]Jan-24'!$H:$H,0)</f>
        <v>0</v>
      </c>
      <c r="G141" s="17">
        <f>_xlfn.XLOOKUP($B141,'[2]Feb-24'!$A:$A,'[2]Feb-24'!$H:$H,0)</f>
        <v>0</v>
      </c>
      <c r="H141" s="17">
        <f>_xlfn.XLOOKUP($B141,'[2]Mar-24'!$A:$A,'[2]Mar-24'!$H:$H,0)</f>
        <v>0</v>
      </c>
      <c r="I141" s="17">
        <f>_xlfn.XLOOKUP($B141,'[2]Apr-24'!$A:$A,'[2]Apr-24'!$H:$H,0)</f>
        <v>0</v>
      </c>
      <c r="J141" s="17">
        <f>_xlfn.XLOOKUP($B141,'[2]May-24'!$A:$A,'[2]May-24'!$H:$H,0)</f>
        <v>0</v>
      </c>
      <c r="K141" s="17">
        <f>_xlfn.XLOOKUP($B141,'[2]Jun-24'!$A:$A,'[2]Jun-24'!$H:$H,0)</f>
        <v>0</v>
      </c>
      <c r="L141" s="17">
        <f>_xlfn.XLOOKUP($B141,'[2]Jul-24'!$A:$A,'[2]Jul-24'!$H:$H,0)</f>
        <v>0</v>
      </c>
      <c r="M141" s="17">
        <f>_xlfn.XLOOKUP($B141,'[2]Aug-24'!$A:$A,'[2]Aug-24'!$H:$H,0)</f>
        <v>0</v>
      </c>
      <c r="N141" s="17">
        <f>_xlfn.XLOOKUP($B141,'[2]Sep-24'!$A:$A,'[2]Sep-24'!$H:$H,0)</f>
        <v>0</v>
      </c>
      <c r="O141" s="17">
        <f>_xlfn.XLOOKUP($B141,'[2]Oct-24'!$A:$A,'[2]Oct-24'!$H:$H,0)</f>
        <v>0</v>
      </c>
      <c r="P141" s="17">
        <f>_xlfn.XLOOKUP($B141,'[2]Nov-24'!$A:$A,'[2]Nov-24'!$H:$H,0)</f>
        <v>0</v>
      </c>
      <c r="Q141" s="17">
        <f>_xlfn.XLOOKUP($B141,'[2]Dec-24'!$A:$A,'[2]Dec-24'!$H:$H,0)</f>
        <v>0</v>
      </c>
      <c r="R141" s="17">
        <f>_xlfn.XLOOKUP($B141,'[2]Jan-25'!$A:$A,'[2]Jan-25'!$H:$H,0)</f>
        <v>0</v>
      </c>
      <c r="S141" s="17">
        <f>_xlfn.XLOOKUP($B141,'[2]Feb-25'!$A:$A,'[2]Feb-25'!$H:$H,0)</f>
        <v>0</v>
      </c>
      <c r="T141" s="17">
        <f>_xlfn.XLOOKUP($B141,'[2]Mar-25'!$A:$A,'[2]Mar-25'!$H:$H,0)</f>
        <v>0</v>
      </c>
      <c r="U141" s="17">
        <f>_xlfn.XLOOKUP($B141,'[2]Apr-25'!$A:$A,'[2]Apr-25'!$H:$H,0)</f>
        <v>0</v>
      </c>
      <c r="V141" s="17">
        <f>_xlfn.XLOOKUP($B141,'[2]May-25'!$A:$A,'[2]May-25'!$H:$H,0)</f>
        <v>0</v>
      </c>
      <c r="W141" s="17">
        <f>_xlfn.XLOOKUP($B141,'[2]Jun-25'!$A:$A,'[2]Jun-25'!$H:$H,0)</f>
        <v>0</v>
      </c>
      <c r="X141" s="17">
        <f>_xlfn.XLOOKUP($B141,'[2]Jul-25'!$A:$A,'[2]Jul-25'!$H:$H,0)</f>
        <v>0</v>
      </c>
      <c r="Y141" s="17">
        <f>_xlfn.XLOOKUP($B141,'[2]Aug-25'!$A:$A,'[2]Aug-25'!$H:$H,0)</f>
        <v>0</v>
      </c>
      <c r="Z141" s="17">
        <f>_xlfn.XLOOKUP($B141,'[2]Sep-25'!$A:$A,'[2]Sep-25'!$H:$H,0)</f>
        <v>0</v>
      </c>
      <c r="AA141" s="17">
        <f>_xlfn.XLOOKUP($B141,'[2]Oct-25'!$A:$A,'[2]Oct-25'!$H:$H,0)</f>
        <v>0</v>
      </c>
      <c r="AB141" s="17">
        <f>_xlfn.XLOOKUP($B141,'[2]Nov-25'!$A:$A,'[2]Nov-25'!$H:$H,0)</f>
        <v>0</v>
      </c>
      <c r="AC141" s="17">
        <f>_xlfn.XLOOKUP($B141,'[2]Dec-25'!$A:$A,'[2]Dec-25'!$H:$H,0)</f>
        <v>0</v>
      </c>
      <c r="AD141" s="17">
        <f>_xlfn.XLOOKUP($B141,'[2]Jan-26'!$A:$A,'[2]Jan-26'!$H:$H,0)</f>
        <v>0</v>
      </c>
      <c r="AE141" s="17">
        <f>_xlfn.XLOOKUP($B141,'[2]Feb-26'!$A:$A,'[2]Feb-26'!$H:$H,0)</f>
        <v>0</v>
      </c>
      <c r="AF141" s="17">
        <f>_xlfn.XLOOKUP($B141,'[2]Mar-26'!$A:$A,'[2]Mar-26'!$H:$H,0)</f>
        <v>0</v>
      </c>
      <c r="AG141" s="17">
        <f>_xlfn.XLOOKUP($B141,'[2]Apr-26'!$A:$A,'[2]Apr-26'!$H:$H,0)</f>
        <v>0</v>
      </c>
    </row>
    <row r="142" spans="1:33" x14ac:dyDescent="0.2">
      <c r="A142" s="58">
        <v>51070</v>
      </c>
      <c r="B142" s="56" t="str">
        <f t="shared" si="4"/>
        <v>51070</v>
      </c>
      <c r="C142" s="57" t="s">
        <v>552</v>
      </c>
      <c r="D142" s="57" t="s">
        <v>387</v>
      </c>
      <c r="E142" s="44" t="s">
        <v>830</v>
      </c>
      <c r="F142" s="17">
        <f>_xlfn.XLOOKUP($B142,'[2]Jan-24'!$A:$A,'[2]Jan-24'!$H:$H,0)</f>
        <v>0</v>
      </c>
      <c r="G142" s="17">
        <f>_xlfn.XLOOKUP($B142,'[2]Feb-24'!$A:$A,'[2]Feb-24'!$H:$H,0)</f>
        <v>0</v>
      </c>
      <c r="H142" s="17">
        <f>_xlfn.XLOOKUP($B142,'[2]Mar-24'!$A:$A,'[2]Mar-24'!$H:$H,0)</f>
        <v>0</v>
      </c>
      <c r="I142" s="17">
        <f>_xlfn.XLOOKUP($B142,'[2]Apr-24'!$A:$A,'[2]Apr-24'!$H:$H,0)</f>
        <v>0</v>
      </c>
      <c r="J142" s="17">
        <f>_xlfn.XLOOKUP($B142,'[2]May-24'!$A:$A,'[2]May-24'!$H:$H,0)</f>
        <v>0</v>
      </c>
      <c r="K142" s="17">
        <f>_xlfn.XLOOKUP($B142,'[2]Jun-24'!$A:$A,'[2]Jun-24'!$H:$H,0)</f>
        <v>0</v>
      </c>
      <c r="L142" s="17">
        <f>_xlfn.XLOOKUP($B142,'[2]Jul-24'!$A:$A,'[2]Jul-24'!$H:$H,0)</f>
        <v>0</v>
      </c>
      <c r="M142" s="17">
        <f>_xlfn.XLOOKUP($B142,'[2]Aug-24'!$A:$A,'[2]Aug-24'!$H:$H,0)</f>
        <v>0</v>
      </c>
      <c r="N142" s="17">
        <f>_xlfn.XLOOKUP($B142,'[2]Sep-24'!$A:$A,'[2]Sep-24'!$H:$H,0)</f>
        <v>0</v>
      </c>
      <c r="O142" s="17">
        <f>_xlfn.XLOOKUP($B142,'[2]Oct-24'!$A:$A,'[2]Oct-24'!$H:$H,0)</f>
        <v>0</v>
      </c>
      <c r="P142" s="17">
        <f>_xlfn.XLOOKUP($B142,'[2]Nov-24'!$A:$A,'[2]Nov-24'!$H:$H,0)</f>
        <v>0</v>
      </c>
      <c r="Q142" s="17">
        <f>_xlfn.XLOOKUP($B142,'[2]Dec-24'!$A:$A,'[2]Dec-24'!$H:$H,0)</f>
        <v>0</v>
      </c>
      <c r="R142" s="17">
        <f>_xlfn.XLOOKUP($B142,'[2]Jan-25'!$A:$A,'[2]Jan-25'!$H:$H,0)</f>
        <v>0</v>
      </c>
      <c r="S142" s="17">
        <f>_xlfn.XLOOKUP($B142,'[2]Feb-25'!$A:$A,'[2]Feb-25'!$H:$H,0)</f>
        <v>0</v>
      </c>
      <c r="T142" s="17">
        <f>_xlfn.XLOOKUP($B142,'[2]Mar-25'!$A:$A,'[2]Mar-25'!$H:$H,0)</f>
        <v>0</v>
      </c>
      <c r="U142" s="17">
        <f>_xlfn.XLOOKUP($B142,'[2]Apr-25'!$A:$A,'[2]Apr-25'!$H:$H,0)</f>
        <v>0</v>
      </c>
      <c r="V142" s="17">
        <f>_xlfn.XLOOKUP($B142,'[2]May-25'!$A:$A,'[2]May-25'!$H:$H,0)</f>
        <v>0</v>
      </c>
      <c r="W142" s="17">
        <f>_xlfn.XLOOKUP($B142,'[2]Jun-25'!$A:$A,'[2]Jun-25'!$H:$H,0)</f>
        <v>0</v>
      </c>
      <c r="X142" s="17">
        <f>_xlfn.XLOOKUP($B142,'[2]Jul-25'!$A:$A,'[2]Jul-25'!$H:$H,0)</f>
        <v>0</v>
      </c>
      <c r="Y142" s="17">
        <f>_xlfn.XLOOKUP($B142,'[2]Aug-25'!$A:$A,'[2]Aug-25'!$H:$H,0)</f>
        <v>0</v>
      </c>
      <c r="Z142" s="17">
        <f>_xlfn.XLOOKUP($B142,'[2]Sep-25'!$A:$A,'[2]Sep-25'!$H:$H,0)</f>
        <v>0</v>
      </c>
      <c r="AA142" s="17">
        <f>_xlfn.XLOOKUP($B142,'[2]Oct-25'!$A:$A,'[2]Oct-25'!$H:$H,0)</f>
        <v>0</v>
      </c>
      <c r="AB142" s="17">
        <f>_xlfn.XLOOKUP($B142,'[2]Nov-25'!$A:$A,'[2]Nov-25'!$H:$H,0)</f>
        <v>0</v>
      </c>
      <c r="AC142" s="17">
        <f>_xlfn.XLOOKUP($B142,'[2]Dec-25'!$A:$A,'[2]Dec-25'!$H:$H,0)</f>
        <v>0</v>
      </c>
      <c r="AD142" s="17">
        <f>_xlfn.XLOOKUP($B142,'[2]Jan-26'!$A:$A,'[2]Jan-26'!$H:$H,0)</f>
        <v>0</v>
      </c>
      <c r="AE142" s="17">
        <f>_xlfn.XLOOKUP($B142,'[2]Feb-26'!$A:$A,'[2]Feb-26'!$H:$H,0)</f>
        <v>0</v>
      </c>
      <c r="AF142" s="17">
        <f>_xlfn.XLOOKUP($B142,'[2]Mar-26'!$A:$A,'[2]Mar-26'!$H:$H,0)</f>
        <v>0</v>
      </c>
      <c r="AG142" s="17">
        <f>_xlfn.XLOOKUP($B142,'[2]Apr-26'!$A:$A,'[2]Apr-26'!$H:$H,0)</f>
        <v>0</v>
      </c>
    </row>
    <row r="143" spans="1:33" x14ac:dyDescent="0.2">
      <c r="A143" s="58">
        <v>51155</v>
      </c>
      <c r="B143" s="56" t="str">
        <f t="shared" si="4"/>
        <v>51155</v>
      </c>
      <c r="C143" s="57" t="s">
        <v>613</v>
      </c>
      <c r="D143" s="57" t="s">
        <v>387</v>
      </c>
      <c r="E143" s="44" t="s">
        <v>831</v>
      </c>
      <c r="F143" s="17">
        <f>_xlfn.XLOOKUP($B143,'[2]Jan-24'!$A:$A,'[2]Jan-24'!$H:$H,0)</f>
        <v>0</v>
      </c>
      <c r="G143" s="17">
        <f>_xlfn.XLOOKUP($B143,'[2]Feb-24'!$A:$A,'[2]Feb-24'!$H:$H,0)</f>
        <v>0</v>
      </c>
      <c r="H143" s="17">
        <f>_xlfn.XLOOKUP($B143,'[2]Mar-24'!$A:$A,'[2]Mar-24'!$H:$H,0)</f>
        <v>0</v>
      </c>
      <c r="I143" s="17">
        <f>_xlfn.XLOOKUP($B143,'[2]Apr-24'!$A:$A,'[2]Apr-24'!$H:$H,0)</f>
        <v>0</v>
      </c>
      <c r="J143" s="17">
        <f>_xlfn.XLOOKUP($B143,'[2]May-24'!$A:$A,'[2]May-24'!$H:$H,0)</f>
        <v>0</v>
      </c>
      <c r="K143" s="17">
        <f>_xlfn.XLOOKUP($B143,'[2]Jun-24'!$A:$A,'[2]Jun-24'!$H:$H,0)</f>
        <v>0</v>
      </c>
      <c r="L143" s="17">
        <f>_xlfn.XLOOKUP($B143,'[2]Jul-24'!$A:$A,'[2]Jul-24'!$H:$H,0)</f>
        <v>0</v>
      </c>
      <c r="M143" s="17">
        <f>_xlfn.XLOOKUP($B143,'[2]Aug-24'!$A:$A,'[2]Aug-24'!$H:$H,0)</f>
        <v>0</v>
      </c>
      <c r="N143" s="17">
        <f>_xlfn.XLOOKUP($B143,'[2]Sep-24'!$A:$A,'[2]Sep-24'!$H:$H,0)</f>
        <v>0</v>
      </c>
      <c r="O143" s="17">
        <f>_xlfn.XLOOKUP($B143,'[2]Oct-24'!$A:$A,'[2]Oct-24'!$H:$H,0)</f>
        <v>0</v>
      </c>
      <c r="P143" s="17">
        <f>_xlfn.XLOOKUP($B143,'[2]Nov-24'!$A:$A,'[2]Nov-24'!$H:$H,0)</f>
        <v>0</v>
      </c>
      <c r="Q143" s="17">
        <f>_xlfn.XLOOKUP($B143,'[2]Dec-24'!$A:$A,'[2]Dec-24'!$H:$H,0)</f>
        <v>0</v>
      </c>
      <c r="R143" s="17">
        <f>_xlfn.XLOOKUP($B143,'[2]Jan-25'!$A:$A,'[2]Jan-25'!$H:$H,0)</f>
        <v>0</v>
      </c>
      <c r="S143" s="17">
        <f>_xlfn.XLOOKUP($B143,'[2]Feb-25'!$A:$A,'[2]Feb-25'!$H:$H,0)</f>
        <v>0</v>
      </c>
      <c r="T143" s="17">
        <f>_xlfn.XLOOKUP($B143,'[2]Mar-25'!$A:$A,'[2]Mar-25'!$H:$H,0)</f>
        <v>0</v>
      </c>
      <c r="U143" s="17">
        <f>_xlfn.XLOOKUP($B143,'[2]Apr-25'!$A:$A,'[2]Apr-25'!$H:$H,0)</f>
        <v>0</v>
      </c>
      <c r="V143" s="17">
        <f>_xlfn.XLOOKUP($B143,'[2]May-25'!$A:$A,'[2]May-25'!$H:$H,0)</f>
        <v>0</v>
      </c>
      <c r="W143" s="17">
        <f>_xlfn.XLOOKUP($B143,'[2]Jun-25'!$A:$A,'[2]Jun-25'!$H:$H,0)</f>
        <v>0</v>
      </c>
      <c r="X143" s="17">
        <f>_xlfn.XLOOKUP($B143,'[2]Jul-25'!$A:$A,'[2]Jul-25'!$H:$H,0)</f>
        <v>0</v>
      </c>
      <c r="Y143" s="17">
        <f>_xlfn.XLOOKUP($B143,'[2]Aug-25'!$A:$A,'[2]Aug-25'!$H:$H,0)</f>
        <v>0</v>
      </c>
      <c r="Z143" s="17">
        <f>_xlfn.XLOOKUP($B143,'[2]Sep-25'!$A:$A,'[2]Sep-25'!$H:$H,0)</f>
        <v>0</v>
      </c>
      <c r="AA143" s="17">
        <f>_xlfn.XLOOKUP($B143,'[2]Oct-25'!$A:$A,'[2]Oct-25'!$H:$H,0)</f>
        <v>0</v>
      </c>
      <c r="AB143" s="17">
        <f>_xlfn.XLOOKUP($B143,'[2]Nov-25'!$A:$A,'[2]Nov-25'!$H:$H,0)</f>
        <v>0</v>
      </c>
      <c r="AC143" s="17">
        <f>_xlfn.XLOOKUP($B143,'[2]Dec-25'!$A:$A,'[2]Dec-25'!$H:$H,0)</f>
        <v>0</v>
      </c>
      <c r="AD143" s="17">
        <f>_xlfn.XLOOKUP($B143,'[2]Jan-26'!$A:$A,'[2]Jan-26'!$H:$H,0)</f>
        <v>0</v>
      </c>
      <c r="AE143" s="17">
        <f>_xlfn.XLOOKUP($B143,'[2]Feb-26'!$A:$A,'[2]Feb-26'!$H:$H,0)</f>
        <v>0</v>
      </c>
      <c r="AF143" s="17">
        <f>_xlfn.XLOOKUP($B143,'[2]Mar-26'!$A:$A,'[2]Mar-26'!$H:$H,0)</f>
        <v>0</v>
      </c>
      <c r="AG143" s="17">
        <f>_xlfn.XLOOKUP($B143,'[2]Apr-26'!$A:$A,'[2]Apr-26'!$H:$H,0)</f>
        <v>0</v>
      </c>
    </row>
    <row r="144" spans="1:33" x14ac:dyDescent="0.2">
      <c r="A144" s="58">
        <v>51160</v>
      </c>
      <c r="B144" s="56" t="str">
        <f t="shared" si="4"/>
        <v>51160</v>
      </c>
      <c r="C144" s="57" t="s">
        <v>552</v>
      </c>
      <c r="D144" s="57" t="s">
        <v>387</v>
      </c>
      <c r="E144" s="44" t="s">
        <v>832</v>
      </c>
      <c r="F144" s="17">
        <f>_xlfn.XLOOKUP($B144,'[2]Jan-24'!$A:$A,'[2]Jan-24'!$H:$H,0)</f>
        <v>0</v>
      </c>
      <c r="G144" s="17">
        <f>_xlfn.XLOOKUP($B144,'[2]Feb-24'!$A:$A,'[2]Feb-24'!$H:$H,0)</f>
        <v>0</v>
      </c>
      <c r="H144" s="17">
        <f>_xlfn.XLOOKUP($B144,'[2]Mar-24'!$A:$A,'[2]Mar-24'!$H:$H,0)</f>
        <v>0</v>
      </c>
      <c r="I144" s="17">
        <f>_xlfn.XLOOKUP($B144,'[2]Apr-24'!$A:$A,'[2]Apr-24'!$H:$H,0)</f>
        <v>0</v>
      </c>
      <c r="J144" s="17">
        <f>_xlfn.XLOOKUP($B144,'[2]May-24'!$A:$A,'[2]May-24'!$H:$H,0)</f>
        <v>0</v>
      </c>
      <c r="K144" s="17">
        <f>_xlfn.XLOOKUP($B144,'[2]Jun-24'!$A:$A,'[2]Jun-24'!$H:$H,0)</f>
        <v>0</v>
      </c>
      <c r="L144" s="17">
        <f>_xlfn.XLOOKUP($B144,'[2]Jul-24'!$A:$A,'[2]Jul-24'!$H:$H,0)</f>
        <v>0</v>
      </c>
      <c r="M144" s="17">
        <f>_xlfn.XLOOKUP($B144,'[2]Aug-24'!$A:$A,'[2]Aug-24'!$H:$H,0)</f>
        <v>0</v>
      </c>
      <c r="N144" s="17">
        <f>_xlfn.XLOOKUP($B144,'[2]Sep-24'!$A:$A,'[2]Sep-24'!$H:$H,0)</f>
        <v>0</v>
      </c>
      <c r="O144" s="17">
        <f>_xlfn.XLOOKUP($B144,'[2]Oct-24'!$A:$A,'[2]Oct-24'!$H:$H,0)</f>
        <v>0</v>
      </c>
      <c r="P144" s="17">
        <f>_xlfn.XLOOKUP($B144,'[2]Nov-24'!$A:$A,'[2]Nov-24'!$H:$H,0)</f>
        <v>0</v>
      </c>
      <c r="Q144" s="17">
        <f>_xlfn.XLOOKUP($B144,'[2]Dec-24'!$A:$A,'[2]Dec-24'!$H:$H,0)</f>
        <v>0</v>
      </c>
      <c r="R144" s="17">
        <f>_xlfn.XLOOKUP($B144,'[2]Jan-25'!$A:$A,'[2]Jan-25'!$H:$H,0)</f>
        <v>0</v>
      </c>
      <c r="S144" s="17">
        <f>_xlfn.XLOOKUP($B144,'[2]Feb-25'!$A:$A,'[2]Feb-25'!$H:$H,0)</f>
        <v>0</v>
      </c>
      <c r="T144" s="17">
        <f>_xlfn.XLOOKUP($B144,'[2]Mar-25'!$A:$A,'[2]Mar-25'!$H:$H,0)</f>
        <v>0</v>
      </c>
      <c r="U144" s="17">
        <f>_xlfn.XLOOKUP($B144,'[2]Apr-25'!$A:$A,'[2]Apr-25'!$H:$H,0)</f>
        <v>0</v>
      </c>
      <c r="V144" s="17">
        <f>_xlfn.XLOOKUP($B144,'[2]May-25'!$A:$A,'[2]May-25'!$H:$H,0)</f>
        <v>0</v>
      </c>
      <c r="W144" s="17">
        <f>_xlfn.XLOOKUP($B144,'[2]Jun-25'!$A:$A,'[2]Jun-25'!$H:$H,0)</f>
        <v>0</v>
      </c>
      <c r="X144" s="17">
        <f>_xlfn.XLOOKUP($B144,'[2]Jul-25'!$A:$A,'[2]Jul-25'!$H:$H,0)</f>
        <v>0</v>
      </c>
      <c r="Y144" s="17">
        <f>_xlfn.XLOOKUP($B144,'[2]Aug-25'!$A:$A,'[2]Aug-25'!$H:$H,0)</f>
        <v>0</v>
      </c>
      <c r="Z144" s="17">
        <f>_xlfn.XLOOKUP($B144,'[2]Sep-25'!$A:$A,'[2]Sep-25'!$H:$H,0)</f>
        <v>0</v>
      </c>
      <c r="AA144" s="17">
        <f>_xlfn.XLOOKUP($B144,'[2]Oct-25'!$A:$A,'[2]Oct-25'!$H:$H,0)</f>
        <v>0</v>
      </c>
      <c r="AB144" s="17">
        <f>_xlfn.XLOOKUP($B144,'[2]Nov-25'!$A:$A,'[2]Nov-25'!$H:$H,0)</f>
        <v>0</v>
      </c>
      <c r="AC144" s="17">
        <f>_xlfn.XLOOKUP($B144,'[2]Dec-25'!$A:$A,'[2]Dec-25'!$H:$H,0)</f>
        <v>0</v>
      </c>
      <c r="AD144" s="17">
        <f>_xlfn.XLOOKUP($B144,'[2]Jan-26'!$A:$A,'[2]Jan-26'!$H:$H,0)</f>
        <v>0</v>
      </c>
      <c r="AE144" s="17">
        <f>_xlfn.XLOOKUP($B144,'[2]Feb-26'!$A:$A,'[2]Feb-26'!$H:$H,0)</f>
        <v>0</v>
      </c>
      <c r="AF144" s="17">
        <f>_xlfn.XLOOKUP($B144,'[2]Mar-26'!$A:$A,'[2]Mar-26'!$H:$H,0)</f>
        <v>0</v>
      </c>
      <c r="AG144" s="17">
        <f>_xlfn.XLOOKUP($B144,'[2]Apr-26'!$A:$A,'[2]Apr-26'!$H:$H,0)</f>
        <v>0</v>
      </c>
    </row>
    <row r="145" spans="1:33" x14ac:dyDescent="0.2">
      <c r="A145" s="58">
        <v>51170</v>
      </c>
      <c r="B145" s="56" t="str">
        <f t="shared" si="4"/>
        <v>51170</v>
      </c>
      <c r="C145" s="57" t="s">
        <v>552</v>
      </c>
      <c r="D145" s="57" t="s">
        <v>387</v>
      </c>
      <c r="E145" s="44" t="s">
        <v>833</v>
      </c>
      <c r="F145" s="17">
        <f>_xlfn.XLOOKUP($B145,'[2]Jan-24'!$A:$A,'[2]Jan-24'!$H:$H,0)</f>
        <v>0</v>
      </c>
      <c r="G145" s="17">
        <f>_xlfn.XLOOKUP($B145,'[2]Feb-24'!$A:$A,'[2]Feb-24'!$H:$H,0)</f>
        <v>0</v>
      </c>
      <c r="H145" s="17">
        <f>_xlfn.XLOOKUP($B145,'[2]Mar-24'!$A:$A,'[2]Mar-24'!$H:$H,0)</f>
        <v>0</v>
      </c>
      <c r="I145" s="17">
        <f>_xlfn.XLOOKUP($B145,'[2]Apr-24'!$A:$A,'[2]Apr-24'!$H:$H,0)</f>
        <v>0</v>
      </c>
      <c r="J145" s="17">
        <f>_xlfn.XLOOKUP($B145,'[2]May-24'!$A:$A,'[2]May-24'!$H:$H,0)</f>
        <v>0</v>
      </c>
      <c r="K145" s="17">
        <f>_xlfn.XLOOKUP($B145,'[2]Jun-24'!$A:$A,'[2]Jun-24'!$H:$H,0)</f>
        <v>0</v>
      </c>
      <c r="L145" s="17">
        <f>_xlfn.XLOOKUP($B145,'[2]Jul-24'!$A:$A,'[2]Jul-24'!$H:$H,0)</f>
        <v>0</v>
      </c>
      <c r="M145" s="17">
        <f>_xlfn.XLOOKUP($B145,'[2]Aug-24'!$A:$A,'[2]Aug-24'!$H:$H,0)</f>
        <v>0</v>
      </c>
      <c r="N145" s="17">
        <f>_xlfn.XLOOKUP($B145,'[2]Sep-24'!$A:$A,'[2]Sep-24'!$H:$H,0)</f>
        <v>0</v>
      </c>
      <c r="O145" s="17">
        <f>_xlfn.XLOOKUP($B145,'[2]Oct-24'!$A:$A,'[2]Oct-24'!$H:$H,0)</f>
        <v>0</v>
      </c>
      <c r="P145" s="17">
        <f>_xlfn.XLOOKUP($B145,'[2]Nov-24'!$A:$A,'[2]Nov-24'!$H:$H,0)</f>
        <v>0</v>
      </c>
      <c r="Q145" s="17">
        <f>_xlfn.XLOOKUP($B145,'[2]Dec-24'!$A:$A,'[2]Dec-24'!$H:$H,0)</f>
        <v>0</v>
      </c>
      <c r="R145" s="17">
        <f>_xlfn.XLOOKUP($B145,'[2]Jan-25'!$A:$A,'[2]Jan-25'!$H:$H,0)</f>
        <v>0</v>
      </c>
      <c r="S145" s="17">
        <f>_xlfn.XLOOKUP($B145,'[2]Feb-25'!$A:$A,'[2]Feb-25'!$H:$H,0)</f>
        <v>0</v>
      </c>
      <c r="T145" s="17">
        <f>_xlfn.XLOOKUP($B145,'[2]Mar-25'!$A:$A,'[2]Mar-25'!$H:$H,0)</f>
        <v>0</v>
      </c>
      <c r="U145" s="17">
        <f>_xlfn.XLOOKUP($B145,'[2]Apr-25'!$A:$A,'[2]Apr-25'!$H:$H,0)</f>
        <v>0</v>
      </c>
      <c r="V145" s="17">
        <f>_xlfn.XLOOKUP($B145,'[2]May-25'!$A:$A,'[2]May-25'!$H:$H,0)</f>
        <v>0</v>
      </c>
      <c r="W145" s="17">
        <f>_xlfn.XLOOKUP($B145,'[2]Jun-25'!$A:$A,'[2]Jun-25'!$H:$H,0)</f>
        <v>0</v>
      </c>
      <c r="X145" s="17">
        <f>_xlfn.XLOOKUP($B145,'[2]Jul-25'!$A:$A,'[2]Jul-25'!$H:$H,0)</f>
        <v>0</v>
      </c>
      <c r="Y145" s="17">
        <f>_xlfn.XLOOKUP($B145,'[2]Aug-25'!$A:$A,'[2]Aug-25'!$H:$H,0)</f>
        <v>0</v>
      </c>
      <c r="Z145" s="17">
        <f>_xlfn.XLOOKUP($B145,'[2]Sep-25'!$A:$A,'[2]Sep-25'!$H:$H,0)</f>
        <v>0</v>
      </c>
      <c r="AA145" s="17">
        <f>_xlfn.XLOOKUP($B145,'[2]Oct-25'!$A:$A,'[2]Oct-25'!$H:$H,0)</f>
        <v>0</v>
      </c>
      <c r="AB145" s="17">
        <f>_xlfn.XLOOKUP($B145,'[2]Nov-25'!$A:$A,'[2]Nov-25'!$H:$H,0)</f>
        <v>0</v>
      </c>
      <c r="AC145" s="17">
        <f>_xlfn.XLOOKUP($B145,'[2]Dec-25'!$A:$A,'[2]Dec-25'!$H:$H,0)</f>
        <v>0</v>
      </c>
      <c r="AD145" s="17">
        <f>_xlfn.XLOOKUP($B145,'[2]Jan-26'!$A:$A,'[2]Jan-26'!$H:$H,0)</f>
        <v>0</v>
      </c>
      <c r="AE145" s="17">
        <f>_xlfn.XLOOKUP($B145,'[2]Feb-26'!$A:$A,'[2]Feb-26'!$H:$H,0)</f>
        <v>0</v>
      </c>
      <c r="AF145" s="17">
        <f>_xlfn.XLOOKUP($B145,'[2]Mar-26'!$A:$A,'[2]Mar-26'!$H:$H,0)</f>
        <v>0</v>
      </c>
      <c r="AG145" s="17">
        <f>_xlfn.XLOOKUP($B145,'[2]Apr-26'!$A:$A,'[2]Apr-26'!$H:$H,0)</f>
        <v>0</v>
      </c>
    </row>
    <row r="146" spans="1:33" x14ac:dyDescent="0.2">
      <c r="A146" s="58">
        <v>51180</v>
      </c>
      <c r="B146" s="56" t="str">
        <f t="shared" si="4"/>
        <v>51180</v>
      </c>
      <c r="C146" s="57" t="s">
        <v>552</v>
      </c>
      <c r="D146" s="57" t="s">
        <v>387</v>
      </c>
      <c r="E146" s="44" t="s">
        <v>834</v>
      </c>
      <c r="F146" s="17">
        <f>_xlfn.XLOOKUP($B146,'[2]Jan-24'!$A:$A,'[2]Jan-24'!$H:$H,0)</f>
        <v>0</v>
      </c>
      <c r="G146" s="17">
        <f>_xlfn.XLOOKUP($B146,'[2]Feb-24'!$A:$A,'[2]Feb-24'!$H:$H,0)</f>
        <v>0</v>
      </c>
      <c r="H146" s="17">
        <f>_xlfn.XLOOKUP($B146,'[2]Mar-24'!$A:$A,'[2]Mar-24'!$H:$H,0)</f>
        <v>0</v>
      </c>
      <c r="I146" s="17">
        <f>_xlfn.XLOOKUP($B146,'[2]Apr-24'!$A:$A,'[2]Apr-24'!$H:$H,0)</f>
        <v>0</v>
      </c>
      <c r="J146" s="17">
        <f>_xlfn.XLOOKUP($B146,'[2]May-24'!$A:$A,'[2]May-24'!$H:$H,0)</f>
        <v>0</v>
      </c>
      <c r="K146" s="17">
        <f>_xlfn.XLOOKUP($B146,'[2]Jun-24'!$A:$A,'[2]Jun-24'!$H:$H,0)</f>
        <v>0</v>
      </c>
      <c r="L146" s="17">
        <f>_xlfn.XLOOKUP($B146,'[2]Jul-24'!$A:$A,'[2]Jul-24'!$H:$H,0)</f>
        <v>0</v>
      </c>
      <c r="M146" s="17">
        <f>_xlfn.XLOOKUP($B146,'[2]Aug-24'!$A:$A,'[2]Aug-24'!$H:$H,0)</f>
        <v>0</v>
      </c>
      <c r="N146" s="17">
        <f>_xlfn.XLOOKUP($B146,'[2]Sep-24'!$A:$A,'[2]Sep-24'!$H:$H,0)</f>
        <v>0</v>
      </c>
      <c r="O146" s="17">
        <f>_xlfn.XLOOKUP($B146,'[2]Oct-24'!$A:$A,'[2]Oct-24'!$H:$H,0)</f>
        <v>0</v>
      </c>
      <c r="P146" s="17">
        <f>_xlfn.XLOOKUP($B146,'[2]Nov-24'!$A:$A,'[2]Nov-24'!$H:$H,0)</f>
        <v>0</v>
      </c>
      <c r="Q146" s="17">
        <f>_xlfn.XLOOKUP($B146,'[2]Dec-24'!$A:$A,'[2]Dec-24'!$H:$H,0)</f>
        <v>0</v>
      </c>
      <c r="R146" s="17">
        <f>_xlfn.XLOOKUP($B146,'[2]Jan-25'!$A:$A,'[2]Jan-25'!$H:$H,0)</f>
        <v>0</v>
      </c>
      <c r="S146" s="17">
        <f>_xlfn.XLOOKUP($B146,'[2]Feb-25'!$A:$A,'[2]Feb-25'!$H:$H,0)</f>
        <v>0</v>
      </c>
      <c r="T146" s="17">
        <f>_xlfn.XLOOKUP($B146,'[2]Mar-25'!$A:$A,'[2]Mar-25'!$H:$H,0)</f>
        <v>0</v>
      </c>
      <c r="U146" s="17">
        <f>_xlfn.XLOOKUP($B146,'[2]Apr-25'!$A:$A,'[2]Apr-25'!$H:$H,0)</f>
        <v>0</v>
      </c>
      <c r="V146" s="17">
        <f>_xlfn.XLOOKUP($B146,'[2]May-25'!$A:$A,'[2]May-25'!$H:$H,0)</f>
        <v>0</v>
      </c>
      <c r="W146" s="17">
        <f>_xlfn.XLOOKUP($B146,'[2]Jun-25'!$A:$A,'[2]Jun-25'!$H:$H,0)</f>
        <v>0</v>
      </c>
      <c r="X146" s="17">
        <f>_xlfn.XLOOKUP($B146,'[2]Jul-25'!$A:$A,'[2]Jul-25'!$H:$H,0)</f>
        <v>0</v>
      </c>
      <c r="Y146" s="17">
        <f>_xlfn.XLOOKUP($B146,'[2]Aug-25'!$A:$A,'[2]Aug-25'!$H:$H,0)</f>
        <v>0</v>
      </c>
      <c r="Z146" s="17">
        <f>_xlfn.XLOOKUP($B146,'[2]Sep-25'!$A:$A,'[2]Sep-25'!$H:$H,0)</f>
        <v>0</v>
      </c>
      <c r="AA146" s="17">
        <f>_xlfn.XLOOKUP($B146,'[2]Oct-25'!$A:$A,'[2]Oct-25'!$H:$H,0)</f>
        <v>0</v>
      </c>
      <c r="AB146" s="17">
        <f>_xlfn.XLOOKUP($B146,'[2]Nov-25'!$A:$A,'[2]Nov-25'!$H:$H,0)</f>
        <v>0</v>
      </c>
      <c r="AC146" s="17">
        <f>_xlfn.XLOOKUP($B146,'[2]Dec-25'!$A:$A,'[2]Dec-25'!$H:$H,0)</f>
        <v>0</v>
      </c>
      <c r="AD146" s="17">
        <f>_xlfn.XLOOKUP($B146,'[2]Jan-26'!$A:$A,'[2]Jan-26'!$H:$H,0)</f>
        <v>0</v>
      </c>
      <c r="AE146" s="17">
        <f>_xlfn.XLOOKUP($B146,'[2]Feb-26'!$A:$A,'[2]Feb-26'!$H:$H,0)</f>
        <v>0</v>
      </c>
      <c r="AF146" s="17">
        <f>_xlfn.XLOOKUP($B146,'[2]Mar-26'!$A:$A,'[2]Mar-26'!$H:$H,0)</f>
        <v>0</v>
      </c>
      <c r="AG146" s="17">
        <f>_xlfn.XLOOKUP($B146,'[2]Apr-26'!$A:$A,'[2]Apr-26'!$H:$H,0)</f>
        <v>0</v>
      </c>
    </row>
    <row r="147" spans="1:33" x14ac:dyDescent="0.2">
      <c r="A147" s="58">
        <v>51205</v>
      </c>
      <c r="B147" s="56" t="str">
        <f t="shared" si="4"/>
        <v>51205</v>
      </c>
      <c r="C147" s="57" t="s">
        <v>643</v>
      </c>
      <c r="D147" s="57" t="s">
        <v>387</v>
      </c>
      <c r="E147" s="44" t="s">
        <v>835</v>
      </c>
      <c r="F147" s="17">
        <f>_xlfn.XLOOKUP($B147,'[2]Jan-24'!$A:$A,'[2]Jan-24'!$H:$H,0)</f>
        <v>0</v>
      </c>
      <c r="G147" s="17">
        <f>_xlfn.XLOOKUP($B147,'[2]Feb-24'!$A:$A,'[2]Feb-24'!$H:$H,0)</f>
        <v>0</v>
      </c>
      <c r="H147" s="17">
        <f>_xlfn.XLOOKUP($B147,'[2]Mar-24'!$A:$A,'[2]Mar-24'!$H:$H,0)</f>
        <v>0</v>
      </c>
      <c r="I147" s="17">
        <f>_xlfn.XLOOKUP($B147,'[2]Apr-24'!$A:$A,'[2]Apr-24'!$H:$H,0)</f>
        <v>0</v>
      </c>
      <c r="J147" s="17">
        <f>_xlfn.XLOOKUP($B147,'[2]May-24'!$A:$A,'[2]May-24'!$H:$H,0)</f>
        <v>0</v>
      </c>
      <c r="K147" s="17">
        <f>_xlfn.XLOOKUP($B147,'[2]Jun-24'!$A:$A,'[2]Jun-24'!$H:$H,0)</f>
        <v>0</v>
      </c>
      <c r="L147" s="17">
        <f>_xlfn.XLOOKUP($B147,'[2]Jul-24'!$A:$A,'[2]Jul-24'!$H:$H,0)</f>
        <v>0</v>
      </c>
      <c r="M147" s="17">
        <f>_xlfn.XLOOKUP($B147,'[2]Aug-24'!$A:$A,'[2]Aug-24'!$H:$H,0)</f>
        <v>0</v>
      </c>
      <c r="N147" s="17">
        <f>_xlfn.XLOOKUP($B147,'[2]Sep-24'!$A:$A,'[2]Sep-24'!$H:$H,0)</f>
        <v>0</v>
      </c>
      <c r="O147" s="17">
        <f>_xlfn.XLOOKUP($B147,'[2]Oct-24'!$A:$A,'[2]Oct-24'!$H:$H,0)</f>
        <v>0</v>
      </c>
      <c r="P147" s="17">
        <f>_xlfn.XLOOKUP($B147,'[2]Nov-24'!$A:$A,'[2]Nov-24'!$H:$H,0)</f>
        <v>0</v>
      </c>
      <c r="Q147" s="17">
        <f>_xlfn.XLOOKUP($B147,'[2]Dec-24'!$A:$A,'[2]Dec-24'!$H:$H,0)</f>
        <v>0</v>
      </c>
      <c r="R147" s="17">
        <f>_xlfn.XLOOKUP($B147,'[2]Jan-25'!$A:$A,'[2]Jan-25'!$H:$H,0)</f>
        <v>0</v>
      </c>
      <c r="S147" s="17">
        <f>_xlfn.XLOOKUP($B147,'[2]Feb-25'!$A:$A,'[2]Feb-25'!$H:$H,0)</f>
        <v>0</v>
      </c>
      <c r="T147" s="17">
        <f>_xlfn.XLOOKUP($B147,'[2]Mar-25'!$A:$A,'[2]Mar-25'!$H:$H,0)</f>
        <v>0</v>
      </c>
      <c r="U147" s="17">
        <f>_xlfn.XLOOKUP($B147,'[2]Apr-25'!$A:$A,'[2]Apr-25'!$H:$H,0)</f>
        <v>0</v>
      </c>
      <c r="V147" s="17">
        <f>_xlfn.XLOOKUP($B147,'[2]May-25'!$A:$A,'[2]May-25'!$H:$H,0)</f>
        <v>1004.54</v>
      </c>
      <c r="W147" s="17">
        <f>_xlfn.XLOOKUP($B147,'[2]Jun-25'!$A:$A,'[2]Jun-25'!$H:$H,0)</f>
        <v>0</v>
      </c>
      <c r="X147" s="17">
        <f>_xlfn.XLOOKUP($B147,'[2]Jul-25'!$A:$A,'[2]Jul-25'!$H:$H,0)</f>
        <v>0</v>
      </c>
      <c r="Y147" s="17">
        <f>_xlfn.XLOOKUP($B147,'[2]Aug-25'!$A:$A,'[2]Aug-25'!$H:$H,0)</f>
        <v>0</v>
      </c>
      <c r="Z147" s="17">
        <f>_xlfn.XLOOKUP($B147,'[2]Sep-25'!$A:$A,'[2]Sep-25'!$H:$H,0)</f>
        <v>0</v>
      </c>
      <c r="AA147" s="17">
        <f>_xlfn.XLOOKUP($B147,'[2]Oct-25'!$A:$A,'[2]Oct-25'!$H:$H,0)</f>
        <v>0</v>
      </c>
      <c r="AB147" s="17">
        <f>_xlfn.XLOOKUP($B147,'[2]Nov-25'!$A:$A,'[2]Nov-25'!$H:$H,0)</f>
        <v>0</v>
      </c>
      <c r="AC147" s="17">
        <f>_xlfn.XLOOKUP($B147,'[2]Dec-25'!$A:$A,'[2]Dec-25'!$H:$H,0)</f>
        <v>0</v>
      </c>
      <c r="AD147" s="17">
        <f>_xlfn.XLOOKUP($B147,'[2]Jan-26'!$A:$A,'[2]Jan-26'!$H:$H,0)</f>
        <v>0</v>
      </c>
      <c r="AE147" s="17">
        <f>_xlfn.XLOOKUP($B147,'[2]Feb-26'!$A:$A,'[2]Feb-26'!$H:$H,0)</f>
        <v>0</v>
      </c>
      <c r="AF147" s="17">
        <f>_xlfn.XLOOKUP($B147,'[2]Mar-26'!$A:$A,'[2]Mar-26'!$H:$H,0)</f>
        <v>0</v>
      </c>
      <c r="AG147" s="17">
        <f>_xlfn.XLOOKUP($B147,'[2]Apr-26'!$A:$A,'[2]Apr-26'!$H:$H,0)</f>
        <v>0</v>
      </c>
    </row>
    <row r="148" spans="1:33" x14ac:dyDescent="0.2">
      <c r="A148" s="58">
        <v>51210</v>
      </c>
      <c r="B148" s="56" t="str">
        <f t="shared" si="4"/>
        <v>51210</v>
      </c>
      <c r="C148" s="57" t="s">
        <v>643</v>
      </c>
      <c r="D148" s="57" t="s">
        <v>387</v>
      </c>
      <c r="E148" s="44" t="s">
        <v>836</v>
      </c>
      <c r="F148" s="17">
        <f>_xlfn.XLOOKUP($B148,'[2]Jan-24'!$A:$A,'[2]Jan-24'!$H:$H,0)</f>
        <v>0</v>
      </c>
      <c r="G148" s="17">
        <f>_xlfn.XLOOKUP($B148,'[2]Feb-24'!$A:$A,'[2]Feb-24'!$H:$H,0)</f>
        <v>0</v>
      </c>
      <c r="H148" s="17">
        <f>_xlfn.XLOOKUP($B148,'[2]Mar-24'!$A:$A,'[2]Mar-24'!$H:$H,0)</f>
        <v>0</v>
      </c>
      <c r="I148" s="17">
        <f>_xlfn.XLOOKUP($B148,'[2]Apr-24'!$A:$A,'[2]Apr-24'!$H:$H,0)</f>
        <v>0</v>
      </c>
      <c r="J148" s="17">
        <f>_xlfn.XLOOKUP($B148,'[2]May-24'!$A:$A,'[2]May-24'!$H:$H,0)</f>
        <v>0</v>
      </c>
      <c r="K148" s="17">
        <f>_xlfn.XLOOKUP($B148,'[2]Jun-24'!$A:$A,'[2]Jun-24'!$H:$H,0)</f>
        <v>0</v>
      </c>
      <c r="L148" s="17">
        <f>_xlfn.XLOOKUP($B148,'[2]Jul-24'!$A:$A,'[2]Jul-24'!$H:$H,0)</f>
        <v>0</v>
      </c>
      <c r="M148" s="17">
        <f>_xlfn.XLOOKUP($B148,'[2]Aug-24'!$A:$A,'[2]Aug-24'!$H:$H,0)</f>
        <v>0</v>
      </c>
      <c r="N148" s="17">
        <f>_xlfn.XLOOKUP($B148,'[2]Sep-24'!$A:$A,'[2]Sep-24'!$H:$H,0)</f>
        <v>0</v>
      </c>
      <c r="O148" s="17">
        <f>_xlfn.XLOOKUP($B148,'[2]Oct-24'!$A:$A,'[2]Oct-24'!$H:$H,0)</f>
        <v>0</v>
      </c>
      <c r="P148" s="17">
        <f>_xlfn.XLOOKUP($B148,'[2]Nov-24'!$A:$A,'[2]Nov-24'!$H:$H,0)</f>
        <v>0</v>
      </c>
      <c r="Q148" s="17">
        <f>_xlfn.XLOOKUP($B148,'[2]Dec-24'!$A:$A,'[2]Dec-24'!$H:$H,0)</f>
        <v>0</v>
      </c>
      <c r="R148" s="17">
        <f>_xlfn.XLOOKUP($B148,'[2]Jan-25'!$A:$A,'[2]Jan-25'!$H:$H,0)</f>
        <v>0</v>
      </c>
      <c r="S148" s="17">
        <f>_xlfn.XLOOKUP($B148,'[2]Feb-25'!$A:$A,'[2]Feb-25'!$H:$H,0)</f>
        <v>0</v>
      </c>
      <c r="T148" s="17">
        <f>_xlfn.XLOOKUP($B148,'[2]Mar-25'!$A:$A,'[2]Mar-25'!$H:$H,0)</f>
        <v>0</v>
      </c>
      <c r="U148" s="17">
        <f>_xlfn.XLOOKUP($B148,'[2]Apr-25'!$A:$A,'[2]Apr-25'!$H:$H,0)</f>
        <v>0</v>
      </c>
      <c r="V148" s="17">
        <f>_xlfn.XLOOKUP($B148,'[2]May-25'!$A:$A,'[2]May-25'!$H:$H,0)</f>
        <v>0</v>
      </c>
      <c r="W148" s="17">
        <f>_xlfn.XLOOKUP($B148,'[2]Jun-25'!$A:$A,'[2]Jun-25'!$H:$H,0)</f>
        <v>0</v>
      </c>
      <c r="X148" s="17">
        <f>_xlfn.XLOOKUP($B148,'[2]Jul-25'!$A:$A,'[2]Jul-25'!$H:$H,0)</f>
        <v>0</v>
      </c>
      <c r="Y148" s="17">
        <f>_xlfn.XLOOKUP($B148,'[2]Aug-25'!$A:$A,'[2]Aug-25'!$H:$H,0)</f>
        <v>0</v>
      </c>
      <c r="Z148" s="17">
        <f>_xlfn.XLOOKUP($B148,'[2]Sep-25'!$A:$A,'[2]Sep-25'!$H:$H,0)</f>
        <v>0</v>
      </c>
      <c r="AA148" s="17">
        <f>_xlfn.XLOOKUP($B148,'[2]Oct-25'!$A:$A,'[2]Oct-25'!$H:$H,0)</f>
        <v>0</v>
      </c>
      <c r="AB148" s="17">
        <f>_xlfn.XLOOKUP($B148,'[2]Nov-25'!$A:$A,'[2]Nov-25'!$H:$H,0)</f>
        <v>0</v>
      </c>
      <c r="AC148" s="17">
        <f>_xlfn.XLOOKUP($B148,'[2]Dec-25'!$A:$A,'[2]Dec-25'!$H:$H,0)</f>
        <v>0</v>
      </c>
      <c r="AD148" s="17">
        <f>_xlfn.XLOOKUP($B148,'[2]Jan-26'!$A:$A,'[2]Jan-26'!$H:$H,0)</f>
        <v>0</v>
      </c>
      <c r="AE148" s="17">
        <f>_xlfn.XLOOKUP($B148,'[2]Feb-26'!$A:$A,'[2]Feb-26'!$H:$H,0)</f>
        <v>0</v>
      </c>
      <c r="AF148" s="17">
        <f>_xlfn.XLOOKUP($B148,'[2]Mar-26'!$A:$A,'[2]Mar-26'!$H:$H,0)</f>
        <v>0</v>
      </c>
      <c r="AG148" s="17">
        <f>_xlfn.XLOOKUP($B148,'[2]Apr-26'!$A:$A,'[2]Apr-26'!$H:$H,0)</f>
        <v>0</v>
      </c>
    </row>
    <row r="149" spans="1:33" x14ac:dyDescent="0.2">
      <c r="A149" s="58">
        <v>51220</v>
      </c>
      <c r="B149" s="56" t="str">
        <f t="shared" si="4"/>
        <v>51220</v>
      </c>
      <c r="C149" s="57" t="s">
        <v>643</v>
      </c>
      <c r="D149" s="57" t="s">
        <v>387</v>
      </c>
      <c r="E149" s="44" t="s">
        <v>837</v>
      </c>
      <c r="F149" s="17">
        <f>_xlfn.XLOOKUP($B149,'[2]Jan-24'!$A:$A,'[2]Jan-24'!$H:$H,0)</f>
        <v>0</v>
      </c>
      <c r="G149" s="17">
        <f>_xlfn.XLOOKUP($B149,'[2]Feb-24'!$A:$A,'[2]Feb-24'!$H:$H,0)</f>
        <v>0</v>
      </c>
      <c r="H149" s="17">
        <f>_xlfn.XLOOKUP($B149,'[2]Mar-24'!$A:$A,'[2]Mar-24'!$H:$H,0)</f>
        <v>0</v>
      </c>
      <c r="I149" s="17">
        <f>_xlfn.XLOOKUP($B149,'[2]Apr-24'!$A:$A,'[2]Apr-24'!$H:$H,0)</f>
        <v>0</v>
      </c>
      <c r="J149" s="17">
        <f>_xlfn.XLOOKUP($B149,'[2]May-24'!$A:$A,'[2]May-24'!$H:$H,0)</f>
        <v>0</v>
      </c>
      <c r="K149" s="17">
        <f>_xlfn.XLOOKUP($B149,'[2]Jun-24'!$A:$A,'[2]Jun-24'!$H:$H,0)</f>
        <v>0</v>
      </c>
      <c r="L149" s="17">
        <f>_xlfn.XLOOKUP($B149,'[2]Jul-24'!$A:$A,'[2]Jul-24'!$H:$H,0)</f>
        <v>0</v>
      </c>
      <c r="M149" s="17">
        <f>_xlfn.XLOOKUP($B149,'[2]Aug-24'!$A:$A,'[2]Aug-24'!$H:$H,0)</f>
        <v>0</v>
      </c>
      <c r="N149" s="17">
        <f>_xlfn.XLOOKUP($B149,'[2]Sep-24'!$A:$A,'[2]Sep-24'!$H:$H,0)</f>
        <v>0</v>
      </c>
      <c r="O149" s="17">
        <f>_xlfn.XLOOKUP($B149,'[2]Oct-24'!$A:$A,'[2]Oct-24'!$H:$H,0)</f>
        <v>0</v>
      </c>
      <c r="P149" s="17">
        <f>_xlfn.XLOOKUP($B149,'[2]Nov-24'!$A:$A,'[2]Nov-24'!$H:$H,0)</f>
        <v>0</v>
      </c>
      <c r="Q149" s="17">
        <f>_xlfn.XLOOKUP($B149,'[2]Dec-24'!$A:$A,'[2]Dec-24'!$H:$H,0)</f>
        <v>0</v>
      </c>
      <c r="R149" s="17">
        <f>_xlfn.XLOOKUP($B149,'[2]Jan-25'!$A:$A,'[2]Jan-25'!$H:$H,0)</f>
        <v>0</v>
      </c>
      <c r="S149" s="17">
        <f>_xlfn.XLOOKUP($B149,'[2]Feb-25'!$A:$A,'[2]Feb-25'!$H:$H,0)</f>
        <v>0</v>
      </c>
      <c r="T149" s="17">
        <f>_xlfn.XLOOKUP($B149,'[2]Mar-25'!$A:$A,'[2]Mar-25'!$H:$H,0)</f>
        <v>0</v>
      </c>
      <c r="U149" s="17">
        <f>_xlfn.XLOOKUP($B149,'[2]Apr-25'!$A:$A,'[2]Apr-25'!$H:$H,0)</f>
        <v>0</v>
      </c>
      <c r="V149" s="17">
        <f>_xlfn.XLOOKUP($B149,'[2]May-25'!$A:$A,'[2]May-25'!$H:$H,0)</f>
        <v>0</v>
      </c>
      <c r="W149" s="17">
        <f>_xlfn.XLOOKUP($B149,'[2]Jun-25'!$A:$A,'[2]Jun-25'!$H:$H,0)</f>
        <v>0</v>
      </c>
      <c r="X149" s="17">
        <f>_xlfn.XLOOKUP($B149,'[2]Jul-25'!$A:$A,'[2]Jul-25'!$H:$H,0)</f>
        <v>0</v>
      </c>
      <c r="Y149" s="17">
        <f>_xlfn.XLOOKUP($B149,'[2]Aug-25'!$A:$A,'[2]Aug-25'!$H:$H,0)</f>
        <v>0</v>
      </c>
      <c r="Z149" s="17">
        <f>_xlfn.XLOOKUP($B149,'[2]Sep-25'!$A:$A,'[2]Sep-25'!$H:$H,0)</f>
        <v>0</v>
      </c>
      <c r="AA149" s="17">
        <f>_xlfn.XLOOKUP($B149,'[2]Oct-25'!$A:$A,'[2]Oct-25'!$H:$H,0)</f>
        <v>0</v>
      </c>
      <c r="AB149" s="17">
        <f>_xlfn.XLOOKUP($B149,'[2]Nov-25'!$A:$A,'[2]Nov-25'!$H:$H,0)</f>
        <v>0</v>
      </c>
      <c r="AC149" s="17">
        <f>_xlfn.XLOOKUP($B149,'[2]Dec-25'!$A:$A,'[2]Dec-25'!$H:$H,0)</f>
        <v>0</v>
      </c>
      <c r="AD149" s="17">
        <f>_xlfn.XLOOKUP($B149,'[2]Jan-26'!$A:$A,'[2]Jan-26'!$H:$H,0)</f>
        <v>0</v>
      </c>
      <c r="AE149" s="17">
        <f>_xlfn.XLOOKUP($B149,'[2]Feb-26'!$A:$A,'[2]Feb-26'!$H:$H,0)</f>
        <v>0</v>
      </c>
      <c r="AF149" s="17">
        <f>_xlfn.XLOOKUP($B149,'[2]Mar-26'!$A:$A,'[2]Mar-26'!$H:$H,0)</f>
        <v>0</v>
      </c>
      <c r="AG149" s="17">
        <f>_xlfn.XLOOKUP($B149,'[2]Apr-26'!$A:$A,'[2]Apr-26'!$H:$H,0)</f>
        <v>0</v>
      </c>
    </row>
    <row r="150" spans="1:33" x14ac:dyDescent="0.2">
      <c r="A150" s="58">
        <v>51260</v>
      </c>
      <c r="B150" s="56" t="str">
        <f t="shared" si="4"/>
        <v>51260</v>
      </c>
      <c r="C150" s="57" t="s">
        <v>389</v>
      </c>
      <c r="D150" s="57" t="s">
        <v>387</v>
      </c>
      <c r="E150" s="44" t="s">
        <v>838</v>
      </c>
      <c r="F150" s="17">
        <f>_xlfn.XLOOKUP($B150,'[2]Jan-24'!$A:$A,'[2]Jan-24'!$H:$H,0)</f>
        <v>0</v>
      </c>
      <c r="G150" s="17">
        <f>_xlfn.XLOOKUP($B150,'[2]Feb-24'!$A:$A,'[2]Feb-24'!$H:$H,0)</f>
        <v>0</v>
      </c>
      <c r="H150" s="17">
        <f>_xlfn.XLOOKUP($B150,'[2]Mar-24'!$A:$A,'[2]Mar-24'!$H:$H,0)</f>
        <v>0</v>
      </c>
      <c r="I150" s="17">
        <f>_xlfn.XLOOKUP($B150,'[2]Apr-24'!$A:$A,'[2]Apr-24'!$H:$H,0)</f>
        <v>0</v>
      </c>
      <c r="J150" s="17">
        <f>_xlfn.XLOOKUP($B150,'[2]May-24'!$A:$A,'[2]May-24'!$H:$H,0)</f>
        <v>0</v>
      </c>
      <c r="K150" s="17">
        <f>_xlfn.XLOOKUP($B150,'[2]Jun-24'!$A:$A,'[2]Jun-24'!$H:$H,0)</f>
        <v>0</v>
      </c>
      <c r="L150" s="17">
        <f>_xlfn.XLOOKUP($B150,'[2]Jul-24'!$A:$A,'[2]Jul-24'!$H:$H,0)</f>
        <v>0</v>
      </c>
      <c r="M150" s="17">
        <f>_xlfn.XLOOKUP($B150,'[2]Aug-24'!$A:$A,'[2]Aug-24'!$H:$H,0)</f>
        <v>0</v>
      </c>
      <c r="N150" s="17">
        <f>_xlfn.XLOOKUP($B150,'[2]Sep-24'!$A:$A,'[2]Sep-24'!$H:$H,0)</f>
        <v>0</v>
      </c>
      <c r="O150" s="17">
        <f>_xlfn.XLOOKUP($B150,'[2]Oct-24'!$A:$A,'[2]Oct-24'!$H:$H,0)</f>
        <v>0</v>
      </c>
      <c r="P150" s="17">
        <f>_xlfn.XLOOKUP($B150,'[2]Nov-24'!$A:$A,'[2]Nov-24'!$H:$H,0)</f>
        <v>0</v>
      </c>
      <c r="Q150" s="17">
        <f>_xlfn.XLOOKUP($B150,'[2]Dec-24'!$A:$A,'[2]Dec-24'!$H:$H,0)</f>
        <v>0</v>
      </c>
      <c r="R150" s="17">
        <f>_xlfn.XLOOKUP($B150,'[2]Jan-25'!$A:$A,'[2]Jan-25'!$H:$H,0)</f>
        <v>0</v>
      </c>
      <c r="S150" s="17">
        <f>_xlfn.XLOOKUP($B150,'[2]Feb-25'!$A:$A,'[2]Feb-25'!$H:$H,0)</f>
        <v>0</v>
      </c>
      <c r="T150" s="17">
        <f>_xlfn.XLOOKUP($B150,'[2]Mar-25'!$A:$A,'[2]Mar-25'!$H:$H,0)</f>
        <v>0</v>
      </c>
      <c r="U150" s="17">
        <f>_xlfn.XLOOKUP($B150,'[2]Apr-25'!$A:$A,'[2]Apr-25'!$H:$H,0)</f>
        <v>0</v>
      </c>
      <c r="V150" s="17">
        <f>_xlfn.XLOOKUP($B150,'[2]May-25'!$A:$A,'[2]May-25'!$H:$H,0)</f>
        <v>0</v>
      </c>
      <c r="W150" s="17">
        <f>_xlfn.XLOOKUP($B150,'[2]Jun-25'!$A:$A,'[2]Jun-25'!$H:$H,0)</f>
        <v>0</v>
      </c>
      <c r="X150" s="17">
        <f>_xlfn.XLOOKUP($B150,'[2]Jul-25'!$A:$A,'[2]Jul-25'!$H:$H,0)</f>
        <v>0</v>
      </c>
      <c r="Y150" s="17">
        <f>_xlfn.XLOOKUP($B150,'[2]Aug-25'!$A:$A,'[2]Aug-25'!$H:$H,0)</f>
        <v>0</v>
      </c>
      <c r="Z150" s="17">
        <f>_xlfn.XLOOKUP($B150,'[2]Sep-25'!$A:$A,'[2]Sep-25'!$H:$H,0)</f>
        <v>0</v>
      </c>
      <c r="AA150" s="17">
        <f>_xlfn.XLOOKUP($B150,'[2]Oct-25'!$A:$A,'[2]Oct-25'!$H:$H,0)</f>
        <v>0</v>
      </c>
      <c r="AB150" s="17">
        <f>_xlfn.XLOOKUP($B150,'[2]Nov-25'!$A:$A,'[2]Nov-25'!$H:$H,0)</f>
        <v>0</v>
      </c>
      <c r="AC150" s="17">
        <f>_xlfn.XLOOKUP($B150,'[2]Dec-25'!$A:$A,'[2]Dec-25'!$H:$H,0)</f>
        <v>0</v>
      </c>
      <c r="AD150" s="17">
        <f>_xlfn.XLOOKUP($B150,'[2]Jan-26'!$A:$A,'[2]Jan-26'!$H:$H,0)</f>
        <v>0</v>
      </c>
      <c r="AE150" s="17">
        <f>_xlfn.XLOOKUP($B150,'[2]Feb-26'!$A:$A,'[2]Feb-26'!$H:$H,0)</f>
        <v>0</v>
      </c>
      <c r="AF150" s="17">
        <f>_xlfn.XLOOKUP($B150,'[2]Mar-26'!$A:$A,'[2]Mar-26'!$H:$H,0)</f>
        <v>0</v>
      </c>
      <c r="AG150" s="17">
        <f>_xlfn.XLOOKUP($B150,'[2]Apr-26'!$A:$A,'[2]Apr-26'!$H:$H,0)</f>
        <v>0</v>
      </c>
    </row>
    <row r="151" spans="1:33" x14ac:dyDescent="0.2">
      <c r="A151" s="58">
        <v>51270</v>
      </c>
      <c r="B151" s="56" t="str">
        <f t="shared" si="4"/>
        <v>51270</v>
      </c>
      <c r="C151" s="57" t="s">
        <v>565</v>
      </c>
      <c r="D151" s="57" t="s">
        <v>387</v>
      </c>
      <c r="E151" s="44" t="s">
        <v>839</v>
      </c>
      <c r="F151" s="17">
        <f>_xlfn.XLOOKUP($B151,'[2]Jan-24'!$A:$A,'[2]Jan-24'!$H:$H,0)</f>
        <v>1515.8</v>
      </c>
      <c r="G151" s="17">
        <f>_xlfn.XLOOKUP($B151,'[2]Feb-24'!$A:$A,'[2]Feb-24'!$H:$H,0)</f>
        <v>1515.8</v>
      </c>
      <c r="H151" s="17">
        <f>_xlfn.XLOOKUP($B151,'[2]Mar-24'!$A:$A,'[2]Mar-24'!$H:$H,0)</f>
        <v>2095.8200000000002</v>
      </c>
      <c r="I151" s="17">
        <f>_xlfn.XLOOKUP($B151,'[2]Apr-24'!$A:$A,'[2]Apr-24'!$H:$H,0)</f>
        <v>0</v>
      </c>
      <c r="J151" s="17">
        <f>_xlfn.XLOOKUP($B151,'[2]May-24'!$A:$A,'[2]May-24'!$H:$H,0)</f>
        <v>0</v>
      </c>
      <c r="K151" s="17">
        <f>_xlfn.XLOOKUP($B151,'[2]Jun-24'!$A:$A,'[2]Jun-24'!$H:$H,0)</f>
        <v>1047.76</v>
      </c>
      <c r="L151" s="17">
        <f>_xlfn.XLOOKUP($B151,'[2]Jul-24'!$A:$A,'[2]Jul-24'!$H:$H,0)</f>
        <v>2495.98</v>
      </c>
      <c r="M151" s="17">
        <f>_xlfn.XLOOKUP($B151,'[2]Aug-24'!$A:$A,'[2]Aug-24'!$H:$H,0)</f>
        <v>2468.1</v>
      </c>
      <c r="N151" s="17">
        <f>_xlfn.XLOOKUP($B151,'[2]Sep-24'!$A:$A,'[2]Sep-24'!$H:$H,0)</f>
        <v>2158.6999999999998</v>
      </c>
      <c r="O151" s="17">
        <f>_xlfn.XLOOKUP($B151,'[2]Oct-24'!$A:$A,'[2]Oct-24'!$H:$H,0)</f>
        <v>2158.6999999999998</v>
      </c>
      <c r="P151" s="17">
        <f>_xlfn.XLOOKUP($B151,'[2]Nov-24'!$A:$A,'[2]Nov-24'!$H:$H,0)</f>
        <v>2158.6999999999998</v>
      </c>
      <c r="Q151" s="17">
        <f>_xlfn.XLOOKUP($B151,'[2]Dec-24'!$A:$A,'[2]Dec-24'!$H:$H,0)</f>
        <v>2158.6999999999998</v>
      </c>
      <c r="R151" s="17">
        <f>_xlfn.XLOOKUP($B151,'[2]Jan-25'!$A:$A,'[2]Jan-25'!$H:$H,0)</f>
        <v>2158.6999999999998</v>
      </c>
      <c r="S151" s="17">
        <f>_xlfn.XLOOKUP($B151,'[2]Feb-25'!$A:$A,'[2]Feb-25'!$H:$H,0)</f>
        <v>2158.7000000001863</v>
      </c>
      <c r="T151" s="17">
        <f>_xlfn.XLOOKUP($B151,'[2]Mar-25'!$A:$A,'[2]Mar-25'!$H:$H,0)</f>
        <v>2158.1</v>
      </c>
      <c r="U151" s="17">
        <f>_xlfn.XLOOKUP($B151,'[2]Apr-25'!$A:$A,'[2]Apr-25'!$H:$H,0)</f>
        <v>0</v>
      </c>
      <c r="V151" s="17">
        <f>_xlfn.XLOOKUP($B151,'[2]May-25'!$A:$A,'[2]May-25'!$H:$H,0)</f>
        <v>0</v>
      </c>
      <c r="W151" s="17">
        <f>_xlfn.XLOOKUP($B151,'[2]Jun-25'!$A:$A,'[2]Jun-25'!$H:$H,0)</f>
        <v>0</v>
      </c>
      <c r="X151" s="17">
        <f>_xlfn.XLOOKUP($B151,'[2]Jul-25'!$A:$A,'[2]Jul-25'!$H:$H,0)</f>
        <v>0</v>
      </c>
      <c r="Y151" s="17">
        <f>_xlfn.XLOOKUP($B151,'[2]Aug-25'!$A:$A,'[2]Aug-25'!$H:$H,0)</f>
        <v>0</v>
      </c>
      <c r="Z151" s="17">
        <f>_xlfn.XLOOKUP($B151,'[2]Sep-25'!$A:$A,'[2]Sep-25'!$H:$H,0)</f>
        <v>1321.97</v>
      </c>
      <c r="AA151" s="17">
        <f>_xlfn.XLOOKUP($B151,'[2]Oct-25'!$A:$A,'[2]Oct-25'!$H:$H,0)</f>
        <v>1437.45</v>
      </c>
      <c r="AB151" s="17">
        <f>_xlfn.XLOOKUP($B151,'[2]Nov-25'!$A:$A,'[2]Nov-25'!$H:$H,0)</f>
        <v>1509.9</v>
      </c>
      <c r="AC151" s="17">
        <f>_xlfn.XLOOKUP($B151,'[2]Dec-25'!$A:$A,'[2]Dec-25'!$H:$H,0)</f>
        <v>1509.9</v>
      </c>
      <c r="AD151" s="17">
        <f>_xlfn.XLOOKUP($B151,'[2]Jan-26'!$A:$A,'[2]Jan-26'!$H:$H,0)</f>
        <v>1699.9</v>
      </c>
      <c r="AE151" s="17">
        <f>_xlfn.XLOOKUP($B151,'[2]Feb-26'!$A:$A,'[2]Feb-26'!$H:$H,0)</f>
        <v>1539.9</v>
      </c>
      <c r="AF151" s="17">
        <f>_xlfn.XLOOKUP($B151,'[2]Mar-26'!$A:$A,'[2]Mar-26'!$H:$H,0)</f>
        <v>1438.05</v>
      </c>
      <c r="AG151" s="17">
        <f>_xlfn.XLOOKUP($B151,'[2]Apr-26'!$A:$A,'[2]Apr-26'!$H:$H,0)</f>
        <v>1437.45</v>
      </c>
    </row>
    <row r="152" spans="1:33" x14ac:dyDescent="0.2">
      <c r="A152" s="58">
        <v>51280</v>
      </c>
      <c r="B152" s="56" t="str">
        <f t="shared" si="4"/>
        <v>51280</v>
      </c>
      <c r="C152" s="57" t="s">
        <v>565</v>
      </c>
      <c r="D152" s="57" t="s">
        <v>387</v>
      </c>
      <c r="E152" s="44" t="s">
        <v>840</v>
      </c>
      <c r="F152" s="17">
        <f>_xlfn.XLOOKUP($B152,'[2]Jan-24'!$A:$A,'[2]Jan-24'!$H:$H,0)</f>
        <v>12500</v>
      </c>
      <c r="G152" s="17">
        <f>_xlfn.XLOOKUP($B152,'[2]Feb-24'!$A:$A,'[2]Feb-24'!$H:$H,0)</f>
        <v>12500</v>
      </c>
      <c r="H152" s="17">
        <f>_xlfn.XLOOKUP($B152,'[2]Mar-24'!$A:$A,'[2]Mar-24'!$H:$H,0)</f>
        <v>18223.330000000002</v>
      </c>
      <c r="I152" s="17">
        <f>_xlfn.XLOOKUP($B152,'[2]Apr-24'!$A:$A,'[2]Apr-24'!$H:$H,0)</f>
        <v>13657.45</v>
      </c>
      <c r="J152" s="17">
        <f>_xlfn.XLOOKUP($B152,'[2]May-24'!$A:$A,'[2]May-24'!$H:$H,0)</f>
        <v>13273.82</v>
      </c>
      <c r="K152" s="17">
        <f>_xlfn.XLOOKUP($B152,'[2]Jun-24'!$A:$A,'[2]Jun-24'!$H:$H,0)</f>
        <v>18762.509999999998</v>
      </c>
      <c r="L152" s="17">
        <f>_xlfn.XLOOKUP($B152,'[2]Jul-24'!$A:$A,'[2]Jul-24'!$H:$H,0)</f>
        <v>18946.7</v>
      </c>
      <c r="M152" s="17">
        <f>_xlfn.XLOOKUP($B152,'[2]Aug-24'!$A:$A,'[2]Aug-24'!$H:$H,0)</f>
        <v>18478.169999999998</v>
      </c>
      <c r="N152" s="17">
        <f>_xlfn.XLOOKUP($B152,'[2]Sep-24'!$A:$A,'[2]Sep-24'!$H:$H,0)</f>
        <v>17620.689999999999</v>
      </c>
      <c r="O152" s="17">
        <f>_xlfn.XLOOKUP($B152,'[2]Oct-24'!$A:$A,'[2]Oct-24'!$H:$H,0)</f>
        <v>17622.080000000002</v>
      </c>
      <c r="P152" s="17">
        <f>_xlfn.XLOOKUP($B152,'[2]Nov-24'!$A:$A,'[2]Nov-24'!$H:$H,0)</f>
        <v>17636.669999999998</v>
      </c>
      <c r="Q152" s="17">
        <f>_xlfn.XLOOKUP($B152,'[2]Dec-24'!$A:$A,'[2]Dec-24'!$H:$H,0)</f>
        <v>21312.95</v>
      </c>
      <c r="R152" s="17">
        <f>_xlfn.XLOOKUP($B152,'[2]Jan-25'!$A:$A,'[2]Jan-25'!$H:$H,0)</f>
        <v>18119.09</v>
      </c>
      <c r="S152" s="17">
        <f>_xlfn.XLOOKUP($B152,'[2]Feb-25'!$A:$A,'[2]Feb-25'!$H:$H,0)</f>
        <v>18463.390000000596</v>
      </c>
      <c r="T152" s="17">
        <f>_xlfn.XLOOKUP($B152,'[2]Mar-25'!$A:$A,'[2]Mar-25'!$H:$H,0)</f>
        <v>18991.590000000004</v>
      </c>
      <c r="U152" s="17">
        <f>_xlfn.XLOOKUP($B152,'[2]Apr-25'!$A:$A,'[2]Apr-25'!$H:$H,0)</f>
        <v>17980.730000000003</v>
      </c>
      <c r="V152" s="17">
        <f>_xlfn.XLOOKUP($B152,'[2]May-25'!$A:$A,'[2]May-25'!$H:$H,0)</f>
        <v>18587.07</v>
      </c>
      <c r="W152" s="17">
        <f>_xlfn.XLOOKUP($B152,'[2]Jun-25'!$A:$A,'[2]Jun-25'!$H:$H,0)</f>
        <v>14257.28</v>
      </c>
      <c r="X152" s="17">
        <f>_xlfn.XLOOKUP($B152,'[2]Jul-25'!$A:$A,'[2]Jul-25'!$H:$H,0)</f>
        <v>12741.39</v>
      </c>
      <c r="Y152" s="17">
        <f>_xlfn.XLOOKUP($B152,'[2]Aug-25'!$A:$A,'[2]Aug-25'!$H:$H,0)</f>
        <v>12818.449999999999</v>
      </c>
      <c r="Z152" s="17">
        <f>_xlfn.XLOOKUP($B152,'[2]Sep-25'!$A:$A,'[2]Sep-25'!$H:$H,0)</f>
        <v>11437.14</v>
      </c>
      <c r="AA152" s="17">
        <f>_xlfn.XLOOKUP($B152,'[2]Oct-25'!$A:$A,'[2]Oct-25'!$H:$H,0)</f>
        <v>14848.63</v>
      </c>
      <c r="AB152" s="17">
        <f>_xlfn.XLOOKUP($B152,'[2]Nov-25'!$A:$A,'[2]Nov-25'!$H:$H,0)</f>
        <v>13943.03</v>
      </c>
      <c r="AC152" s="17">
        <f>_xlfn.XLOOKUP($B152,'[2]Dec-25'!$A:$A,'[2]Dec-25'!$H:$H,0)</f>
        <v>-113486.88</v>
      </c>
      <c r="AD152" s="17">
        <f>_xlfn.XLOOKUP($B152,'[2]Jan-26'!$A:$A,'[2]Jan-26'!$H:$H,0)</f>
        <v>15016.87</v>
      </c>
      <c r="AE152" s="17">
        <f>_xlfn.XLOOKUP($B152,'[2]Feb-26'!$A:$A,'[2]Feb-26'!$H:$H,0)</f>
        <v>14334.68</v>
      </c>
      <c r="AF152" s="17">
        <f>_xlfn.XLOOKUP($B152,'[2]Mar-26'!$A:$A,'[2]Mar-26'!$H:$H,0)</f>
        <v>13293.79</v>
      </c>
      <c r="AG152" s="17">
        <f>_xlfn.XLOOKUP($B152,'[2]Apr-26'!$A:$A,'[2]Apr-26'!$H:$H,0)</f>
        <v>13274.79</v>
      </c>
    </row>
    <row r="153" spans="1:33" x14ac:dyDescent="0.2">
      <c r="A153" s="58">
        <v>51290</v>
      </c>
      <c r="B153" s="56" t="str">
        <f t="shared" si="4"/>
        <v>51290</v>
      </c>
      <c r="C153" s="57" t="s">
        <v>389</v>
      </c>
      <c r="D153" s="57" t="s">
        <v>387</v>
      </c>
      <c r="E153" s="44" t="s">
        <v>841</v>
      </c>
      <c r="F153" s="17">
        <f>_xlfn.XLOOKUP($B153,'[2]Jan-24'!$A:$A,'[2]Jan-24'!$H:$H,0)</f>
        <v>0</v>
      </c>
      <c r="G153" s="17">
        <f>_xlfn.XLOOKUP($B153,'[2]Feb-24'!$A:$A,'[2]Feb-24'!$H:$H,0)</f>
        <v>0</v>
      </c>
      <c r="H153" s="17">
        <f>_xlfn.XLOOKUP($B153,'[2]Mar-24'!$A:$A,'[2]Mar-24'!$H:$H,0)</f>
        <v>0</v>
      </c>
      <c r="I153" s="17">
        <f>_xlfn.XLOOKUP($B153,'[2]Apr-24'!$A:$A,'[2]Apr-24'!$H:$H,0)</f>
        <v>0</v>
      </c>
      <c r="J153" s="17">
        <f>_xlfn.XLOOKUP($B153,'[2]May-24'!$A:$A,'[2]May-24'!$H:$H,0)</f>
        <v>0</v>
      </c>
      <c r="K153" s="17">
        <f>_xlfn.XLOOKUP($B153,'[2]Jun-24'!$A:$A,'[2]Jun-24'!$H:$H,0)</f>
        <v>0</v>
      </c>
      <c r="L153" s="17">
        <f>_xlfn.XLOOKUP($B153,'[2]Jul-24'!$A:$A,'[2]Jul-24'!$H:$H,0)</f>
        <v>0</v>
      </c>
      <c r="M153" s="17">
        <f>_xlfn.XLOOKUP($B153,'[2]Aug-24'!$A:$A,'[2]Aug-24'!$H:$H,0)</f>
        <v>0</v>
      </c>
      <c r="N153" s="17">
        <f>_xlfn.XLOOKUP($B153,'[2]Sep-24'!$A:$A,'[2]Sep-24'!$H:$H,0)</f>
        <v>0</v>
      </c>
      <c r="O153" s="17">
        <f>_xlfn.XLOOKUP($B153,'[2]Oct-24'!$A:$A,'[2]Oct-24'!$H:$H,0)</f>
        <v>0</v>
      </c>
      <c r="P153" s="17">
        <f>_xlfn.XLOOKUP($B153,'[2]Nov-24'!$A:$A,'[2]Nov-24'!$H:$H,0)</f>
        <v>0</v>
      </c>
      <c r="Q153" s="17">
        <f>_xlfn.XLOOKUP($B153,'[2]Dec-24'!$A:$A,'[2]Dec-24'!$H:$H,0)</f>
        <v>0</v>
      </c>
      <c r="R153" s="17">
        <f>_xlfn.XLOOKUP($B153,'[2]Jan-25'!$A:$A,'[2]Jan-25'!$H:$H,0)</f>
        <v>0</v>
      </c>
      <c r="S153" s="17">
        <f>_xlfn.XLOOKUP($B153,'[2]Feb-25'!$A:$A,'[2]Feb-25'!$H:$H,0)</f>
        <v>0</v>
      </c>
      <c r="T153" s="17">
        <f>_xlfn.XLOOKUP($B153,'[2]Mar-25'!$A:$A,'[2]Mar-25'!$H:$H,0)</f>
        <v>0</v>
      </c>
      <c r="U153" s="17">
        <f>_xlfn.XLOOKUP($B153,'[2]Apr-25'!$A:$A,'[2]Apr-25'!$H:$H,0)</f>
        <v>0</v>
      </c>
      <c r="V153" s="17">
        <f>_xlfn.XLOOKUP($B153,'[2]May-25'!$A:$A,'[2]May-25'!$H:$H,0)</f>
        <v>0</v>
      </c>
      <c r="W153" s="17">
        <f>_xlfn.XLOOKUP($B153,'[2]Jun-25'!$A:$A,'[2]Jun-25'!$H:$H,0)</f>
        <v>0</v>
      </c>
      <c r="X153" s="17">
        <f>_xlfn.XLOOKUP($B153,'[2]Jul-25'!$A:$A,'[2]Jul-25'!$H:$H,0)</f>
        <v>0</v>
      </c>
      <c r="Y153" s="17">
        <f>_xlfn.XLOOKUP($B153,'[2]Aug-25'!$A:$A,'[2]Aug-25'!$H:$H,0)</f>
        <v>0</v>
      </c>
      <c r="Z153" s="17">
        <f>_xlfn.XLOOKUP($B153,'[2]Sep-25'!$A:$A,'[2]Sep-25'!$H:$H,0)</f>
        <v>0</v>
      </c>
      <c r="AA153" s="17">
        <f>_xlfn.XLOOKUP($B153,'[2]Oct-25'!$A:$A,'[2]Oct-25'!$H:$H,0)</f>
        <v>0</v>
      </c>
      <c r="AB153" s="17">
        <f>_xlfn.XLOOKUP($B153,'[2]Nov-25'!$A:$A,'[2]Nov-25'!$H:$H,0)</f>
        <v>0</v>
      </c>
      <c r="AC153" s="17">
        <f>_xlfn.XLOOKUP($B153,'[2]Dec-25'!$A:$A,'[2]Dec-25'!$H:$H,0)</f>
        <v>3504.0099999999993</v>
      </c>
      <c r="AD153" s="17">
        <f>_xlfn.XLOOKUP($B153,'[2]Jan-26'!$A:$A,'[2]Jan-26'!$H:$H,0)</f>
        <v>0</v>
      </c>
      <c r="AE153" s="17">
        <f>_xlfn.XLOOKUP($B153,'[2]Feb-26'!$A:$A,'[2]Feb-26'!$H:$H,0)</f>
        <v>0</v>
      </c>
      <c r="AF153" s="17">
        <f>_xlfn.XLOOKUP($B153,'[2]Mar-26'!$A:$A,'[2]Mar-26'!$H:$H,0)</f>
        <v>0</v>
      </c>
      <c r="AG153" s="17">
        <f>_xlfn.XLOOKUP($B153,'[2]Apr-26'!$A:$A,'[2]Apr-26'!$H:$H,0)</f>
        <v>0</v>
      </c>
    </row>
    <row r="154" spans="1:33" x14ac:dyDescent="0.2">
      <c r="A154" s="58">
        <v>51299</v>
      </c>
      <c r="B154" s="56" t="str">
        <f t="shared" si="4"/>
        <v>51299</v>
      </c>
      <c r="C154" s="57" t="s">
        <v>389</v>
      </c>
      <c r="D154" s="57" t="s">
        <v>387</v>
      </c>
      <c r="E154" s="44" t="s">
        <v>842</v>
      </c>
      <c r="F154" s="17">
        <f>_xlfn.XLOOKUP($B154,'[2]Jan-24'!$A:$A,'[2]Jan-24'!$H:$H,0)</f>
        <v>0</v>
      </c>
      <c r="G154" s="17">
        <f>_xlfn.XLOOKUP($B154,'[2]Feb-24'!$A:$A,'[2]Feb-24'!$H:$H,0)</f>
        <v>0</v>
      </c>
      <c r="H154" s="17">
        <f>_xlfn.XLOOKUP($B154,'[2]Mar-24'!$A:$A,'[2]Mar-24'!$H:$H,0)</f>
        <v>0</v>
      </c>
      <c r="I154" s="17">
        <f>_xlfn.XLOOKUP($B154,'[2]Apr-24'!$A:$A,'[2]Apr-24'!$H:$H,0)</f>
        <v>0</v>
      </c>
      <c r="J154" s="17">
        <f>_xlfn.XLOOKUP($B154,'[2]May-24'!$A:$A,'[2]May-24'!$H:$H,0)</f>
        <v>0</v>
      </c>
      <c r="K154" s="17">
        <f>_xlfn.XLOOKUP($B154,'[2]Jun-24'!$A:$A,'[2]Jun-24'!$H:$H,0)</f>
        <v>0</v>
      </c>
      <c r="L154" s="17">
        <f>_xlfn.XLOOKUP($B154,'[2]Jul-24'!$A:$A,'[2]Jul-24'!$H:$H,0)</f>
        <v>0</v>
      </c>
      <c r="M154" s="17">
        <f>_xlfn.XLOOKUP($B154,'[2]Aug-24'!$A:$A,'[2]Aug-24'!$H:$H,0)</f>
        <v>0</v>
      </c>
      <c r="N154" s="17">
        <f>_xlfn.XLOOKUP($B154,'[2]Sep-24'!$A:$A,'[2]Sep-24'!$H:$H,0)</f>
        <v>0</v>
      </c>
      <c r="O154" s="17">
        <f>_xlfn.XLOOKUP($B154,'[2]Oct-24'!$A:$A,'[2]Oct-24'!$H:$H,0)</f>
        <v>0</v>
      </c>
      <c r="P154" s="17">
        <f>_xlfn.XLOOKUP($B154,'[2]Nov-24'!$A:$A,'[2]Nov-24'!$H:$H,0)</f>
        <v>0</v>
      </c>
      <c r="Q154" s="17">
        <f>_xlfn.XLOOKUP($B154,'[2]Dec-24'!$A:$A,'[2]Dec-24'!$H:$H,0)</f>
        <v>0</v>
      </c>
      <c r="R154" s="17">
        <f>_xlfn.XLOOKUP($B154,'[2]Jan-25'!$A:$A,'[2]Jan-25'!$H:$H,0)</f>
        <v>0</v>
      </c>
      <c r="S154" s="17">
        <f>_xlfn.XLOOKUP($B154,'[2]Feb-25'!$A:$A,'[2]Feb-25'!$H:$H,0)</f>
        <v>0</v>
      </c>
      <c r="T154" s="17">
        <f>_xlfn.XLOOKUP($B154,'[2]Mar-25'!$A:$A,'[2]Mar-25'!$H:$H,0)</f>
        <v>0</v>
      </c>
      <c r="U154" s="17">
        <f>_xlfn.XLOOKUP($B154,'[2]Apr-25'!$A:$A,'[2]Apr-25'!$H:$H,0)</f>
        <v>0</v>
      </c>
      <c r="V154" s="17">
        <f>_xlfn.XLOOKUP($B154,'[2]May-25'!$A:$A,'[2]May-25'!$H:$H,0)</f>
        <v>0</v>
      </c>
      <c r="W154" s="17">
        <f>_xlfn.XLOOKUP($B154,'[2]Jun-25'!$A:$A,'[2]Jun-25'!$H:$H,0)</f>
        <v>0</v>
      </c>
      <c r="X154" s="17">
        <f>_xlfn.XLOOKUP($B154,'[2]Jul-25'!$A:$A,'[2]Jul-25'!$H:$H,0)</f>
        <v>0</v>
      </c>
      <c r="Y154" s="17">
        <f>_xlfn.XLOOKUP($B154,'[2]Aug-25'!$A:$A,'[2]Aug-25'!$H:$H,0)</f>
        <v>0</v>
      </c>
      <c r="Z154" s="17">
        <f>_xlfn.XLOOKUP($B154,'[2]Sep-25'!$A:$A,'[2]Sep-25'!$H:$H,0)</f>
        <v>0</v>
      </c>
      <c r="AA154" s="17">
        <f>_xlfn.XLOOKUP($B154,'[2]Oct-25'!$A:$A,'[2]Oct-25'!$H:$H,0)</f>
        <v>0</v>
      </c>
      <c r="AB154" s="17">
        <f>_xlfn.XLOOKUP($B154,'[2]Nov-25'!$A:$A,'[2]Nov-25'!$H:$H,0)</f>
        <v>0</v>
      </c>
      <c r="AC154" s="17">
        <f>_xlfn.XLOOKUP($B154,'[2]Dec-25'!$A:$A,'[2]Dec-25'!$H:$H,0)</f>
        <v>0</v>
      </c>
      <c r="AD154" s="17">
        <f>_xlfn.XLOOKUP($B154,'[2]Jan-26'!$A:$A,'[2]Jan-26'!$H:$H,0)</f>
        <v>0</v>
      </c>
      <c r="AE154" s="17">
        <f>_xlfn.XLOOKUP($B154,'[2]Feb-26'!$A:$A,'[2]Feb-26'!$H:$H,0)</f>
        <v>0</v>
      </c>
      <c r="AF154" s="17">
        <f>_xlfn.XLOOKUP($B154,'[2]Mar-26'!$A:$A,'[2]Mar-26'!$H:$H,0)</f>
        <v>0</v>
      </c>
      <c r="AG154" s="17">
        <f>_xlfn.XLOOKUP($B154,'[2]Apr-26'!$A:$A,'[2]Apr-26'!$H:$H,0)</f>
        <v>0</v>
      </c>
    </row>
    <row r="155" spans="1:33" x14ac:dyDescent="0.2">
      <c r="A155" s="58">
        <v>51312</v>
      </c>
      <c r="B155" s="56" t="str">
        <f t="shared" si="4"/>
        <v>51312</v>
      </c>
      <c r="C155" s="57" t="s">
        <v>601</v>
      </c>
      <c r="D155" s="57" t="s">
        <v>387</v>
      </c>
      <c r="E155" s="44" t="s">
        <v>843</v>
      </c>
      <c r="F155" s="17">
        <f>_xlfn.XLOOKUP($B155,'[2]Jan-24'!$A:$A,'[2]Jan-24'!$H:$H,0)</f>
        <v>2.16</v>
      </c>
      <c r="G155" s="17">
        <f>_xlfn.XLOOKUP($B155,'[2]Feb-24'!$A:$A,'[2]Feb-24'!$H:$H,0)</f>
        <v>0</v>
      </c>
      <c r="H155" s="17">
        <f>_xlfn.XLOOKUP($B155,'[2]Mar-24'!$A:$A,'[2]Mar-24'!$H:$H,0)</f>
        <v>0.3</v>
      </c>
      <c r="I155" s="17">
        <f>_xlfn.XLOOKUP($B155,'[2]Apr-24'!$A:$A,'[2]Apr-24'!$H:$H,0)</f>
        <v>32.25</v>
      </c>
      <c r="J155" s="17">
        <f>_xlfn.XLOOKUP($B155,'[2]May-24'!$A:$A,'[2]May-24'!$H:$H,0)</f>
        <v>17.57</v>
      </c>
      <c r="K155" s="17">
        <f>_xlfn.XLOOKUP($B155,'[2]Jun-24'!$A:$A,'[2]Jun-24'!$H:$H,0)</f>
        <v>8.25</v>
      </c>
      <c r="L155" s="17">
        <f>_xlfn.XLOOKUP($B155,'[2]Jul-24'!$A:$A,'[2]Jul-24'!$H:$H,0)</f>
        <v>4.08</v>
      </c>
      <c r="M155" s="17">
        <f>_xlfn.XLOOKUP($B155,'[2]Aug-24'!$A:$A,'[2]Aug-24'!$H:$H,0)</f>
        <v>8.25</v>
      </c>
      <c r="N155" s="17">
        <f>_xlfn.XLOOKUP($B155,'[2]Sep-24'!$A:$A,'[2]Sep-24'!$H:$H,0)</f>
        <v>19.899999999999999</v>
      </c>
      <c r="O155" s="17">
        <f>_xlfn.XLOOKUP($B155,'[2]Oct-24'!$A:$A,'[2]Oct-24'!$H:$H,0)</f>
        <v>19.899999999999999</v>
      </c>
      <c r="P155" s="17">
        <f>_xlfn.XLOOKUP($B155,'[2]Nov-24'!$A:$A,'[2]Nov-24'!$H:$H,0)</f>
        <v>24.9</v>
      </c>
      <c r="Q155" s="17">
        <f>_xlfn.XLOOKUP($B155,'[2]Dec-24'!$A:$A,'[2]Dec-24'!$H:$H,0)</f>
        <v>19.899999999999999</v>
      </c>
      <c r="R155" s="17">
        <f>_xlfn.XLOOKUP($B155,'[2]Jan-25'!$A:$A,'[2]Jan-25'!$H:$H,0)</f>
        <v>19.899999999999999</v>
      </c>
      <c r="S155" s="17">
        <f>_xlfn.XLOOKUP($B155,'[2]Feb-25'!$A:$A,'[2]Feb-25'!$H:$H,0)</f>
        <v>19.899999999994179</v>
      </c>
      <c r="T155" s="17">
        <f>_xlfn.XLOOKUP($B155,'[2]Mar-25'!$A:$A,'[2]Mar-25'!$H:$H,0)</f>
        <v>9.9</v>
      </c>
      <c r="U155" s="17">
        <f>_xlfn.XLOOKUP($B155,'[2]Apr-25'!$A:$A,'[2]Apr-25'!$H:$H,0)</f>
        <v>19.899999999999999</v>
      </c>
      <c r="V155" s="17">
        <f>_xlfn.XLOOKUP($B155,'[2]May-25'!$A:$A,'[2]May-25'!$H:$H,0)</f>
        <v>19.899999999999999</v>
      </c>
      <c r="W155" s="17">
        <f>_xlfn.XLOOKUP($B155,'[2]Jun-25'!$A:$A,'[2]Jun-25'!$H:$H,0)</f>
        <v>9.9</v>
      </c>
      <c r="X155" s="17">
        <f>_xlfn.XLOOKUP($B155,'[2]Jul-25'!$A:$A,'[2]Jul-25'!$H:$H,0)</f>
        <v>19.899999999999999</v>
      </c>
      <c r="Y155" s="17">
        <f>_xlfn.XLOOKUP($B155,'[2]Aug-25'!$A:$A,'[2]Aug-25'!$H:$H,0)</f>
        <v>199.78</v>
      </c>
      <c r="Z155" s="17">
        <f>_xlfn.XLOOKUP($B155,'[2]Sep-25'!$A:$A,'[2]Sep-25'!$H:$H,0)</f>
        <v>97.1</v>
      </c>
      <c r="AA155" s="17">
        <f>_xlfn.XLOOKUP($B155,'[2]Oct-25'!$A:$A,'[2]Oct-25'!$H:$H,0)</f>
        <v>97.02</v>
      </c>
      <c r="AB155" s="17">
        <f>_xlfn.XLOOKUP($B155,'[2]Nov-25'!$A:$A,'[2]Nov-25'!$H:$H,0)</f>
        <v>101.95</v>
      </c>
      <c r="AC155" s="17">
        <f>_xlfn.XLOOKUP($B155,'[2]Dec-25'!$A:$A,'[2]Dec-25'!$H:$H,0)</f>
        <v>106.21</v>
      </c>
      <c r="AD155" s="17">
        <f>_xlfn.XLOOKUP($B155,'[2]Jan-26'!$A:$A,'[2]Jan-26'!$H:$H,0)</f>
        <v>95.63</v>
      </c>
      <c r="AE155" s="17">
        <f>_xlfn.XLOOKUP($B155,'[2]Feb-26'!$A:$A,'[2]Feb-26'!$H:$H,0)</f>
        <v>96.62</v>
      </c>
      <c r="AF155" s="17">
        <f>_xlfn.XLOOKUP($B155,'[2]Mar-26'!$A:$A,'[2]Mar-26'!$H:$H,0)</f>
        <v>105.83</v>
      </c>
      <c r="AG155" s="17">
        <f>_xlfn.XLOOKUP($B155,'[2]Apr-26'!$A:$A,'[2]Apr-26'!$H:$H,0)</f>
        <v>95.63</v>
      </c>
    </row>
    <row r="156" spans="1:33" x14ac:dyDescent="0.2">
      <c r="A156" s="58">
        <v>51320</v>
      </c>
      <c r="B156" s="56" t="str">
        <f t="shared" si="4"/>
        <v>51320</v>
      </c>
      <c r="C156" s="57" t="s">
        <v>389</v>
      </c>
      <c r="D156" s="57" t="s">
        <v>387</v>
      </c>
      <c r="E156" s="44" t="s">
        <v>844</v>
      </c>
      <c r="F156" s="17">
        <f>_xlfn.XLOOKUP($B156,'[2]Jan-24'!$A:$A,'[2]Jan-24'!$H:$H,0)</f>
        <v>0</v>
      </c>
      <c r="G156" s="17">
        <f>_xlfn.XLOOKUP($B156,'[2]Feb-24'!$A:$A,'[2]Feb-24'!$H:$H,0)</f>
        <v>0</v>
      </c>
      <c r="H156" s="17">
        <f>_xlfn.XLOOKUP($B156,'[2]Mar-24'!$A:$A,'[2]Mar-24'!$H:$H,0)</f>
        <v>0</v>
      </c>
      <c r="I156" s="17">
        <f>_xlfn.XLOOKUP($B156,'[2]Apr-24'!$A:$A,'[2]Apr-24'!$H:$H,0)</f>
        <v>0</v>
      </c>
      <c r="J156" s="17">
        <f>_xlfn.XLOOKUP($B156,'[2]May-24'!$A:$A,'[2]May-24'!$H:$H,0)</f>
        <v>0</v>
      </c>
      <c r="K156" s="17">
        <f>_xlfn.XLOOKUP($B156,'[2]Jun-24'!$A:$A,'[2]Jun-24'!$H:$H,0)</f>
        <v>0</v>
      </c>
      <c r="L156" s="17">
        <f>_xlfn.XLOOKUP($B156,'[2]Jul-24'!$A:$A,'[2]Jul-24'!$H:$H,0)</f>
        <v>0</v>
      </c>
      <c r="M156" s="17">
        <f>_xlfn.XLOOKUP($B156,'[2]Aug-24'!$A:$A,'[2]Aug-24'!$H:$H,0)</f>
        <v>0</v>
      </c>
      <c r="N156" s="17">
        <f>_xlfn.XLOOKUP($B156,'[2]Sep-24'!$A:$A,'[2]Sep-24'!$H:$H,0)</f>
        <v>0</v>
      </c>
      <c r="O156" s="17">
        <f>_xlfn.XLOOKUP($B156,'[2]Oct-24'!$A:$A,'[2]Oct-24'!$H:$H,0)</f>
        <v>0</v>
      </c>
      <c r="P156" s="17">
        <f>_xlfn.XLOOKUP($B156,'[2]Nov-24'!$A:$A,'[2]Nov-24'!$H:$H,0)</f>
        <v>0</v>
      </c>
      <c r="Q156" s="17">
        <f>_xlfn.XLOOKUP($B156,'[2]Dec-24'!$A:$A,'[2]Dec-24'!$H:$H,0)</f>
        <v>0</v>
      </c>
      <c r="R156" s="17">
        <f>_xlfn.XLOOKUP($B156,'[2]Jan-25'!$A:$A,'[2]Jan-25'!$H:$H,0)</f>
        <v>0</v>
      </c>
      <c r="S156" s="17">
        <f>_xlfn.XLOOKUP($B156,'[2]Feb-25'!$A:$A,'[2]Feb-25'!$H:$H,0)</f>
        <v>0</v>
      </c>
      <c r="T156" s="17">
        <f>_xlfn.XLOOKUP($B156,'[2]Mar-25'!$A:$A,'[2]Mar-25'!$H:$H,0)</f>
        <v>0</v>
      </c>
      <c r="U156" s="17">
        <f>_xlfn.XLOOKUP($B156,'[2]Apr-25'!$A:$A,'[2]Apr-25'!$H:$H,0)</f>
        <v>0</v>
      </c>
      <c r="V156" s="17">
        <f>_xlfn.XLOOKUP($B156,'[2]May-25'!$A:$A,'[2]May-25'!$H:$H,0)</f>
        <v>0</v>
      </c>
      <c r="W156" s="17">
        <f>_xlfn.XLOOKUP($B156,'[2]Jun-25'!$A:$A,'[2]Jun-25'!$H:$H,0)</f>
        <v>0</v>
      </c>
      <c r="X156" s="17">
        <f>_xlfn.XLOOKUP($B156,'[2]Jul-25'!$A:$A,'[2]Jul-25'!$H:$H,0)</f>
        <v>0</v>
      </c>
      <c r="Y156" s="17">
        <f>_xlfn.XLOOKUP($B156,'[2]Aug-25'!$A:$A,'[2]Aug-25'!$H:$H,0)</f>
        <v>0</v>
      </c>
      <c r="Z156" s="17">
        <f>_xlfn.XLOOKUP($B156,'[2]Sep-25'!$A:$A,'[2]Sep-25'!$H:$H,0)</f>
        <v>0</v>
      </c>
      <c r="AA156" s="17">
        <f>_xlfn.XLOOKUP($B156,'[2]Oct-25'!$A:$A,'[2]Oct-25'!$H:$H,0)</f>
        <v>0</v>
      </c>
      <c r="AB156" s="17">
        <f>_xlfn.XLOOKUP($B156,'[2]Nov-25'!$A:$A,'[2]Nov-25'!$H:$H,0)</f>
        <v>0</v>
      </c>
      <c r="AC156" s="17">
        <f>_xlfn.XLOOKUP($B156,'[2]Dec-25'!$A:$A,'[2]Dec-25'!$H:$H,0)</f>
        <v>0</v>
      </c>
      <c r="AD156" s="17">
        <f>_xlfn.XLOOKUP($B156,'[2]Jan-26'!$A:$A,'[2]Jan-26'!$H:$H,0)</f>
        <v>0</v>
      </c>
      <c r="AE156" s="17">
        <f>_xlfn.XLOOKUP($B156,'[2]Feb-26'!$A:$A,'[2]Feb-26'!$H:$H,0)</f>
        <v>0</v>
      </c>
      <c r="AF156" s="17">
        <f>_xlfn.XLOOKUP($B156,'[2]Mar-26'!$A:$A,'[2]Mar-26'!$H:$H,0)</f>
        <v>0</v>
      </c>
      <c r="AG156" s="17">
        <f>_xlfn.XLOOKUP($B156,'[2]Apr-26'!$A:$A,'[2]Apr-26'!$H:$H,0)</f>
        <v>0</v>
      </c>
    </row>
    <row r="157" spans="1:33" x14ac:dyDescent="0.2">
      <c r="A157" s="58">
        <v>51330</v>
      </c>
      <c r="B157" s="56" t="str">
        <f t="shared" si="4"/>
        <v>51330</v>
      </c>
      <c r="C157" s="57" t="s">
        <v>389</v>
      </c>
      <c r="D157" s="57" t="s">
        <v>387</v>
      </c>
      <c r="E157" s="44" t="s">
        <v>845</v>
      </c>
      <c r="F157" s="17">
        <f>_xlfn.XLOOKUP($B157,'[2]Jan-24'!$A:$A,'[2]Jan-24'!$H:$H,0)</f>
        <v>0</v>
      </c>
      <c r="G157" s="17">
        <f>_xlfn.XLOOKUP($B157,'[2]Feb-24'!$A:$A,'[2]Feb-24'!$H:$H,0)</f>
        <v>0</v>
      </c>
      <c r="H157" s="17">
        <f>_xlfn.XLOOKUP($B157,'[2]Mar-24'!$A:$A,'[2]Mar-24'!$H:$H,0)</f>
        <v>0</v>
      </c>
      <c r="I157" s="17">
        <f>_xlfn.XLOOKUP($B157,'[2]Apr-24'!$A:$A,'[2]Apr-24'!$H:$H,0)</f>
        <v>0</v>
      </c>
      <c r="J157" s="17">
        <f>_xlfn.XLOOKUP($B157,'[2]May-24'!$A:$A,'[2]May-24'!$H:$H,0)</f>
        <v>0</v>
      </c>
      <c r="K157" s="17">
        <f>_xlfn.XLOOKUP($B157,'[2]Jun-24'!$A:$A,'[2]Jun-24'!$H:$H,0)</f>
        <v>0</v>
      </c>
      <c r="L157" s="17">
        <f>_xlfn.XLOOKUP($B157,'[2]Jul-24'!$A:$A,'[2]Jul-24'!$H:$H,0)</f>
        <v>0</v>
      </c>
      <c r="M157" s="17">
        <f>_xlfn.XLOOKUP($B157,'[2]Aug-24'!$A:$A,'[2]Aug-24'!$H:$H,0)</f>
        <v>0</v>
      </c>
      <c r="N157" s="17">
        <f>_xlfn.XLOOKUP($B157,'[2]Sep-24'!$A:$A,'[2]Sep-24'!$H:$H,0)</f>
        <v>0</v>
      </c>
      <c r="O157" s="17">
        <f>_xlfn.XLOOKUP($B157,'[2]Oct-24'!$A:$A,'[2]Oct-24'!$H:$H,0)</f>
        <v>0</v>
      </c>
      <c r="P157" s="17">
        <f>_xlfn.XLOOKUP($B157,'[2]Nov-24'!$A:$A,'[2]Nov-24'!$H:$H,0)</f>
        <v>0</v>
      </c>
      <c r="Q157" s="17">
        <f>_xlfn.XLOOKUP($B157,'[2]Dec-24'!$A:$A,'[2]Dec-24'!$H:$H,0)</f>
        <v>0</v>
      </c>
      <c r="R157" s="17">
        <f>_xlfn.XLOOKUP($B157,'[2]Jan-25'!$A:$A,'[2]Jan-25'!$H:$H,0)</f>
        <v>0</v>
      </c>
      <c r="S157" s="17">
        <f>_xlfn.XLOOKUP($B157,'[2]Feb-25'!$A:$A,'[2]Feb-25'!$H:$H,0)</f>
        <v>0</v>
      </c>
      <c r="T157" s="17">
        <f>_xlfn.XLOOKUP($B157,'[2]Mar-25'!$A:$A,'[2]Mar-25'!$H:$H,0)</f>
        <v>0</v>
      </c>
      <c r="U157" s="17">
        <f>_xlfn.XLOOKUP($B157,'[2]Apr-25'!$A:$A,'[2]Apr-25'!$H:$H,0)</f>
        <v>0</v>
      </c>
      <c r="V157" s="17">
        <f>_xlfn.XLOOKUP($B157,'[2]May-25'!$A:$A,'[2]May-25'!$H:$H,0)</f>
        <v>0</v>
      </c>
      <c r="W157" s="17">
        <f>_xlfn.XLOOKUP($B157,'[2]Jun-25'!$A:$A,'[2]Jun-25'!$H:$H,0)</f>
        <v>0</v>
      </c>
      <c r="X157" s="17">
        <f>_xlfn.XLOOKUP($B157,'[2]Jul-25'!$A:$A,'[2]Jul-25'!$H:$H,0)</f>
        <v>0</v>
      </c>
      <c r="Y157" s="17">
        <f>_xlfn.XLOOKUP($B157,'[2]Aug-25'!$A:$A,'[2]Aug-25'!$H:$H,0)</f>
        <v>0</v>
      </c>
      <c r="Z157" s="17">
        <f>_xlfn.XLOOKUP($B157,'[2]Sep-25'!$A:$A,'[2]Sep-25'!$H:$H,0)</f>
        <v>0</v>
      </c>
      <c r="AA157" s="17">
        <f>_xlfn.XLOOKUP($B157,'[2]Oct-25'!$A:$A,'[2]Oct-25'!$H:$H,0)</f>
        <v>0</v>
      </c>
      <c r="AB157" s="17">
        <f>_xlfn.XLOOKUP($B157,'[2]Nov-25'!$A:$A,'[2]Nov-25'!$H:$H,0)</f>
        <v>0</v>
      </c>
      <c r="AC157" s="17">
        <f>_xlfn.XLOOKUP($B157,'[2]Dec-25'!$A:$A,'[2]Dec-25'!$H:$H,0)</f>
        <v>0</v>
      </c>
      <c r="AD157" s="17">
        <f>_xlfn.XLOOKUP($B157,'[2]Jan-26'!$A:$A,'[2]Jan-26'!$H:$H,0)</f>
        <v>0</v>
      </c>
      <c r="AE157" s="17">
        <f>_xlfn.XLOOKUP($B157,'[2]Feb-26'!$A:$A,'[2]Feb-26'!$H:$H,0)</f>
        <v>0</v>
      </c>
      <c r="AF157" s="17">
        <f>_xlfn.XLOOKUP($B157,'[2]Mar-26'!$A:$A,'[2]Mar-26'!$H:$H,0)</f>
        <v>0</v>
      </c>
      <c r="AG157" s="17">
        <f>_xlfn.XLOOKUP($B157,'[2]Apr-26'!$A:$A,'[2]Apr-26'!$H:$H,0)</f>
        <v>0</v>
      </c>
    </row>
    <row r="158" spans="1:33" x14ac:dyDescent="0.2">
      <c r="A158" s="58">
        <v>51340</v>
      </c>
      <c r="B158" s="56" t="str">
        <f t="shared" si="4"/>
        <v>51340</v>
      </c>
      <c r="C158" s="57" t="s">
        <v>593</v>
      </c>
      <c r="D158" s="57" t="s">
        <v>387</v>
      </c>
      <c r="E158" s="44" t="s">
        <v>846</v>
      </c>
      <c r="F158" s="17">
        <f>_xlfn.XLOOKUP($B158,'[2]Jan-24'!$A:$A,'[2]Jan-24'!$H:$H,0)</f>
        <v>0</v>
      </c>
      <c r="G158" s="17">
        <f>_xlfn.XLOOKUP($B158,'[2]Feb-24'!$A:$A,'[2]Feb-24'!$H:$H,0)</f>
        <v>0</v>
      </c>
      <c r="H158" s="17">
        <f>_xlfn.XLOOKUP($B158,'[2]Mar-24'!$A:$A,'[2]Mar-24'!$H:$H,0)</f>
        <v>0</v>
      </c>
      <c r="I158" s="17">
        <f>_xlfn.XLOOKUP($B158,'[2]Apr-24'!$A:$A,'[2]Apr-24'!$H:$H,0)</f>
        <v>0</v>
      </c>
      <c r="J158" s="17">
        <f>_xlfn.XLOOKUP($B158,'[2]May-24'!$A:$A,'[2]May-24'!$H:$H,0)</f>
        <v>0</v>
      </c>
      <c r="K158" s="17">
        <f>_xlfn.XLOOKUP($B158,'[2]Jun-24'!$A:$A,'[2]Jun-24'!$H:$H,0)</f>
        <v>0</v>
      </c>
      <c r="L158" s="17">
        <f>_xlfn.XLOOKUP($B158,'[2]Jul-24'!$A:$A,'[2]Jul-24'!$H:$H,0)</f>
        <v>0</v>
      </c>
      <c r="M158" s="17">
        <f>_xlfn.XLOOKUP($B158,'[2]Aug-24'!$A:$A,'[2]Aug-24'!$H:$H,0)</f>
        <v>0</v>
      </c>
      <c r="N158" s="17">
        <f>_xlfn.XLOOKUP($B158,'[2]Sep-24'!$A:$A,'[2]Sep-24'!$H:$H,0)</f>
        <v>0</v>
      </c>
      <c r="O158" s="17">
        <f>_xlfn.XLOOKUP($B158,'[2]Oct-24'!$A:$A,'[2]Oct-24'!$H:$H,0)</f>
        <v>0</v>
      </c>
      <c r="P158" s="17">
        <f>_xlfn.XLOOKUP($B158,'[2]Nov-24'!$A:$A,'[2]Nov-24'!$H:$H,0)</f>
        <v>0</v>
      </c>
      <c r="Q158" s="17">
        <f>_xlfn.XLOOKUP($B158,'[2]Dec-24'!$A:$A,'[2]Dec-24'!$H:$H,0)</f>
        <v>0</v>
      </c>
      <c r="R158" s="17">
        <f>_xlfn.XLOOKUP($B158,'[2]Jan-25'!$A:$A,'[2]Jan-25'!$H:$H,0)</f>
        <v>0</v>
      </c>
      <c r="S158" s="17">
        <f>_xlfn.XLOOKUP($B158,'[2]Feb-25'!$A:$A,'[2]Feb-25'!$H:$H,0)</f>
        <v>0</v>
      </c>
      <c r="T158" s="17">
        <f>_xlfn.XLOOKUP($B158,'[2]Mar-25'!$A:$A,'[2]Mar-25'!$H:$H,0)</f>
        <v>0</v>
      </c>
      <c r="U158" s="17">
        <f>_xlfn.XLOOKUP($B158,'[2]Apr-25'!$A:$A,'[2]Apr-25'!$H:$H,0)</f>
        <v>0</v>
      </c>
      <c r="V158" s="17">
        <f>_xlfn.XLOOKUP($B158,'[2]May-25'!$A:$A,'[2]May-25'!$H:$H,0)</f>
        <v>0</v>
      </c>
      <c r="W158" s="17">
        <f>_xlfn.XLOOKUP($B158,'[2]Jun-25'!$A:$A,'[2]Jun-25'!$H:$H,0)</f>
        <v>0</v>
      </c>
      <c r="X158" s="17">
        <f>_xlfn.XLOOKUP($B158,'[2]Jul-25'!$A:$A,'[2]Jul-25'!$H:$H,0)</f>
        <v>0</v>
      </c>
      <c r="Y158" s="17">
        <f>_xlfn.XLOOKUP($B158,'[2]Aug-25'!$A:$A,'[2]Aug-25'!$H:$H,0)</f>
        <v>0</v>
      </c>
      <c r="Z158" s="17">
        <f>_xlfn.XLOOKUP($B158,'[2]Sep-25'!$A:$A,'[2]Sep-25'!$H:$H,0)</f>
        <v>0</v>
      </c>
      <c r="AA158" s="17">
        <f>_xlfn.XLOOKUP($B158,'[2]Oct-25'!$A:$A,'[2]Oct-25'!$H:$H,0)</f>
        <v>0</v>
      </c>
      <c r="AB158" s="17">
        <f>_xlfn.XLOOKUP($B158,'[2]Nov-25'!$A:$A,'[2]Nov-25'!$H:$H,0)</f>
        <v>0</v>
      </c>
      <c r="AC158" s="17">
        <f>_xlfn.XLOOKUP($B158,'[2]Dec-25'!$A:$A,'[2]Dec-25'!$H:$H,0)</f>
        <v>0</v>
      </c>
      <c r="AD158" s="17">
        <f>_xlfn.XLOOKUP($B158,'[2]Jan-26'!$A:$A,'[2]Jan-26'!$H:$H,0)</f>
        <v>0</v>
      </c>
      <c r="AE158" s="17">
        <f>_xlfn.XLOOKUP($B158,'[2]Feb-26'!$A:$A,'[2]Feb-26'!$H:$H,0)</f>
        <v>0</v>
      </c>
      <c r="AF158" s="17">
        <f>_xlfn.XLOOKUP($B158,'[2]Mar-26'!$A:$A,'[2]Mar-26'!$H:$H,0)</f>
        <v>0</v>
      </c>
      <c r="AG158" s="17">
        <f>_xlfn.XLOOKUP($B158,'[2]Apr-26'!$A:$A,'[2]Apr-26'!$H:$H,0)</f>
        <v>0</v>
      </c>
    </row>
    <row r="159" spans="1:33" x14ac:dyDescent="0.2">
      <c r="A159" s="58">
        <v>51350</v>
      </c>
      <c r="B159" s="56" t="str">
        <f t="shared" si="4"/>
        <v>51350</v>
      </c>
      <c r="C159" s="57" t="s">
        <v>613</v>
      </c>
      <c r="D159" s="57" t="s">
        <v>387</v>
      </c>
      <c r="E159" s="44" t="s">
        <v>847</v>
      </c>
      <c r="F159" s="17">
        <f>_xlfn.XLOOKUP($B159,'[2]Jan-24'!$A:$A,'[2]Jan-24'!$H:$H,0)</f>
        <v>0</v>
      </c>
      <c r="G159" s="17">
        <f>_xlfn.XLOOKUP($B159,'[2]Feb-24'!$A:$A,'[2]Feb-24'!$H:$H,0)</f>
        <v>0</v>
      </c>
      <c r="H159" s="17">
        <f>_xlfn.XLOOKUP($B159,'[2]Mar-24'!$A:$A,'[2]Mar-24'!$H:$H,0)</f>
        <v>0</v>
      </c>
      <c r="I159" s="17">
        <f>_xlfn.XLOOKUP($B159,'[2]Apr-24'!$A:$A,'[2]Apr-24'!$H:$H,0)</f>
        <v>0</v>
      </c>
      <c r="J159" s="17">
        <f>_xlfn.XLOOKUP($B159,'[2]May-24'!$A:$A,'[2]May-24'!$H:$H,0)</f>
        <v>0</v>
      </c>
      <c r="K159" s="17">
        <f>_xlfn.XLOOKUP($B159,'[2]Jun-24'!$A:$A,'[2]Jun-24'!$H:$H,0)</f>
        <v>0</v>
      </c>
      <c r="L159" s="17">
        <f>_xlfn.XLOOKUP($B159,'[2]Jul-24'!$A:$A,'[2]Jul-24'!$H:$H,0)</f>
        <v>0</v>
      </c>
      <c r="M159" s="17">
        <f>_xlfn.XLOOKUP($B159,'[2]Aug-24'!$A:$A,'[2]Aug-24'!$H:$H,0)</f>
        <v>0</v>
      </c>
      <c r="N159" s="17">
        <f>_xlfn.XLOOKUP($B159,'[2]Sep-24'!$A:$A,'[2]Sep-24'!$H:$H,0)</f>
        <v>0</v>
      </c>
      <c r="O159" s="17">
        <f>_xlfn.XLOOKUP($B159,'[2]Oct-24'!$A:$A,'[2]Oct-24'!$H:$H,0)</f>
        <v>0</v>
      </c>
      <c r="P159" s="17">
        <f>_xlfn.XLOOKUP($B159,'[2]Nov-24'!$A:$A,'[2]Nov-24'!$H:$H,0)</f>
        <v>0</v>
      </c>
      <c r="Q159" s="17">
        <f>_xlfn.XLOOKUP($B159,'[2]Dec-24'!$A:$A,'[2]Dec-24'!$H:$H,0)</f>
        <v>0</v>
      </c>
      <c r="R159" s="17">
        <f>_xlfn.XLOOKUP($B159,'[2]Jan-25'!$A:$A,'[2]Jan-25'!$H:$H,0)</f>
        <v>0</v>
      </c>
      <c r="S159" s="17">
        <f>_xlfn.XLOOKUP($B159,'[2]Feb-25'!$A:$A,'[2]Feb-25'!$H:$H,0)</f>
        <v>0</v>
      </c>
      <c r="T159" s="17">
        <f>_xlfn.XLOOKUP($B159,'[2]Mar-25'!$A:$A,'[2]Mar-25'!$H:$H,0)</f>
        <v>0</v>
      </c>
      <c r="U159" s="17">
        <f>_xlfn.XLOOKUP($B159,'[2]Apr-25'!$A:$A,'[2]Apr-25'!$H:$H,0)</f>
        <v>0</v>
      </c>
      <c r="V159" s="17">
        <f>_xlfn.XLOOKUP($B159,'[2]May-25'!$A:$A,'[2]May-25'!$H:$H,0)</f>
        <v>0</v>
      </c>
      <c r="W159" s="17">
        <f>_xlfn.XLOOKUP($B159,'[2]Jun-25'!$A:$A,'[2]Jun-25'!$H:$H,0)</f>
        <v>0</v>
      </c>
      <c r="X159" s="17">
        <f>_xlfn.XLOOKUP($B159,'[2]Jul-25'!$A:$A,'[2]Jul-25'!$H:$H,0)</f>
        <v>0</v>
      </c>
      <c r="Y159" s="17">
        <f>_xlfn.XLOOKUP($B159,'[2]Aug-25'!$A:$A,'[2]Aug-25'!$H:$H,0)</f>
        <v>0</v>
      </c>
      <c r="Z159" s="17">
        <f>_xlfn.XLOOKUP($B159,'[2]Sep-25'!$A:$A,'[2]Sep-25'!$H:$H,0)</f>
        <v>0</v>
      </c>
      <c r="AA159" s="17">
        <f>_xlfn.XLOOKUP($B159,'[2]Oct-25'!$A:$A,'[2]Oct-25'!$H:$H,0)</f>
        <v>0</v>
      </c>
      <c r="AB159" s="17">
        <f>_xlfn.XLOOKUP($B159,'[2]Nov-25'!$A:$A,'[2]Nov-25'!$H:$H,0)</f>
        <v>0</v>
      </c>
      <c r="AC159" s="17">
        <f>_xlfn.XLOOKUP($B159,'[2]Dec-25'!$A:$A,'[2]Dec-25'!$H:$H,0)</f>
        <v>0</v>
      </c>
      <c r="AD159" s="17">
        <f>_xlfn.XLOOKUP($B159,'[2]Jan-26'!$A:$A,'[2]Jan-26'!$H:$H,0)</f>
        <v>0</v>
      </c>
      <c r="AE159" s="17">
        <f>_xlfn.XLOOKUP($B159,'[2]Feb-26'!$A:$A,'[2]Feb-26'!$H:$H,0)</f>
        <v>0</v>
      </c>
      <c r="AF159" s="17">
        <f>_xlfn.XLOOKUP($B159,'[2]Mar-26'!$A:$A,'[2]Mar-26'!$H:$H,0)</f>
        <v>0</v>
      </c>
      <c r="AG159" s="17">
        <f>_xlfn.XLOOKUP($B159,'[2]Apr-26'!$A:$A,'[2]Apr-26'!$H:$H,0)</f>
        <v>0</v>
      </c>
    </row>
    <row r="160" spans="1:33" x14ac:dyDescent="0.2">
      <c r="A160" s="58">
        <v>51360</v>
      </c>
      <c r="B160" s="56" t="str">
        <f t="shared" si="4"/>
        <v>51360</v>
      </c>
      <c r="C160" s="57" t="s">
        <v>389</v>
      </c>
      <c r="D160" s="57" t="s">
        <v>387</v>
      </c>
      <c r="E160" s="44" t="s">
        <v>848</v>
      </c>
      <c r="F160" s="17">
        <f>_xlfn.XLOOKUP($B160,'[2]Jan-24'!$A:$A,'[2]Jan-24'!$H:$H,0)</f>
        <v>0</v>
      </c>
      <c r="G160" s="17">
        <f>_xlfn.XLOOKUP($B160,'[2]Feb-24'!$A:$A,'[2]Feb-24'!$H:$H,0)</f>
        <v>0</v>
      </c>
      <c r="H160" s="17">
        <f>_xlfn.XLOOKUP($B160,'[2]Mar-24'!$A:$A,'[2]Mar-24'!$H:$H,0)</f>
        <v>0</v>
      </c>
      <c r="I160" s="17">
        <f>_xlfn.XLOOKUP($B160,'[2]Apr-24'!$A:$A,'[2]Apr-24'!$H:$H,0)</f>
        <v>0</v>
      </c>
      <c r="J160" s="17">
        <f>_xlfn.XLOOKUP($B160,'[2]May-24'!$A:$A,'[2]May-24'!$H:$H,0)</f>
        <v>0</v>
      </c>
      <c r="K160" s="17">
        <f>_xlfn.XLOOKUP($B160,'[2]Jun-24'!$A:$A,'[2]Jun-24'!$H:$H,0)</f>
        <v>0</v>
      </c>
      <c r="L160" s="17">
        <f>_xlfn.XLOOKUP($B160,'[2]Jul-24'!$A:$A,'[2]Jul-24'!$H:$H,0)</f>
        <v>0</v>
      </c>
      <c r="M160" s="17">
        <f>_xlfn.XLOOKUP($B160,'[2]Aug-24'!$A:$A,'[2]Aug-24'!$H:$H,0)</f>
        <v>0</v>
      </c>
      <c r="N160" s="17">
        <f>_xlfn.XLOOKUP($B160,'[2]Sep-24'!$A:$A,'[2]Sep-24'!$H:$H,0)</f>
        <v>0</v>
      </c>
      <c r="O160" s="17">
        <f>_xlfn.XLOOKUP($B160,'[2]Oct-24'!$A:$A,'[2]Oct-24'!$H:$H,0)</f>
        <v>0</v>
      </c>
      <c r="P160" s="17">
        <f>_xlfn.XLOOKUP($B160,'[2]Nov-24'!$A:$A,'[2]Nov-24'!$H:$H,0)</f>
        <v>0</v>
      </c>
      <c r="Q160" s="17">
        <f>_xlfn.XLOOKUP($B160,'[2]Dec-24'!$A:$A,'[2]Dec-24'!$H:$H,0)</f>
        <v>0</v>
      </c>
      <c r="R160" s="17">
        <f>_xlfn.XLOOKUP($B160,'[2]Jan-25'!$A:$A,'[2]Jan-25'!$H:$H,0)</f>
        <v>0</v>
      </c>
      <c r="S160" s="17">
        <f>_xlfn.XLOOKUP($B160,'[2]Feb-25'!$A:$A,'[2]Feb-25'!$H:$H,0)</f>
        <v>0</v>
      </c>
      <c r="T160" s="17">
        <f>_xlfn.XLOOKUP($B160,'[2]Mar-25'!$A:$A,'[2]Mar-25'!$H:$H,0)</f>
        <v>0</v>
      </c>
      <c r="U160" s="17">
        <f>_xlfn.XLOOKUP($B160,'[2]Apr-25'!$A:$A,'[2]Apr-25'!$H:$H,0)</f>
        <v>0</v>
      </c>
      <c r="V160" s="17">
        <f>_xlfn.XLOOKUP($B160,'[2]May-25'!$A:$A,'[2]May-25'!$H:$H,0)</f>
        <v>0</v>
      </c>
      <c r="W160" s="17">
        <f>_xlfn.XLOOKUP($B160,'[2]Jun-25'!$A:$A,'[2]Jun-25'!$H:$H,0)</f>
        <v>0</v>
      </c>
      <c r="X160" s="17">
        <f>_xlfn.XLOOKUP($B160,'[2]Jul-25'!$A:$A,'[2]Jul-25'!$H:$H,0)</f>
        <v>0</v>
      </c>
      <c r="Y160" s="17">
        <f>_xlfn.XLOOKUP($B160,'[2]Aug-25'!$A:$A,'[2]Aug-25'!$H:$H,0)</f>
        <v>0</v>
      </c>
      <c r="Z160" s="17">
        <f>_xlfn.XLOOKUP($B160,'[2]Sep-25'!$A:$A,'[2]Sep-25'!$H:$H,0)</f>
        <v>0</v>
      </c>
      <c r="AA160" s="17">
        <f>_xlfn.XLOOKUP($B160,'[2]Oct-25'!$A:$A,'[2]Oct-25'!$H:$H,0)</f>
        <v>0</v>
      </c>
      <c r="AB160" s="17">
        <f>_xlfn.XLOOKUP($B160,'[2]Nov-25'!$A:$A,'[2]Nov-25'!$H:$H,0)</f>
        <v>0</v>
      </c>
      <c r="AC160" s="17">
        <f>_xlfn.XLOOKUP($B160,'[2]Dec-25'!$A:$A,'[2]Dec-25'!$H:$H,0)</f>
        <v>0</v>
      </c>
      <c r="AD160" s="17">
        <f>_xlfn.XLOOKUP($B160,'[2]Jan-26'!$A:$A,'[2]Jan-26'!$H:$H,0)</f>
        <v>0</v>
      </c>
      <c r="AE160" s="17">
        <f>_xlfn.XLOOKUP($B160,'[2]Feb-26'!$A:$A,'[2]Feb-26'!$H:$H,0)</f>
        <v>0</v>
      </c>
      <c r="AF160" s="17">
        <f>_xlfn.XLOOKUP($B160,'[2]Mar-26'!$A:$A,'[2]Mar-26'!$H:$H,0)</f>
        <v>0</v>
      </c>
      <c r="AG160" s="17">
        <f>_xlfn.XLOOKUP($B160,'[2]Apr-26'!$A:$A,'[2]Apr-26'!$H:$H,0)</f>
        <v>0</v>
      </c>
    </row>
    <row r="161" spans="1:33" x14ac:dyDescent="0.2">
      <c r="A161" s="58">
        <v>51390</v>
      </c>
      <c r="B161" s="56" t="str">
        <f t="shared" si="4"/>
        <v>51390</v>
      </c>
      <c r="C161" s="57" t="s">
        <v>552</v>
      </c>
      <c r="D161" s="57" t="s">
        <v>387</v>
      </c>
      <c r="E161" s="44" t="s">
        <v>849</v>
      </c>
      <c r="F161" s="17">
        <f>_xlfn.XLOOKUP($B161,'[2]Jan-24'!$A:$A,'[2]Jan-24'!$H:$H,0)</f>
        <v>0</v>
      </c>
      <c r="G161" s="17">
        <f>_xlfn.XLOOKUP($B161,'[2]Feb-24'!$A:$A,'[2]Feb-24'!$H:$H,0)</f>
        <v>0</v>
      </c>
      <c r="H161" s="17">
        <f>_xlfn.XLOOKUP($B161,'[2]Mar-24'!$A:$A,'[2]Mar-24'!$H:$H,0)</f>
        <v>0</v>
      </c>
      <c r="I161" s="17">
        <f>_xlfn.XLOOKUP($B161,'[2]Apr-24'!$A:$A,'[2]Apr-24'!$H:$H,0)</f>
        <v>0</v>
      </c>
      <c r="J161" s="17">
        <f>_xlfn.XLOOKUP($B161,'[2]May-24'!$A:$A,'[2]May-24'!$H:$H,0)</f>
        <v>0</v>
      </c>
      <c r="K161" s="17">
        <f>_xlfn.XLOOKUP($B161,'[2]Jun-24'!$A:$A,'[2]Jun-24'!$H:$H,0)</f>
        <v>0</v>
      </c>
      <c r="L161" s="17">
        <f>_xlfn.XLOOKUP($B161,'[2]Jul-24'!$A:$A,'[2]Jul-24'!$H:$H,0)</f>
        <v>0</v>
      </c>
      <c r="M161" s="17">
        <f>_xlfn.XLOOKUP($B161,'[2]Aug-24'!$A:$A,'[2]Aug-24'!$H:$H,0)</f>
        <v>0</v>
      </c>
      <c r="N161" s="17">
        <f>_xlfn.XLOOKUP($B161,'[2]Sep-24'!$A:$A,'[2]Sep-24'!$H:$H,0)</f>
        <v>0</v>
      </c>
      <c r="O161" s="17">
        <f>_xlfn.XLOOKUP($B161,'[2]Oct-24'!$A:$A,'[2]Oct-24'!$H:$H,0)</f>
        <v>0</v>
      </c>
      <c r="P161" s="17">
        <f>_xlfn.XLOOKUP($B161,'[2]Nov-24'!$A:$A,'[2]Nov-24'!$H:$H,0)</f>
        <v>0</v>
      </c>
      <c r="Q161" s="17">
        <f>_xlfn.XLOOKUP($B161,'[2]Dec-24'!$A:$A,'[2]Dec-24'!$H:$H,0)</f>
        <v>0</v>
      </c>
      <c r="R161" s="17">
        <f>_xlfn.XLOOKUP($B161,'[2]Jan-25'!$A:$A,'[2]Jan-25'!$H:$H,0)</f>
        <v>0</v>
      </c>
      <c r="S161" s="17">
        <f>_xlfn.XLOOKUP($B161,'[2]Feb-25'!$A:$A,'[2]Feb-25'!$H:$H,0)</f>
        <v>0</v>
      </c>
      <c r="T161" s="17">
        <f>_xlfn.XLOOKUP($B161,'[2]Mar-25'!$A:$A,'[2]Mar-25'!$H:$H,0)</f>
        <v>0</v>
      </c>
      <c r="U161" s="17">
        <f>_xlfn.XLOOKUP($B161,'[2]Apr-25'!$A:$A,'[2]Apr-25'!$H:$H,0)</f>
        <v>0</v>
      </c>
      <c r="V161" s="17">
        <f>_xlfn.XLOOKUP($B161,'[2]May-25'!$A:$A,'[2]May-25'!$H:$H,0)</f>
        <v>0</v>
      </c>
      <c r="W161" s="17">
        <f>_xlfn.XLOOKUP($B161,'[2]Jun-25'!$A:$A,'[2]Jun-25'!$H:$H,0)</f>
        <v>0</v>
      </c>
      <c r="X161" s="17">
        <f>_xlfn.XLOOKUP($B161,'[2]Jul-25'!$A:$A,'[2]Jul-25'!$H:$H,0)</f>
        <v>0</v>
      </c>
      <c r="Y161" s="17">
        <f>_xlfn.XLOOKUP($B161,'[2]Aug-25'!$A:$A,'[2]Aug-25'!$H:$H,0)</f>
        <v>0</v>
      </c>
      <c r="Z161" s="17">
        <f>_xlfn.XLOOKUP($B161,'[2]Sep-25'!$A:$A,'[2]Sep-25'!$H:$H,0)</f>
        <v>0</v>
      </c>
      <c r="AA161" s="17">
        <f>_xlfn.XLOOKUP($B161,'[2]Oct-25'!$A:$A,'[2]Oct-25'!$H:$H,0)</f>
        <v>0</v>
      </c>
      <c r="AB161" s="17">
        <f>_xlfn.XLOOKUP($B161,'[2]Nov-25'!$A:$A,'[2]Nov-25'!$H:$H,0)</f>
        <v>0</v>
      </c>
      <c r="AC161" s="17">
        <f>_xlfn.XLOOKUP($B161,'[2]Dec-25'!$A:$A,'[2]Dec-25'!$H:$H,0)</f>
        <v>0</v>
      </c>
      <c r="AD161" s="17">
        <f>_xlfn.XLOOKUP($B161,'[2]Jan-26'!$A:$A,'[2]Jan-26'!$H:$H,0)</f>
        <v>0</v>
      </c>
      <c r="AE161" s="17">
        <f>_xlfn.XLOOKUP($B161,'[2]Feb-26'!$A:$A,'[2]Feb-26'!$H:$H,0)</f>
        <v>0</v>
      </c>
      <c r="AF161" s="17">
        <f>_xlfn.XLOOKUP($B161,'[2]Mar-26'!$A:$A,'[2]Mar-26'!$H:$H,0)</f>
        <v>0</v>
      </c>
      <c r="AG161" s="17">
        <f>_xlfn.XLOOKUP($B161,'[2]Apr-26'!$A:$A,'[2]Apr-26'!$H:$H,0)</f>
        <v>0</v>
      </c>
    </row>
    <row r="162" spans="1:33" x14ac:dyDescent="0.2">
      <c r="A162" s="58">
        <v>51410</v>
      </c>
      <c r="B162" s="56" t="str">
        <f t="shared" si="4"/>
        <v>51410</v>
      </c>
      <c r="C162" s="57" t="s">
        <v>643</v>
      </c>
      <c r="D162" s="57" t="s">
        <v>387</v>
      </c>
      <c r="E162" s="44" t="s">
        <v>850</v>
      </c>
      <c r="F162" s="17">
        <f>_xlfn.XLOOKUP($B162,'[2]Jan-24'!$A:$A,'[2]Jan-24'!$H:$H,0)</f>
        <v>0</v>
      </c>
      <c r="G162" s="17">
        <f>_xlfn.XLOOKUP($B162,'[2]Feb-24'!$A:$A,'[2]Feb-24'!$H:$H,0)</f>
        <v>353</v>
      </c>
      <c r="H162" s="17">
        <f>_xlfn.XLOOKUP($B162,'[2]Mar-24'!$A:$A,'[2]Mar-24'!$H:$H,0)</f>
        <v>140.1</v>
      </c>
      <c r="I162" s="17">
        <f>_xlfn.XLOOKUP($B162,'[2]Apr-24'!$A:$A,'[2]Apr-24'!$H:$H,0)</f>
        <v>95</v>
      </c>
      <c r="J162" s="17">
        <f>_xlfn.XLOOKUP($B162,'[2]May-24'!$A:$A,'[2]May-24'!$H:$H,0)</f>
        <v>351.6</v>
      </c>
      <c r="K162" s="17">
        <f>_xlfn.XLOOKUP($B162,'[2]Jun-24'!$A:$A,'[2]Jun-24'!$H:$H,0)</f>
        <v>234.8</v>
      </c>
      <c r="L162" s="17">
        <f>_xlfn.XLOOKUP($B162,'[2]Jul-24'!$A:$A,'[2]Jul-24'!$H:$H,0)</f>
        <v>1791.2</v>
      </c>
      <c r="M162" s="17">
        <f>_xlfn.XLOOKUP($B162,'[2]Aug-24'!$A:$A,'[2]Aug-24'!$H:$H,0)</f>
        <v>0</v>
      </c>
      <c r="N162" s="17">
        <f>_xlfn.XLOOKUP($B162,'[2]Sep-24'!$A:$A,'[2]Sep-24'!$H:$H,0)</f>
        <v>44.4</v>
      </c>
      <c r="O162" s="17">
        <f>_xlfn.XLOOKUP($B162,'[2]Oct-24'!$A:$A,'[2]Oct-24'!$H:$H,0)</f>
        <v>337.26</v>
      </c>
      <c r="P162" s="17">
        <f>_xlfn.XLOOKUP($B162,'[2]Nov-24'!$A:$A,'[2]Nov-24'!$H:$H,0)</f>
        <v>379.23</v>
      </c>
      <c r="Q162" s="17">
        <f>_xlfn.XLOOKUP($B162,'[2]Dec-24'!$A:$A,'[2]Dec-24'!$H:$H,0)</f>
        <v>155</v>
      </c>
      <c r="R162" s="17">
        <f>_xlfn.XLOOKUP($B162,'[2]Jan-25'!$A:$A,'[2]Jan-25'!$H:$H,0)</f>
        <v>524.49</v>
      </c>
      <c r="S162" s="17">
        <f>_xlfn.XLOOKUP($B162,'[2]Feb-25'!$A:$A,'[2]Feb-25'!$H:$H,0)</f>
        <v>168.86000000010245</v>
      </c>
      <c r="T162" s="17">
        <f>_xlfn.XLOOKUP($B162,'[2]Mar-25'!$A:$A,'[2]Mar-25'!$H:$H,0)</f>
        <v>316.89</v>
      </c>
      <c r="U162" s="17">
        <f>_xlfn.XLOOKUP($B162,'[2]Apr-25'!$A:$A,'[2]Apr-25'!$H:$H,0)</f>
        <v>342</v>
      </c>
      <c r="V162" s="17">
        <f>_xlfn.XLOOKUP($B162,'[2]May-25'!$A:$A,'[2]May-25'!$H:$H,0)</f>
        <v>155.53</v>
      </c>
      <c r="W162" s="17">
        <f>_xlfn.XLOOKUP($B162,'[2]Jun-25'!$A:$A,'[2]Jun-25'!$H:$H,0)</f>
        <v>113.2</v>
      </c>
      <c r="X162" s="17">
        <f>_xlfn.XLOOKUP($B162,'[2]Jul-25'!$A:$A,'[2]Jul-25'!$H:$H,0)</f>
        <v>107.99999999999997</v>
      </c>
      <c r="Y162" s="17">
        <f>_xlfn.XLOOKUP($B162,'[2]Aug-25'!$A:$A,'[2]Aug-25'!$H:$H,0)</f>
        <v>311.43</v>
      </c>
      <c r="Z162" s="17">
        <f>_xlfn.XLOOKUP($B162,'[2]Sep-25'!$A:$A,'[2]Sep-25'!$H:$H,0)</f>
        <v>37.6</v>
      </c>
      <c r="AA162" s="17">
        <f>_xlfn.XLOOKUP($B162,'[2]Oct-25'!$A:$A,'[2]Oct-25'!$H:$H,0)</f>
        <v>73.400000000000006</v>
      </c>
      <c r="AB162" s="17">
        <f>_xlfn.XLOOKUP($B162,'[2]Nov-25'!$A:$A,'[2]Nov-25'!$H:$H,0)</f>
        <v>92.2</v>
      </c>
      <c r="AC162" s="17">
        <f>_xlfn.XLOOKUP($B162,'[2]Dec-25'!$A:$A,'[2]Dec-25'!$H:$H,0)</f>
        <v>218.5</v>
      </c>
      <c r="AD162" s="17">
        <f>_xlfn.XLOOKUP($B162,'[2]Jan-26'!$A:$A,'[2]Jan-26'!$H:$H,0)</f>
        <v>372.1</v>
      </c>
      <c r="AE162" s="17">
        <f>_xlfn.XLOOKUP($B162,'[2]Feb-26'!$A:$A,'[2]Feb-26'!$H:$H,0)</f>
        <v>407.1</v>
      </c>
      <c r="AF162" s="17">
        <f>_xlfn.XLOOKUP($B162,'[2]Mar-26'!$A:$A,'[2]Mar-26'!$H:$H,0)</f>
        <v>0</v>
      </c>
      <c r="AG162" s="17">
        <f>_xlfn.XLOOKUP($B162,'[2]Apr-26'!$A:$A,'[2]Apr-26'!$H:$H,0)</f>
        <v>256.83</v>
      </c>
    </row>
    <row r="163" spans="1:33" x14ac:dyDescent="0.2">
      <c r="A163" s="58">
        <v>51420</v>
      </c>
      <c r="B163" s="56" t="str">
        <f t="shared" si="4"/>
        <v>51420</v>
      </c>
      <c r="C163" s="57" t="s">
        <v>643</v>
      </c>
      <c r="D163" s="57" t="s">
        <v>387</v>
      </c>
      <c r="E163" s="44" t="s">
        <v>851</v>
      </c>
      <c r="F163" s="17">
        <f>_xlfn.XLOOKUP($B163,'[2]Jan-24'!$A:$A,'[2]Jan-24'!$H:$H,0)</f>
        <v>0</v>
      </c>
      <c r="G163" s="17">
        <f>_xlfn.XLOOKUP($B163,'[2]Feb-24'!$A:$A,'[2]Feb-24'!$H:$H,0)</f>
        <v>0</v>
      </c>
      <c r="H163" s="17">
        <f>_xlfn.XLOOKUP($B163,'[2]Mar-24'!$A:$A,'[2]Mar-24'!$H:$H,0)</f>
        <v>0</v>
      </c>
      <c r="I163" s="17">
        <f>_xlfn.XLOOKUP($B163,'[2]Apr-24'!$A:$A,'[2]Apr-24'!$H:$H,0)</f>
        <v>0</v>
      </c>
      <c r="J163" s="17">
        <f>_xlfn.XLOOKUP($B163,'[2]May-24'!$A:$A,'[2]May-24'!$H:$H,0)</f>
        <v>0</v>
      </c>
      <c r="K163" s="17">
        <f>_xlfn.XLOOKUP($B163,'[2]Jun-24'!$A:$A,'[2]Jun-24'!$H:$H,0)</f>
        <v>0</v>
      </c>
      <c r="L163" s="17">
        <f>_xlfn.XLOOKUP($B163,'[2]Jul-24'!$A:$A,'[2]Jul-24'!$H:$H,0)</f>
        <v>0</v>
      </c>
      <c r="M163" s="17">
        <f>_xlfn.XLOOKUP($B163,'[2]Aug-24'!$A:$A,'[2]Aug-24'!$H:$H,0)</f>
        <v>0</v>
      </c>
      <c r="N163" s="17">
        <f>_xlfn.XLOOKUP($B163,'[2]Sep-24'!$A:$A,'[2]Sep-24'!$H:$H,0)</f>
        <v>0</v>
      </c>
      <c r="O163" s="17">
        <f>_xlfn.XLOOKUP($B163,'[2]Oct-24'!$A:$A,'[2]Oct-24'!$H:$H,0)</f>
        <v>0</v>
      </c>
      <c r="P163" s="17">
        <f>_xlfn.XLOOKUP($B163,'[2]Nov-24'!$A:$A,'[2]Nov-24'!$H:$H,0)</f>
        <v>0</v>
      </c>
      <c r="Q163" s="17">
        <f>_xlfn.XLOOKUP($B163,'[2]Dec-24'!$A:$A,'[2]Dec-24'!$H:$H,0)</f>
        <v>0</v>
      </c>
      <c r="R163" s="17">
        <f>_xlfn.XLOOKUP($B163,'[2]Jan-25'!$A:$A,'[2]Jan-25'!$H:$H,0)</f>
        <v>0</v>
      </c>
      <c r="S163" s="17">
        <f>_xlfn.XLOOKUP($B163,'[2]Feb-25'!$A:$A,'[2]Feb-25'!$H:$H,0)</f>
        <v>0</v>
      </c>
      <c r="T163" s="17">
        <f>_xlfn.XLOOKUP($B163,'[2]Mar-25'!$A:$A,'[2]Mar-25'!$H:$H,0)</f>
        <v>0</v>
      </c>
      <c r="U163" s="17">
        <f>_xlfn.XLOOKUP($B163,'[2]Apr-25'!$A:$A,'[2]Apr-25'!$H:$H,0)</f>
        <v>0</v>
      </c>
      <c r="V163" s="17">
        <f>_xlfn.XLOOKUP($B163,'[2]May-25'!$A:$A,'[2]May-25'!$H:$H,0)</f>
        <v>0</v>
      </c>
      <c r="W163" s="17">
        <f>_xlfn.XLOOKUP($B163,'[2]Jun-25'!$A:$A,'[2]Jun-25'!$H:$H,0)</f>
        <v>0</v>
      </c>
      <c r="X163" s="17">
        <f>_xlfn.XLOOKUP($B163,'[2]Jul-25'!$A:$A,'[2]Jul-25'!$H:$H,0)</f>
        <v>0</v>
      </c>
      <c r="Y163" s="17">
        <f>_xlfn.XLOOKUP($B163,'[2]Aug-25'!$A:$A,'[2]Aug-25'!$H:$H,0)</f>
        <v>0</v>
      </c>
      <c r="Z163" s="17">
        <f>_xlfn.XLOOKUP($B163,'[2]Sep-25'!$A:$A,'[2]Sep-25'!$H:$H,0)</f>
        <v>0</v>
      </c>
      <c r="AA163" s="17">
        <f>_xlfn.XLOOKUP($B163,'[2]Oct-25'!$A:$A,'[2]Oct-25'!$H:$H,0)</f>
        <v>0</v>
      </c>
      <c r="AB163" s="17">
        <f>_xlfn.XLOOKUP($B163,'[2]Nov-25'!$A:$A,'[2]Nov-25'!$H:$H,0)</f>
        <v>0</v>
      </c>
      <c r="AC163" s="17">
        <f>_xlfn.XLOOKUP($B163,'[2]Dec-25'!$A:$A,'[2]Dec-25'!$H:$H,0)</f>
        <v>0</v>
      </c>
      <c r="AD163" s="17">
        <f>_xlfn.XLOOKUP($B163,'[2]Jan-26'!$A:$A,'[2]Jan-26'!$H:$H,0)</f>
        <v>0</v>
      </c>
      <c r="AE163" s="17">
        <f>_xlfn.XLOOKUP($B163,'[2]Feb-26'!$A:$A,'[2]Feb-26'!$H:$H,0)</f>
        <v>0</v>
      </c>
      <c r="AF163" s="17">
        <f>_xlfn.XLOOKUP($B163,'[2]Mar-26'!$A:$A,'[2]Mar-26'!$H:$H,0)</f>
        <v>0</v>
      </c>
      <c r="AG163" s="17">
        <f>_xlfn.XLOOKUP($B163,'[2]Apr-26'!$A:$A,'[2]Apr-26'!$H:$H,0)</f>
        <v>0</v>
      </c>
    </row>
    <row r="164" spans="1:33" x14ac:dyDescent="0.2">
      <c r="A164" s="58">
        <v>51440</v>
      </c>
      <c r="B164" s="56" t="str">
        <f t="shared" si="4"/>
        <v>51440</v>
      </c>
      <c r="C164" s="57" t="s">
        <v>389</v>
      </c>
      <c r="D164" s="57" t="s">
        <v>387</v>
      </c>
      <c r="E164" s="44" t="s">
        <v>852</v>
      </c>
      <c r="F164" s="17">
        <f>_xlfn.XLOOKUP($B164,'[2]Jan-24'!$A:$A,'[2]Jan-24'!$H:$H,0)</f>
        <v>0</v>
      </c>
      <c r="G164" s="17">
        <f>_xlfn.XLOOKUP($B164,'[2]Feb-24'!$A:$A,'[2]Feb-24'!$H:$H,0)</f>
        <v>0</v>
      </c>
      <c r="H164" s="17">
        <f>_xlfn.XLOOKUP($B164,'[2]Mar-24'!$A:$A,'[2]Mar-24'!$H:$H,0)</f>
        <v>0</v>
      </c>
      <c r="I164" s="17">
        <f>_xlfn.XLOOKUP($B164,'[2]Apr-24'!$A:$A,'[2]Apr-24'!$H:$H,0)</f>
        <v>0</v>
      </c>
      <c r="J164" s="17">
        <f>_xlfn.XLOOKUP($B164,'[2]May-24'!$A:$A,'[2]May-24'!$H:$H,0)</f>
        <v>0</v>
      </c>
      <c r="K164" s="17">
        <f>_xlfn.XLOOKUP($B164,'[2]Jun-24'!$A:$A,'[2]Jun-24'!$H:$H,0)</f>
        <v>0</v>
      </c>
      <c r="L164" s="17">
        <f>_xlfn.XLOOKUP($B164,'[2]Jul-24'!$A:$A,'[2]Jul-24'!$H:$H,0)</f>
        <v>0</v>
      </c>
      <c r="M164" s="17">
        <f>_xlfn.XLOOKUP($B164,'[2]Aug-24'!$A:$A,'[2]Aug-24'!$H:$H,0)</f>
        <v>0</v>
      </c>
      <c r="N164" s="17">
        <f>_xlfn.XLOOKUP($B164,'[2]Sep-24'!$A:$A,'[2]Sep-24'!$H:$H,0)</f>
        <v>0</v>
      </c>
      <c r="O164" s="17">
        <f>_xlfn.XLOOKUP($B164,'[2]Oct-24'!$A:$A,'[2]Oct-24'!$H:$H,0)</f>
        <v>0</v>
      </c>
      <c r="P164" s="17">
        <f>_xlfn.XLOOKUP($B164,'[2]Nov-24'!$A:$A,'[2]Nov-24'!$H:$H,0)</f>
        <v>0</v>
      </c>
      <c r="Q164" s="17">
        <f>_xlfn.XLOOKUP($B164,'[2]Dec-24'!$A:$A,'[2]Dec-24'!$H:$H,0)</f>
        <v>0</v>
      </c>
      <c r="R164" s="17">
        <f>_xlfn.XLOOKUP($B164,'[2]Jan-25'!$A:$A,'[2]Jan-25'!$H:$H,0)</f>
        <v>0</v>
      </c>
      <c r="S164" s="17">
        <f>_xlfn.XLOOKUP($B164,'[2]Feb-25'!$A:$A,'[2]Feb-25'!$H:$H,0)</f>
        <v>0</v>
      </c>
      <c r="T164" s="17">
        <f>_xlfn.XLOOKUP($B164,'[2]Mar-25'!$A:$A,'[2]Mar-25'!$H:$H,0)</f>
        <v>0</v>
      </c>
      <c r="U164" s="17">
        <f>_xlfn.XLOOKUP($B164,'[2]Apr-25'!$A:$A,'[2]Apr-25'!$H:$H,0)</f>
        <v>0</v>
      </c>
      <c r="V164" s="17">
        <f>_xlfn.XLOOKUP($B164,'[2]May-25'!$A:$A,'[2]May-25'!$H:$H,0)</f>
        <v>0</v>
      </c>
      <c r="W164" s="17">
        <f>_xlfn.XLOOKUP($B164,'[2]Jun-25'!$A:$A,'[2]Jun-25'!$H:$H,0)</f>
        <v>0</v>
      </c>
      <c r="X164" s="17">
        <f>_xlfn.XLOOKUP($B164,'[2]Jul-25'!$A:$A,'[2]Jul-25'!$H:$H,0)</f>
        <v>0</v>
      </c>
      <c r="Y164" s="17">
        <f>_xlfn.XLOOKUP($B164,'[2]Aug-25'!$A:$A,'[2]Aug-25'!$H:$H,0)</f>
        <v>0</v>
      </c>
      <c r="Z164" s="17">
        <f>_xlfn.XLOOKUP($B164,'[2]Sep-25'!$A:$A,'[2]Sep-25'!$H:$H,0)</f>
        <v>0</v>
      </c>
      <c r="AA164" s="17">
        <f>_xlfn.XLOOKUP($B164,'[2]Oct-25'!$A:$A,'[2]Oct-25'!$H:$H,0)</f>
        <v>0</v>
      </c>
      <c r="AB164" s="17">
        <f>_xlfn.XLOOKUP($B164,'[2]Nov-25'!$A:$A,'[2]Nov-25'!$H:$H,0)</f>
        <v>0</v>
      </c>
      <c r="AC164" s="17">
        <f>_xlfn.XLOOKUP($B164,'[2]Dec-25'!$A:$A,'[2]Dec-25'!$H:$H,0)</f>
        <v>0</v>
      </c>
      <c r="AD164" s="17">
        <f>_xlfn.XLOOKUP($B164,'[2]Jan-26'!$A:$A,'[2]Jan-26'!$H:$H,0)</f>
        <v>0</v>
      </c>
      <c r="AE164" s="17">
        <f>_xlfn.XLOOKUP($B164,'[2]Feb-26'!$A:$A,'[2]Feb-26'!$H:$H,0)</f>
        <v>0</v>
      </c>
      <c r="AF164" s="17">
        <f>_xlfn.XLOOKUP($B164,'[2]Mar-26'!$A:$A,'[2]Mar-26'!$H:$H,0)</f>
        <v>0</v>
      </c>
      <c r="AG164" s="17">
        <f>_xlfn.XLOOKUP($B164,'[2]Apr-26'!$A:$A,'[2]Apr-26'!$H:$H,0)</f>
        <v>0</v>
      </c>
    </row>
    <row r="165" spans="1:33" x14ac:dyDescent="0.2">
      <c r="A165" s="58">
        <v>51450</v>
      </c>
      <c r="B165" s="56" t="str">
        <f t="shared" si="4"/>
        <v>51450</v>
      </c>
      <c r="C165" s="57" t="s">
        <v>389</v>
      </c>
      <c r="D165" s="57" t="s">
        <v>387</v>
      </c>
      <c r="E165" s="44" t="s">
        <v>853</v>
      </c>
      <c r="F165" s="17">
        <f>_xlfn.XLOOKUP($B165,'[2]Jan-24'!$A:$A,'[2]Jan-24'!$H:$H,0)</f>
        <v>0</v>
      </c>
      <c r="G165" s="17">
        <f>_xlfn.XLOOKUP($B165,'[2]Feb-24'!$A:$A,'[2]Feb-24'!$H:$H,0)</f>
        <v>0</v>
      </c>
      <c r="H165" s="17">
        <f>_xlfn.XLOOKUP($B165,'[2]Mar-24'!$A:$A,'[2]Mar-24'!$H:$H,0)</f>
        <v>0</v>
      </c>
      <c r="I165" s="17">
        <f>_xlfn.XLOOKUP($B165,'[2]Apr-24'!$A:$A,'[2]Apr-24'!$H:$H,0)</f>
        <v>0</v>
      </c>
      <c r="J165" s="17">
        <f>_xlfn.XLOOKUP($B165,'[2]May-24'!$A:$A,'[2]May-24'!$H:$H,0)</f>
        <v>0</v>
      </c>
      <c r="K165" s="17">
        <f>_xlfn.XLOOKUP($B165,'[2]Jun-24'!$A:$A,'[2]Jun-24'!$H:$H,0)</f>
        <v>0</v>
      </c>
      <c r="L165" s="17">
        <f>_xlfn.XLOOKUP($B165,'[2]Jul-24'!$A:$A,'[2]Jul-24'!$H:$H,0)</f>
        <v>0</v>
      </c>
      <c r="M165" s="17">
        <f>_xlfn.XLOOKUP($B165,'[2]Aug-24'!$A:$A,'[2]Aug-24'!$H:$H,0)</f>
        <v>0</v>
      </c>
      <c r="N165" s="17">
        <f>_xlfn.XLOOKUP($B165,'[2]Sep-24'!$A:$A,'[2]Sep-24'!$H:$H,0)</f>
        <v>0</v>
      </c>
      <c r="O165" s="17">
        <f>_xlfn.XLOOKUP($B165,'[2]Oct-24'!$A:$A,'[2]Oct-24'!$H:$H,0)</f>
        <v>0</v>
      </c>
      <c r="P165" s="17">
        <f>_xlfn.XLOOKUP($B165,'[2]Nov-24'!$A:$A,'[2]Nov-24'!$H:$H,0)</f>
        <v>0</v>
      </c>
      <c r="Q165" s="17">
        <f>_xlfn.XLOOKUP($B165,'[2]Dec-24'!$A:$A,'[2]Dec-24'!$H:$H,0)</f>
        <v>0</v>
      </c>
      <c r="R165" s="17">
        <f>_xlfn.XLOOKUP($B165,'[2]Jan-25'!$A:$A,'[2]Jan-25'!$H:$H,0)</f>
        <v>0</v>
      </c>
      <c r="S165" s="17">
        <f>_xlfn.XLOOKUP($B165,'[2]Feb-25'!$A:$A,'[2]Feb-25'!$H:$H,0)</f>
        <v>0</v>
      </c>
      <c r="T165" s="17">
        <f>_xlfn.XLOOKUP($B165,'[2]Mar-25'!$A:$A,'[2]Mar-25'!$H:$H,0)</f>
        <v>0</v>
      </c>
      <c r="U165" s="17">
        <f>_xlfn.XLOOKUP($B165,'[2]Apr-25'!$A:$A,'[2]Apr-25'!$H:$H,0)</f>
        <v>0</v>
      </c>
      <c r="V165" s="17">
        <f>_xlfn.XLOOKUP($B165,'[2]May-25'!$A:$A,'[2]May-25'!$H:$H,0)</f>
        <v>0</v>
      </c>
      <c r="W165" s="17">
        <f>_xlfn.XLOOKUP($B165,'[2]Jun-25'!$A:$A,'[2]Jun-25'!$H:$H,0)</f>
        <v>0</v>
      </c>
      <c r="X165" s="17">
        <f>_xlfn.XLOOKUP($B165,'[2]Jul-25'!$A:$A,'[2]Jul-25'!$H:$H,0)</f>
        <v>0</v>
      </c>
      <c r="Y165" s="17">
        <f>_xlfn.XLOOKUP($B165,'[2]Aug-25'!$A:$A,'[2]Aug-25'!$H:$H,0)</f>
        <v>0</v>
      </c>
      <c r="Z165" s="17">
        <f>_xlfn.XLOOKUP($B165,'[2]Sep-25'!$A:$A,'[2]Sep-25'!$H:$H,0)</f>
        <v>0</v>
      </c>
      <c r="AA165" s="17">
        <f>_xlfn.XLOOKUP($B165,'[2]Oct-25'!$A:$A,'[2]Oct-25'!$H:$H,0)</f>
        <v>0</v>
      </c>
      <c r="AB165" s="17">
        <f>_xlfn.XLOOKUP($B165,'[2]Nov-25'!$A:$A,'[2]Nov-25'!$H:$H,0)</f>
        <v>0</v>
      </c>
      <c r="AC165" s="17">
        <f>_xlfn.XLOOKUP($B165,'[2]Dec-25'!$A:$A,'[2]Dec-25'!$H:$H,0)</f>
        <v>0</v>
      </c>
      <c r="AD165" s="17">
        <f>_xlfn.XLOOKUP($B165,'[2]Jan-26'!$A:$A,'[2]Jan-26'!$H:$H,0)</f>
        <v>0</v>
      </c>
      <c r="AE165" s="17">
        <f>_xlfn.XLOOKUP($B165,'[2]Feb-26'!$A:$A,'[2]Feb-26'!$H:$H,0)</f>
        <v>0</v>
      </c>
      <c r="AF165" s="17">
        <f>_xlfn.XLOOKUP($B165,'[2]Mar-26'!$A:$A,'[2]Mar-26'!$H:$H,0)</f>
        <v>0</v>
      </c>
      <c r="AG165" s="17">
        <f>_xlfn.XLOOKUP($B165,'[2]Apr-26'!$A:$A,'[2]Apr-26'!$H:$H,0)</f>
        <v>0</v>
      </c>
    </row>
    <row r="166" spans="1:33" x14ac:dyDescent="0.2">
      <c r="A166" s="58">
        <v>51460</v>
      </c>
      <c r="B166" s="56" t="str">
        <f t="shared" si="4"/>
        <v>51460</v>
      </c>
      <c r="C166" s="57" t="s">
        <v>629</v>
      </c>
      <c r="D166" s="57" t="s">
        <v>387</v>
      </c>
      <c r="E166" s="44" t="s">
        <v>854</v>
      </c>
      <c r="F166" s="17">
        <f>_xlfn.XLOOKUP($B166,'[2]Jan-24'!$A:$A,'[2]Jan-24'!$H:$H,0)</f>
        <v>0</v>
      </c>
      <c r="G166" s="17">
        <f>_xlfn.XLOOKUP($B166,'[2]Feb-24'!$A:$A,'[2]Feb-24'!$H:$H,0)</f>
        <v>0</v>
      </c>
      <c r="H166" s="17">
        <f>_xlfn.XLOOKUP($B166,'[2]Mar-24'!$A:$A,'[2]Mar-24'!$H:$H,0)</f>
        <v>0</v>
      </c>
      <c r="I166" s="17">
        <f>_xlfn.XLOOKUP($B166,'[2]Apr-24'!$A:$A,'[2]Apr-24'!$H:$H,0)</f>
        <v>0</v>
      </c>
      <c r="J166" s="17">
        <f>_xlfn.XLOOKUP($B166,'[2]May-24'!$A:$A,'[2]May-24'!$H:$H,0)</f>
        <v>0</v>
      </c>
      <c r="K166" s="17">
        <f>_xlfn.XLOOKUP($B166,'[2]Jun-24'!$A:$A,'[2]Jun-24'!$H:$H,0)</f>
        <v>0</v>
      </c>
      <c r="L166" s="17">
        <f>_xlfn.XLOOKUP($B166,'[2]Jul-24'!$A:$A,'[2]Jul-24'!$H:$H,0)</f>
        <v>0</v>
      </c>
      <c r="M166" s="17">
        <f>_xlfn.XLOOKUP($B166,'[2]Aug-24'!$A:$A,'[2]Aug-24'!$H:$H,0)</f>
        <v>0</v>
      </c>
      <c r="N166" s="17">
        <f>_xlfn.XLOOKUP($B166,'[2]Sep-24'!$A:$A,'[2]Sep-24'!$H:$H,0)</f>
        <v>0</v>
      </c>
      <c r="O166" s="17">
        <f>_xlfn.XLOOKUP($B166,'[2]Oct-24'!$A:$A,'[2]Oct-24'!$H:$H,0)</f>
        <v>0</v>
      </c>
      <c r="P166" s="17">
        <f>_xlfn.XLOOKUP($B166,'[2]Nov-24'!$A:$A,'[2]Nov-24'!$H:$H,0)</f>
        <v>0</v>
      </c>
      <c r="Q166" s="17">
        <f>_xlfn.XLOOKUP($B166,'[2]Dec-24'!$A:$A,'[2]Dec-24'!$H:$H,0)</f>
        <v>0</v>
      </c>
      <c r="R166" s="17">
        <f>_xlfn.XLOOKUP($B166,'[2]Jan-25'!$A:$A,'[2]Jan-25'!$H:$H,0)</f>
        <v>0</v>
      </c>
      <c r="S166" s="17">
        <f>_xlfn.XLOOKUP($B166,'[2]Feb-25'!$A:$A,'[2]Feb-25'!$H:$H,0)</f>
        <v>0</v>
      </c>
      <c r="T166" s="17">
        <f>_xlfn.XLOOKUP($B166,'[2]Mar-25'!$A:$A,'[2]Mar-25'!$H:$H,0)</f>
        <v>0</v>
      </c>
      <c r="U166" s="17">
        <f>_xlfn.XLOOKUP($B166,'[2]Apr-25'!$A:$A,'[2]Apr-25'!$H:$H,0)</f>
        <v>0</v>
      </c>
      <c r="V166" s="17">
        <f>_xlfn.XLOOKUP($B166,'[2]May-25'!$A:$A,'[2]May-25'!$H:$H,0)</f>
        <v>0</v>
      </c>
      <c r="W166" s="17">
        <f>_xlfn.XLOOKUP($B166,'[2]Jun-25'!$A:$A,'[2]Jun-25'!$H:$H,0)</f>
        <v>0</v>
      </c>
      <c r="X166" s="17">
        <f>_xlfn.XLOOKUP($B166,'[2]Jul-25'!$A:$A,'[2]Jul-25'!$H:$H,0)</f>
        <v>0</v>
      </c>
      <c r="Y166" s="17">
        <f>_xlfn.XLOOKUP($B166,'[2]Aug-25'!$A:$A,'[2]Aug-25'!$H:$H,0)</f>
        <v>0</v>
      </c>
      <c r="Z166" s="17">
        <f>_xlfn.XLOOKUP($B166,'[2]Sep-25'!$A:$A,'[2]Sep-25'!$H:$H,0)</f>
        <v>0</v>
      </c>
      <c r="AA166" s="17">
        <f>_xlfn.XLOOKUP($B166,'[2]Oct-25'!$A:$A,'[2]Oct-25'!$H:$H,0)</f>
        <v>0</v>
      </c>
      <c r="AB166" s="17">
        <f>_xlfn.XLOOKUP($B166,'[2]Nov-25'!$A:$A,'[2]Nov-25'!$H:$H,0)</f>
        <v>0</v>
      </c>
      <c r="AC166" s="17">
        <f>_xlfn.XLOOKUP($B166,'[2]Dec-25'!$A:$A,'[2]Dec-25'!$H:$H,0)</f>
        <v>0</v>
      </c>
      <c r="AD166" s="17">
        <f>_xlfn.XLOOKUP($B166,'[2]Jan-26'!$A:$A,'[2]Jan-26'!$H:$H,0)</f>
        <v>0</v>
      </c>
      <c r="AE166" s="17">
        <f>_xlfn.XLOOKUP($B166,'[2]Feb-26'!$A:$A,'[2]Feb-26'!$H:$H,0)</f>
        <v>0</v>
      </c>
      <c r="AF166" s="17">
        <f>_xlfn.XLOOKUP($B166,'[2]Mar-26'!$A:$A,'[2]Mar-26'!$H:$H,0)</f>
        <v>0</v>
      </c>
      <c r="AG166" s="17">
        <f>_xlfn.XLOOKUP($B166,'[2]Apr-26'!$A:$A,'[2]Apr-26'!$H:$H,0)</f>
        <v>0</v>
      </c>
    </row>
    <row r="167" spans="1:33" x14ac:dyDescent="0.2">
      <c r="A167" s="58">
        <v>51470</v>
      </c>
      <c r="B167" s="56" t="str">
        <f t="shared" si="4"/>
        <v>51470</v>
      </c>
      <c r="C167" s="57" t="s">
        <v>420</v>
      </c>
      <c r="D167" s="57" t="s">
        <v>387</v>
      </c>
      <c r="E167" s="44" t="s">
        <v>855</v>
      </c>
      <c r="F167" s="17">
        <f>_xlfn.XLOOKUP($B167,'[2]Jan-24'!$A:$A,'[2]Jan-24'!$H:$H,0)</f>
        <v>0</v>
      </c>
      <c r="G167" s="17">
        <f>_xlfn.XLOOKUP($B167,'[2]Feb-24'!$A:$A,'[2]Feb-24'!$H:$H,0)</f>
        <v>0</v>
      </c>
      <c r="H167" s="17">
        <f>_xlfn.XLOOKUP($B167,'[2]Mar-24'!$A:$A,'[2]Mar-24'!$H:$H,0)</f>
        <v>0</v>
      </c>
      <c r="I167" s="17">
        <f>_xlfn.XLOOKUP($B167,'[2]Apr-24'!$A:$A,'[2]Apr-24'!$H:$H,0)</f>
        <v>0</v>
      </c>
      <c r="J167" s="17">
        <f>_xlfn.XLOOKUP($B167,'[2]May-24'!$A:$A,'[2]May-24'!$H:$H,0)</f>
        <v>0</v>
      </c>
      <c r="K167" s="17">
        <f>_xlfn.XLOOKUP($B167,'[2]Jun-24'!$A:$A,'[2]Jun-24'!$H:$H,0)</f>
        <v>0</v>
      </c>
      <c r="L167" s="17">
        <f>_xlfn.XLOOKUP($B167,'[2]Jul-24'!$A:$A,'[2]Jul-24'!$H:$H,0)</f>
        <v>0</v>
      </c>
      <c r="M167" s="17">
        <f>_xlfn.XLOOKUP($B167,'[2]Aug-24'!$A:$A,'[2]Aug-24'!$H:$H,0)</f>
        <v>0</v>
      </c>
      <c r="N167" s="17">
        <f>_xlfn.XLOOKUP($B167,'[2]Sep-24'!$A:$A,'[2]Sep-24'!$H:$H,0)</f>
        <v>0</v>
      </c>
      <c r="O167" s="17">
        <f>_xlfn.XLOOKUP($B167,'[2]Oct-24'!$A:$A,'[2]Oct-24'!$H:$H,0)</f>
        <v>0</v>
      </c>
      <c r="P167" s="17">
        <f>_xlfn.XLOOKUP($B167,'[2]Nov-24'!$A:$A,'[2]Nov-24'!$H:$H,0)</f>
        <v>0</v>
      </c>
      <c r="Q167" s="17">
        <f>_xlfn.XLOOKUP($B167,'[2]Dec-24'!$A:$A,'[2]Dec-24'!$H:$H,0)</f>
        <v>0</v>
      </c>
      <c r="R167" s="17">
        <f>_xlfn.XLOOKUP($B167,'[2]Jan-25'!$A:$A,'[2]Jan-25'!$H:$H,0)</f>
        <v>0</v>
      </c>
      <c r="S167" s="17">
        <f>_xlfn.XLOOKUP($B167,'[2]Feb-25'!$A:$A,'[2]Feb-25'!$H:$H,0)</f>
        <v>0</v>
      </c>
      <c r="T167" s="17">
        <f>_xlfn.XLOOKUP($B167,'[2]Mar-25'!$A:$A,'[2]Mar-25'!$H:$H,0)</f>
        <v>0</v>
      </c>
      <c r="U167" s="17">
        <f>_xlfn.XLOOKUP($B167,'[2]Apr-25'!$A:$A,'[2]Apr-25'!$H:$H,0)</f>
        <v>0</v>
      </c>
      <c r="V167" s="17">
        <f>_xlfn.XLOOKUP($B167,'[2]May-25'!$A:$A,'[2]May-25'!$H:$H,0)</f>
        <v>0</v>
      </c>
      <c r="W167" s="17">
        <f>_xlfn.XLOOKUP($B167,'[2]Jun-25'!$A:$A,'[2]Jun-25'!$H:$H,0)</f>
        <v>0</v>
      </c>
      <c r="X167" s="17">
        <f>_xlfn.XLOOKUP($B167,'[2]Jul-25'!$A:$A,'[2]Jul-25'!$H:$H,0)</f>
        <v>0</v>
      </c>
      <c r="Y167" s="17">
        <f>_xlfn.XLOOKUP($B167,'[2]Aug-25'!$A:$A,'[2]Aug-25'!$H:$H,0)</f>
        <v>0</v>
      </c>
      <c r="Z167" s="17">
        <f>_xlfn.XLOOKUP($B167,'[2]Sep-25'!$A:$A,'[2]Sep-25'!$H:$H,0)</f>
        <v>0</v>
      </c>
      <c r="AA167" s="17">
        <f>_xlfn.XLOOKUP($B167,'[2]Oct-25'!$A:$A,'[2]Oct-25'!$H:$H,0)</f>
        <v>0</v>
      </c>
      <c r="AB167" s="17">
        <f>_xlfn.XLOOKUP($B167,'[2]Nov-25'!$A:$A,'[2]Nov-25'!$H:$H,0)</f>
        <v>0</v>
      </c>
      <c r="AC167" s="17">
        <f>_xlfn.XLOOKUP($B167,'[2]Dec-25'!$A:$A,'[2]Dec-25'!$H:$H,0)</f>
        <v>0</v>
      </c>
      <c r="AD167" s="17">
        <f>_xlfn.XLOOKUP($B167,'[2]Jan-26'!$A:$A,'[2]Jan-26'!$H:$H,0)</f>
        <v>0</v>
      </c>
      <c r="AE167" s="17">
        <f>_xlfn.XLOOKUP($B167,'[2]Feb-26'!$A:$A,'[2]Feb-26'!$H:$H,0)</f>
        <v>0</v>
      </c>
      <c r="AF167" s="17">
        <f>_xlfn.XLOOKUP($B167,'[2]Mar-26'!$A:$A,'[2]Mar-26'!$H:$H,0)</f>
        <v>0</v>
      </c>
      <c r="AG167" s="17">
        <f>_xlfn.XLOOKUP($B167,'[2]Apr-26'!$A:$A,'[2]Apr-26'!$H:$H,0)</f>
        <v>0</v>
      </c>
    </row>
    <row r="168" spans="1:33" x14ac:dyDescent="0.2">
      <c r="A168" s="58">
        <v>51480</v>
      </c>
      <c r="B168" s="56" t="str">
        <f t="shared" si="4"/>
        <v>51480</v>
      </c>
      <c r="C168" s="57" t="s">
        <v>420</v>
      </c>
      <c r="D168" s="57" t="s">
        <v>387</v>
      </c>
      <c r="E168" s="44" t="s">
        <v>856</v>
      </c>
      <c r="F168" s="17">
        <f>_xlfn.XLOOKUP($B168,'[2]Jan-24'!$A:$A,'[2]Jan-24'!$H:$H,0)</f>
        <v>0</v>
      </c>
      <c r="G168" s="17">
        <f>_xlfn.XLOOKUP($B168,'[2]Feb-24'!$A:$A,'[2]Feb-24'!$H:$H,0)</f>
        <v>0</v>
      </c>
      <c r="H168" s="17">
        <f>_xlfn.XLOOKUP($B168,'[2]Mar-24'!$A:$A,'[2]Mar-24'!$H:$H,0)</f>
        <v>0</v>
      </c>
      <c r="I168" s="17">
        <f>_xlfn.XLOOKUP($B168,'[2]Apr-24'!$A:$A,'[2]Apr-24'!$H:$H,0)</f>
        <v>0</v>
      </c>
      <c r="J168" s="17">
        <f>_xlfn.XLOOKUP($B168,'[2]May-24'!$A:$A,'[2]May-24'!$H:$H,0)</f>
        <v>0</v>
      </c>
      <c r="K168" s="17">
        <f>_xlfn.XLOOKUP($B168,'[2]Jun-24'!$A:$A,'[2]Jun-24'!$H:$H,0)</f>
        <v>0</v>
      </c>
      <c r="L168" s="17">
        <f>_xlfn.XLOOKUP($B168,'[2]Jul-24'!$A:$A,'[2]Jul-24'!$H:$H,0)</f>
        <v>0</v>
      </c>
      <c r="M168" s="17">
        <f>_xlfn.XLOOKUP($B168,'[2]Aug-24'!$A:$A,'[2]Aug-24'!$H:$H,0)</f>
        <v>0</v>
      </c>
      <c r="N168" s="17">
        <f>_xlfn.XLOOKUP($B168,'[2]Sep-24'!$A:$A,'[2]Sep-24'!$H:$H,0)</f>
        <v>0</v>
      </c>
      <c r="O168" s="17">
        <f>_xlfn.XLOOKUP($B168,'[2]Oct-24'!$A:$A,'[2]Oct-24'!$H:$H,0)</f>
        <v>0</v>
      </c>
      <c r="P168" s="17">
        <f>_xlfn.XLOOKUP($B168,'[2]Nov-24'!$A:$A,'[2]Nov-24'!$H:$H,0)</f>
        <v>0</v>
      </c>
      <c r="Q168" s="17">
        <f>_xlfn.XLOOKUP($B168,'[2]Dec-24'!$A:$A,'[2]Dec-24'!$H:$H,0)</f>
        <v>0</v>
      </c>
      <c r="R168" s="17">
        <f>_xlfn.XLOOKUP($B168,'[2]Jan-25'!$A:$A,'[2]Jan-25'!$H:$H,0)</f>
        <v>0</v>
      </c>
      <c r="S168" s="17">
        <f>_xlfn.XLOOKUP($B168,'[2]Feb-25'!$A:$A,'[2]Feb-25'!$H:$H,0)</f>
        <v>0</v>
      </c>
      <c r="T168" s="17">
        <f>_xlfn.XLOOKUP($B168,'[2]Mar-25'!$A:$A,'[2]Mar-25'!$H:$H,0)</f>
        <v>0</v>
      </c>
      <c r="U168" s="17">
        <f>_xlfn.XLOOKUP($B168,'[2]Apr-25'!$A:$A,'[2]Apr-25'!$H:$H,0)</f>
        <v>0</v>
      </c>
      <c r="V168" s="17">
        <f>_xlfn.XLOOKUP($B168,'[2]May-25'!$A:$A,'[2]May-25'!$H:$H,0)</f>
        <v>0</v>
      </c>
      <c r="W168" s="17">
        <f>_xlfn.XLOOKUP($B168,'[2]Jun-25'!$A:$A,'[2]Jun-25'!$H:$H,0)</f>
        <v>0</v>
      </c>
      <c r="X168" s="17">
        <f>_xlfn.XLOOKUP($B168,'[2]Jul-25'!$A:$A,'[2]Jul-25'!$H:$H,0)</f>
        <v>0</v>
      </c>
      <c r="Y168" s="17">
        <f>_xlfn.XLOOKUP($B168,'[2]Aug-25'!$A:$A,'[2]Aug-25'!$H:$H,0)</f>
        <v>0</v>
      </c>
      <c r="Z168" s="17">
        <f>_xlfn.XLOOKUP($B168,'[2]Sep-25'!$A:$A,'[2]Sep-25'!$H:$H,0)</f>
        <v>0</v>
      </c>
      <c r="AA168" s="17">
        <f>_xlfn.XLOOKUP($B168,'[2]Oct-25'!$A:$A,'[2]Oct-25'!$H:$H,0)</f>
        <v>0</v>
      </c>
      <c r="AB168" s="17">
        <f>_xlfn.XLOOKUP($B168,'[2]Nov-25'!$A:$A,'[2]Nov-25'!$H:$H,0)</f>
        <v>0</v>
      </c>
      <c r="AC168" s="17">
        <f>_xlfn.XLOOKUP($B168,'[2]Dec-25'!$A:$A,'[2]Dec-25'!$H:$H,0)</f>
        <v>0</v>
      </c>
      <c r="AD168" s="17">
        <f>_xlfn.XLOOKUP($B168,'[2]Jan-26'!$A:$A,'[2]Jan-26'!$H:$H,0)</f>
        <v>0</v>
      </c>
      <c r="AE168" s="17">
        <f>_xlfn.XLOOKUP($B168,'[2]Feb-26'!$A:$A,'[2]Feb-26'!$H:$H,0)</f>
        <v>0</v>
      </c>
      <c r="AF168" s="17">
        <f>_xlfn.XLOOKUP($B168,'[2]Mar-26'!$A:$A,'[2]Mar-26'!$H:$H,0)</f>
        <v>0</v>
      </c>
      <c r="AG168" s="17">
        <f>_xlfn.XLOOKUP($B168,'[2]Apr-26'!$A:$A,'[2]Apr-26'!$H:$H,0)</f>
        <v>0</v>
      </c>
    </row>
    <row r="169" spans="1:33" x14ac:dyDescent="0.2">
      <c r="A169" s="58">
        <v>51490</v>
      </c>
      <c r="B169" s="56" t="str">
        <f t="shared" si="4"/>
        <v>51490</v>
      </c>
      <c r="C169" s="57" t="s">
        <v>420</v>
      </c>
      <c r="D169" s="57" t="s">
        <v>387</v>
      </c>
      <c r="E169" s="44" t="s">
        <v>857</v>
      </c>
      <c r="F169" s="17">
        <f>_xlfn.XLOOKUP($B169,'[2]Jan-24'!$A:$A,'[2]Jan-24'!$H:$H,0)</f>
        <v>84.58</v>
      </c>
      <c r="G169" s="17">
        <f>_xlfn.XLOOKUP($B169,'[2]Feb-24'!$A:$A,'[2]Feb-24'!$H:$H,0)</f>
        <v>84.58</v>
      </c>
      <c r="H169" s="17">
        <f>_xlfn.XLOOKUP($B169,'[2]Mar-24'!$A:$A,'[2]Mar-24'!$H:$H,0)</f>
        <v>84.58</v>
      </c>
      <c r="I169" s="17">
        <f>_xlfn.XLOOKUP($B169,'[2]Apr-24'!$A:$A,'[2]Apr-24'!$H:$H,0)</f>
        <v>84.58</v>
      </c>
      <c r="J169" s="17">
        <f>_xlfn.XLOOKUP($B169,'[2]May-24'!$A:$A,'[2]May-24'!$H:$H,0)</f>
        <v>84.58</v>
      </c>
      <c r="K169" s="17">
        <f>_xlfn.XLOOKUP($B169,'[2]Jun-24'!$A:$A,'[2]Jun-24'!$H:$H,0)</f>
        <v>92.47</v>
      </c>
      <c r="L169" s="17">
        <f>_xlfn.XLOOKUP($B169,'[2]Jul-24'!$A:$A,'[2]Jul-24'!$H:$H,0)</f>
        <v>92.47</v>
      </c>
      <c r="M169" s="17">
        <f>_xlfn.XLOOKUP($B169,'[2]Aug-24'!$A:$A,'[2]Aug-24'!$H:$H,0)</f>
        <v>92.47</v>
      </c>
      <c r="N169" s="17">
        <f>_xlfn.XLOOKUP($B169,'[2]Sep-24'!$A:$A,'[2]Sep-24'!$H:$H,0)</f>
        <v>92.47</v>
      </c>
      <c r="O169" s="17">
        <f>_xlfn.XLOOKUP($B169,'[2]Oct-24'!$A:$A,'[2]Oct-24'!$H:$H,0)</f>
        <v>92.47</v>
      </c>
      <c r="P169" s="17">
        <f>_xlfn.XLOOKUP($B169,'[2]Nov-24'!$A:$A,'[2]Nov-24'!$H:$H,0)</f>
        <v>92.47</v>
      </c>
      <c r="Q169" s="17">
        <f>_xlfn.XLOOKUP($B169,'[2]Dec-24'!$A:$A,'[2]Dec-24'!$H:$H,0)</f>
        <v>92.47</v>
      </c>
      <c r="R169" s="17">
        <f>_xlfn.XLOOKUP($B169,'[2]Jan-25'!$A:$A,'[2]Jan-25'!$H:$H,0)</f>
        <v>92.47</v>
      </c>
      <c r="S169" s="17">
        <f>_xlfn.XLOOKUP($B169,'[2]Feb-25'!$A:$A,'[2]Feb-25'!$H:$H,0)</f>
        <v>92.46999999997206</v>
      </c>
      <c r="T169" s="17">
        <f>_xlfn.XLOOKUP($B169,'[2]Mar-25'!$A:$A,'[2]Mar-25'!$H:$H,0)</f>
        <v>92.47</v>
      </c>
      <c r="U169" s="17">
        <f>_xlfn.XLOOKUP($B169,'[2]Apr-25'!$A:$A,'[2]Apr-25'!$H:$H,0)</f>
        <v>92.470000000000027</v>
      </c>
      <c r="V169" s="17">
        <f>_xlfn.XLOOKUP($B169,'[2]May-25'!$A:$A,'[2]May-25'!$H:$H,0)</f>
        <v>92.47</v>
      </c>
      <c r="W169" s="17">
        <f>_xlfn.XLOOKUP($B169,'[2]Jun-25'!$A:$A,'[2]Jun-25'!$H:$H,0)</f>
        <v>92.47</v>
      </c>
      <c r="X169" s="17">
        <f>_xlfn.XLOOKUP($B169,'[2]Jul-25'!$A:$A,'[2]Jul-25'!$H:$H,0)</f>
        <v>92.47</v>
      </c>
      <c r="Y169" s="17">
        <f>_xlfn.XLOOKUP($B169,'[2]Aug-25'!$A:$A,'[2]Aug-25'!$H:$H,0)</f>
        <v>92.47</v>
      </c>
      <c r="Z169" s="17">
        <f>_xlfn.XLOOKUP($B169,'[2]Sep-25'!$A:$A,'[2]Sep-25'!$H:$H,0)</f>
        <v>92.47</v>
      </c>
      <c r="AA169" s="17">
        <f>_xlfn.XLOOKUP($B169,'[2]Oct-25'!$A:$A,'[2]Oct-25'!$H:$H,0)</f>
        <v>92.47</v>
      </c>
      <c r="AB169" s="17">
        <f>_xlfn.XLOOKUP($B169,'[2]Nov-25'!$A:$A,'[2]Nov-25'!$H:$H,0)</f>
        <v>92.47</v>
      </c>
      <c r="AC169" s="17">
        <f>_xlfn.XLOOKUP($B169,'[2]Dec-25'!$A:$A,'[2]Dec-25'!$H:$H,0)</f>
        <v>92.47</v>
      </c>
      <c r="AD169" s="17">
        <f>_xlfn.XLOOKUP($B169,'[2]Jan-26'!$A:$A,'[2]Jan-26'!$H:$H,0)</f>
        <v>92.47</v>
      </c>
      <c r="AE169" s="17">
        <f>_xlfn.XLOOKUP($B169,'[2]Feb-26'!$A:$A,'[2]Feb-26'!$H:$H,0)</f>
        <v>92.47</v>
      </c>
      <c r="AF169" s="17">
        <f>_xlfn.XLOOKUP($B169,'[2]Mar-26'!$A:$A,'[2]Mar-26'!$H:$H,0)</f>
        <v>92.47</v>
      </c>
      <c r="AG169" s="17">
        <f>_xlfn.XLOOKUP($B169,'[2]Apr-26'!$A:$A,'[2]Apr-26'!$H:$H,0)</f>
        <v>92.47</v>
      </c>
    </row>
    <row r="170" spans="1:33" x14ac:dyDescent="0.2">
      <c r="A170" s="58">
        <v>51500</v>
      </c>
      <c r="B170" s="56" t="str">
        <f t="shared" si="4"/>
        <v>51500</v>
      </c>
      <c r="C170" s="57" t="s">
        <v>389</v>
      </c>
      <c r="D170" s="57" t="s">
        <v>387</v>
      </c>
      <c r="E170" s="44" t="s">
        <v>858</v>
      </c>
      <c r="F170" s="17">
        <f>_xlfn.XLOOKUP($B170,'[2]Jan-24'!$A:$A,'[2]Jan-24'!$H:$H,0)</f>
        <v>0</v>
      </c>
      <c r="G170" s="17">
        <f>_xlfn.XLOOKUP($B170,'[2]Feb-24'!$A:$A,'[2]Feb-24'!$H:$H,0)</f>
        <v>0</v>
      </c>
      <c r="H170" s="17">
        <f>_xlfn.XLOOKUP($B170,'[2]Mar-24'!$A:$A,'[2]Mar-24'!$H:$H,0)</f>
        <v>0</v>
      </c>
      <c r="I170" s="17">
        <f>_xlfn.XLOOKUP($B170,'[2]Apr-24'!$A:$A,'[2]Apr-24'!$H:$H,0)</f>
        <v>0</v>
      </c>
      <c r="J170" s="17">
        <f>_xlfn.XLOOKUP($B170,'[2]May-24'!$A:$A,'[2]May-24'!$H:$H,0)</f>
        <v>0</v>
      </c>
      <c r="K170" s="17">
        <f>_xlfn.XLOOKUP($B170,'[2]Jun-24'!$A:$A,'[2]Jun-24'!$H:$H,0)</f>
        <v>0</v>
      </c>
      <c r="L170" s="17">
        <f>_xlfn.XLOOKUP($B170,'[2]Jul-24'!$A:$A,'[2]Jul-24'!$H:$H,0)</f>
        <v>0</v>
      </c>
      <c r="M170" s="17">
        <f>_xlfn.XLOOKUP($B170,'[2]Aug-24'!$A:$A,'[2]Aug-24'!$H:$H,0)</f>
        <v>0</v>
      </c>
      <c r="N170" s="17">
        <f>_xlfn.XLOOKUP($B170,'[2]Sep-24'!$A:$A,'[2]Sep-24'!$H:$H,0)</f>
        <v>0</v>
      </c>
      <c r="O170" s="17">
        <f>_xlfn.XLOOKUP($B170,'[2]Oct-24'!$A:$A,'[2]Oct-24'!$H:$H,0)</f>
        <v>0</v>
      </c>
      <c r="P170" s="17">
        <f>_xlfn.XLOOKUP($B170,'[2]Nov-24'!$A:$A,'[2]Nov-24'!$H:$H,0)</f>
        <v>0</v>
      </c>
      <c r="Q170" s="17">
        <f>_xlfn.XLOOKUP($B170,'[2]Dec-24'!$A:$A,'[2]Dec-24'!$H:$H,0)</f>
        <v>0</v>
      </c>
      <c r="R170" s="17">
        <f>_xlfn.XLOOKUP($B170,'[2]Jan-25'!$A:$A,'[2]Jan-25'!$H:$H,0)</f>
        <v>0</v>
      </c>
      <c r="S170" s="17">
        <f>_xlfn.XLOOKUP($B170,'[2]Feb-25'!$A:$A,'[2]Feb-25'!$H:$H,0)</f>
        <v>0</v>
      </c>
      <c r="T170" s="17">
        <f>_xlfn.XLOOKUP($B170,'[2]Mar-25'!$A:$A,'[2]Mar-25'!$H:$H,0)</f>
        <v>0</v>
      </c>
      <c r="U170" s="17">
        <f>_xlfn.XLOOKUP($B170,'[2]Apr-25'!$A:$A,'[2]Apr-25'!$H:$H,0)</f>
        <v>0</v>
      </c>
      <c r="V170" s="17">
        <f>_xlfn.XLOOKUP($B170,'[2]May-25'!$A:$A,'[2]May-25'!$H:$H,0)</f>
        <v>0</v>
      </c>
      <c r="W170" s="17">
        <f>_xlfn.XLOOKUP($B170,'[2]Jun-25'!$A:$A,'[2]Jun-25'!$H:$H,0)</f>
        <v>0</v>
      </c>
      <c r="X170" s="17">
        <f>_xlfn.XLOOKUP($B170,'[2]Jul-25'!$A:$A,'[2]Jul-25'!$H:$H,0)</f>
        <v>0</v>
      </c>
      <c r="Y170" s="17">
        <f>_xlfn.XLOOKUP($B170,'[2]Aug-25'!$A:$A,'[2]Aug-25'!$H:$H,0)</f>
        <v>0</v>
      </c>
      <c r="Z170" s="17">
        <f>_xlfn.XLOOKUP($B170,'[2]Sep-25'!$A:$A,'[2]Sep-25'!$H:$H,0)</f>
        <v>0</v>
      </c>
      <c r="AA170" s="17">
        <f>_xlfn.XLOOKUP($B170,'[2]Oct-25'!$A:$A,'[2]Oct-25'!$H:$H,0)</f>
        <v>0</v>
      </c>
      <c r="AB170" s="17">
        <f>_xlfn.XLOOKUP($B170,'[2]Nov-25'!$A:$A,'[2]Nov-25'!$H:$H,0)</f>
        <v>0</v>
      </c>
      <c r="AC170" s="17">
        <f>_xlfn.XLOOKUP($B170,'[2]Dec-25'!$A:$A,'[2]Dec-25'!$H:$H,0)</f>
        <v>0</v>
      </c>
      <c r="AD170" s="17">
        <f>_xlfn.XLOOKUP($B170,'[2]Jan-26'!$A:$A,'[2]Jan-26'!$H:$H,0)</f>
        <v>0</v>
      </c>
      <c r="AE170" s="17">
        <f>_xlfn.XLOOKUP($B170,'[2]Feb-26'!$A:$A,'[2]Feb-26'!$H:$H,0)</f>
        <v>0</v>
      </c>
      <c r="AF170" s="17">
        <f>_xlfn.XLOOKUP($B170,'[2]Mar-26'!$A:$A,'[2]Mar-26'!$H:$H,0)</f>
        <v>0</v>
      </c>
      <c r="AG170" s="17">
        <f>_xlfn.XLOOKUP($B170,'[2]Apr-26'!$A:$A,'[2]Apr-26'!$H:$H,0)</f>
        <v>0</v>
      </c>
    </row>
    <row r="171" spans="1:33" x14ac:dyDescent="0.2">
      <c r="A171" s="58">
        <v>51510</v>
      </c>
      <c r="B171" s="56" t="str">
        <f t="shared" si="4"/>
        <v>51510</v>
      </c>
      <c r="C171" s="57" t="s">
        <v>420</v>
      </c>
      <c r="D171" s="57" t="s">
        <v>387</v>
      </c>
      <c r="E171" s="44" t="s">
        <v>859</v>
      </c>
      <c r="F171" s="17">
        <f>_xlfn.XLOOKUP($B171,'[2]Jan-24'!$A:$A,'[2]Jan-24'!$H:$H,0)</f>
        <v>0</v>
      </c>
      <c r="G171" s="17">
        <f>_xlfn.XLOOKUP($B171,'[2]Feb-24'!$A:$A,'[2]Feb-24'!$H:$H,0)</f>
        <v>0</v>
      </c>
      <c r="H171" s="17">
        <f>_xlfn.XLOOKUP($B171,'[2]Mar-24'!$A:$A,'[2]Mar-24'!$H:$H,0)</f>
        <v>0</v>
      </c>
      <c r="I171" s="17">
        <f>_xlfn.XLOOKUP($B171,'[2]Apr-24'!$A:$A,'[2]Apr-24'!$H:$H,0)</f>
        <v>0</v>
      </c>
      <c r="J171" s="17">
        <f>_xlfn.XLOOKUP($B171,'[2]May-24'!$A:$A,'[2]May-24'!$H:$H,0)</f>
        <v>0</v>
      </c>
      <c r="K171" s="17">
        <f>_xlfn.XLOOKUP($B171,'[2]Jun-24'!$A:$A,'[2]Jun-24'!$H:$H,0)</f>
        <v>0</v>
      </c>
      <c r="L171" s="17">
        <f>_xlfn.XLOOKUP($B171,'[2]Jul-24'!$A:$A,'[2]Jul-24'!$H:$H,0)</f>
        <v>0</v>
      </c>
      <c r="M171" s="17">
        <f>_xlfn.XLOOKUP($B171,'[2]Aug-24'!$A:$A,'[2]Aug-24'!$H:$H,0)</f>
        <v>0</v>
      </c>
      <c r="N171" s="17">
        <f>_xlfn.XLOOKUP($B171,'[2]Sep-24'!$A:$A,'[2]Sep-24'!$H:$H,0)</f>
        <v>0</v>
      </c>
      <c r="O171" s="17">
        <f>_xlfn.XLOOKUP($B171,'[2]Oct-24'!$A:$A,'[2]Oct-24'!$H:$H,0)</f>
        <v>0</v>
      </c>
      <c r="P171" s="17">
        <f>_xlfn.XLOOKUP($B171,'[2]Nov-24'!$A:$A,'[2]Nov-24'!$H:$H,0)</f>
        <v>0</v>
      </c>
      <c r="Q171" s="17">
        <f>_xlfn.XLOOKUP($B171,'[2]Dec-24'!$A:$A,'[2]Dec-24'!$H:$H,0)</f>
        <v>0</v>
      </c>
      <c r="R171" s="17">
        <f>_xlfn.XLOOKUP($B171,'[2]Jan-25'!$A:$A,'[2]Jan-25'!$H:$H,0)</f>
        <v>0</v>
      </c>
      <c r="S171" s="17">
        <f>_xlfn.XLOOKUP($B171,'[2]Feb-25'!$A:$A,'[2]Feb-25'!$H:$H,0)</f>
        <v>0</v>
      </c>
      <c r="T171" s="17">
        <f>_xlfn.XLOOKUP($B171,'[2]Mar-25'!$A:$A,'[2]Mar-25'!$H:$H,0)</f>
        <v>0</v>
      </c>
      <c r="U171" s="17">
        <f>_xlfn.XLOOKUP($B171,'[2]Apr-25'!$A:$A,'[2]Apr-25'!$H:$H,0)</f>
        <v>0</v>
      </c>
      <c r="V171" s="17">
        <f>_xlfn.XLOOKUP($B171,'[2]May-25'!$A:$A,'[2]May-25'!$H:$H,0)</f>
        <v>0</v>
      </c>
      <c r="W171" s="17">
        <f>_xlfn.XLOOKUP($B171,'[2]Jun-25'!$A:$A,'[2]Jun-25'!$H:$H,0)</f>
        <v>0</v>
      </c>
      <c r="X171" s="17">
        <f>_xlfn.XLOOKUP($B171,'[2]Jul-25'!$A:$A,'[2]Jul-25'!$H:$H,0)</f>
        <v>0</v>
      </c>
      <c r="Y171" s="17">
        <f>_xlfn.XLOOKUP($B171,'[2]Aug-25'!$A:$A,'[2]Aug-25'!$H:$H,0)</f>
        <v>0</v>
      </c>
      <c r="Z171" s="17">
        <f>_xlfn.XLOOKUP($B171,'[2]Sep-25'!$A:$A,'[2]Sep-25'!$H:$H,0)</f>
        <v>0</v>
      </c>
      <c r="AA171" s="17">
        <f>_xlfn.XLOOKUP($B171,'[2]Oct-25'!$A:$A,'[2]Oct-25'!$H:$H,0)</f>
        <v>0</v>
      </c>
      <c r="AB171" s="17">
        <f>_xlfn.XLOOKUP($B171,'[2]Nov-25'!$A:$A,'[2]Nov-25'!$H:$H,0)</f>
        <v>0</v>
      </c>
      <c r="AC171" s="17">
        <f>_xlfn.XLOOKUP($B171,'[2]Dec-25'!$A:$A,'[2]Dec-25'!$H:$H,0)</f>
        <v>0</v>
      </c>
      <c r="AD171" s="17">
        <f>_xlfn.XLOOKUP($B171,'[2]Jan-26'!$A:$A,'[2]Jan-26'!$H:$H,0)</f>
        <v>0</v>
      </c>
      <c r="AE171" s="17">
        <f>_xlfn.XLOOKUP($B171,'[2]Feb-26'!$A:$A,'[2]Feb-26'!$H:$H,0)</f>
        <v>0</v>
      </c>
      <c r="AF171" s="17">
        <f>_xlfn.XLOOKUP($B171,'[2]Mar-26'!$A:$A,'[2]Mar-26'!$H:$H,0)</f>
        <v>0</v>
      </c>
      <c r="AG171" s="17">
        <f>_xlfn.XLOOKUP($B171,'[2]Apr-26'!$A:$A,'[2]Apr-26'!$H:$H,0)</f>
        <v>0</v>
      </c>
    </row>
    <row r="172" spans="1:33" x14ac:dyDescent="0.2">
      <c r="A172" s="58">
        <v>51530</v>
      </c>
      <c r="B172" s="56" t="str">
        <f t="shared" si="4"/>
        <v>51530</v>
      </c>
      <c r="C172" s="57" t="s">
        <v>565</v>
      </c>
      <c r="D172" s="57" t="s">
        <v>387</v>
      </c>
      <c r="E172" s="44" t="s">
        <v>860</v>
      </c>
      <c r="F172" s="17">
        <f>_xlfn.XLOOKUP($B172,'[2]Jan-24'!$A:$A,'[2]Jan-24'!$H:$H,0)</f>
        <v>169.47</v>
      </c>
      <c r="G172" s="17">
        <f>_xlfn.XLOOKUP($B172,'[2]Feb-24'!$A:$A,'[2]Feb-24'!$H:$H,0)</f>
        <v>169.47</v>
      </c>
      <c r="H172" s="17">
        <f>_xlfn.XLOOKUP($B172,'[2]Mar-24'!$A:$A,'[2]Mar-24'!$H:$H,0)</f>
        <v>279.54000000000002</v>
      </c>
      <c r="I172" s="17">
        <f>_xlfn.XLOOKUP($B172,'[2]Apr-24'!$A:$A,'[2]Apr-24'!$H:$H,0)</f>
        <v>228.87</v>
      </c>
      <c r="J172" s="17">
        <f>_xlfn.XLOOKUP($B172,'[2]May-24'!$A:$A,'[2]May-24'!$H:$H,0)</f>
        <v>228.87</v>
      </c>
      <c r="K172" s="17">
        <f>_xlfn.XLOOKUP($B172,'[2]Jun-24'!$A:$A,'[2]Jun-24'!$H:$H,0)</f>
        <v>382.14</v>
      </c>
      <c r="L172" s="17">
        <f>_xlfn.XLOOKUP($B172,'[2]Jul-24'!$A:$A,'[2]Jul-24'!$H:$H,0)</f>
        <v>367.14</v>
      </c>
      <c r="M172" s="17">
        <f>_xlfn.XLOOKUP($B172,'[2]Aug-24'!$A:$A,'[2]Aug-24'!$H:$H,0)</f>
        <v>353.94</v>
      </c>
      <c r="N172" s="17">
        <f>_xlfn.XLOOKUP($B172,'[2]Sep-24'!$A:$A,'[2]Sep-24'!$H:$H,0)</f>
        <v>279.54000000000002</v>
      </c>
      <c r="O172" s="17">
        <f>_xlfn.XLOOKUP($B172,'[2]Oct-24'!$A:$A,'[2]Oct-24'!$H:$H,0)</f>
        <v>279.54000000000002</v>
      </c>
      <c r="P172" s="17">
        <f>_xlfn.XLOOKUP($B172,'[2]Nov-24'!$A:$A,'[2]Nov-24'!$H:$H,0)</f>
        <v>279.54000000000002</v>
      </c>
      <c r="Q172" s="17">
        <f>_xlfn.XLOOKUP($B172,'[2]Dec-24'!$A:$A,'[2]Dec-24'!$H:$H,0)</f>
        <v>279.54000000000002</v>
      </c>
      <c r="R172" s="17">
        <f>_xlfn.XLOOKUP($B172,'[2]Jan-25'!$A:$A,'[2]Jan-25'!$H:$H,0)</f>
        <v>279.54000000000002</v>
      </c>
      <c r="S172" s="17">
        <f>_xlfn.XLOOKUP($B172,'[2]Feb-25'!$A:$A,'[2]Feb-25'!$H:$H,0)</f>
        <v>279.54000000003725</v>
      </c>
      <c r="T172" s="17">
        <f>_xlfn.XLOOKUP($B172,'[2]Mar-25'!$A:$A,'[2]Mar-25'!$H:$H,0)</f>
        <v>279.54000000000002</v>
      </c>
      <c r="U172" s="17">
        <f>_xlfn.XLOOKUP($B172,'[2]Apr-25'!$A:$A,'[2]Apr-25'!$H:$H,0)</f>
        <v>279.53999999999996</v>
      </c>
      <c r="V172" s="17">
        <f>_xlfn.XLOOKUP($B172,'[2]May-25'!$A:$A,'[2]May-25'!$H:$H,0)</f>
        <v>279.54000000000002</v>
      </c>
      <c r="W172" s="17">
        <f>_xlfn.XLOOKUP($B172,'[2]Jun-25'!$A:$A,'[2]Jun-25'!$H:$H,0)</f>
        <v>169.47</v>
      </c>
      <c r="X172" s="17">
        <f>_xlfn.XLOOKUP($B172,'[2]Jul-25'!$A:$A,'[2]Jul-25'!$H:$H,0)</f>
        <v>169.47</v>
      </c>
      <c r="Y172" s="17">
        <f>_xlfn.XLOOKUP($B172,'[2]Aug-25'!$A:$A,'[2]Aug-25'!$H:$H,0)</f>
        <v>149.85</v>
      </c>
      <c r="Z172" s="17">
        <f>_xlfn.XLOOKUP($B172,'[2]Sep-25'!$A:$A,'[2]Sep-25'!$H:$H,0)</f>
        <v>110.07</v>
      </c>
      <c r="AA172" s="17">
        <f>_xlfn.XLOOKUP($B172,'[2]Oct-25'!$A:$A,'[2]Oct-25'!$H:$H,0)</f>
        <v>110.07</v>
      </c>
      <c r="AB172" s="17">
        <f>_xlfn.XLOOKUP($B172,'[2]Nov-25'!$A:$A,'[2]Nov-25'!$H:$H,0)</f>
        <v>121.47</v>
      </c>
      <c r="AC172" s="17">
        <f>_xlfn.XLOOKUP($B172,'[2]Dec-25'!$A:$A,'[2]Dec-25'!$H:$H,0)</f>
        <v>159.47</v>
      </c>
      <c r="AD172" s="17">
        <f>_xlfn.XLOOKUP($B172,'[2]Jan-26'!$A:$A,'[2]Jan-26'!$H:$H,0)</f>
        <v>159.47</v>
      </c>
      <c r="AE172" s="17">
        <f>_xlfn.XLOOKUP($B172,'[2]Feb-26'!$A:$A,'[2]Feb-26'!$H:$H,0)</f>
        <v>127.47</v>
      </c>
      <c r="AF172" s="17">
        <f>_xlfn.XLOOKUP($B172,'[2]Mar-26'!$A:$A,'[2]Mar-26'!$H:$H,0)</f>
        <v>110.07</v>
      </c>
      <c r="AG172" s="17">
        <f>_xlfn.XLOOKUP($B172,'[2]Apr-26'!$A:$A,'[2]Apr-26'!$H:$H,0)</f>
        <v>110.07</v>
      </c>
    </row>
    <row r="173" spans="1:33" x14ac:dyDescent="0.2">
      <c r="A173" s="58">
        <v>51540</v>
      </c>
      <c r="B173" s="56" t="str">
        <f t="shared" si="4"/>
        <v>51540</v>
      </c>
      <c r="C173" s="57" t="s">
        <v>565</v>
      </c>
      <c r="D173" s="57" t="s">
        <v>387</v>
      </c>
      <c r="E173" s="44" t="s">
        <v>861</v>
      </c>
      <c r="F173" s="17">
        <f>_xlfn.XLOOKUP($B173,'[2]Jan-24'!$A:$A,'[2]Jan-24'!$H:$H,0)</f>
        <v>227.17</v>
      </c>
      <c r="G173" s="17">
        <f>_xlfn.XLOOKUP($B173,'[2]Feb-24'!$A:$A,'[2]Feb-24'!$H:$H,0)</f>
        <v>-768.39</v>
      </c>
      <c r="H173" s="17">
        <f>_xlfn.XLOOKUP($B173,'[2]Mar-24'!$A:$A,'[2]Mar-24'!$H:$H,0)</f>
        <v>159907.56</v>
      </c>
      <c r="I173" s="17">
        <f>_xlfn.XLOOKUP($B173,'[2]Apr-24'!$A:$A,'[2]Apr-24'!$H:$H,0)</f>
        <v>0</v>
      </c>
      <c r="J173" s="17">
        <f>_xlfn.XLOOKUP($B173,'[2]May-24'!$A:$A,'[2]May-24'!$H:$H,0)</f>
        <v>0</v>
      </c>
      <c r="K173" s="17">
        <f>_xlfn.XLOOKUP($B173,'[2]Jun-24'!$A:$A,'[2]Jun-24'!$H:$H,0)</f>
        <v>0</v>
      </c>
      <c r="L173" s="17">
        <f>_xlfn.XLOOKUP($B173,'[2]Jul-24'!$A:$A,'[2]Jul-24'!$H:$H,0)</f>
        <v>0</v>
      </c>
      <c r="M173" s="17">
        <f>_xlfn.XLOOKUP($B173,'[2]Aug-24'!$A:$A,'[2]Aug-24'!$H:$H,0)</f>
        <v>0</v>
      </c>
      <c r="N173" s="17">
        <f>_xlfn.XLOOKUP($B173,'[2]Sep-24'!$A:$A,'[2]Sep-24'!$H:$H,0)</f>
        <v>0</v>
      </c>
      <c r="O173" s="17">
        <f>_xlfn.XLOOKUP($B173,'[2]Oct-24'!$A:$A,'[2]Oct-24'!$H:$H,0)</f>
        <v>28.91</v>
      </c>
      <c r="P173" s="17">
        <f>_xlfn.XLOOKUP($B173,'[2]Nov-24'!$A:$A,'[2]Nov-24'!$H:$H,0)</f>
        <v>0</v>
      </c>
      <c r="Q173" s="17">
        <f>_xlfn.XLOOKUP($B173,'[2]Dec-24'!$A:$A,'[2]Dec-24'!$H:$H,0)</f>
        <v>-89325.35</v>
      </c>
      <c r="R173" s="17">
        <f>_xlfn.XLOOKUP($B173,'[2]Jan-25'!$A:$A,'[2]Jan-25'!$H:$H,0)</f>
        <v>0</v>
      </c>
      <c r="S173" s="17">
        <f>_xlfn.XLOOKUP($B173,'[2]Feb-25'!$A:$A,'[2]Feb-25'!$H:$H,0)</f>
        <v>0</v>
      </c>
      <c r="T173" s="17">
        <f>_xlfn.XLOOKUP($B173,'[2]Mar-25'!$A:$A,'[2]Mar-25'!$H:$H,0)</f>
        <v>0</v>
      </c>
      <c r="U173" s="17">
        <f>_xlfn.XLOOKUP($B173,'[2]Apr-25'!$A:$A,'[2]Apr-25'!$H:$H,0)</f>
        <v>0</v>
      </c>
      <c r="V173" s="17">
        <f>_xlfn.XLOOKUP($B173,'[2]May-25'!$A:$A,'[2]May-25'!$H:$H,0)</f>
        <v>0</v>
      </c>
      <c r="W173" s="17">
        <f>_xlfn.XLOOKUP($B173,'[2]Jun-25'!$A:$A,'[2]Jun-25'!$H:$H,0)</f>
        <v>0</v>
      </c>
      <c r="X173" s="17">
        <f>_xlfn.XLOOKUP($B173,'[2]Jul-25'!$A:$A,'[2]Jul-25'!$H:$H,0)</f>
        <v>0</v>
      </c>
      <c r="Y173" s="17">
        <f>_xlfn.XLOOKUP($B173,'[2]Aug-25'!$A:$A,'[2]Aug-25'!$H:$H,0)</f>
        <v>0</v>
      </c>
      <c r="Z173" s="17">
        <f>_xlfn.XLOOKUP($B173,'[2]Sep-25'!$A:$A,'[2]Sep-25'!$H:$H,0)</f>
        <v>0</v>
      </c>
      <c r="AA173" s="17">
        <f>_xlfn.XLOOKUP($B173,'[2]Oct-25'!$A:$A,'[2]Oct-25'!$H:$H,0)</f>
        <v>0</v>
      </c>
      <c r="AB173" s="17">
        <f>_xlfn.XLOOKUP($B173,'[2]Nov-25'!$A:$A,'[2]Nov-25'!$H:$H,0)</f>
        <v>0</v>
      </c>
      <c r="AC173" s="17">
        <f>_xlfn.XLOOKUP($B173,'[2]Dec-25'!$A:$A,'[2]Dec-25'!$H:$H,0)</f>
        <v>0</v>
      </c>
      <c r="AD173" s="17">
        <f>_xlfn.XLOOKUP($B173,'[2]Jan-26'!$A:$A,'[2]Jan-26'!$H:$H,0)</f>
        <v>0</v>
      </c>
      <c r="AE173" s="17">
        <f>_xlfn.XLOOKUP($B173,'[2]Feb-26'!$A:$A,'[2]Feb-26'!$H:$H,0)</f>
        <v>0</v>
      </c>
      <c r="AF173" s="17">
        <f>_xlfn.XLOOKUP($B173,'[2]Mar-26'!$A:$A,'[2]Mar-26'!$H:$H,0)</f>
        <v>0</v>
      </c>
      <c r="AG173" s="17">
        <f>_xlfn.XLOOKUP($B173,'[2]Apr-26'!$A:$A,'[2]Apr-26'!$H:$H,0)</f>
        <v>0</v>
      </c>
    </row>
    <row r="174" spans="1:33" x14ac:dyDescent="0.2">
      <c r="A174" s="58">
        <v>51550</v>
      </c>
      <c r="B174" s="56" t="str">
        <f t="shared" si="4"/>
        <v>51550</v>
      </c>
      <c r="C174" s="57" t="s">
        <v>389</v>
      </c>
      <c r="D174" s="57" t="s">
        <v>387</v>
      </c>
      <c r="E174" s="44" t="s">
        <v>862</v>
      </c>
      <c r="F174" s="17">
        <f>_xlfn.XLOOKUP($B174,'[2]Jan-24'!$A:$A,'[2]Jan-24'!$H:$H,0)</f>
        <v>0</v>
      </c>
      <c r="G174" s="17">
        <f>_xlfn.XLOOKUP($B174,'[2]Feb-24'!$A:$A,'[2]Feb-24'!$H:$H,0)</f>
        <v>0</v>
      </c>
      <c r="H174" s="17">
        <f>_xlfn.XLOOKUP($B174,'[2]Mar-24'!$A:$A,'[2]Mar-24'!$H:$H,0)</f>
        <v>0</v>
      </c>
      <c r="I174" s="17">
        <f>_xlfn.XLOOKUP($B174,'[2]Apr-24'!$A:$A,'[2]Apr-24'!$H:$H,0)</f>
        <v>0</v>
      </c>
      <c r="J174" s="17">
        <f>_xlfn.XLOOKUP($B174,'[2]May-24'!$A:$A,'[2]May-24'!$H:$H,0)</f>
        <v>0</v>
      </c>
      <c r="K174" s="17">
        <f>_xlfn.XLOOKUP($B174,'[2]Jun-24'!$A:$A,'[2]Jun-24'!$H:$H,0)</f>
        <v>0</v>
      </c>
      <c r="L174" s="17">
        <f>_xlfn.XLOOKUP($B174,'[2]Jul-24'!$A:$A,'[2]Jul-24'!$H:$H,0)</f>
        <v>0</v>
      </c>
      <c r="M174" s="17">
        <f>_xlfn.XLOOKUP($B174,'[2]Aug-24'!$A:$A,'[2]Aug-24'!$H:$H,0)</f>
        <v>0</v>
      </c>
      <c r="N174" s="17">
        <f>_xlfn.XLOOKUP($B174,'[2]Sep-24'!$A:$A,'[2]Sep-24'!$H:$H,0)</f>
        <v>0</v>
      </c>
      <c r="O174" s="17">
        <f>_xlfn.XLOOKUP($B174,'[2]Oct-24'!$A:$A,'[2]Oct-24'!$H:$H,0)</f>
        <v>0</v>
      </c>
      <c r="P174" s="17">
        <f>_xlfn.XLOOKUP($B174,'[2]Nov-24'!$A:$A,'[2]Nov-24'!$H:$H,0)</f>
        <v>0</v>
      </c>
      <c r="Q174" s="17">
        <f>_xlfn.XLOOKUP($B174,'[2]Dec-24'!$A:$A,'[2]Dec-24'!$H:$H,0)</f>
        <v>0</v>
      </c>
      <c r="R174" s="17">
        <f>_xlfn.XLOOKUP($B174,'[2]Jan-25'!$A:$A,'[2]Jan-25'!$H:$H,0)</f>
        <v>0</v>
      </c>
      <c r="S174" s="17">
        <f>_xlfn.XLOOKUP($B174,'[2]Feb-25'!$A:$A,'[2]Feb-25'!$H:$H,0)</f>
        <v>0</v>
      </c>
      <c r="T174" s="17">
        <f>_xlfn.XLOOKUP($B174,'[2]Mar-25'!$A:$A,'[2]Mar-25'!$H:$H,0)</f>
        <v>0</v>
      </c>
      <c r="U174" s="17">
        <f>_xlfn.XLOOKUP($B174,'[2]Apr-25'!$A:$A,'[2]Apr-25'!$H:$H,0)</f>
        <v>0</v>
      </c>
      <c r="V174" s="17">
        <f>_xlfn.XLOOKUP($B174,'[2]May-25'!$A:$A,'[2]May-25'!$H:$H,0)</f>
        <v>0</v>
      </c>
      <c r="W174" s="17">
        <f>_xlfn.XLOOKUP($B174,'[2]Jun-25'!$A:$A,'[2]Jun-25'!$H:$H,0)</f>
        <v>0</v>
      </c>
      <c r="X174" s="17">
        <f>_xlfn.XLOOKUP($B174,'[2]Jul-25'!$A:$A,'[2]Jul-25'!$H:$H,0)</f>
        <v>0</v>
      </c>
      <c r="Y174" s="17">
        <f>_xlfn.XLOOKUP($B174,'[2]Aug-25'!$A:$A,'[2]Aug-25'!$H:$H,0)</f>
        <v>0</v>
      </c>
      <c r="Z174" s="17">
        <f>_xlfn.XLOOKUP($B174,'[2]Sep-25'!$A:$A,'[2]Sep-25'!$H:$H,0)</f>
        <v>0</v>
      </c>
      <c r="AA174" s="17">
        <f>_xlfn.XLOOKUP($B174,'[2]Oct-25'!$A:$A,'[2]Oct-25'!$H:$H,0)</f>
        <v>0</v>
      </c>
      <c r="AB174" s="17">
        <f>_xlfn.XLOOKUP($B174,'[2]Nov-25'!$A:$A,'[2]Nov-25'!$H:$H,0)</f>
        <v>0</v>
      </c>
      <c r="AC174" s="17">
        <f>_xlfn.XLOOKUP($B174,'[2]Dec-25'!$A:$A,'[2]Dec-25'!$H:$H,0)</f>
        <v>0</v>
      </c>
      <c r="AD174" s="17">
        <f>_xlfn.XLOOKUP($B174,'[2]Jan-26'!$A:$A,'[2]Jan-26'!$H:$H,0)</f>
        <v>0</v>
      </c>
      <c r="AE174" s="17">
        <f>_xlfn.XLOOKUP($B174,'[2]Feb-26'!$A:$A,'[2]Feb-26'!$H:$H,0)</f>
        <v>0</v>
      </c>
      <c r="AF174" s="17">
        <f>_xlfn.XLOOKUP($B174,'[2]Mar-26'!$A:$A,'[2]Mar-26'!$H:$H,0)</f>
        <v>0</v>
      </c>
      <c r="AG174" s="17">
        <f>_xlfn.XLOOKUP($B174,'[2]Apr-26'!$A:$A,'[2]Apr-26'!$H:$H,0)</f>
        <v>0</v>
      </c>
    </row>
    <row r="175" spans="1:33" x14ac:dyDescent="0.2">
      <c r="A175" s="58">
        <v>51570</v>
      </c>
      <c r="B175" s="56" t="str">
        <f t="shared" si="4"/>
        <v>51570</v>
      </c>
      <c r="C175" s="57" t="s">
        <v>572</v>
      </c>
      <c r="D175" s="57" t="s">
        <v>387</v>
      </c>
      <c r="E175" s="44" t="s">
        <v>863</v>
      </c>
      <c r="F175" s="17">
        <f>_xlfn.XLOOKUP($B175,'[2]Jan-24'!$A:$A,'[2]Jan-24'!$H:$H,0)</f>
        <v>0</v>
      </c>
      <c r="G175" s="17">
        <f>_xlfn.XLOOKUP($B175,'[2]Feb-24'!$A:$A,'[2]Feb-24'!$H:$H,0)</f>
        <v>0</v>
      </c>
      <c r="H175" s="17">
        <f>_xlfn.XLOOKUP($B175,'[2]Mar-24'!$A:$A,'[2]Mar-24'!$H:$H,0)</f>
        <v>0</v>
      </c>
      <c r="I175" s="17">
        <f>_xlfn.XLOOKUP($B175,'[2]Apr-24'!$A:$A,'[2]Apr-24'!$H:$H,0)</f>
        <v>0</v>
      </c>
      <c r="J175" s="17">
        <f>_xlfn.XLOOKUP($B175,'[2]May-24'!$A:$A,'[2]May-24'!$H:$H,0)</f>
        <v>0</v>
      </c>
      <c r="K175" s="17">
        <f>_xlfn.XLOOKUP($B175,'[2]Jun-24'!$A:$A,'[2]Jun-24'!$H:$H,0)</f>
        <v>0</v>
      </c>
      <c r="L175" s="17">
        <f>_xlfn.XLOOKUP($B175,'[2]Jul-24'!$A:$A,'[2]Jul-24'!$H:$H,0)</f>
        <v>0</v>
      </c>
      <c r="M175" s="17">
        <f>_xlfn.XLOOKUP($B175,'[2]Aug-24'!$A:$A,'[2]Aug-24'!$H:$H,0)</f>
        <v>0</v>
      </c>
      <c r="N175" s="17">
        <f>_xlfn.XLOOKUP($B175,'[2]Sep-24'!$A:$A,'[2]Sep-24'!$H:$H,0)</f>
        <v>0</v>
      </c>
      <c r="O175" s="17">
        <f>_xlfn.XLOOKUP($B175,'[2]Oct-24'!$A:$A,'[2]Oct-24'!$H:$H,0)</f>
        <v>0</v>
      </c>
      <c r="P175" s="17">
        <f>_xlfn.XLOOKUP($B175,'[2]Nov-24'!$A:$A,'[2]Nov-24'!$H:$H,0)</f>
        <v>0</v>
      </c>
      <c r="Q175" s="17">
        <f>_xlfn.XLOOKUP($B175,'[2]Dec-24'!$A:$A,'[2]Dec-24'!$H:$H,0)</f>
        <v>0</v>
      </c>
      <c r="R175" s="17">
        <f>_xlfn.XLOOKUP($B175,'[2]Jan-25'!$A:$A,'[2]Jan-25'!$H:$H,0)</f>
        <v>0</v>
      </c>
      <c r="S175" s="17">
        <f>_xlfn.XLOOKUP($B175,'[2]Feb-25'!$A:$A,'[2]Feb-25'!$H:$H,0)</f>
        <v>0</v>
      </c>
      <c r="T175" s="17">
        <f>_xlfn.XLOOKUP($B175,'[2]Mar-25'!$A:$A,'[2]Mar-25'!$H:$H,0)</f>
        <v>0</v>
      </c>
      <c r="U175" s="17">
        <f>_xlfn.XLOOKUP($B175,'[2]Apr-25'!$A:$A,'[2]Apr-25'!$H:$H,0)</f>
        <v>0</v>
      </c>
      <c r="V175" s="17">
        <f>_xlfn.XLOOKUP($B175,'[2]May-25'!$A:$A,'[2]May-25'!$H:$H,0)</f>
        <v>0</v>
      </c>
      <c r="W175" s="17">
        <f>_xlfn.XLOOKUP($B175,'[2]Jun-25'!$A:$A,'[2]Jun-25'!$H:$H,0)</f>
        <v>0</v>
      </c>
      <c r="X175" s="17">
        <f>_xlfn.XLOOKUP($B175,'[2]Jul-25'!$A:$A,'[2]Jul-25'!$H:$H,0)</f>
        <v>0</v>
      </c>
      <c r="Y175" s="17">
        <f>_xlfn.XLOOKUP($B175,'[2]Aug-25'!$A:$A,'[2]Aug-25'!$H:$H,0)</f>
        <v>0</v>
      </c>
      <c r="Z175" s="17">
        <f>_xlfn.XLOOKUP($B175,'[2]Sep-25'!$A:$A,'[2]Sep-25'!$H:$H,0)</f>
        <v>0</v>
      </c>
      <c r="AA175" s="17">
        <f>_xlfn.XLOOKUP($B175,'[2]Oct-25'!$A:$A,'[2]Oct-25'!$H:$H,0)</f>
        <v>0</v>
      </c>
      <c r="AB175" s="17">
        <f>_xlfn.XLOOKUP($B175,'[2]Nov-25'!$A:$A,'[2]Nov-25'!$H:$H,0)</f>
        <v>0</v>
      </c>
      <c r="AC175" s="17">
        <f>_xlfn.XLOOKUP($B175,'[2]Dec-25'!$A:$A,'[2]Dec-25'!$H:$H,0)</f>
        <v>0</v>
      </c>
      <c r="AD175" s="17">
        <f>_xlfn.XLOOKUP($B175,'[2]Jan-26'!$A:$A,'[2]Jan-26'!$H:$H,0)</f>
        <v>0</v>
      </c>
      <c r="AE175" s="17">
        <f>_xlfn.XLOOKUP($B175,'[2]Feb-26'!$A:$A,'[2]Feb-26'!$H:$H,0)</f>
        <v>0</v>
      </c>
      <c r="AF175" s="17">
        <f>_xlfn.XLOOKUP($B175,'[2]Mar-26'!$A:$A,'[2]Mar-26'!$H:$H,0)</f>
        <v>0</v>
      </c>
      <c r="AG175" s="17">
        <f>_xlfn.XLOOKUP($B175,'[2]Apr-26'!$A:$A,'[2]Apr-26'!$H:$H,0)</f>
        <v>0</v>
      </c>
    </row>
    <row r="176" spans="1:33" x14ac:dyDescent="0.2">
      <c r="A176" s="58">
        <v>51590</v>
      </c>
      <c r="B176" s="56" t="str">
        <f t="shared" si="4"/>
        <v>51590</v>
      </c>
      <c r="C176" s="57" t="s">
        <v>389</v>
      </c>
      <c r="D176" s="57" t="s">
        <v>387</v>
      </c>
      <c r="E176" s="44" t="s">
        <v>864</v>
      </c>
      <c r="F176" s="17">
        <f>_xlfn.XLOOKUP($B176,'[2]Jan-24'!$A:$A,'[2]Jan-24'!$H:$H,0)</f>
        <v>0</v>
      </c>
      <c r="G176" s="17">
        <f>_xlfn.XLOOKUP($B176,'[2]Feb-24'!$A:$A,'[2]Feb-24'!$H:$H,0)</f>
        <v>0</v>
      </c>
      <c r="H176" s="17">
        <f>_xlfn.XLOOKUP($B176,'[2]Mar-24'!$A:$A,'[2]Mar-24'!$H:$H,0)</f>
        <v>0</v>
      </c>
      <c r="I176" s="17">
        <f>_xlfn.XLOOKUP($B176,'[2]Apr-24'!$A:$A,'[2]Apr-24'!$H:$H,0)</f>
        <v>0</v>
      </c>
      <c r="J176" s="17">
        <f>_xlfn.XLOOKUP($B176,'[2]May-24'!$A:$A,'[2]May-24'!$H:$H,0)</f>
        <v>0</v>
      </c>
      <c r="K176" s="17">
        <f>_xlfn.XLOOKUP($B176,'[2]Jun-24'!$A:$A,'[2]Jun-24'!$H:$H,0)</f>
        <v>0</v>
      </c>
      <c r="L176" s="17">
        <f>_xlfn.XLOOKUP($B176,'[2]Jul-24'!$A:$A,'[2]Jul-24'!$H:$H,0)</f>
        <v>0</v>
      </c>
      <c r="M176" s="17">
        <f>_xlfn.XLOOKUP($B176,'[2]Aug-24'!$A:$A,'[2]Aug-24'!$H:$H,0)</f>
        <v>0</v>
      </c>
      <c r="N176" s="17">
        <f>_xlfn.XLOOKUP($B176,'[2]Sep-24'!$A:$A,'[2]Sep-24'!$H:$H,0)</f>
        <v>0</v>
      </c>
      <c r="O176" s="17">
        <f>_xlfn.XLOOKUP($B176,'[2]Oct-24'!$A:$A,'[2]Oct-24'!$H:$H,0)</f>
        <v>0</v>
      </c>
      <c r="P176" s="17">
        <f>_xlfn.XLOOKUP($B176,'[2]Nov-24'!$A:$A,'[2]Nov-24'!$H:$H,0)</f>
        <v>0</v>
      </c>
      <c r="Q176" s="17">
        <f>_xlfn.XLOOKUP($B176,'[2]Dec-24'!$A:$A,'[2]Dec-24'!$H:$H,0)</f>
        <v>0</v>
      </c>
      <c r="R176" s="17">
        <f>_xlfn.XLOOKUP($B176,'[2]Jan-25'!$A:$A,'[2]Jan-25'!$H:$H,0)</f>
        <v>0</v>
      </c>
      <c r="S176" s="17">
        <f>_xlfn.XLOOKUP($B176,'[2]Feb-25'!$A:$A,'[2]Feb-25'!$H:$H,0)</f>
        <v>0</v>
      </c>
      <c r="T176" s="17">
        <f>_xlfn.XLOOKUP($B176,'[2]Mar-25'!$A:$A,'[2]Mar-25'!$H:$H,0)</f>
        <v>0</v>
      </c>
      <c r="U176" s="17">
        <f>_xlfn.XLOOKUP($B176,'[2]Apr-25'!$A:$A,'[2]Apr-25'!$H:$H,0)</f>
        <v>0</v>
      </c>
      <c r="V176" s="17">
        <f>_xlfn.XLOOKUP($B176,'[2]May-25'!$A:$A,'[2]May-25'!$H:$H,0)</f>
        <v>0</v>
      </c>
      <c r="W176" s="17">
        <f>_xlfn.XLOOKUP($B176,'[2]Jun-25'!$A:$A,'[2]Jun-25'!$H:$H,0)</f>
        <v>0</v>
      </c>
      <c r="X176" s="17">
        <f>_xlfn.XLOOKUP($B176,'[2]Jul-25'!$A:$A,'[2]Jul-25'!$H:$H,0)</f>
        <v>0</v>
      </c>
      <c r="Y176" s="17">
        <f>_xlfn.XLOOKUP($B176,'[2]Aug-25'!$A:$A,'[2]Aug-25'!$H:$H,0)</f>
        <v>0</v>
      </c>
      <c r="Z176" s="17">
        <f>_xlfn.XLOOKUP($B176,'[2]Sep-25'!$A:$A,'[2]Sep-25'!$H:$H,0)</f>
        <v>0</v>
      </c>
      <c r="AA176" s="17">
        <f>_xlfn.XLOOKUP($B176,'[2]Oct-25'!$A:$A,'[2]Oct-25'!$H:$H,0)</f>
        <v>0</v>
      </c>
      <c r="AB176" s="17">
        <f>_xlfn.XLOOKUP($B176,'[2]Nov-25'!$A:$A,'[2]Nov-25'!$H:$H,0)</f>
        <v>0</v>
      </c>
      <c r="AC176" s="17">
        <f>_xlfn.XLOOKUP($B176,'[2]Dec-25'!$A:$A,'[2]Dec-25'!$H:$H,0)</f>
        <v>0</v>
      </c>
      <c r="AD176" s="17">
        <f>_xlfn.XLOOKUP($B176,'[2]Jan-26'!$A:$A,'[2]Jan-26'!$H:$H,0)</f>
        <v>0</v>
      </c>
      <c r="AE176" s="17">
        <f>_xlfn.XLOOKUP($B176,'[2]Feb-26'!$A:$A,'[2]Feb-26'!$H:$H,0)</f>
        <v>0</v>
      </c>
      <c r="AF176" s="17">
        <f>_xlfn.XLOOKUP($B176,'[2]Mar-26'!$A:$A,'[2]Mar-26'!$H:$H,0)</f>
        <v>0</v>
      </c>
      <c r="AG176" s="17">
        <f>_xlfn.XLOOKUP($B176,'[2]Apr-26'!$A:$A,'[2]Apr-26'!$H:$H,0)</f>
        <v>0</v>
      </c>
    </row>
    <row r="177" spans="1:33" x14ac:dyDescent="0.2">
      <c r="A177" s="58">
        <v>51610</v>
      </c>
      <c r="B177" s="56" t="str">
        <f t="shared" si="4"/>
        <v>51610</v>
      </c>
      <c r="C177" s="57" t="s">
        <v>629</v>
      </c>
      <c r="D177" s="57" t="s">
        <v>387</v>
      </c>
      <c r="E177" s="44" t="s">
        <v>865</v>
      </c>
      <c r="F177" s="17">
        <f>_xlfn.XLOOKUP($B177,'[2]Jan-24'!$A:$A,'[2]Jan-24'!$H:$H,0)</f>
        <v>1125.2</v>
      </c>
      <c r="G177" s="17">
        <f>_xlfn.XLOOKUP($B177,'[2]Feb-24'!$A:$A,'[2]Feb-24'!$H:$H,0)</f>
        <v>4366.53</v>
      </c>
      <c r="H177" s="17">
        <f>_xlfn.XLOOKUP($B177,'[2]Mar-24'!$A:$A,'[2]Mar-24'!$H:$H,0)</f>
        <v>-2288.13</v>
      </c>
      <c r="I177" s="17">
        <f>_xlfn.XLOOKUP($B177,'[2]Apr-24'!$A:$A,'[2]Apr-24'!$H:$H,0)</f>
        <v>1441.2</v>
      </c>
      <c r="J177" s="17">
        <f>_xlfn.XLOOKUP($B177,'[2]May-24'!$A:$A,'[2]May-24'!$H:$H,0)</f>
        <v>666.2</v>
      </c>
      <c r="K177" s="17">
        <f>_xlfn.XLOOKUP($B177,'[2]Jun-24'!$A:$A,'[2]Jun-24'!$H:$H,0)</f>
        <v>2491.1999999999998</v>
      </c>
      <c r="L177" s="17">
        <f>_xlfn.XLOOKUP($B177,'[2]Jul-24'!$A:$A,'[2]Jul-24'!$H:$H,0)</f>
        <v>1441.2</v>
      </c>
      <c r="M177" s="17">
        <f>_xlfn.XLOOKUP($B177,'[2]Aug-24'!$A:$A,'[2]Aug-24'!$H:$H,0)</f>
        <v>91.2</v>
      </c>
      <c r="N177" s="17">
        <f>_xlfn.XLOOKUP($B177,'[2]Sep-24'!$A:$A,'[2]Sep-24'!$H:$H,0)</f>
        <v>91.2</v>
      </c>
      <c r="O177" s="17">
        <f>_xlfn.XLOOKUP($B177,'[2]Oct-24'!$A:$A,'[2]Oct-24'!$H:$H,0)</f>
        <v>1441.2</v>
      </c>
      <c r="P177" s="17">
        <f>_xlfn.XLOOKUP($B177,'[2]Nov-24'!$A:$A,'[2]Nov-24'!$H:$H,0)</f>
        <v>395</v>
      </c>
      <c r="Q177" s="17">
        <f>_xlfn.XLOOKUP($B177,'[2]Dec-24'!$A:$A,'[2]Dec-24'!$H:$H,0)</f>
        <v>182.4</v>
      </c>
      <c r="R177" s="17">
        <f>_xlfn.XLOOKUP($B177,'[2]Jan-25'!$A:$A,'[2]Jan-25'!$H:$H,0)</f>
        <v>1836.1999999999998</v>
      </c>
      <c r="S177" s="17">
        <f>_xlfn.XLOOKUP($B177,'[2]Feb-25'!$A:$A,'[2]Feb-25'!$H:$H,0)</f>
        <v>91.200000000011642</v>
      </c>
      <c r="T177" s="17">
        <f>_xlfn.XLOOKUP($B177,'[2]Mar-25'!$A:$A,'[2]Mar-25'!$H:$H,0)</f>
        <v>91.2</v>
      </c>
      <c r="U177" s="17">
        <f>_xlfn.XLOOKUP($B177,'[2]Apr-25'!$A:$A,'[2]Apr-25'!$H:$H,0)</f>
        <v>1441.2</v>
      </c>
      <c r="V177" s="17">
        <f>_xlfn.XLOOKUP($B177,'[2]May-25'!$A:$A,'[2]May-25'!$H:$H,0)</f>
        <v>686.2</v>
      </c>
      <c r="W177" s="17">
        <f>_xlfn.XLOOKUP($B177,'[2]Jun-25'!$A:$A,'[2]Jun-25'!$H:$H,0)</f>
        <v>2591.1999999999998</v>
      </c>
      <c r="X177" s="17">
        <f>_xlfn.XLOOKUP($B177,'[2]Jul-25'!$A:$A,'[2]Jul-25'!$H:$H,0)</f>
        <v>6112</v>
      </c>
      <c r="Y177" s="17">
        <f>_xlfn.XLOOKUP($B177,'[2]Aug-25'!$A:$A,'[2]Aug-25'!$H:$H,0)</f>
        <v>2660.05</v>
      </c>
      <c r="Z177" s="17">
        <f>_xlfn.XLOOKUP($B177,'[2]Sep-25'!$A:$A,'[2]Sep-25'!$H:$H,0)</f>
        <v>3092.05</v>
      </c>
      <c r="AA177" s="17">
        <f>_xlfn.XLOOKUP($B177,'[2]Oct-25'!$A:$A,'[2]Oct-25'!$H:$H,0)</f>
        <v>4002.05</v>
      </c>
      <c r="AB177" s="17">
        <f>_xlfn.XLOOKUP($B177,'[2]Nov-25'!$A:$A,'[2]Nov-25'!$H:$H,0)</f>
        <v>392.05</v>
      </c>
      <c r="AC177" s="17">
        <f>_xlfn.XLOOKUP($B177,'[2]Dec-25'!$A:$A,'[2]Dec-25'!$H:$H,0)</f>
        <v>20894.14</v>
      </c>
      <c r="AD177" s="17">
        <f>_xlfn.XLOOKUP($B177,'[2]Jan-26'!$A:$A,'[2]Jan-26'!$H:$H,0)</f>
        <v>6093.46</v>
      </c>
      <c r="AE177" s="17">
        <f>_xlfn.XLOOKUP($B177,'[2]Feb-26'!$A:$A,'[2]Feb-26'!$H:$H,0)</f>
        <v>2306.2399999999998</v>
      </c>
      <c r="AF177" s="17">
        <f>_xlfn.XLOOKUP($B177,'[2]Mar-26'!$A:$A,'[2]Mar-26'!$H:$H,0)</f>
        <v>3092.05</v>
      </c>
      <c r="AG177" s="17">
        <f>_xlfn.XLOOKUP($B177,'[2]Apr-26'!$A:$A,'[2]Apr-26'!$H:$H,0)</f>
        <v>92.05</v>
      </c>
    </row>
    <row r="178" spans="1:33" x14ac:dyDescent="0.2">
      <c r="A178" s="58">
        <v>51620</v>
      </c>
      <c r="B178" s="56" t="str">
        <f t="shared" si="4"/>
        <v>51620</v>
      </c>
      <c r="C178" s="57" t="s">
        <v>565</v>
      </c>
      <c r="D178" s="57" t="s">
        <v>387</v>
      </c>
      <c r="E178" s="44" t="s">
        <v>866</v>
      </c>
      <c r="F178" s="17">
        <f>_xlfn.XLOOKUP($B178,'[2]Jan-24'!$A:$A,'[2]Jan-24'!$H:$H,0)</f>
        <v>0</v>
      </c>
      <c r="G178" s="17">
        <f>_xlfn.XLOOKUP($B178,'[2]Feb-24'!$A:$A,'[2]Feb-24'!$H:$H,0)</f>
        <v>0</v>
      </c>
      <c r="H178" s="17">
        <f>_xlfn.XLOOKUP($B178,'[2]Mar-24'!$A:$A,'[2]Mar-24'!$H:$H,0)</f>
        <v>237.94</v>
      </c>
      <c r="I178" s="17">
        <f>_xlfn.XLOOKUP($B178,'[2]Apr-24'!$A:$A,'[2]Apr-24'!$H:$H,0)</f>
        <v>0</v>
      </c>
      <c r="J178" s="17">
        <f>_xlfn.XLOOKUP($B178,'[2]May-24'!$A:$A,'[2]May-24'!$H:$H,0)</f>
        <v>0</v>
      </c>
      <c r="K178" s="17">
        <f>_xlfn.XLOOKUP($B178,'[2]Jun-24'!$A:$A,'[2]Jun-24'!$H:$H,0)</f>
        <v>116.67</v>
      </c>
      <c r="L178" s="17">
        <f>_xlfn.XLOOKUP($B178,'[2]Jul-24'!$A:$A,'[2]Jul-24'!$H:$H,0)</f>
        <v>2</v>
      </c>
      <c r="M178" s="17">
        <f>_xlfn.XLOOKUP($B178,'[2]Aug-24'!$A:$A,'[2]Aug-24'!$H:$H,0)</f>
        <v>0</v>
      </c>
      <c r="N178" s="17">
        <f>_xlfn.XLOOKUP($B178,'[2]Sep-24'!$A:$A,'[2]Sep-24'!$H:$H,0)</f>
        <v>0</v>
      </c>
      <c r="O178" s="17">
        <f>_xlfn.XLOOKUP($B178,'[2]Oct-24'!$A:$A,'[2]Oct-24'!$H:$H,0)</f>
        <v>0</v>
      </c>
      <c r="P178" s="17">
        <f>_xlfn.XLOOKUP($B178,'[2]Nov-24'!$A:$A,'[2]Nov-24'!$H:$H,0)</f>
        <v>0</v>
      </c>
      <c r="Q178" s="17">
        <f>_xlfn.XLOOKUP($B178,'[2]Dec-24'!$A:$A,'[2]Dec-24'!$H:$H,0)</f>
        <v>0</v>
      </c>
      <c r="R178" s="17">
        <f>_xlfn.XLOOKUP($B178,'[2]Jan-25'!$A:$A,'[2]Jan-25'!$H:$H,0)</f>
        <v>0</v>
      </c>
      <c r="S178" s="17">
        <f>_xlfn.XLOOKUP($B178,'[2]Feb-25'!$A:$A,'[2]Feb-25'!$H:$H,0)</f>
        <v>0</v>
      </c>
      <c r="T178" s="17">
        <f>_xlfn.XLOOKUP($B178,'[2]Mar-25'!$A:$A,'[2]Mar-25'!$H:$H,0)</f>
        <v>0</v>
      </c>
      <c r="U178" s="17">
        <f>_xlfn.XLOOKUP($B178,'[2]Apr-25'!$A:$A,'[2]Apr-25'!$H:$H,0)</f>
        <v>0</v>
      </c>
      <c r="V178" s="17">
        <f>_xlfn.XLOOKUP($B178,'[2]May-25'!$A:$A,'[2]May-25'!$H:$H,0)</f>
        <v>0</v>
      </c>
      <c r="W178" s="17">
        <f>_xlfn.XLOOKUP($B178,'[2]Jun-25'!$A:$A,'[2]Jun-25'!$H:$H,0)</f>
        <v>0</v>
      </c>
      <c r="X178" s="17">
        <f>_xlfn.XLOOKUP($B178,'[2]Jul-25'!$A:$A,'[2]Jul-25'!$H:$H,0)</f>
        <v>0</v>
      </c>
      <c r="Y178" s="17">
        <f>_xlfn.XLOOKUP($B178,'[2]Aug-25'!$A:$A,'[2]Aug-25'!$H:$H,0)</f>
        <v>0</v>
      </c>
      <c r="Z178" s="17">
        <f>_xlfn.XLOOKUP($B178,'[2]Sep-25'!$A:$A,'[2]Sep-25'!$H:$H,0)</f>
        <v>0</v>
      </c>
      <c r="AA178" s="17">
        <f>_xlfn.XLOOKUP($B178,'[2]Oct-25'!$A:$A,'[2]Oct-25'!$H:$H,0)</f>
        <v>0</v>
      </c>
      <c r="AB178" s="17">
        <f>_xlfn.XLOOKUP($B178,'[2]Nov-25'!$A:$A,'[2]Nov-25'!$H:$H,0)</f>
        <v>199.15</v>
      </c>
      <c r="AC178" s="17">
        <f>_xlfn.XLOOKUP($B178,'[2]Dec-25'!$A:$A,'[2]Dec-25'!$H:$H,0)</f>
        <v>0</v>
      </c>
      <c r="AD178" s="17">
        <f>_xlfn.XLOOKUP($B178,'[2]Jan-26'!$A:$A,'[2]Jan-26'!$H:$H,0)</f>
        <v>0</v>
      </c>
      <c r="AE178" s="17">
        <f>_xlfn.XLOOKUP($B178,'[2]Feb-26'!$A:$A,'[2]Feb-26'!$H:$H,0)</f>
        <v>135</v>
      </c>
      <c r="AF178" s="17">
        <f>_xlfn.XLOOKUP($B178,'[2]Mar-26'!$A:$A,'[2]Mar-26'!$H:$H,0)</f>
        <v>0</v>
      </c>
      <c r="AG178" s="17">
        <f>_xlfn.XLOOKUP($B178,'[2]Apr-26'!$A:$A,'[2]Apr-26'!$H:$H,0)</f>
        <v>0</v>
      </c>
    </row>
    <row r="179" spans="1:33" x14ac:dyDescent="0.2">
      <c r="A179" s="58">
        <v>51630</v>
      </c>
      <c r="B179" s="56" t="str">
        <f t="shared" si="4"/>
        <v>51630</v>
      </c>
      <c r="C179" s="57" t="s">
        <v>565</v>
      </c>
      <c r="D179" s="57" t="s">
        <v>387</v>
      </c>
      <c r="E179" s="44" t="s">
        <v>867</v>
      </c>
      <c r="F179" s="17">
        <f>_xlfn.XLOOKUP($B179,'[2]Jan-24'!$A:$A,'[2]Jan-24'!$H:$H,0)</f>
        <v>0</v>
      </c>
      <c r="G179" s="17">
        <f>_xlfn.XLOOKUP($B179,'[2]Feb-24'!$A:$A,'[2]Feb-24'!$H:$H,0)</f>
        <v>0</v>
      </c>
      <c r="H179" s="17">
        <f>_xlfn.XLOOKUP($B179,'[2]Mar-24'!$A:$A,'[2]Mar-24'!$H:$H,0)</f>
        <v>0</v>
      </c>
      <c r="I179" s="17">
        <f>_xlfn.XLOOKUP($B179,'[2]Apr-24'!$A:$A,'[2]Apr-24'!$H:$H,0)</f>
        <v>0</v>
      </c>
      <c r="J179" s="17">
        <f>_xlfn.XLOOKUP($B179,'[2]May-24'!$A:$A,'[2]May-24'!$H:$H,0)</f>
        <v>0</v>
      </c>
      <c r="K179" s="17">
        <f>_xlfn.XLOOKUP($B179,'[2]Jun-24'!$A:$A,'[2]Jun-24'!$H:$H,0)</f>
        <v>0</v>
      </c>
      <c r="L179" s="17">
        <f>_xlfn.XLOOKUP($B179,'[2]Jul-24'!$A:$A,'[2]Jul-24'!$H:$H,0)</f>
        <v>0</v>
      </c>
      <c r="M179" s="17">
        <f>_xlfn.XLOOKUP($B179,'[2]Aug-24'!$A:$A,'[2]Aug-24'!$H:$H,0)</f>
        <v>0</v>
      </c>
      <c r="N179" s="17">
        <f>_xlfn.XLOOKUP($B179,'[2]Sep-24'!$A:$A,'[2]Sep-24'!$H:$H,0)</f>
        <v>0</v>
      </c>
      <c r="O179" s="17">
        <f>_xlfn.XLOOKUP($B179,'[2]Oct-24'!$A:$A,'[2]Oct-24'!$H:$H,0)</f>
        <v>0</v>
      </c>
      <c r="P179" s="17">
        <f>_xlfn.XLOOKUP($B179,'[2]Nov-24'!$A:$A,'[2]Nov-24'!$H:$H,0)</f>
        <v>0</v>
      </c>
      <c r="Q179" s="17">
        <f>_xlfn.XLOOKUP($B179,'[2]Dec-24'!$A:$A,'[2]Dec-24'!$H:$H,0)</f>
        <v>0</v>
      </c>
      <c r="R179" s="17">
        <f>_xlfn.XLOOKUP($B179,'[2]Jan-25'!$A:$A,'[2]Jan-25'!$H:$H,0)</f>
        <v>0</v>
      </c>
      <c r="S179" s="17">
        <f>_xlfn.XLOOKUP($B179,'[2]Feb-25'!$A:$A,'[2]Feb-25'!$H:$H,0)</f>
        <v>0</v>
      </c>
      <c r="T179" s="17">
        <f>_xlfn.XLOOKUP($B179,'[2]Mar-25'!$A:$A,'[2]Mar-25'!$H:$H,0)</f>
        <v>0</v>
      </c>
      <c r="U179" s="17">
        <f>_xlfn.XLOOKUP($B179,'[2]Apr-25'!$A:$A,'[2]Apr-25'!$H:$H,0)</f>
        <v>0</v>
      </c>
      <c r="V179" s="17">
        <f>_xlfn.XLOOKUP($B179,'[2]May-25'!$A:$A,'[2]May-25'!$H:$H,0)</f>
        <v>0</v>
      </c>
      <c r="W179" s="17">
        <f>_xlfn.XLOOKUP($B179,'[2]Jun-25'!$A:$A,'[2]Jun-25'!$H:$H,0)</f>
        <v>0</v>
      </c>
      <c r="X179" s="17">
        <f>_xlfn.XLOOKUP($B179,'[2]Jul-25'!$A:$A,'[2]Jul-25'!$H:$H,0)</f>
        <v>0</v>
      </c>
      <c r="Y179" s="17">
        <f>_xlfn.XLOOKUP($B179,'[2]Aug-25'!$A:$A,'[2]Aug-25'!$H:$H,0)</f>
        <v>0</v>
      </c>
      <c r="Z179" s="17">
        <f>_xlfn.XLOOKUP($B179,'[2]Sep-25'!$A:$A,'[2]Sep-25'!$H:$H,0)</f>
        <v>0</v>
      </c>
      <c r="AA179" s="17">
        <f>_xlfn.XLOOKUP($B179,'[2]Oct-25'!$A:$A,'[2]Oct-25'!$H:$H,0)</f>
        <v>0</v>
      </c>
      <c r="AB179" s="17">
        <f>_xlfn.XLOOKUP($B179,'[2]Nov-25'!$A:$A,'[2]Nov-25'!$H:$H,0)</f>
        <v>0</v>
      </c>
      <c r="AC179" s="17">
        <f>_xlfn.XLOOKUP($B179,'[2]Dec-25'!$A:$A,'[2]Dec-25'!$H:$H,0)</f>
        <v>0</v>
      </c>
      <c r="AD179" s="17">
        <f>_xlfn.XLOOKUP($B179,'[2]Jan-26'!$A:$A,'[2]Jan-26'!$H:$H,0)</f>
        <v>0</v>
      </c>
      <c r="AE179" s="17">
        <f>_xlfn.XLOOKUP($B179,'[2]Feb-26'!$A:$A,'[2]Feb-26'!$H:$H,0)</f>
        <v>0</v>
      </c>
      <c r="AF179" s="17">
        <f>_xlfn.XLOOKUP($B179,'[2]Mar-26'!$A:$A,'[2]Mar-26'!$H:$H,0)</f>
        <v>0</v>
      </c>
      <c r="AG179" s="17">
        <f>_xlfn.XLOOKUP($B179,'[2]Apr-26'!$A:$A,'[2]Apr-26'!$H:$H,0)</f>
        <v>0</v>
      </c>
    </row>
    <row r="180" spans="1:33" x14ac:dyDescent="0.2">
      <c r="A180" s="58">
        <v>52000</v>
      </c>
      <c r="B180" s="56" t="str">
        <f t="shared" si="4"/>
        <v>52000</v>
      </c>
      <c r="C180" s="57" t="s">
        <v>517</v>
      </c>
      <c r="D180" s="57" t="s">
        <v>387</v>
      </c>
      <c r="E180" s="44" t="s">
        <v>526</v>
      </c>
      <c r="F180" s="17">
        <f>_xlfn.XLOOKUP($B180,'[2]Jan-24'!$A:$A,'[2]Jan-24'!$H:$H,0)</f>
        <v>0</v>
      </c>
      <c r="G180" s="17">
        <f>_xlfn.XLOOKUP($B180,'[2]Feb-24'!$A:$A,'[2]Feb-24'!$H:$H,0)</f>
        <v>0</v>
      </c>
      <c r="H180" s="17">
        <f>_xlfn.XLOOKUP($B180,'[2]Mar-24'!$A:$A,'[2]Mar-24'!$H:$H,0)</f>
        <v>0</v>
      </c>
      <c r="I180" s="17">
        <f>_xlfn.XLOOKUP($B180,'[2]Apr-24'!$A:$A,'[2]Apr-24'!$H:$H,0)</f>
        <v>0</v>
      </c>
      <c r="J180" s="17">
        <f>_xlfn.XLOOKUP($B180,'[2]May-24'!$A:$A,'[2]May-24'!$H:$H,0)</f>
        <v>0</v>
      </c>
      <c r="K180" s="17">
        <f>_xlfn.XLOOKUP($B180,'[2]Jun-24'!$A:$A,'[2]Jun-24'!$H:$H,0)</f>
        <v>0</v>
      </c>
      <c r="L180" s="17">
        <f>_xlfn.XLOOKUP($B180,'[2]Jul-24'!$A:$A,'[2]Jul-24'!$H:$H,0)</f>
        <v>0</v>
      </c>
      <c r="M180" s="17">
        <f>_xlfn.XLOOKUP($B180,'[2]Aug-24'!$A:$A,'[2]Aug-24'!$H:$H,0)</f>
        <v>0</v>
      </c>
      <c r="N180" s="17">
        <f>_xlfn.XLOOKUP($B180,'[2]Sep-24'!$A:$A,'[2]Sep-24'!$H:$H,0)</f>
        <v>0</v>
      </c>
      <c r="O180" s="17">
        <f>_xlfn.XLOOKUP($B180,'[2]Oct-24'!$A:$A,'[2]Oct-24'!$H:$H,0)</f>
        <v>0</v>
      </c>
      <c r="P180" s="17">
        <f>_xlfn.XLOOKUP($B180,'[2]Nov-24'!$A:$A,'[2]Nov-24'!$H:$H,0)</f>
        <v>0</v>
      </c>
      <c r="Q180" s="17">
        <f>_xlfn.XLOOKUP($B180,'[2]Dec-24'!$A:$A,'[2]Dec-24'!$H:$H,0)</f>
        <v>0</v>
      </c>
      <c r="R180" s="17">
        <f>_xlfn.XLOOKUP($B180,'[2]Jan-25'!$A:$A,'[2]Jan-25'!$H:$H,0)</f>
        <v>0</v>
      </c>
      <c r="S180" s="17">
        <f>_xlfn.XLOOKUP($B180,'[2]Feb-25'!$A:$A,'[2]Feb-25'!$H:$H,0)</f>
        <v>0</v>
      </c>
      <c r="T180" s="17">
        <f>_xlfn.XLOOKUP($B180,'[2]Mar-25'!$A:$A,'[2]Mar-25'!$H:$H,0)</f>
        <v>0</v>
      </c>
      <c r="U180" s="17">
        <f>_xlfn.XLOOKUP($B180,'[2]Apr-25'!$A:$A,'[2]Apr-25'!$H:$H,0)</f>
        <v>0</v>
      </c>
      <c r="V180" s="17">
        <f>_xlfn.XLOOKUP($B180,'[2]May-25'!$A:$A,'[2]May-25'!$H:$H,0)</f>
        <v>0</v>
      </c>
      <c r="W180" s="17">
        <f>_xlfn.XLOOKUP($B180,'[2]Jun-25'!$A:$A,'[2]Jun-25'!$H:$H,0)</f>
        <v>0</v>
      </c>
      <c r="X180" s="17">
        <f>_xlfn.XLOOKUP($B180,'[2]Jul-25'!$A:$A,'[2]Jul-25'!$H:$H,0)</f>
        <v>0</v>
      </c>
      <c r="Y180" s="17">
        <f>_xlfn.XLOOKUP($B180,'[2]Aug-25'!$A:$A,'[2]Aug-25'!$H:$H,0)</f>
        <v>0</v>
      </c>
      <c r="Z180" s="17">
        <f>_xlfn.XLOOKUP($B180,'[2]Sep-25'!$A:$A,'[2]Sep-25'!$H:$H,0)</f>
        <v>0</v>
      </c>
      <c r="AA180" s="17">
        <f>_xlfn.XLOOKUP($B180,'[2]Oct-25'!$A:$A,'[2]Oct-25'!$H:$H,0)</f>
        <v>0</v>
      </c>
      <c r="AB180" s="17">
        <f>_xlfn.XLOOKUP($B180,'[2]Nov-25'!$A:$A,'[2]Nov-25'!$H:$H,0)</f>
        <v>0</v>
      </c>
      <c r="AC180" s="17">
        <f>_xlfn.XLOOKUP($B180,'[2]Dec-25'!$A:$A,'[2]Dec-25'!$H:$H,0)</f>
        <v>0</v>
      </c>
      <c r="AD180" s="17">
        <f>_xlfn.XLOOKUP($B180,'[2]Jan-26'!$A:$A,'[2]Jan-26'!$H:$H,0)</f>
        <v>0</v>
      </c>
      <c r="AE180" s="17">
        <f>_xlfn.XLOOKUP($B180,'[2]Feb-26'!$A:$A,'[2]Feb-26'!$H:$H,0)</f>
        <v>0</v>
      </c>
      <c r="AF180" s="17">
        <f>_xlfn.XLOOKUP($B180,'[2]Mar-26'!$A:$A,'[2]Mar-26'!$H:$H,0)</f>
        <v>0</v>
      </c>
      <c r="AG180" s="17">
        <f>_xlfn.XLOOKUP($B180,'[2]Apr-26'!$A:$A,'[2]Apr-26'!$H:$H,0)</f>
        <v>0</v>
      </c>
    </row>
    <row r="181" spans="1:33" x14ac:dyDescent="0.2">
      <c r="A181" s="58">
        <v>52100</v>
      </c>
      <c r="B181" s="56" t="str">
        <f t="shared" si="4"/>
        <v>52100</v>
      </c>
      <c r="C181" s="57" t="s">
        <v>517</v>
      </c>
      <c r="D181" s="57" t="s">
        <v>387</v>
      </c>
      <c r="E181" s="44" t="s">
        <v>527</v>
      </c>
      <c r="F181" s="17">
        <f>_xlfn.XLOOKUP($B181,'[2]Jan-24'!$A:$A,'[2]Jan-24'!$H:$H,0)</f>
        <v>0</v>
      </c>
      <c r="G181" s="17">
        <f>_xlfn.XLOOKUP($B181,'[2]Feb-24'!$A:$A,'[2]Feb-24'!$H:$H,0)</f>
        <v>0</v>
      </c>
      <c r="H181" s="17">
        <f>_xlfn.XLOOKUP($B181,'[2]Mar-24'!$A:$A,'[2]Mar-24'!$H:$H,0)</f>
        <v>0</v>
      </c>
      <c r="I181" s="17">
        <f>_xlfn.XLOOKUP($B181,'[2]Apr-24'!$A:$A,'[2]Apr-24'!$H:$H,0)</f>
        <v>0</v>
      </c>
      <c r="J181" s="17">
        <f>_xlfn.XLOOKUP($B181,'[2]May-24'!$A:$A,'[2]May-24'!$H:$H,0)</f>
        <v>0</v>
      </c>
      <c r="K181" s="17">
        <f>_xlfn.XLOOKUP($B181,'[2]Jun-24'!$A:$A,'[2]Jun-24'!$H:$H,0)</f>
        <v>0</v>
      </c>
      <c r="L181" s="17">
        <f>_xlfn.XLOOKUP($B181,'[2]Jul-24'!$A:$A,'[2]Jul-24'!$H:$H,0)</f>
        <v>0</v>
      </c>
      <c r="M181" s="17">
        <f>_xlfn.XLOOKUP($B181,'[2]Aug-24'!$A:$A,'[2]Aug-24'!$H:$H,0)</f>
        <v>0</v>
      </c>
      <c r="N181" s="17">
        <f>_xlfn.XLOOKUP($B181,'[2]Sep-24'!$A:$A,'[2]Sep-24'!$H:$H,0)</f>
        <v>0</v>
      </c>
      <c r="O181" s="17">
        <f>_xlfn.XLOOKUP($B181,'[2]Oct-24'!$A:$A,'[2]Oct-24'!$H:$H,0)</f>
        <v>0</v>
      </c>
      <c r="P181" s="17">
        <f>_xlfn.XLOOKUP($B181,'[2]Nov-24'!$A:$A,'[2]Nov-24'!$H:$H,0)</f>
        <v>0</v>
      </c>
      <c r="Q181" s="17">
        <f>_xlfn.XLOOKUP($B181,'[2]Dec-24'!$A:$A,'[2]Dec-24'!$H:$H,0)</f>
        <v>0</v>
      </c>
      <c r="R181" s="17">
        <f>_xlfn.XLOOKUP($B181,'[2]Jan-25'!$A:$A,'[2]Jan-25'!$H:$H,0)</f>
        <v>0</v>
      </c>
      <c r="S181" s="17">
        <f>_xlfn.XLOOKUP($B181,'[2]Feb-25'!$A:$A,'[2]Feb-25'!$H:$H,0)</f>
        <v>0</v>
      </c>
      <c r="T181" s="17">
        <f>_xlfn.XLOOKUP($B181,'[2]Mar-25'!$A:$A,'[2]Mar-25'!$H:$H,0)</f>
        <v>0</v>
      </c>
      <c r="U181" s="17">
        <f>_xlfn.XLOOKUP($B181,'[2]Apr-25'!$A:$A,'[2]Apr-25'!$H:$H,0)</f>
        <v>0</v>
      </c>
      <c r="V181" s="17">
        <f>_xlfn.XLOOKUP($B181,'[2]May-25'!$A:$A,'[2]May-25'!$H:$H,0)</f>
        <v>0</v>
      </c>
      <c r="W181" s="17">
        <f>_xlfn.XLOOKUP($B181,'[2]Jun-25'!$A:$A,'[2]Jun-25'!$H:$H,0)</f>
        <v>0</v>
      </c>
      <c r="X181" s="17">
        <f>_xlfn.XLOOKUP($B181,'[2]Jul-25'!$A:$A,'[2]Jul-25'!$H:$H,0)</f>
        <v>0</v>
      </c>
      <c r="Y181" s="17">
        <f>_xlfn.XLOOKUP($B181,'[2]Aug-25'!$A:$A,'[2]Aug-25'!$H:$H,0)</f>
        <v>0</v>
      </c>
      <c r="Z181" s="17">
        <f>_xlfn.XLOOKUP($B181,'[2]Sep-25'!$A:$A,'[2]Sep-25'!$H:$H,0)</f>
        <v>0</v>
      </c>
      <c r="AA181" s="17">
        <f>_xlfn.XLOOKUP($B181,'[2]Oct-25'!$A:$A,'[2]Oct-25'!$H:$H,0)</f>
        <v>0</v>
      </c>
      <c r="AB181" s="17">
        <f>_xlfn.XLOOKUP($B181,'[2]Nov-25'!$A:$A,'[2]Nov-25'!$H:$H,0)</f>
        <v>0</v>
      </c>
      <c r="AC181" s="17">
        <f>_xlfn.XLOOKUP($B181,'[2]Dec-25'!$A:$A,'[2]Dec-25'!$H:$H,0)</f>
        <v>0</v>
      </c>
      <c r="AD181" s="17">
        <f>_xlfn.XLOOKUP($B181,'[2]Jan-26'!$A:$A,'[2]Jan-26'!$H:$H,0)</f>
        <v>0</v>
      </c>
      <c r="AE181" s="17">
        <f>_xlfn.XLOOKUP($B181,'[2]Feb-26'!$A:$A,'[2]Feb-26'!$H:$H,0)</f>
        <v>0</v>
      </c>
      <c r="AF181" s="17">
        <f>_xlfn.XLOOKUP($B181,'[2]Mar-26'!$A:$A,'[2]Mar-26'!$H:$H,0)</f>
        <v>0</v>
      </c>
      <c r="AG181" s="17">
        <f>_xlfn.XLOOKUP($B181,'[2]Apr-26'!$A:$A,'[2]Apr-26'!$H:$H,0)</f>
        <v>0</v>
      </c>
    </row>
    <row r="182" spans="1:33" x14ac:dyDescent="0.2">
      <c r="A182" s="58">
        <v>52200</v>
      </c>
      <c r="B182" s="56" t="str">
        <f t="shared" si="4"/>
        <v>52200</v>
      </c>
      <c r="C182" s="57" t="s">
        <v>517</v>
      </c>
      <c r="D182" s="57" t="s">
        <v>387</v>
      </c>
      <c r="E182" s="44" t="s">
        <v>529</v>
      </c>
      <c r="F182" s="17">
        <f>_xlfn.XLOOKUP($B182,'[2]Jan-24'!$A:$A,'[2]Jan-24'!$H:$H,0)</f>
        <v>0</v>
      </c>
      <c r="G182" s="17">
        <f>_xlfn.XLOOKUP($B182,'[2]Feb-24'!$A:$A,'[2]Feb-24'!$H:$H,0)</f>
        <v>0</v>
      </c>
      <c r="H182" s="17">
        <f>_xlfn.XLOOKUP($B182,'[2]Mar-24'!$A:$A,'[2]Mar-24'!$H:$H,0)</f>
        <v>0</v>
      </c>
      <c r="I182" s="17">
        <f>_xlfn.XLOOKUP($B182,'[2]Apr-24'!$A:$A,'[2]Apr-24'!$H:$H,0)</f>
        <v>0</v>
      </c>
      <c r="J182" s="17">
        <f>_xlfn.XLOOKUP($B182,'[2]May-24'!$A:$A,'[2]May-24'!$H:$H,0)</f>
        <v>0</v>
      </c>
      <c r="K182" s="17">
        <f>_xlfn.XLOOKUP($B182,'[2]Jun-24'!$A:$A,'[2]Jun-24'!$H:$H,0)</f>
        <v>0</v>
      </c>
      <c r="L182" s="17">
        <f>_xlfn.XLOOKUP($B182,'[2]Jul-24'!$A:$A,'[2]Jul-24'!$H:$H,0)</f>
        <v>0</v>
      </c>
      <c r="M182" s="17">
        <f>_xlfn.XLOOKUP($B182,'[2]Aug-24'!$A:$A,'[2]Aug-24'!$H:$H,0)</f>
        <v>0</v>
      </c>
      <c r="N182" s="17">
        <f>_xlfn.XLOOKUP($B182,'[2]Sep-24'!$A:$A,'[2]Sep-24'!$H:$H,0)</f>
        <v>0</v>
      </c>
      <c r="O182" s="17">
        <f>_xlfn.XLOOKUP($B182,'[2]Oct-24'!$A:$A,'[2]Oct-24'!$H:$H,0)</f>
        <v>0</v>
      </c>
      <c r="P182" s="17">
        <f>_xlfn.XLOOKUP($B182,'[2]Nov-24'!$A:$A,'[2]Nov-24'!$H:$H,0)</f>
        <v>0</v>
      </c>
      <c r="Q182" s="17">
        <f>_xlfn.XLOOKUP($B182,'[2]Dec-24'!$A:$A,'[2]Dec-24'!$H:$H,0)</f>
        <v>0</v>
      </c>
      <c r="R182" s="17">
        <f>_xlfn.XLOOKUP($B182,'[2]Jan-25'!$A:$A,'[2]Jan-25'!$H:$H,0)</f>
        <v>0</v>
      </c>
      <c r="S182" s="17">
        <f>_xlfn.XLOOKUP($B182,'[2]Feb-25'!$A:$A,'[2]Feb-25'!$H:$H,0)</f>
        <v>0</v>
      </c>
      <c r="T182" s="17">
        <f>_xlfn.XLOOKUP($B182,'[2]Mar-25'!$A:$A,'[2]Mar-25'!$H:$H,0)</f>
        <v>0</v>
      </c>
      <c r="U182" s="17">
        <f>_xlfn.XLOOKUP($B182,'[2]Apr-25'!$A:$A,'[2]Apr-25'!$H:$H,0)</f>
        <v>0</v>
      </c>
      <c r="V182" s="17">
        <f>_xlfn.XLOOKUP($B182,'[2]May-25'!$A:$A,'[2]May-25'!$H:$H,0)</f>
        <v>0</v>
      </c>
      <c r="W182" s="17">
        <f>_xlfn.XLOOKUP($B182,'[2]Jun-25'!$A:$A,'[2]Jun-25'!$H:$H,0)</f>
        <v>0</v>
      </c>
      <c r="X182" s="17">
        <f>_xlfn.XLOOKUP($B182,'[2]Jul-25'!$A:$A,'[2]Jul-25'!$H:$H,0)</f>
        <v>0</v>
      </c>
      <c r="Y182" s="17">
        <f>_xlfn.XLOOKUP($B182,'[2]Aug-25'!$A:$A,'[2]Aug-25'!$H:$H,0)</f>
        <v>0</v>
      </c>
      <c r="Z182" s="17">
        <f>_xlfn.XLOOKUP($B182,'[2]Sep-25'!$A:$A,'[2]Sep-25'!$H:$H,0)</f>
        <v>0</v>
      </c>
      <c r="AA182" s="17">
        <f>_xlfn.XLOOKUP($B182,'[2]Oct-25'!$A:$A,'[2]Oct-25'!$H:$H,0)</f>
        <v>0</v>
      </c>
      <c r="AB182" s="17">
        <f>_xlfn.XLOOKUP($B182,'[2]Nov-25'!$A:$A,'[2]Nov-25'!$H:$H,0)</f>
        <v>0</v>
      </c>
      <c r="AC182" s="17">
        <f>_xlfn.XLOOKUP($B182,'[2]Dec-25'!$A:$A,'[2]Dec-25'!$H:$H,0)</f>
        <v>0</v>
      </c>
      <c r="AD182" s="17">
        <f>_xlfn.XLOOKUP($B182,'[2]Jan-26'!$A:$A,'[2]Jan-26'!$H:$H,0)</f>
        <v>0</v>
      </c>
      <c r="AE182" s="17">
        <f>_xlfn.XLOOKUP($B182,'[2]Feb-26'!$A:$A,'[2]Feb-26'!$H:$H,0)</f>
        <v>0</v>
      </c>
      <c r="AF182" s="17">
        <f>_xlfn.XLOOKUP($B182,'[2]Mar-26'!$A:$A,'[2]Mar-26'!$H:$H,0)</f>
        <v>0</v>
      </c>
      <c r="AG182" s="17">
        <f>_xlfn.XLOOKUP($B182,'[2]Apr-26'!$A:$A,'[2]Apr-26'!$H:$H,0)</f>
        <v>0</v>
      </c>
    </row>
    <row r="183" spans="1:33" x14ac:dyDescent="0.2">
      <c r="A183" s="58">
        <v>52600</v>
      </c>
      <c r="B183" s="56" t="str">
        <f t="shared" si="4"/>
        <v>52600</v>
      </c>
      <c r="C183" s="57" t="s">
        <v>517</v>
      </c>
      <c r="D183" s="57" t="s">
        <v>387</v>
      </c>
      <c r="E183" s="44" t="s">
        <v>868</v>
      </c>
      <c r="F183" s="17">
        <f>_xlfn.XLOOKUP($B183,'[2]Jan-24'!$A:$A,'[2]Jan-24'!$H:$H,0)</f>
        <v>0</v>
      </c>
      <c r="G183" s="17">
        <f>_xlfn.XLOOKUP($B183,'[2]Feb-24'!$A:$A,'[2]Feb-24'!$H:$H,0)</f>
        <v>0</v>
      </c>
      <c r="H183" s="17">
        <f>_xlfn.XLOOKUP($B183,'[2]Mar-24'!$A:$A,'[2]Mar-24'!$H:$H,0)</f>
        <v>0</v>
      </c>
      <c r="I183" s="17">
        <f>_xlfn.XLOOKUP($B183,'[2]Apr-24'!$A:$A,'[2]Apr-24'!$H:$H,0)</f>
        <v>0</v>
      </c>
      <c r="J183" s="17">
        <f>_xlfn.XLOOKUP($B183,'[2]May-24'!$A:$A,'[2]May-24'!$H:$H,0)</f>
        <v>0</v>
      </c>
      <c r="K183" s="17">
        <f>_xlfn.XLOOKUP($B183,'[2]Jun-24'!$A:$A,'[2]Jun-24'!$H:$H,0)</f>
        <v>0</v>
      </c>
      <c r="L183" s="17">
        <f>_xlfn.XLOOKUP($B183,'[2]Jul-24'!$A:$A,'[2]Jul-24'!$H:$H,0)</f>
        <v>0</v>
      </c>
      <c r="M183" s="17">
        <f>_xlfn.XLOOKUP($B183,'[2]Aug-24'!$A:$A,'[2]Aug-24'!$H:$H,0)</f>
        <v>0</v>
      </c>
      <c r="N183" s="17">
        <f>_xlfn.XLOOKUP($B183,'[2]Sep-24'!$A:$A,'[2]Sep-24'!$H:$H,0)</f>
        <v>0</v>
      </c>
      <c r="O183" s="17">
        <f>_xlfn.XLOOKUP($B183,'[2]Oct-24'!$A:$A,'[2]Oct-24'!$H:$H,0)</f>
        <v>0</v>
      </c>
      <c r="P183" s="17">
        <f>_xlfn.XLOOKUP($B183,'[2]Nov-24'!$A:$A,'[2]Nov-24'!$H:$H,0)</f>
        <v>0</v>
      </c>
      <c r="Q183" s="17">
        <f>_xlfn.XLOOKUP($B183,'[2]Dec-24'!$A:$A,'[2]Dec-24'!$H:$H,0)</f>
        <v>0</v>
      </c>
      <c r="R183" s="17">
        <f>_xlfn.XLOOKUP($B183,'[2]Jan-25'!$A:$A,'[2]Jan-25'!$H:$H,0)</f>
        <v>0</v>
      </c>
      <c r="S183" s="17">
        <f>_xlfn.XLOOKUP($B183,'[2]Feb-25'!$A:$A,'[2]Feb-25'!$H:$H,0)</f>
        <v>0</v>
      </c>
      <c r="T183" s="17">
        <f>_xlfn.XLOOKUP($B183,'[2]Mar-25'!$A:$A,'[2]Mar-25'!$H:$H,0)</f>
        <v>0</v>
      </c>
      <c r="U183" s="17">
        <f>_xlfn.XLOOKUP($B183,'[2]Apr-25'!$A:$A,'[2]Apr-25'!$H:$H,0)</f>
        <v>0</v>
      </c>
      <c r="V183" s="17">
        <f>_xlfn.XLOOKUP($B183,'[2]May-25'!$A:$A,'[2]May-25'!$H:$H,0)</f>
        <v>0</v>
      </c>
      <c r="W183" s="17">
        <f>_xlfn.XLOOKUP($B183,'[2]Jun-25'!$A:$A,'[2]Jun-25'!$H:$H,0)</f>
        <v>0</v>
      </c>
      <c r="X183" s="17">
        <f>_xlfn.XLOOKUP($B183,'[2]Jul-25'!$A:$A,'[2]Jul-25'!$H:$H,0)</f>
        <v>0</v>
      </c>
      <c r="Y183" s="17">
        <f>_xlfn.XLOOKUP($B183,'[2]Aug-25'!$A:$A,'[2]Aug-25'!$H:$H,0)</f>
        <v>0</v>
      </c>
      <c r="Z183" s="17">
        <f>_xlfn.XLOOKUP($B183,'[2]Sep-25'!$A:$A,'[2]Sep-25'!$H:$H,0)</f>
        <v>0</v>
      </c>
      <c r="AA183" s="17">
        <f>_xlfn.XLOOKUP($B183,'[2]Oct-25'!$A:$A,'[2]Oct-25'!$H:$H,0)</f>
        <v>0</v>
      </c>
      <c r="AB183" s="17">
        <f>_xlfn.XLOOKUP($B183,'[2]Nov-25'!$A:$A,'[2]Nov-25'!$H:$H,0)</f>
        <v>0</v>
      </c>
      <c r="AC183" s="17">
        <f>_xlfn.XLOOKUP($B183,'[2]Dec-25'!$A:$A,'[2]Dec-25'!$H:$H,0)</f>
        <v>0</v>
      </c>
      <c r="AD183" s="17">
        <f>_xlfn.XLOOKUP($B183,'[2]Jan-26'!$A:$A,'[2]Jan-26'!$H:$H,0)</f>
        <v>0</v>
      </c>
      <c r="AE183" s="17">
        <f>_xlfn.XLOOKUP($B183,'[2]Feb-26'!$A:$A,'[2]Feb-26'!$H:$H,0)</f>
        <v>0</v>
      </c>
      <c r="AF183" s="17">
        <f>_xlfn.XLOOKUP($B183,'[2]Mar-26'!$A:$A,'[2]Mar-26'!$H:$H,0)</f>
        <v>0</v>
      </c>
      <c r="AG183" s="17">
        <f>_xlfn.XLOOKUP($B183,'[2]Apr-26'!$A:$A,'[2]Apr-26'!$H:$H,0)</f>
        <v>0</v>
      </c>
    </row>
    <row r="184" spans="1:33" x14ac:dyDescent="0.2">
      <c r="A184" s="58">
        <v>53000</v>
      </c>
      <c r="B184" s="56" t="str">
        <f t="shared" si="4"/>
        <v>53000</v>
      </c>
      <c r="C184" s="57" t="s">
        <v>517</v>
      </c>
      <c r="D184" s="57" t="s">
        <v>387</v>
      </c>
      <c r="E184" s="44" t="s">
        <v>6</v>
      </c>
      <c r="F184" s="17">
        <f>_xlfn.XLOOKUP($B184,'[2]Jan-24'!$A:$A,'[2]Jan-24'!$H:$H,0)</f>
        <v>0</v>
      </c>
      <c r="G184" s="17">
        <f>_xlfn.XLOOKUP($B184,'[2]Feb-24'!$A:$A,'[2]Feb-24'!$H:$H,0)</f>
        <v>0</v>
      </c>
      <c r="H184" s="17">
        <f>_xlfn.XLOOKUP($B184,'[2]Mar-24'!$A:$A,'[2]Mar-24'!$H:$H,0)</f>
        <v>0</v>
      </c>
      <c r="I184" s="17">
        <f>_xlfn.XLOOKUP($B184,'[2]Apr-24'!$A:$A,'[2]Apr-24'!$H:$H,0)</f>
        <v>0</v>
      </c>
      <c r="J184" s="17">
        <f>_xlfn.XLOOKUP($B184,'[2]May-24'!$A:$A,'[2]May-24'!$H:$H,0)</f>
        <v>0</v>
      </c>
      <c r="K184" s="17">
        <f>_xlfn.XLOOKUP($B184,'[2]Jun-24'!$A:$A,'[2]Jun-24'!$H:$H,0)</f>
        <v>0</v>
      </c>
      <c r="L184" s="17">
        <f>_xlfn.XLOOKUP($B184,'[2]Jul-24'!$A:$A,'[2]Jul-24'!$H:$H,0)</f>
        <v>0</v>
      </c>
      <c r="M184" s="17">
        <f>_xlfn.XLOOKUP($B184,'[2]Aug-24'!$A:$A,'[2]Aug-24'!$H:$H,0)</f>
        <v>0</v>
      </c>
      <c r="N184" s="17">
        <f>_xlfn.XLOOKUP($B184,'[2]Sep-24'!$A:$A,'[2]Sep-24'!$H:$H,0)</f>
        <v>0</v>
      </c>
      <c r="O184" s="17">
        <f>_xlfn.XLOOKUP($B184,'[2]Oct-24'!$A:$A,'[2]Oct-24'!$H:$H,0)</f>
        <v>0</v>
      </c>
      <c r="P184" s="17">
        <f>_xlfn.XLOOKUP($B184,'[2]Nov-24'!$A:$A,'[2]Nov-24'!$H:$H,0)</f>
        <v>0</v>
      </c>
      <c r="Q184" s="17">
        <f>_xlfn.XLOOKUP($B184,'[2]Dec-24'!$A:$A,'[2]Dec-24'!$H:$H,0)</f>
        <v>0</v>
      </c>
      <c r="R184" s="17">
        <f>_xlfn.XLOOKUP($B184,'[2]Jan-25'!$A:$A,'[2]Jan-25'!$H:$H,0)</f>
        <v>0</v>
      </c>
      <c r="S184" s="17">
        <f>_xlfn.XLOOKUP($B184,'[2]Feb-25'!$A:$A,'[2]Feb-25'!$H:$H,0)</f>
        <v>0</v>
      </c>
      <c r="T184" s="17">
        <f>_xlfn.XLOOKUP($B184,'[2]Mar-25'!$A:$A,'[2]Mar-25'!$H:$H,0)</f>
        <v>0</v>
      </c>
      <c r="U184" s="17">
        <f>_xlfn.XLOOKUP($B184,'[2]Apr-25'!$A:$A,'[2]Apr-25'!$H:$H,0)</f>
        <v>0</v>
      </c>
      <c r="V184" s="17">
        <f>_xlfn.XLOOKUP($B184,'[2]May-25'!$A:$A,'[2]May-25'!$H:$H,0)</f>
        <v>0</v>
      </c>
      <c r="W184" s="17">
        <f>_xlfn.XLOOKUP($B184,'[2]Jun-25'!$A:$A,'[2]Jun-25'!$H:$H,0)</f>
        <v>0</v>
      </c>
      <c r="X184" s="17">
        <f>_xlfn.XLOOKUP($B184,'[2]Jul-25'!$A:$A,'[2]Jul-25'!$H:$H,0)</f>
        <v>0</v>
      </c>
      <c r="Y184" s="17">
        <f>_xlfn.XLOOKUP($B184,'[2]Aug-25'!$A:$A,'[2]Aug-25'!$H:$H,0)</f>
        <v>0</v>
      </c>
      <c r="Z184" s="17">
        <f>_xlfn.XLOOKUP($B184,'[2]Sep-25'!$A:$A,'[2]Sep-25'!$H:$H,0)</f>
        <v>0</v>
      </c>
      <c r="AA184" s="17">
        <f>_xlfn.XLOOKUP($B184,'[2]Oct-25'!$A:$A,'[2]Oct-25'!$H:$H,0)</f>
        <v>0</v>
      </c>
      <c r="AB184" s="17">
        <f>_xlfn.XLOOKUP($B184,'[2]Nov-25'!$A:$A,'[2]Nov-25'!$H:$H,0)</f>
        <v>0</v>
      </c>
      <c r="AC184" s="17">
        <f>_xlfn.XLOOKUP($B184,'[2]Dec-25'!$A:$A,'[2]Dec-25'!$H:$H,0)</f>
        <v>0</v>
      </c>
      <c r="AD184" s="17">
        <f>_xlfn.XLOOKUP($B184,'[2]Jan-26'!$A:$A,'[2]Jan-26'!$H:$H,0)</f>
        <v>0</v>
      </c>
      <c r="AE184" s="17">
        <f>_xlfn.XLOOKUP($B184,'[2]Feb-26'!$A:$A,'[2]Feb-26'!$H:$H,0)</f>
        <v>0</v>
      </c>
      <c r="AF184" s="17">
        <f>_xlfn.XLOOKUP($B184,'[2]Mar-26'!$A:$A,'[2]Mar-26'!$H:$H,0)</f>
        <v>0</v>
      </c>
      <c r="AG184" s="17">
        <f>_xlfn.XLOOKUP($B184,'[2]Apr-26'!$A:$A,'[2]Apr-26'!$H:$H,0)</f>
        <v>0</v>
      </c>
    </row>
    <row r="185" spans="1:33" x14ac:dyDescent="0.2">
      <c r="A185" s="58">
        <v>53005</v>
      </c>
      <c r="B185" s="56" t="str">
        <f t="shared" si="4"/>
        <v>53005</v>
      </c>
      <c r="C185" s="57" t="s">
        <v>517</v>
      </c>
      <c r="D185" s="57" t="s">
        <v>387</v>
      </c>
      <c r="E185" s="44" t="s">
        <v>534</v>
      </c>
      <c r="F185" s="17">
        <f>_xlfn.XLOOKUP($B185,'[2]Jan-24'!$A:$A,'[2]Jan-24'!$H:$H,0)</f>
        <v>0</v>
      </c>
      <c r="G185" s="17">
        <f>_xlfn.XLOOKUP($B185,'[2]Feb-24'!$A:$A,'[2]Feb-24'!$H:$H,0)</f>
        <v>0</v>
      </c>
      <c r="H185" s="17">
        <f>_xlfn.XLOOKUP($B185,'[2]Mar-24'!$A:$A,'[2]Mar-24'!$H:$H,0)</f>
        <v>0</v>
      </c>
      <c r="I185" s="17">
        <f>_xlfn.XLOOKUP($B185,'[2]Apr-24'!$A:$A,'[2]Apr-24'!$H:$H,0)</f>
        <v>0</v>
      </c>
      <c r="J185" s="17">
        <f>_xlfn.XLOOKUP($B185,'[2]May-24'!$A:$A,'[2]May-24'!$H:$H,0)</f>
        <v>0</v>
      </c>
      <c r="K185" s="17">
        <f>_xlfn.XLOOKUP($B185,'[2]Jun-24'!$A:$A,'[2]Jun-24'!$H:$H,0)</f>
        <v>0</v>
      </c>
      <c r="L185" s="17">
        <f>_xlfn.XLOOKUP($B185,'[2]Jul-24'!$A:$A,'[2]Jul-24'!$H:$H,0)</f>
        <v>0</v>
      </c>
      <c r="M185" s="17">
        <f>_xlfn.XLOOKUP($B185,'[2]Aug-24'!$A:$A,'[2]Aug-24'!$H:$H,0)</f>
        <v>0</v>
      </c>
      <c r="N185" s="17">
        <f>_xlfn.XLOOKUP($B185,'[2]Sep-24'!$A:$A,'[2]Sep-24'!$H:$H,0)</f>
        <v>0</v>
      </c>
      <c r="O185" s="17">
        <f>_xlfn.XLOOKUP($B185,'[2]Oct-24'!$A:$A,'[2]Oct-24'!$H:$H,0)</f>
        <v>0</v>
      </c>
      <c r="P185" s="17">
        <f>_xlfn.XLOOKUP($B185,'[2]Nov-24'!$A:$A,'[2]Nov-24'!$H:$H,0)</f>
        <v>0</v>
      </c>
      <c r="Q185" s="17">
        <f>_xlfn.XLOOKUP($B185,'[2]Dec-24'!$A:$A,'[2]Dec-24'!$H:$H,0)</f>
        <v>0</v>
      </c>
      <c r="R185" s="17">
        <f>_xlfn.XLOOKUP($B185,'[2]Jan-25'!$A:$A,'[2]Jan-25'!$H:$H,0)</f>
        <v>0</v>
      </c>
      <c r="S185" s="17">
        <f>_xlfn.XLOOKUP($B185,'[2]Feb-25'!$A:$A,'[2]Feb-25'!$H:$H,0)</f>
        <v>0</v>
      </c>
      <c r="T185" s="17">
        <f>_xlfn.XLOOKUP($B185,'[2]Mar-25'!$A:$A,'[2]Mar-25'!$H:$H,0)</f>
        <v>0</v>
      </c>
      <c r="U185" s="17">
        <f>_xlfn.XLOOKUP($B185,'[2]Apr-25'!$A:$A,'[2]Apr-25'!$H:$H,0)</f>
        <v>0</v>
      </c>
      <c r="V185" s="17">
        <f>_xlfn.XLOOKUP($B185,'[2]May-25'!$A:$A,'[2]May-25'!$H:$H,0)</f>
        <v>0</v>
      </c>
      <c r="W185" s="17">
        <f>_xlfn.XLOOKUP($B185,'[2]Jun-25'!$A:$A,'[2]Jun-25'!$H:$H,0)</f>
        <v>0</v>
      </c>
      <c r="X185" s="17">
        <f>_xlfn.XLOOKUP($B185,'[2]Jul-25'!$A:$A,'[2]Jul-25'!$H:$H,0)</f>
        <v>0</v>
      </c>
      <c r="Y185" s="17">
        <f>_xlfn.XLOOKUP($B185,'[2]Aug-25'!$A:$A,'[2]Aug-25'!$H:$H,0)</f>
        <v>0</v>
      </c>
      <c r="Z185" s="17">
        <f>_xlfn.XLOOKUP($B185,'[2]Sep-25'!$A:$A,'[2]Sep-25'!$H:$H,0)</f>
        <v>0</v>
      </c>
      <c r="AA185" s="17">
        <f>_xlfn.XLOOKUP($B185,'[2]Oct-25'!$A:$A,'[2]Oct-25'!$H:$H,0)</f>
        <v>0</v>
      </c>
      <c r="AB185" s="17">
        <f>_xlfn.XLOOKUP($B185,'[2]Nov-25'!$A:$A,'[2]Nov-25'!$H:$H,0)</f>
        <v>0</v>
      </c>
      <c r="AC185" s="17">
        <f>_xlfn.XLOOKUP($B185,'[2]Dec-25'!$A:$A,'[2]Dec-25'!$H:$H,0)</f>
        <v>0</v>
      </c>
      <c r="AD185" s="17">
        <f>_xlfn.XLOOKUP($B185,'[2]Jan-26'!$A:$A,'[2]Jan-26'!$H:$H,0)</f>
        <v>0</v>
      </c>
      <c r="AE185" s="17">
        <f>_xlfn.XLOOKUP($B185,'[2]Feb-26'!$A:$A,'[2]Feb-26'!$H:$H,0)</f>
        <v>0</v>
      </c>
      <c r="AF185" s="17">
        <f>_xlfn.XLOOKUP($B185,'[2]Mar-26'!$A:$A,'[2]Mar-26'!$H:$H,0)</f>
        <v>0</v>
      </c>
      <c r="AG185" s="17">
        <f>_xlfn.XLOOKUP($B185,'[2]Apr-26'!$A:$A,'[2]Apr-26'!$H:$H,0)</f>
        <v>0</v>
      </c>
    </row>
    <row r="186" spans="1:33" x14ac:dyDescent="0.2">
      <c r="A186" s="58">
        <v>53025</v>
      </c>
      <c r="B186" s="56" t="str">
        <f t="shared" si="4"/>
        <v>53025</v>
      </c>
      <c r="C186" s="57" t="s">
        <v>517</v>
      </c>
      <c r="D186" s="57" t="s">
        <v>387</v>
      </c>
      <c r="E186" s="44" t="s">
        <v>538</v>
      </c>
      <c r="F186" s="17">
        <f>_xlfn.XLOOKUP($B186,'[2]Jan-24'!$A:$A,'[2]Jan-24'!$H:$H,0)</f>
        <v>0</v>
      </c>
      <c r="G186" s="17">
        <f>_xlfn.XLOOKUP($B186,'[2]Feb-24'!$A:$A,'[2]Feb-24'!$H:$H,0)</f>
        <v>0</v>
      </c>
      <c r="H186" s="17">
        <f>_xlfn.XLOOKUP($B186,'[2]Mar-24'!$A:$A,'[2]Mar-24'!$H:$H,0)</f>
        <v>0</v>
      </c>
      <c r="I186" s="17">
        <f>_xlfn.XLOOKUP($B186,'[2]Apr-24'!$A:$A,'[2]Apr-24'!$H:$H,0)</f>
        <v>0</v>
      </c>
      <c r="J186" s="17">
        <f>_xlfn.XLOOKUP($B186,'[2]May-24'!$A:$A,'[2]May-24'!$H:$H,0)</f>
        <v>0</v>
      </c>
      <c r="K186" s="17">
        <f>_xlfn.XLOOKUP($B186,'[2]Jun-24'!$A:$A,'[2]Jun-24'!$H:$H,0)</f>
        <v>0</v>
      </c>
      <c r="L186" s="17">
        <f>_xlfn.XLOOKUP($B186,'[2]Jul-24'!$A:$A,'[2]Jul-24'!$H:$H,0)</f>
        <v>0</v>
      </c>
      <c r="M186" s="17">
        <f>_xlfn.XLOOKUP($B186,'[2]Aug-24'!$A:$A,'[2]Aug-24'!$H:$H,0)</f>
        <v>0</v>
      </c>
      <c r="N186" s="17">
        <f>_xlfn.XLOOKUP($B186,'[2]Sep-24'!$A:$A,'[2]Sep-24'!$H:$H,0)</f>
        <v>0</v>
      </c>
      <c r="O186" s="17">
        <f>_xlfn.XLOOKUP($B186,'[2]Oct-24'!$A:$A,'[2]Oct-24'!$H:$H,0)</f>
        <v>0</v>
      </c>
      <c r="P186" s="17">
        <f>_xlfn.XLOOKUP($B186,'[2]Nov-24'!$A:$A,'[2]Nov-24'!$H:$H,0)</f>
        <v>0</v>
      </c>
      <c r="Q186" s="17">
        <f>_xlfn.XLOOKUP($B186,'[2]Dec-24'!$A:$A,'[2]Dec-24'!$H:$H,0)</f>
        <v>0</v>
      </c>
      <c r="R186" s="17">
        <f>_xlfn.XLOOKUP($B186,'[2]Jan-25'!$A:$A,'[2]Jan-25'!$H:$H,0)</f>
        <v>0</v>
      </c>
      <c r="S186" s="17">
        <f>_xlfn.XLOOKUP($B186,'[2]Feb-25'!$A:$A,'[2]Feb-25'!$H:$H,0)</f>
        <v>0</v>
      </c>
      <c r="T186" s="17">
        <f>_xlfn.XLOOKUP($B186,'[2]Mar-25'!$A:$A,'[2]Mar-25'!$H:$H,0)</f>
        <v>0</v>
      </c>
      <c r="U186" s="17">
        <f>_xlfn.XLOOKUP($B186,'[2]Apr-25'!$A:$A,'[2]Apr-25'!$H:$H,0)</f>
        <v>0</v>
      </c>
      <c r="V186" s="17">
        <f>_xlfn.XLOOKUP($B186,'[2]May-25'!$A:$A,'[2]May-25'!$H:$H,0)</f>
        <v>0</v>
      </c>
      <c r="W186" s="17">
        <f>_xlfn.XLOOKUP($B186,'[2]Jun-25'!$A:$A,'[2]Jun-25'!$H:$H,0)</f>
        <v>0</v>
      </c>
      <c r="X186" s="17">
        <f>_xlfn.XLOOKUP($B186,'[2]Jul-25'!$A:$A,'[2]Jul-25'!$H:$H,0)</f>
        <v>0</v>
      </c>
      <c r="Y186" s="17">
        <f>_xlfn.XLOOKUP($B186,'[2]Aug-25'!$A:$A,'[2]Aug-25'!$H:$H,0)</f>
        <v>0</v>
      </c>
      <c r="Z186" s="17">
        <f>_xlfn.XLOOKUP($B186,'[2]Sep-25'!$A:$A,'[2]Sep-25'!$H:$H,0)</f>
        <v>0</v>
      </c>
      <c r="AA186" s="17">
        <f>_xlfn.XLOOKUP($B186,'[2]Oct-25'!$A:$A,'[2]Oct-25'!$H:$H,0)</f>
        <v>0</v>
      </c>
      <c r="AB186" s="17">
        <f>_xlfn.XLOOKUP($B186,'[2]Nov-25'!$A:$A,'[2]Nov-25'!$H:$H,0)</f>
        <v>0</v>
      </c>
      <c r="AC186" s="17">
        <f>_xlfn.XLOOKUP($B186,'[2]Dec-25'!$A:$A,'[2]Dec-25'!$H:$H,0)</f>
        <v>0</v>
      </c>
      <c r="AD186" s="17">
        <f>_xlfn.XLOOKUP($B186,'[2]Jan-26'!$A:$A,'[2]Jan-26'!$H:$H,0)</f>
        <v>0</v>
      </c>
      <c r="AE186" s="17">
        <f>_xlfn.XLOOKUP($B186,'[2]Feb-26'!$A:$A,'[2]Feb-26'!$H:$H,0)</f>
        <v>0</v>
      </c>
      <c r="AF186" s="17">
        <f>_xlfn.XLOOKUP($B186,'[2]Mar-26'!$A:$A,'[2]Mar-26'!$H:$H,0)</f>
        <v>0</v>
      </c>
      <c r="AG186" s="17">
        <f>_xlfn.XLOOKUP($B186,'[2]Apr-26'!$A:$A,'[2]Apr-26'!$H:$H,0)</f>
        <v>0</v>
      </c>
    </row>
    <row r="187" spans="1:33" x14ac:dyDescent="0.2">
      <c r="A187" s="58">
        <v>53030</v>
      </c>
      <c r="B187" s="56" t="str">
        <f t="shared" si="4"/>
        <v>53030</v>
      </c>
      <c r="C187" s="57" t="s">
        <v>517</v>
      </c>
      <c r="D187" s="57" t="s">
        <v>387</v>
      </c>
      <c r="E187" s="44" t="s">
        <v>104</v>
      </c>
      <c r="F187" s="17">
        <f>_xlfn.XLOOKUP($B187,'[2]Jan-24'!$A:$A,'[2]Jan-24'!$H:$H,0)</f>
        <v>0</v>
      </c>
      <c r="G187" s="17">
        <f>_xlfn.XLOOKUP($B187,'[2]Feb-24'!$A:$A,'[2]Feb-24'!$H:$H,0)</f>
        <v>0</v>
      </c>
      <c r="H187" s="17">
        <f>_xlfn.XLOOKUP($B187,'[2]Mar-24'!$A:$A,'[2]Mar-24'!$H:$H,0)</f>
        <v>0</v>
      </c>
      <c r="I187" s="17">
        <f>_xlfn.XLOOKUP($B187,'[2]Apr-24'!$A:$A,'[2]Apr-24'!$H:$H,0)</f>
        <v>0</v>
      </c>
      <c r="J187" s="17">
        <f>_xlfn.XLOOKUP($B187,'[2]May-24'!$A:$A,'[2]May-24'!$H:$H,0)</f>
        <v>0</v>
      </c>
      <c r="K187" s="17">
        <f>_xlfn.XLOOKUP($B187,'[2]Jun-24'!$A:$A,'[2]Jun-24'!$H:$H,0)</f>
        <v>0</v>
      </c>
      <c r="L187" s="17">
        <f>_xlfn.XLOOKUP($B187,'[2]Jul-24'!$A:$A,'[2]Jul-24'!$H:$H,0)</f>
        <v>0</v>
      </c>
      <c r="M187" s="17">
        <f>_xlfn.XLOOKUP($B187,'[2]Aug-24'!$A:$A,'[2]Aug-24'!$H:$H,0)</f>
        <v>0</v>
      </c>
      <c r="N187" s="17">
        <f>_xlfn.XLOOKUP($B187,'[2]Sep-24'!$A:$A,'[2]Sep-24'!$H:$H,0)</f>
        <v>0</v>
      </c>
      <c r="O187" s="17">
        <f>_xlfn.XLOOKUP($B187,'[2]Oct-24'!$A:$A,'[2]Oct-24'!$H:$H,0)</f>
        <v>0</v>
      </c>
      <c r="P187" s="17">
        <f>_xlfn.XLOOKUP($B187,'[2]Nov-24'!$A:$A,'[2]Nov-24'!$H:$H,0)</f>
        <v>0</v>
      </c>
      <c r="Q187" s="17">
        <f>_xlfn.XLOOKUP($B187,'[2]Dec-24'!$A:$A,'[2]Dec-24'!$H:$H,0)</f>
        <v>0</v>
      </c>
      <c r="R187" s="17">
        <f>_xlfn.XLOOKUP($B187,'[2]Jan-25'!$A:$A,'[2]Jan-25'!$H:$H,0)</f>
        <v>0</v>
      </c>
      <c r="S187" s="17">
        <f>_xlfn.XLOOKUP($B187,'[2]Feb-25'!$A:$A,'[2]Feb-25'!$H:$H,0)</f>
        <v>0</v>
      </c>
      <c r="T187" s="17">
        <f>_xlfn.XLOOKUP($B187,'[2]Mar-25'!$A:$A,'[2]Mar-25'!$H:$H,0)</f>
        <v>0</v>
      </c>
      <c r="U187" s="17">
        <f>_xlfn.XLOOKUP($B187,'[2]Apr-25'!$A:$A,'[2]Apr-25'!$H:$H,0)</f>
        <v>0</v>
      </c>
      <c r="V187" s="17">
        <f>_xlfn.XLOOKUP($B187,'[2]May-25'!$A:$A,'[2]May-25'!$H:$H,0)</f>
        <v>0</v>
      </c>
      <c r="W187" s="17">
        <f>_xlfn.XLOOKUP($B187,'[2]Jun-25'!$A:$A,'[2]Jun-25'!$H:$H,0)</f>
        <v>0</v>
      </c>
      <c r="X187" s="17">
        <f>_xlfn.XLOOKUP($B187,'[2]Jul-25'!$A:$A,'[2]Jul-25'!$H:$H,0)</f>
        <v>0</v>
      </c>
      <c r="Y187" s="17">
        <f>_xlfn.XLOOKUP($B187,'[2]Aug-25'!$A:$A,'[2]Aug-25'!$H:$H,0)</f>
        <v>0</v>
      </c>
      <c r="Z187" s="17">
        <f>_xlfn.XLOOKUP($B187,'[2]Sep-25'!$A:$A,'[2]Sep-25'!$H:$H,0)</f>
        <v>0</v>
      </c>
      <c r="AA187" s="17">
        <f>_xlfn.XLOOKUP($B187,'[2]Oct-25'!$A:$A,'[2]Oct-25'!$H:$H,0)</f>
        <v>0</v>
      </c>
      <c r="AB187" s="17">
        <f>_xlfn.XLOOKUP($B187,'[2]Nov-25'!$A:$A,'[2]Nov-25'!$H:$H,0)</f>
        <v>0</v>
      </c>
      <c r="AC187" s="17">
        <f>_xlfn.XLOOKUP($B187,'[2]Dec-25'!$A:$A,'[2]Dec-25'!$H:$H,0)</f>
        <v>0</v>
      </c>
      <c r="AD187" s="17">
        <f>_xlfn.XLOOKUP($B187,'[2]Jan-26'!$A:$A,'[2]Jan-26'!$H:$H,0)</f>
        <v>0</v>
      </c>
      <c r="AE187" s="17">
        <f>_xlfn.XLOOKUP($B187,'[2]Feb-26'!$A:$A,'[2]Feb-26'!$H:$H,0)</f>
        <v>0</v>
      </c>
      <c r="AF187" s="17">
        <f>_xlfn.XLOOKUP($B187,'[2]Mar-26'!$A:$A,'[2]Mar-26'!$H:$H,0)</f>
        <v>0</v>
      </c>
      <c r="AG187" s="17">
        <f>_xlfn.XLOOKUP($B187,'[2]Apr-26'!$A:$A,'[2]Apr-26'!$H:$H,0)</f>
        <v>0</v>
      </c>
    </row>
    <row r="188" spans="1:33" x14ac:dyDescent="0.2">
      <c r="A188" s="58">
        <v>53035</v>
      </c>
      <c r="B188" s="56" t="str">
        <f t="shared" si="4"/>
        <v>53035</v>
      </c>
      <c r="C188" s="57" t="s">
        <v>517</v>
      </c>
      <c r="D188" s="57" t="s">
        <v>387</v>
      </c>
      <c r="E188" s="44" t="s">
        <v>539</v>
      </c>
      <c r="F188" s="17">
        <f>_xlfn.XLOOKUP($B188,'[2]Jan-24'!$A:$A,'[2]Jan-24'!$H:$H,0)</f>
        <v>0</v>
      </c>
      <c r="G188" s="17">
        <f>_xlfn.XLOOKUP($B188,'[2]Feb-24'!$A:$A,'[2]Feb-24'!$H:$H,0)</f>
        <v>0</v>
      </c>
      <c r="H188" s="17">
        <f>_xlfn.XLOOKUP($B188,'[2]Mar-24'!$A:$A,'[2]Mar-24'!$H:$H,0)</f>
        <v>0</v>
      </c>
      <c r="I188" s="17">
        <f>_xlfn.XLOOKUP($B188,'[2]Apr-24'!$A:$A,'[2]Apr-24'!$H:$H,0)</f>
        <v>7.46</v>
      </c>
      <c r="J188" s="17">
        <f>_xlfn.XLOOKUP($B188,'[2]May-24'!$A:$A,'[2]May-24'!$H:$H,0)</f>
        <v>0</v>
      </c>
      <c r="K188" s="17">
        <f>_xlfn.XLOOKUP($B188,'[2]Jun-24'!$A:$A,'[2]Jun-24'!$H:$H,0)</f>
        <v>0</v>
      </c>
      <c r="L188" s="17">
        <f>_xlfn.XLOOKUP($B188,'[2]Jul-24'!$A:$A,'[2]Jul-24'!$H:$H,0)</f>
        <v>0</v>
      </c>
      <c r="M188" s="17">
        <f>_xlfn.XLOOKUP($B188,'[2]Aug-24'!$A:$A,'[2]Aug-24'!$H:$H,0)</f>
        <v>0</v>
      </c>
      <c r="N188" s="17">
        <f>_xlfn.XLOOKUP($B188,'[2]Sep-24'!$A:$A,'[2]Sep-24'!$H:$H,0)</f>
        <v>0</v>
      </c>
      <c r="O188" s="17">
        <f>_xlfn.XLOOKUP($B188,'[2]Oct-24'!$A:$A,'[2]Oct-24'!$H:$H,0)</f>
        <v>0</v>
      </c>
      <c r="P188" s="17">
        <f>_xlfn.XLOOKUP($B188,'[2]Nov-24'!$A:$A,'[2]Nov-24'!$H:$H,0)</f>
        <v>25.01</v>
      </c>
      <c r="Q188" s="17">
        <f>_xlfn.XLOOKUP($B188,'[2]Dec-24'!$A:$A,'[2]Dec-24'!$H:$H,0)</f>
        <v>0</v>
      </c>
      <c r="R188" s="17">
        <f>_xlfn.XLOOKUP($B188,'[2]Jan-25'!$A:$A,'[2]Jan-25'!$H:$H,0)</f>
        <v>0</v>
      </c>
      <c r="S188" s="17">
        <f>_xlfn.XLOOKUP($B188,'[2]Feb-25'!$A:$A,'[2]Feb-25'!$H:$H,0)</f>
        <v>0</v>
      </c>
      <c r="T188" s="17">
        <f>_xlfn.XLOOKUP($B188,'[2]Mar-25'!$A:$A,'[2]Mar-25'!$H:$H,0)</f>
        <v>0</v>
      </c>
      <c r="U188" s="17">
        <f>_xlfn.XLOOKUP($B188,'[2]Apr-25'!$A:$A,'[2]Apr-25'!$H:$H,0)</f>
        <v>0</v>
      </c>
      <c r="V188" s="17">
        <f>_xlfn.XLOOKUP($B188,'[2]May-25'!$A:$A,'[2]May-25'!$H:$H,0)</f>
        <v>0</v>
      </c>
      <c r="W188" s="17">
        <f>_xlfn.XLOOKUP($B188,'[2]Jun-25'!$A:$A,'[2]Jun-25'!$H:$H,0)</f>
        <v>0</v>
      </c>
      <c r="X188" s="17">
        <f>_xlfn.XLOOKUP($B188,'[2]Jul-25'!$A:$A,'[2]Jul-25'!$H:$H,0)</f>
        <v>0</v>
      </c>
      <c r="Y188" s="17">
        <f>_xlfn.XLOOKUP($B188,'[2]Aug-25'!$A:$A,'[2]Aug-25'!$H:$H,0)</f>
        <v>0</v>
      </c>
      <c r="Z188" s="17">
        <f>_xlfn.XLOOKUP($B188,'[2]Sep-25'!$A:$A,'[2]Sep-25'!$H:$H,0)</f>
        <v>0</v>
      </c>
      <c r="AA188" s="17">
        <f>_xlfn.XLOOKUP($B188,'[2]Oct-25'!$A:$A,'[2]Oct-25'!$H:$H,0)</f>
        <v>0</v>
      </c>
      <c r="AB188" s="17">
        <f>_xlfn.XLOOKUP($B188,'[2]Nov-25'!$A:$A,'[2]Nov-25'!$H:$H,0)</f>
        <v>0</v>
      </c>
      <c r="AC188" s="17">
        <f>_xlfn.XLOOKUP($B188,'[2]Dec-25'!$A:$A,'[2]Dec-25'!$H:$H,0)</f>
        <v>0</v>
      </c>
      <c r="AD188" s="17">
        <f>_xlfn.XLOOKUP($B188,'[2]Jan-26'!$A:$A,'[2]Jan-26'!$H:$H,0)</f>
        <v>0</v>
      </c>
      <c r="AE188" s="17">
        <f>_xlfn.XLOOKUP($B188,'[2]Feb-26'!$A:$A,'[2]Feb-26'!$H:$H,0)</f>
        <v>0</v>
      </c>
      <c r="AF188" s="17">
        <f>_xlfn.XLOOKUP($B188,'[2]Mar-26'!$A:$A,'[2]Mar-26'!$H:$H,0)</f>
        <v>0</v>
      </c>
      <c r="AG188" s="17">
        <f>_xlfn.XLOOKUP($B188,'[2]Apr-26'!$A:$A,'[2]Apr-26'!$H:$H,0)</f>
        <v>0</v>
      </c>
    </row>
    <row r="189" spans="1:33" x14ac:dyDescent="0.2">
      <c r="A189" s="58">
        <v>53040</v>
      </c>
      <c r="B189" s="56" t="str">
        <f t="shared" si="4"/>
        <v>53040</v>
      </c>
      <c r="C189" s="57" t="s">
        <v>517</v>
      </c>
      <c r="D189" s="57" t="s">
        <v>387</v>
      </c>
      <c r="E189" s="44" t="s">
        <v>105</v>
      </c>
      <c r="F189" s="17">
        <f>_xlfn.XLOOKUP($B189,'[2]Jan-24'!$A:$A,'[2]Jan-24'!$H:$H,0)</f>
        <v>0</v>
      </c>
      <c r="G189" s="17">
        <f>_xlfn.XLOOKUP($B189,'[2]Feb-24'!$A:$A,'[2]Feb-24'!$H:$H,0)</f>
        <v>0</v>
      </c>
      <c r="H189" s="17">
        <f>_xlfn.XLOOKUP($B189,'[2]Mar-24'!$A:$A,'[2]Mar-24'!$H:$H,0)</f>
        <v>0</v>
      </c>
      <c r="I189" s="17">
        <f>_xlfn.XLOOKUP($B189,'[2]Apr-24'!$A:$A,'[2]Apr-24'!$H:$H,0)</f>
        <v>0</v>
      </c>
      <c r="J189" s="17">
        <f>_xlfn.XLOOKUP($B189,'[2]May-24'!$A:$A,'[2]May-24'!$H:$H,0)</f>
        <v>0</v>
      </c>
      <c r="K189" s="17">
        <f>_xlfn.XLOOKUP($B189,'[2]Jun-24'!$A:$A,'[2]Jun-24'!$H:$H,0)</f>
        <v>0</v>
      </c>
      <c r="L189" s="17">
        <f>_xlfn.XLOOKUP($B189,'[2]Jul-24'!$A:$A,'[2]Jul-24'!$H:$H,0)</f>
        <v>0</v>
      </c>
      <c r="M189" s="17">
        <f>_xlfn.XLOOKUP($B189,'[2]Aug-24'!$A:$A,'[2]Aug-24'!$H:$H,0)</f>
        <v>0</v>
      </c>
      <c r="N189" s="17">
        <f>_xlfn.XLOOKUP($B189,'[2]Sep-24'!$A:$A,'[2]Sep-24'!$H:$H,0)</f>
        <v>0</v>
      </c>
      <c r="O189" s="17">
        <f>_xlfn.XLOOKUP($B189,'[2]Oct-24'!$A:$A,'[2]Oct-24'!$H:$H,0)</f>
        <v>0</v>
      </c>
      <c r="P189" s="17">
        <f>_xlfn.XLOOKUP($B189,'[2]Nov-24'!$A:$A,'[2]Nov-24'!$H:$H,0)</f>
        <v>0</v>
      </c>
      <c r="Q189" s="17">
        <f>_xlfn.XLOOKUP($B189,'[2]Dec-24'!$A:$A,'[2]Dec-24'!$H:$H,0)</f>
        <v>0</v>
      </c>
      <c r="R189" s="17">
        <f>_xlfn.XLOOKUP($B189,'[2]Jan-25'!$A:$A,'[2]Jan-25'!$H:$H,0)</f>
        <v>0</v>
      </c>
      <c r="S189" s="17">
        <f>_xlfn.XLOOKUP($B189,'[2]Feb-25'!$A:$A,'[2]Feb-25'!$H:$H,0)</f>
        <v>0</v>
      </c>
      <c r="T189" s="17">
        <f>_xlfn.XLOOKUP($B189,'[2]Mar-25'!$A:$A,'[2]Mar-25'!$H:$H,0)</f>
        <v>0</v>
      </c>
      <c r="U189" s="17">
        <f>_xlfn.XLOOKUP($B189,'[2]Apr-25'!$A:$A,'[2]Apr-25'!$H:$H,0)</f>
        <v>0</v>
      </c>
      <c r="V189" s="17">
        <f>_xlfn.XLOOKUP($B189,'[2]May-25'!$A:$A,'[2]May-25'!$H:$H,0)</f>
        <v>0</v>
      </c>
      <c r="W189" s="17">
        <f>_xlfn.XLOOKUP($B189,'[2]Jun-25'!$A:$A,'[2]Jun-25'!$H:$H,0)</f>
        <v>0</v>
      </c>
      <c r="X189" s="17">
        <f>_xlfn.XLOOKUP($B189,'[2]Jul-25'!$A:$A,'[2]Jul-25'!$H:$H,0)</f>
        <v>0</v>
      </c>
      <c r="Y189" s="17">
        <f>_xlfn.XLOOKUP($B189,'[2]Aug-25'!$A:$A,'[2]Aug-25'!$H:$H,0)</f>
        <v>0</v>
      </c>
      <c r="Z189" s="17">
        <f>_xlfn.XLOOKUP($B189,'[2]Sep-25'!$A:$A,'[2]Sep-25'!$H:$H,0)</f>
        <v>0</v>
      </c>
      <c r="AA189" s="17">
        <f>_xlfn.XLOOKUP($B189,'[2]Oct-25'!$A:$A,'[2]Oct-25'!$H:$H,0)</f>
        <v>0</v>
      </c>
      <c r="AB189" s="17">
        <f>_xlfn.XLOOKUP($B189,'[2]Nov-25'!$A:$A,'[2]Nov-25'!$H:$H,0)</f>
        <v>0</v>
      </c>
      <c r="AC189" s="17">
        <f>_xlfn.XLOOKUP($B189,'[2]Dec-25'!$A:$A,'[2]Dec-25'!$H:$H,0)</f>
        <v>0</v>
      </c>
      <c r="AD189" s="17">
        <f>_xlfn.XLOOKUP($B189,'[2]Jan-26'!$A:$A,'[2]Jan-26'!$H:$H,0)</f>
        <v>0</v>
      </c>
      <c r="AE189" s="17">
        <f>_xlfn.XLOOKUP($B189,'[2]Feb-26'!$A:$A,'[2]Feb-26'!$H:$H,0)</f>
        <v>0</v>
      </c>
      <c r="AF189" s="17">
        <f>_xlfn.XLOOKUP($B189,'[2]Mar-26'!$A:$A,'[2]Mar-26'!$H:$H,0)</f>
        <v>0</v>
      </c>
      <c r="AG189" s="17">
        <f>_xlfn.XLOOKUP($B189,'[2]Apr-26'!$A:$A,'[2]Apr-26'!$H:$H,0)</f>
        <v>0</v>
      </c>
    </row>
    <row r="190" spans="1:33" x14ac:dyDescent="0.2">
      <c r="A190" s="58">
        <v>53045</v>
      </c>
      <c r="B190" s="56" t="str">
        <f t="shared" si="4"/>
        <v>53045</v>
      </c>
      <c r="C190" s="57" t="s">
        <v>517</v>
      </c>
      <c r="D190" s="57" t="s">
        <v>387</v>
      </c>
      <c r="E190" s="44" t="s">
        <v>869</v>
      </c>
      <c r="F190" s="17">
        <f>_xlfn.XLOOKUP($B190,'[2]Jan-24'!$A:$A,'[2]Jan-24'!$H:$H,0)</f>
        <v>0</v>
      </c>
      <c r="G190" s="17">
        <f>_xlfn.XLOOKUP($B190,'[2]Feb-24'!$A:$A,'[2]Feb-24'!$H:$H,0)</f>
        <v>0</v>
      </c>
      <c r="H190" s="17">
        <f>_xlfn.XLOOKUP($B190,'[2]Mar-24'!$A:$A,'[2]Mar-24'!$H:$H,0)</f>
        <v>0</v>
      </c>
      <c r="I190" s="17">
        <f>_xlfn.XLOOKUP($B190,'[2]Apr-24'!$A:$A,'[2]Apr-24'!$H:$H,0)</f>
        <v>0</v>
      </c>
      <c r="J190" s="17">
        <f>_xlfn.XLOOKUP($B190,'[2]May-24'!$A:$A,'[2]May-24'!$H:$H,0)</f>
        <v>0</v>
      </c>
      <c r="K190" s="17">
        <f>_xlfn.XLOOKUP($B190,'[2]Jun-24'!$A:$A,'[2]Jun-24'!$H:$H,0)</f>
        <v>0</v>
      </c>
      <c r="L190" s="17">
        <f>_xlfn.XLOOKUP($B190,'[2]Jul-24'!$A:$A,'[2]Jul-24'!$H:$H,0)</f>
        <v>0</v>
      </c>
      <c r="M190" s="17">
        <f>_xlfn.XLOOKUP($B190,'[2]Aug-24'!$A:$A,'[2]Aug-24'!$H:$H,0)</f>
        <v>0</v>
      </c>
      <c r="N190" s="17">
        <f>_xlfn.XLOOKUP($B190,'[2]Sep-24'!$A:$A,'[2]Sep-24'!$H:$H,0)</f>
        <v>0</v>
      </c>
      <c r="O190" s="17">
        <f>_xlfn.XLOOKUP($B190,'[2]Oct-24'!$A:$A,'[2]Oct-24'!$H:$H,0)</f>
        <v>0</v>
      </c>
      <c r="P190" s="17">
        <f>_xlfn.XLOOKUP($B190,'[2]Nov-24'!$A:$A,'[2]Nov-24'!$H:$H,0)</f>
        <v>0</v>
      </c>
      <c r="Q190" s="17">
        <f>_xlfn.XLOOKUP($B190,'[2]Dec-24'!$A:$A,'[2]Dec-24'!$H:$H,0)</f>
        <v>0</v>
      </c>
      <c r="R190" s="17">
        <f>_xlfn.XLOOKUP($B190,'[2]Jan-25'!$A:$A,'[2]Jan-25'!$H:$H,0)</f>
        <v>1699.64</v>
      </c>
      <c r="S190" s="17">
        <f>_xlfn.XLOOKUP($B190,'[2]Feb-25'!$A:$A,'[2]Feb-25'!$H:$H,0)</f>
        <v>1722.8199999993667</v>
      </c>
      <c r="T190" s="17">
        <f>_xlfn.XLOOKUP($B190,'[2]Mar-25'!$A:$A,'[2]Mar-25'!$H:$H,0)</f>
        <v>1198.19</v>
      </c>
      <c r="U190" s="17">
        <f>_xlfn.XLOOKUP($B190,'[2]Apr-25'!$A:$A,'[2]Apr-25'!$H:$H,0)</f>
        <v>699.17</v>
      </c>
      <c r="V190" s="17">
        <f>_xlfn.XLOOKUP($B190,'[2]May-25'!$A:$A,'[2]May-25'!$H:$H,0)</f>
        <v>683.27</v>
      </c>
      <c r="W190" s="17">
        <f>_xlfn.XLOOKUP($B190,'[2]Jun-25'!$A:$A,'[2]Jun-25'!$H:$H,0)</f>
        <v>760.79</v>
      </c>
      <c r="X190" s="17">
        <f>_xlfn.XLOOKUP($B190,'[2]Jul-25'!$A:$A,'[2]Jul-25'!$H:$H,0)</f>
        <v>695.76</v>
      </c>
      <c r="Y190" s="17">
        <f>_xlfn.XLOOKUP($B190,'[2]Aug-25'!$A:$A,'[2]Aug-25'!$H:$H,0)</f>
        <v>756.95</v>
      </c>
      <c r="Z190" s="17">
        <f>_xlfn.XLOOKUP($B190,'[2]Sep-25'!$A:$A,'[2]Sep-25'!$H:$H,0)</f>
        <v>769.08</v>
      </c>
      <c r="AA190" s="17">
        <f>_xlfn.XLOOKUP($B190,'[2]Oct-25'!$A:$A,'[2]Oct-25'!$H:$H,0)</f>
        <v>753.16</v>
      </c>
      <c r="AB190" s="17">
        <f>_xlfn.XLOOKUP($B190,'[2]Nov-25'!$A:$A,'[2]Nov-25'!$H:$H,0)</f>
        <v>825.13</v>
      </c>
      <c r="AC190" s="17">
        <f>_xlfn.XLOOKUP($B190,'[2]Dec-25'!$A:$A,'[2]Dec-25'!$H:$H,0)</f>
        <v>825.78</v>
      </c>
      <c r="AD190" s="17">
        <f>_xlfn.XLOOKUP($B190,'[2]Jan-26'!$A:$A,'[2]Jan-26'!$H:$H,0)</f>
        <v>1610.21</v>
      </c>
      <c r="AE190" s="17">
        <f>_xlfn.XLOOKUP($B190,'[2]Feb-26'!$A:$A,'[2]Feb-26'!$H:$H,0)</f>
        <v>852.77</v>
      </c>
      <c r="AF190" s="17">
        <f>_xlfn.XLOOKUP($B190,'[2]Mar-26'!$A:$A,'[2]Mar-26'!$H:$H,0)</f>
        <v>805.49</v>
      </c>
      <c r="AG190" s="17">
        <f>_xlfn.XLOOKUP($B190,'[2]Apr-26'!$A:$A,'[2]Apr-26'!$H:$H,0)</f>
        <v>930.6</v>
      </c>
    </row>
    <row r="191" spans="1:33" x14ac:dyDescent="0.2">
      <c r="A191" s="58">
        <v>53055</v>
      </c>
      <c r="B191" s="56" t="str">
        <f t="shared" si="4"/>
        <v>53055</v>
      </c>
      <c r="C191" s="57" t="s">
        <v>517</v>
      </c>
      <c r="D191" s="57" t="s">
        <v>387</v>
      </c>
      <c r="E191" s="44" t="s">
        <v>107</v>
      </c>
      <c r="F191" s="17">
        <f>_xlfn.XLOOKUP($B191,'[2]Jan-24'!$A:$A,'[2]Jan-24'!$H:$H,0)</f>
        <v>0</v>
      </c>
      <c r="G191" s="17">
        <f>_xlfn.XLOOKUP($B191,'[2]Feb-24'!$A:$A,'[2]Feb-24'!$H:$H,0)</f>
        <v>0</v>
      </c>
      <c r="H191" s="17">
        <f>_xlfn.XLOOKUP($B191,'[2]Mar-24'!$A:$A,'[2]Mar-24'!$H:$H,0)</f>
        <v>0</v>
      </c>
      <c r="I191" s="17">
        <f>_xlfn.XLOOKUP($B191,'[2]Apr-24'!$A:$A,'[2]Apr-24'!$H:$H,0)</f>
        <v>0</v>
      </c>
      <c r="J191" s="17">
        <f>_xlfn.XLOOKUP($B191,'[2]May-24'!$A:$A,'[2]May-24'!$H:$H,0)</f>
        <v>0</v>
      </c>
      <c r="K191" s="17">
        <f>_xlfn.XLOOKUP($B191,'[2]Jun-24'!$A:$A,'[2]Jun-24'!$H:$H,0)</f>
        <v>0</v>
      </c>
      <c r="L191" s="17">
        <f>_xlfn.XLOOKUP($B191,'[2]Jul-24'!$A:$A,'[2]Jul-24'!$H:$H,0)</f>
        <v>0</v>
      </c>
      <c r="M191" s="17">
        <f>_xlfn.XLOOKUP($B191,'[2]Aug-24'!$A:$A,'[2]Aug-24'!$H:$H,0)</f>
        <v>0</v>
      </c>
      <c r="N191" s="17">
        <f>_xlfn.XLOOKUP($B191,'[2]Sep-24'!$A:$A,'[2]Sep-24'!$H:$H,0)</f>
        <v>0</v>
      </c>
      <c r="O191" s="17">
        <f>_xlfn.XLOOKUP($B191,'[2]Oct-24'!$A:$A,'[2]Oct-24'!$H:$H,0)</f>
        <v>0</v>
      </c>
      <c r="P191" s="17">
        <f>_xlfn.XLOOKUP($B191,'[2]Nov-24'!$A:$A,'[2]Nov-24'!$H:$H,0)</f>
        <v>0</v>
      </c>
      <c r="Q191" s="17">
        <f>_xlfn.XLOOKUP($B191,'[2]Dec-24'!$A:$A,'[2]Dec-24'!$H:$H,0)</f>
        <v>0</v>
      </c>
      <c r="R191" s="17">
        <f>_xlfn.XLOOKUP($B191,'[2]Jan-25'!$A:$A,'[2]Jan-25'!$H:$H,0)</f>
        <v>0</v>
      </c>
      <c r="S191" s="17">
        <f>_xlfn.XLOOKUP($B191,'[2]Feb-25'!$A:$A,'[2]Feb-25'!$H:$H,0)</f>
        <v>0</v>
      </c>
      <c r="T191" s="17">
        <f>_xlfn.XLOOKUP($B191,'[2]Mar-25'!$A:$A,'[2]Mar-25'!$H:$H,0)</f>
        <v>0</v>
      </c>
      <c r="U191" s="17">
        <f>_xlfn.XLOOKUP($B191,'[2]Apr-25'!$A:$A,'[2]Apr-25'!$H:$H,0)</f>
        <v>0</v>
      </c>
      <c r="V191" s="17">
        <f>_xlfn.XLOOKUP($B191,'[2]May-25'!$A:$A,'[2]May-25'!$H:$H,0)</f>
        <v>0</v>
      </c>
      <c r="W191" s="17">
        <f>_xlfn.XLOOKUP($B191,'[2]Jun-25'!$A:$A,'[2]Jun-25'!$H:$H,0)</f>
        <v>0</v>
      </c>
      <c r="X191" s="17">
        <f>_xlfn.XLOOKUP($B191,'[2]Jul-25'!$A:$A,'[2]Jul-25'!$H:$H,0)</f>
        <v>0</v>
      </c>
      <c r="Y191" s="17">
        <f>_xlfn.XLOOKUP($B191,'[2]Aug-25'!$A:$A,'[2]Aug-25'!$H:$H,0)</f>
        <v>0</v>
      </c>
      <c r="Z191" s="17">
        <f>_xlfn.XLOOKUP($B191,'[2]Sep-25'!$A:$A,'[2]Sep-25'!$H:$H,0)</f>
        <v>0</v>
      </c>
      <c r="AA191" s="17">
        <f>_xlfn.XLOOKUP($B191,'[2]Oct-25'!$A:$A,'[2]Oct-25'!$H:$H,0)</f>
        <v>0</v>
      </c>
      <c r="AB191" s="17">
        <f>_xlfn.XLOOKUP($B191,'[2]Nov-25'!$A:$A,'[2]Nov-25'!$H:$H,0)</f>
        <v>0</v>
      </c>
      <c r="AC191" s="17">
        <f>_xlfn.XLOOKUP($B191,'[2]Dec-25'!$A:$A,'[2]Dec-25'!$H:$H,0)</f>
        <v>0</v>
      </c>
      <c r="AD191" s="17">
        <f>_xlfn.XLOOKUP($B191,'[2]Jan-26'!$A:$A,'[2]Jan-26'!$H:$H,0)</f>
        <v>0</v>
      </c>
      <c r="AE191" s="17">
        <f>_xlfn.XLOOKUP($B191,'[2]Feb-26'!$A:$A,'[2]Feb-26'!$H:$H,0)</f>
        <v>0</v>
      </c>
      <c r="AF191" s="17">
        <f>_xlfn.XLOOKUP($B191,'[2]Mar-26'!$A:$A,'[2]Mar-26'!$H:$H,0)</f>
        <v>0</v>
      </c>
      <c r="AG191" s="17">
        <f>_xlfn.XLOOKUP($B191,'[2]Apr-26'!$A:$A,'[2]Apr-26'!$H:$H,0)</f>
        <v>0</v>
      </c>
    </row>
    <row r="192" spans="1:33" x14ac:dyDescent="0.2">
      <c r="A192" s="58">
        <v>53060</v>
      </c>
      <c r="B192" s="56" t="str">
        <f t="shared" si="4"/>
        <v>53060</v>
      </c>
      <c r="C192" s="57" t="s">
        <v>517</v>
      </c>
      <c r="D192" s="57" t="s">
        <v>387</v>
      </c>
      <c r="E192" s="44" t="s">
        <v>108</v>
      </c>
      <c r="F192" s="17">
        <f>_xlfn.XLOOKUP($B192,'[2]Jan-24'!$A:$A,'[2]Jan-24'!$H:$H,0)</f>
        <v>0</v>
      </c>
      <c r="G192" s="17">
        <f>_xlfn.XLOOKUP($B192,'[2]Feb-24'!$A:$A,'[2]Feb-24'!$H:$H,0)</f>
        <v>0</v>
      </c>
      <c r="H192" s="17">
        <f>_xlfn.XLOOKUP($B192,'[2]Mar-24'!$A:$A,'[2]Mar-24'!$H:$H,0)</f>
        <v>0</v>
      </c>
      <c r="I192" s="17">
        <f>_xlfn.XLOOKUP($B192,'[2]Apr-24'!$A:$A,'[2]Apr-24'!$H:$H,0)</f>
        <v>0</v>
      </c>
      <c r="J192" s="17">
        <f>_xlfn.XLOOKUP($B192,'[2]May-24'!$A:$A,'[2]May-24'!$H:$H,0)</f>
        <v>0</v>
      </c>
      <c r="K192" s="17">
        <f>_xlfn.XLOOKUP($B192,'[2]Jun-24'!$A:$A,'[2]Jun-24'!$H:$H,0)</f>
        <v>0</v>
      </c>
      <c r="L192" s="17">
        <f>_xlfn.XLOOKUP($B192,'[2]Jul-24'!$A:$A,'[2]Jul-24'!$H:$H,0)</f>
        <v>0</v>
      </c>
      <c r="M192" s="17">
        <f>_xlfn.XLOOKUP($B192,'[2]Aug-24'!$A:$A,'[2]Aug-24'!$H:$H,0)</f>
        <v>0</v>
      </c>
      <c r="N192" s="17">
        <f>_xlfn.XLOOKUP($B192,'[2]Sep-24'!$A:$A,'[2]Sep-24'!$H:$H,0)</f>
        <v>0</v>
      </c>
      <c r="O192" s="17">
        <f>_xlfn.XLOOKUP($B192,'[2]Oct-24'!$A:$A,'[2]Oct-24'!$H:$H,0)</f>
        <v>0</v>
      </c>
      <c r="P192" s="17">
        <f>_xlfn.XLOOKUP($B192,'[2]Nov-24'!$A:$A,'[2]Nov-24'!$H:$H,0)</f>
        <v>0</v>
      </c>
      <c r="Q192" s="17">
        <f>_xlfn.XLOOKUP($B192,'[2]Dec-24'!$A:$A,'[2]Dec-24'!$H:$H,0)</f>
        <v>0</v>
      </c>
      <c r="R192" s="17">
        <f>_xlfn.XLOOKUP($B192,'[2]Jan-25'!$A:$A,'[2]Jan-25'!$H:$H,0)</f>
        <v>0</v>
      </c>
      <c r="S192" s="17">
        <f>_xlfn.XLOOKUP($B192,'[2]Feb-25'!$A:$A,'[2]Feb-25'!$H:$H,0)</f>
        <v>0</v>
      </c>
      <c r="T192" s="17">
        <f>_xlfn.XLOOKUP($B192,'[2]Mar-25'!$A:$A,'[2]Mar-25'!$H:$H,0)</f>
        <v>0</v>
      </c>
      <c r="U192" s="17">
        <f>_xlfn.XLOOKUP($B192,'[2]Apr-25'!$A:$A,'[2]Apr-25'!$H:$H,0)</f>
        <v>0</v>
      </c>
      <c r="V192" s="17">
        <f>_xlfn.XLOOKUP($B192,'[2]May-25'!$A:$A,'[2]May-25'!$H:$H,0)</f>
        <v>0</v>
      </c>
      <c r="W192" s="17">
        <f>_xlfn.XLOOKUP($B192,'[2]Jun-25'!$A:$A,'[2]Jun-25'!$H:$H,0)</f>
        <v>0</v>
      </c>
      <c r="X192" s="17">
        <f>_xlfn.XLOOKUP($B192,'[2]Jul-25'!$A:$A,'[2]Jul-25'!$H:$H,0)</f>
        <v>0</v>
      </c>
      <c r="Y192" s="17">
        <f>_xlfn.XLOOKUP($B192,'[2]Aug-25'!$A:$A,'[2]Aug-25'!$H:$H,0)</f>
        <v>0</v>
      </c>
      <c r="Z192" s="17">
        <f>_xlfn.XLOOKUP($B192,'[2]Sep-25'!$A:$A,'[2]Sep-25'!$H:$H,0)</f>
        <v>0</v>
      </c>
      <c r="AA192" s="17">
        <f>_xlfn.XLOOKUP($B192,'[2]Oct-25'!$A:$A,'[2]Oct-25'!$H:$H,0)</f>
        <v>0</v>
      </c>
      <c r="AB192" s="17">
        <f>_xlfn.XLOOKUP($B192,'[2]Nov-25'!$A:$A,'[2]Nov-25'!$H:$H,0)</f>
        <v>0</v>
      </c>
      <c r="AC192" s="17">
        <f>_xlfn.XLOOKUP($B192,'[2]Dec-25'!$A:$A,'[2]Dec-25'!$H:$H,0)</f>
        <v>0</v>
      </c>
      <c r="AD192" s="17">
        <f>_xlfn.XLOOKUP($B192,'[2]Jan-26'!$A:$A,'[2]Jan-26'!$H:$H,0)</f>
        <v>0</v>
      </c>
      <c r="AE192" s="17">
        <f>_xlfn.XLOOKUP($B192,'[2]Feb-26'!$A:$A,'[2]Feb-26'!$H:$H,0)</f>
        <v>0</v>
      </c>
      <c r="AF192" s="17">
        <f>_xlfn.XLOOKUP($B192,'[2]Mar-26'!$A:$A,'[2]Mar-26'!$H:$H,0)</f>
        <v>0</v>
      </c>
      <c r="AG192" s="17">
        <f>_xlfn.XLOOKUP($B192,'[2]Apr-26'!$A:$A,'[2]Apr-26'!$H:$H,0)</f>
        <v>0</v>
      </c>
    </row>
    <row r="193" spans="1:33" x14ac:dyDescent="0.2">
      <c r="A193" s="58">
        <v>53065</v>
      </c>
      <c r="B193" s="56" t="str">
        <f t="shared" si="4"/>
        <v>53065</v>
      </c>
      <c r="C193" s="57" t="s">
        <v>517</v>
      </c>
      <c r="D193" s="57" t="s">
        <v>387</v>
      </c>
      <c r="E193" s="44" t="s">
        <v>110</v>
      </c>
      <c r="F193" s="17">
        <f>_xlfn.XLOOKUP($B193,'[2]Jan-24'!$A:$A,'[2]Jan-24'!$H:$H,0)</f>
        <v>0</v>
      </c>
      <c r="G193" s="17">
        <f>_xlfn.XLOOKUP($B193,'[2]Feb-24'!$A:$A,'[2]Feb-24'!$H:$H,0)</f>
        <v>0</v>
      </c>
      <c r="H193" s="17">
        <f>_xlfn.XLOOKUP($B193,'[2]Mar-24'!$A:$A,'[2]Mar-24'!$H:$H,0)</f>
        <v>0</v>
      </c>
      <c r="I193" s="17">
        <f>_xlfn.XLOOKUP($B193,'[2]Apr-24'!$A:$A,'[2]Apr-24'!$H:$H,0)</f>
        <v>0</v>
      </c>
      <c r="J193" s="17">
        <f>_xlfn.XLOOKUP($B193,'[2]May-24'!$A:$A,'[2]May-24'!$H:$H,0)</f>
        <v>0</v>
      </c>
      <c r="K193" s="17">
        <f>_xlfn.XLOOKUP($B193,'[2]Jun-24'!$A:$A,'[2]Jun-24'!$H:$H,0)</f>
        <v>0</v>
      </c>
      <c r="L193" s="17">
        <f>_xlfn.XLOOKUP($B193,'[2]Jul-24'!$A:$A,'[2]Jul-24'!$H:$H,0)</f>
        <v>0</v>
      </c>
      <c r="M193" s="17">
        <f>_xlfn.XLOOKUP($B193,'[2]Aug-24'!$A:$A,'[2]Aug-24'!$H:$H,0)</f>
        <v>0</v>
      </c>
      <c r="N193" s="17">
        <f>_xlfn.XLOOKUP($B193,'[2]Sep-24'!$A:$A,'[2]Sep-24'!$H:$H,0)</f>
        <v>0</v>
      </c>
      <c r="O193" s="17">
        <f>_xlfn.XLOOKUP($B193,'[2]Oct-24'!$A:$A,'[2]Oct-24'!$H:$H,0)</f>
        <v>0</v>
      </c>
      <c r="P193" s="17">
        <f>_xlfn.XLOOKUP($B193,'[2]Nov-24'!$A:$A,'[2]Nov-24'!$H:$H,0)</f>
        <v>0</v>
      </c>
      <c r="Q193" s="17">
        <f>_xlfn.XLOOKUP($B193,'[2]Dec-24'!$A:$A,'[2]Dec-24'!$H:$H,0)</f>
        <v>0</v>
      </c>
      <c r="R193" s="17">
        <f>_xlfn.XLOOKUP($B193,'[2]Jan-25'!$A:$A,'[2]Jan-25'!$H:$H,0)</f>
        <v>0</v>
      </c>
      <c r="S193" s="17">
        <f>_xlfn.XLOOKUP($B193,'[2]Feb-25'!$A:$A,'[2]Feb-25'!$H:$H,0)</f>
        <v>0</v>
      </c>
      <c r="T193" s="17">
        <f>_xlfn.XLOOKUP($B193,'[2]Mar-25'!$A:$A,'[2]Mar-25'!$H:$H,0)</f>
        <v>0</v>
      </c>
      <c r="U193" s="17">
        <f>_xlfn.XLOOKUP($B193,'[2]Apr-25'!$A:$A,'[2]Apr-25'!$H:$H,0)</f>
        <v>0</v>
      </c>
      <c r="V193" s="17">
        <f>_xlfn.XLOOKUP($B193,'[2]May-25'!$A:$A,'[2]May-25'!$H:$H,0)</f>
        <v>0</v>
      </c>
      <c r="W193" s="17">
        <f>_xlfn.XLOOKUP($B193,'[2]Jun-25'!$A:$A,'[2]Jun-25'!$H:$H,0)</f>
        <v>0</v>
      </c>
      <c r="X193" s="17">
        <f>_xlfn.XLOOKUP($B193,'[2]Jul-25'!$A:$A,'[2]Jul-25'!$H:$H,0)</f>
        <v>0</v>
      </c>
      <c r="Y193" s="17">
        <f>_xlfn.XLOOKUP($B193,'[2]Aug-25'!$A:$A,'[2]Aug-25'!$H:$H,0)</f>
        <v>0</v>
      </c>
      <c r="Z193" s="17">
        <f>_xlfn.XLOOKUP($B193,'[2]Sep-25'!$A:$A,'[2]Sep-25'!$H:$H,0)</f>
        <v>0</v>
      </c>
      <c r="AA193" s="17">
        <f>_xlfn.XLOOKUP($B193,'[2]Oct-25'!$A:$A,'[2]Oct-25'!$H:$H,0)</f>
        <v>0</v>
      </c>
      <c r="AB193" s="17">
        <f>_xlfn.XLOOKUP($B193,'[2]Nov-25'!$A:$A,'[2]Nov-25'!$H:$H,0)</f>
        <v>0</v>
      </c>
      <c r="AC193" s="17">
        <f>_xlfn.XLOOKUP($B193,'[2]Dec-25'!$A:$A,'[2]Dec-25'!$H:$H,0)</f>
        <v>0</v>
      </c>
      <c r="AD193" s="17">
        <f>_xlfn.XLOOKUP($B193,'[2]Jan-26'!$A:$A,'[2]Jan-26'!$H:$H,0)</f>
        <v>0</v>
      </c>
      <c r="AE193" s="17">
        <f>_xlfn.XLOOKUP($B193,'[2]Feb-26'!$A:$A,'[2]Feb-26'!$H:$H,0)</f>
        <v>0</v>
      </c>
      <c r="AF193" s="17">
        <f>_xlfn.XLOOKUP($B193,'[2]Mar-26'!$A:$A,'[2]Mar-26'!$H:$H,0)</f>
        <v>0</v>
      </c>
      <c r="AG193" s="17">
        <f>_xlfn.XLOOKUP($B193,'[2]Apr-26'!$A:$A,'[2]Apr-26'!$H:$H,0)</f>
        <v>0</v>
      </c>
    </row>
    <row r="194" spans="1:33" x14ac:dyDescent="0.2">
      <c r="A194" s="58">
        <v>53075</v>
      </c>
      <c r="B194" s="56" t="str">
        <f t="shared" si="4"/>
        <v>53075</v>
      </c>
      <c r="C194" s="57" t="s">
        <v>517</v>
      </c>
      <c r="D194" s="57" t="s">
        <v>387</v>
      </c>
      <c r="E194" s="44" t="s">
        <v>111</v>
      </c>
      <c r="F194" s="17">
        <f>_xlfn.XLOOKUP($B194,'[2]Jan-24'!$A:$A,'[2]Jan-24'!$H:$H,0)</f>
        <v>0</v>
      </c>
      <c r="G194" s="17">
        <f>_xlfn.XLOOKUP($B194,'[2]Feb-24'!$A:$A,'[2]Feb-24'!$H:$H,0)</f>
        <v>0</v>
      </c>
      <c r="H194" s="17">
        <f>_xlfn.XLOOKUP($B194,'[2]Mar-24'!$A:$A,'[2]Mar-24'!$H:$H,0)</f>
        <v>0</v>
      </c>
      <c r="I194" s="17">
        <f>_xlfn.XLOOKUP($B194,'[2]Apr-24'!$A:$A,'[2]Apr-24'!$H:$H,0)</f>
        <v>0</v>
      </c>
      <c r="J194" s="17">
        <f>_xlfn.XLOOKUP($B194,'[2]May-24'!$A:$A,'[2]May-24'!$H:$H,0)</f>
        <v>0</v>
      </c>
      <c r="K194" s="17">
        <f>_xlfn.XLOOKUP($B194,'[2]Jun-24'!$A:$A,'[2]Jun-24'!$H:$H,0)</f>
        <v>0</v>
      </c>
      <c r="L194" s="17">
        <f>_xlfn.XLOOKUP($B194,'[2]Jul-24'!$A:$A,'[2]Jul-24'!$H:$H,0)</f>
        <v>0</v>
      </c>
      <c r="M194" s="17">
        <f>_xlfn.XLOOKUP($B194,'[2]Aug-24'!$A:$A,'[2]Aug-24'!$H:$H,0)</f>
        <v>0</v>
      </c>
      <c r="N194" s="17">
        <f>_xlfn.XLOOKUP($B194,'[2]Sep-24'!$A:$A,'[2]Sep-24'!$H:$H,0)</f>
        <v>0</v>
      </c>
      <c r="O194" s="17">
        <f>_xlfn.XLOOKUP($B194,'[2]Oct-24'!$A:$A,'[2]Oct-24'!$H:$H,0)</f>
        <v>0</v>
      </c>
      <c r="P194" s="17">
        <f>_xlfn.XLOOKUP($B194,'[2]Nov-24'!$A:$A,'[2]Nov-24'!$H:$H,0)</f>
        <v>0</v>
      </c>
      <c r="Q194" s="17">
        <f>_xlfn.XLOOKUP($B194,'[2]Dec-24'!$A:$A,'[2]Dec-24'!$H:$H,0)</f>
        <v>0</v>
      </c>
      <c r="R194" s="17">
        <f>_xlfn.XLOOKUP($B194,'[2]Jan-25'!$A:$A,'[2]Jan-25'!$H:$H,0)</f>
        <v>0</v>
      </c>
      <c r="S194" s="17">
        <f>_xlfn.XLOOKUP($B194,'[2]Feb-25'!$A:$A,'[2]Feb-25'!$H:$H,0)</f>
        <v>0</v>
      </c>
      <c r="T194" s="17">
        <f>_xlfn.XLOOKUP($B194,'[2]Mar-25'!$A:$A,'[2]Mar-25'!$H:$H,0)</f>
        <v>0</v>
      </c>
      <c r="U194" s="17">
        <f>_xlfn.XLOOKUP($B194,'[2]Apr-25'!$A:$A,'[2]Apr-25'!$H:$H,0)</f>
        <v>0</v>
      </c>
      <c r="V194" s="17">
        <f>_xlfn.XLOOKUP($B194,'[2]May-25'!$A:$A,'[2]May-25'!$H:$H,0)</f>
        <v>0</v>
      </c>
      <c r="W194" s="17">
        <f>_xlfn.XLOOKUP($B194,'[2]Jun-25'!$A:$A,'[2]Jun-25'!$H:$H,0)</f>
        <v>0</v>
      </c>
      <c r="X194" s="17">
        <f>_xlfn.XLOOKUP($B194,'[2]Jul-25'!$A:$A,'[2]Jul-25'!$H:$H,0)</f>
        <v>0</v>
      </c>
      <c r="Y194" s="17">
        <f>_xlfn.XLOOKUP($B194,'[2]Aug-25'!$A:$A,'[2]Aug-25'!$H:$H,0)</f>
        <v>0</v>
      </c>
      <c r="Z194" s="17">
        <f>_xlfn.XLOOKUP($B194,'[2]Sep-25'!$A:$A,'[2]Sep-25'!$H:$H,0)</f>
        <v>0</v>
      </c>
      <c r="AA194" s="17">
        <f>_xlfn.XLOOKUP($B194,'[2]Oct-25'!$A:$A,'[2]Oct-25'!$H:$H,0)</f>
        <v>0</v>
      </c>
      <c r="AB194" s="17">
        <f>_xlfn.XLOOKUP($B194,'[2]Nov-25'!$A:$A,'[2]Nov-25'!$H:$H,0)</f>
        <v>0</v>
      </c>
      <c r="AC194" s="17">
        <f>_xlfn.XLOOKUP($B194,'[2]Dec-25'!$A:$A,'[2]Dec-25'!$H:$H,0)</f>
        <v>0</v>
      </c>
      <c r="AD194" s="17">
        <f>_xlfn.XLOOKUP($B194,'[2]Jan-26'!$A:$A,'[2]Jan-26'!$H:$H,0)</f>
        <v>0</v>
      </c>
      <c r="AE194" s="17">
        <f>_xlfn.XLOOKUP($B194,'[2]Feb-26'!$A:$A,'[2]Feb-26'!$H:$H,0)</f>
        <v>0</v>
      </c>
      <c r="AF194" s="17">
        <f>_xlfn.XLOOKUP($B194,'[2]Mar-26'!$A:$A,'[2]Mar-26'!$H:$H,0)</f>
        <v>0</v>
      </c>
      <c r="AG194" s="17">
        <f>_xlfn.XLOOKUP($B194,'[2]Apr-26'!$A:$A,'[2]Apr-26'!$H:$H,0)</f>
        <v>0</v>
      </c>
    </row>
    <row r="195" spans="1:33" x14ac:dyDescent="0.2">
      <c r="A195" s="58">
        <v>53080</v>
      </c>
      <c r="B195" s="56" t="str">
        <f t="shared" si="4"/>
        <v>53080</v>
      </c>
      <c r="C195" s="57" t="s">
        <v>517</v>
      </c>
      <c r="D195" s="57" t="s">
        <v>387</v>
      </c>
      <c r="E195" s="44" t="s">
        <v>112</v>
      </c>
      <c r="F195" s="17">
        <f>_xlfn.XLOOKUP($B195,'[2]Jan-24'!$A:$A,'[2]Jan-24'!$H:$H,0)</f>
        <v>0.64</v>
      </c>
      <c r="G195" s="17">
        <f>_xlfn.XLOOKUP($B195,'[2]Feb-24'!$A:$A,'[2]Feb-24'!$H:$H,0)</f>
        <v>0</v>
      </c>
      <c r="H195" s="17">
        <f>_xlfn.XLOOKUP($B195,'[2]Mar-24'!$A:$A,'[2]Mar-24'!$H:$H,0)</f>
        <v>0</v>
      </c>
      <c r="I195" s="17">
        <f>_xlfn.XLOOKUP($B195,'[2]Apr-24'!$A:$A,'[2]Apr-24'!$H:$H,0)</f>
        <v>922.39</v>
      </c>
      <c r="J195" s="17">
        <f>_xlfn.XLOOKUP($B195,'[2]May-24'!$A:$A,'[2]May-24'!$H:$H,0)</f>
        <v>502.43</v>
      </c>
      <c r="K195" s="17">
        <f>_xlfn.XLOOKUP($B195,'[2]Jun-24'!$A:$A,'[2]Jun-24'!$H:$H,0)</f>
        <v>0</v>
      </c>
      <c r="L195" s="17">
        <f>_xlfn.XLOOKUP($B195,'[2]Jul-24'!$A:$A,'[2]Jul-24'!$H:$H,0)</f>
        <v>1056.6400000000001</v>
      </c>
      <c r="M195" s="17">
        <f>_xlfn.XLOOKUP($B195,'[2]Aug-24'!$A:$A,'[2]Aug-24'!$H:$H,0)</f>
        <v>0</v>
      </c>
      <c r="N195" s="17">
        <f>_xlfn.XLOOKUP($B195,'[2]Sep-24'!$A:$A,'[2]Sep-24'!$H:$H,0)</f>
        <v>0</v>
      </c>
      <c r="O195" s="17">
        <f>_xlfn.XLOOKUP($B195,'[2]Oct-24'!$A:$A,'[2]Oct-24'!$H:$H,0)</f>
        <v>799.57</v>
      </c>
      <c r="P195" s="17">
        <f>_xlfn.XLOOKUP($B195,'[2]Nov-24'!$A:$A,'[2]Nov-24'!$H:$H,0)</f>
        <v>800.35</v>
      </c>
      <c r="Q195" s="17">
        <f>_xlfn.XLOOKUP($B195,'[2]Dec-24'!$A:$A,'[2]Dec-24'!$H:$H,0)</f>
        <v>841.12</v>
      </c>
      <c r="R195" s="17">
        <f>_xlfn.XLOOKUP($B195,'[2]Jan-25'!$A:$A,'[2]Jan-25'!$H:$H,0)</f>
        <v>0</v>
      </c>
      <c r="S195" s="17">
        <f>_xlfn.XLOOKUP($B195,'[2]Feb-25'!$A:$A,'[2]Feb-25'!$H:$H,0)</f>
        <v>403.38999999989755</v>
      </c>
      <c r="T195" s="17">
        <f>_xlfn.XLOOKUP($B195,'[2]Mar-25'!$A:$A,'[2]Mar-25'!$H:$H,0)</f>
        <v>0</v>
      </c>
      <c r="U195" s="17">
        <f>_xlfn.XLOOKUP($B195,'[2]Apr-25'!$A:$A,'[2]Apr-25'!$H:$H,0)</f>
        <v>0</v>
      </c>
      <c r="V195" s="17">
        <f>_xlfn.XLOOKUP($B195,'[2]May-25'!$A:$A,'[2]May-25'!$H:$H,0)</f>
        <v>455.65</v>
      </c>
      <c r="W195" s="17">
        <f>_xlfn.XLOOKUP($B195,'[2]Jun-25'!$A:$A,'[2]Jun-25'!$H:$H,0)</f>
        <v>0</v>
      </c>
      <c r="X195" s="17">
        <f>_xlfn.XLOOKUP($B195,'[2]Jul-25'!$A:$A,'[2]Jul-25'!$H:$H,0)</f>
        <v>557.46</v>
      </c>
      <c r="Y195" s="17">
        <f>_xlfn.XLOOKUP($B195,'[2]Aug-25'!$A:$A,'[2]Aug-25'!$H:$H,0)</f>
        <v>0</v>
      </c>
      <c r="Z195" s="17">
        <f>_xlfn.XLOOKUP($B195,'[2]Sep-25'!$A:$A,'[2]Sep-25'!$H:$H,0)</f>
        <v>876.61</v>
      </c>
      <c r="AA195" s="17">
        <f>_xlfn.XLOOKUP($B195,'[2]Oct-25'!$A:$A,'[2]Oct-25'!$H:$H,0)</f>
        <v>342.17</v>
      </c>
      <c r="AB195" s="17">
        <f>_xlfn.XLOOKUP($B195,'[2]Nov-25'!$A:$A,'[2]Nov-25'!$H:$H,0)</f>
        <v>0</v>
      </c>
      <c r="AC195" s="17">
        <f>_xlfn.XLOOKUP($B195,'[2]Dec-25'!$A:$A,'[2]Dec-25'!$H:$H,0)</f>
        <v>713.15</v>
      </c>
      <c r="AD195" s="17">
        <f>_xlfn.XLOOKUP($B195,'[2]Jan-26'!$A:$A,'[2]Jan-26'!$H:$H,0)</f>
        <v>59.98</v>
      </c>
      <c r="AE195" s="17">
        <f>_xlfn.XLOOKUP($B195,'[2]Feb-26'!$A:$A,'[2]Feb-26'!$H:$H,0)</f>
        <v>0</v>
      </c>
      <c r="AF195" s="17">
        <f>_xlfn.XLOOKUP($B195,'[2]Mar-26'!$A:$A,'[2]Mar-26'!$H:$H,0)</f>
        <v>365.38</v>
      </c>
      <c r="AG195" s="17">
        <f>_xlfn.XLOOKUP($B195,'[2]Apr-26'!$A:$A,'[2]Apr-26'!$H:$H,0)</f>
        <v>1012.35</v>
      </c>
    </row>
    <row r="196" spans="1:33" x14ac:dyDescent="0.2">
      <c r="A196" s="58">
        <v>53090</v>
      </c>
      <c r="B196" s="56" t="str">
        <f t="shared" si="4"/>
        <v>53090</v>
      </c>
      <c r="C196" s="57" t="s">
        <v>517</v>
      </c>
      <c r="D196" s="57" t="s">
        <v>387</v>
      </c>
      <c r="E196" s="44" t="s">
        <v>870</v>
      </c>
      <c r="F196" s="17">
        <f>_xlfn.XLOOKUP($B196,'[2]Jan-24'!$A:$A,'[2]Jan-24'!$H:$H,0)</f>
        <v>0</v>
      </c>
      <c r="G196" s="17">
        <f>_xlfn.XLOOKUP($B196,'[2]Feb-24'!$A:$A,'[2]Feb-24'!$H:$H,0)</f>
        <v>0</v>
      </c>
      <c r="H196" s="17">
        <f>_xlfn.XLOOKUP($B196,'[2]Mar-24'!$A:$A,'[2]Mar-24'!$H:$H,0)</f>
        <v>0</v>
      </c>
      <c r="I196" s="17">
        <f>_xlfn.XLOOKUP($B196,'[2]Apr-24'!$A:$A,'[2]Apr-24'!$H:$H,0)</f>
        <v>0</v>
      </c>
      <c r="J196" s="17">
        <f>_xlfn.XLOOKUP($B196,'[2]May-24'!$A:$A,'[2]May-24'!$H:$H,0)</f>
        <v>0</v>
      </c>
      <c r="K196" s="17">
        <f>_xlfn.XLOOKUP($B196,'[2]Jun-24'!$A:$A,'[2]Jun-24'!$H:$H,0)</f>
        <v>0</v>
      </c>
      <c r="L196" s="17">
        <f>_xlfn.XLOOKUP($B196,'[2]Jul-24'!$A:$A,'[2]Jul-24'!$H:$H,0)</f>
        <v>0</v>
      </c>
      <c r="M196" s="17">
        <f>_xlfn.XLOOKUP($B196,'[2]Aug-24'!$A:$A,'[2]Aug-24'!$H:$H,0)</f>
        <v>0</v>
      </c>
      <c r="N196" s="17">
        <f>_xlfn.XLOOKUP($B196,'[2]Sep-24'!$A:$A,'[2]Sep-24'!$H:$H,0)</f>
        <v>0</v>
      </c>
      <c r="O196" s="17">
        <f>_xlfn.XLOOKUP($B196,'[2]Oct-24'!$A:$A,'[2]Oct-24'!$H:$H,0)</f>
        <v>0</v>
      </c>
      <c r="P196" s="17">
        <f>_xlfn.XLOOKUP($B196,'[2]Nov-24'!$A:$A,'[2]Nov-24'!$H:$H,0)</f>
        <v>0</v>
      </c>
      <c r="Q196" s="17">
        <f>_xlfn.XLOOKUP($B196,'[2]Dec-24'!$A:$A,'[2]Dec-24'!$H:$H,0)</f>
        <v>0</v>
      </c>
      <c r="R196" s="17">
        <f>_xlfn.XLOOKUP($B196,'[2]Jan-25'!$A:$A,'[2]Jan-25'!$H:$H,0)</f>
        <v>0</v>
      </c>
      <c r="S196" s="17">
        <f>_xlfn.XLOOKUP($B196,'[2]Feb-25'!$A:$A,'[2]Feb-25'!$H:$H,0)</f>
        <v>0</v>
      </c>
      <c r="T196" s="17">
        <f>_xlfn.XLOOKUP($B196,'[2]Mar-25'!$A:$A,'[2]Mar-25'!$H:$H,0)</f>
        <v>0</v>
      </c>
      <c r="U196" s="17">
        <f>_xlfn.XLOOKUP($B196,'[2]Apr-25'!$A:$A,'[2]Apr-25'!$H:$H,0)</f>
        <v>0</v>
      </c>
      <c r="V196" s="17">
        <f>_xlfn.XLOOKUP($B196,'[2]May-25'!$A:$A,'[2]May-25'!$H:$H,0)</f>
        <v>0</v>
      </c>
      <c r="W196" s="17">
        <f>_xlfn.XLOOKUP($B196,'[2]Jun-25'!$A:$A,'[2]Jun-25'!$H:$H,0)</f>
        <v>0</v>
      </c>
      <c r="X196" s="17">
        <f>_xlfn.XLOOKUP($B196,'[2]Jul-25'!$A:$A,'[2]Jul-25'!$H:$H,0)</f>
        <v>0</v>
      </c>
      <c r="Y196" s="17">
        <f>_xlfn.XLOOKUP($B196,'[2]Aug-25'!$A:$A,'[2]Aug-25'!$H:$H,0)</f>
        <v>0</v>
      </c>
      <c r="Z196" s="17">
        <f>_xlfn.XLOOKUP($B196,'[2]Sep-25'!$A:$A,'[2]Sep-25'!$H:$H,0)</f>
        <v>0</v>
      </c>
      <c r="AA196" s="17">
        <f>_xlfn.XLOOKUP($B196,'[2]Oct-25'!$A:$A,'[2]Oct-25'!$H:$H,0)</f>
        <v>0</v>
      </c>
      <c r="AB196" s="17">
        <f>_xlfn.XLOOKUP($B196,'[2]Nov-25'!$A:$A,'[2]Nov-25'!$H:$H,0)</f>
        <v>0</v>
      </c>
      <c r="AC196" s="17">
        <f>_xlfn.XLOOKUP($B196,'[2]Dec-25'!$A:$A,'[2]Dec-25'!$H:$H,0)</f>
        <v>0</v>
      </c>
      <c r="AD196" s="17">
        <f>_xlfn.XLOOKUP($B196,'[2]Jan-26'!$A:$A,'[2]Jan-26'!$H:$H,0)</f>
        <v>0</v>
      </c>
      <c r="AE196" s="17">
        <f>_xlfn.XLOOKUP($B196,'[2]Feb-26'!$A:$A,'[2]Feb-26'!$H:$H,0)</f>
        <v>0</v>
      </c>
      <c r="AF196" s="17">
        <f>_xlfn.XLOOKUP($B196,'[2]Mar-26'!$A:$A,'[2]Mar-26'!$H:$H,0)</f>
        <v>0</v>
      </c>
      <c r="AG196" s="17">
        <f>_xlfn.XLOOKUP($B196,'[2]Apr-26'!$A:$A,'[2]Apr-26'!$H:$H,0)</f>
        <v>0</v>
      </c>
    </row>
    <row r="197" spans="1:33" x14ac:dyDescent="0.2">
      <c r="A197" s="58">
        <v>53095</v>
      </c>
      <c r="B197" s="56" t="str">
        <f t="shared" si="4"/>
        <v>53095</v>
      </c>
      <c r="C197" s="57" t="s">
        <v>517</v>
      </c>
      <c r="D197" s="57" t="s">
        <v>387</v>
      </c>
      <c r="E197" s="44" t="s">
        <v>114</v>
      </c>
      <c r="F197" s="17">
        <f>_xlfn.XLOOKUP($B197,'[2]Jan-24'!$A:$A,'[2]Jan-24'!$H:$H,0)</f>
        <v>0</v>
      </c>
      <c r="G197" s="17">
        <f>_xlfn.XLOOKUP($B197,'[2]Feb-24'!$A:$A,'[2]Feb-24'!$H:$H,0)</f>
        <v>0</v>
      </c>
      <c r="H197" s="17">
        <f>_xlfn.XLOOKUP($B197,'[2]Mar-24'!$A:$A,'[2]Mar-24'!$H:$H,0)</f>
        <v>601.04</v>
      </c>
      <c r="I197" s="17">
        <f>_xlfn.XLOOKUP($B197,'[2]Apr-24'!$A:$A,'[2]Apr-24'!$H:$H,0)</f>
        <v>0</v>
      </c>
      <c r="J197" s="17">
        <f>_xlfn.XLOOKUP($B197,'[2]May-24'!$A:$A,'[2]May-24'!$H:$H,0)</f>
        <v>0</v>
      </c>
      <c r="K197" s="17">
        <f>_xlfn.XLOOKUP($B197,'[2]Jun-24'!$A:$A,'[2]Jun-24'!$H:$H,0)</f>
        <v>0</v>
      </c>
      <c r="L197" s="17">
        <f>_xlfn.XLOOKUP($B197,'[2]Jul-24'!$A:$A,'[2]Jul-24'!$H:$H,0)</f>
        <v>0</v>
      </c>
      <c r="M197" s="17">
        <f>_xlfn.XLOOKUP($B197,'[2]Aug-24'!$A:$A,'[2]Aug-24'!$H:$H,0)</f>
        <v>188.06</v>
      </c>
      <c r="N197" s="17">
        <f>_xlfn.XLOOKUP($B197,'[2]Sep-24'!$A:$A,'[2]Sep-24'!$H:$H,0)</f>
        <v>0</v>
      </c>
      <c r="O197" s="17">
        <f>_xlfn.XLOOKUP($B197,'[2]Oct-24'!$A:$A,'[2]Oct-24'!$H:$H,0)</f>
        <v>0</v>
      </c>
      <c r="P197" s="17">
        <f>_xlfn.XLOOKUP($B197,'[2]Nov-24'!$A:$A,'[2]Nov-24'!$H:$H,0)</f>
        <v>43.11</v>
      </c>
      <c r="Q197" s="17">
        <f>_xlfn.XLOOKUP($B197,'[2]Dec-24'!$A:$A,'[2]Dec-24'!$H:$H,0)</f>
        <v>0</v>
      </c>
      <c r="R197" s="17">
        <f>_xlfn.XLOOKUP($B197,'[2]Jan-25'!$A:$A,'[2]Jan-25'!$H:$H,0)</f>
        <v>26.69</v>
      </c>
      <c r="S197" s="17">
        <f>_xlfn.XLOOKUP($B197,'[2]Feb-25'!$A:$A,'[2]Feb-25'!$H:$H,0)</f>
        <v>42.17</v>
      </c>
      <c r="T197" s="17">
        <f>_xlfn.XLOOKUP($B197,'[2]Mar-25'!$A:$A,'[2]Mar-25'!$H:$H,0)</f>
        <v>62.93</v>
      </c>
      <c r="U197" s="17">
        <f>_xlfn.XLOOKUP($B197,'[2]Apr-25'!$A:$A,'[2]Apr-25'!$H:$H,0)</f>
        <v>48.89</v>
      </c>
      <c r="V197" s="17">
        <f>_xlfn.XLOOKUP($B197,'[2]May-25'!$A:$A,'[2]May-25'!$H:$H,0)</f>
        <v>28.73</v>
      </c>
      <c r="W197" s="17">
        <f>_xlfn.XLOOKUP($B197,'[2]Jun-25'!$A:$A,'[2]Jun-25'!$H:$H,0)</f>
        <v>16.5</v>
      </c>
      <c r="X197" s="17">
        <f>_xlfn.XLOOKUP($B197,'[2]Jul-25'!$A:$A,'[2]Jul-25'!$H:$H,0)</f>
        <v>17.170000000000002</v>
      </c>
      <c r="Y197" s="17">
        <f>_xlfn.XLOOKUP($B197,'[2]Aug-25'!$A:$A,'[2]Aug-25'!$H:$H,0)</f>
        <v>67.430000000000007</v>
      </c>
      <c r="Z197" s="17">
        <f>_xlfn.XLOOKUP($B197,'[2]Sep-25'!$A:$A,'[2]Sep-25'!$H:$H,0)</f>
        <v>55.19</v>
      </c>
      <c r="AA197" s="17">
        <f>_xlfn.XLOOKUP($B197,'[2]Oct-25'!$A:$A,'[2]Oct-25'!$H:$H,0)</f>
        <v>1321.39</v>
      </c>
      <c r="AB197" s="17">
        <f>_xlfn.XLOOKUP($B197,'[2]Nov-25'!$A:$A,'[2]Nov-25'!$H:$H,0)</f>
        <v>0</v>
      </c>
      <c r="AC197" s="17">
        <f>_xlfn.XLOOKUP($B197,'[2]Dec-25'!$A:$A,'[2]Dec-25'!$H:$H,0)</f>
        <v>133.04</v>
      </c>
      <c r="AD197" s="17">
        <f>_xlfn.XLOOKUP($B197,'[2]Jan-26'!$A:$A,'[2]Jan-26'!$H:$H,0)</f>
        <v>0</v>
      </c>
      <c r="AE197" s="17">
        <f>_xlfn.XLOOKUP($B197,'[2]Feb-26'!$A:$A,'[2]Feb-26'!$H:$H,0)</f>
        <v>0</v>
      </c>
      <c r="AF197" s="17">
        <f>_xlfn.XLOOKUP($B197,'[2]Mar-26'!$A:$A,'[2]Mar-26'!$H:$H,0)</f>
        <v>16.39</v>
      </c>
      <c r="AG197" s="17">
        <f>_xlfn.XLOOKUP($B197,'[2]Apr-26'!$A:$A,'[2]Apr-26'!$H:$H,0)</f>
        <v>0</v>
      </c>
    </row>
    <row r="198" spans="1:33" x14ac:dyDescent="0.2">
      <c r="A198" s="58">
        <v>53105</v>
      </c>
      <c r="B198" s="56" t="str">
        <f t="shared" si="4"/>
        <v>53105</v>
      </c>
      <c r="C198" s="57" t="s">
        <v>517</v>
      </c>
      <c r="D198" s="57" t="s">
        <v>387</v>
      </c>
      <c r="E198" s="44" t="s">
        <v>544</v>
      </c>
      <c r="F198" s="17">
        <f>_xlfn.XLOOKUP($B198,'[2]Jan-24'!$A:$A,'[2]Jan-24'!$H:$H,0)</f>
        <v>0</v>
      </c>
      <c r="G198" s="17">
        <f>_xlfn.XLOOKUP($B198,'[2]Feb-24'!$A:$A,'[2]Feb-24'!$H:$H,0)</f>
        <v>0</v>
      </c>
      <c r="H198" s="17">
        <f>_xlfn.XLOOKUP($B198,'[2]Mar-24'!$A:$A,'[2]Mar-24'!$H:$H,0)</f>
        <v>0</v>
      </c>
      <c r="I198" s="17">
        <f>_xlfn.XLOOKUP($B198,'[2]Apr-24'!$A:$A,'[2]Apr-24'!$H:$H,0)</f>
        <v>0</v>
      </c>
      <c r="J198" s="17">
        <f>_xlfn.XLOOKUP($B198,'[2]May-24'!$A:$A,'[2]May-24'!$H:$H,0)</f>
        <v>0</v>
      </c>
      <c r="K198" s="17">
        <f>_xlfn.XLOOKUP($B198,'[2]Jun-24'!$A:$A,'[2]Jun-24'!$H:$H,0)</f>
        <v>0</v>
      </c>
      <c r="L198" s="17">
        <f>_xlfn.XLOOKUP($B198,'[2]Jul-24'!$A:$A,'[2]Jul-24'!$H:$H,0)</f>
        <v>0</v>
      </c>
      <c r="M198" s="17">
        <f>_xlfn.XLOOKUP($B198,'[2]Aug-24'!$A:$A,'[2]Aug-24'!$H:$H,0)</f>
        <v>0</v>
      </c>
      <c r="N198" s="17">
        <f>_xlfn.XLOOKUP($B198,'[2]Sep-24'!$A:$A,'[2]Sep-24'!$H:$H,0)</f>
        <v>0</v>
      </c>
      <c r="O198" s="17">
        <f>_xlfn.XLOOKUP($B198,'[2]Oct-24'!$A:$A,'[2]Oct-24'!$H:$H,0)</f>
        <v>0</v>
      </c>
      <c r="P198" s="17">
        <f>_xlfn.XLOOKUP($B198,'[2]Nov-24'!$A:$A,'[2]Nov-24'!$H:$H,0)</f>
        <v>0</v>
      </c>
      <c r="Q198" s="17">
        <f>_xlfn.XLOOKUP($B198,'[2]Dec-24'!$A:$A,'[2]Dec-24'!$H:$H,0)</f>
        <v>0</v>
      </c>
      <c r="R198" s="17">
        <f>_xlfn.XLOOKUP($B198,'[2]Jan-25'!$A:$A,'[2]Jan-25'!$H:$H,0)</f>
        <v>0</v>
      </c>
      <c r="S198" s="17">
        <f>_xlfn.XLOOKUP($B198,'[2]Feb-25'!$A:$A,'[2]Feb-25'!$H:$H,0)</f>
        <v>0</v>
      </c>
      <c r="T198" s="17">
        <f>_xlfn.XLOOKUP($B198,'[2]Mar-25'!$A:$A,'[2]Mar-25'!$H:$H,0)</f>
        <v>0</v>
      </c>
      <c r="U198" s="17">
        <f>_xlfn.XLOOKUP($B198,'[2]Apr-25'!$A:$A,'[2]Apr-25'!$H:$H,0)</f>
        <v>0</v>
      </c>
      <c r="V198" s="17">
        <f>_xlfn.XLOOKUP($B198,'[2]May-25'!$A:$A,'[2]May-25'!$H:$H,0)</f>
        <v>0</v>
      </c>
      <c r="W198" s="17">
        <f>_xlfn.XLOOKUP($B198,'[2]Jun-25'!$A:$A,'[2]Jun-25'!$H:$H,0)</f>
        <v>0</v>
      </c>
      <c r="X198" s="17">
        <f>_xlfn.XLOOKUP($B198,'[2]Jul-25'!$A:$A,'[2]Jul-25'!$H:$H,0)</f>
        <v>0</v>
      </c>
      <c r="Y198" s="17">
        <f>_xlfn.XLOOKUP($B198,'[2]Aug-25'!$A:$A,'[2]Aug-25'!$H:$H,0)</f>
        <v>0</v>
      </c>
      <c r="Z198" s="17">
        <f>_xlfn.XLOOKUP($B198,'[2]Sep-25'!$A:$A,'[2]Sep-25'!$H:$H,0)</f>
        <v>0</v>
      </c>
      <c r="AA198" s="17">
        <f>_xlfn.XLOOKUP($B198,'[2]Oct-25'!$A:$A,'[2]Oct-25'!$H:$H,0)</f>
        <v>0</v>
      </c>
      <c r="AB198" s="17">
        <f>_xlfn.XLOOKUP($B198,'[2]Nov-25'!$A:$A,'[2]Nov-25'!$H:$H,0)</f>
        <v>0</v>
      </c>
      <c r="AC198" s="17">
        <f>_xlfn.XLOOKUP($B198,'[2]Dec-25'!$A:$A,'[2]Dec-25'!$H:$H,0)</f>
        <v>0</v>
      </c>
      <c r="AD198" s="17">
        <f>_xlfn.XLOOKUP($B198,'[2]Jan-26'!$A:$A,'[2]Jan-26'!$H:$H,0)</f>
        <v>0</v>
      </c>
      <c r="AE198" s="17">
        <f>_xlfn.XLOOKUP($B198,'[2]Feb-26'!$A:$A,'[2]Feb-26'!$H:$H,0)</f>
        <v>0</v>
      </c>
      <c r="AF198" s="17">
        <f>_xlfn.XLOOKUP($B198,'[2]Mar-26'!$A:$A,'[2]Mar-26'!$H:$H,0)</f>
        <v>0</v>
      </c>
      <c r="AG198" s="17">
        <f>_xlfn.XLOOKUP($B198,'[2]Apr-26'!$A:$A,'[2]Apr-26'!$H:$H,0)</f>
        <v>0</v>
      </c>
    </row>
    <row r="199" spans="1:33" x14ac:dyDescent="0.2">
      <c r="A199" s="58">
        <v>53110</v>
      </c>
      <c r="B199" s="56" t="str">
        <f t="shared" si="4"/>
        <v>53110</v>
      </c>
      <c r="C199" s="57" t="s">
        <v>517</v>
      </c>
      <c r="D199" s="57" t="s">
        <v>387</v>
      </c>
      <c r="E199" s="44" t="s">
        <v>115</v>
      </c>
      <c r="F199" s="17">
        <f>_xlfn.XLOOKUP($B199,'[2]Jan-24'!$A:$A,'[2]Jan-24'!$H:$H,0)</f>
        <v>0</v>
      </c>
      <c r="G199" s="17">
        <f>_xlfn.XLOOKUP($B199,'[2]Feb-24'!$A:$A,'[2]Feb-24'!$H:$H,0)</f>
        <v>0</v>
      </c>
      <c r="H199" s="17">
        <f>_xlfn.XLOOKUP($B199,'[2]Mar-24'!$A:$A,'[2]Mar-24'!$H:$H,0)</f>
        <v>0</v>
      </c>
      <c r="I199" s="17">
        <f>_xlfn.XLOOKUP($B199,'[2]Apr-24'!$A:$A,'[2]Apr-24'!$H:$H,0)</f>
        <v>0</v>
      </c>
      <c r="J199" s="17">
        <f>_xlfn.XLOOKUP($B199,'[2]May-24'!$A:$A,'[2]May-24'!$H:$H,0)</f>
        <v>0</v>
      </c>
      <c r="K199" s="17">
        <f>_xlfn.XLOOKUP($B199,'[2]Jun-24'!$A:$A,'[2]Jun-24'!$H:$H,0)</f>
        <v>0</v>
      </c>
      <c r="L199" s="17">
        <f>_xlfn.XLOOKUP($B199,'[2]Jul-24'!$A:$A,'[2]Jul-24'!$H:$H,0)</f>
        <v>0</v>
      </c>
      <c r="M199" s="17">
        <f>_xlfn.XLOOKUP($B199,'[2]Aug-24'!$A:$A,'[2]Aug-24'!$H:$H,0)</f>
        <v>0</v>
      </c>
      <c r="N199" s="17">
        <f>_xlfn.XLOOKUP($B199,'[2]Sep-24'!$A:$A,'[2]Sep-24'!$H:$H,0)</f>
        <v>0</v>
      </c>
      <c r="O199" s="17">
        <f>_xlfn.XLOOKUP($B199,'[2]Oct-24'!$A:$A,'[2]Oct-24'!$H:$H,0)</f>
        <v>0</v>
      </c>
      <c r="P199" s="17">
        <f>_xlfn.XLOOKUP($B199,'[2]Nov-24'!$A:$A,'[2]Nov-24'!$H:$H,0)</f>
        <v>0</v>
      </c>
      <c r="Q199" s="17">
        <f>_xlfn.XLOOKUP($B199,'[2]Dec-24'!$A:$A,'[2]Dec-24'!$H:$H,0)</f>
        <v>0</v>
      </c>
      <c r="R199" s="17">
        <f>_xlfn.XLOOKUP($B199,'[2]Jan-25'!$A:$A,'[2]Jan-25'!$H:$H,0)</f>
        <v>0</v>
      </c>
      <c r="S199" s="17">
        <f>_xlfn.XLOOKUP($B199,'[2]Feb-25'!$A:$A,'[2]Feb-25'!$H:$H,0)</f>
        <v>0</v>
      </c>
      <c r="T199" s="17">
        <f>_xlfn.XLOOKUP($B199,'[2]Mar-25'!$A:$A,'[2]Mar-25'!$H:$H,0)</f>
        <v>0</v>
      </c>
      <c r="U199" s="17">
        <f>_xlfn.XLOOKUP($B199,'[2]Apr-25'!$A:$A,'[2]Apr-25'!$H:$H,0)</f>
        <v>0</v>
      </c>
      <c r="V199" s="17">
        <f>_xlfn.XLOOKUP($B199,'[2]May-25'!$A:$A,'[2]May-25'!$H:$H,0)</f>
        <v>0</v>
      </c>
      <c r="W199" s="17">
        <f>_xlfn.XLOOKUP($B199,'[2]Jun-25'!$A:$A,'[2]Jun-25'!$H:$H,0)</f>
        <v>0</v>
      </c>
      <c r="X199" s="17">
        <f>_xlfn.XLOOKUP($B199,'[2]Jul-25'!$A:$A,'[2]Jul-25'!$H:$H,0)</f>
        <v>0</v>
      </c>
      <c r="Y199" s="17">
        <f>_xlfn.XLOOKUP($B199,'[2]Aug-25'!$A:$A,'[2]Aug-25'!$H:$H,0)</f>
        <v>0</v>
      </c>
      <c r="Z199" s="17">
        <f>_xlfn.XLOOKUP($B199,'[2]Sep-25'!$A:$A,'[2]Sep-25'!$H:$H,0)</f>
        <v>0</v>
      </c>
      <c r="AA199" s="17">
        <f>_xlfn.XLOOKUP($B199,'[2]Oct-25'!$A:$A,'[2]Oct-25'!$H:$H,0)</f>
        <v>0</v>
      </c>
      <c r="AB199" s="17">
        <f>_xlfn.XLOOKUP($B199,'[2]Nov-25'!$A:$A,'[2]Nov-25'!$H:$H,0)</f>
        <v>0</v>
      </c>
      <c r="AC199" s="17">
        <f>_xlfn.XLOOKUP($B199,'[2]Dec-25'!$A:$A,'[2]Dec-25'!$H:$H,0)</f>
        <v>0</v>
      </c>
      <c r="AD199" s="17">
        <f>_xlfn.XLOOKUP($B199,'[2]Jan-26'!$A:$A,'[2]Jan-26'!$H:$H,0)</f>
        <v>0</v>
      </c>
      <c r="AE199" s="17">
        <f>_xlfn.XLOOKUP($B199,'[2]Feb-26'!$A:$A,'[2]Feb-26'!$H:$H,0)</f>
        <v>0</v>
      </c>
      <c r="AF199" s="17">
        <f>_xlfn.XLOOKUP($B199,'[2]Mar-26'!$A:$A,'[2]Mar-26'!$H:$H,0)</f>
        <v>0</v>
      </c>
      <c r="AG199" s="17">
        <f>_xlfn.XLOOKUP($B199,'[2]Apr-26'!$A:$A,'[2]Apr-26'!$H:$H,0)</f>
        <v>0</v>
      </c>
    </row>
    <row r="200" spans="1:33" x14ac:dyDescent="0.2">
      <c r="A200" s="58">
        <v>53120</v>
      </c>
      <c r="B200" s="56" t="str">
        <f t="shared" ref="B200:B263" si="5">TEXT(A200,"00000")</f>
        <v>53120</v>
      </c>
      <c r="C200" s="57" t="s">
        <v>517</v>
      </c>
      <c r="D200" s="57" t="s">
        <v>387</v>
      </c>
      <c r="E200" s="44" t="s">
        <v>116</v>
      </c>
      <c r="F200" s="17">
        <f>_xlfn.XLOOKUP($B200,'[2]Jan-24'!$A:$A,'[2]Jan-24'!$H:$H,0)</f>
        <v>0</v>
      </c>
      <c r="G200" s="17">
        <f>_xlfn.XLOOKUP($B200,'[2]Feb-24'!$A:$A,'[2]Feb-24'!$H:$H,0)</f>
        <v>0</v>
      </c>
      <c r="H200" s="17">
        <f>_xlfn.XLOOKUP($B200,'[2]Mar-24'!$A:$A,'[2]Mar-24'!$H:$H,0)</f>
        <v>0</v>
      </c>
      <c r="I200" s="17">
        <f>_xlfn.XLOOKUP($B200,'[2]Apr-24'!$A:$A,'[2]Apr-24'!$H:$H,0)</f>
        <v>0</v>
      </c>
      <c r="J200" s="17">
        <f>_xlfn.XLOOKUP($B200,'[2]May-24'!$A:$A,'[2]May-24'!$H:$H,0)</f>
        <v>0</v>
      </c>
      <c r="K200" s="17">
        <f>_xlfn.XLOOKUP($B200,'[2]Jun-24'!$A:$A,'[2]Jun-24'!$H:$H,0)</f>
        <v>0</v>
      </c>
      <c r="L200" s="17">
        <f>_xlfn.XLOOKUP($B200,'[2]Jul-24'!$A:$A,'[2]Jul-24'!$H:$H,0)</f>
        <v>0</v>
      </c>
      <c r="M200" s="17">
        <f>_xlfn.XLOOKUP($B200,'[2]Aug-24'!$A:$A,'[2]Aug-24'!$H:$H,0)</f>
        <v>0</v>
      </c>
      <c r="N200" s="17">
        <f>_xlfn.XLOOKUP($B200,'[2]Sep-24'!$A:$A,'[2]Sep-24'!$H:$H,0)</f>
        <v>0</v>
      </c>
      <c r="O200" s="17">
        <f>_xlfn.XLOOKUP($B200,'[2]Oct-24'!$A:$A,'[2]Oct-24'!$H:$H,0)</f>
        <v>0</v>
      </c>
      <c r="P200" s="17">
        <f>_xlfn.XLOOKUP($B200,'[2]Nov-24'!$A:$A,'[2]Nov-24'!$H:$H,0)</f>
        <v>0</v>
      </c>
      <c r="Q200" s="17">
        <f>_xlfn.XLOOKUP($B200,'[2]Dec-24'!$A:$A,'[2]Dec-24'!$H:$H,0)</f>
        <v>0</v>
      </c>
      <c r="R200" s="17">
        <f>_xlfn.XLOOKUP($B200,'[2]Jan-25'!$A:$A,'[2]Jan-25'!$H:$H,0)</f>
        <v>0</v>
      </c>
      <c r="S200" s="17">
        <f>_xlfn.XLOOKUP($B200,'[2]Feb-25'!$A:$A,'[2]Feb-25'!$H:$H,0)</f>
        <v>0</v>
      </c>
      <c r="T200" s="17">
        <f>_xlfn.XLOOKUP($B200,'[2]Mar-25'!$A:$A,'[2]Mar-25'!$H:$H,0)</f>
        <v>0</v>
      </c>
      <c r="U200" s="17">
        <f>_xlfn.XLOOKUP($B200,'[2]Apr-25'!$A:$A,'[2]Apr-25'!$H:$H,0)</f>
        <v>0</v>
      </c>
      <c r="V200" s="17">
        <f>_xlfn.XLOOKUP($B200,'[2]May-25'!$A:$A,'[2]May-25'!$H:$H,0)</f>
        <v>0</v>
      </c>
      <c r="W200" s="17">
        <f>_xlfn.XLOOKUP($B200,'[2]Jun-25'!$A:$A,'[2]Jun-25'!$H:$H,0)</f>
        <v>0</v>
      </c>
      <c r="X200" s="17">
        <f>_xlfn.XLOOKUP($B200,'[2]Jul-25'!$A:$A,'[2]Jul-25'!$H:$H,0)</f>
        <v>0</v>
      </c>
      <c r="Y200" s="17">
        <f>_xlfn.XLOOKUP($B200,'[2]Aug-25'!$A:$A,'[2]Aug-25'!$H:$H,0)</f>
        <v>0</v>
      </c>
      <c r="Z200" s="17">
        <f>_xlfn.XLOOKUP($B200,'[2]Sep-25'!$A:$A,'[2]Sep-25'!$H:$H,0)</f>
        <v>0</v>
      </c>
      <c r="AA200" s="17">
        <f>_xlfn.XLOOKUP($B200,'[2]Oct-25'!$A:$A,'[2]Oct-25'!$H:$H,0)</f>
        <v>0</v>
      </c>
      <c r="AB200" s="17">
        <f>_xlfn.XLOOKUP($B200,'[2]Nov-25'!$A:$A,'[2]Nov-25'!$H:$H,0)</f>
        <v>0</v>
      </c>
      <c r="AC200" s="17">
        <f>_xlfn.XLOOKUP($B200,'[2]Dec-25'!$A:$A,'[2]Dec-25'!$H:$H,0)</f>
        <v>0</v>
      </c>
      <c r="AD200" s="17">
        <f>_xlfn.XLOOKUP($B200,'[2]Jan-26'!$A:$A,'[2]Jan-26'!$H:$H,0)</f>
        <v>0</v>
      </c>
      <c r="AE200" s="17">
        <f>_xlfn.XLOOKUP($B200,'[2]Feb-26'!$A:$A,'[2]Feb-26'!$H:$H,0)</f>
        <v>0</v>
      </c>
      <c r="AF200" s="17">
        <f>_xlfn.XLOOKUP($B200,'[2]Mar-26'!$A:$A,'[2]Mar-26'!$H:$H,0)</f>
        <v>0</v>
      </c>
      <c r="AG200" s="17">
        <f>_xlfn.XLOOKUP($B200,'[2]Apr-26'!$A:$A,'[2]Apr-26'!$H:$H,0)</f>
        <v>0</v>
      </c>
    </row>
    <row r="201" spans="1:33" x14ac:dyDescent="0.2">
      <c r="A201" s="58">
        <v>53140</v>
      </c>
      <c r="B201" s="56" t="str">
        <f t="shared" si="5"/>
        <v>53140</v>
      </c>
      <c r="C201" s="57" t="s">
        <v>517</v>
      </c>
      <c r="D201" s="57" t="s">
        <v>387</v>
      </c>
      <c r="E201" s="44" t="s">
        <v>117</v>
      </c>
      <c r="F201" s="17">
        <f>_xlfn.XLOOKUP($B201,'[2]Jan-24'!$A:$A,'[2]Jan-24'!$H:$H,0)</f>
        <v>0</v>
      </c>
      <c r="G201" s="17">
        <f>_xlfn.XLOOKUP($B201,'[2]Feb-24'!$A:$A,'[2]Feb-24'!$H:$H,0)</f>
        <v>0</v>
      </c>
      <c r="H201" s="17">
        <f>_xlfn.XLOOKUP($B201,'[2]Mar-24'!$A:$A,'[2]Mar-24'!$H:$H,0)</f>
        <v>0</v>
      </c>
      <c r="I201" s="17">
        <f>_xlfn.XLOOKUP($B201,'[2]Apr-24'!$A:$A,'[2]Apr-24'!$H:$H,0)</f>
        <v>0</v>
      </c>
      <c r="J201" s="17">
        <f>_xlfn.XLOOKUP($B201,'[2]May-24'!$A:$A,'[2]May-24'!$H:$H,0)</f>
        <v>0</v>
      </c>
      <c r="K201" s="17">
        <f>_xlfn.XLOOKUP($B201,'[2]Jun-24'!$A:$A,'[2]Jun-24'!$H:$H,0)</f>
        <v>0</v>
      </c>
      <c r="L201" s="17">
        <f>_xlfn.XLOOKUP($B201,'[2]Jul-24'!$A:$A,'[2]Jul-24'!$H:$H,0)</f>
        <v>0</v>
      </c>
      <c r="M201" s="17">
        <f>_xlfn.XLOOKUP($B201,'[2]Aug-24'!$A:$A,'[2]Aug-24'!$H:$H,0)</f>
        <v>0</v>
      </c>
      <c r="N201" s="17">
        <f>_xlfn.XLOOKUP($B201,'[2]Sep-24'!$A:$A,'[2]Sep-24'!$H:$H,0)</f>
        <v>0</v>
      </c>
      <c r="O201" s="17">
        <f>_xlfn.XLOOKUP($B201,'[2]Oct-24'!$A:$A,'[2]Oct-24'!$H:$H,0)</f>
        <v>0</v>
      </c>
      <c r="P201" s="17">
        <f>_xlfn.XLOOKUP($B201,'[2]Nov-24'!$A:$A,'[2]Nov-24'!$H:$H,0)</f>
        <v>0</v>
      </c>
      <c r="Q201" s="17">
        <f>_xlfn.XLOOKUP($B201,'[2]Dec-24'!$A:$A,'[2]Dec-24'!$H:$H,0)</f>
        <v>0</v>
      </c>
      <c r="R201" s="17">
        <f>_xlfn.XLOOKUP($B201,'[2]Jan-25'!$A:$A,'[2]Jan-25'!$H:$H,0)</f>
        <v>0</v>
      </c>
      <c r="S201" s="17">
        <f>_xlfn.XLOOKUP($B201,'[2]Feb-25'!$A:$A,'[2]Feb-25'!$H:$H,0)</f>
        <v>0</v>
      </c>
      <c r="T201" s="17">
        <f>_xlfn.XLOOKUP($B201,'[2]Mar-25'!$A:$A,'[2]Mar-25'!$H:$H,0)</f>
        <v>0</v>
      </c>
      <c r="U201" s="17">
        <f>_xlfn.XLOOKUP($B201,'[2]Apr-25'!$A:$A,'[2]Apr-25'!$H:$H,0)</f>
        <v>0</v>
      </c>
      <c r="V201" s="17">
        <f>_xlfn.XLOOKUP($B201,'[2]May-25'!$A:$A,'[2]May-25'!$H:$H,0)</f>
        <v>0</v>
      </c>
      <c r="W201" s="17">
        <f>_xlfn.XLOOKUP($B201,'[2]Jun-25'!$A:$A,'[2]Jun-25'!$H:$H,0)</f>
        <v>0</v>
      </c>
      <c r="X201" s="17">
        <f>_xlfn.XLOOKUP($B201,'[2]Jul-25'!$A:$A,'[2]Jul-25'!$H:$H,0)</f>
        <v>0</v>
      </c>
      <c r="Y201" s="17">
        <f>_xlfn.XLOOKUP($B201,'[2]Aug-25'!$A:$A,'[2]Aug-25'!$H:$H,0)</f>
        <v>0</v>
      </c>
      <c r="Z201" s="17">
        <f>_xlfn.XLOOKUP($B201,'[2]Sep-25'!$A:$A,'[2]Sep-25'!$H:$H,0)</f>
        <v>0</v>
      </c>
      <c r="AA201" s="17">
        <f>_xlfn.XLOOKUP($B201,'[2]Oct-25'!$A:$A,'[2]Oct-25'!$H:$H,0)</f>
        <v>0</v>
      </c>
      <c r="AB201" s="17">
        <f>_xlfn.XLOOKUP($B201,'[2]Nov-25'!$A:$A,'[2]Nov-25'!$H:$H,0)</f>
        <v>0</v>
      </c>
      <c r="AC201" s="17">
        <f>_xlfn.XLOOKUP($B201,'[2]Dec-25'!$A:$A,'[2]Dec-25'!$H:$H,0)</f>
        <v>0</v>
      </c>
      <c r="AD201" s="17">
        <f>_xlfn.XLOOKUP($B201,'[2]Jan-26'!$A:$A,'[2]Jan-26'!$H:$H,0)</f>
        <v>0</v>
      </c>
      <c r="AE201" s="17">
        <f>_xlfn.XLOOKUP($B201,'[2]Feb-26'!$A:$A,'[2]Feb-26'!$H:$H,0)</f>
        <v>0</v>
      </c>
      <c r="AF201" s="17">
        <f>_xlfn.XLOOKUP($B201,'[2]Mar-26'!$A:$A,'[2]Mar-26'!$H:$H,0)</f>
        <v>0</v>
      </c>
      <c r="AG201" s="17">
        <f>_xlfn.XLOOKUP($B201,'[2]Apr-26'!$A:$A,'[2]Apr-26'!$H:$H,0)</f>
        <v>0</v>
      </c>
    </row>
    <row r="202" spans="1:33" x14ac:dyDescent="0.2">
      <c r="A202" s="58">
        <v>60005</v>
      </c>
      <c r="B202" s="56" t="str">
        <f t="shared" si="5"/>
        <v>60005</v>
      </c>
      <c r="C202" s="57" t="s">
        <v>552</v>
      </c>
      <c r="D202" s="57" t="s">
        <v>387</v>
      </c>
      <c r="E202" s="44" t="s">
        <v>553</v>
      </c>
      <c r="F202" s="17">
        <f>_xlfn.XLOOKUP($B202,'[2]Jan-24'!$A:$A,'[2]Jan-24'!$H:$H,0)</f>
        <v>0</v>
      </c>
      <c r="G202" s="17">
        <f>_xlfn.XLOOKUP($B202,'[2]Feb-24'!$A:$A,'[2]Feb-24'!$H:$H,0)</f>
        <v>0</v>
      </c>
      <c r="H202" s="17">
        <f>_xlfn.XLOOKUP($B202,'[2]Mar-24'!$A:$A,'[2]Mar-24'!$H:$H,0)</f>
        <v>0</v>
      </c>
      <c r="I202" s="17">
        <f>_xlfn.XLOOKUP($B202,'[2]Apr-24'!$A:$A,'[2]Apr-24'!$H:$H,0)</f>
        <v>0</v>
      </c>
      <c r="J202" s="17">
        <f>_xlfn.XLOOKUP($B202,'[2]May-24'!$A:$A,'[2]May-24'!$H:$H,0)</f>
        <v>0</v>
      </c>
      <c r="K202" s="17">
        <f>_xlfn.XLOOKUP($B202,'[2]Jun-24'!$A:$A,'[2]Jun-24'!$H:$H,0)</f>
        <v>0</v>
      </c>
      <c r="L202" s="17">
        <f>_xlfn.XLOOKUP($B202,'[2]Jul-24'!$A:$A,'[2]Jul-24'!$H:$H,0)</f>
        <v>0</v>
      </c>
      <c r="M202" s="17">
        <f>_xlfn.XLOOKUP($B202,'[2]Aug-24'!$A:$A,'[2]Aug-24'!$H:$H,0)</f>
        <v>0</v>
      </c>
      <c r="N202" s="17">
        <f>_xlfn.XLOOKUP($B202,'[2]Sep-24'!$A:$A,'[2]Sep-24'!$H:$H,0)</f>
        <v>0</v>
      </c>
      <c r="O202" s="17">
        <f>_xlfn.XLOOKUP($B202,'[2]Oct-24'!$A:$A,'[2]Oct-24'!$H:$H,0)</f>
        <v>0</v>
      </c>
      <c r="P202" s="17">
        <f>_xlfn.XLOOKUP($B202,'[2]Nov-24'!$A:$A,'[2]Nov-24'!$H:$H,0)</f>
        <v>0</v>
      </c>
      <c r="Q202" s="17">
        <f>_xlfn.XLOOKUP($B202,'[2]Dec-24'!$A:$A,'[2]Dec-24'!$H:$H,0)</f>
        <v>0</v>
      </c>
      <c r="R202" s="17">
        <f>_xlfn.XLOOKUP($B202,'[2]Jan-25'!$A:$A,'[2]Jan-25'!$H:$H,0)</f>
        <v>0</v>
      </c>
      <c r="S202" s="17">
        <f>_xlfn.XLOOKUP($B202,'[2]Feb-25'!$A:$A,'[2]Feb-25'!$H:$H,0)</f>
        <v>0</v>
      </c>
      <c r="T202" s="17">
        <f>_xlfn.XLOOKUP($B202,'[2]Mar-25'!$A:$A,'[2]Mar-25'!$H:$H,0)</f>
        <v>0</v>
      </c>
      <c r="U202" s="17">
        <f>_xlfn.XLOOKUP($B202,'[2]Apr-25'!$A:$A,'[2]Apr-25'!$H:$H,0)</f>
        <v>0</v>
      </c>
      <c r="V202" s="17">
        <f>_xlfn.XLOOKUP($B202,'[2]May-25'!$A:$A,'[2]May-25'!$H:$H,0)</f>
        <v>0</v>
      </c>
      <c r="W202" s="17">
        <f>_xlfn.XLOOKUP($B202,'[2]Jun-25'!$A:$A,'[2]Jun-25'!$H:$H,0)</f>
        <v>0</v>
      </c>
      <c r="X202" s="17">
        <f>_xlfn.XLOOKUP($B202,'[2]Jul-25'!$A:$A,'[2]Jul-25'!$H:$H,0)</f>
        <v>0</v>
      </c>
      <c r="Y202" s="17">
        <f>_xlfn.XLOOKUP($B202,'[2]Aug-25'!$A:$A,'[2]Aug-25'!$H:$H,0)</f>
        <v>0</v>
      </c>
      <c r="Z202" s="17">
        <f>_xlfn.XLOOKUP($B202,'[2]Sep-25'!$A:$A,'[2]Sep-25'!$H:$H,0)</f>
        <v>0</v>
      </c>
      <c r="AA202" s="17">
        <f>_xlfn.XLOOKUP($B202,'[2]Oct-25'!$A:$A,'[2]Oct-25'!$H:$H,0)</f>
        <v>0</v>
      </c>
      <c r="AB202" s="17">
        <f>_xlfn.XLOOKUP($B202,'[2]Nov-25'!$A:$A,'[2]Nov-25'!$H:$H,0)</f>
        <v>0</v>
      </c>
      <c r="AC202" s="17">
        <f>_xlfn.XLOOKUP($B202,'[2]Dec-25'!$A:$A,'[2]Dec-25'!$H:$H,0)</f>
        <v>0</v>
      </c>
      <c r="AD202" s="17">
        <f>_xlfn.XLOOKUP($B202,'[2]Jan-26'!$A:$A,'[2]Jan-26'!$H:$H,0)</f>
        <v>0</v>
      </c>
      <c r="AE202" s="17">
        <f>_xlfn.XLOOKUP($B202,'[2]Feb-26'!$A:$A,'[2]Feb-26'!$H:$H,0)</f>
        <v>0</v>
      </c>
      <c r="AF202" s="17">
        <f>_xlfn.XLOOKUP($B202,'[2]Mar-26'!$A:$A,'[2]Mar-26'!$H:$H,0)</f>
        <v>0</v>
      </c>
      <c r="AG202" s="17">
        <f>_xlfn.XLOOKUP($B202,'[2]Apr-26'!$A:$A,'[2]Apr-26'!$H:$H,0)</f>
        <v>0</v>
      </c>
    </row>
    <row r="203" spans="1:33" x14ac:dyDescent="0.2">
      <c r="A203" s="58">
        <v>60010</v>
      </c>
      <c r="B203" s="56" t="str">
        <f t="shared" si="5"/>
        <v>60010</v>
      </c>
      <c r="C203" s="57" t="s">
        <v>552</v>
      </c>
      <c r="D203" s="57" t="s">
        <v>387</v>
      </c>
      <c r="E203" s="44" t="s">
        <v>554</v>
      </c>
      <c r="F203" s="17">
        <f>_xlfn.XLOOKUP($B203,'[2]Jan-24'!$A:$A,'[2]Jan-24'!$H:$H,0)</f>
        <v>600</v>
      </c>
      <c r="G203" s="17">
        <f>_xlfn.XLOOKUP($B203,'[2]Feb-24'!$A:$A,'[2]Feb-24'!$H:$H,0)</f>
        <v>600</v>
      </c>
      <c r="H203" s="17">
        <f>_xlfn.XLOOKUP($B203,'[2]Mar-24'!$A:$A,'[2]Mar-24'!$H:$H,0)</f>
        <v>600</v>
      </c>
      <c r="I203" s="17">
        <f>_xlfn.XLOOKUP($B203,'[2]Apr-24'!$A:$A,'[2]Apr-24'!$H:$H,0)</f>
        <v>600</v>
      </c>
      <c r="J203" s="17">
        <f>_xlfn.XLOOKUP($B203,'[2]May-24'!$A:$A,'[2]May-24'!$H:$H,0)</f>
        <v>641</v>
      </c>
      <c r="K203" s="17">
        <f>_xlfn.XLOOKUP($B203,'[2]Jun-24'!$A:$A,'[2]Jun-24'!$H:$H,0)</f>
        <v>641</v>
      </c>
      <c r="L203" s="17">
        <f>_xlfn.XLOOKUP($B203,'[2]Jul-24'!$A:$A,'[2]Jul-24'!$H:$H,0)</f>
        <v>641</v>
      </c>
      <c r="M203" s="17">
        <f>_xlfn.XLOOKUP($B203,'[2]Aug-24'!$A:$A,'[2]Aug-24'!$H:$H,0)</f>
        <v>648</v>
      </c>
      <c r="N203" s="17">
        <f>_xlfn.XLOOKUP($B203,'[2]Sep-24'!$A:$A,'[2]Sep-24'!$H:$H,0)</f>
        <v>641</v>
      </c>
      <c r="O203" s="17">
        <f>_xlfn.XLOOKUP($B203,'[2]Oct-24'!$A:$A,'[2]Oct-24'!$H:$H,0)</f>
        <v>641.15</v>
      </c>
      <c r="P203" s="17">
        <f>_xlfn.XLOOKUP($B203,'[2]Nov-24'!$A:$A,'[2]Nov-24'!$H:$H,0)</f>
        <v>641</v>
      </c>
      <c r="Q203" s="17">
        <f>_xlfn.XLOOKUP($B203,'[2]Dec-24'!$A:$A,'[2]Dec-24'!$H:$H,0)</f>
        <v>641</v>
      </c>
      <c r="R203" s="17">
        <f>_xlfn.XLOOKUP($B203,'[2]Jan-25'!$A:$A,'[2]Jan-25'!$H:$H,0)</f>
        <v>641</v>
      </c>
      <c r="S203" s="17">
        <f>_xlfn.XLOOKUP($B203,'[2]Feb-25'!$A:$A,'[2]Feb-25'!$H:$H,0)</f>
        <v>641</v>
      </c>
      <c r="T203" s="17">
        <f>_xlfn.XLOOKUP($B203,'[2]Mar-25'!$A:$A,'[2]Mar-25'!$H:$H,0)</f>
        <v>641</v>
      </c>
      <c r="U203" s="17">
        <f>_xlfn.XLOOKUP($B203,'[2]Apr-25'!$A:$A,'[2]Apr-25'!$H:$H,0)</f>
        <v>641</v>
      </c>
      <c r="V203" s="17">
        <f>_xlfn.XLOOKUP($B203,'[2]May-25'!$A:$A,'[2]May-25'!$H:$H,0)</f>
        <v>721</v>
      </c>
      <c r="W203" s="17">
        <f>_xlfn.XLOOKUP($B203,'[2]Jun-25'!$A:$A,'[2]Jun-25'!$H:$H,0)</f>
        <v>1063</v>
      </c>
      <c r="X203" s="17">
        <f>_xlfn.XLOOKUP($B203,'[2]Jul-25'!$A:$A,'[2]Jul-25'!$H:$H,0)</f>
        <v>723.1</v>
      </c>
      <c r="Y203" s="17">
        <f>_xlfn.XLOOKUP($B203,'[2]Aug-25'!$A:$A,'[2]Aug-25'!$H:$H,0)</f>
        <v>721</v>
      </c>
      <c r="Z203" s="17">
        <f>_xlfn.XLOOKUP($B203,'[2]Sep-25'!$A:$A,'[2]Sep-25'!$H:$H,0)</f>
        <v>721</v>
      </c>
      <c r="AA203" s="17">
        <f>_xlfn.XLOOKUP($B203,'[2]Oct-25'!$A:$A,'[2]Oct-25'!$H:$H,0)</f>
        <v>721.7</v>
      </c>
      <c r="AB203" s="17">
        <f>_xlfn.XLOOKUP($B203,'[2]Nov-25'!$A:$A,'[2]Nov-25'!$H:$H,0)</f>
        <v>721</v>
      </c>
      <c r="AC203" s="17">
        <f>_xlfn.XLOOKUP($B203,'[2]Dec-25'!$A:$A,'[2]Dec-25'!$H:$H,0)</f>
        <v>721</v>
      </c>
      <c r="AD203" s="17">
        <f>_xlfn.XLOOKUP($B203,'[2]Jan-26'!$A:$A,'[2]Jan-26'!$H:$H,0)</f>
        <v>721</v>
      </c>
      <c r="AE203" s="17">
        <f>_xlfn.XLOOKUP($B203,'[2]Feb-26'!$A:$A,'[2]Feb-26'!$H:$H,0)</f>
        <v>721</v>
      </c>
      <c r="AF203" s="17">
        <f>_xlfn.XLOOKUP($B203,'[2]Mar-26'!$A:$A,'[2]Mar-26'!$H:$H,0)</f>
        <v>721</v>
      </c>
      <c r="AG203" s="17">
        <f>_xlfn.XLOOKUP($B203,'[2]Apr-26'!$A:$A,'[2]Apr-26'!$H:$H,0)</f>
        <v>725.32</v>
      </c>
    </row>
    <row r="204" spans="1:33" x14ac:dyDescent="0.2">
      <c r="A204" s="58">
        <v>60020</v>
      </c>
      <c r="B204" s="56" t="str">
        <f t="shared" si="5"/>
        <v>60020</v>
      </c>
      <c r="C204" s="57" t="s">
        <v>552</v>
      </c>
      <c r="D204" s="57" t="s">
        <v>387</v>
      </c>
      <c r="E204" s="44" t="s">
        <v>871</v>
      </c>
      <c r="F204" s="17">
        <f>_xlfn.XLOOKUP($B204,'[2]Jan-24'!$A:$A,'[2]Jan-24'!$H:$H,0)</f>
        <v>0</v>
      </c>
      <c r="G204" s="17">
        <f>_xlfn.XLOOKUP($B204,'[2]Feb-24'!$A:$A,'[2]Feb-24'!$H:$H,0)</f>
        <v>0</v>
      </c>
      <c r="H204" s="17">
        <f>_xlfn.XLOOKUP($B204,'[2]Mar-24'!$A:$A,'[2]Mar-24'!$H:$H,0)</f>
        <v>0</v>
      </c>
      <c r="I204" s="17">
        <f>_xlfn.XLOOKUP($B204,'[2]Apr-24'!$A:$A,'[2]Apr-24'!$H:$H,0)</f>
        <v>0</v>
      </c>
      <c r="J204" s="17">
        <f>_xlfn.XLOOKUP($B204,'[2]May-24'!$A:$A,'[2]May-24'!$H:$H,0)</f>
        <v>0</v>
      </c>
      <c r="K204" s="17">
        <f>_xlfn.XLOOKUP($B204,'[2]Jun-24'!$A:$A,'[2]Jun-24'!$H:$H,0)</f>
        <v>0</v>
      </c>
      <c r="L204" s="17">
        <f>_xlfn.XLOOKUP($B204,'[2]Jul-24'!$A:$A,'[2]Jul-24'!$H:$H,0)</f>
        <v>0</v>
      </c>
      <c r="M204" s="17">
        <f>_xlfn.XLOOKUP($B204,'[2]Aug-24'!$A:$A,'[2]Aug-24'!$H:$H,0)</f>
        <v>0</v>
      </c>
      <c r="N204" s="17">
        <f>_xlfn.XLOOKUP($B204,'[2]Sep-24'!$A:$A,'[2]Sep-24'!$H:$H,0)</f>
        <v>0</v>
      </c>
      <c r="O204" s="17">
        <f>_xlfn.XLOOKUP($B204,'[2]Oct-24'!$A:$A,'[2]Oct-24'!$H:$H,0)</f>
        <v>0</v>
      </c>
      <c r="P204" s="17">
        <f>_xlfn.XLOOKUP($B204,'[2]Nov-24'!$A:$A,'[2]Nov-24'!$H:$H,0)</f>
        <v>0</v>
      </c>
      <c r="Q204" s="17">
        <f>_xlfn.XLOOKUP($B204,'[2]Dec-24'!$A:$A,'[2]Dec-24'!$H:$H,0)</f>
        <v>0</v>
      </c>
      <c r="R204" s="17">
        <f>_xlfn.XLOOKUP($B204,'[2]Jan-25'!$A:$A,'[2]Jan-25'!$H:$H,0)</f>
        <v>0</v>
      </c>
      <c r="S204" s="17">
        <f>_xlfn.XLOOKUP($B204,'[2]Feb-25'!$A:$A,'[2]Feb-25'!$H:$H,0)</f>
        <v>0</v>
      </c>
      <c r="T204" s="17">
        <f>_xlfn.XLOOKUP($B204,'[2]Mar-25'!$A:$A,'[2]Mar-25'!$H:$H,0)</f>
        <v>0</v>
      </c>
      <c r="U204" s="17">
        <f>_xlfn.XLOOKUP($B204,'[2]Apr-25'!$A:$A,'[2]Apr-25'!$H:$H,0)</f>
        <v>0</v>
      </c>
      <c r="V204" s="17">
        <f>_xlfn.XLOOKUP($B204,'[2]May-25'!$A:$A,'[2]May-25'!$H:$H,0)</f>
        <v>0</v>
      </c>
      <c r="W204" s="17">
        <f>_xlfn.XLOOKUP($B204,'[2]Jun-25'!$A:$A,'[2]Jun-25'!$H:$H,0)</f>
        <v>0</v>
      </c>
      <c r="X204" s="17">
        <f>_xlfn.XLOOKUP($B204,'[2]Jul-25'!$A:$A,'[2]Jul-25'!$H:$H,0)</f>
        <v>0</v>
      </c>
      <c r="Y204" s="17">
        <f>_xlfn.XLOOKUP($B204,'[2]Aug-25'!$A:$A,'[2]Aug-25'!$H:$H,0)</f>
        <v>0</v>
      </c>
      <c r="Z204" s="17">
        <f>_xlfn.XLOOKUP($B204,'[2]Sep-25'!$A:$A,'[2]Sep-25'!$H:$H,0)</f>
        <v>0</v>
      </c>
      <c r="AA204" s="17">
        <f>_xlfn.XLOOKUP($B204,'[2]Oct-25'!$A:$A,'[2]Oct-25'!$H:$H,0)</f>
        <v>0</v>
      </c>
      <c r="AB204" s="17">
        <f>_xlfn.XLOOKUP($B204,'[2]Nov-25'!$A:$A,'[2]Nov-25'!$H:$H,0)</f>
        <v>0</v>
      </c>
      <c r="AC204" s="17">
        <f>_xlfn.XLOOKUP($B204,'[2]Dec-25'!$A:$A,'[2]Dec-25'!$H:$H,0)</f>
        <v>0</v>
      </c>
      <c r="AD204" s="17">
        <f>_xlfn.XLOOKUP($B204,'[2]Jan-26'!$A:$A,'[2]Jan-26'!$H:$H,0)</f>
        <v>0</v>
      </c>
      <c r="AE204" s="17">
        <f>_xlfn.XLOOKUP($B204,'[2]Feb-26'!$A:$A,'[2]Feb-26'!$H:$H,0)</f>
        <v>0</v>
      </c>
      <c r="AF204" s="17">
        <f>_xlfn.XLOOKUP($B204,'[2]Mar-26'!$A:$A,'[2]Mar-26'!$H:$H,0)</f>
        <v>0</v>
      </c>
      <c r="AG204" s="17">
        <f>_xlfn.XLOOKUP($B204,'[2]Apr-26'!$A:$A,'[2]Apr-26'!$H:$H,0)</f>
        <v>0</v>
      </c>
    </row>
    <row r="205" spans="1:33" x14ac:dyDescent="0.2">
      <c r="A205" s="58">
        <v>60025</v>
      </c>
      <c r="B205" s="56" t="str">
        <f t="shared" si="5"/>
        <v>60025</v>
      </c>
      <c r="C205" s="57" t="s">
        <v>552</v>
      </c>
      <c r="D205" s="57" t="s">
        <v>387</v>
      </c>
      <c r="E205" s="44" t="s">
        <v>872</v>
      </c>
      <c r="F205" s="17">
        <f>_xlfn.XLOOKUP($B205,'[2]Jan-24'!$A:$A,'[2]Jan-24'!$H:$H,0)</f>
        <v>0</v>
      </c>
      <c r="G205" s="17">
        <f>_xlfn.XLOOKUP($B205,'[2]Feb-24'!$A:$A,'[2]Feb-24'!$H:$H,0)</f>
        <v>0</v>
      </c>
      <c r="H205" s="17">
        <f>_xlfn.XLOOKUP($B205,'[2]Mar-24'!$A:$A,'[2]Mar-24'!$H:$H,0)</f>
        <v>0</v>
      </c>
      <c r="I205" s="17">
        <f>_xlfn.XLOOKUP($B205,'[2]Apr-24'!$A:$A,'[2]Apr-24'!$H:$H,0)</f>
        <v>0</v>
      </c>
      <c r="J205" s="17">
        <f>_xlfn.XLOOKUP($B205,'[2]May-24'!$A:$A,'[2]May-24'!$H:$H,0)</f>
        <v>0</v>
      </c>
      <c r="K205" s="17">
        <f>_xlfn.XLOOKUP($B205,'[2]Jun-24'!$A:$A,'[2]Jun-24'!$H:$H,0)</f>
        <v>0</v>
      </c>
      <c r="L205" s="17">
        <f>_xlfn.XLOOKUP($B205,'[2]Jul-24'!$A:$A,'[2]Jul-24'!$H:$H,0)</f>
        <v>0</v>
      </c>
      <c r="M205" s="17">
        <f>_xlfn.XLOOKUP($B205,'[2]Aug-24'!$A:$A,'[2]Aug-24'!$H:$H,0)</f>
        <v>0</v>
      </c>
      <c r="N205" s="17">
        <f>_xlfn.XLOOKUP($B205,'[2]Sep-24'!$A:$A,'[2]Sep-24'!$H:$H,0)</f>
        <v>0</v>
      </c>
      <c r="O205" s="17">
        <f>_xlfn.XLOOKUP($B205,'[2]Oct-24'!$A:$A,'[2]Oct-24'!$H:$H,0)</f>
        <v>0</v>
      </c>
      <c r="P205" s="17">
        <f>_xlfn.XLOOKUP($B205,'[2]Nov-24'!$A:$A,'[2]Nov-24'!$H:$H,0)</f>
        <v>0</v>
      </c>
      <c r="Q205" s="17">
        <f>_xlfn.XLOOKUP($B205,'[2]Dec-24'!$A:$A,'[2]Dec-24'!$H:$H,0)</f>
        <v>0</v>
      </c>
      <c r="R205" s="17">
        <f>_xlfn.XLOOKUP($B205,'[2]Jan-25'!$A:$A,'[2]Jan-25'!$H:$H,0)</f>
        <v>0</v>
      </c>
      <c r="S205" s="17">
        <f>_xlfn.XLOOKUP($B205,'[2]Feb-25'!$A:$A,'[2]Feb-25'!$H:$H,0)</f>
        <v>0</v>
      </c>
      <c r="T205" s="17">
        <f>_xlfn.XLOOKUP($B205,'[2]Mar-25'!$A:$A,'[2]Mar-25'!$H:$H,0)</f>
        <v>0</v>
      </c>
      <c r="U205" s="17">
        <f>_xlfn.XLOOKUP($B205,'[2]Apr-25'!$A:$A,'[2]Apr-25'!$H:$H,0)</f>
        <v>0</v>
      </c>
      <c r="V205" s="17">
        <f>_xlfn.XLOOKUP($B205,'[2]May-25'!$A:$A,'[2]May-25'!$H:$H,0)</f>
        <v>0</v>
      </c>
      <c r="W205" s="17">
        <f>_xlfn.XLOOKUP($B205,'[2]Jun-25'!$A:$A,'[2]Jun-25'!$H:$H,0)</f>
        <v>0</v>
      </c>
      <c r="X205" s="17">
        <f>_xlfn.XLOOKUP($B205,'[2]Jul-25'!$A:$A,'[2]Jul-25'!$H:$H,0)</f>
        <v>0</v>
      </c>
      <c r="Y205" s="17">
        <f>_xlfn.XLOOKUP($B205,'[2]Aug-25'!$A:$A,'[2]Aug-25'!$H:$H,0)</f>
        <v>0</v>
      </c>
      <c r="Z205" s="17">
        <f>_xlfn.XLOOKUP($B205,'[2]Sep-25'!$A:$A,'[2]Sep-25'!$H:$H,0)</f>
        <v>0</v>
      </c>
      <c r="AA205" s="17">
        <f>_xlfn.XLOOKUP($B205,'[2]Oct-25'!$A:$A,'[2]Oct-25'!$H:$H,0)</f>
        <v>0</v>
      </c>
      <c r="AB205" s="17">
        <f>_xlfn.XLOOKUP($B205,'[2]Nov-25'!$A:$A,'[2]Nov-25'!$H:$H,0)</f>
        <v>0</v>
      </c>
      <c r="AC205" s="17">
        <f>_xlfn.XLOOKUP($B205,'[2]Dec-25'!$A:$A,'[2]Dec-25'!$H:$H,0)</f>
        <v>0</v>
      </c>
      <c r="AD205" s="17">
        <f>_xlfn.XLOOKUP($B205,'[2]Jan-26'!$A:$A,'[2]Jan-26'!$H:$H,0)</f>
        <v>0</v>
      </c>
      <c r="AE205" s="17">
        <f>_xlfn.XLOOKUP($B205,'[2]Feb-26'!$A:$A,'[2]Feb-26'!$H:$H,0)</f>
        <v>0</v>
      </c>
      <c r="AF205" s="17">
        <f>_xlfn.XLOOKUP($B205,'[2]Mar-26'!$A:$A,'[2]Mar-26'!$H:$H,0)</f>
        <v>0</v>
      </c>
      <c r="AG205" s="17">
        <f>_xlfn.XLOOKUP($B205,'[2]Apr-26'!$A:$A,'[2]Apr-26'!$H:$H,0)</f>
        <v>0</v>
      </c>
    </row>
    <row r="206" spans="1:33" x14ac:dyDescent="0.2">
      <c r="A206" s="58">
        <v>60030</v>
      </c>
      <c r="B206" s="56" t="str">
        <f t="shared" si="5"/>
        <v>60030</v>
      </c>
      <c r="C206" s="57" t="s">
        <v>552</v>
      </c>
      <c r="D206" s="57" t="s">
        <v>387</v>
      </c>
      <c r="E206" s="44" t="s">
        <v>558</v>
      </c>
      <c r="F206" s="17">
        <f>_xlfn.XLOOKUP($B206,'[2]Jan-24'!$A:$A,'[2]Jan-24'!$H:$H,0)</f>
        <v>0</v>
      </c>
      <c r="G206" s="17">
        <f>_xlfn.XLOOKUP($B206,'[2]Feb-24'!$A:$A,'[2]Feb-24'!$H:$H,0)</f>
        <v>0</v>
      </c>
      <c r="H206" s="17">
        <f>_xlfn.XLOOKUP($B206,'[2]Mar-24'!$A:$A,'[2]Mar-24'!$H:$H,0)</f>
        <v>0</v>
      </c>
      <c r="I206" s="17">
        <f>_xlfn.XLOOKUP($B206,'[2]Apr-24'!$A:$A,'[2]Apr-24'!$H:$H,0)</f>
        <v>0</v>
      </c>
      <c r="J206" s="17">
        <f>_xlfn.XLOOKUP($B206,'[2]May-24'!$A:$A,'[2]May-24'!$H:$H,0)</f>
        <v>0</v>
      </c>
      <c r="K206" s="17">
        <f>_xlfn.XLOOKUP($B206,'[2]Jun-24'!$A:$A,'[2]Jun-24'!$H:$H,0)</f>
        <v>0</v>
      </c>
      <c r="L206" s="17">
        <f>_xlfn.XLOOKUP($B206,'[2]Jul-24'!$A:$A,'[2]Jul-24'!$H:$H,0)</f>
        <v>0</v>
      </c>
      <c r="M206" s="17">
        <f>_xlfn.XLOOKUP($B206,'[2]Aug-24'!$A:$A,'[2]Aug-24'!$H:$H,0)</f>
        <v>0</v>
      </c>
      <c r="N206" s="17">
        <f>_xlfn.XLOOKUP($B206,'[2]Sep-24'!$A:$A,'[2]Sep-24'!$H:$H,0)</f>
        <v>0</v>
      </c>
      <c r="O206" s="17">
        <f>_xlfn.XLOOKUP($B206,'[2]Oct-24'!$A:$A,'[2]Oct-24'!$H:$H,0)</f>
        <v>0</v>
      </c>
      <c r="P206" s="17">
        <f>_xlfn.XLOOKUP($B206,'[2]Nov-24'!$A:$A,'[2]Nov-24'!$H:$H,0)</f>
        <v>0</v>
      </c>
      <c r="Q206" s="17">
        <f>_xlfn.XLOOKUP($B206,'[2]Dec-24'!$A:$A,'[2]Dec-24'!$H:$H,0)</f>
        <v>0</v>
      </c>
      <c r="R206" s="17">
        <f>_xlfn.XLOOKUP($B206,'[2]Jan-25'!$A:$A,'[2]Jan-25'!$H:$H,0)</f>
        <v>0</v>
      </c>
      <c r="S206" s="17">
        <f>_xlfn.XLOOKUP($B206,'[2]Feb-25'!$A:$A,'[2]Feb-25'!$H:$H,0)</f>
        <v>0</v>
      </c>
      <c r="T206" s="17">
        <f>_xlfn.XLOOKUP($B206,'[2]Mar-25'!$A:$A,'[2]Mar-25'!$H:$H,0)</f>
        <v>0</v>
      </c>
      <c r="U206" s="17">
        <f>_xlfn.XLOOKUP($B206,'[2]Apr-25'!$A:$A,'[2]Apr-25'!$H:$H,0)</f>
        <v>0</v>
      </c>
      <c r="V206" s="17">
        <f>_xlfn.XLOOKUP($B206,'[2]May-25'!$A:$A,'[2]May-25'!$H:$H,0)</f>
        <v>0</v>
      </c>
      <c r="W206" s="17">
        <f>_xlfn.XLOOKUP($B206,'[2]Jun-25'!$A:$A,'[2]Jun-25'!$H:$H,0)</f>
        <v>0</v>
      </c>
      <c r="X206" s="17">
        <f>_xlfn.XLOOKUP($B206,'[2]Jul-25'!$A:$A,'[2]Jul-25'!$H:$H,0)</f>
        <v>0</v>
      </c>
      <c r="Y206" s="17">
        <f>_xlfn.XLOOKUP($B206,'[2]Aug-25'!$A:$A,'[2]Aug-25'!$H:$H,0)</f>
        <v>0</v>
      </c>
      <c r="Z206" s="17">
        <f>_xlfn.XLOOKUP($B206,'[2]Sep-25'!$A:$A,'[2]Sep-25'!$H:$H,0)</f>
        <v>0</v>
      </c>
      <c r="AA206" s="17">
        <f>_xlfn.XLOOKUP($B206,'[2]Oct-25'!$A:$A,'[2]Oct-25'!$H:$H,0)</f>
        <v>0</v>
      </c>
      <c r="AB206" s="17">
        <f>_xlfn.XLOOKUP($B206,'[2]Nov-25'!$A:$A,'[2]Nov-25'!$H:$H,0)</f>
        <v>0</v>
      </c>
      <c r="AC206" s="17">
        <f>_xlfn.XLOOKUP($B206,'[2]Dec-25'!$A:$A,'[2]Dec-25'!$H:$H,0)</f>
        <v>0</v>
      </c>
      <c r="AD206" s="17">
        <f>_xlfn.XLOOKUP($B206,'[2]Jan-26'!$A:$A,'[2]Jan-26'!$H:$H,0)</f>
        <v>0</v>
      </c>
      <c r="AE206" s="17">
        <f>_xlfn.XLOOKUP($B206,'[2]Feb-26'!$A:$A,'[2]Feb-26'!$H:$H,0)</f>
        <v>0</v>
      </c>
      <c r="AF206" s="17">
        <f>_xlfn.XLOOKUP($B206,'[2]Mar-26'!$A:$A,'[2]Mar-26'!$H:$H,0)</f>
        <v>0</v>
      </c>
      <c r="AG206" s="17">
        <f>_xlfn.XLOOKUP($B206,'[2]Apr-26'!$A:$A,'[2]Apr-26'!$H:$H,0)</f>
        <v>0</v>
      </c>
    </row>
    <row r="207" spans="1:33" x14ac:dyDescent="0.2">
      <c r="A207" s="58">
        <v>60035</v>
      </c>
      <c r="B207" s="56" t="str">
        <f t="shared" si="5"/>
        <v>60035</v>
      </c>
      <c r="C207" s="57" t="s">
        <v>552</v>
      </c>
      <c r="D207" s="57" t="s">
        <v>387</v>
      </c>
      <c r="E207" s="44" t="s">
        <v>559</v>
      </c>
      <c r="F207" s="17">
        <f>_xlfn.XLOOKUP($B207,'[2]Jan-24'!$A:$A,'[2]Jan-24'!$H:$H,0)</f>
        <v>0</v>
      </c>
      <c r="G207" s="17">
        <f>_xlfn.XLOOKUP($B207,'[2]Feb-24'!$A:$A,'[2]Feb-24'!$H:$H,0)</f>
        <v>0</v>
      </c>
      <c r="H207" s="17">
        <f>_xlfn.XLOOKUP($B207,'[2]Mar-24'!$A:$A,'[2]Mar-24'!$H:$H,0)</f>
        <v>0</v>
      </c>
      <c r="I207" s="17">
        <f>_xlfn.XLOOKUP($B207,'[2]Apr-24'!$A:$A,'[2]Apr-24'!$H:$H,0)</f>
        <v>0</v>
      </c>
      <c r="J207" s="17">
        <f>_xlfn.XLOOKUP($B207,'[2]May-24'!$A:$A,'[2]May-24'!$H:$H,0)</f>
        <v>0</v>
      </c>
      <c r="K207" s="17">
        <f>_xlfn.XLOOKUP($B207,'[2]Jun-24'!$A:$A,'[2]Jun-24'!$H:$H,0)</f>
        <v>0</v>
      </c>
      <c r="L207" s="17">
        <f>_xlfn.XLOOKUP($B207,'[2]Jul-24'!$A:$A,'[2]Jul-24'!$H:$H,0)</f>
        <v>0</v>
      </c>
      <c r="M207" s="17">
        <f>_xlfn.XLOOKUP($B207,'[2]Aug-24'!$A:$A,'[2]Aug-24'!$H:$H,0)</f>
        <v>0</v>
      </c>
      <c r="N207" s="17">
        <f>_xlfn.XLOOKUP($B207,'[2]Sep-24'!$A:$A,'[2]Sep-24'!$H:$H,0)</f>
        <v>0</v>
      </c>
      <c r="O207" s="17">
        <f>_xlfn.XLOOKUP($B207,'[2]Oct-24'!$A:$A,'[2]Oct-24'!$H:$H,0)</f>
        <v>0</v>
      </c>
      <c r="P207" s="17">
        <f>_xlfn.XLOOKUP($B207,'[2]Nov-24'!$A:$A,'[2]Nov-24'!$H:$H,0)</f>
        <v>0</v>
      </c>
      <c r="Q207" s="17">
        <f>_xlfn.XLOOKUP($B207,'[2]Dec-24'!$A:$A,'[2]Dec-24'!$H:$H,0)</f>
        <v>0</v>
      </c>
      <c r="R207" s="17">
        <f>_xlfn.XLOOKUP($B207,'[2]Jan-25'!$A:$A,'[2]Jan-25'!$H:$H,0)</f>
        <v>0</v>
      </c>
      <c r="S207" s="17">
        <f>_xlfn.XLOOKUP($B207,'[2]Feb-25'!$A:$A,'[2]Feb-25'!$H:$H,0)</f>
        <v>0</v>
      </c>
      <c r="T207" s="17">
        <f>_xlfn.XLOOKUP($B207,'[2]Mar-25'!$A:$A,'[2]Mar-25'!$H:$H,0)</f>
        <v>0</v>
      </c>
      <c r="U207" s="17">
        <f>_xlfn.XLOOKUP($B207,'[2]Apr-25'!$A:$A,'[2]Apr-25'!$H:$H,0)</f>
        <v>0</v>
      </c>
      <c r="V207" s="17">
        <f>_xlfn.XLOOKUP($B207,'[2]May-25'!$A:$A,'[2]May-25'!$H:$H,0)</f>
        <v>0</v>
      </c>
      <c r="W207" s="17">
        <f>_xlfn.XLOOKUP($B207,'[2]Jun-25'!$A:$A,'[2]Jun-25'!$H:$H,0)</f>
        <v>0</v>
      </c>
      <c r="X207" s="17">
        <f>_xlfn.XLOOKUP($B207,'[2]Jul-25'!$A:$A,'[2]Jul-25'!$H:$H,0)</f>
        <v>0</v>
      </c>
      <c r="Y207" s="17">
        <f>_xlfn.XLOOKUP($B207,'[2]Aug-25'!$A:$A,'[2]Aug-25'!$H:$H,0)</f>
        <v>0</v>
      </c>
      <c r="Z207" s="17">
        <f>_xlfn.XLOOKUP($B207,'[2]Sep-25'!$A:$A,'[2]Sep-25'!$H:$H,0)</f>
        <v>0</v>
      </c>
      <c r="AA207" s="17">
        <f>_xlfn.XLOOKUP($B207,'[2]Oct-25'!$A:$A,'[2]Oct-25'!$H:$H,0)</f>
        <v>0</v>
      </c>
      <c r="AB207" s="17">
        <f>_xlfn.XLOOKUP($B207,'[2]Nov-25'!$A:$A,'[2]Nov-25'!$H:$H,0)</f>
        <v>0</v>
      </c>
      <c r="AC207" s="17">
        <f>_xlfn.XLOOKUP($B207,'[2]Dec-25'!$A:$A,'[2]Dec-25'!$H:$H,0)</f>
        <v>0</v>
      </c>
      <c r="AD207" s="17">
        <f>_xlfn.XLOOKUP($B207,'[2]Jan-26'!$A:$A,'[2]Jan-26'!$H:$H,0)</f>
        <v>0</v>
      </c>
      <c r="AE207" s="17">
        <f>_xlfn.XLOOKUP($B207,'[2]Feb-26'!$A:$A,'[2]Feb-26'!$H:$H,0)</f>
        <v>0</v>
      </c>
      <c r="AF207" s="17">
        <f>_xlfn.XLOOKUP($B207,'[2]Mar-26'!$A:$A,'[2]Mar-26'!$H:$H,0)</f>
        <v>0</v>
      </c>
      <c r="AG207" s="17">
        <f>_xlfn.XLOOKUP($B207,'[2]Apr-26'!$A:$A,'[2]Apr-26'!$H:$H,0)</f>
        <v>0</v>
      </c>
    </row>
    <row r="208" spans="1:33" x14ac:dyDescent="0.2">
      <c r="A208" s="58">
        <v>60040</v>
      </c>
      <c r="B208" s="56" t="str">
        <f t="shared" si="5"/>
        <v>60040</v>
      </c>
      <c r="C208" s="57" t="s">
        <v>552</v>
      </c>
      <c r="D208" s="57" t="s">
        <v>387</v>
      </c>
      <c r="E208" s="44" t="s">
        <v>560</v>
      </c>
      <c r="F208" s="17">
        <f>_xlfn.XLOOKUP($B208,'[2]Jan-24'!$A:$A,'[2]Jan-24'!$H:$H,0)</f>
        <v>0</v>
      </c>
      <c r="G208" s="17">
        <f>_xlfn.XLOOKUP($B208,'[2]Feb-24'!$A:$A,'[2]Feb-24'!$H:$H,0)</f>
        <v>0</v>
      </c>
      <c r="H208" s="17">
        <f>_xlfn.XLOOKUP($B208,'[2]Mar-24'!$A:$A,'[2]Mar-24'!$H:$H,0)</f>
        <v>0</v>
      </c>
      <c r="I208" s="17">
        <f>_xlfn.XLOOKUP($B208,'[2]Apr-24'!$A:$A,'[2]Apr-24'!$H:$H,0)</f>
        <v>0</v>
      </c>
      <c r="J208" s="17">
        <f>_xlfn.XLOOKUP($B208,'[2]May-24'!$A:$A,'[2]May-24'!$H:$H,0)</f>
        <v>0</v>
      </c>
      <c r="K208" s="17">
        <f>_xlfn.XLOOKUP($B208,'[2]Jun-24'!$A:$A,'[2]Jun-24'!$H:$H,0)</f>
        <v>0</v>
      </c>
      <c r="L208" s="17">
        <f>_xlfn.XLOOKUP($B208,'[2]Jul-24'!$A:$A,'[2]Jul-24'!$H:$H,0)</f>
        <v>0</v>
      </c>
      <c r="M208" s="17">
        <f>_xlfn.XLOOKUP($B208,'[2]Aug-24'!$A:$A,'[2]Aug-24'!$H:$H,0)</f>
        <v>0</v>
      </c>
      <c r="N208" s="17">
        <f>_xlfn.XLOOKUP($B208,'[2]Sep-24'!$A:$A,'[2]Sep-24'!$H:$H,0)</f>
        <v>0</v>
      </c>
      <c r="O208" s="17">
        <f>_xlfn.XLOOKUP($B208,'[2]Oct-24'!$A:$A,'[2]Oct-24'!$H:$H,0)</f>
        <v>0</v>
      </c>
      <c r="P208" s="17">
        <f>_xlfn.XLOOKUP($B208,'[2]Nov-24'!$A:$A,'[2]Nov-24'!$H:$H,0)</f>
        <v>0</v>
      </c>
      <c r="Q208" s="17">
        <f>_xlfn.XLOOKUP($B208,'[2]Dec-24'!$A:$A,'[2]Dec-24'!$H:$H,0)</f>
        <v>0</v>
      </c>
      <c r="R208" s="17">
        <f>_xlfn.XLOOKUP($B208,'[2]Jan-25'!$A:$A,'[2]Jan-25'!$H:$H,0)</f>
        <v>0</v>
      </c>
      <c r="S208" s="17">
        <f>_xlfn.XLOOKUP($B208,'[2]Feb-25'!$A:$A,'[2]Feb-25'!$H:$H,0)</f>
        <v>0</v>
      </c>
      <c r="T208" s="17">
        <f>_xlfn.XLOOKUP($B208,'[2]Mar-25'!$A:$A,'[2]Mar-25'!$H:$H,0)</f>
        <v>0</v>
      </c>
      <c r="U208" s="17">
        <f>_xlfn.XLOOKUP($B208,'[2]Apr-25'!$A:$A,'[2]Apr-25'!$H:$H,0)</f>
        <v>0</v>
      </c>
      <c r="V208" s="17">
        <f>_xlfn.XLOOKUP($B208,'[2]May-25'!$A:$A,'[2]May-25'!$H:$H,0)</f>
        <v>0</v>
      </c>
      <c r="W208" s="17">
        <f>_xlfn.XLOOKUP($B208,'[2]Jun-25'!$A:$A,'[2]Jun-25'!$H:$H,0)</f>
        <v>0</v>
      </c>
      <c r="X208" s="17">
        <f>_xlfn.XLOOKUP($B208,'[2]Jul-25'!$A:$A,'[2]Jul-25'!$H:$H,0)</f>
        <v>0</v>
      </c>
      <c r="Y208" s="17">
        <f>_xlfn.XLOOKUP($B208,'[2]Aug-25'!$A:$A,'[2]Aug-25'!$H:$H,0)</f>
        <v>0</v>
      </c>
      <c r="Z208" s="17">
        <f>_xlfn.XLOOKUP($B208,'[2]Sep-25'!$A:$A,'[2]Sep-25'!$H:$H,0)</f>
        <v>0</v>
      </c>
      <c r="AA208" s="17">
        <f>_xlfn.XLOOKUP($B208,'[2]Oct-25'!$A:$A,'[2]Oct-25'!$H:$H,0)</f>
        <v>0</v>
      </c>
      <c r="AB208" s="17">
        <f>_xlfn.XLOOKUP($B208,'[2]Nov-25'!$A:$A,'[2]Nov-25'!$H:$H,0)</f>
        <v>0</v>
      </c>
      <c r="AC208" s="17">
        <f>_xlfn.XLOOKUP($B208,'[2]Dec-25'!$A:$A,'[2]Dec-25'!$H:$H,0)</f>
        <v>0</v>
      </c>
      <c r="AD208" s="17">
        <f>_xlfn.XLOOKUP($B208,'[2]Jan-26'!$A:$A,'[2]Jan-26'!$H:$H,0)</f>
        <v>0</v>
      </c>
      <c r="AE208" s="17">
        <f>_xlfn.XLOOKUP($B208,'[2]Feb-26'!$A:$A,'[2]Feb-26'!$H:$H,0)</f>
        <v>0</v>
      </c>
      <c r="AF208" s="17">
        <f>_xlfn.XLOOKUP($B208,'[2]Mar-26'!$A:$A,'[2]Mar-26'!$H:$H,0)</f>
        <v>0</v>
      </c>
      <c r="AG208" s="17">
        <f>_xlfn.XLOOKUP($B208,'[2]Apr-26'!$A:$A,'[2]Apr-26'!$H:$H,0)</f>
        <v>0</v>
      </c>
    </row>
    <row r="209" spans="1:33" x14ac:dyDescent="0.2">
      <c r="A209" s="58">
        <v>60045</v>
      </c>
      <c r="B209" s="56" t="str">
        <f t="shared" si="5"/>
        <v>60045</v>
      </c>
      <c r="C209" s="57" t="s">
        <v>552</v>
      </c>
      <c r="D209" s="57" t="s">
        <v>387</v>
      </c>
      <c r="E209" s="44" t="s">
        <v>561</v>
      </c>
      <c r="F209" s="17">
        <f>_xlfn.XLOOKUP($B209,'[2]Jan-24'!$A:$A,'[2]Jan-24'!$H:$H,0)</f>
        <v>0</v>
      </c>
      <c r="G209" s="17">
        <f>_xlfn.XLOOKUP($B209,'[2]Feb-24'!$A:$A,'[2]Feb-24'!$H:$H,0)</f>
        <v>0</v>
      </c>
      <c r="H209" s="17">
        <f>_xlfn.XLOOKUP($B209,'[2]Mar-24'!$A:$A,'[2]Mar-24'!$H:$H,0)</f>
        <v>0</v>
      </c>
      <c r="I209" s="17">
        <f>_xlfn.XLOOKUP($B209,'[2]Apr-24'!$A:$A,'[2]Apr-24'!$H:$H,0)</f>
        <v>0</v>
      </c>
      <c r="J209" s="17">
        <f>_xlfn.XLOOKUP($B209,'[2]May-24'!$A:$A,'[2]May-24'!$H:$H,0)</f>
        <v>0</v>
      </c>
      <c r="K209" s="17">
        <f>_xlfn.XLOOKUP($B209,'[2]Jun-24'!$A:$A,'[2]Jun-24'!$H:$H,0)</f>
        <v>0</v>
      </c>
      <c r="L209" s="17">
        <f>_xlfn.XLOOKUP($B209,'[2]Jul-24'!$A:$A,'[2]Jul-24'!$H:$H,0)</f>
        <v>0</v>
      </c>
      <c r="M209" s="17">
        <f>_xlfn.XLOOKUP($B209,'[2]Aug-24'!$A:$A,'[2]Aug-24'!$H:$H,0)</f>
        <v>0</v>
      </c>
      <c r="N209" s="17">
        <f>_xlfn.XLOOKUP($B209,'[2]Sep-24'!$A:$A,'[2]Sep-24'!$H:$H,0)</f>
        <v>0</v>
      </c>
      <c r="O209" s="17">
        <f>_xlfn.XLOOKUP($B209,'[2]Oct-24'!$A:$A,'[2]Oct-24'!$H:$H,0)</f>
        <v>0</v>
      </c>
      <c r="P209" s="17">
        <f>_xlfn.XLOOKUP($B209,'[2]Nov-24'!$A:$A,'[2]Nov-24'!$H:$H,0)</f>
        <v>0</v>
      </c>
      <c r="Q209" s="17">
        <f>_xlfn.XLOOKUP($B209,'[2]Dec-24'!$A:$A,'[2]Dec-24'!$H:$H,0)</f>
        <v>0</v>
      </c>
      <c r="R209" s="17">
        <f>_xlfn.XLOOKUP($B209,'[2]Jan-25'!$A:$A,'[2]Jan-25'!$H:$H,0)</f>
        <v>0</v>
      </c>
      <c r="S209" s="17">
        <f>_xlfn.XLOOKUP($B209,'[2]Feb-25'!$A:$A,'[2]Feb-25'!$H:$H,0)</f>
        <v>0</v>
      </c>
      <c r="T209" s="17">
        <f>_xlfn.XLOOKUP($B209,'[2]Mar-25'!$A:$A,'[2]Mar-25'!$H:$H,0)</f>
        <v>0</v>
      </c>
      <c r="U209" s="17">
        <f>_xlfn.XLOOKUP($B209,'[2]Apr-25'!$A:$A,'[2]Apr-25'!$H:$H,0)</f>
        <v>0</v>
      </c>
      <c r="V209" s="17">
        <f>_xlfn.XLOOKUP($B209,'[2]May-25'!$A:$A,'[2]May-25'!$H:$H,0)</f>
        <v>0</v>
      </c>
      <c r="W209" s="17">
        <f>_xlfn.XLOOKUP($B209,'[2]Jun-25'!$A:$A,'[2]Jun-25'!$H:$H,0)</f>
        <v>0</v>
      </c>
      <c r="X209" s="17">
        <f>_xlfn.XLOOKUP($B209,'[2]Jul-25'!$A:$A,'[2]Jul-25'!$H:$H,0)</f>
        <v>0</v>
      </c>
      <c r="Y209" s="17">
        <f>_xlfn.XLOOKUP($B209,'[2]Aug-25'!$A:$A,'[2]Aug-25'!$H:$H,0)</f>
        <v>0</v>
      </c>
      <c r="Z209" s="17">
        <f>_xlfn.XLOOKUP($B209,'[2]Sep-25'!$A:$A,'[2]Sep-25'!$H:$H,0)</f>
        <v>0</v>
      </c>
      <c r="AA209" s="17">
        <f>_xlfn.XLOOKUP($B209,'[2]Oct-25'!$A:$A,'[2]Oct-25'!$H:$H,0)</f>
        <v>0</v>
      </c>
      <c r="AB209" s="17">
        <f>_xlfn.XLOOKUP($B209,'[2]Nov-25'!$A:$A,'[2]Nov-25'!$H:$H,0)</f>
        <v>0</v>
      </c>
      <c r="AC209" s="17">
        <f>_xlfn.XLOOKUP($B209,'[2]Dec-25'!$A:$A,'[2]Dec-25'!$H:$H,0)</f>
        <v>0</v>
      </c>
      <c r="AD209" s="17">
        <f>_xlfn.XLOOKUP($B209,'[2]Jan-26'!$A:$A,'[2]Jan-26'!$H:$H,0)</f>
        <v>0</v>
      </c>
      <c r="AE209" s="17">
        <f>_xlfn.XLOOKUP($B209,'[2]Feb-26'!$A:$A,'[2]Feb-26'!$H:$H,0)</f>
        <v>0</v>
      </c>
      <c r="AF209" s="17">
        <f>_xlfn.XLOOKUP($B209,'[2]Mar-26'!$A:$A,'[2]Mar-26'!$H:$H,0)</f>
        <v>0</v>
      </c>
      <c r="AG209" s="17">
        <f>_xlfn.XLOOKUP($B209,'[2]Apr-26'!$A:$A,'[2]Apr-26'!$H:$H,0)</f>
        <v>0</v>
      </c>
    </row>
    <row r="210" spans="1:33" x14ac:dyDescent="0.2">
      <c r="A210" s="58">
        <v>60060</v>
      </c>
      <c r="B210" s="56" t="str">
        <f t="shared" si="5"/>
        <v>60060</v>
      </c>
      <c r="C210" s="57" t="s">
        <v>552</v>
      </c>
      <c r="D210" s="57" t="s">
        <v>387</v>
      </c>
      <c r="E210" s="44" t="s">
        <v>564</v>
      </c>
      <c r="F210" s="17">
        <f>_xlfn.XLOOKUP($B210,'[2]Jan-24'!$A:$A,'[2]Jan-24'!$H:$H,0)</f>
        <v>0</v>
      </c>
      <c r="G210" s="17">
        <f>_xlfn.XLOOKUP($B210,'[2]Feb-24'!$A:$A,'[2]Feb-24'!$H:$H,0)</f>
        <v>0</v>
      </c>
      <c r="H210" s="17">
        <f>_xlfn.XLOOKUP($B210,'[2]Mar-24'!$A:$A,'[2]Mar-24'!$H:$H,0)</f>
        <v>0</v>
      </c>
      <c r="I210" s="17">
        <f>_xlfn.XLOOKUP($B210,'[2]Apr-24'!$A:$A,'[2]Apr-24'!$H:$H,0)</f>
        <v>0</v>
      </c>
      <c r="J210" s="17">
        <f>_xlfn.XLOOKUP($B210,'[2]May-24'!$A:$A,'[2]May-24'!$H:$H,0)</f>
        <v>0</v>
      </c>
      <c r="K210" s="17">
        <f>_xlfn.XLOOKUP($B210,'[2]Jun-24'!$A:$A,'[2]Jun-24'!$H:$H,0)</f>
        <v>0</v>
      </c>
      <c r="L210" s="17">
        <f>_xlfn.XLOOKUP($B210,'[2]Jul-24'!$A:$A,'[2]Jul-24'!$H:$H,0)</f>
        <v>0</v>
      </c>
      <c r="M210" s="17">
        <f>_xlfn.XLOOKUP($B210,'[2]Aug-24'!$A:$A,'[2]Aug-24'!$H:$H,0)</f>
        <v>0</v>
      </c>
      <c r="N210" s="17">
        <f>_xlfn.XLOOKUP($B210,'[2]Sep-24'!$A:$A,'[2]Sep-24'!$H:$H,0)</f>
        <v>0</v>
      </c>
      <c r="O210" s="17">
        <f>_xlfn.XLOOKUP($B210,'[2]Oct-24'!$A:$A,'[2]Oct-24'!$H:$H,0)</f>
        <v>0</v>
      </c>
      <c r="P210" s="17">
        <f>_xlfn.XLOOKUP($B210,'[2]Nov-24'!$A:$A,'[2]Nov-24'!$H:$H,0)</f>
        <v>0</v>
      </c>
      <c r="Q210" s="17">
        <f>_xlfn.XLOOKUP($B210,'[2]Dec-24'!$A:$A,'[2]Dec-24'!$H:$H,0)</f>
        <v>0</v>
      </c>
      <c r="R210" s="17">
        <f>_xlfn.XLOOKUP($B210,'[2]Jan-25'!$A:$A,'[2]Jan-25'!$H:$H,0)</f>
        <v>0</v>
      </c>
      <c r="S210" s="17">
        <f>_xlfn.XLOOKUP($B210,'[2]Feb-25'!$A:$A,'[2]Feb-25'!$H:$H,0)</f>
        <v>0</v>
      </c>
      <c r="T210" s="17">
        <f>_xlfn.XLOOKUP($B210,'[2]Mar-25'!$A:$A,'[2]Mar-25'!$H:$H,0)</f>
        <v>0</v>
      </c>
      <c r="U210" s="17">
        <f>_xlfn.XLOOKUP($B210,'[2]Apr-25'!$A:$A,'[2]Apr-25'!$H:$H,0)</f>
        <v>0</v>
      </c>
      <c r="V210" s="17">
        <f>_xlfn.XLOOKUP($B210,'[2]May-25'!$A:$A,'[2]May-25'!$H:$H,0)</f>
        <v>0</v>
      </c>
      <c r="W210" s="17">
        <f>_xlfn.XLOOKUP($B210,'[2]Jun-25'!$A:$A,'[2]Jun-25'!$H:$H,0)</f>
        <v>0</v>
      </c>
      <c r="X210" s="17">
        <f>_xlfn.XLOOKUP($B210,'[2]Jul-25'!$A:$A,'[2]Jul-25'!$H:$H,0)</f>
        <v>0</v>
      </c>
      <c r="Y210" s="17">
        <f>_xlfn.XLOOKUP($B210,'[2]Aug-25'!$A:$A,'[2]Aug-25'!$H:$H,0)</f>
        <v>0</v>
      </c>
      <c r="Z210" s="17">
        <f>_xlfn.XLOOKUP($B210,'[2]Sep-25'!$A:$A,'[2]Sep-25'!$H:$H,0)</f>
        <v>0</v>
      </c>
      <c r="AA210" s="17">
        <f>_xlfn.XLOOKUP($B210,'[2]Oct-25'!$A:$A,'[2]Oct-25'!$H:$H,0)</f>
        <v>0</v>
      </c>
      <c r="AB210" s="17">
        <f>_xlfn.XLOOKUP($B210,'[2]Nov-25'!$A:$A,'[2]Nov-25'!$H:$H,0)</f>
        <v>0</v>
      </c>
      <c r="AC210" s="17">
        <f>_xlfn.XLOOKUP($B210,'[2]Dec-25'!$A:$A,'[2]Dec-25'!$H:$H,0)</f>
        <v>0</v>
      </c>
      <c r="AD210" s="17">
        <f>_xlfn.XLOOKUP($B210,'[2]Jan-26'!$A:$A,'[2]Jan-26'!$H:$H,0)</f>
        <v>0</v>
      </c>
      <c r="AE210" s="17">
        <f>_xlfn.XLOOKUP($B210,'[2]Feb-26'!$A:$A,'[2]Feb-26'!$H:$H,0)</f>
        <v>0</v>
      </c>
      <c r="AF210" s="17">
        <f>_xlfn.XLOOKUP($B210,'[2]Mar-26'!$A:$A,'[2]Mar-26'!$H:$H,0)</f>
        <v>0</v>
      </c>
      <c r="AG210" s="17">
        <f>_xlfn.XLOOKUP($B210,'[2]Apr-26'!$A:$A,'[2]Apr-26'!$H:$H,0)</f>
        <v>0</v>
      </c>
    </row>
    <row r="211" spans="1:33" x14ac:dyDescent="0.2">
      <c r="A211" s="58">
        <v>60070</v>
      </c>
      <c r="B211" s="56" t="str">
        <f t="shared" si="5"/>
        <v>60070</v>
      </c>
      <c r="C211" s="57" t="s">
        <v>565</v>
      </c>
      <c r="D211" s="57" t="s">
        <v>387</v>
      </c>
      <c r="E211" s="44" t="s">
        <v>566</v>
      </c>
      <c r="F211" s="17">
        <f>_xlfn.XLOOKUP($B211,'[2]Jan-24'!$A:$A,'[2]Jan-24'!$H:$H,0)</f>
        <v>0</v>
      </c>
      <c r="G211" s="17">
        <f>_xlfn.XLOOKUP($B211,'[2]Feb-24'!$A:$A,'[2]Feb-24'!$H:$H,0)</f>
        <v>0</v>
      </c>
      <c r="H211" s="17">
        <f>_xlfn.XLOOKUP($B211,'[2]Mar-24'!$A:$A,'[2]Mar-24'!$H:$H,0)</f>
        <v>0</v>
      </c>
      <c r="I211" s="17">
        <f>_xlfn.XLOOKUP($B211,'[2]Apr-24'!$A:$A,'[2]Apr-24'!$H:$H,0)</f>
        <v>0</v>
      </c>
      <c r="J211" s="17">
        <f>_xlfn.XLOOKUP($B211,'[2]May-24'!$A:$A,'[2]May-24'!$H:$H,0)</f>
        <v>0</v>
      </c>
      <c r="K211" s="17">
        <f>_xlfn.XLOOKUP($B211,'[2]Jun-24'!$A:$A,'[2]Jun-24'!$H:$H,0)</f>
        <v>0</v>
      </c>
      <c r="L211" s="17">
        <f>_xlfn.XLOOKUP($B211,'[2]Jul-24'!$A:$A,'[2]Jul-24'!$H:$H,0)</f>
        <v>0</v>
      </c>
      <c r="M211" s="17">
        <f>_xlfn.XLOOKUP($B211,'[2]Aug-24'!$A:$A,'[2]Aug-24'!$H:$H,0)</f>
        <v>0</v>
      </c>
      <c r="N211" s="17">
        <f>_xlfn.XLOOKUP($B211,'[2]Sep-24'!$A:$A,'[2]Sep-24'!$H:$H,0)</f>
        <v>0</v>
      </c>
      <c r="O211" s="17">
        <f>_xlfn.XLOOKUP($B211,'[2]Oct-24'!$A:$A,'[2]Oct-24'!$H:$H,0)</f>
        <v>0</v>
      </c>
      <c r="P211" s="17">
        <f>_xlfn.XLOOKUP($B211,'[2]Nov-24'!$A:$A,'[2]Nov-24'!$H:$H,0)</f>
        <v>0</v>
      </c>
      <c r="Q211" s="17">
        <f>_xlfn.XLOOKUP($B211,'[2]Dec-24'!$A:$A,'[2]Dec-24'!$H:$H,0)</f>
        <v>0</v>
      </c>
      <c r="R211" s="17">
        <f>_xlfn.XLOOKUP($B211,'[2]Jan-25'!$A:$A,'[2]Jan-25'!$H:$H,0)</f>
        <v>0</v>
      </c>
      <c r="S211" s="17">
        <f>_xlfn.XLOOKUP($B211,'[2]Feb-25'!$A:$A,'[2]Feb-25'!$H:$H,0)</f>
        <v>0</v>
      </c>
      <c r="T211" s="17">
        <f>_xlfn.XLOOKUP($B211,'[2]Mar-25'!$A:$A,'[2]Mar-25'!$H:$H,0)</f>
        <v>0</v>
      </c>
      <c r="U211" s="17">
        <f>_xlfn.XLOOKUP($B211,'[2]Apr-25'!$A:$A,'[2]Apr-25'!$H:$H,0)</f>
        <v>0</v>
      </c>
      <c r="V211" s="17">
        <f>_xlfn.XLOOKUP($B211,'[2]May-25'!$A:$A,'[2]May-25'!$H:$H,0)</f>
        <v>0</v>
      </c>
      <c r="W211" s="17">
        <f>_xlfn.XLOOKUP($B211,'[2]Jun-25'!$A:$A,'[2]Jun-25'!$H:$H,0)</f>
        <v>0</v>
      </c>
      <c r="X211" s="17">
        <f>_xlfn.XLOOKUP($B211,'[2]Jul-25'!$A:$A,'[2]Jul-25'!$H:$H,0)</f>
        <v>0</v>
      </c>
      <c r="Y211" s="17">
        <f>_xlfn.XLOOKUP($B211,'[2]Aug-25'!$A:$A,'[2]Aug-25'!$H:$H,0)</f>
        <v>0</v>
      </c>
      <c r="Z211" s="17">
        <f>_xlfn.XLOOKUP($B211,'[2]Sep-25'!$A:$A,'[2]Sep-25'!$H:$H,0)</f>
        <v>0</v>
      </c>
      <c r="AA211" s="17">
        <f>_xlfn.XLOOKUP($B211,'[2]Oct-25'!$A:$A,'[2]Oct-25'!$H:$H,0)</f>
        <v>0</v>
      </c>
      <c r="AB211" s="17">
        <f>_xlfn.XLOOKUP($B211,'[2]Nov-25'!$A:$A,'[2]Nov-25'!$H:$H,0)</f>
        <v>0</v>
      </c>
      <c r="AC211" s="17">
        <f>_xlfn.XLOOKUP($B211,'[2]Dec-25'!$A:$A,'[2]Dec-25'!$H:$H,0)</f>
        <v>0</v>
      </c>
      <c r="AD211" s="17">
        <f>_xlfn.XLOOKUP($B211,'[2]Jan-26'!$A:$A,'[2]Jan-26'!$H:$H,0)</f>
        <v>0</v>
      </c>
      <c r="AE211" s="17">
        <f>_xlfn.XLOOKUP($B211,'[2]Feb-26'!$A:$A,'[2]Feb-26'!$H:$H,0)</f>
        <v>0</v>
      </c>
      <c r="AF211" s="17">
        <f>_xlfn.XLOOKUP($B211,'[2]Mar-26'!$A:$A,'[2]Mar-26'!$H:$H,0)</f>
        <v>0</v>
      </c>
      <c r="AG211" s="17">
        <f>_xlfn.XLOOKUP($B211,'[2]Apr-26'!$A:$A,'[2]Apr-26'!$H:$H,0)</f>
        <v>0</v>
      </c>
    </row>
    <row r="212" spans="1:33" x14ac:dyDescent="0.2">
      <c r="A212" s="58">
        <v>60075</v>
      </c>
      <c r="B212" s="56" t="str">
        <f t="shared" si="5"/>
        <v>60075</v>
      </c>
      <c r="C212" s="57" t="s">
        <v>552</v>
      </c>
      <c r="D212" s="57" t="s">
        <v>387</v>
      </c>
      <c r="E212" s="44" t="s">
        <v>567</v>
      </c>
      <c r="F212" s="17">
        <f>_xlfn.XLOOKUP($B212,'[2]Jan-24'!$A:$A,'[2]Jan-24'!$H:$H,0)</f>
        <v>0</v>
      </c>
      <c r="G212" s="17">
        <f>_xlfn.XLOOKUP($B212,'[2]Feb-24'!$A:$A,'[2]Feb-24'!$H:$H,0)</f>
        <v>0</v>
      </c>
      <c r="H212" s="17">
        <f>_xlfn.XLOOKUP($B212,'[2]Mar-24'!$A:$A,'[2]Mar-24'!$H:$H,0)</f>
        <v>0</v>
      </c>
      <c r="I212" s="17">
        <f>_xlfn.XLOOKUP($B212,'[2]Apr-24'!$A:$A,'[2]Apr-24'!$H:$H,0)</f>
        <v>0</v>
      </c>
      <c r="J212" s="17">
        <f>_xlfn.XLOOKUP($B212,'[2]May-24'!$A:$A,'[2]May-24'!$H:$H,0)</f>
        <v>0</v>
      </c>
      <c r="K212" s="17">
        <f>_xlfn.XLOOKUP($B212,'[2]Jun-24'!$A:$A,'[2]Jun-24'!$H:$H,0)</f>
        <v>0</v>
      </c>
      <c r="L212" s="17">
        <f>_xlfn.XLOOKUP($B212,'[2]Jul-24'!$A:$A,'[2]Jul-24'!$H:$H,0)</f>
        <v>0</v>
      </c>
      <c r="M212" s="17">
        <f>_xlfn.XLOOKUP($B212,'[2]Aug-24'!$A:$A,'[2]Aug-24'!$H:$H,0)</f>
        <v>0</v>
      </c>
      <c r="N212" s="17">
        <f>_xlfn.XLOOKUP($B212,'[2]Sep-24'!$A:$A,'[2]Sep-24'!$H:$H,0)</f>
        <v>0</v>
      </c>
      <c r="O212" s="17">
        <f>_xlfn.XLOOKUP($B212,'[2]Oct-24'!$A:$A,'[2]Oct-24'!$H:$H,0)</f>
        <v>0</v>
      </c>
      <c r="P212" s="17">
        <f>_xlfn.XLOOKUP($B212,'[2]Nov-24'!$A:$A,'[2]Nov-24'!$H:$H,0)</f>
        <v>0</v>
      </c>
      <c r="Q212" s="17">
        <f>_xlfn.XLOOKUP($B212,'[2]Dec-24'!$A:$A,'[2]Dec-24'!$H:$H,0)</f>
        <v>0</v>
      </c>
      <c r="R212" s="17">
        <f>_xlfn.XLOOKUP($B212,'[2]Jan-25'!$A:$A,'[2]Jan-25'!$H:$H,0)</f>
        <v>0</v>
      </c>
      <c r="S212" s="17">
        <f>_xlfn.XLOOKUP($B212,'[2]Feb-25'!$A:$A,'[2]Feb-25'!$H:$H,0)</f>
        <v>0</v>
      </c>
      <c r="T212" s="17">
        <f>_xlfn.XLOOKUP($B212,'[2]Mar-25'!$A:$A,'[2]Mar-25'!$H:$H,0)</f>
        <v>0</v>
      </c>
      <c r="U212" s="17">
        <f>_xlfn.XLOOKUP($B212,'[2]Apr-25'!$A:$A,'[2]Apr-25'!$H:$H,0)</f>
        <v>0</v>
      </c>
      <c r="V212" s="17">
        <f>_xlfn.XLOOKUP($B212,'[2]May-25'!$A:$A,'[2]May-25'!$H:$H,0)</f>
        <v>0</v>
      </c>
      <c r="W212" s="17">
        <f>_xlfn.XLOOKUP($B212,'[2]Jun-25'!$A:$A,'[2]Jun-25'!$H:$H,0)</f>
        <v>0</v>
      </c>
      <c r="X212" s="17">
        <f>_xlfn.XLOOKUP($B212,'[2]Jul-25'!$A:$A,'[2]Jul-25'!$H:$H,0)</f>
        <v>0</v>
      </c>
      <c r="Y212" s="17">
        <f>_xlfn.XLOOKUP($B212,'[2]Aug-25'!$A:$A,'[2]Aug-25'!$H:$H,0)</f>
        <v>0</v>
      </c>
      <c r="Z212" s="17">
        <f>_xlfn.XLOOKUP($B212,'[2]Sep-25'!$A:$A,'[2]Sep-25'!$H:$H,0)</f>
        <v>0</v>
      </c>
      <c r="AA212" s="17">
        <f>_xlfn.XLOOKUP($B212,'[2]Oct-25'!$A:$A,'[2]Oct-25'!$H:$H,0)</f>
        <v>0</v>
      </c>
      <c r="AB212" s="17">
        <f>_xlfn.XLOOKUP($B212,'[2]Nov-25'!$A:$A,'[2]Nov-25'!$H:$H,0)</f>
        <v>0</v>
      </c>
      <c r="AC212" s="17">
        <f>_xlfn.XLOOKUP($B212,'[2]Dec-25'!$A:$A,'[2]Dec-25'!$H:$H,0)</f>
        <v>0</v>
      </c>
      <c r="AD212" s="17">
        <f>_xlfn.XLOOKUP($B212,'[2]Jan-26'!$A:$A,'[2]Jan-26'!$H:$H,0)</f>
        <v>0</v>
      </c>
      <c r="AE212" s="17">
        <f>_xlfn.XLOOKUP($B212,'[2]Feb-26'!$A:$A,'[2]Feb-26'!$H:$H,0)</f>
        <v>0</v>
      </c>
      <c r="AF212" s="17">
        <f>_xlfn.XLOOKUP($B212,'[2]Mar-26'!$A:$A,'[2]Mar-26'!$H:$H,0)</f>
        <v>0</v>
      </c>
      <c r="AG212" s="17">
        <f>_xlfn.XLOOKUP($B212,'[2]Apr-26'!$A:$A,'[2]Apr-26'!$H:$H,0)</f>
        <v>0</v>
      </c>
    </row>
    <row r="213" spans="1:33" x14ac:dyDescent="0.2">
      <c r="A213" s="58">
        <v>60080</v>
      </c>
      <c r="B213" s="56" t="str">
        <f t="shared" si="5"/>
        <v>60080</v>
      </c>
      <c r="C213" s="57" t="s">
        <v>565</v>
      </c>
      <c r="D213" s="57" t="s">
        <v>387</v>
      </c>
      <c r="E213" s="44" t="s">
        <v>568</v>
      </c>
      <c r="F213" s="17">
        <f>_xlfn.XLOOKUP($B213,'[2]Jan-24'!$A:$A,'[2]Jan-24'!$H:$H,0)</f>
        <v>0</v>
      </c>
      <c r="G213" s="17">
        <f>_xlfn.XLOOKUP($B213,'[2]Feb-24'!$A:$A,'[2]Feb-24'!$H:$H,0)</f>
        <v>0</v>
      </c>
      <c r="H213" s="17">
        <f>_xlfn.XLOOKUP($B213,'[2]Mar-24'!$A:$A,'[2]Mar-24'!$H:$H,0)</f>
        <v>0</v>
      </c>
      <c r="I213" s="17">
        <f>_xlfn.XLOOKUP($B213,'[2]Apr-24'!$A:$A,'[2]Apr-24'!$H:$H,0)</f>
        <v>0</v>
      </c>
      <c r="J213" s="17">
        <f>_xlfn.XLOOKUP($B213,'[2]May-24'!$A:$A,'[2]May-24'!$H:$H,0)</f>
        <v>0</v>
      </c>
      <c r="K213" s="17">
        <f>_xlfn.XLOOKUP($B213,'[2]Jun-24'!$A:$A,'[2]Jun-24'!$H:$H,0)</f>
        <v>0</v>
      </c>
      <c r="L213" s="17">
        <f>_xlfn.XLOOKUP($B213,'[2]Jul-24'!$A:$A,'[2]Jul-24'!$H:$H,0)</f>
        <v>0</v>
      </c>
      <c r="M213" s="17">
        <f>_xlfn.XLOOKUP($B213,'[2]Aug-24'!$A:$A,'[2]Aug-24'!$H:$H,0)</f>
        <v>0</v>
      </c>
      <c r="N213" s="17">
        <f>_xlfn.XLOOKUP($B213,'[2]Sep-24'!$A:$A,'[2]Sep-24'!$H:$H,0)</f>
        <v>0</v>
      </c>
      <c r="O213" s="17">
        <f>_xlfn.XLOOKUP($B213,'[2]Oct-24'!$A:$A,'[2]Oct-24'!$H:$H,0)</f>
        <v>0</v>
      </c>
      <c r="P213" s="17">
        <f>_xlfn.XLOOKUP($B213,'[2]Nov-24'!$A:$A,'[2]Nov-24'!$H:$H,0)</f>
        <v>0</v>
      </c>
      <c r="Q213" s="17">
        <f>_xlfn.XLOOKUP($B213,'[2]Dec-24'!$A:$A,'[2]Dec-24'!$H:$H,0)</f>
        <v>0</v>
      </c>
      <c r="R213" s="17">
        <f>_xlfn.XLOOKUP($B213,'[2]Jan-25'!$A:$A,'[2]Jan-25'!$H:$H,0)</f>
        <v>0</v>
      </c>
      <c r="S213" s="17">
        <f>_xlfn.XLOOKUP($B213,'[2]Feb-25'!$A:$A,'[2]Feb-25'!$H:$H,0)</f>
        <v>0</v>
      </c>
      <c r="T213" s="17">
        <f>_xlfn.XLOOKUP($B213,'[2]Mar-25'!$A:$A,'[2]Mar-25'!$H:$H,0)</f>
        <v>203.5</v>
      </c>
      <c r="U213" s="17">
        <f>_xlfn.XLOOKUP($B213,'[2]Apr-25'!$A:$A,'[2]Apr-25'!$H:$H,0)</f>
        <v>0</v>
      </c>
      <c r="V213" s="17">
        <f>_xlfn.XLOOKUP($B213,'[2]May-25'!$A:$A,'[2]May-25'!$H:$H,0)</f>
        <v>0</v>
      </c>
      <c r="W213" s="17">
        <f>_xlfn.XLOOKUP($B213,'[2]Jun-25'!$A:$A,'[2]Jun-25'!$H:$H,0)</f>
        <v>0</v>
      </c>
      <c r="X213" s="17">
        <f>_xlfn.XLOOKUP($B213,'[2]Jul-25'!$A:$A,'[2]Jul-25'!$H:$H,0)</f>
        <v>0</v>
      </c>
      <c r="Y213" s="17">
        <f>_xlfn.XLOOKUP($B213,'[2]Aug-25'!$A:$A,'[2]Aug-25'!$H:$H,0)</f>
        <v>0</v>
      </c>
      <c r="Z213" s="17">
        <f>_xlfn.XLOOKUP($B213,'[2]Sep-25'!$A:$A,'[2]Sep-25'!$H:$H,0)</f>
        <v>0</v>
      </c>
      <c r="AA213" s="17">
        <f>_xlfn.XLOOKUP($B213,'[2]Oct-25'!$A:$A,'[2]Oct-25'!$H:$H,0)</f>
        <v>0</v>
      </c>
      <c r="AB213" s="17">
        <f>_xlfn.XLOOKUP($B213,'[2]Nov-25'!$A:$A,'[2]Nov-25'!$H:$H,0)</f>
        <v>0</v>
      </c>
      <c r="AC213" s="17">
        <f>_xlfn.XLOOKUP($B213,'[2]Dec-25'!$A:$A,'[2]Dec-25'!$H:$H,0)</f>
        <v>0</v>
      </c>
      <c r="AD213" s="17">
        <f>_xlfn.XLOOKUP($B213,'[2]Jan-26'!$A:$A,'[2]Jan-26'!$H:$H,0)</f>
        <v>0</v>
      </c>
      <c r="AE213" s="17">
        <f>_xlfn.XLOOKUP($B213,'[2]Feb-26'!$A:$A,'[2]Feb-26'!$H:$H,0)</f>
        <v>0</v>
      </c>
      <c r="AF213" s="17">
        <f>_xlfn.XLOOKUP($B213,'[2]Mar-26'!$A:$A,'[2]Mar-26'!$H:$H,0)</f>
        <v>0</v>
      </c>
      <c r="AG213" s="17">
        <f>_xlfn.XLOOKUP($B213,'[2]Apr-26'!$A:$A,'[2]Apr-26'!$H:$H,0)</f>
        <v>0</v>
      </c>
    </row>
    <row r="214" spans="1:33" x14ac:dyDescent="0.2">
      <c r="A214" s="58">
        <v>60085</v>
      </c>
      <c r="B214" s="56" t="str">
        <f t="shared" si="5"/>
        <v>60085</v>
      </c>
      <c r="C214" s="57" t="s">
        <v>565</v>
      </c>
      <c r="D214" s="57" t="s">
        <v>387</v>
      </c>
      <c r="E214" s="44" t="s">
        <v>569</v>
      </c>
      <c r="F214" s="17">
        <f>_xlfn.XLOOKUP($B214,'[2]Jan-24'!$A:$A,'[2]Jan-24'!$H:$H,0)</f>
        <v>0</v>
      </c>
      <c r="G214" s="17">
        <f>_xlfn.XLOOKUP($B214,'[2]Feb-24'!$A:$A,'[2]Feb-24'!$H:$H,0)</f>
        <v>0</v>
      </c>
      <c r="H214" s="17">
        <f>_xlfn.XLOOKUP($B214,'[2]Mar-24'!$A:$A,'[2]Mar-24'!$H:$H,0)</f>
        <v>0</v>
      </c>
      <c r="I214" s="17">
        <f>_xlfn.XLOOKUP($B214,'[2]Apr-24'!$A:$A,'[2]Apr-24'!$H:$H,0)</f>
        <v>0</v>
      </c>
      <c r="J214" s="17">
        <f>_xlfn.XLOOKUP($B214,'[2]May-24'!$A:$A,'[2]May-24'!$H:$H,0)</f>
        <v>0</v>
      </c>
      <c r="K214" s="17">
        <f>_xlfn.XLOOKUP($B214,'[2]Jun-24'!$A:$A,'[2]Jun-24'!$H:$H,0)</f>
        <v>0</v>
      </c>
      <c r="L214" s="17">
        <f>_xlfn.XLOOKUP($B214,'[2]Jul-24'!$A:$A,'[2]Jul-24'!$H:$H,0)</f>
        <v>0</v>
      </c>
      <c r="M214" s="17">
        <f>_xlfn.XLOOKUP($B214,'[2]Aug-24'!$A:$A,'[2]Aug-24'!$H:$H,0)</f>
        <v>0</v>
      </c>
      <c r="N214" s="17">
        <f>_xlfn.XLOOKUP($B214,'[2]Sep-24'!$A:$A,'[2]Sep-24'!$H:$H,0)</f>
        <v>0</v>
      </c>
      <c r="O214" s="17">
        <f>_xlfn.XLOOKUP($B214,'[2]Oct-24'!$A:$A,'[2]Oct-24'!$H:$H,0)</f>
        <v>0</v>
      </c>
      <c r="P214" s="17">
        <f>_xlfn.XLOOKUP($B214,'[2]Nov-24'!$A:$A,'[2]Nov-24'!$H:$H,0)</f>
        <v>0</v>
      </c>
      <c r="Q214" s="17">
        <f>_xlfn.XLOOKUP($B214,'[2]Dec-24'!$A:$A,'[2]Dec-24'!$H:$H,0)</f>
        <v>0</v>
      </c>
      <c r="R214" s="17">
        <f>_xlfn.XLOOKUP($B214,'[2]Jan-25'!$A:$A,'[2]Jan-25'!$H:$H,0)</f>
        <v>0</v>
      </c>
      <c r="S214" s="17">
        <f>_xlfn.XLOOKUP($B214,'[2]Feb-25'!$A:$A,'[2]Feb-25'!$H:$H,0)</f>
        <v>0</v>
      </c>
      <c r="T214" s="17">
        <f>_xlfn.XLOOKUP($B214,'[2]Mar-25'!$A:$A,'[2]Mar-25'!$H:$H,0)</f>
        <v>0</v>
      </c>
      <c r="U214" s="17">
        <f>_xlfn.XLOOKUP($B214,'[2]Apr-25'!$A:$A,'[2]Apr-25'!$H:$H,0)</f>
        <v>0</v>
      </c>
      <c r="V214" s="17">
        <f>_xlfn.XLOOKUP($B214,'[2]May-25'!$A:$A,'[2]May-25'!$H:$H,0)</f>
        <v>0</v>
      </c>
      <c r="W214" s="17">
        <f>_xlfn.XLOOKUP($B214,'[2]Jun-25'!$A:$A,'[2]Jun-25'!$H:$H,0)</f>
        <v>0</v>
      </c>
      <c r="X214" s="17">
        <f>_xlfn.XLOOKUP($B214,'[2]Jul-25'!$A:$A,'[2]Jul-25'!$H:$H,0)</f>
        <v>0</v>
      </c>
      <c r="Y214" s="17">
        <f>_xlfn.XLOOKUP($B214,'[2]Aug-25'!$A:$A,'[2]Aug-25'!$H:$H,0)</f>
        <v>0</v>
      </c>
      <c r="Z214" s="17">
        <f>_xlfn.XLOOKUP($B214,'[2]Sep-25'!$A:$A,'[2]Sep-25'!$H:$H,0)</f>
        <v>0</v>
      </c>
      <c r="AA214" s="17">
        <f>_xlfn.XLOOKUP($B214,'[2]Oct-25'!$A:$A,'[2]Oct-25'!$H:$H,0)</f>
        <v>0</v>
      </c>
      <c r="AB214" s="17">
        <f>_xlfn.XLOOKUP($B214,'[2]Nov-25'!$A:$A,'[2]Nov-25'!$H:$H,0)</f>
        <v>0</v>
      </c>
      <c r="AC214" s="17">
        <f>_xlfn.XLOOKUP($B214,'[2]Dec-25'!$A:$A,'[2]Dec-25'!$H:$H,0)</f>
        <v>0</v>
      </c>
      <c r="AD214" s="17">
        <f>_xlfn.XLOOKUP($B214,'[2]Jan-26'!$A:$A,'[2]Jan-26'!$H:$H,0)</f>
        <v>0</v>
      </c>
      <c r="AE214" s="17">
        <f>_xlfn.XLOOKUP($B214,'[2]Feb-26'!$A:$A,'[2]Feb-26'!$H:$H,0)</f>
        <v>0</v>
      </c>
      <c r="AF214" s="17">
        <f>_xlfn.XLOOKUP($B214,'[2]Mar-26'!$A:$A,'[2]Mar-26'!$H:$H,0)</f>
        <v>0</v>
      </c>
      <c r="AG214" s="17">
        <f>_xlfn.XLOOKUP($B214,'[2]Apr-26'!$A:$A,'[2]Apr-26'!$H:$H,0)</f>
        <v>0</v>
      </c>
    </row>
    <row r="215" spans="1:33" x14ac:dyDescent="0.2">
      <c r="A215" s="58">
        <v>60090</v>
      </c>
      <c r="B215" s="56" t="str">
        <f t="shared" si="5"/>
        <v>60090</v>
      </c>
      <c r="C215" s="57" t="s">
        <v>565</v>
      </c>
      <c r="D215" s="57" t="s">
        <v>387</v>
      </c>
      <c r="E215" s="44" t="s">
        <v>570</v>
      </c>
      <c r="F215" s="17">
        <f>_xlfn.XLOOKUP($B215,'[2]Jan-24'!$A:$A,'[2]Jan-24'!$H:$H,0)</f>
        <v>0</v>
      </c>
      <c r="G215" s="17">
        <f>_xlfn.XLOOKUP($B215,'[2]Feb-24'!$A:$A,'[2]Feb-24'!$H:$H,0)</f>
        <v>0</v>
      </c>
      <c r="H215" s="17">
        <f>_xlfn.XLOOKUP($B215,'[2]Mar-24'!$A:$A,'[2]Mar-24'!$H:$H,0)</f>
        <v>0</v>
      </c>
      <c r="I215" s="17">
        <f>_xlfn.XLOOKUP($B215,'[2]Apr-24'!$A:$A,'[2]Apr-24'!$H:$H,0)</f>
        <v>0</v>
      </c>
      <c r="J215" s="17">
        <f>_xlfn.XLOOKUP($B215,'[2]May-24'!$A:$A,'[2]May-24'!$H:$H,0)</f>
        <v>0</v>
      </c>
      <c r="K215" s="17">
        <f>_xlfn.XLOOKUP($B215,'[2]Jun-24'!$A:$A,'[2]Jun-24'!$H:$H,0)</f>
        <v>0</v>
      </c>
      <c r="L215" s="17">
        <f>_xlfn.XLOOKUP($B215,'[2]Jul-24'!$A:$A,'[2]Jul-24'!$H:$H,0)</f>
        <v>0</v>
      </c>
      <c r="M215" s="17">
        <f>_xlfn.XLOOKUP($B215,'[2]Aug-24'!$A:$A,'[2]Aug-24'!$H:$H,0)</f>
        <v>0</v>
      </c>
      <c r="N215" s="17">
        <f>_xlfn.XLOOKUP($B215,'[2]Sep-24'!$A:$A,'[2]Sep-24'!$H:$H,0)</f>
        <v>0</v>
      </c>
      <c r="O215" s="17">
        <f>_xlfn.XLOOKUP($B215,'[2]Oct-24'!$A:$A,'[2]Oct-24'!$H:$H,0)</f>
        <v>0</v>
      </c>
      <c r="P215" s="17">
        <f>_xlfn.XLOOKUP($B215,'[2]Nov-24'!$A:$A,'[2]Nov-24'!$H:$H,0)</f>
        <v>0</v>
      </c>
      <c r="Q215" s="17">
        <f>_xlfn.XLOOKUP($B215,'[2]Dec-24'!$A:$A,'[2]Dec-24'!$H:$H,0)</f>
        <v>0</v>
      </c>
      <c r="R215" s="17">
        <f>_xlfn.XLOOKUP($B215,'[2]Jan-25'!$A:$A,'[2]Jan-25'!$H:$H,0)</f>
        <v>0</v>
      </c>
      <c r="S215" s="17">
        <f>_xlfn.XLOOKUP($B215,'[2]Feb-25'!$A:$A,'[2]Feb-25'!$H:$H,0)</f>
        <v>0</v>
      </c>
      <c r="T215" s="17">
        <f>_xlfn.XLOOKUP($B215,'[2]Mar-25'!$A:$A,'[2]Mar-25'!$H:$H,0)</f>
        <v>0</v>
      </c>
      <c r="U215" s="17">
        <f>_xlfn.XLOOKUP($B215,'[2]Apr-25'!$A:$A,'[2]Apr-25'!$H:$H,0)</f>
        <v>0</v>
      </c>
      <c r="V215" s="17">
        <f>_xlfn.XLOOKUP($B215,'[2]May-25'!$A:$A,'[2]May-25'!$H:$H,0)</f>
        <v>0</v>
      </c>
      <c r="W215" s="17">
        <f>_xlfn.XLOOKUP($B215,'[2]Jun-25'!$A:$A,'[2]Jun-25'!$H:$H,0)</f>
        <v>0</v>
      </c>
      <c r="X215" s="17">
        <f>_xlfn.XLOOKUP($B215,'[2]Jul-25'!$A:$A,'[2]Jul-25'!$H:$H,0)</f>
        <v>0</v>
      </c>
      <c r="Y215" s="17">
        <f>_xlfn.XLOOKUP($B215,'[2]Aug-25'!$A:$A,'[2]Aug-25'!$H:$H,0)</f>
        <v>0</v>
      </c>
      <c r="Z215" s="17">
        <f>_xlfn.XLOOKUP($B215,'[2]Sep-25'!$A:$A,'[2]Sep-25'!$H:$H,0)</f>
        <v>0</v>
      </c>
      <c r="AA215" s="17">
        <f>_xlfn.XLOOKUP($B215,'[2]Oct-25'!$A:$A,'[2]Oct-25'!$H:$H,0)</f>
        <v>0</v>
      </c>
      <c r="AB215" s="17">
        <f>_xlfn.XLOOKUP($B215,'[2]Nov-25'!$A:$A,'[2]Nov-25'!$H:$H,0)</f>
        <v>0</v>
      </c>
      <c r="AC215" s="17">
        <f>_xlfn.XLOOKUP($B215,'[2]Dec-25'!$A:$A,'[2]Dec-25'!$H:$H,0)</f>
        <v>0</v>
      </c>
      <c r="AD215" s="17">
        <f>_xlfn.XLOOKUP($B215,'[2]Jan-26'!$A:$A,'[2]Jan-26'!$H:$H,0)</f>
        <v>0</v>
      </c>
      <c r="AE215" s="17">
        <f>_xlfn.XLOOKUP($B215,'[2]Feb-26'!$A:$A,'[2]Feb-26'!$H:$H,0)</f>
        <v>0</v>
      </c>
      <c r="AF215" s="17">
        <f>_xlfn.XLOOKUP($B215,'[2]Mar-26'!$A:$A,'[2]Mar-26'!$H:$H,0)</f>
        <v>0</v>
      </c>
      <c r="AG215" s="17">
        <f>_xlfn.XLOOKUP($B215,'[2]Apr-26'!$A:$A,'[2]Apr-26'!$H:$H,0)</f>
        <v>0</v>
      </c>
    </row>
    <row r="216" spans="1:33" x14ac:dyDescent="0.2">
      <c r="A216" s="58">
        <v>60095</v>
      </c>
      <c r="B216" s="56" t="str">
        <f t="shared" si="5"/>
        <v>60095</v>
      </c>
      <c r="C216" s="57" t="s">
        <v>552</v>
      </c>
      <c r="D216" s="57" t="s">
        <v>387</v>
      </c>
      <c r="E216" s="44" t="s">
        <v>571</v>
      </c>
      <c r="F216" s="17">
        <f>_xlfn.XLOOKUP($B216,'[2]Jan-24'!$A:$A,'[2]Jan-24'!$H:$H,0)</f>
        <v>0</v>
      </c>
      <c r="G216" s="17">
        <f>_xlfn.XLOOKUP($B216,'[2]Feb-24'!$A:$A,'[2]Feb-24'!$H:$H,0)</f>
        <v>0</v>
      </c>
      <c r="H216" s="17">
        <f>_xlfn.XLOOKUP($B216,'[2]Mar-24'!$A:$A,'[2]Mar-24'!$H:$H,0)</f>
        <v>0</v>
      </c>
      <c r="I216" s="17">
        <f>_xlfn.XLOOKUP($B216,'[2]Apr-24'!$A:$A,'[2]Apr-24'!$H:$H,0)</f>
        <v>0</v>
      </c>
      <c r="J216" s="17">
        <f>_xlfn.XLOOKUP($B216,'[2]May-24'!$A:$A,'[2]May-24'!$H:$H,0)</f>
        <v>0</v>
      </c>
      <c r="K216" s="17">
        <f>_xlfn.XLOOKUP($B216,'[2]Jun-24'!$A:$A,'[2]Jun-24'!$H:$H,0)</f>
        <v>0</v>
      </c>
      <c r="L216" s="17">
        <f>_xlfn.XLOOKUP($B216,'[2]Jul-24'!$A:$A,'[2]Jul-24'!$H:$H,0)</f>
        <v>0</v>
      </c>
      <c r="M216" s="17">
        <f>_xlfn.XLOOKUP($B216,'[2]Aug-24'!$A:$A,'[2]Aug-24'!$H:$H,0)</f>
        <v>0</v>
      </c>
      <c r="N216" s="17">
        <f>_xlfn.XLOOKUP($B216,'[2]Sep-24'!$A:$A,'[2]Sep-24'!$H:$H,0)</f>
        <v>0</v>
      </c>
      <c r="O216" s="17">
        <f>_xlfn.XLOOKUP($B216,'[2]Oct-24'!$A:$A,'[2]Oct-24'!$H:$H,0)</f>
        <v>0</v>
      </c>
      <c r="P216" s="17">
        <f>_xlfn.XLOOKUP($B216,'[2]Nov-24'!$A:$A,'[2]Nov-24'!$H:$H,0)</f>
        <v>0</v>
      </c>
      <c r="Q216" s="17">
        <f>_xlfn.XLOOKUP($B216,'[2]Dec-24'!$A:$A,'[2]Dec-24'!$H:$H,0)</f>
        <v>0</v>
      </c>
      <c r="R216" s="17">
        <f>_xlfn.XLOOKUP($B216,'[2]Jan-25'!$A:$A,'[2]Jan-25'!$H:$H,0)</f>
        <v>0</v>
      </c>
      <c r="S216" s="17">
        <f>_xlfn.XLOOKUP($B216,'[2]Feb-25'!$A:$A,'[2]Feb-25'!$H:$H,0)</f>
        <v>0</v>
      </c>
      <c r="T216" s="17">
        <f>_xlfn.XLOOKUP($B216,'[2]Mar-25'!$A:$A,'[2]Mar-25'!$H:$H,0)</f>
        <v>0</v>
      </c>
      <c r="U216" s="17">
        <f>_xlfn.XLOOKUP($B216,'[2]Apr-25'!$A:$A,'[2]Apr-25'!$H:$H,0)</f>
        <v>0</v>
      </c>
      <c r="V216" s="17">
        <f>_xlfn.XLOOKUP($B216,'[2]May-25'!$A:$A,'[2]May-25'!$H:$H,0)</f>
        <v>0</v>
      </c>
      <c r="W216" s="17">
        <f>_xlfn.XLOOKUP($B216,'[2]Jun-25'!$A:$A,'[2]Jun-25'!$H:$H,0)</f>
        <v>0</v>
      </c>
      <c r="X216" s="17">
        <f>_xlfn.XLOOKUP($B216,'[2]Jul-25'!$A:$A,'[2]Jul-25'!$H:$H,0)</f>
        <v>0</v>
      </c>
      <c r="Y216" s="17">
        <f>_xlfn.XLOOKUP($B216,'[2]Aug-25'!$A:$A,'[2]Aug-25'!$H:$H,0)</f>
        <v>0</v>
      </c>
      <c r="Z216" s="17">
        <f>_xlfn.XLOOKUP($B216,'[2]Sep-25'!$A:$A,'[2]Sep-25'!$H:$H,0)</f>
        <v>0</v>
      </c>
      <c r="AA216" s="17">
        <f>_xlfn.XLOOKUP($B216,'[2]Oct-25'!$A:$A,'[2]Oct-25'!$H:$H,0)</f>
        <v>0</v>
      </c>
      <c r="AB216" s="17">
        <f>_xlfn.XLOOKUP($B216,'[2]Nov-25'!$A:$A,'[2]Nov-25'!$H:$H,0)</f>
        <v>0</v>
      </c>
      <c r="AC216" s="17">
        <f>_xlfn.XLOOKUP($B216,'[2]Dec-25'!$A:$A,'[2]Dec-25'!$H:$H,0)</f>
        <v>0</v>
      </c>
      <c r="AD216" s="17">
        <f>_xlfn.XLOOKUP($B216,'[2]Jan-26'!$A:$A,'[2]Jan-26'!$H:$H,0)</f>
        <v>0</v>
      </c>
      <c r="AE216" s="17">
        <f>_xlfn.XLOOKUP($B216,'[2]Feb-26'!$A:$A,'[2]Feb-26'!$H:$H,0)</f>
        <v>0</v>
      </c>
      <c r="AF216" s="17">
        <f>_xlfn.XLOOKUP($B216,'[2]Mar-26'!$A:$A,'[2]Mar-26'!$H:$H,0)</f>
        <v>0</v>
      </c>
      <c r="AG216" s="17">
        <f>_xlfn.XLOOKUP($B216,'[2]Apr-26'!$A:$A,'[2]Apr-26'!$H:$H,0)</f>
        <v>0</v>
      </c>
    </row>
    <row r="217" spans="1:33" x14ac:dyDescent="0.2">
      <c r="A217" s="58">
        <v>60096</v>
      </c>
      <c r="B217" s="56" t="str">
        <f t="shared" si="5"/>
        <v>60096</v>
      </c>
      <c r="C217" s="57" t="s">
        <v>572</v>
      </c>
      <c r="D217" s="57" t="s">
        <v>387</v>
      </c>
      <c r="E217" s="44" t="s">
        <v>573</v>
      </c>
      <c r="F217" s="17">
        <f>_xlfn.XLOOKUP($B217,'[2]Jan-24'!$A:$A,'[2]Jan-24'!$H:$H,0)</f>
        <v>0</v>
      </c>
      <c r="G217" s="17">
        <f>_xlfn.XLOOKUP($B217,'[2]Feb-24'!$A:$A,'[2]Feb-24'!$H:$H,0)</f>
        <v>0</v>
      </c>
      <c r="H217" s="17">
        <f>_xlfn.XLOOKUP($B217,'[2]Mar-24'!$A:$A,'[2]Mar-24'!$H:$H,0)</f>
        <v>0</v>
      </c>
      <c r="I217" s="17">
        <f>_xlfn.XLOOKUP($B217,'[2]Apr-24'!$A:$A,'[2]Apr-24'!$H:$H,0)</f>
        <v>0</v>
      </c>
      <c r="J217" s="17">
        <f>_xlfn.XLOOKUP($B217,'[2]May-24'!$A:$A,'[2]May-24'!$H:$H,0)</f>
        <v>0</v>
      </c>
      <c r="K217" s="17">
        <f>_xlfn.XLOOKUP($B217,'[2]Jun-24'!$A:$A,'[2]Jun-24'!$H:$H,0)</f>
        <v>0</v>
      </c>
      <c r="L217" s="17">
        <f>_xlfn.XLOOKUP($B217,'[2]Jul-24'!$A:$A,'[2]Jul-24'!$H:$H,0)</f>
        <v>0</v>
      </c>
      <c r="M217" s="17">
        <f>_xlfn.XLOOKUP($B217,'[2]Aug-24'!$A:$A,'[2]Aug-24'!$H:$H,0)</f>
        <v>0</v>
      </c>
      <c r="N217" s="17">
        <f>_xlfn.XLOOKUP($B217,'[2]Sep-24'!$A:$A,'[2]Sep-24'!$H:$H,0)</f>
        <v>0</v>
      </c>
      <c r="O217" s="17">
        <f>_xlfn.XLOOKUP($B217,'[2]Oct-24'!$A:$A,'[2]Oct-24'!$H:$H,0)</f>
        <v>0</v>
      </c>
      <c r="P217" s="17">
        <f>_xlfn.XLOOKUP($B217,'[2]Nov-24'!$A:$A,'[2]Nov-24'!$H:$H,0)</f>
        <v>0</v>
      </c>
      <c r="Q217" s="17">
        <f>_xlfn.XLOOKUP($B217,'[2]Dec-24'!$A:$A,'[2]Dec-24'!$H:$H,0)</f>
        <v>0</v>
      </c>
      <c r="R217" s="17">
        <f>_xlfn.XLOOKUP($B217,'[2]Jan-25'!$A:$A,'[2]Jan-25'!$H:$H,0)</f>
        <v>0</v>
      </c>
      <c r="S217" s="17">
        <f>_xlfn.XLOOKUP($B217,'[2]Feb-25'!$A:$A,'[2]Feb-25'!$H:$H,0)</f>
        <v>0</v>
      </c>
      <c r="T217" s="17">
        <f>_xlfn.XLOOKUP($B217,'[2]Mar-25'!$A:$A,'[2]Mar-25'!$H:$H,0)</f>
        <v>0</v>
      </c>
      <c r="U217" s="17">
        <f>_xlfn.XLOOKUP($B217,'[2]Apr-25'!$A:$A,'[2]Apr-25'!$H:$H,0)</f>
        <v>0</v>
      </c>
      <c r="V217" s="17">
        <f>_xlfn.XLOOKUP($B217,'[2]May-25'!$A:$A,'[2]May-25'!$H:$H,0)</f>
        <v>0</v>
      </c>
      <c r="W217" s="17">
        <f>_xlfn.XLOOKUP($B217,'[2]Jun-25'!$A:$A,'[2]Jun-25'!$H:$H,0)</f>
        <v>0</v>
      </c>
      <c r="X217" s="17">
        <f>_xlfn.XLOOKUP($B217,'[2]Jul-25'!$A:$A,'[2]Jul-25'!$H:$H,0)</f>
        <v>0</v>
      </c>
      <c r="Y217" s="17">
        <f>_xlfn.XLOOKUP($B217,'[2]Aug-25'!$A:$A,'[2]Aug-25'!$H:$H,0)</f>
        <v>0</v>
      </c>
      <c r="Z217" s="17">
        <f>_xlfn.XLOOKUP($B217,'[2]Sep-25'!$A:$A,'[2]Sep-25'!$H:$H,0)</f>
        <v>0</v>
      </c>
      <c r="AA217" s="17">
        <f>_xlfn.XLOOKUP($B217,'[2]Oct-25'!$A:$A,'[2]Oct-25'!$H:$H,0)</f>
        <v>0</v>
      </c>
      <c r="AB217" s="17">
        <f>_xlfn.XLOOKUP($B217,'[2]Nov-25'!$A:$A,'[2]Nov-25'!$H:$H,0)</f>
        <v>0</v>
      </c>
      <c r="AC217" s="17">
        <f>_xlfn.XLOOKUP($B217,'[2]Dec-25'!$A:$A,'[2]Dec-25'!$H:$H,0)</f>
        <v>0</v>
      </c>
      <c r="AD217" s="17">
        <f>_xlfn.XLOOKUP($B217,'[2]Jan-26'!$A:$A,'[2]Jan-26'!$H:$H,0)</f>
        <v>0</v>
      </c>
      <c r="AE217" s="17">
        <f>_xlfn.XLOOKUP($B217,'[2]Feb-26'!$A:$A,'[2]Feb-26'!$H:$H,0)</f>
        <v>0</v>
      </c>
      <c r="AF217" s="17">
        <f>_xlfn.XLOOKUP($B217,'[2]Mar-26'!$A:$A,'[2]Mar-26'!$H:$H,0)</f>
        <v>0</v>
      </c>
      <c r="AG217" s="17">
        <f>_xlfn.XLOOKUP($B217,'[2]Apr-26'!$A:$A,'[2]Apr-26'!$H:$H,0)</f>
        <v>0</v>
      </c>
    </row>
    <row r="218" spans="1:33" x14ac:dyDescent="0.2">
      <c r="A218" s="58">
        <v>60100</v>
      </c>
      <c r="B218" s="56" t="str">
        <f t="shared" si="5"/>
        <v>60100</v>
      </c>
      <c r="C218" s="57" t="s">
        <v>574</v>
      </c>
      <c r="D218" s="57" t="s">
        <v>387</v>
      </c>
      <c r="E218" s="44" t="s">
        <v>575</v>
      </c>
      <c r="F218" s="17">
        <f>_xlfn.XLOOKUP($B218,'[2]Jan-24'!$A:$A,'[2]Jan-24'!$H:$H,0)</f>
        <v>0</v>
      </c>
      <c r="G218" s="17">
        <f>_xlfn.XLOOKUP($B218,'[2]Feb-24'!$A:$A,'[2]Feb-24'!$H:$H,0)</f>
        <v>0</v>
      </c>
      <c r="H218" s="17">
        <f>_xlfn.XLOOKUP($B218,'[2]Mar-24'!$A:$A,'[2]Mar-24'!$H:$H,0)</f>
        <v>0</v>
      </c>
      <c r="I218" s="17">
        <f>_xlfn.XLOOKUP($B218,'[2]Apr-24'!$A:$A,'[2]Apr-24'!$H:$H,0)</f>
        <v>0</v>
      </c>
      <c r="J218" s="17">
        <f>_xlfn.XLOOKUP($B218,'[2]May-24'!$A:$A,'[2]May-24'!$H:$H,0)</f>
        <v>0</v>
      </c>
      <c r="K218" s="17">
        <f>_xlfn.XLOOKUP($B218,'[2]Jun-24'!$A:$A,'[2]Jun-24'!$H:$H,0)</f>
        <v>0</v>
      </c>
      <c r="L218" s="17">
        <f>_xlfn.XLOOKUP($B218,'[2]Jul-24'!$A:$A,'[2]Jul-24'!$H:$H,0)</f>
        <v>0</v>
      </c>
      <c r="M218" s="17">
        <f>_xlfn.XLOOKUP($B218,'[2]Aug-24'!$A:$A,'[2]Aug-24'!$H:$H,0)</f>
        <v>0</v>
      </c>
      <c r="N218" s="17">
        <f>_xlfn.XLOOKUP($B218,'[2]Sep-24'!$A:$A,'[2]Sep-24'!$H:$H,0)</f>
        <v>0</v>
      </c>
      <c r="O218" s="17">
        <f>_xlfn.XLOOKUP($B218,'[2]Oct-24'!$A:$A,'[2]Oct-24'!$H:$H,0)</f>
        <v>0</v>
      </c>
      <c r="P218" s="17">
        <f>_xlfn.XLOOKUP($B218,'[2]Nov-24'!$A:$A,'[2]Nov-24'!$H:$H,0)</f>
        <v>0</v>
      </c>
      <c r="Q218" s="17">
        <f>_xlfn.XLOOKUP($B218,'[2]Dec-24'!$A:$A,'[2]Dec-24'!$H:$H,0)</f>
        <v>0</v>
      </c>
      <c r="R218" s="17">
        <f>_xlfn.XLOOKUP($B218,'[2]Jan-25'!$A:$A,'[2]Jan-25'!$H:$H,0)</f>
        <v>0</v>
      </c>
      <c r="S218" s="17">
        <f>_xlfn.XLOOKUP($B218,'[2]Feb-25'!$A:$A,'[2]Feb-25'!$H:$H,0)</f>
        <v>0</v>
      </c>
      <c r="T218" s="17">
        <f>_xlfn.XLOOKUP($B218,'[2]Mar-25'!$A:$A,'[2]Mar-25'!$H:$H,0)</f>
        <v>0</v>
      </c>
      <c r="U218" s="17">
        <f>_xlfn.XLOOKUP($B218,'[2]Apr-25'!$A:$A,'[2]Apr-25'!$H:$H,0)</f>
        <v>0</v>
      </c>
      <c r="V218" s="17">
        <f>_xlfn.XLOOKUP($B218,'[2]May-25'!$A:$A,'[2]May-25'!$H:$H,0)</f>
        <v>0</v>
      </c>
      <c r="W218" s="17">
        <f>_xlfn.XLOOKUP($B218,'[2]Jun-25'!$A:$A,'[2]Jun-25'!$H:$H,0)</f>
        <v>0</v>
      </c>
      <c r="X218" s="17">
        <f>_xlfn.XLOOKUP($B218,'[2]Jul-25'!$A:$A,'[2]Jul-25'!$H:$H,0)</f>
        <v>60</v>
      </c>
      <c r="Y218" s="17">
        <f>_xlfn.XLOOKUP($B218,'[2]Aug-25'!$A:$A,'[2]Aug-25'!$H:$H,0)</f>
        <v>0</v>
      </c>
      <c r="Z218" s="17">
        <f>_xlfn.XLOOKUP($B218,'[2]Sep-25'!$A:$A,'[2]Sep-25'!$H:$H,0)</f>
        <v>0</v>
      </c>
      <c r="AA218" s="17">
        <f>_xlfn.XLOOKUP($B218,'[2]Oct-25'!$A:$A,'[2]Oct-25'!$H:$H,0)</f>
        <v>0</v>
      </c>
      <c r="AB218" s="17">
        <f>_xlfn.XLOOKUP($B218,'[2]Nov-25'!$A:$A,'[2]Nov-25'!$H:$H,0)</f>
        <v>0</v>
      </c>
      <c r="AC218" s="17">
        <f>_xlfn.XLOOKUP($B218,'[2]Dec-25'!$A:$A,'[2]Dec-25'!$H:$H,0)</f>
        <v>0</v>
      </c>
      <c r="AD218" s="17">
        <f>_xlfn.XLOOKUP($B218,'[2]Jan-26'!$A:$A,'[2]Jan-26'!$H:$H,0)</f>
        <v>0</v>
      </c>
      <c r="AE218" s="17">
        <f>_xlfn.XLOOKUP($B218,'[2]Feb-26'!$A:$A,'[2]Feb-26'!$H:$H,0)</f>
        <v>0</v>
      </c>
      <c r="AF218" s="17">
        <f>_xlfn.XLOOKUP($B218,'[2]Mar-26'!$A:$A,'[2]Mar-26'!$H:$H,0)</f>
        <v>0</v>
      </c>
      <c r="AG218" s="17">
        <f>_xlfn.XLOOKUP($B218,'[2]Apr-26'!$A:$A,'[2]Apr-26'!$H:$H,0)</f>
        <v>0</v>
      </c>
    </row>
    <row r="219" spans="1:33" x14ac:dyDescent="0.2">
      <c r="A219" s="58">
        <v>60110</v>
      </c>
      <c r="B219" s="56" t="str">
        <f t="shared" si="5"/>
        <v>60110</v>
      </c>
      <c r="C219" s="57" t="s">
        <v>574</v>
      </c>
      <c r="D219" s="57" t="s">
        <v>387</v>
      </c>
      <c r="E219" s="44" t="s">
        <v>576</v>
      </c>
      <c r="F219" s="17">
        <f>_xlfn.XLOOKUP($B219,'[2]Jan-24'!$A:$A,'[2]Jan-24'!$H:$H,0)</f>
        <v>0</v>
      </c>
      <c r="G219" s="17">
        <f>_xlfn.XLOOKUP($B219,'[2]Feb-24'!$A:$A,'[2]Feb-24'!$H:$H,0)</f>
        <v>0</v>
      </c>
      <c r="H219" s="17">
        <f>_xlfn.XLOOKUP($B219,'[2]Mar-24'!$A:$A,'[2]Mar-24'!$H:$H,0)</f>
        <v>0</v>
      </c>
      <c r="I219" s="17">
        <f>_xlfn.XLOOKUP($B219,'[2]Apr-24'!$A:$A,'[2]Apr-24'!$H:$H,0)</f>
        <v>0</v>
      </c>
      <c r="J219" s="17">
        <f>_xlfn.XLOOKUP($B219,'[2]May-24'!$A:$A,'[2]May-24'!$H:$H,0)</f>
        <v>0</v>
      </c>
      <c r="K219" s="17">
        <f>_xlfn.XLOOKUP($B219,'[2]Jun-24'!$A:$A,'[2]Jun-24'!$H:$H,0)</f>
        <v>0</v>
      </c>
      <c r="L219" s="17">
        <f>_xlfn.XLOOKUP($B219,'[2]Jul-24'!$A:$A,'[2]Jul-24'!$H:$H,0)</f>
        <v>0</v>
      </c>
      <c r="M219" s="17">
        <f>_xlfn.XLOOKUP($B219,'[2]Aug-24'!$A:$A,'[2]Aug-24'!$H:$H,0)</f>
        <v>0</v>
      </c>
      <c r="N219" s="17">
        <f>_xlfn.XLOOKUP($B219,'[2]Sep-24'!$A:$A,'[2]Sep-24'!$H:$H,0)</f>
        <v>0</v>
      </c>
      <c r="O219" s="17">
        <f>_xlfn.XLOOKUP($B219,'[2]Oct-24'!$A:$A,'[2]Oct-24'!$H:$H,0)</f>
        <v>0</v>
      </c>
      <c r="P219" s="17">
        <f>_xlfn.XLOOKUP($B219,'[2]Nov-24'!$A:$A,'[2]Nov-24'!$H:$H,0)</f>
        <v>0</v>
      </c>
      <c r="Q219" s="17">
        <f>_xlfn.XLOOKUP($B219,'[2]Dec-24'!$A:$A,'[2]Dec-24'!$H:$H,0)</f>
        <v>0</v>
      </c>
      <c r="R219" s="17">
        <f>_xlfn.XLOOKUP($B219,'[2]Jan-25'!$A:$A,'[2]Jan-25'!$H:$H,0)</f>
        <v>0</v>
      </c>
      <c r="S219" s="17">
        <f>_xlfn.XLOOKUP($B219,'[2]Feb-25'!$A:$A,'[2]Feb-25'!$H:$H,0)</f>
        <v>0</v>
      </c>
      <c r="T219" s="17">
        <f>_xlfn.XLOOKUP($B219,'[2]Mar-25'!$A:$A,'[2]Mar-25'!$H:$H,0)</f>
        <v>0</v>
      </c>
      <c r="U219" s="17">
        <f>_xlfn.XLOOKUP($B219,'[2]Apr-25'!$A:$A,'[2]Apr-25'!$H:$H,0)</f>
        <v>0</v>
      </c>
      <c r="V219" s="17">
        <f>_xlfn.XLOOKUP($B219,'[2]May-25'!$A:$A,'[2]May-25'!$H:$H,0)</f>
        <v>0</v>
      </c>
      <c r="W219" s="17">
        <f>_xlfn.XLOOKUP($B219,'[2]Jun-25'!$A:$A,'[2]Jun-25'!$H:$H,0)</f>
        <v>0</v>
      </c>
      <c r="X219" s="17">
        <f>_xlfn.XLOOKUP($B219,'[2]Jul-25'!$A:$A,'[2]Jul-25'!$H:$H,0)</f>
        <v>0</v>
      </c>
      <c r="Y219" s="17">
        <f>_xlfn.XLOOKUP($B219,'[2]Aug-25'!$A:$A,'[2]Aug-25'!$H:$H,0)</f>
        <v>0</v>
      </c>
      <c r="Z219" s="17">
        <f>_xlfn.XLOOKUP($B219,'[2]Sep-25'!$A:$A,'[2]Sep-25'!$H:$H,0)</f>
        <v>0</v>
      </c>
      <c r="AA219" s="17">
        <f>_xlfn.XLOOKUP($B219,'[2]Oct-25'!$A:$A,'[2]Oct-25'!$H:$H,0)</f>
        <v>0</v>
      </c>
      <c r="AB219" s="17">
        <f>_xlfn.XLOOKUP($B219,'[2]Nov-25'!$A:$A,'[2]Nov-25'!$H:$H,0)</f>
        <v>0</v>
      </c>
      <c r="AC219" s="17">
        <f>_xlfn.XLOOKUP($B219,'[2]Dec-25'!$A:$A,'[2]Dec-25'!$H:$H,0)</f>
        <v>0</v>
      </c>
      <c r="AD219" s="17">
        <f>_xlfn.XLOOKUP($B219,'[2]Jan-26'!$A:$A,'[2]Jan-26'!$H:$H,0)</f>
        <v>0</v>
      </c>
      <c r="AE219" s="17">
        <f>_xlfn.XLOOKUP($B219,'[2]Feb-26'!$A:$A,'[2]Feb-26'!$H:$H,0)</f>
        <v>0</v>
      </c>
      <c r="AF219" s="17">
        <f>_xlfn.XLOOKUP($B219,'[2]Mar-26'!$A:$A,'[2]Mar-26'!$H:$H,0)</f>
        <v>0</v>
      </c>
      <c r="AG219" s="17">
        <f>_xlfn.XLOOKUP($B219,'[2]Apr-26'!$A:$A,'[2]Apr-26'!$H:$H,0)</f>
        <v>0</v>
      </c>
    </row>
    <row r="220" spans="1:33" x14ac:dyDescent="0.2">
      <c r="A220" s="58">
        <v>60115</v>
      </c>
      <c r="B220" s="56" t="str">
        <f t="shared" si="5"/>
        <v>60115</v>
      </c>
      <c r="C220" s="57" t="s">
        <v>574</v>
      </c>
      <c r="D220" s="57" t="s">
        <v>387</v>
      </c>
      <c r="E220" s="44" t="s">
        <v>577</v>
      </c>
      <c r="F220" s="17">
        <f>_xlfn.XLOOKUP($B220,'[2]Jan-24'!$A:$A,'[2]Jan-24'!$H:$H,0)</f>
        <v>0</v>
      </c>
      <c r="G220" s="17">
        <f>_xlfn.XLOOKUP($B220,'[2]Feb-24'!$A:$A,'[2]Feb-24'!$H:$H,0)</f>
        <v>0</v>
      </c>
      <c r="H220" s="17">
        <f>_xlfn.XLOOKUP($B220,'[2]Mar-24'!$A:$A,'[2]Mar-24'!$H:$H,0)</f>
        <v>0</v>
      </c>
      <c r="I220" s="17">
        <f>_xlfn.XLOOKUP($B220,'[2]Apr-24'!$A:$A,'[2]Apr-24'!$H:$H,0)</f>
        <v>2000</v>
      </c>
      <c r="J220" s="17">
        <f>_xlfn.XLOOKUP($B220,'[2]May-24'!$A:$A,'[2]May-24'!$H:$H,0)</f>
        <v>0</v>
      </c>
      <c r="K220" s="17">
        <f>_xlfn.XLOOKUP($B220,'[2]Jun-24'!$A:$A,'[2]Jun-24'!$H:$H,0)</f>
        <v>0</v>
      </c>
      <c r="L220" s="17">
        <f>_xlfn.XLOOKUP($B220,'[2]Jul-24'!$A:$A,'[2]Jul-24'!$H:$H,0)</f>
        <v>0</v>
      </c>
      <c r="M220" s="17">
        <f>_xlfn.XLOOKUP($B220,'[2]Aug-24'!$A:$A,'[2]Aug-24'!$H:$H,0)</f>
        <v>0</v>
      </c>
      <c r="N220" s="17">
        <f>_xlfn.XLOOKUP($B220,'[2]Sep-24'!$A:$A,'[2]Sep-24'!$H:$H,0)</f>
        <v>0</v>
      </c>
      <c r="O220" s="17">
        <f>_xlfn.XLOOKUP($B220,'[2]Oct-24'!$A:$A,'[2]Oct-24'!$H:$H,0)</f>
        <v>0</v>
      </c>
      <c r="P220" s="17">
        <f>_xlfn.XLOOKUP($B220,'[2]Nov-24'!$A:$A,'[2]Nov-24'!$H:$H,0)</f>
        <v>0</v>
      </c>
      <c r="Q220" s="17">
        <f>_xlfn.XLOOKUP($B220,'[2]Dec-24'!$A:$A,'[2]Dec-24'!$H:$H,0)</f>
        <v>125</v>
      </c>
      <c r="R220" s="17">
        <f>_xlfn.XLOOKUP($B220,'[2]Jan-25'!$A:$A,'[2]Jan-25'!$H:$H,0)</f>
        <v>0</v>
      </c>
      <c r="S220" s="17">
        <f>_xlfn.XLOOKUP($B220,'[2]Feb-25'!$A:$A,'[2]Feb-25'!$H:$H,0)</f>
        <v>0</v>
      </c>
      <c r="T220" s="17">
        <f>_xlfn.XLOOKUP($B220,'[2]Mar-25'!$A:$A,'[2]Mar-25'!$H:$H,0)</f>
        <v>0</v>
      </c>
      <c r="U220" s="17">
        <f>_xlfn.XLOOKUP($B220,'[2]Apr-25'!$A:$A,'[2]Apr-25'!$H:$H,0)</f>
        <v>0</v>
      </c>
      <c r="V220" s="17">
        <f>_xlfn.XLOOKUP($B220,'[2]May-25'!$A:$A,'[2]May-25'!$H:$H,0)</f>
        <v>0</v>
      </c>
      <c r="W220" s="17">
        <f>_xlfn.XLOOKUP($B220,'[2]Jun-25'!$A:$A,'[2]Jun-25'!$H:$H,0)</f>
        <v>0</v>
      </c>
      <c r="X220" s="17">
        <f>_xlfn.XLOOKUP($B220,'[2]Jul-25'!$A:$A,'[2]Jul-25'!$H:$H,0)</f>
        <v>0</v>
      </c>
      <c r="Y220" s="17">
        <f>_xlfn.XLOOKUP($B220,'[2]Aug-25'!$A:$A,'[2]Aug-25'!$H:$H,0)</f>
        <v>0</v>
      </c>
      <c r="Z220" s="17">
        <f>_xlfn.XLOOKUP($B220,'[2]Sep-25'!$A:$A,'[2]Sep-25'!$H:$H,0)</f>
        <v>6742.31</v>
      </c>
      <c r="AA220" s="17">
        <f>_xlfn.XLOOKUP($B220,'[2]Oct-25'!$A:$A,'[2]Oct-25'!$H:$H,0)</f>
        <v>0</v>
      </c>
      <c r="AB220" s="17">
        <f>_xlfn.XLOOKUP($B220,'[2]Nov-25'!$A:$A,'[2]Nov-25'!$H:$H,0)</f>
        <v>2130.66</v>
      </c>
      <c r="AC220" s="17">
        <f>_xlfn.XLOOKUP($B220,'[2]Dec-25'!$A:$A,'[2]Dec-25'!$H:$H,0)</f>
        <v>0</v>
      </c>
      <c r="AD220" s="17">
        <f>_xlfn.XLOOKUP($B220,'[2]Jan-26'!$A:$A,'[2]Jan-26'!$H:$H,0)</f>
        <v>0</v>
      </c>
      <c r="AE220" s="17">
        <f>_xlfn.XLOOKUP($B220,'[2]Feb-26'!$A:$A,'[2]Feb-26'!$H:$H,0)</f>
        <v>0</v>
      </c>
      <c r="AF220" s="17">
        <f>_xlfn.XLOOKUP($B220,'[2]Mar-26'!$A:$A,'[2]Mar-26'!$H:$H,0)</f>
        <v>0</v>
      </c>
      <c r="AG220" s="17">
        <f>_xlfn.XLOOKUP($B220,'[2]Apr-26'!$A:$A,'[2]Apr-26'!$H:$H,0)</f>
        <v>0</v>
      </c>
    </row>
    <row r="221" spans="1:33" x14ac:dyDescent="0.2">
      <c r="A221" s="58">
        <v>60120</v>
      </c>
      <c r="B221" s="56" t="str">
        <f t="shared" si="5"/>
        <v>60120</v>
      </c>
      <c r="C221" s="57" t="s">
        <v>574</v>
      </c>
      <c r="D221" s="57" t="s">
        <v>387</v>
      </c>
      <c r="E221" s="44" t="s">
        <v>578</v>
      </c>
      <c r="F221" s="17">
        <f>_xlfn.XLOOKUP($B221,'[2]Jan-24'!$A:$A,'[2]Jan-24'!$H:$H,0)</f>
        <v>0</v>
      </c>
      <c r="G221" s="17">
        <f>_xlfn.XLOOKUP($B221,'[2]Feb-24'!$A:$A,'[2]Feb-24'!$H:$H,0)</f>
        <v>0</v>
      </c>
      <c r="H221" s="17">
        <f>_xlfn.XLOOKUP($B221,'[2]Mar-24'!$A:$A,'[2]Mar-24'!$H:$H,0)</f>
        <v>0</v>
      </c>
      <c r="I221" s="17">
        <f>_xlfn.XLOOKUP($B221,'[2]Apr-24'!$A:$A,'[2]Apr-24'!$H:$H,0)</f>
        <v>0</v>
      </c>
      <c r="J221" s="17">
        <f>_xlfn.XLOOKUP($B221,'[2]May-24'!$A:$A,'[2]May-24'!$H:$H,0)</f>
        <v>0</v>
      </c>
      <c r="K221" s="17">
        <f>_xlfn.XLOOKUP($B221,'[2]Jun-24'!$A:$A,'[2]Jun-24'!$H:$H,0)</f>
        <v>0</v>
      </c>
      <c r="L221" s="17">
        <f>_xlfn.XLOOKUP($B221,'[2]Jul-24'!$A:$A,'[2]Jul-24'!$H:$H,0)</f>
        <v>0</v>
      </c>
      <c r="M221" s="17">
        <f>_xlfn.XLOOKUP($B221,'[2]Aug-24'!$A:$A,'[2]Aug-24'!$H:$H,0)</f>
        <v>0</v>
      </c>
      <c r="N221" s="17">
        <f>_xlfn.XLOOKUP($B221,'[2]Sep-24'!$A:$A,'[2]Sep-24'!$H:$H,0)</f>
        <v>0</v>
      </c>
      <c r="O221" s="17">
        <f>_xlfn.XLOOKUP($B221,'[2]Oct-24'!$A:$A,'[2]Oct-24'!$H:$H,0)</f>
        <v>0</v>
      </c>
      <c r="P221" s="17">
        <f>_xlfn.XLOOKUP($B221,'[2]Nov-24'!$A:$A,'[2]Nov-24'!$H:$H,0)</f>
        <v>0</v>
      </c>
      <c r="Q221" s="17">
        <f>_xlfn.XLOOKUP($B221,'[2]Dec-24'!$A:$A,'[2]Dec-24'!$H:$H,0)</f>
        <v>0</v>
      </c>
      <c r="R221" s="17">
        <f>_xlfn.XLOOKUP($B221,'[2]Jan-25'!$A:$A,'[2]Jan-25'!$H:$H,0)</f>
        <v>0</v>
      </c>
      <c r="S221" s="17">
        <f>_xlfn.XLOOKUP($B221,'[2]Feb-25'!$A:$A,'[2]Feb-25'!$H:$H,0)</f>
        <v>0</v>
      </c>
      <c r="T221" s="17">
        <f>_xlfn.XLOOKUP($B221,'[2]Mar-25'!$A:$A,'[2]Mar-25'!$H:$H,0)</f>
        <v>0</v>
      </c>
      <c r="U221" s="17">
        <f>_xlfn.XLOOKUP($B221,'[2]Apr-25'!$A:$A,'[2]Apr-25'!$H:$H,0)</f>
        <v>464.99</v>
      </c>
      <c r="V221" s="17">
        <f>_xlfn.XLOOKUP($B221,'[2]May-25'!$A:$A,'[2]May-25'!$H:$H,0)</f>
        <v>148.99</v>
      </c>
      <c r="W221" s="17">
        <f>_xlfn.XLOOKUP($B221,'[2]Jun-25'!$A:$A,'[2]Jun-25'!$H:$H,0)</f>
        <v>0</v>
      </c>
      <c r="X221" s="17">
        <f>_xlfn.XLOOKUP($B221,'[2]Jul-25'!$A:$A,'[2]Jul-25'!$H:$H,0)</f>
        <v>0</v>
      </c>
      <c r="Y221" s="17">
        <f>_xlfn.XLOOKUP($B221,'[2]Aug-25'!$A:$A,'[2]Aug-25'!$H:$H,0)</f>
        <v>0</v>
      </c>
      <c r="Z221" s="17">
        <f>_xlfn.XLOOKUP($B221,'[2]Sep-25'!$A:$A,'[2]Sep-25'!$H:$H,0)</f>
        <v>0</v>
      </c>
      <c r="AA221" s="17">
        <f>_xlfn.XLOOKUP($B221,'[2]Oct-25'!$A:$A,'[2]Oct-25'!$H:$H,0)</f>
        <v>0</v>
      </c>
      <c r="AB221" s="17">
        <f>_xlfn.XLOOKUP($B221,'[2]Nov-25'!$A:$A,'[2]Nov-25'!$H:$H,0)</f>
        <v>0</v>
      </c>
      <c r="AC221" s="17">
        <f>_xlfn.XLOOKUP($B221,'[2]Dec-25'!$A:$A,'[2]Dec-25'!$H:$H,0)</f>
        <v>0</v>
      </c>
      <c r="AD221" s="17">
        <f>_xlfn.XLOOKUP($B221,'[2]Jan-26'!$A:$A,'[2]Jan-26'!$H:$H,0)</f>
        <v>0</v>
      </c>
      <c r="AE221" s="17">
        <f>_xlfn.XLOOKUP($B221,'[2]Feb-26'!$A:$A,'[2]Feb-26'!$H:$H,0)</f>
        <v>0</v>
      </c>
      <c r="AF221" s="17">
        <f>_xlfn.XLOOKUP($B221,'[2]Mar-26'!$A:$A,'[2]Mar-26'!$H:$H,0)</f>
        <v>0</v>
      </c>
      <c r="AG221" s="17">
        <f>_xlfn.XLOOKUP($B221,'[2]Apr-26'!$A:$A,'[2]Apr-26'!$H:$H,0)</f>
        <v>0</v>
      </c>
    </row>
    <row r="222" spans="1:33" x14ac:dyDescent="0.2">
      <c r="A222" s="58">
        <v>60125</v>
      </c>
      <c r="B222" s="56" t="str">
        <f t="shared" si="5"/>
        <v>60125</v>
      </c>
      <c r="C222" s="57" t="s">
        <v>574</v>
      </c>
      <c r="D222" s="57" t="s">
        <v>387</v>
      </c>
      <c r="E222" s="44" t="s">
        <v>579</v>
      </c>
      <c r="F222" s="17">
        <f>_xlfn.XLOOKUP($B222,'[2]Jan-24'!$A:$A,'[2]Jan-24'!$H:$H,0)</f>
        <v>0</v>
      </c>
      <c r="G222" s="17">
        <f>_xlfn.XLOOKUP($B222,'[2]Feb-24'!$A:$A,'[2]Feb-24'!$H:$H,0)</f>
        <v>0</v>
      </c>
      <c r="H222" s="17">
        <f>_xlfn.XLOOKUP($B222,'[2]Mar-24'!$A:$A,'[2]Mar-24'!$H:$H,0)</f>
        <v>0</v>
      </c>
      <c r="I222" s="17">
        <f>_xlfn.XLOOKUP($B222,'[2]Apr-24'!$A:$A,'[2]Apr-24'!$H:$H,0)</f>
        <v>0</v>
      </c>
      <c r="J222" s="17">
        <f>_xlfn.XLOOKUP($B222,'[2]May-24'!$A:$A,'[2]May-24'!$H:$H,0)</f>
        <v>0</v>
      </c>
      <c r="K222" s="17">
        <f>_xlfn.XLOOKUP($B222,'[2]Jun-24'!$A:$A,'[2]Jun-24'!$H:$H,0)</f>
        <v>0</v>
      </c>
      <c r="L222" s="17">
        <f>_xlfn.XLOOKUP($B222,'[2]Jul-24'!$A:$A,'[2]Jul-24'!$H:$H,0)</f>
        <v>0</v>
      </c>
      <c r="M222" s="17">
        <f>_xlfn.XLOOKUP($B222,'[2]Aug-24'!$A:$A,'[2]Aug-24'!$H:$H,0)</f>
        <v>0</v>
      </c>
      <c r="N222" s="17">
        <f>_xlfn.XLOOKUP($B222,'[2]Sep-24'!$A:$A,'[2]Sep-24'!$H:$H,0)</f>
        <v>0</v>
      </c>
      <c r="O222" s="17">
        <f>_xlfn.XLOOKUP($B222,'[2]Oct-24'!$A:$A,'[2]Oct-24'!$H:$H,0)</f>
        <v>0</v>
      </c>
      <c r="P222" s="17">
        <f>_xlfn.XLOOKUP($B222,'[2]Nov-24'!$A:$A,'[2]Nov-24'!$H:$H,0)</f>
        <v>0</v>
      </c>
      <c r="Q222" s="17">
        <f>_xlfn.XLOOKUP($B222,'[2]Dec-24'!$A:$A,'[2]Dec-24'!$H:$H,0)</f>
        <v>0</v>
      </c>
      <c r="R222" s="17">
        <f>_xlfn.XLOOKUP($B222,'[2]Jan-25'!$A:$A,'[2]Jan-25'!$H:$H,0)</f>
        <v>4000</v>
      </c>
      <c r="S222" s="17">
        <f>_xlfn.XLOOKUP($B222,'[2]Feb-25'!$A:$A,'[2]Feb-25'!$H:$H,0)</f>
        <v>0</v>
      </c>
      <c r="T222" s="17">
        <f>_xlfn.XLOOKUP($B222,'[2]Mar-25'!$A:$A,'[2]Mar-25'!$H:$H,0)</f>
        <v>5500</v>
      </c>
      <c r="U222" s="17">
        <f>_xlfn.XLOOKUP($B222,'[2]Apr-25'!$A:$A,'[2]Apr-25'!$H:$H,0)</f>
        <v>5500</v>
      </c>
      <c r="V222" s="17">
        <f>_xlfn.XLOOKUP($B222,'[2]May-25'!$A:$A,'[2]May-25'!$H:$H,0)</f>
        <v>5500</v>
      </c>
      <c r="W222" s="17">
        <f>_xlfn.XLOOKUP($B222,'[2]Jun-25'!$A:$A,'[2]Jun-25'!$H:$H,0)</f>
        <v>5500</v>
      </c>
      <c r="X222" s="17">
        <f>_xlfn.XLOOKUP($B222,'[2]Jul-25'!$A:$A,'[2]Jul-25'!$H:$H,0)</f>
        <v>5500</v>
      </c>
      <c r="Y222" s="17">
        <f>_xlfn.XLOOKUP($B222,'[2]Aug-25'!$A:$A,'[2]Aug-25'!$H:$H,0)</f>
        <v>5500</v>
      </c>
      <c r="Z222" s="17">
        <f>_xlfn.XLOOKUP($B222,'[2]Sep-25'!$A:$A,'[2]Sep-25'!$H:$H,0)</f>
        <v>5500</v>
      </c>
      <c r="AA222" s="17">
        <f>_xlfn.XLOOKUP($B222,'[2]Oct-25'!$A:$A,'[2]Oct-25'!$H:$H,0)</f>
        <v>8500</v>
      </c>
      <c r="AB222" s="17">
        <f>_xlfn.XLOOKUP($B222,'[2]Nov-25'!$A:$A,'[2]Nov-25'!$H:$H,0)</f>
        <v>3000</v>
      </c>
      <c r="AC222" s="17">
        <f>_xlfn.XLOOKUP($B222,'[2]Dec-25'!$A:$A,'[2]Dec-25'!$H:$H,0)</f>
        <v>0</v>
      </c>
      <c r="AD222" s="17">
        <f>_xlfn.XLOOKUP($B222,'[2]Jan-26'!$A:$A,'[2]Jan-26'!$H:$H,0)</f>
        <v>0</v>
      </c>
      <c r="AE222" s="17">
        <f>_xlfn.XLOOKUP($B222,'[2]Feb-26'!$A:$A,'[2]Feb-26'!$H:$H,0)</f>
        <v>0</v>
      </c>
      <c r="AF222" s="17">
        <f>_xlfn.XLOOKUP($B222,'[2]Mar-26'!$A:$A,'[2]Mar-26'!$H:$H,0)</f>
        <v>0</v>
      </c>
      <c r="AG222" s="17">
        <f>_xlfn.XLOOKUP($B222,'[2]Apr-26'!$A:$A,'[2]Apr-26'!$H:$H,0)</f>
        <v>0</v>
      </c>
    </row>
    <row r="223" spans="1:33" x14ac:dyDescent="0.2">
      <c r="A223" s="58">
        <v>60200</v>
      </c>
      <c r="B223" s="56" t="str">
        <f t="shared" si="5"/>
        <v>60200</v>
      </c>
      <c r="C223" s="57" t="s">
        <v>574</v>
      </c>
      <c r="D223" s="57" t="s">
        <v>387</v>
      </c>
      <c r="E223" s="44" t="s">
        <v>580</v>
      </c>
      <c r="F223" s="17">
        <f>_xlfn.XLOOKUP($B223,'[2]Jan-24'!$A:$A,'[2]Jan-24'!$H:$H,0)</f>
        <v>0</v>
      </c>
      <c r="G223" s="17">
        <f>_xlfn.XLOOKUP($B223,'[2]Feb-24'!$A:$A,'[2]Feb-24'!$H:$H,0)</f>
        <v>0</v>
      </c>
      <c r="H223" s="17">
        <f>_xlfn.XLOOKUP($B223,'[2]Mar-24'!$A:$A,'[2]Mar-24'!$H:$H,0)</f>
        <v>210.18</v>
      </c>
      <c r="I223" s="17">
        <f>_xlfn.XLOOKUP($B223,'[2]Apr-24'!$A:$A,'[2]Apr-24'!$H:$H,0)</f>
        <v>4</v>
      </c>
      <c r="J223" s="17">
        <f>_xlfn.XLOOKUP($B223,'[2]May-24'!$A:$A,'[2]May-24'!$H:$H,0)</f>
        <v>168.24</v>
      </c>
      <c r="K223" s="17">
        <f>_xlfn.XLOOKUP($B223,'[2]Jun-24'!$A:$A,'[2]Jun-24'!$H:$H,0)</f>
        <v>2875.75</v>
      </c>
      <c r="L223" s="17">
        <f>_xlfn.XLOOKUP($B223,'[2]Jul-24'!$A:$A,'[2]Jul-24'!$H:$H,0)</f>
        <v>0</v>
      </c>
      <c r="M223" s="17">
        <f>_xlfn.XLOOKUP($B223,'[2]Aug-24'!$A:$A,'[2]Aug-24'!$H:$H,0)</f>
        <v>339.23</v>
      </c>
      <c r="N223" s="17">
        <f>_xlfn.XLOOKUP($B223,'[2]Sep-24'!$A:$A,'[2]Sep-24'!$H:$H,0)</f>
        <v>4675.6400000000003</v>
      </c>
      <c r="O223" s="17">
        <f>_xlfn.XLOOKUP($B223,'[2]Oct-24'!$A:$A,'[2]Oct-24'!$H:$H,0)</f>
        <v>932.05</v>
      </c>
      <c r="P223" s="17">
        <f>_xlfn.XLOOKUP($B223,'[2]Nov-24'!$A:$A,'[2]Nov-24'!$H:$H,0)</f>
        <v>0</v>
      </c>
      <c r="Q223" s="17">
        <f>_xlfn.XLOOKUP($B223,'[2]Dec-24'!$A:$A,'[2]Dec-24'!$H:$H,0)</f>
        <v>554.42999999999995</v>
      </c>
      <c r="R223" s="17">
        <f>_xlfn.XLOOKUP($B223,'[2]Jan-25'!$A:$A,'[2]Jan-25'!$H:$H,0)</f>
        <v>0</v>
      </c>
      <c r="S223" s="17">
        <f>_xlfn.XLOOKUP($B223,'[2]Feb-25'!$A:$A,'[2]Feb-25'!$H:$H,0)</f>
        <v>548.25</v>
      </c>
      <c r="T223" s="17">
        <f>_xlfn.XLOOKUP($B223,'[2]Mar-25'!$A:$A,'[2]Mar-25'!$H:$H,0)</f>
        <v>3729.84</v>
      </c>
      <c r="U223" s="17">
        <f>_xlfn.XLOOKUP($B223,'[2]Apr-25'!$A:$A,'[2]Apr-25'!$H:$H,0)</f>
        <v>0</v>
      </c>
      <c r="V223" s="17">
        <f>_xlfn.XLOOKUP($B223,'[2]May-25'!$A:$A,'[2]May-25'!$H:$H,0)</f>
        <v>2975.73</v>
      </c>
      <c r="W223" s="17">
        <f>_xlfn.XLOOKUP($B223,'[2]Jun-25'!$A:$A,'[2]Jun-25'!$H:$H,0)</f>
        <v>3895.63</v>
      </c>
      <c r="X223" s="17">
        <f>_xlfn.XLOOKUP($B223,'[2]Jul-25'!$A:$A,'[2]Jul-25'!$H:$H,0)</f>
        <v>151.34</v>
      </c>
      <c r="Y223" s="17">
        <f>_xlfn.XLOOKUP($B223,'[2]Aug-25'!$A:$A,'[2]Aug-25'!$H:$H,0)</f>
        <v>291</v>
      </c>
      <c r="Z223" s="17">
        <f>_xlfn.XLOOKUP($B223,'[2]Sep-25'!$A:$A,'[2]Sep-25'!$H:$H,0)</f>
        <v>693</v>
      </c>
      <c r="AA223" s="17">
        <f>_xlfn.XLOOKUP($B223,'[2]Oct-25'!$A:$A,'[2]Oct-25'!$H:$H,0)</f>
        <v>10036.469999999999</v>
      </c>
      <c r="AB223" s="17">
        <f>_xlfn.XLOOKUP($B223,'[2]Nov-25'!$A:$A,'[2]Nov-25'!$H:$H,0)</f>
        <v>1148.83</v>
      </c>
      <c r="AC223" s="17">
        <f>_xlfn.XLOOKUP($B223,'[2]Dec-25'!$A:$A,'[2]Dec-25'!$H:$H,0)</f>
        <v>19.52</v>
      </c>
      <c r="AD223" s="17">
        <f>_xlfn.XLOOKUP($B223,'[2]Jan-26'!$A:$A,'[2]Jan-26'!$H:$H,0)</f>
        <v>0</v>
      </c>
      <c r="AE223" s="17">
        <f>_xlfn.XLOOKUP($B223,'[2]Feb-26'!$A:$A,'[2]Feb-26'!$H:$H,0)</f>
        <v>0</v>
      </c>
      <c r="AF223" s="17">
        <f>_xlfn.XLOOKUP($B223,'[2]Mar-26'!$A:$A,'[2]Mar-26'!$H:$H,0)</f>
        <v>0</v>
      </c>
      <c r="AG223" s="17">
        <f>_xlfn.XLOOKUP($B223,'[2]Apr-26'!$A:$A,'[2]Apr-26'!$H:$H,0)</f>
        <v>671.64</v>
      </c>
    </row>
    <row r="224" spans="1:33" x14ac:dyDescent="0.2">
      <c r="A224" s="58">
        <v>60201</v>
      </c>
      <c r="B224" s="56" t="str">
        <f t="shared" si="5"/>
        <v>60201</v>
      </c>
      <c r="C224" s="57" t="s">
        <v>574</v>
      </c>
      <c r="D224" s="57" t="s">
        <v>387</v>
      </c>
      <c r="E224" s="44" t="s">
        <v>581</v>
      </c>
      <c r="F224" s="17">
        <f>_xlfn.XLOOKUP($B224,'[2]Jan-24'!$A:$A,'[2]Jan-24'!$H:$H,0)</f>
        <v>0</v>
      </c>
      <c r="G224" s="17">
        <f>_xlfn.XLOOKUP($B224,'[2]Feb-24'!$A:$A,'[2]Feb-24'!$H:$H,0)</f>
        <v>0</v>
      </c>
      <c r="H224" s="17">
        <f>_xlfn.XLOOKUP($B224,'[2]Mar-24'!$A:$A,'[2]Mar-24'!$H:$H,0)</f>
        <v>0</v>
      </c>
      <c r="I224" s="17">
        <f>_xlfn.XLOOKUP($B224,'[2]Apr-24'!$A:$A,'[2]Apr-24'!$H:$H,0)</f>
        <v>0</v>
      </c>
      <c r="J224" s="17">
        <f>_xlfn.XLOOKUP($B224,'[2]May-24'!$A:$A,'[2]May-24'!$H:$H,0)</f>
        <v>0</v>
      </c>
      <c r="K224" s="17">
        <f>_xlfn.XLOOKUP($B224,'[2]Jun-24'!$A:$A,'[2]Jun-24'!$H:$H,0)</f>
        <v>0</v>
      </c>
      <c r="L224" s="17">
        <f>_xlfn.XLOOKUP($B224,'[2]Jul-24'!$A:$A,'[2]Jul-24'!$H:$H,0)</f>
        <v>0</v>
      </c>
      <c r="M224" s="17">
        <f>_xlfn.XLOOKUP($B224,'[2]Aug-24'!$A:$A,'[2]Aug-24'!$H:$H,0)</f>
        <v>0</v>
      </c>
      <c r="N224" s="17">
        <f>_xlfn.XLOOKUP($B224,'[2]Sep-24'!$A:$A,'[2]Sep-24'!$H:$H,0)</f>
        <v>0</v>
      </c>
      <c r="O224" s="17">
        <f>_xlfn.XLOOKUP($B224,'[2]Oct-24'!$A:$A,'[2]Oct-24'!$H:$H,0)</f>
        <v>0</v>
      </c>
      <c r="P224" s="17">
        <f>_xlfn.XLOOKUP($B224,'[2]Nov-24'!$A:$A,'[2]Nov-24'!$H:$H,0)</f>
        <v>0</v>
      </c>
      <c r="Q224" s="17">
        <f>_xlfn.XLOOKUP($B224,'[2]Dec-24'!$A:$A,'[2]Dec-24'!$H:$H,0)</f>
        <v>0</v>
      </c>
      <c r="R224" s="17">
        <f>_xlfn.XLOOKUP($B224,'[2]Jan-25'!$A:$A,'[2]Jan-25'!$H:$H,0)</f>
        <v>0</v>
      </c>
      <c r="S224" s="17">
        <f>_xlfn.XLOOKUP($B224,'[2]Feb-25'!$A:$A,'[2]Feb-25'!$H:$H,0)</f>
        <v>0</v>
      </c>
      <c r="T224" s="17">
        <f>_xlfn.XLOOKUP($B224,'[2]Mar-25'!$A:$A,'[2]Mar-25'!$H:$H,0)</f>
        <v>0</v>
      </c>
      <c r="U224" s="17">
        <f>_xlfn.XLOOKUP($B224,'[2]Apr-25'!$A:$A,'[2]Apr-25'!$H:$H,0)</f>
        <v>0</v>
      </c>
      <c r="V224" s="17">
        <f>_xlfn.XLOOKUP($B224,'[2]May-25'!$A:$A,'[2]May-25'!$H:$H,0)</f>
        <v>0</v>
      </c>
      <c r="W224" s="17">
        <f>_xlfn.XLOOKUP($B224,'[2]Jun-25'!$A:$A,'[2]Jun-25'!$H:$H,0)</f>
        <v>0</v>
      </c>
      <c r="X224" s="17">
        <f>_xlfn.XLOOKUP($B224,'[2]Jul-25'!$A:$A,'[2]Jul-25'!$H:$H,0)</f>
        <v>0</v>
      </c>
      <c r="Y224" s="17">
        <f>_xlfn.XLOOKUP($B224,'[2]Aug-25'!$A:$A,'[2]Aug-25'!$H:$H,0)</f>
        <v>0</v>
      </c>
      <c r="Z224" s="17">
        <f>_xlfn.XLOOKUP($B224,'[2]Sep-25'!$A:$A,'[2]Sep-25'!$H:$H,0)</f>
        <v>0</v>
      </c>
      <c r="AA224" s="17">
        <f>_xlfn.XLOOKUP($B224,'[2]Oct-25'!$A:$A,'[2]Oct-25'!$H:$H,0)</f>
        <v>0</v>
      </c>
      <c r="AB224" s="17">
        <f>_xlfn.XLOOKUP($B224,'[2]Nov-25'!$A:$A,'[2]Nov-25'!$H:$H,0)</f>
        <v>0</v>
      </c>
      <c r="AC224" s="17">
        <f>_xlfn.XLOOKUP($B224,'[2]Dec-25'!$A:$A,'[2]Dec-25'!$H:$H,0)</f>
        <v>0</v>
      </c>
      <c r="AD224" s="17">
        <f>_xlfn.XLOOKUP($B224,'[2]Jan-26'!$A:$A,'[2]Jan-26'!$H:$H,0)</f>
        <v>0</v>
      </c>
      <c r="AE224" s="17">
        <f>_xlfn.XLOOKUP($B224,'[2]Feb-26'!$A:$A,'[2]Feb-26'!$H:$H,0)</f>
        <v>0</v>
      </c>
      <c r="AF224" s="17">
        <f>_xlfn.XLOOKUP($B224,'[2]Mar-26'!$A:$A,'[2]Mar-26'!$H:$H,0)</f>
        <v>0</v>
      </c>
      <c r="AG224" s="17">
        <f>_xlfn.XLOOKUP($B224,'[2]Apr-26'!$A:$A,'[2]Apr-26'!$H:$H,0)</f>
        <v>0</v>
      </c>
    </row>
    <row r="225" spans="1:33" x14ac:dyDescent="0.2">
      <c r="A225" s="58">
        <v>60205</v>
      </c>
      <c r="B225" s="56" t="str">
        <f t="shared" si="5"/>
        <v>60205</v>
      </c>
      <c r="C225" s="57" t="s">
        <v>574</v>
      </c>
      <c r="D225" s="57" t="s">
        <v>387</v>
      </c>
      <c r="E225" s="44" t="s">
        <v>585</v>
      </c>
      <c r="F225" s="17">
        <f>_xlfn.XLOOKUP($B225,'[2]Jan-24'!$A:$A,'[2]Jan-24'!$H:$H,0)</f>
        <v>0</v>
      </c>
      <c r="G225" s="17">
        <f>_xlfn.XLOOKUP($B225,'[2]Feb-24'!$A:$A,'[2]Feb-24'!$H:$H,0)</f>
        <v>0</v>
      </c>
      <c r="H225" s="17">
        <f>_xlfn.XLOOKUP($B225,'[2]Mar-24'!$A:$A,'[2]Mar-24'!$H:$H,0)</f>
        <v>0</v>
      </c>
      <c r="I225" s="17">
        <f>_xlfn.XLOOKUP($B225,'[2]Apr-24'!$A:$A,'[2]Apr-24'!$H:$H,0)</f>
        <v>0</v>
      </c>
      <c r="J225" s="17">
        <f>_xlfn.XLOOKUP($B225,'[2]May-24'!$A:$A,'[2]May-24'!$H:$H,0)</f>
        <v>0</v>
      </c>
      <c r="K225" s="17">
        <f>_xlfn.XLOOKUP($B225,'[2]Jun-24'!$A:$A,'[2]Jun-24'!$H:$H,0)</f>
        <v>0</v>
      </c>
      <c r="L225" s="17">
        <f>_xlfn.XLOOKUP($B225,'[2]Jul-24'!$A:$A,'[2]Jul-24'!$H:$H,0)</f>
        <v>0</v>
      </c>
      <c r="M225" s="17">
        <f>_xlfn.XLOOKUP($B225,'[2]Aug-24'!$A:$A,'[2]Aug-24'!$H:$H,0)</f>
        <v>0</v>
      </c>
      <c r="N225" s="17">
        <f>_xlfn.XLOOKUP($B225,'[2]Sep-24'!$A:$A,'[2]Sep-24'!$H:$H,0)</f>
        <v>0</v>
      </c>
      <c r="O225" s="17">
        <f>_xlfn.XLOOKUP($B225,'[2]Oct-24'!$A:$A,'[2]Oct-24'!$H:$H,0)</f>
        <v>0</v>
      </c>
      <c r="P225" s="17">
        <f>_xlfn.XLOOKUP($B225,'[2]Nov-24'!$A:$A,'[2]Nov-24'!$H:$H,0)</f>
        <v>0</v>
      </c>
      <c r="Q225" s="17">
        <f>_xlfn.XLOOKUP($B225,'[2]Dec-24'!$A:$A,'[2]Dec-24'!$H:$H,0)</f>
        <v>0</v>
      </c>
      <c r="R225" s="17">
        <f>_xlfn.XLOOKUP($B225,'[2]Jan-25'!$A:$A,'[2]Jan-25'!$H:$H,0)</f>
        <v>0</v>
      </c>
      <c r="S225" s="17">
        <f>_xlfn.XLOOKUP($B225,'[2]Feb-25'!$A:$A,'[2]Feb-25'!$H:$H,0)</f>
        <v>0</v>
      </c>
      <c r="T225" s="17">
        <f>_xlfn.XLOOKUP($B225,'[2]Mar-25'!$A:$A,'[2]Mar-25'!$H:$H,0)</f>
        <v>0</v>
      </c>
      <c r="U225" s="17">
        <f>_xlfn.XLOOKUP($B225,'[2]Apr-25'!$A:$A,'[2]Apr-25'!$H:$H,0)</f>
        <v>0</v>
      </c>
      <c r="V225" s="17">
        <f>_xlfn.XLOOKUP($B225,'[2]May-25'!$A:$A,'[2]May-25'!$H:$H,0)</f>
        <v>0</v>
      </c>
      <c r="W225" s="17">
        <f>_xlfn.XLOOKUP($B225,'[2]Jun-25'!$A:$A,'[2]Jun-25'!$H:$H,0)</f>
        <v>0</v>
      </c>
      <c r="X225" s="17">
        <f>_xlfn.XLOOKUP($B225,'[2]Jul-25'!$A:$A,'[2]Jul-25'!$H:$H,0)</f>
        <v>0</v>
      </c>
      <c r="Y225" s="17">
        <f>_xlfn.XLOOKUP($B225,'[2]Aug-25'!$A:$A,'[2]Aug-25'!$H:$H,0)</f>
        <v>0</v>
      </c>
      <c r="Z225" s="17">
        <f>_xlfn.XLOOKUP($B225,'[2]Sep-25'!$A:$A,'[2]Sep-25'!$H:$H,0)</f>
        <v>0</v>
      </c>
      <c r="AA225" s="17">
        <f>_xlfn.XLOOKUP($B225,'[2]Oct-25'!$A:$A,'[2]Oct-25'!$H:$H,0)</f>
        <v>0</v>
      </c>
      <c r="AB225" s="17">
        <f>_xlfn.XLOOKUP($B225,'[2]Nov-25'!$A:$A,'[2]Nov-25'!$H:$H,0)</f>
        <v>0</v>
      </c>
      <c r="AC225" s="17">
        <f>_xlfn.XLOOKUP($B225,'[2]Dec-25'!$A:$A,'[2]Dec-25'!$H:$H,0)</f>
        <v>0</v>
      </c>
      <c r="AD225" s="17">
        <f>_xlfn.XLOOKUP($B225,'[2]Jan-26'!$A:$A,'[2]Jan-26'!$H:$H,0)</f>
        <v>0</v>
      </c>
      <c r="AE225" s="17">
        <f>_xlfn.XLOOKUP($B225,'[2]Feb-26'!$A:$A,'[2]Feb-26'!$H:$H,0)</f>
        <v>0</v>
      </c>
      <c r="AF225" s="17">
        <f>_xlfn.XLOOKUP($B225,'[2]Mar-26'!$A:$A,'[2]Mar-26'!$H:$H,0)</f>
        <v>0</v>
      </c>
      <c r="AG225" s="17">
        <f>_xlfn.XLOOKUP($B225,'[2]Apr-26'!$A:$A,'[2]Apr-26'!$H:$H,0)</f>
        <v>0</v>
      </c>
    </row>
    <row r="226" spans="1:33" x14ac:dyDescent="0.2">
      <c r="A226" s="58">
        <v>60206</v>
      </c>
      <c r="B226" s="56" t="str">
        <f t="shared" si="5"/>
        <v>60206</v>
      </c>
      <c r="C226" s="57" t="s">
        <v>574</v>
      </c>
      <c r="D226" s="57" t="s">
        <v>387</v>
      </c>
      <c r="E226" s="44" t="s">
        <v>586</v>
      </c>
      <c r="F226" s="17">
        <f>_xlfn.XLOOKUP($B226,'[2]Jan-24'!$A:$A,'[2]Jan-24'!$H:$H,0)</f>
        <v>0</v>
      </c>
      <c r="G226" s="17">
        <f>_xlfn.XLOOKUP($B226,'[2]Feb-24'!$A:$A,'[2]Feb-24'!$H:$H,0)</f>
        <v>0</v>
      </c>
      <c r="H226" s="17">
        <f>_xlfn.XLOOKUP($B226,'[2]Mar-24'!$A:$A,'[2]Mar-24'!$H:$H,0)</f>
        <v>0</v>
      </c>
      <c r="I226" s="17">
        <f>_xlfn.XLOOKUP($B226,'[2]Apr-24'!$A:$A,'[2]Apr-24'!$H:$H,0)</f>
        <v>0</v>
      </c>
      <c r="J226" s="17">
        <f>_xlfn.XLOOKUP($B226,'[2]May-24'!$A:$A,'[2]May-24'!$H:$H,0)</f>
        <v>0</v>
      </c>
      <c r="K226" s="17">
        <f>_xlfn.XLOOKUP($B226,'[2]Jun-24'!$A:$A,'[2]Jun-24'!$H:$H,0)</f>
        <v>0</v>
      </c>
      <c r="L226" s="17">
        <f>_xlfn.XLOOKUP($B226,'[2]Jul-24'!$A:$A,'[2]Jul-24'!$H:$H,0)</f>
        <v>0</v>
      </c>
      <c r="M226" s="17">
        <f>_xlfn.XLOOKUP($B226,'[2]Aug-24'!$A:$A,'[2]Aug-24'!$H:$H,0)</f>
        <v>0</v>
      </c>
      <c r="N226" s="17">
        <f>_xlfn.XLOOKUP($B226,'[2]Sep-24'!$A:$A,'[2]Sep-24'!$H:$H,0)</f>
        <v>0</v>
      </c>
      <c r="O226" s="17">
        <f>_xlfn.XLOOKUP($B226,'[2]Oct-24'!$A:$A,'[2]Oct-24'!$H:$H,0)</f>
        <v>0</v>
      </c>
      <c r="P226" s="17">
        <f>_xlfn.XLOOKUP($B226,'[2]Nov-24'!$A:$A,'[2]Nov-24'!$H:$H,0)</f>
        <v>0</v>
      </c>
      <c r="Q226" s="17">
        <f>_xlfn.XLOOKUP($B226,'[2]Dec-24'!$A:$A,'[2]Dec-24'!$H:$H,0)</f>
        <v>0</v>
      </c>
      <c r="R226" s="17">
        <f>_xlfn.XLOOKUP($B226,'[2]Jan-25'!$A:$A,'[2]Jan-25'!$H:$H,0)</f>
        <v>0</v>
      </c>
      <c r="S226" s="17">
        <f>_xlfn.XLOOKUP($B226,'[2]Feb-25'!$A:$A,'[2]Feb-25'!$H:$H,0)</f>
        <v>0</v>
      </c>
      <c r="T226" s="17">
        <f>_xlfn.XLOOKUP($B226,'[2]Mar-25'!$A:$A,'[2]Mar-25'!$H:$H,0)</f>
        <v>0</v>
      </c>
      <c r="U226" s="17">
        <f>_xlfn.XLOOKUP($B226,'[2]Apr-25'!$A:$A,'[2]Apr-25'!$H:$H,0)</f>
        <v>0</v>
      </c>
      <c r="V226" s="17">
        <f>_xlfn.XLOOKUP($B226,'[2]May-25'!$A:$A,'[2]May-25'!$H:$H,0)</f>
        <v>0</v>
      </c>
      <c r="W226" s="17">
        <f>_xlfn.XLOOKUP($B226,'[2]Jun-25'!$A:$A,'[2]Jun-25'!$H:$H,0)</f>
        <v>0</v>
      </c>
      <c r="X226" s="17">
        <f>_xlfn.XLOOKUP($B226,'[2]Jul-25'!$A:$A,'[2]Jul-25'!$H:$H,0)</f>
        <v>0</v>
      </c>
      <c r="Y226" s="17">
        <f>_xlfn.XLOOKUP($B226,'[2]Aug-25'!$A:$A,'[2]Aug-25'!$H:$H,0)</f>
        <v>0</v>
      </c>
      <c r="Z226" s="17">
        <f>_xlfn.XLOOKUP($B226,'[2]Sep-25'!$A:$A,'[2]Sep-25'!$H:$H,0)</f>
        <v>0</v>
      </c>
      <c r="AA226" s="17">
        <f>_xlfn.XLOOKUP($B226,'[2]Oct-25'!$A:$A,'[2]Oct-25'!$H:$H,0)</f>
        <v>0</v>
      </c>
      <c r="AB226" s="17">
        <f>_xlfn.XLOOKUP($B226,'[2]Nov-25'!$A:$A,'[2]Nov-25'!$H:$H,0)</f>
        <v>0</v>
      </c>
      <c r="AC226" s="17">
        <f>_xlfn.XLOOKUP($B226,'[2]Dec-25'!$A:$A,'[2]Dec-25'!$H:$H,0)</f>
        <v>0</v>
      </c>
      <c r="AD226" s="17">
        <f>_xlfn.XLOOKUP($B226,'[2]Jan-26'!$A:$A,'[2]Jan-26'!$H:$H,0)</f>
        <v>0</v>
      </c>
      <c r="AE226" s="17">
        <f>_xlfn.XLOOKUP($B226,'[2]Feb-26'!$A:$A,'[2]Feb-26'!$H:$H,0)</f>
        <v>0</v>
      </c>
      <c r="AF226" s="17">
        <f>_xlfn.XLOOKUP($B226,'[2]Mar-26'!$A:$A,'[2]Mar-26'!$H:$H,0)</f>
        <v>0</v>
      </c>
      <c r="AG226" s="17">
        <f>_xlfn.XLOOKUP($B226,'[2]Apr-26'!$A:$A,'[2]Apr-26'!$H:$H,0)</f>
        <v>0</v>
      </c>
    </row>
    <row r="227" spans="1:33" x14ac:dyDescent="0.2">
      <c r="A227" s="58">
        <v>60210</v>
      </c>
      <c r="B227" s="56" t="str">
        <f t="shared" si="5"/>
        <v>60210</v>
      </c>
      <c r="C227" s="57" t="s">
        <v>574</v>
      </c>
      <c r="D227" s="57" t="s">
        <v>387</v>
      </c>
      <c r="E227" s="44" t="s">
        <v>873</v>
      </c>
      <c r="F227" s="17">
        <f>_xlfn.XLOOKUP($B227,'[2]Jan-24'!$A:$A,'[2]Jan-24'!$H:$H,0)</f>
        <v>0</v>
      </c>
      <c r="G227" s="17">
        <f>_xlfn.XLOOKUP($B227,'[2]Feb-24'!$A:$A,'[2]Feb-24'!$H:$H,0)</f>
        <v>0</v>
      </c>
      <c r="H227" s="17">
        <f>_xlfn.XLOOKUP($B227,'[2]Mar-24'!$A:$A,'[2]Mar-24'!$H:$H,0)</f>
        <v>0</v>
      </c>
      <c r="I227" s="17">
        <f>_xlfn.XLOOKUP($B227,'[2]Apr-24'!$A:$A,'[2]Apr-24'!$H:$H,0)</f>
        <v>0</v>
      </c>
      <c r="J227" s="17">
        <f>_xlfn.XLOOKUP($B227,'[2]May-24'!$A:$A,'[2]May-24'!$H:$H,0)</f>
        <v>0</v>
      </c>
      <c r="K227" s="17">
        <f>_xlfn.XLOOKUP($B227,'[2]Jun-24'!$A:$A,'[2]Jun-24'!$H:$H,0)</f>
        <v>0</v>
      </c>
      <c r="L227" s="17">
        <f>_xlfn.XLOOKUP($B227,'[2]Jul-24'!$A:$A,'[2]Jul-24'!$H:$H,0)</f>
        <v>0</v>
      </c>
      <c r="M227" s="17">
        <f>_xlfn.XLOOKUP($B227,'[2]Aug-24'!$A:$A,'[2]Aug-24'!$H:$H,0)</f>
        <v>0</v>
      </c>
      <c r="N227" s="17">
        <f>_xlfn.XLOOKUP($B227,'[2]Sep-24'!$A:$A,'[2]Sep-24'!$H:$H,0)</f>
        <v>0</v>
      </c>
      <c r="O227" s="17">
        <f>_xlfn.XLOOKUP($B227,'[2]Oct-24'!$A:$A,'[2]Oct-24'!$H:$H,0)</f>
        <v>0</v>
      </c>
      <c r="P227" s="17">
        <f>_xlfn.XLOOKUP($B227,'[2]Nov-24'!$A:$A,'[2]Nov-24'!$H:$H,0)</f>
        <v>0</v>
      </c>
      <c r="Q227" s="17">
        <f>_xlfn.XLOOKUP($B227,'[2]Dec-24'!$A:$A,'[2]Dec-24'!$H:$H,0)</f>
        <v>0</v>
      </c>
      <c r="R227" s="17">
        <f>_xlfn.XLOOKUP($B227,'[2]Jan-25'!$A:$A,'[2]Jan-25'!$H:$H,0)</f>
        <v>0</v>
      </c>
      <c r="S227" s="17">
        <f>_xlfn.XLOOKUP($B227,'[2]Feb-25'!$A:$A,'[2]Feb-25'!$H:$H,0)</f>
        <v>0</v>
      </c>
      <c r="T227" s="17">
        <f>_xlfn.XLOOKUP($B227,'[2]Mar-25'!$A:$A,'[2]Mar-25'!$H:$H,0)</f>
        <v>0</v>
      </c>
      <c r="U227" s="17">
        <f>_xlfn.XLOOKUP($B227,'[2]Apr-25'!$A:$A,'[2]Apr-25'!$H:$H,0)</f>
        <v>0</v>
      </c>
      <c r="V227" s="17">
        <f>_xlfn.XLOOKUP($B227,'[2]May-25'!$A:$A,'[2]May-25'!$H:$H,0)</f>
        <v>0</v>
      </c>
      <c r="W227" s="17">
        <f>_xlfn.XLOOKUP($B227,'[2]Jun-25'!$A:$A,'[2]Jun-25'!$H:$H,0)</f>
        <v>0</v>
      </c>
      <c r="X227" s="17">
        <f>_xlfn.XLOOKUP($B227,'[2]Jul-25'!$A:$A,'[2]Jul-25'!$H:$H,0)</f>
        <v>0</v>
      </c>
      <c r="Y227" s="17">
        <f>_xlfn.XLOOKUP($B227,'[2]Aug-25'!$A:$A,'[2]Aug-25'!$H:$H,0)</f>
        <v>0</v>
      </c>
      <c r="Z227" s="17">
        <f>_xlfn.XLOOKUP($B227,'[2]Sep-25'!$A:$A,'[2]Sep-25'!$H:$H,0)</f>
        <v>0</v>
      </c>
      <c r="AA227" s="17">
        <f>_xlfn.XLOOKUP($B227,'[2]Oct-25'!$A:$A,'[2]Oct-25'!$H:$H,0)</f>
        <v>0</v>
      </c>
      <c r="AB227" s="17">
        <f>_xlfn.XLOOKUP($B227,'[2]Nov-25'!$A:$A,'[2]Nov-25'!$H:$H,0)</f>
        <v>0</v>
      </c>
      <c r="AC227" s="17">
        <f>_xlfn.XLOOKUP($B227,'[2]Dec-25'!$A:$A,'[2]Dec-25'!$H:$H,0)</f>
        <v>0</v>
      </c>
      <c r="AD227" s="17">
        <f>_xlfn.XLOOKUP($B227,'[2]Jan-26'!$A:$A,'[2]Jan-26'!$H:$H,0)</f>
        <v>0</v>
      </c>
      <c r="AE227" s="17">
        <f>_xlfn.XLOOKUP($B227,'[2]Feb-26'!$A:$A,'[2]Feb-26'!$H:$H,0)</f>
        <v>0</v>
      </c>
      <c r="AF227" s="17">
        <f>_xlfn.XLOOKUP($B227,'[2]Mar-26'!$A:$A,'[2]Mar-26'!$H:$H,0)</f>
        <v>0</v>
      </c>
      <c r="AG227" s="17">
        <f>_xlfn.XLOOKUP($B227,'[2]Apr-26'!$A:$A,'[2]Apr-26'!$H:$H,0)</f>
        <v>0</v>
      </c>
    </row>
    <row r="228" spans="1:33" x14ac:dyDescent="0.2">
      <c r="A228" s="58">
        <v>60211</v>
      </c>
      <c r="B228" s="56" t="str">
        <f t="shared" si="5"/>
        <v>60211</v>
      </c>
      <c r="C228" s="57" t="s">
        <v>574</v>
      </c>
      <c r="D228" s="57" t="s">
        <v>387</v>
      </c>
      <c r="E228" s="44" t="s">
        <v>874</v>
      </c>
      <c r="F228" s="17">
        <f>_xlfn.XLOOKUP($B228,'[2]Jan-24'!$A:$A,'[2]Jan-24'!$H:$H,0)</f>
        <v>0</v>
      </c>
      <c r="G228" s="17">
        <f>_xlfn.XLOOKUP($B228,'[2]Feb-24'!$A:$A,'[2]Feb-24'!$H:$H,0)</f>
        <v>0</v>
      </c>
      <c r="H228" s="17">
        <f>_xlfn.XLOOKUP($B228,'[2]Mar-24'!$A:$A,'[2]Mar-24'!$H:$H,0)</f>
        <v>0</v>
      </c>
      <c r="I228" s="17">
        <f>_xlfn.XLOOKUP($B228,'[2]Apr-24'!$A:$A,'[2]Apr-24'!$H:$H,0)</f>
        <v>0</v>
      </c>
      <c r="J228" s="17">
        <f>_xlfn.XLOOKUP($B228,'[2]May-24'!$A:$A,'[2]May-24'!$H:$H,0)</f>
        <v>0</v>
      </c>
      <c r="K228" s="17">
        <f>_xlfn.XLOOKUP($B228,'[2]Jun-24'!$A:$A,'[2]Jun-24'!$H:$H,0)</f>
        <v>0</v>
      </c>
      <c r="L228" s="17">
        <f>_xlfn.XLOOKUP($B228,'[2]Jul-24'!$A:$A,'[2]Jul-24'!$H:$H,0)</f>
        <v>0</v>
      </c>
      <c r="M228" s="17">
        <f>_xlfn.XLOOKUP($B228,'[2]Aug-24'!$A:$A,'[2]Aug-24'!$H:$H,0)</f>
        <v>0</v>
      </c>
      <c r="N228" s="17">
        <f>_xlfn.XLOOKUP($B228,'[2]Sep-24'!$A:$A,'[2]Sep-24'!$H:$H,0)</f>
        <v>0</v>
      </c>
      <c r="O228" s="17">
        <f>_xlfn.XLOOKUP($B228,'[2]Oct-24'!$A:$A,'[2]Oct-24'!$H:$H,0)</f>
        <v>0</v>
      </c>
      <c r="P228" s="17">
        <f>_xlfn.XLOOKUP($B228,'[2]Nov-24'!$A:$A,'[2]Nov-24'!$H:$H,0)</f>
        <v>0</v>
      </c>
      <c r="Q228" s="17">
        <f>_xlfn.XLOOKUP($B228,'[2]Dec-24'!$A:$A,'[2]Dec-24'!$H:$H,0)</f>
        <v>0</v>
      </c>
      <c r="R228" s="17">
        <f>_xlfn.XLOOKUP($B228,'[2]Jan-25'!$A:$A,'[2]Jan-25'!$H:$H,0)</f>
        <v>0</v>
      </c>
      <c r="S228" s="17">
        <f>_xlfn.XLOOKUP($B228,'[2]Feb-25'!$A:$A,'[2]Feb-25'!$H:$H,0)</f>
        <v>0</v>
      </c>
      <c r="T228" s="17">
        <f>_xlfn.XLOOKUP($B228,'[2]Mar-25'!$A:$A,'[2]Mar-25'!$H:$H,0)</f>
        <v>0</v>
      </c>
      <c r="U228" s="17">
        <f>_xlfn.XLOOKUP($B228,'[2]Apr-25'!$A:$A,'[2]Apr-25'!$H:$H,0)</f>
        <v>0</v>
      </c>
      <c r="V228" s="17">
        <f>_xlfn.XLOOKUP($B228,'[2]May-25'!$A:$A,'[2]May-25'!$H:$H,0)</f>
        <v>0</v>
      </c>
      <c r="W228" s="17">
        <f>_xlfn.XLOOKUP($B228,'[2]Jun-25'!$A:$A,'[2]Jun-25'!$H:$H,0)</f>
        <v>0</v>
      </c>
      <c r="X228" s="17">
        <f>_xlfn.XLOOKUP($B228,'[2]Jul-25'!$A:$A,'[2]Jul-25'!$H:$H,0)</f>
        <v>0</v>
      </c>
      <c r="Y228" s="17">
        <f>_xlfn.XLOOKUP($B228,'[2]Aug-25'!$A:$A,'[2]Aug-25'!$H:$H,0)</f>
        <v>0</v>
      </c>
      <c r="Z228" s="17">
        <f>_xlfn.XLOOKUP($B228,'[2]Sep-25'!$A:$A,'[2]Sep-25'!$H:$H,0)</f>
        <v>0</v>
      </c>
      <c r="AA228" s="17">
        <f>_xlfn.XLOOKUP($B228,'[2]Oct-25'!$A:$A,'[2]Oct-25'!$H:$H,0)</f>
        <v>0</v>
      </c>
      <c r="AB228" s="17">
        <f>_xlfn.XLOOKUP($B228,'[2]Nov-25'!$A:$A,'[2]Nov-25'!$H:$H,0)</f>
        <v>0</v>
      </c>
      <c r="AC228" s="17">
        <f>_xlfn.XLOOKUP($B228,'[2]Dec-25'!$A:$A,'[2]Dec-25'!$H:$H,0)</f>
        <v>0</v>
      </c>
      <c r="AD228" s="17">
        <f>_xlfn.XLOOKUP($B228,'[2]Jan-26'!$A:$A,'[2]Jan-26'!$H:$H,0)</f>
        <v>0</v>
      </c>
      <c r="AE228" s="17">
        <f>_xlfn.XLOOKUP($B228,'[2]Feb-26'!$A:$A,'[2]Feb-26'!$H:$H,0)</f>
        <v>0</v>
      </c>
      <c r="AF228" s="17">
        <f>_xlfn.XLOOKUP($B228,'[2]Mar-26'!$A:$A,'[2]Mar-26'!$H:$H,0)</f>
        <v>0</v>
      </c>
      <c r="AG228" s="17">
        <f>_xlfn.XLOOKUP($B228,'[2]Apr-26'!$A:$A,'[2]Apr-26'!$H:$H,0)</f>
        <v>0</v>
      </c>
    </row>
    <row r="229" spans="1:33" x14ac:dyDescent="0.2">
      <c r="A229" s="58">
        <v>60213</v>
      </c>
      <c r="B229" s="56" t="str">
        <f t="shared" si="5"/>
        <v>60213</v>
      </c>
      <c r="C229" s="57" t="s">
        <v>593</v>
      </c>
      <c r="D229" s="57" t="s">
        <v>387</v>
      </c>
      <c r="E229" s="44" t="s">
        <v>594</v>
      </c>
      <c r="F229" s="17">
        <f>_xlfn.XLOOKUP($B229,'[2]Jan-24'!$A:$A,'[2]Jan-24'!$H:$H,0)</f>
        <v>0</v>
      </c>
      <c r="G229" s="17">
        <f>_xlfn.XLOOKUP($B229,'[2]Feb-24'!$A:$A,'[2]Feb-24'!$H:$H,0)</f>
        <v>50</v>
      </c>
      <c r="H229" s="17">
        <f>_xlfn.XLOOKUP($B229,'[2]Mar-24'!$A:$A,'[2]Mar-24'!$H:$H,0)</f>
        <v>0</v>
      </c>
      <c r="I229" s="17">
        <f>_xlfn.XLOOKUP($B229,'[2]Apr-24'!$A:$A,'[2]Apr-24'!$H:$H,0)</f>
        <v>0</v>
      </c>
      <c r="J229" s="17">
        <f>_xlfn.XLOOKUP($B229,'[2]May-24'!$A:$A,'[2]May-24'!$H:$H,0)</f>
        <v>29.17</v>
      </c>
      <c r="K229" s="17">
        <f>_xlfn.XLOOKUP($B229,'[2]Jun-24'!$A:$A,'[2]Jun-24'!$H:$H,0)</f>
        <v>0</v>
      </c>
      <c r="L229" s="17">
        <f>_xlfn.XLOOKUP($B229,'[2]Jul-24'!$A:$A,'[2]Jul-24'!$H:$H,0)</f>
        <v>0</v>
      </c>
      <c r="M229" s="17">
        <f>_xlfn.XLOOKUP($B229,'[2]Aug-24'!$A:$A,'[2]Aug-24'!$H:$H,0)</f>
        <v>0</v>
      </c>
      <c r="N229" s="17">
        <f>_xlfn.XLOOKUP($B229,'[2]Sep-24'!$A:$A,'[2]Sep-24'!$H:$H,0)</f>
        <v>0</v>
      </c>
      <c r="O229" s="17">
        <f>_xlfn.XLOOKUP($B229,'[2]Oct-24'!$A:$A,'[2]Oct-24'!$H:$H,0)</f>
        <v>0</v>
      </c>
      <c r="P229" s="17">
        <f>_xlfn.XLOOKUP($B229,'[2]Nov-24'!$A:$A,'[2]Nov-24'!$H:$H,0)</f>
        <v>0</v>
      </c>
      <c r="Q229" s="17">
        <f>_xlfn.XLOOKUP($B229,'[2]Dec-24'!$A:$A,'[2]Dec-24'!$H:$H,0)</f>
        <v>0</v>
      </c>
      <c r="R229" s="17">
        <f>_xlfn.XLOOKUP($B229,'[2]Jan-25'!$A:$A,'[2]Jan-25'!$H:$H,0)</f>
        <v>0</v>
      </c>
      <c r="S229" s="17">
        <f>_xlfn.XLOOKUP($B229,'[2]Feb-25'!$A:$A,'[2]Feb-25'!$H:$H,0)</f>
        <v>0</v>
      </c>
      <c r="T229" s="17">
        <f>_xlfn.XLOOKUP($B229,'[2]Mar-25'!$A:$A,'[2]Mar-25'!$H:$H,0)</f>
        <v>0</v>
      </c>
      <c r="U229" s="17">
        <f>_xlfn.XLOOKUP($B229,'[2]Apr-25'!$A:$A,'[2]Apr-25'!$H:$H,0)</f>
        <v>0</v>
      </c>
      <c r="V229" s="17">
        <f>_xlfn.XLOOKUP($B229,'[2]May-25'!$A:$A,'[2]May-25'!$H:$H,0)</f>
        <v>47</v>
      </c>
      <c r="W229" s="17">
        <f>_xlfn.XLOOKUP($B229,'[2]Jun-25'!$A:$A,'[2]Jun-25'!$H:$H,0)</f>
        <v>0</v>
      </c>
      <c r="X229" s="17">
        <f>_xlfn.XLOOKUP($B229,'[2]Jul-25'!$A:$A,'[2]Jul-25'!$H:$H,0)</f>
        <v>0</v>
      </c>
      <c r="Y229" s="17">
        <f>_xlfn.XLOOKUP($B229,'[2]Aug-25'!$A:$A,'[2]Aug-25'!$H:$H,0)</f>
        <v>0</v>
      </c>
      <c r="Z229" s="17">
        <f>_xlfn.XLOOKUP($B229,'[2]Sep-25'!$A:$A,'[2]Sep-25'!$H:$H,0)</f>
        <v>0</v>
      </c>
      <c r="AA229" s="17">
        <f>_xlfn.XLOOKUP($B229,'[2]Oct-25'!$A:$A,'[2]Oct-25'!$H:$H,0)</f>
        <v>0</v>
      </c>
      <c r="AB229" s="17">
        <f>_xlfn.XLOOKUP($B229,'[2]Nov-25'!$A:$A,'[2]Nov-25'!$H:$H,0)</f>
        <v>0</v>
      </c>
      <c r="AC229" s="17">
        <f>_xlfn.XLOOKUP($B229,'[2]Dec-25'!$A:$A,'[2]Dec-25'!$H:$H,0)</f>
        <v>0</v>
      </c>
      <c r="AD229" s="17">
        <f>_xlfn.XLOOKUP($B229,'[2]Jan-26'!$A:$A,'[2]Jan-26'!$H:$H,0)</f>
        <v>0</v>
      </c>
      <c r="AE229" s="17">
        <f>_xlfn.XLOOKUP($B229,'[2]Feb-26'!$A:$A,'[2]Feb-26'!$H:$H,0)</f>
        <v>0</v>
      </c>
      <c r="AF229" s="17">
        <f>_xlfn.XLOOKUP($B229,'[2]Mar-26'!$A:$A,'[2]Mar-26'!$H:$H,0)</f>
        <v>0</v>
      </c>
      <c r="AG229" s="17">
        <f>_xlfn.XLOOKUP($B229,'[2]Apr-26'!$A:$A,'[2]Apr-26'!$H:$H,0)</f>
        <v>0</v>
      </c>
    </row>
    <row r="230" spans="1:33" x14ac:dyDescent="0.2">
      <c r="A230" s="58">
        <v>60214</v>
      </c>
      <c r="B230" s="56" t="str">
        <f t="shared" si="5"/>
        <v>60214</v>
      </c>
      <c r="C230" s="57" t="s">
        <v>552</v>
      </c>
      <c r="D230" s="57" t="s">
        <v>387</v>
      </c>
      <c r="E230" s="44" t="s">
        <v>875</v>
      </c>
      <c r="F230" s="17">
        <f>_xlfn.XLOOKUP($B230,'[2]Jan-24'!$A:$A,'[2]Jan-24'!$H:$H,0)</f>
        <v>0</v>
      </c>
      <c r="G230" s="17">
        <f>_xlfn.XLOOKUP($B230,'[2]Feb-24'!$A:$A,'[2]Feb-24'!$H:$H,0)</f>
        <v>0</v>
      </c>
      <c r="H230" s="17">
        <f>_xlfn.XLOOKUP($B230,'[2]Mar-24'!$A:$A,'[2]Mar-24'!$H:$H,0)</f>
        <v>0</v>
      </c>
      <c r="I230" s="17">
        <f>_xlfn.XLOOKUP($B230,'[2]Apr-24'!$A:$A,'[2]Apr-24'!$H:$H,0)</f>
        <v>0</v>
      </c>
      <c r="J230" s="17">
        <f>_xlfn.XLOOKUP($B230,'[2]May-24'!$A:$A,'[2]May-24'!$H:$H,0)</f>
        <v>0</v>
      </c>
      <c r="K230" s="17">
        <f>_xlfn.XLOOKUP($B230,'[2]Jun-24'!$A:$A,'[2]Jun-24'!$H:$H,0)</f>
        <v>0</v>
      </c>
      <c r="L230" s="17">
        <f>_xlfn.XLOOKUP($B230,'[2]Jul-24'!$A:$A,'[2]Jul-24'!$H:$H,0)</f>
        <v>0</v>
      </c>
      <c r="M230" s="17">
        <f>_xlfn.XLOOKUP($B230,'[2]Aug-24'!$A:$A,'[2]Aug-24'!$H:$H,0)</f>
        <v>0</v>
      </c>
      <c r="N230" s="17">
        <f>_xlfn.XLOOKUP($B230,'[2]Sep-24'!$A:$A,'[2]Sep-24'!$H:$H,0)</f>
        <v>0</v>
      </c>
      <c r="O230" s="17">
        <f>_xlfn.XLOOKUP($B230,'[2]Oct-24'!$A:$A,'[2]Oct-24'!$H:$H,0)</f>
        <v>0</v>
      </c>
      <c r="P230" s="17">
        <f>_xlfn.XLOOKUP($B230,'[2]Nov-24'!$A:$A,'[2]Nov-24'!$H:$H,0)</f>
        <v>0</v>
      </c>
      <c r="Q230" s="17">
        <f>_xlfn.XLOOKUP($B230,'[2]Dec-24'!$A:$A,'[2]Dec-24'!$H:$H,0)</f>
        <v>0</v>
      </c>
      <c r="R230" s="17">
        <f>_xlfn.XLOOKUP($B230,'[2]Jan-25'!$A:$A,'[2]Jan-25'!$H:$H,0)</f>
        <v>0</v>
      </c>
      <c r="S230" s="17">
        <f>_xlfn.XLOOKUP($B230,'[2]Feb-25'!$A:$A,'[2]Feb-25'!$H:$H,0)</f>
        <v>0</v>
      </c>
      <c r="T230" s="17">
        <f>_xlfn.XLOOKUP($B230,'[2]Mar-25'!$A:$A,'[2]Mar-25'!$H:$H,0)</f>
        <v>0</v>
      </c>
      <c r="U230" s="17">
        <f>_xlfn.XLOOKUP($B230,'[2]Apr-25'!$A:$A,'[2]Apr-25'!$H:$H,0)</f>
        <v>0</v>
      </c>
      <c r="V230" s="17">
        <f>_xlfn.XLOOKUP($B230,'[2]May-25'!$A:$A,'[2]May-25'!$H:$H,0)</f>
        <v>0</v>
      </c>
      <c r="W230" s="17">
        <f>_xlfn.XLOOKUP($B230,'[2]Jun-25'!$A:$A,'[2]Jun-25'!$H:$H,0)</f>
        <v>0</v>
      </c>
      <c r="X230" s="17">
        <f>_xlfn.XLOOKUP($B230,'[2]Jul-25'!$A:$A,'[2]Jul-25'!$H:$H,0)</f>
        <v>0</v>
      </c>
      <c r="Y230" s="17">
        <f>_xlfn.XLOOKUP($B230,'[2]Aug-25'!$A:$A,'[2]Aug-25'!$H:$H,0)</f>
        <v>0</v>
      </c>
      <c r="Z230" s="17">
        <f>_xlfn.XLOOKUP($B230,'[2]Sep-25'!$A:$A,'[2]Sep-25'!$H:$H,0)</f>
        <v>0</v>
      </c>
      <c r="AA230" s="17">
        <f>_xlfn.XLOOKUP($B230,'[2]Oct-25'!$A:$A,'[2]Oct-25'!$H:$H,0)</f>
        <v>0</v>
      </c>
      <c r="AB230" s="17">
        <f>_xlfn.XLOOKUP($B230,'[2]Nov-25'!$A:$A,'[2]Nov-25'!$H:$H,0)</f>
        <v>0</v>
      </c>
      <c r="AC230" s="17">
        <f>_xlfn.XLOOKUP($B230,'[2]Dec-25'!$A:$A,'[2]Dec-25'!$H:$H,0)</f>
        <v>0</v>
      </c>
      <c r="AD230" s="17">
        <f>_xlfn.XLOOKUP($B230,'[2]Jan-26'!$A:$A,'[2]Jan-26'!$H:$H,0)</f>
        <v>0</v>
      </c>
      <c r="AE230" s="17">
        <f>_xlfn.XLOOKUP($B230,'[2]Feb-26'!$A:$A,'[2]Feb-26'!$H:$H,0)</f>
        <v>0</v>
      </c>
      <c r="AF230" s="17">
        <f>_xlfn.XLOOKUP($B230,'[2]Mar-26'!$A:$A,'[2]Mar-26'!$H:$H,0)</f>
        <v>0</v>
      </c>
      <c r="AG230" s="17">
        <f>_xlfn.XLOOKUP($B230,'[2]Apr-26'!$A:$A,'[2]Apr-26'!$H:$H,0)</f>
        <v>0</v>
      </c>
    </row>
    <row r="231" spans="1:33" x14ac:dyDescent="0.2">
      <c r="A231" s="58">
        <v>60217</v>
      </c>
      <c r="B231" s="56" t="str">
        <f t="shared" si="5"/>
        <v>60217</v>
      </c>
      <c r="C231" s="57" t="s">
        <v>552</v>
      </c>
      <c r="D231" s="57" t="s">
        <v>387</v>
      </c>
      <c r="E231" s="44" t="s">
        <v>598</v>
      </c>
      <c r="F231" s="17">
        <f>_xlfn.XLOOKUP($B231,'[2]Jan-24'!$A:$A,'[2]Jan-24'!$H:$H,0)</f>
        <v>0</v>
      </c>
      <c r="G231" s="17">
        <f>_xlfn.XLOOKUP($B231,'[2]Feb-24'!$A:$A,'[2]Feb-24'!$H:$H,0)</f>
        <v>0</v>
      </c>
      <c r="H231" s="17">
        <f>_xlfn.XLOOKUP($B231,'[2]Mar-24'!$A:$A,'[2]Mar-24'!$H:$H,0)</f>
        <v>0</v>
      </c>
      <c r="I231" s="17">
        <f>_xlfn.XLOOKUP($B231,'[2]Apr-24'!$A:$A,'[2]Apr-24'!$H:$H,0)</f>
        <v>0</v>
      </c>
      <c r="J231" s="17">
        <f>_xlfn.XLOOKUP($B231,'[2]May-24'!$A:$A,'[2]May-24'!$H:$H,0)</f>
        <v>0</v>
      </c>
      <c r="K231" s="17">
        <f>_xlfn.XLOOKUP($B231,'[2]Jun-24'!$A:$A,'[2]Jun-24'!$H:$H,0)</f>
        <v>0</v>
      </c>
      <c r="L231" s="17">
        <f>_xlfn.XLOOKUP($B231,'[2]Jul-24'!$A:$A,'[2]Jul-24'!$H:$H,0)</f>
        <v>0</v>
      </c>
      <c r="M231" s="17">
        <f>_xlfn.XLOOKUP($B231,'[2]Aug-24'!$A:$A,'[2]Aug-24'!$H:$H,0)</f>
        <v>0</v>
      </c>
      <c r="N231" s="17">
        <f>_xlfn.XLOOKUP($B231,'[2]Sep-24'!$A:$A,'[2]Sep-24'!$H:$H,0)</f>
        <v>0</v>
      </c>
      <c r="O231" s="17">
        <f>_xlfn.XLOOKUP($B231,'[2]Oct-24'!$A:$A,'[2]Oct-24'!$H:$H,0)</f>
        <v>0</v>
      </c>
      <c r="P231" s="17">
        <f>_xlfn.XLOOKUP($B231,'[2]Nov-24'!$A:$A,'[2]Nov-24'!$H:$H,0)</f>
        <v>0</v>
      </c>
      <c r="Q231" s="17">
        <f>_xlfn.XLOOKUP($B231,'[2]Dec-24'!$A:$A,'[2]Dec-24'!$H:$H,0)</f>
        <v>0</v>
      </c>
      <c r="R231" s="17">
        <f>_xlfn.XLOOKUP($B231,'[2]Jan-25'!$A:$A,'[2]Jan-25'!$H:$H,0)</f>
        <v>0</v>
      </c>
      <c r="S231" s="17">
        <f>_xlfn.XLOOKUP($B231,'[2]Feb-25'!$A:$A,'[2]Feb-25'!$H:$H,0)</f>
        <v>0</v>
      </c>
      <c r="T231" s="17">
        <f>_xlfn.XLOOKUP($B231,'[2]Mar-25'!$A:$A,'[2]Mar-25'!$H:$H,0)</f>
        <v>0</v>
      </c>
      <c r="U231" s="17">
        <f>_xlfn.XLOOKUP($B231,'[2]Apr-25'!$A:$A,'[2]Apr-25'!$H:$H,0)</f>
        <v>0</v>
      </c>
      <c r="V231" s="17">
        <f>_xlfn.XLOOKUP($B231,'[2]May-25'!$A:$A,'[2]May-25'!$H:$H,0)</f>
        <v>0</v>
      </c>
      <c r="W231" s="17">
        <f>_xlfn.XLOOKUP($B231,'[2]Jun-25'!$A:$A,'[2]Jun-25'!$H:$H,0)</f>
        <v>0</v>
      </c>
      <c r="X231" s="17">
        <f>_xlfn.XLOOKUP($B231,'[2]Jul-25'!$A:$A,'[2]Jul-25'!$H:$H,0)</f>
        <v>0</v>
      </c>
      <c r="Y231" s="17">
        <f>_xlfn.XLOOKUP($B231,'[2]Aug-25'!$A:$A,'[2]Aug-25'!$H:$H,0)</f>
        <v>0</v>
      </c>
      <c r="Z231" s="17">
        <f>_xlfn.XLOOKUP($B231,'[2]Sep-25'!$A:$A,'[2]Sep-25'!$H:$H,0)</f>
        <v>0</v>
      </c>
      <c r="AA231" s="17">
        <f>_xlfn.XLOOKUP($B231,'[2]Oct-25'!$A:$A,'[2]Oct-25'!$H:$H,0)</f>
        <v>0</v>
      </c>
      <c r="AB231" s="17">
        <f>_xlfn.XLOOKUP($B231,'[2]Nov-25'!$A:$A,'[2]Nov-25'!$H:$H,0)</f>
        <v>0</v>
      </c>
      <c r="AC231" s="17">
        <f>_xlfn.XLOOKUP($B231,'[2]Dec-25'!$A:$A,'[2]Dec-25'!$H:$H,0)</f>
        <v>0</v>
      </c>
      <c r="AD231" s="17">
        <f>_xlfn.XLOOKUP($B231,'[2]Jan-26'!$A:$A,'[2]Jan-26'!$H:$H,0)</f>
        <v>0</v>
      </c>
      <c r="AE231" s="17">
        <f>_xlfn.XLOOKUP($B231,'[2]Feb-26'!$A:$A,'[2]Feb-26'!$H:$H,0)</f>
        <v>0</v>
      </c>
      <c r="AF231" s="17">
        <f>_xlfn.XLOOKUP($B231,'[2]Mar-26'!$A:$A,'[2]Mar-26'!$H:$H,0)</f>
        <v>0</v>
      </c>
      <c r="AG231" s="17">
        <f>_xlfn.XLOOKUP($B231,'[2]Apr-26'!$A:$A,'[2]Apr-26'!$H:$H,0)</f>
        <v>0</v>
      </c>
    </row>
    <row r="232" spans="1:33" x14ac:dyDescent="0.2">
      <c r="A232" s="58">
        <v>61000</v>
      </c>
      <c r="B232" s="56" t="str">
        <f t="shared" si="5"/>
        <v>61000</v>
      </c>
      <c r="C232" s="57" t="s">
        <v>574</v>
      </c>
      <c r="D232" s="57" t="s">
        <v>387</v>
      </c>
      <c r="E232" s="44" t="s">
        <v>600</v>
      </c>
      <c r="F232" s="17">
        <f>_xlfn.XLOOKUP($B232,'[2]Jan-24'!$A:$A,'[2]Jan-24'!$H:$H,0)</f>
        <v>0</v>
      </c>
      <c r="G232" s="17">
        <f>_xlfn.XLOOKUP($B232,'[2]Feb-24'!$A:$A,'[2]Feb-24'!$H:$H,0)</f>
        <v>0</v>
      </c>
      <c r="H232" s="17">
        <f>_xlfn.XLOOKUP($B232,'[2]Mar-24'!$A:$A,'[2]Mar-24'!$H:$H,0)</f>
        <v>15350.13</v>
      </c>
      <c r="I232" s="17">
        <f>_xlfn.XLOOKUP($B232,'[2]Apr-24'!$A:$A,'[2]Apr-24'!$H:$H,0)</f>
        <v>0</v>
      </c>
      <c r="J232" s="17">
        <f>_xlfn.XLOOKUP($B232,'[2]May-24'!$A:$A,'[2]May-24'!$H:$H,0)</f>
        <v>4252.97</v>
      </c>
      <c r="K232" s="17">
        <f>_xlfn.XLOOKUP($B232,'[2]Jun-24'!$A:$A,'[2]Jun-24'!$H:$H,0)</f>
        <v>5145.95</v>
      </c>
      <c r="L232" s="17">
        <f>_xlfn.XLOOKUP($B232,'[2]Jul-24'!$A:$A,'[2]Jul-24'!$H:$H,0)</f>
        <v>14586.51</v>
      </c>
      <c r="M232" s="17">
        <f>_xlfn.XLOOKUP($B232,'[2]Aug-24'!$A:$A,'[2]Aug-24'!$H:$H,0)</f>
        <v>15770.01</v>
      </c>
      <c r="N232" s="17">
        <f>_xlfn.XLOOKUP($B232,'[2]Sep-24'!$A:$A,'[2]Sep-24'!$H:$H,0)</f>
        <v>10726.03</v>
      </c>
      <c r="O232" s="17">
        <f>_xlfn.XLOOKUP($B232,'[2]Oct-24'!$A:$A,'[2]Oct-24'!$H:$H,0)</f>
        <v>6900</v>
      </c>
      <c r="P232" s="17">
        <f>_xlfn.XLOOKUP($B232,'[2]Nov-24'!$A:$A,'[2]Nov-24'!$H:$H,0)</f>
        <v>175.5</v>
      </c>
      <c r="Q232" s="17">
        <f>_xlfn.XLOOKUP($B232,'[2]Dec-24'!$A:$A,'[2]Dec-24'!$H:$H,0)</f>
        <v>0</v>
      </c>
      <c r="R232" s="17">
        <f>_xlfn.XLOOKUP($B232,'[2]Jan-25'!$A:$A,'[2]Jan-25'!$H:$H,0)</f>
        <v>2700</v>
      </c>
      <c r="S232" s="17">
        <f>_xlfn.XLOOKUP($B232,'[2]Feb-25'!$A:$A,'[2]Feb-25'!$H:$H,0)</f>
        <v>0</v>
      </c>
      <c r="T232" s="17">
        <f>_xlfn.XLOOKUP($B232,'[2]Mar-25'!$A:$A,'[2]Mar-25'!$H:$H,0)</f>
        <v>0</v>
      </c>
      <c r="U232" s="17">
        <f>_xlfn.XLOOKUP($B232,'[2]Apr-25'!$A:$A,'[2]Apr-25'!$H:$H,0)</f>
        <v>0</v>
      </c>
      <c r="V232" s="17">
        <f>_xlfn.XLOOKUP($B232,'[2]May-25'!$A:$A,'[2]May-25'!$H:$H,0)</f>
        <v>3064.08</v>
      </c>
      <c r="W232" s="17">
        <f>_xlfn.XLOOKUP($B232,'[2]Jun-25'!$A:$A,'[2]Jun-25'!$H:$H,0)</f>
        <v>6850.93</v>
      </c>
      <c r="X232" s="17">
        <f>_xlfn.XLOOKUP($B232,'[2]Jul-25'!$A:$A,'[2]Jul-25'!$H:$H,0)</f>
        <v>4159.96</v>
      </c>
      <c r="Y232" s="17">
        <f>_xlfn.XLOOKUP($B232,'[2]Aug-25'!$A:$A,'[2]Aug-25'!$H:$H,0)</f>
        <v>1333.5</v>
      </c>
      <c r="Z232" s="17">
        <f>_xlfn.XLOOKUP($B232,'[2]Sep-25'!$A:$A,'[2]Sep-25'!$H:$H,0)</f>
        <v>0</v>
      </c>
      <c r="AA232" s="17">
        <f>_xlfn.XLOOKUP($B232,'[2]Oct-25'!$A:$A,'[2]Oct-25'!$H:$H,0)</f>
        <v>161</v>
      </c>
      <c r="AB232" s="17">
        <f>_xlfn.XLOOKUP($B232,'[2]Nov-25'!$A:$A,'[2]Nov-25'!$H:$H,0)</f>
        <v>0</v>
      </c>
      <c r="AC232" s="17">
        <f>_xlfn.XLOOKUP($B232,'[2]Dec-25'!$A:$A,'[2]Dec-25'!$H:$H,0)</f>
        <v>0</v>
      </c>
      <c r="AD232" s="17">
        <f>_xlfn.XLOOKUP($B232,'[2]Jan-26'!$A:$A,'[2]Jan-26'!$H:$H,0)</f>
        <v>0</v>
      </c>
      <c r="AE232" s="17">
        <f>_xlfn.XLOOKUP($B232,'[2]Feb-26'!$A:$A,'[2]Feb-26'!$H:$H,0)</f>
        <v>0</v>
      </c>
      <c r="AF232" s="17">
        <f>_xlfn.XLOOKUP($B232,'[2]Mar-26'!$A:$A,'[2]Mar-26'!$H:$H,0)</f>
        <v>46.59</v>
      </c>
      <c r="AG232" s="17">
        <f>_xlfn.XLOOKUP($B232,'[2]Apr-26'!$A:$A,'[2]Apr-26'!$H:$H,0)</f>
        <v>35.75</v>
      </c>
    </row>
    <row r="233" spans="1:33" x14ac:dyDescent="0.2">
      <c r="A233" s="58">
        <v>61100</v>
      </c>
      <c r="B233" s="56" t="str">
        <f t="shared" si="5"/>
        <v>61100</v>
      </c>
      <c r="C233" s="57" t="s">
        <v>601</v>
      </c>
      <c r="D233" s="57" t="s">
        <v>387</v>
      </c>
      <c r="E233" s="44" t="s">
        <v>602</v>
      </c>
      <c r="F233" s="17">
        <f>_xlfn.XLOOKUP($B233,'[2]Jan-24'!$A:$A,'[2]Jan-24'!$H:$H,0)</f>
        <v>0</v>
      </c>
      <c r="G233" s="17">
        <f>_xlfn.XLOOKUP($B233,'[2]Feb-24'!$A:$A,'[2]Feb-24'!$H:$H,0)</f>
        <v>0</v>
      </c>
      <c r="H233" s="17">
        <f>_xlfn.XLOOKUP($B233,'[2]Mar-24'!$A:$A,'[2]Mar-24'!$H:$H,0)</f>
        <v>0</v>
      </c>
      <c r="I233" s="17">
        <f>_xlfn.XLOOKUP($B233,'[2]Apr-24'!$A:$A,'[2]Apr-24'!$H:$H,0)</f>
        <v>0</v>
      </c>
      <c r="J233" s="17">
        <f>_xlfn.XLOOKUP($B233,'[2]May-24'!$A:$A,'[2]May-24'!$H:$H,0)</f>
        <v>0</v>
      </c>
      <c r="K233" s="17">
        <f>_xlfn.XLOOKUP($B233,'[2]Jun-24'!$A:$A,'[2]Jun-24'!$H:$H,0)</f>
        <v>0</v>
      </c>
      <c r="L233" s="17">
        <f>_xlfn.XLOOKUP($B233,'[2]Jul-24'!$A:$A,'[2]Jul-24'!$H:$H,0)</f>
        <v>0</v>
      </c>
      <c r="M233" s="17">
        <f>_xlfn.XLOOKUP($B233,'[2]Aug-24'!$A:$A,'[2]Aug-24'!$H:$H,0)</f>
        <v>0</v>
      </c>
      <c r="N233" s="17">
        <f>_xlfn.XLOOKUP($B233,'[2]Sep-24'!$A:$A,'[2]Sep-24'!$H:$H,0)</f>
        <v>0</v>
      </c>
      <c r="O233" s="17">
        <f>_xlfn.XLOOKUP($B233,'[2]Oct-24'!$A:$A,'[2]Oct-24'!$H:$H,0)</f>
        <v>0</v>
      </c>
      <c r="P233" s="17">
        <f>_xlfn.XLOOKUP($B233,'[2]Nov-24'!$A:$A,'[2]Nov-24'!$H:$H,0)</f>
        <v>0</v>
      </c>
      <c r="Q233" s="17">
        <f>_xlfn.XLOOKUP($B233,'[2]Dec-24'!$A:$A,'[2]Dec-24'!$H:$H,0)</f>
        <v>0</v>
      </c>
      <c r="R233" s="17">
        <f>_xlfn.XLOOKUP($B233,'[2]Jan-25'!$A:$A,'[2]Jan-25'!$H:$H,0)</f>
        <v>0</v>
      </c>
      <c r="S233" s="17">
        <f>_xlfn.XLOOKUP($B233,'[2]Feb-25'!$A:$A,'[2]Feb-25'!$H:$H,0)</f>
        <v>0</v>
      </c>
      <c r="T233" s="17">
        <f>_xlfn.XLOOKUP($B233,'[2]Mar-25'!$A:$A,'[2]Mar-25'!$H:$H,0)</f>
        <v>0</v>
      </c>
      <c r="U233" s="17">
        <f>_xlfn.XLOOKUP($B233,'[2]Apr-25'!$A:$A,'[2]Apr-25'!$H:$H,0)</f>
        <v>0</v>
      </c>
      <c r="V233" s="17">
        <f>_xlfn.XLOOKUP($B233,'[2]May-25'!$A:$A,'[2]May-25'!$H:$H,0)</f>
        <v>0</v>
      </c>
      <c r="W233" s="17">
        <f>_xlfn.XLOOKUP($B233,'[2]Jun-25'!$A:$A,'[2]Jun-25'!$H:$H,0)</f>
        <v>0</v>
      </c>
      <c r="X233" s="17">
        <f>_xlfn.XLOOKUP($B233,'[2]Jul-25'!$A:$A,'[2]Jul-25'!$H:$H,0)</f>
        <v>0</v>
      </c>
      <c r="Y233" s="17">
        <f>_xlfn.XLOOKUP($B233,'[2]Aug-25'!$A:$A,'[2]Aug-25'!$H:$H,0)</f>
        <v>0</v>
      </c>
      <c r="Z233" s="17">
        <f>_xlfn.XLOOKUP($B233,'[2]Sep-25'!$A:$A,'[2]Sep-25'!$H:$H,0)</f>
        <v>0</v>
      </c>
      <c r="AA233" s="17">
        <f>_xlfn.XLOOKUP($B233,'[2]Oct-25'!$A:$A,'[2]Oct-25'!$H:$H,0)</f>
        <v>0</v>
      </c>
      <c r="AB233" s="17">
        <f>_xlfn.XLOOKUP($B233,'[2]Nov-25'!$A:$A,'[2]Nov-25'!$H:$H,0)</f>
        <v>0</v>
      </c>
      <c r="AC233" s="17">
        <f>_xlfn.XLOOKUP($B233,'[2]Dec-25'!$A:$A,'[2]Dec-25'!$H:$H,0)</f>
        <v>0</v>
      </c>
      <c r="AD233" s="17">
        <f>_xlfn.XLOOKUP($B233,'[2]Jan-26'!$A:$A,'[2]Jan-26'!$H:$H,0)</f>
        <v>0</v>
      </c>
      <c r="AE233" s="17">
        <f>_xlfn.XLOOKUP($B233,'[2]Feb-26'!$A:$A,'[2]Feb-26'!$H:$H,0)</f>
        <v>0</v>
      </c>
      <c r="AF233" s="17">
        <f>_xlfn.XLOOKUP($B233,'[2]Mar-26'!$A:$A,'[2]Mar-26'!$H:$H,0)</f>
        <v>0</v>
      </c>
      <c r="AG233" s="17">
        <f>_xlfn.XLOOKUP($B233,'[2]Apr-26'!$A:$A,'[2]Apr-26'!$H:$H,0)</f>
        <v>0</v>
      </c>
    </row>
    <row r="234" spans="1:33" x14ac:dyDescent="0.2">
      <c r="A234" s="58">
        <v>61200</v>
      </c>
      <c r="B234" s="56" t="str">
        <f t="shared" si="5"/>
        <v>61200</v>
      </c>
      <c r="C234" s="57" t="s">
        <v>552</v>
      </c>
      <c r="D234" s="57" t="s">
        <v>387</v>
      </c>
      <c r="E234" s="44" t="s">
        <v>603</v>
      </c>
      <c r="F234" s="17">
        <f>_xlfn.XLOOKUP($B234,'[2]Jan-24'!$A:$A,'[2]Jan-24'!$H:$H,0)</f>
        <v>0</v>
      </c>
      <c r="G234" s="17">
        <f>_xlfn.XLOOKUP($B234,'[2]Feb-24'!$A:$A,'[2]Feb-24'!$H:$H,0)</f>
        <v>0</v>
      </c>
      <c r="H234" s="17">
        <f>_xlfn.XLOOKUP($B234,'[2]Mar-24'!$A:$A,'[2]Mar-24'!$H:$H,0)</f>
        <v>0</v>
      </c>
      <c r="I234" s="17">
        <f>_xlfn.XLOOKUP($B234,'[2]Apr-24'!$A:$A,'[2]Apr-24'!$H:$H,0)</f>
        <v>0</v>
      </c>
      <c r="J234" s="17">
        <f>_xlfn.XLOOKUP($B234,'[2]May-24'!$A:$A,'[2]May-24'!$H:$H,0)</f>
        <v>0</v>
      </c>
      <c r="K234" s="17">
        <f>_xlfn.XLOOKUP($B234,'[2]Jun-24'!$A:$A,'[2]Jun-24'!$H:$H,0)</f>
        <v>0</v>
      </c>
      <c r="L234" s="17">
        <f>_xlfn.XLOOKUP($B234,'[2]Jul-24'!$A:$A,'[2]Jul-24'!$H:$H,0)</f>
        <v>0</v>
      </c>
      <c r="M234" s="17">
        <f>_xlfn.XLOOKUP($B234,'[2]Aug-24'!$A:$A,'[2]Aug-24'!$H:$H,0)</f>
        <v>0</v>
      </c>
      <c r="N234" s="17">
        <f>_xlfn.XLOOKUP($B234,'[2]Sep-24'!$A:$A,'[2]Sep-24'!$H:$H,0)</f>
        <v>0</v>
      </c>
      <c r="O234" s="17">
        <f>_xlfn.XLOOKUP($B234,'[2]Oct-24'!$A:$A,'[2]Oct-24'!$H:$H,0)</f>
        <v>0</v>
      </c>
      <c r="P234" s="17">
        <f>_xlfn.XLOOKUP($B234,'[2]Nov-24'!$A:$A,'[2]Nov-24'!$H:$H,0)</f>
        <v>0</v>
      </c>
      <c r="Q234" s="17">
        <f>_xlfn.XLOOKUP($B234,'[2]Dec-24'!$A:$A,'[2]Dec-24'!$H:$H,0)</f>
        <v>0</v>
      </c>
      <c r="R234" s="17">
        <f>_xlfn.XLOOKUP($B234,'[2]Jan-25'!$A:$A,'[2]Jan-25'!$H:$H,0)</f>
        <v>0</v>
      </c>
      <c r="S234" s="17">
        <f>_xlfn.XLOOKUP($B234,'[2]Feb-25'!$A:$A,'[2]Feb-25'!$H:$H,0)</f>
        <v>0</v>
      </c>
      <c r="T234" s="17">
        <f>_xlfn.XLOOKUP($B234,'[2]Mar-25'!$A:$A,'[2]Mar-25'!$H:$H,0)</f>
        <v>0</v>
      </c>
      <c r="U234" s="17">
        <f>_xlfn.XLOOKUP($B234,'[2]Apr-25'!$A:$A,'[2]Apr-25'!$H:$H,0)</f>
        <v>0</v>
      </c>
      <c r="V234" s="17">
        <f>_xlfn.XLOOKUP($B234,'[2]May-25'!$A:$A,'[2]May-25'!$H:$H,0)</f>
        <v>0</v>
      </c>
      <c r="W234" s="17">
        <f>_xlfn.XLOOKUP($B234,'[2]Jun-25'!$A:$A,'[2]Jun-25'!$H:$H,0)</f>
        <v>0</v>
      </c>
      <c r="X234" s="17">
        <f>_xlfn.XLOOKUP($B234,'[2]Jul-25'!$A:$A,'[2]Jul-25'!$H:$H,0)</f>
        <v>0</v>
      </c>
      <c r="Y234" s="17">
        <f>_xlfn.XLOOKUP($B234,'[2]Aug-25'!$A:$A,'[2]Aug-25'!$H:$H,0)</f>
        <v>0</v>
      </c>
      <c r="Z234" s="17">
        <f>_xlfn.XLOOKUP($B234,'[2]Sep-25'!$A:$A,'[2]Sep-25'!$H:$H,0)</f>
        <v>0</v>
      </c>
      <c r="AA234" s="17">
        <f>_xlfn.XLOOKUP($B234,'[2]Oct-25'!$A:$A,'[2]Oct-25'!$H:$H,0)</f>
        <v>0</v>
      </c>
      <c r="AB234" s="17">
        <f>_xlfn.XLOOKUP($B234,'[2]Nov-25'!$A:$A,'[2]Nov-25'!$H:$H,0)</f>
        <v>0</v>
      </c>
      <c r="AC234" s="17">
        <f>_xlfn.XLOOKUP($B234,'[2]Dec-25'!$A:$A,'[2]Dec-25'!$H:$H,0)</f>
        <v>0</v>
      </c>
      <c r="AD234" s="17">
        <f>_xlfn.XLOOKUP($B234,'[2]Jan-26'!$A:$A,'[2]Jan-26'!$H:$H,0)</f>
        <v>0</v>
      </c>
      <c r="AE234" s="17">
        <f>_xlfn.XLOOKUP($B234,'[2]Feb-26'!$A:$A,'[2]Feb-26'!$H:$H,0)</f>
        <v>0</v>
      </c>
      <c r="AF234" s="17">
        <f>_xlfn.XLOOKUP($B234,'[2]Mar-26'!$A:$A,'[2]Mar-26'!$H:$H,0)</f>
        <v>0</v>
      </c>
      <c r="AG234" s="17">
        <f>_xlfn.XLOOKUP($B234,'[2]Apr-26'!$A:$A,'[2]Apr-26'!$H:$H,0)</f>
        <v>0</v>
      </c>
    </row>
    <row r="235" spans="1:33" x14ac:dyDescent="0.2">
      <c r="A235" s="58">
        <v>61300</v>
      </c>
      <c r="B235" s="56" t="str">
        <f t="shared" si="5"/>
        <v>61300</v>
      </c>
      <c r="C235" s="57" t="s">
        <v>552</v>
      </c>
      <c r="D235" s="57" t="s">
        <v>387</v>
      </c>
      <c r="E235" s="44" t="s">
        <v>604</v>
      </c>
      <c r="F235" s="17">
        <f>_xlfn.XLOOKUP($B235,'[2]Jan-24'!$A:$A,'[2]Jan-24'!$H:$H,0)</f>
        <v>0</v>
      </c>
      <c r="G235" s="17">
        <f>_xlfn.XLOOKUP($B235,'[2]Feb-24'!$A:$A,'[2]Feb-24'!$H:$H,0)</f>
        <v>0</v>
      </c>
      <c r="H235" s="17">
        <f>_xlfn.XLOOKUP($B235,'[2]Mar-24'!$A:$A,'[2]Mar-24'!$H:$H,0)</f>
        <v>0</v>
      </c>
      <c r="I235" s="17">
        <f>_xlfn.XLOOKUP($B235,'[2]Apr-24'!$A:$A,'[2]Apr-24'!$H:$H,0)</f>
        <v>0</v>
      </c>
      <c r="J235" s="17">
        <f>_xlfn.XLOOKUP($B235,'[2]May-24'!$A:$A,'[2]May-24'!$H:$H,0)</f>
        <v>0</v>
      </c>
      <c r="K235" s="17">
        <f>_xlfn.XLOOKUP($B235,'[2]Jun-24'!$A:$A,'[2]Jun-24'!$H:$H,0)</f>
        <v>0</v>
      </c>
      <c r="L235" s="17">
        <f>_xlfn.XLOOKUP($B235,'[2]Jul-24'!$A:$A,'[2]Jul-24'!$H:$H,0)</f>
        <v>0</v>
      </c>
      <c r="M235" s="17">
        <f>_xlfn.XLOOKUP($B235,'[2]Aug-24'!$A:$A,'[2]Aug-24'!$H:$H,0)</f>
        <v>0</v>
      </c>
      <c r="N235" s="17">
        <f>_xlfn.XLOOKUP($B235,'[2]Sep-24'!$A:$A,'[2]Sep-24'!$H:$H,0)</f>
        <v>0</v>
      </c>
      <c r="O235" s="17">
        <f>_xlfn.XLOOKUP($B235,'[2]Oct-24'!$A:$A,'[2]Oct-24'!$H:$H,0)</f>
        <v>0</v>
      </c>
      <c r="P235" s="17">
        <f>_xlfn.XLOOKUP($B235,'[2]Nov-24'!$A:$A,'[2]Nov-24'!$H:$H,0)</f>
        <v>0</v>
      </c>
      <c r="Q235" s="17">
        <f>_xlfn.XLOOKUP($B235,'[2]Dec-24'!$A:$A,'[2]Dec-24'!$H:$H,0)</f>
        <v>0</v>
      </c>
      <c r="R235" s="17">
        <f>_xlfn.XLOOKUP($B235,'[2]Jan-25'!$A:$A,'[2]Jan-25'!$H:$H,0)</f>
        <v>0</v>
      </c>
      <c r="S235" s="17">
        <f>_xlfn.XLOOKUP($B235,'[2]Feb-25'!$A:$A,'[2]Feb-25'!$H:$H,0)</f>
        <v>0</v>
      </c>
      <c r="T235" s="17">
        <f>_xlfn.XLOOKUP($B235,'[2]Mar-25'!$A:$A,'[2]Mar-25'!$H:$H,0)</f>
        <v>0</v>
      </c>
      <c r="U235" s="17">
        <f>_xlfn.XLOOKUP($B235,'[2]Apr-25'!$A:$A,'[2]Apr-25'!$H:$H,0)</f>
        <v>0</v>
      </c>
      <c r="V235" s="17">
        <f>_xlfn.XLOOKUP($B235,'[2]May-25'!$A:$A,'[2]May-25'!$H:$H,0)</f>
        <v>0</v>
      </c>
      <c r="W235" s="17">
        <f>_xlfn.XLOOKUP($B235,'[2]Jun-25'!$A:$A,'[2]Jun-25'!$H:$H,0)</f>
        <v>0</v>
      </c>
      <c r="X235" s="17">
        <f>_xlfn.XLOOKUP($B235,'[2]Jul-25'!$A:$A,'[2]Jul-25'!$H:$H,0)</f>
        <v>0</v>
      </c>
      <c r="Y235" s="17">
        <f>_xlfn.XLOOKUP($B235,'[2]Aug-25'!$A:$A,'[2]Aug-25'!$H:$H,0)</f>
        <v>0</v>
      </c>
      <c r="Z235" s="17">
        <f>_xlfn.XLOOKUP($B235,'[2]Sep-25'!$A:$A,'[2]Sep-25'!$H:$H,0)</f>
        <v>0</v>
      </c>
      <c r="AA235" s="17">
        <f>_xlfn.XLOOKUP($B235,'[2]Oct-25'!$A:$A,'[2]Oct-25'!$H:$H,0)</f>
        <v>0</v>
      </c>
      <c r="AB235" s="17">
        <f>_xlfn.XLOOKUP($B235,'[2]Nov-25'!$A:$A,'[2]Nov-25'!$H:$H,0)</f>
        <v>0</v>
      </c>
      <c r="AC235" s="17">
        <f>_xlfn.XLOOKUP($B235,'[2]Dec-25'!$A:$A,'[2]Dec-25'!$H:$H,0)</f>
        <v>0</v>
      </c>
      <c r="AD235" s="17">
        <f>_xlfn.XLOOKUP($B235,'[2]Jan-26'!$A:$A,'[2]Jan-26'!$H:$H,0)</f>
        <v>0</v>
      </c>
      <c r="AE235" s="17">
        <f>_xlfn.XLOOKUP($B235,'[2]Feb-26'!$A:$A,'[2]Feb-26'!$H:$H,0)</f>
        <v>0</v>
      </c>
      <c r="AF235" s="17">
        <f>_xlfn.XLOOKUP($B235,'[2]Mar-26'!$A:$A,'[2]Mar-26'!$H:$H,0)</f>
        <v>0</v>
      </c>
      <c r="AG235" s="17">
        <f>_xlfn.XLOOKUP($B235,'[2]Apr-26'!$A:$A,'[2]Apr-26'!$H:$H,0)</f>
        <v>0</v>
      </c>
    </row>
    <row r="236" spans="1:33" x14ac:dyDescent="0.2">
      <c r="A236" s="58">
        <v>61310</v>
      </c>
      <c r="B236" s="56" t="str">
        <f t="shared" si="5"/>
        <v>61310</v>
      </c>
      <c r="C236" s="57" t="s">
        <v>552</v>
      </c>
      <c r="D236" s="57" t="s">
        <v>387</v>
      </c>
      <c r="E236" s="44" t="s">
        <v>605</v>
      </c>
      <c r="F236" s="17">
        <f>_xlfn.XLOOKUP($B236,'[2]Jan-24'!$A:$A,'[2]Jan-24'!$H:$H,0)</f>
        <v>0</v>
      </c>
      <c r="G236" s="17">
        <f>_xlfn.XLOOKUP($B236,'[2]Feb-24'!$A:$A,'[2]Feb-24'!$H:$H,0)</f>
        <v>0</v>
      </c>
      <c r="H236" s="17">
        <f>_xlfn.XLOOKUP($B236,'[2]Mar-24'!$A:$A,'[2]Mar-24'!$H:$H,0)</f>
        <v>0</v>
      </c>
      <c r="I236" s="17">
        <f>_xlfn.XLOOKUP($B236,'[2]Apr-24'!$A:$A,'[2]Apr-24'!$H:$H,0)</f>
        <v>0</v>
      </c>
      <c r="J236" s="17">
        <f>_xlfn.XLOOKUP($B236,'[2]May-24'!$A:$A,'[2]May-24'!$H:$H,0)</f>
        <v>0</v>
      </c>
      <c r="K236" s="17">
        <f>_xlfn.XLOOKUP($B236,'[2]Jun-24'!$A:$A,'[2]Jun-24'!$H:$H,0)</f>
        <v>0</v>
      </c>
      <c r="L236" s="17">
        <f>_xlfn.XLOOKUP($B236,'[2]Jul-24'!$A:$A,'[2]Jul-24'!$H:$H,0)</f>
        <v>0</v>
      </c>
      <c r="M236" s="17">
        <f>_xlfn.XLOOKUP($B236,'[2]Aug-24'!$A:$A,'[2]Aug-24'!$H:$H,0)</f>
        <v>0</v>
      </c>
      <c r="N236" s="17">
        <f>_xlfn.XLOOKUP($B236,'[2]Sep-24'!$A:$A,'[2]Sep-24'!$H:$H,0)</f>
        <v>0</v>
      </c>
      <c r="O236" s="17">
        <f>_xlfn.XLOOKUP($B236,'[2]Oct-24'!$A:$A,'[2]Oct-24'!$H:$H,0)</f>
        <v>0</v>
      </c>
      <c r="P236" s="17">
        <f>_xlfn.XLOOKUP($B236,'[2]Nov-24'!$A:$A,'[2]Nov-24'!$H:$H,0)</f>
        <v>0</v>
      </c>
      <c r="Q236" s="17">
        <f>_xlfn.XLOOKUP($B236,'[2]Dec-24'!$A:$A,'[2]Dec-24'!$H:$H,0)</f>
        <v>0</v>
      </c>
      <c r="R236" s="17">
        <f>_xlfn.XLOOKUP($B236,'[2]Jan-25'!$A:$A,'[2]Jan-25'!$H:$H,0)</f>
        <v>0</v>
      </c>
      <c r="S236" s="17">
        <f>_xlfn.XLOOKUP($B236,'[2]Feb-25'!$A:$A,'[2]Feb-25'!$H:$H,0)</f>
        <v>0</v>
      </c>
      <c r="T236" s="17">
        <f>_xlfn.XLOOKUP($B236,'[2]Mar-25'!$A:$A,'[2]Mar-25'!$H:$H,0)</f>
        <v>0</v>
      </c>
      <c r="U236" s="17">
        <f>_xlfn.XLOOKUP($B236,'[2]Apr-25'!$A:$A,'[2]Apr-25'!$H:$H,0)</f>
        <v>0</v>
      </c>
      <c r="V236" s="17">
        <f>_xlfn.XLOOKUP($B236,'[2]May-25'!$A:$A,'[2]May-25'!$H:$H,0)</f>
        <v>0</v>
      </c>
      <c r="W236" s="17">
        <f>_xlfn.XLOOKUP($B236,'[2]Jun-25'!$A:$A,'[2]Jun-25'!$H:$H,0)</f>
        <v>0</v>
      </c>
      <c r="X236" s="17">
        <f>_xlfn.XLOOKUP($B236,'[2]Jul-25'!$A:$A,'[2]Jul-25'!$H:$H,0)</f>
        <v>0</v>
      </c>
      <c r="Y236" s="17">
        <f>_xlfn.XLOOKUP($B236,'[2]Aug-25'!$A:$A,'[2]Aug-25'!$H:$H,0)</f>
        <v>0</v>
      </c>
      <c r="Z236" s="17">
        <f>_xlfn.XLOOKUP($B236,'[2]Sep-25'!$A:$A,'[2]Sep-25'!$H:$H,0)</f>
        <v>0</v>
      </c>
      <c r="AA236" s="17">
        <f>_xlfn.XLOOKUP($B236,'[2]Oct-25'!$A:$A,'[2]Oct-25'!$H:$H,0)</f>
        <v>0</v>
      </c>
      <c r="AB236" s="17">
        <f>_xlfn.XLOOKUP($B236,'[2]Nov-25'!$A:$A,'[2]Nov-25'!$H:$H,0)</f>
        <v>0</v>
      </c>
      <c r="AC236" s="17">
        <f>_xlfn.XLOOKUP($B236,'[2]Dec-25'!$A:$A,'[2]Dec-25'!$H:$H,0)</f>
        <v>0</v>
      </c>
      <c r="AD236" s="17">
        <f>_xlfn.XLOOKUP($B236,'[2]Jan-26'!$A:$A,'[2]Jan-26'!$H:$H,0)</f>
        <v>0</v>
      </c>
      <c r="AE236" s="17">
        <f>_xlfn.XLOOKUP($B236,'[2]Feb-26'!$A:$A,'[2]Feb-26'!$H:$H,0)</f>
        <v>0</v>
      </c>
      <c r="AF236" s="17">
        <f>_xlfn.XLOOKUP($B236,'[2]Mar-26'!$A:$A,'[2]Mar-26'!$H:$H,0)</f>
        <v>0</v>
      </c>
      <c r="AG236" s="17">
        <f>_xlfn.XLOOKUP($B236,'[2]Apr-26'!$A:$A,'[2]Apr-26'!$H:$H,0)</f>
        <v>0</v>
      </c>
    </row>
    <row r="237" spans="1:33" x14ac:dyDescent="0.2">
      <c r="A237" s="58">
        <v>61315</v>
      </c>
      <c r="B237" s="56" t="str">
        <f t="shared" si="5"/>
        <v>61315</v>
      </c>
      <c r="C237" s="57" t="s">
        <v>552</v>
      </c>
      <c r="D237" s="57" t="s">
        <v>387</v>
      </c>
      <c r="E237" s="44" t="s">
        <v>876</v>
      </c>
      <c r="F237" s="17">
        <f>_xlfn.XLOOKUP($B237,'[2]Jan-24'!$A:$A,'[2]Jan-24'!$H:$H,0)</f>
        <v>0</v>
      </c>
      <c r="G237" s="17">
        <f>_xlfn.XLOOKUP($B237,'[2]Feb-24'!$A:$A,'[2]Feb-24'!$H:$H,0)</f>
        <v>0</v>
      </c>
      <c r="H237" s="17">
        <f>_xlfn.XLOOKUP($B237,'[2]Mar-24'!$A:$A,'[2]Mar-24'!$H:$H,0)</f>
        <v>0</v>
      </c>
      <c r="I237" s="17">
        <f>_xlfn.XLOOKUP($B237,'[2]Apr-24'!$A:$A,'[2]Apr-24'!$H:$H,0)</f>
        <v>0</v>
      </c>
      <c r="J237" s="17">
        <f>_xlfn.XLOOKUP($B237,'[2]May-24'!$A:$A,'[2]May-24'!$H:$H,0)</f>
        <v>0</v>
      </c>
      <c r="K237" s="17">
        <f>_xlfn.XLOOKUP($B237,'[2]Jun-24'!$A:$A,'[2]Jun-24'!$H:$H,0)</f>
        <v>0</v>
      </c>
      <c r="L237" s="17">
        <f>_xlfn.XLOOKUP($B237,'[2]Jul-24'!$A:$A,'[2]Jul-24'!$H:$H,0)</f>
        <v>0</v>
      </c>
      <c r="M237" s="17">
        <f>_xlfn.XLOOKUP($B237,'[2]Aug-24'!$A:$A,'[2]Aug-24'!$H:$H,0)</f>
        <v>0</v>
      </c>
      <c r="N237" s="17">
        <f>_xlfn.XLOOKUP($B237,'[2]Sep-24'!$A:$A,'[2]Sep-24'!$H:$H,0)</f>
        <v>0</v>
      </c>
      <c r="O237" s="17">
        <f>_xlfn.XLOOKUP($B237,'[2]Oct-24'!$A:$A,'[2]Oct-24'!$H:$H,0)</f>
        <v>0</v>
      </c>
      <c r="P237" s="17">
        <f>_xlfn.XLOOKUP($B237,'[2]Nov-24'!$A:$A,'[2]Nov-24'!$H:$H,0)</f>
        <v>0</v>
      </c>
      <c r="Q237" s="17">
        <f>_xlfn.XLOOKUP($B237,'[2]Dec-24'!$A:$A,'[2]Dec-24'!$H:$H,0)</f>
        <v>0</v>
      </c>
      <c r="R237" s="17">
        <f>_xlfn.XLOOKUP($B237,'[2]Jan-25'!$A:$A,'[2]Jan-25'!$H:$H,0)</f>
        <v>0</v>
      </c>
      <c r="S237" s="17">
        <f>_xlfn.XLOOKUP($B237,'[2]Feb-25'!$A:$A,'[2]Feb-25'!$H:$H,0)</f>
        <v>0</v>
      </c>
      <c r="T237" s="17">
        <f>_xlfn.XLOOKUP($B237,'[2]Mar-25'!$A:$A,'[2]Mar-25'!$H:$H,0)</f>
        <v>0</v>
      </c>
      <c r="U237" s="17">
        <f>_xlfn.XLOOKUP($B237,'[2]Apr-25'!$A:$A,'[2]Apr-25'!$H:$H,0)</f>
        <v>0</v>
      </c>
      <c r="V237" s="17">
        <f>_xlfn.XLOOKUP($B237,'[2]May-25'!$A:$A,'[2]May-25'!$H:$H,0)</f>
        <v>0</v>
      </c>
      <c r="W237" s="17">
        <f>_xlfn.XLOOKUP($B237,'[2]Jun-25'!$A:$A,'[2]Jun-25'!$H:$H,0)</f>
        <v>0</v>
      </c>
      <c r="X237" s="17">
        <f>_xlfn.XLOOKUP($B237,'[2]Jul-25'!$A:$A,'[2]Jul-25'!$H:$H,0)</f>
        <v>0</v>
      </c>
      <c r="Y237" s="17">
        <f>_xlfn.XLOOKUP($B237,'[2]Aug-25'!$A:$A,'[2]Aug-25'!$H:$H,0)</f>
        <v>0</v>
      </c>
      <c r="Z237" s="17">
        <f>_xlfn.XLOOKUP($B237,'[2]Sep-25'!$A:$A,'[2]Sep-25'!$H:$H,0)</f>
        <v>0</v>
      </c>
      <c r="AA237" s="17">
        <f>_xlfn.XLOOKUP($B237,'[2]Oct-25'!$A:$A,'[2]Oct-25'!$H:$H,0)</f>
        <v>0</v>
      </c>
      <c r="AB237" s="17">
        <f>_xlfn.XLOOKUP($B237,'[2]Nov-25'!$A:$A,'[2]Nov-25'!$H:$H,0)</f>
        <v>0</v>
      </c>
      <c r="AC237" s="17">
        <f>_xlfn.XLOOKUP($B237,'[2]Dec-25'!$A:$A,'[2]Dec-25'!$H:$H,0)</f>
        <v>0</v>
      </c>
      <c r="AD237" s="17">
        <f>_xlfn.XLOOKUP($B237,'[2]Jan-26'!$A:$A,'[2]Jan-26'!$H:$H,0)</f>
        <v>0</v>
      </c>
      <c r="AE237" s="17">
        <f>_xlfn.XLOOKUP($B237,'[2]Feb-26'!$A:$A,'[2]Feb-26'!$H:$H,0)</f>
        <v>0</v>
      </c>
      <c r="AF237" s="17">
        <f>_xlfn.XLOOKUP($B237,'[2]Mar-26'!$A:$A,'[2]Mar-26'!$H:$H,0)</f>
        <v>0</v>
      </c>
      <c r="AG237" s="17">
        <f>_xlfn.XLOOKUP($B237,'[2]Apr-26'!$A:$A,'[2]Apr-26'!$H:$H,0)</f>
        <v>0</v>
      </c>
    </row>
    <row r="238" spans="1:33" x14ac:dyDescent="0.2">
      <c r="A238" s="58">
        <v>61320</v>
      </c>
      <c r="B238" s="56" t="str">
        <f t="shared" si="5"/>
        <v>61320</v>
      </c>
      <c r="C238" s="57" t="s">
        <v>552</v>
      </c>
      <c r="D238" s="57" t="s">
        <v>387</v>
      </c>
      <c r="E238" s="44" t="s">
        <v>607</v>
      </c>
      <c r="F238" s="17">
        <f>_xlfn.XLOOKUP($B238,'[2]Jan-24'!$A:$A,'[2]Jan-24'!$H:$H,0)</f>
        <v>0</v>
      </c>
      <c r="G238" s="17">
        <f>_xlfn.XLOOKUP($B238,'[2]Feb-24'!$A:$A,'[2]Feb-24'!$H:$H,0)</f>
        <v>0</v>
      </c>
      <c r="H238" s="17">
        <f>_xlfn.XLOOKUP($B238,'[2]Mar-24'!$A:$A,'[2]Mar-24'!$H:$H,0)</f>
        <v>0</v>
      </c>
      <c r="I238" s="17">
        <f>_xlfn.XLOOKUP($B238,'[2]Apr-24'!$A:$A,'[2]Apr-24'!$H:$H,0)</f>
        <v>0</v>
      </c>
      <c r="J238" s="17">
        <f>_xlfn.XLOOKUP($B238,'[2]May-24'!$A:$A,'[2]May-24'!$H:$H,0)</f>
        <v>0</v>
      </c>
      <c r="K238" s="17">
        <f>_xlfn.XLOOKUP($B238,'[2]Jun-24'!$A:$A,'[2]Jun-24'!$H:$H,0)</f>
        <v>0</v>
      </c>
      <c r="L238" s="17">
        <f>_xlfn.XLOOKUP($B238,'[2]Jul-24'!$A:$A,'[2]Jul-24'!$H:$H,0)</f>
        <v>0</v>
      </c>
      <c r="M238" s="17">
        <f>_xlfn.XLOOKUP($B238,'[2]Aug-24'!$A:$A,'[2]Aug-24'!$H:$H,0)</f>
        <v>0</v>
      </c>
      <c r="N238" s="17">
        <f>_xlfn.XLOOKUP($B238,'[2]Sep-24'!$A:$A,'[2]Sep-24'!$H:$H,0)</f>
        <v>0</v>
      </c>
      <c r="O238" s="17">
        <f>_xlfn.XLOOKUP($B238,'[2]Oct-24'!$A:$A,'[2]Oct-24'!$H:$H,0)</f>
        <v>0</v>
      </c>
      <c r="P238" s="17">
        <f>_xlfn.XLOOKUP($B238,'[2]Nov-24'!$A:$A,'[2]Nov-24'!$H:$H,0)</f>
        <v>0</v>
      </c>
      <c r="Q238" s="17">
        <f>_xlfn.XLOOKUP($B238,'[2]Dec-24'!$A:$A,'[2]Dec-24'!$H:$H,0)</f>
        <v>0</v>
      </c>
      <c r="R238" s="17">
        <f>_xlfn.XLOOKUP($B238,'[2]Jan-25'!$A:$A,'[2]Jan-25'!$H:$H,0)</f>
        <v>0</v>
      </c>
      <c r="S238" s="17">
        <f>_xlfn.XLOOKUP($B238,'[2]Feb-25'!$A:$A,'[2]Feb-25'!$H:$H,0)</f>
        <v>0</v>
      </c>
      <c r="T238" s="17">
        <f>_xlfn.XLOOKUP($B238,'[2]Mar-25'!$A:$A,'[2]Mar-25'!$H:$H,0)</f>
        <v>0</v>
      </c>
      <c r="U238" s="17">
        <f>_xlfn.XLOOKUP($B238,'[2]Apr-25'!$A:$A,'[2]Apr-25'!$H:$H,0)</f>
        <v>0</v>
      </c>
      <c r="V238" s="17">
        <f>_xlfn.XLOOKUP($B238,'[2]May-25'!$A:$A,'[2]May-25'!$H:$H,0)</f>
        <v>0</v>
      </c>
      <c r="W238" s="17">
        <f>_xlfn.XLOOKUP($B238,'[2]Jun-25'!$A:$A,'[2]Jun-25'!$H:$H,0)</f>
        <v>0</v>
      </c>
      <c r="X238" s="17">
        <f>_xlfn.XLOOKUP($B238,'[2]Jul-25'!$A:$A,'[2]Jul-25'!$H:$H,0)</f>
        <v>0</v>
      </c>
      <c r="Y238" s="17">
        <f>_xlfn.XLOOKUP($B238,'[2]Aug-25'!$A:$A,'[2]Aug-25'!$H:$H,0)</f>
        <v>0</v>
      </c>
      <c r="Z238" s="17">
        <f>_xlfn.XLOOKUP($B238,'[2]Sep-25'!$A:$A,'[2]Sep-25'!$H:$H,0)</f>
        <v>0</v>
      </c>
      <c r="AA238" s="17">
        <f>_xlfn.XLOOKUP($B238,'[2]Oct-25'!$A:$A,'[2]Oct-25'!$H:$H,0)</f>
        <v>0</v>
      </c>
      <c r="AB238" s="17">
        <f>_xlfn.XLOOKUP($B238,'[2]Nov-25'!$A:$A,'[2]Nov-25'!$H:$H,0)</f>
        <v>0</v>
      </c>
      <c r="AC238" s="17">
        <f>_xlfn.XLOOKUP($B238,'[2]Dec-25'!$A:$A,'[2]Dec-25'!$H:$H,0)</f>
        <v>0</v>
      </c>
      <c r="AD238" s="17">
        <f>_xlfn.XLOOKUP($B238,'[2]Jan-26'!$A:$A,'[2]Jan-26'!$H:$H,0)</f>
        <v>0</v>
      </c>
      <c r="AE238" s="17">
        <f>_xlfn.XLOOKUP($B238,'[2]Feb-26'!$A:$A,'[2]Feb-26'!$H:$H,0)</f>
        <v>0</v>
      </c>
      <c r="AF238" s="17">
        <f>_xlfn.XLOOKUP($B238,'[2]Mar-26'!$A:$A,'[2]Mar-26'!$H:$H,0)</f>
        <v>0</v>
      </c>
      <c r="AG238" s="17">
        <f>_xlfn.XLOOKUP($B238,'[2]Apr-26'!$A:$A,'[2]Apr-26'!$H:$H,0)</f>
        <v>0</v>
      </c>
    </row>
    <row r="239" spans="1:33" x14ac:dyDescent="0.2">
      <c r="A239" s="58">
        <v>61400</v>
      </c>
      <c r="B239" s="56" t="str">
        <f t="shared" si="5"/>
        <v>61400</v>
      </c>
      <c r="C239" s="57" t="s">
        <v>629</v>
      </c>
      <c r="D239" s="57" t="s">
        <v>387</v>
      </c>
      <c r="E239" s="44" t="s">
        <v>610</v>
      </c>
      <c r="F239" s="17">
        <f>_xlfn.XLOOKUP($B239,'[2]Jan-24'!$A:$A,'[2]Jan-24'!$H:$H,0)</f>
        <v>0</v>
      </c>
      <c r="G239" s="17">
        <f>_xlfn.XLOOKUP($B239,'[2]Feb-24'!$A:$A,'[2]Feb-24'!$H:$H,0)</f>
        <v>0</v>
      </c>
      <c r="H239" s="17">
        <f>_xlfn.XLOOKUP($B239,'[2]Mar-24'!$A:$A,'[2]Mar-24'!$H:$H,0)</f>
        <v>0</v>
      </c>
      <c r="I239" s="17">
        <f>_xlfn.XLOOKUP($B239,'[2]Apr-24'!$A:$A,'[2]Apr-24'!$H:$H,0)</f>
        <v>0</v>
      </c>
      <c r="J239" s="17">
        <f>_xlfn.XLOOKUP($B239,'[2]May-24'!$A:$A,'[2]May-24'!$H:$H,0)</f>
        <v>0</v>
      </c>
      <c r="K239" s="17">
        <f>_xlfn.XLOOKUP($B239,'[2]Jun-24'!$A:$A,'[2]Jun-24'!$H:$H,0)</f>
        <v>0</v>
      </c>
      <c r="L239" s="17">
        <f>_xlfn.XLOOKUP($B239,'[2]Jul-24'!$A:$A,'[2]Jul-24'!$H:$H,0)</f>
        <v>0</v>
      </c>
      <c r="M239" s="17">
        <f>_xlfn.XLOOKUP($B239,'[2]Aug-24'!$A:$A,'[2]Aug-24'!$H:$H,0)</f>
        <v>0</v>
      </c>
      <c r="N239" s="17">
        <f>_xlfn.XLOOKUP($B239,'[2]Sep-24'!$A:$A,'[2]Sep-24'!$H:$H,0)</f>
        <v>0</v>
      </c>
      <c r="O239" s="17">
        <f>_xlfn.XLOOKUP($B239,'[2]Oct-24'!$A:$A,'[2]Oct-24'!$H:$H,0)</f>
        <v>0</v>
      </c>
      <c r="P239" s="17">
        <f>_xlfn.XLOOKUP($B239,'[2]Nov-24'!$A:$A,'[2]Nov-24'!$H:$H,0)</f>
        <v>0</v>
      </c>
      <c r="Q239" s="17">
        <f>_xlfn.XLOOKUP($B239,'[2]Dec-24'!$A:$A,'[2]Dec-24'!$H:$H,0)</f>
        <v>0</v>
      </c>
      <c r="R239" s="17">
        <f>_xlfn.XLOOKUP($B239,'[2]Jan-25'!$A:$A,'[2]Jan-25'!$H:$H,0)</f>
        <v>0</v>
      </c>
      <c r="S239" s="17">
        <f>_xlfn.XLOOKUP($B239,'[2]Feb-25'!$A:$A,'[2]Feb-25'!$H:$H,0)</f>
        <v>0</v>
      </c>
      <c r="T239" s="17">
        <f>_xlfn.XLOOKUP($B239,'[2]Mar-25'!$A:$A,'[2]Mar-25'!$H:$H,0)</f>
        <v>0</v>
      </c>
      <c r="U239" s="17">
        <f>_xlfn.XLOOKUP($B239,'[2]Apr-25'!$A:$A,'[2]Apr-25'!$H:$H,0)</f>
        <v>0</v>
      </c>
      <c r="V239" s="17">
        <f>_xlfn.XLOOKUP($B239,'[2]May-25'!$A:$A,'[2]May-25'!$H:$H,0)</f>
        <v>0</v>
      </c>
      <c r="W239" s="17">
        <f>_xlfn.XLOOKUP($B239,'[2]Jun-25'!$A:$A,'[2]Jun-25'!$H:$H,0)</f>
        <v>0</v>
      </c>
      <c r="X239" s="17">
        <f>_xlfn.XLOOKUP($B239,'[2]Jul-25'!$A:$A,'[2]Jul-25'!$H:$H,0)</f>
        <v>0</v>
      </c>
      <c r="Y239" s="17">
        <f>_xlfn.XLOOKUP($B239,'[2]Aug-25'!$A:$A,'[2]Aug-25'!$H:$H,0)</f>
        <v>0</v>
      </c>
      <c r="Z239" s="17">
        <f>_xlfn.XLOOKUP($B239,'[2]Sep-25'!$A:$A,'[2]Sep-25'!$H:$H,0)</f>
        <v>0</v>
      </c>
      <c r="AA239" s="17">
        <f>_xlfn.XLOOKUP($B239,'[2]Oct-25'!$A:$A,'[2]Oct-25'!$H:$H,0)</f>
        <v>0</v>
      </c>
      <c r="AB239" s="17">
        <f>_xlfn.XLOOKUP($B239,'[2]Nov-25'!$A:$A,'[2]Nov-25'!$H:$H,0)</f>
        <v>0</v>
      </c>
      <c r="AC239" s="17">
        <f>_xlfn.XLOOKUP($B239,'[2]Dec-25'!$A:$A,'[2]Dec-25'!$H:$H,0)</f>
        <v>0</v>
      </c>
      <c r="AD239" s="17">
        <f>_xlfn.XLOOKUP($B239,'[2]Jan-26'!$A:$A,'[2]Jan-26'!$H:$H,0)</f>
        <v>0</v>
      </c>
      <c r="AE239" s="17">
        <f>_xlfn.XLOOKUP($B239,'[2]Feb-26'!$A:$A,'[2]Feb-26'!$H:$H,0)</f>
        <v>0</v>
      </c>
      <c r="AF239" s="17">
        <f>_xlfn.XLOOKUP($B239,'[2]Mar-26'!$A:$A,'[2]Mar-26'!$H:$H,0)</f>
        <v>0</v>
      </c>
      <c r="AG239" s="17">
        <f>_xlfn.XLOOKUP($B239,'[2]Apr-26'!$A:$A,'[2]Apr-26'!$H:$H,0)</f>
        <v>0</v>
      </c>
    </row>
    <row r="240" spans="1:33" x14ac:dyDescent="0.2">
      <c r="A240" s="58">
        <v>61500</v>
      </c>
      <c r="B240" s="56" t="str">
        <f t="shared" si="5"/>
        <v>61500</v>
      </c>
      <c r="C240" s="57" t="s">
        <v>517</v>
      </c>
      <c r="D240" s="57" t="s">
        <v>387</v>
      </c>
      <c r="E240" s="44" t="s">
        <v>611</v>
      </c>
      <c r="F240" s="17">
        <f>_xlfn.XLOOKUP($B240,'[2]Jan-24'!$A:$A,'[2]Jan-24'!$H:$H,0)</f>
        <v>0</v>
      </c>
      <c r="G240" s="17">
        <f>_xlfn.XLOOKUP($B240,'[2]Feb-24'!$A:$A,'[2]Feb-24'!$H:$H,0)</f>
        <v>0</v>
      </c>
      <c r="H240" s="17">
        <f>_xlfn.XLOOKUP($B240,'[2]Mar-24'!$A:$A,'[2]Mar-24'!$H:$H,0)</f>
        <v>0</v>
      </c>
      <c r="I240" s="17">
        <f>_xlfn.XLOOKUP($B240,'[2]Apr-24'!$A:$A,'[2]Apr-24'!$H:$H,0)</f>
        <v>0</v>
      </c>
      <c r="J240" s="17">
        <f>_xlfn.XLOOKUP($B240,'[2]May-24'!$A:$A,'[2]May-24'!$H:$H,0)</f>
        <v>0</v>
      </c>
      <c r="K240" s="17">
        <f>_xlfn.XLOOKUP($B240,'[2]Jun-24'!$A:$A,'[2]Jun-24'!$H:$H,0)</f>
        <v>0</v>
      </c>
      <c r="L240" s="17">
        <f>_xlfn.XLOOKUP($B240,'[2]Jul-24'!$A:$A,'[2]Jul-24'!$H:$H,0)</f>
        <v>0</v>
      </c>
      <c r="M240" s="17">
        <f>_xlfn.XLOOKUP($B240,'[2]Aug-24'!$A:$A,'[2]Aug-24'!$H:$H,0)</f>
        <v>0</v>
      </c>
      <c r="N240" s="17">
        <f>_xlfn.XLOOKUP($B240,'[2]Sep-24'!$A:$A,'[2]Sep-24'!$H:$H,0)</f>
        <v>0</v>
      </c>
      <c r="O240" s="17">
        <f>_xlfn.XLOOKUP($B240,'[2]Oct-24'!$A:$A,'[2]Oct-24'!$H:$H,0)</f>
        <v>0</v>
      </c>
      <c r="P240" s="17">
        <f>_xlfn.XLOOKUP($B240,'[2]Nov-24'!$A:$A,'[2]Nov-24'!$H:$H,0)</f>
        <v>0</v>
      </c>
      <c r="Q240" s="17">
        <f>_xlfn.XLOOKUP($B240,'[2]Dec-24'!$A:$A,'[2]Dec-24'!$H:$H,0)</f>
        <v>0</v>
      </c>
      <c r="R240" s="17">
        <f>_xlfn.XLOOKUP($B240,'[2]Jan-25'!$A:$A,'[2]Jan-25'!$H:$H,0)</f>
        <v>0</v>
      </c>
      <c r="S240" s="17">
        <f>_xlfn.XLOOKUP($B240,'[2]Feb-25'!$A:$A,'[2]Feb-25'!$H:$H,0)</f>
        <v>0</v>
      </c>
      <c r="T240" s="17">
        <f>_xlfn.XLOOKUP($B240,'[2]Mar-25'!$A:$A,'[2]Mar-25'!$H:$H,0)</f>
        <v>0</v>
      </c>
      <c r="U240" s="17">
        <f>_xlfn.XLOOKUP($B240,'[2]Apr-25'!$A:$A,'[2]Apr-25'!$H:$H,0)</f>
        <v>0</v>
      </c>
      <c r="V240" s="17">
        <f>_xlfn.XLOOKUP($B240,'[2]May-25'!$A:$A,'[2]May-25'!$H:$H,0)</f>
        <v>0</v>
      </c>
      <c r="W240" s="17">
        <f>_xlfn.XLOOKUP($B240,'[2]Jun-25'!$A:$A,'[2]Jun-25'!$H:$H,0)</f>
        <v>0</v>
      </c>
      <c r="X240" s="17">
        <f>_xlfn.XLOOKUP($B240,'[2]Jul-25'!$A:$A,'[2]Jul-25'!$H:$H,0)</f>
        <v>0</v>
      </c>
      <c r="Y240" s="17">
        <f>_xlfn.XLOOKUP($B240,'[2]Aug-25'!$A:$A,'[2]Aug-25'!$H:$H,0)</f>
        <v>0</v>
      </c>
      <c r="Z240" s="17">
        <f>_xlfn.XLOOKUP($B240,'[2]Sep-25'!$A:$A,'[2]Sep-25'!$H:$H,0)</f>
        <v>0</v>
      </c>
      <c r="AA240" s="17">
        <f>_xlfn.XLOOKUP($B240,'[2]Oct-25'!$A:$A,'[2]Oct-25'!$H:$H,0)</f>
        <v>0</v>
      </c>
      <c r="AB240" s="17">
        <f>_xlfn.XLOOKUP($B240,'[2]Nov-25'!$A:$A,'[2]Nov-25'!$H:$H,0)</f>
        <v>0</v>
      </c>
      <c r="AC240" s="17">
        <f>_xlfn.XLOOKUP($B240,'[2]Dec-25'!$A:$A,'[2]Dec-25'!$H:$H,0)</f>
        <v>0</v>
      </c>
      <c r="AD240" s="17">
        <f>_xlfn.XLOOKUP($B240,'[2]Jan-26'!$A:$A,'[2]Jan-26'!$H:$H,0)</f>
        <v>0</v>
      </c>
      <c r="AE240" s="17">
        <f>_xlfn.XLOOKUP($B240,'[2]Feb-26'!$A:$A,'[2]Feb-26'!$H:$H,0)</f>
        <v>0</v>
      </c>
      <c r="AF240" s="17">
        <f>_xlfn.XLOOKUP($B240,'[2]Mar-26'!$A:$A,'[2]Mar-26'!$H:$H,0)</f>
        <v>0</v>
      </c>
      <c r="AG240" s="17">
        <f>_xlfn.XLOOKUP($B240,'[2]Apr-26'!$A:$A,'[2]Apr-26'!$H:$H,0)</f>
        <v>0</v>
      </c>
    </row>
    <row r="241" spans="1:33" x14ac:dyDescent="0.2">
      <c r="A241" s="58">
        <v>61600</v>
      </c>
      <c r="B241" s="56" t="str">
        <f t="shared" si="5"/>
        <v>61600</v>
      </c>
      <c r="C241" s="57" t="s">
        <v>552</v>
      </c>
      <c r="D241" s="57" t="s">
        <v>387</v>
      </c>
      <c r="E241" s="44" t="s">
        <v>877</v>
      </c>
      <c r="F241" s="17">
        <f>_xlfn.XLOOKUP($B241,'[2]Jan-24'!$A:$A,'[2]Jan-24'!$H:$H,0)</f>
        <v>1139.77</v>
      </c>
      <c r="G241" s="17">
        <f>_xlfn.XLOOKUP($B241,'[2]Feb-24'!$A:$A,'[2]Feb-24'!$H:$H,0)</f>
        <v>37.229999999999997</v>
      </c>
      <c r="H241" s="17">
        <f>_xlfn.XLOOKUP($B241,'[2]Mar-24'!$A:$A,'[2]Mar-24'!$H:$H,0)</f>
        <v>31.74</v>
      </c>
      <c r="I241" s="17">
        <f>_xlfn.XLOOKUP($B241,'[2]Apr-24'!$A:$A,'[2]Apr-24'!$H:$H,0)</f>
        <v>20</v>
      </c>
      <c r="J241" s="17">
        <f>_xlfn.XLOOKUP($B241,'[2]May-24'!$A:$A,'[2]May-24'!$H:$H,0)</f>
        <v>2001.2</v>
      </c>
      <c r="K241" s="17">
        <f>_xlfn.XLOOKUP($B241,'[2]Jun-24'!$A:$A,'[2]Jun-24'!$H:$H,0)</f>
        <v>20</v>
      </c>
      <c r="L241" s="17">
        <f>_xlfn.XLOOKUP($B241,'[2]Jul-24'!$A:$A,'[2]Jul-24'!$H:$H,0)</f>
        <v>2338.23</v>
      </c>
      <c r="M241" s="17">
        <f>_xlfn.XLOOKUP($B241,'[2]Aug-24'!$A:$A,'[2]Aug-24'!$H:$H,0)</f>
        <v>20</v>
      </c>
      <c r="N241" s="17">
        <f>_xlfn.XLOOKUP($B241,'[2]Sep-24'!$A:$A,'[2]Sep-24'!$H:$H,0)</f>
        <v>20</v>
      </c>
      <c r="O241" s="17">
        <f>_xlfn.XLOOKUP($B241,'[2]Oct-24'!$A:$A,'[2]Oct-24'!$H:$H,0)</f>
        <v>20</v>
      </c>
      <c r="P241" s="17">
        <f>_xlfn.XLOOKUP($B241,'[2]Nov-24'!$A:$A,'[2]Nov-24'!$H:$H,0)</f>
        <v>20</v>
      </c>
      <c r="Q241" s="17">
        <f>_xlfn.XLOOKUP($B241,'[2]Dec-24'!$A:$A,'[2]Dec-24'!$H:$H,0)</f>
        <v>1178.3499999999999</v>
      </c>
      <c r="R241" s="17">
        <f>_xlfn.XLOOKUP($B241,'[2]Jan-25'!$A:$A,'[2]Jan-25'!$H:$H,0)</f>
        <v>20</v>
      </c>
      <c r="S241" s="17">
        <f>_xlfn.XLOOKUP($B241,'[2]Feb-25'!$A:$A,'[2]Feb-25'!$H:$H,0)</f>
        <v>20</v>
      </c>
      <c r="T241" s="17">
        <f>_xlfn.XLOOKUP($B241,'[2]Mar-25'!$A:$A,'[2]Mar-25'!$H:$H,0)</f>
        <v>-220</v>
      </c>
      <c r="U241" s="17">
        <f>_xlfn.XLOOKUP($B241,'[2]Apr-25'!$A:$A,'[2]Apr-25'!$H:$H,0)</f>
        <v>20</v>
      </c>
      <c r="V241" s="17">
        <f>_xlfn.XLOOKUP($B241,'[2]May-25'!$A:$A,'[2]May-25'!$H:$H,0)</f>
        <v>20</v>
      </c>
      <c r="W241" s="17">
        <f>_xlfn.XLOOKUP($B241,'[2]Jun-25'!$A:$A,'[2]Jun-25'!$H:$H,0)</f>
        <v>20</v>
      </c>
      <c r="X241" s="17">
        <f>_xlfn.XLOOKUP($B241,'[2]Jul-25'!$A:$A,'[2]Jul-25'!$H:$H,0)</f>
        <v>20</v>
      </c>
      <c r="Y241" s="17">
        <f>_xlfn.XLOOKUP($B241,'[2]Aug-25'!$A:$A,'[2]Aug-25'!$H:$H,0)</f>
        <v>20</v>
      </c>
      <c r="Z241" s="17">
        <f>_xlfn.XLOOKUP($B241,'[2]Sep-25'!$A:$A,'[2]Sep-25'!$H:$H,0)</f>
        <v>20</v>
      </c>
      <c r="AA241" s="17">
        <f>_xlfn.XLOOKUP($B241,'[2]Oct-25'!$A:$A,'[2]Oct-25'!$H:$H,0)</f>
        <v>20</v>
      </c>
      <c r="AB241" s="17">
        <f>_xlfn.XLOOKUP($B241,'[2]Nov-25'!$A:$A,'[2]Nov-25'!$H:$H,0)</f>
        <v>42.47</v>
      </c>
      <c r="AC241" s="17">
        <f>_xlfn.XLOOKUP($B241,'[2]Dec-25'!$A:$A,'[2]Dec-25'!$H:$H,0)</f>
        <v>1240.67</v>
      </c>
      <c r="AD241" s="17">
        <f>_xlfn.XLOOKUP($B241,'[2]Jan-26'!$A:$A,'[2]Jan-26'!$H:$H,0)</f>
        <v>41.75</v>
      </c>
      <c r="AE241" s="17">
        <f>_xlfn.XLOOKUP($B241,'[2]Feb-26'!$A:$A,'[2]Feb-26'!$H:$H,0)</f>
        <v>93.62</v>
      </c>
      <c r="AF241" s="17">
        <f>_xlfn.XLOOKUP($B241,'[2]Mar-26'!$A:$A,'[2]Mar-26'!$H:$H,0)</f>
        <v>136.28</v>
      </c>
      <c r="AG241" s="17">
        <f>_xlfn.XLOOKUP($B241,'[2]Apr-26'!$A:$A,'[2]Apr-26'!$H:$H,0)</f>
        <v>979.91</v>
      </c>
    </row>
    <row r="242" spans="1:33" x14ac:dyDescent="0.2">
      <c r="A242" s="58">
        <v>61700</v>
      </c>
      <c r="B242" s="56" t="str">
        <f t="shared" si="5"/>
        <v>61700</v>
      </c>
      <c r="C242" s="57" t="s">
        <v>613</v>
      </c>
      <c r="D242" s="57" t="s">
        <v>387</v>
      </c>
      <c r="E242" s="44" t="s">
        <v>614</v>
      </c>
      <c r="F242" s="17">
        <f>_xlfn.XLOOKUP($B242,'[2]Jan-24'!$A:$A,'[2]Jan-24'!$H:$H,0)</f>
        <v>192.84</v>
      </c>
      <c r="G242" s="17">
        <f>_xlfn.XLOOKUP($B242,'[2]Feb-24'!$A:$A,'[2]Feb-24'!$H:$H,0)</f>
        <v>192.84</v>
      </c>
      <c r="H242" s="17">
        <f>_xlfn.XLOOKUP($B242,'[2]Mar-24'!$A:$A,'[2]Mar-24'!$H:$H,0)</f>
        <v>342.84</v>
      </c>
      <c r="I242" s="17">
        <f>_xlfn.XLOOKUP($B242,'[2]Apr-24'!$A:$A,'[2]Apr-24'!$H:$H,0)</f>
        <v>192.84</v>
      </c>
      <c r="J242" s="17">
        <f>_xlfn.XLOOKUP($B242,'[2]May-24'!$A:$A,'[2]May-24'!$H:$H,0)</f>
        <v>192.84</v>
      </c>
      <c r="K242" s="17">
        <f>_xlfn.XLOOKUP($B242,'[2]Jun-24'!$A:$A,'[2]Jun-24'!$H:$H,0)</f>
        <v>192.84</v>
      </c>
      <c r="L242" s="17">
        <f>_xlfn.XLOOKUP($B242,'[2]Jul-24'!$A:$A,'[2]Jul-24'!$H:$H,0)</f>
        <v>193.93</v>
      </c>
      <c r="M242" s="17">
        <f>_xlfn.XLOOKUP($B242,'[2]Aug-24'!$A:$A,'[2]Aug-24'!$H:$H,0)</f>
        <v>193.88</v>
      </c>
      <c r="N242" s="17">
        <f>_xlfn.XLOOKUP($B242,'[2]Sep-24'!$A:$A,'[2]Sep-24'!$H:$H,0)</f>
        <v>193.88</v>
      </c>
      <c r="O242" s="17">
        <f>_xlfn.XLOOKUP($B242,'[2]Oct-24'!$A:$A,'[2]Oct-24'!$H:$H,0)</f>
        <v>193.88</v>
      </c>
      <c r="P242" s="17">
        <f>_xlfn.XLOOKUP($B242,'[2]Nov-24'!$A:$A,'[2]Nov-24'!$H:$H,0)</f>
        <v>193.88</v>
      </c>
      <c r="Q242" s="17">
        <f>_xlfn.XLOOKUP($B242,'[2]Dec-24'!$A:$A,'[2]Dec-24'!$H:$H,0)</f>
        <v>193.88</v>
      </c>
      <c r="R242" s="17">
        <f>_xlfn.XLOOKUP($B242,'[2]Jan-25'!$A:$A,'[2]Jan-25'!$H:$H,0)</f>
        <v>193.88</v>
      </c>
      <c r="S242" s="17">
        <f>_xlfn.XLOOKUP($B242,'[2]Feb-25'!$A:$A,'[2]Feb-25'!$H:$H,0)</f>
        <v>193.88000000000466</v>
      </c>
      <c r="T242" s="17">
        <f>_xlfn.XLOOKUP($B242,'[2]Mar-25'!$A:$A,'[2]Mar-25'!$H:$H,0)</f>
        <v>343.88</v>
      </c>
      <c r="U242" s="17">
        <f>_xlfn.XLOOKUP($B242,'[2]Apr-25'!$A:$A,'[2]Apr-25'!$H:$H,0)</f>
        <v>193.88</v>
      </c>
      <c r="V242" s="17">
        <f>_xlfn.XLOOKUP($B242,'[2]May-25'!$A:$A,'[2]May-25'!$H:$H,0)</f>
        <v>193.88</v>
      </c>
      <c r="W242" s="17">
        <f>_xlfn.XLOOKUP($B242,'[2]Jun-25'!$A:$A,'[2]Jun-25'!$H:$H,0)</f>
        <v>193.88</v>
      </c>
      <c r="X242" s="17">
        <f>_xlfn.XLOOKUP($B242,'[2]Jul-25'!$A:$A,'[2]Jul-25'!$H:$H,0)</f>
        <v>189.1</v>
      </c>
      <c r="Y242" s="17">
        <f>_xlfn.XLOOKUP($B242,'[2]Aug-25'!$A:$A,'[2]Aug-25'!$H:$H,0)</f>
        <v>189.06</v>
      </c>
      <c r="Z242" s="17">
        <f>_xlfn.XLOOKUP($B242,'[2]Sep-25'!$A:$A,'[2]Sep-25'!$H:$H,0)</f>
        <v>189.06</v>
      </c>
      <c r="AA242" s="17">
        <f>_xlfn.XLOOKUP($B242,'[2]Oct-25'!$A:$A,'[2]Oct-25'!$H:$H,0)</f>
        <v>189.06</v>
      </c>
      <c r="AB242" s="17">
        <f>_xlfn.XLOOKUP($B242,'[2]Nov-25'!$A:$A,'[2]Nov-25'!$H:$H,0)</f>
        <v>189.06</v>
      </c>
      <c r="AC242" s="17">
        <f>_xlfn.XLOOKUP($B242,'[2]Dec-25'!$A:$A,'[2]Dec-25'!$H:$H,0)</f>
        <v>189.06</v>
      </c>
      <c r="AD242" s="17">
        <f>_xlfn.XLOOKUP($B242,'[2]Jan-26'!$A:$A,'[2]Jan-26'!$H:$H,0)</f>
        <v>189.06</v>
      </c>
      <c r="AE242" s="17">
        <f>_xlfn.XLOOKUP($B242,'[2]Feb-26'!$A:$A,'[2]Feb-26'!$H:$H,0)</f>
        <v>189.06</v>
      </c>
      <c r="AF242" s="17">
        <f>_xlfn.XLOOKUP($B242,'[2]Mar-26'!$A:$A,'[2]Mar-26'!$H:$H,0)</f>
        <v>189.06</v>
      </c>
      <c r="AG242" s="17">
        <f>_xlfn.XLOOKUP($B242,'[2]Apr-26'!$A:$A,'[2]Apr-26'!$H:$H,0)</f>
        <v>189.06</v>
      </c>
    </row>
    <row r="243" spans="1:33" x14ac:dyDescent="0.2">
      <c r="A243" s="58">
        <v>62100</v>
      </c>
      <c r="B243" s="56" t="str">
        <f t="shared" si="5"/>
        <v>62100</v>
      </c>
      <c r="C243" s="57" t="s">
        <v>389</v>
      </c>
      <c r="D243" s="57" t="s">
        <v>387</v>
      </c>
      <c r="E243" s="44" t="s">
        <v>617</v>
      </c>
      <c r="F243" s="17">
        <f>_xlfn.XLOOKUP($B243,'[2]Jan-24'!$A:$A,'[2]Jan-24'!$H:$H,0)</f>
        <v>0</v>
      </c>
      <c r="G243" s="17">
        <f>_xlfn.XLOOKUP($B243,'[2]Feb-24'!$A:$A,'[2]Feb-24'!$H:$H,0)</f>
        <v>0</v>
      </c>
      <c r="H243" s="17">
        <f>_xlfn.XLOOKUP($B243,'[2]Mar-24'!$A:$A,'[2]Mar-24'!$H:$H,0)</f>
        <v>0</v>
      </c>
      <c r="I243" s="17">
        <f>_xlfn.XLOOKUP($B243,'[2]Apr-24'!$A:$A,'[2]Apr-24'!$H:$H,0)</f>
        <v>0</v>
      </c>
      <c r="J243" s="17">
        <f>_xlfn.XLOOKUP($B243,'[2]May-24'!$A:$A,'[2]May-24'!$H:$H,0)</f>
        <v>0</v>
      </c>
      <c r="K243" s="17">
        <f>_xlfn.XLOOKUP($B243,'[2]Jun-24'!$A:$A,'[2]Jun-24'!$H:$H,0)</f>
        <v>0</v>
      </c>
      <c r="L243" s="17">
        <f>_xlfn.XLOOKUP($B243,'[2]Jul-24'!$A:$A,'[2]Jul-24'!$H:$H,0)</f>
        <v>0</v>
      </c>
      <c r="M243" s="17">
        <f>_xlfn.XLOOKUP($B243,'[2]Aug-24'!$A:$A,'[2]Aug-24'!$H:$H,0)</f>
        <v>0</v>
      </c>
      <c r="N243" s="17">
        <f>_xlfn.XLOOKUP($B243,'[2]Sep-24'!$A:$A,'[2]Sep-24'!$H:$H,0)</f>
        <v>0</v>
      </c>
      <c r="O243" s="17">
        <f>_xlfn.XLOOKUP($B243,'[2]Oct-24'!$A:$A,'[2]Oct-24'!$H:$H,0)</f>
        <v>0</v>
      </c>
      <c r="P243" s="17">
        <f>_xlfn.XLOOKUP($B243,'[2]Nov-24'!$A:$A,'[2]Nov-24'!$H:$H,0)</f>
        <v>0</v>
      </c>
      <c r="Q243" s="17">
        <f>_xlfn.XLOOKUP($B243,'[2]Dec-24'!$A:$A,'[2]Dec-24'!$H:$H,0)</f>
        <v>0</v>
      </c>
      <c r="R243" s="17">
        <f>_xlfn.XLOOKUP($B243,'[2]Jan-25'!$A:$A,'[2]Jan-25'!$H:$H,0)</f>
        <v>0</v>
      </c>
      <c r="S243" s="17">
        <f>_xlfn.XLOOKUP($B243,'[2]Feb-25'!$A:$A,'[2]Feb-25'!$H:$H,0)</f>
        <v>0</v>
      </c>
      <c r="T243" s="17">
        <f>_xlfn.XLOOKUP($B243,'[2]Mar-25'!$A:$A,'[2]Mar-25'!$H:$H,0)</f>
        <v>0</v>
      </c>
      <c r="U243" s="17">
        <f>_xlfn.XLOOKUP($B243,'[2]Apr-25'!$A:$A,'[2]Apr-25'!$H:$H,0)</f>
        <v>0</v>
      </c>
      <c r="V243" s="17">
        <f>_xlfn.XLOOKUP($B243,'[2]May-25'!$A:$A,'[2]May-25'!$H:$H,0)</f>
        <v>0</v>
      </c>
      <c r="W243" s="17">
        <f>_xlfn.XLOOKUP($B243,'[2]Jun-25'!$A:$A,'[2]Jun-25'!$H:$H,0)</f>
        <v>0</v>
      </c>
      <c r="X243" s="17">
        <f>_xlfn.XLOOKUP($B243,'[2]Jul-25'!$A:$A,'[2]Jul-25'!$H:$H,0)</f>
        <v>0</v>
      </c>
      <c r="Y243" s="17">
        <f>_xlfn.XLOOKUP($B243,'[2]Aug-25'!$A:$A,'[2]Aug-25'!$H:$H,0)</f>
        <v>0</v>
      </c>
      <c r="Z243" s="17">
        <f>_xlfn.XLOOKUP($B243,'[2]Sep-25'!$A:$A,'[2]Sep-25'!$H:$H,0)</f>
        <v>0</v>
      </c>
      <c r="AA243" s="17">
        <f>_xlfn.XLOOKUP($B243,'[2]Oct-25'!$A:$A,'[2]Oct-25'!$H:$H,0)</f>
        <v>0</v>
      </c>
      <c r="AB243" s="17">
        <f>_xlfn.XLOOKUP($B243,'[2]Nov-25'!$A:$A,'[2]Nov-25'!$H:$H,0)</f>
        <v>0</v>
      </c>
      <c r="AC243" s="17">
        <f>_xlfn.XLOOKUP($B243,'[2]Dec-25'!$A:$A,'[2]Dec-25'!$H:$H,0)</f>
        <v>0</v>
      </c>
      <c r="AD243" s="17">
        <f>_xlfn.XLOOKUP($B243,'[2]Jan-26'!$A:$A,'[2]Jan-26'!$H:$H,0)</f>
        <v>0</v>
      </c>
      <c r="AE243" s="17">
        <f>_xlfn.XLOOKUP($B243,'[2]Feb-26'!$A:$A,'[2]Feb-26'!$H:$H,0)</f>
        <v>0</v>
      </c>
      <c r="AF243" s="17">
        <f>_xlfn.XLOOKUP($B243,'[2]Mar-26'!$A:$A,'[2]Mar-26'!$H:$H,0)</f>
        <v>0</v>
      </c>
      <c r="AG243" s="17">
        <f>_xlfn.XLOOKUP($B243,'[2]Apr-26'!$A:$A,'[2]Apr-26'!$H:$H,0)</f>
        <v>0</v>
      </c>
    </row>
    <row r="244" spans="1:33" x14ac:dyDescent="0.2">
      <c r="A244" s="58">
        <v>62101</v>
      </c>
      <c r="B244" s="56" t="str">
        <f t="shared" si="5"/>
        <v>62101</v>
      </c>
      <c r="C244" s="57" t="s">
        <v>574</v>
      </c>
      <c r="D244" s="57" t="s">
        <v>387</v>
      </c>
      <c r="E244" s="44" t="s">
        <v>618</v>
      </c>
      <c r="F244" s="17">
        <f>_xlfn.XLOOKUP($B244,'[2]Jan-24'!$A:$A,'[2]Jan-24'!$H:$H,0)</f>
        <v>0</v>
      </c>
      <c r="G244" s="17">
        <f>_xlfn.XLOOKUP($B244,'[2]Feb-24'!$A:$A,'[2]Feb-24'!$H:$H,0)</f>
        <v>0</v>
      </c>
      <c r="H244" s="17">
        <f>_xlfn.XLOOKUP($B244,'[2]Mar-24'!$A:$A,'[2]Mar-24'!$H:$H,0)</f>
        <v>0</v>
      </c>
      <c r="I244" s="17">
        <f>_xlfn.XLOOKUP($B244,'[2]Apr-24'!$A:$A,'[2]Apr-24'!$H:$H,0)</f>
        <v>0</v>
      </c>
      <c r="J244" s="17">
        <f>_xlfn.XLOOKUP($B244,'[2]May-24'!$A:$A,'[2]May-24'!$H:$H,0)</f>
        <v>0</v>
      </c>
      <c r="K244" s="17">
        <f>_xlfn.XLOOKUP($B244,'[2]Jun-24'!$A:$A,'[2]Jun-24'!$H:$H,0)</f>
        <v>0</v>
      </c>
      <c r="L244" s="17">
        <f>_xlfn.XLOOKUP($B244,'[2]Jul-24'!$A:$A,'[2]Jul-24'!$H:$H,0)</f>
        <v>0</v>
      </c>
      <c r="M244" s="17">
        <f>_xlfn.XLOOKUP($B244,'[2]Aug-24'!$A:$A,'[2]Aug-24'!$H:$H,0)</f>
        <v>0</v>
      </c>
      <c r="N244" s="17">
        <f>_xlfn.XLOOKUP($B244,'[2]Sep-24'!$A:$A,'[2]Sep-24'!$H:$H,0)</f>
        <v>0</v>
      </c>
      <c r="O244" s="17">
        <f>_xlfn.XLOOKUP($B244,'[2]Oct-24'!$A:$A,'[2]Oct-24'!$H:$H,0)</f>
        <v>0</v>
      </c>
      <c r="P244" s="17">
        <f>_xlfn.XLOOKUP($B244,'[2]Nov-24'!$A:$A,'[2]Nov-24'!$H:$H,0)</f>
        <v>0</v>
      </c>
      <c r="Q244" s="17">
        <f>_xlfn.XLOOKUP($B244,'[2]Dec-24'!$A:$A,'[2]Dec-24'!$H:$H,0)</f>
        <v>0</v>
      </c>
      <c r="R244" s="17">
        <f>_xlfn.XLOOKUP($B244,'[2]Jan-25'!$A:$A,'[2]Jan-25'!$H:$H,0)</f>
        <v>0</v>
      </c>
      <c r="S244" s="17">
        <f>_xlfn.XLOOKUP($B244,'[2]Feb-25'!$A:$A,'[2]Feb-25'!$H:$H,0)</f>
        <v>0</v>
      </c>
      <c r="T244" s="17">
        <f>_xlfn.XLOOKUP($B244,'[2]Mar-25'!$A:$A,'[2]Mar-25'!$H:$H,0)</f>
        <v>0</v>
      </c>
      <c r="U244" s="17">
        <f>_xlfn.XLOOKUP($B244,'[2]Apr-25'!$A:$A,'[2]Apr-25'!$H:$H,0)</f>
        <v>0</v>
      </c>
      <c r="V244" s="17">
        <f>_xlfn.XLOOKUP($B244,'[2]May-25'!$A:$A,'[2]May-25'!$H:$H,0)</f>
        <v>0</v>
      </c>
      <c r="W244" s="17">
        <f>_xlfn.XLOOKUP($B244,'[2]Jun-25'!$A:$A,'[2]Jun-25'!$H:$H,0)</f>
        <v>0</v>
      </c>
      <c r="X244" s="17">
        <f>_xlfn.XLOOKUP($B244,'[2]Jul-25'!$A:$A,'[2]Jul-25'!$H:$H,0)</f>
        <v>258.68</v>
      </c>
      <c r="Y244" s="17">
        <f>_xlfn.XLOOKUP($B244,'[2]Aug-25'!$A:$A,'[2]Aug-25'!$H:$H,0)</f>
        <v>1471.6</v>
      </c>
      <c r="Z244" s="17">
        <f>_xlfn.XLOOKUP($B244,'[2]Sep-25'!$A:$A,'[2]Sep-25'!$H:$H,0)</f>
        <v>845.04</v>
      </c>
      <c r="AA244" s="17">
        <f>_xlfn.XLOOKUP($B244,'[2]Oct-25'!$A:$A,'[2]Oct-25'!$H:$H,0)</f>
        <v>-2575.3200000000006</v>
      </c>
      <c r="AB244" s="17">
        <f>_xlfn.XLOOKUP($B244,'[2]Nov-25'!$A:$A,'[2]Nov-25'!$H:$H,0)</f>
        <v>0</v>
      </c>
      <c r="AC244" s="17">
        <f>_xlfn.XLOOKUP($B244,'[2]Dec-25'!$A:$A,'[2]Dec-25'!$H:$H,0)</f>
        <v>0</v>
      </c>
      <c r="AD244" s="17">
        <f>_xlfn.XLOOKUP($B244,'[2]Jan-26'!$A:$A,'[2]Jan-26'!$H:$H,0)</f>
        <v>0</v>
      </c>
      <c r="AE244" s="17">
        <f>_xlfn.XLOOKUP($B244,'[2]Feb-26'!$A:$A,'[2]Feb-26'!$H:$H,0)</f>
        <v>0</v>
      </c>
      <c r="AF244" s="17">
        <f>_xlfn.XLOOKUP($B244,'[2]Mar-26'!$A:$A,'[2]Mar-26'!$H:$H,0)</f>
        <v>0</v>
      </c>
      <c r="AG244" s="17">
        <f>_xlfn.XLOOKUP($B244,'[2]Apr-26'!$A:$A,'[2]Apr-26'!$H:$H,0)</f>
        <v>0</v>
      </c>
    </row>
    <row r="245" spans="1:33" x14ac:dyDescent="0.2">
      <c r="A245" s="58">
        <v>62200</v>
      </c>
      <c r="B245" s="56" t="str">
        <f t="shared" si="5"/>
        <v>62200</v>
      </c>
      <c r="C245" s="57" t="s">
        <v>552</v>
      </c>
      <c r="D245" s="57" t="s">
        <v>387</v>
      </c>
      <c r="E245" s="44" t="s">
        <v>619</v>
      </c>
      <c r="F245" s="17">
        <f>_xlfn.XLOOKUP($B245,'[2]Jan-24'!$A:$A,'[2]Jan-24'!$H:$H,0)</f>
        <v>0</v>
      </c>
      <c r="G245" s="17">
        <f>_xlfn.XLOOKUP($B245,'[2]Feb-24'!$A:$A,'[2]Feb-24'!$H:$H,0)</f>
        <v>13.2</v>
      </c>
      <c r="H245" s="17">
        <f>_xlfn.XLOOKUP($B245,'[2]Mar-24'!$A:$A,'[2]Mar-24'!$H:$H,0)</f>
        <v>-426.49</v>
      </c>
      <c r="I245" s="17">
        <f>_xlfn.XLOOKUP($B245,'[2]Apr-24'!$A:$A,'[2]Apr-24'!$H:$H,0)</f>
        <v>0</v>
      </c>
      <c r="J245" s="17">
        <f>_xlfn.XLOOKUP($B245,'[2]May-24'!$A:$A,'[2]May-24'!$H:$H,0)</f>
        <v>0</v>
      </c>
      <c r="K245" s="17">
        <f>_xlfn.XLOOKUP($B245,'[2]Jun-24'!$A:$A,'[2]Jun-24'!$H:$H,0)</f>
        <v>2.4900000000000002</v>
      </c>
      <c r="L245" s="17">
        <f>_xlfn.XLOOKUP($B245,'[2]Jul-24'!$A:$A,'[2]Jul-24'!$H:$H,0)</f>
        <v>0</v>
      </c>
      <c r="M245" s="17">
        <f>_xlfn.XLOOKUP($B245,'[2]Aug-24'!$A:$A,'[2]Aug-24'!$H:$H,0)</f>
        <v>0</v>
      </c>
      <c r="N245" s="17">
        <f>_xlfn.XLOOKUP($B245,'[2]Sep-24'!$A:$A,'[2]Sep-24'!$H:$H,0)</f>
        <v>0</v>
      </c>
      <c r="O245" s="17">
        <f>_xlfn.XLOOKUP($B245,'[2]Oct-24'!$A:$A,'[2]Oct-24'!$H:$H,0)</f>
        <v>0</v>
      </c>
      <c r="P245" s="17">
        <f>_xlfn.XLOOKUP($B245,'[2]Nov-24'!$A:$A,'[2]Nov-24'!$H:$H,0)</f>
        <v>24.34</v>
      </c>
      <c r="Q245" s="17">
        <f>_xlfn.XLOOKUP($B245,'[2]Dec-24'!$A:$A,'[2]Dec-24'!$H:$H,0)</f>
        <v>0</v>
      </c>
      <c r="R245" s="17">
        <f>_xlfn.XLOOKUP($B245,'[2]Jan-25'!$A:$A,'[2]Jan-25'!$H:$H,0)</f>
        <v>0</v>
      </c>
      <c r="S245" s="17">
        <f>_xlfn.XLOOKUP($B245,'[2]Feb-25'!$A:$A,'[2]Feb-25'!$H:$H,0)</f>
        <v>0</v>
      </c>
      <c r="T245" s="17">
        <f>_xlfn.XLOOKUP($B245,'[2]Mar-25'!$A:$A,'[2]Mar-25'!$H:$H,0)</f>
        <v>0</v>
      </c>
      <c r="U245" s="17">
        <f>_xlfn.XLOOKUP($B245,'[2]Apr-25'!$A:$A,'[2]Apr-25'!$H:$H,0)</f>
        <v>0</v>
      </c>
      <c r="V245" s="17">
        <f>_xlfn.XLOOKUP($B245,'[2]May-25'!$A:$A,'[2]May-25'!$H:$H,0)</f>
        <v>0</v>
      </c>
      <c r="W245" s="17">
        <f>_xlfn.XLOOKUP($B245,'[2]Jun-25'!$A:$A,'[2]Jun-25'!$H:$H,0)</f>
        <v>0</v>
      </c>
      <c r="X245" s="17">
        <f>_xlfn.XLOOKUP($B245,'[2]Jul-25'!$A:$A,'[2]Jul-25'!$H:$H,0)</f>
        <v>0</v>
      </c>
      <c r="Y245" s="17">
        <f>_xlfn.XLOOKUP($B245,'[2]Aug-25'!$A:$A,'[2]Aug-25'!$H:$H,0)</f>
        <v>0</v>
      </c>
      <c r="Z245" s="17">
        <f>_xlfn.XLOOKUP($B245,'[2]Sep-25'!$A:$A,'[2]Sep-25'!$H:$H,0)</f>
        <v>2</v>
      </c>
      <c r="AA245" s="17">
        <f>_xlfn.XLOOKUP($B245,'[2]Oct-25'!$A:$A,'[2]Oct-25'!$H:$H,0)</f>
        <v>0</v>
      </c>
      <c r="AB245" s="17">
        <f>_xlfn.XLOOKUP($B245,'[2]Nov-25'!$A:$A,'[2]Nov-25'!$H:$H,0)</f>
        <v>4.8</v>
      </c>
      <c r="AC245" s="17">
        <f>_xlfn.XLOOKUP($B245,'[2]Dec-25'!$A:$A,'[2]Dec-25'!$H:$H,0)</f>
        <v>0</v>
      </c>
      <c r="AD245" s="17">
        <f>_xlfn.XLOOKUP($B245,'[2]Jan-26'!$A:$A,'[2]Jan-26'!$H:$H,0)</f>
        <v>0</v>
      </c>
      <c r="AE245" s="17">
        <f>_xlfn.XLOOKUP($B245,'[2]Feb-26'!$A:$A,'[2]Feb-26'!$H:$H,0)</f>
        <v>0</v>
      </c>
      <c r="AF245" s="17">
        <f>_xlfn.XLOOKUP($B245,'[2]Mar-26'!$A:$A,'[2]Mar-26'!$H:$H,0)</f>
        <v>0</v>
      </c>
      <c r="AG245" s="17">
        <f>_xlfn.XLOOKUP($B245,'[2]Apr-26'!$A:$A,'[2]Apr-26'!$H:$H,0)</f>
        <v>0</v>
      </c>
    </row>
    <row r="246" spans="1:33" x14ac:dyDescent="0.2">
      <c r="A246" s="58">
        <v>62400</v>
      </c>
      <c r="B246" s="56" t="str">
        <f t="shared" si="5"/>
        <v>62400</v>
      </c>
      <c r="C246" s="57" t="s">
        <v>552</v>
      </c>
      <c r="D246" s="57" t="s">
        <v>387</v>
      </c>
      <c r="E246" s="44" t="s">
        <v>620</v>
      </c>
      <c r="F246" s="17">
        <f>_xlfn.XLOOKUP($B246,'[2]Jan-24'!$A:$A,'[2]Jan-24'!$H:$H,0)</f>
        <v>0</v>
      </c>
      <c r="G246" s="17">
        <f>_xlfn.XLOOKUP($B246,'[2]Feb-24'!$A:$A,'[2]Feb-24'!$H:$H,0)</f>
        <v>0</v>
      </c>
      <c r="H246" s="17">
        <f>_xlfn.XLOOKUP($B246,'[2]Mar-24'!$A:$A,'[2]Mar-24'!$H:$H,0)</f>
        <v>13</v>
      </c>
      <c r="I246" s="17">
        <f>_xlfn.XLOOKUP($B246,'[2]Apr-24'!$A:$A,'[2]Apr-24'!$H:$H,0)</f>
        <v>0</v>
      </c>
      <c r="J246" s="17">
        <f>_xlfn.XLOOKUP($B246,'[2]May-24'!$A:$A,'[2]May-24'!$H:$H,0)</f>
        <v>0</v>
      </c>
      <c r="K246" s="17">
        <f>_xlfn.XLOOKUP($B246,'[2]Jun-24'!$A:$A,'[2]Jun-24'!$H:$H,0)</f>
        <v>0</v>
      </c>
      <c r="L246" s="17">
        <f>_xlfn.XLOOKUP($B246,'[2]Jul-24'!$A:$A,'[2]Jul-24'!$H:$H,0)</f>
        <v>0</v>
      </c>
      <c r="M246" s="17">
        <f>_xlfn.XLOOKUP($B246,'[2]Aug-24'!$A:$A,'[2]Aug-24'!$H:$H,0)</f>
        <v>0</v>
      </c>
      <c r="N246" s="17">
        <f>_xlfn.XLOOKUP($B246,'[2]Sep-24'!$A:$A,'[2]Sep-24'!$H:$H,0)</f>
        <v>0</v>
      </c>
      <c r="O246" s="17">
        <f>_xlfn.XLOOKUP($B246,'[2]Oct-24'!$A:$A,'[2]Oct-24'!$H:$H,0)</f>
        <v>0</v>
      </c>
      <c r="P246" s="17">
        <f>_xlfn.XLOOKUP($B246,'[2]Nov-24'!$A:$A,'[2]Nov-24'!$H:$H,0)</f>
        <v>0</v>
      </c>
      <c r="Q246" s="17">
        <f>_xlfn.XLOOKUP($B246,'[2]Dec-24'!$A:$A,'[2]Dec-24'!$H:$H,0)</f>
        <v>0</v>
      </c>
      <c r="R246" s="17">
        <f>_xlfn.XLOOKUP($B246,'[2]Jan-25'!$A:$A,'[2]Jan-25'!$H:$H,0)</f>
        <v>0</v>
      </c>
      <c r="S246" s="17">
        <f>_xlfn.XLOOKUP($B246,'[2]Feb-25'!$A:$A,'[2]Feb-25'!$H:$H,0)</f>
        <v>0</v>
      </c>
      <c r="T246" s="17">
        <f>_xlfn.XLOOKUP($B246,'[2]Mar-25'!$A:$A,'[2]Mar-25'!$H:$H,0)</f>
        <v>0</v>
      </c>
      <c r="U246" s="17">
        <f>_xlfn.XLOOKUP($B246,'[2]Apr-25'!$A:$A,'[2]Apr-25'!$H:$H,0)</f>
        <v>0</v>
      </c>
      <c r="V246" s="17">
        <f>_xlfn.XLOOKUP($B246,'[2]May-25'!$A:$A,'[2]May-25'!$H:$H,0)</f>
        <v>0</v>
      </c>
      <c r="W246" s="17">
        <f>_xlfn.XLOOKUP($B246,'[2]Jun-25'!$A:$A,'[2]Jun-25'!$H:$H,0)</f>
        <v>36</v>
      </c>
      <c r="X246" s="17">
        <f>_xlfn.XLOOKUP($B246,'[2]Jul-25'!$A:$A,'[2]Jul-25'!$H:$H,0)</f>
        <v>0</v>
      </c>
      <c r="Y246" s="17">
        <f>_xlfn.XLOOKUP($B246,'[2]Aug-25'!$A:$A,'[2]Aug-25'!$H:$H,0)</f>
        <v>0</v>
      </c>
      <c r="Z246" s="17">
        <f>_xlfn.XLOOKUP($B246,'[2]Sep-25'!$A:$A,'[2]Sep-25'!$H:$H,0)</f>
        <v>90</v>
      </c>
      <c r="AA246" s="17">
        <f>_xlfn.XLOOKUP($B246,'[2]Oct-25'!$A:$A,'[2]Oct-25'!$H:$H,0)</f>
        <v>0</v>
      </c>
      <c r="AB246" s="17">
        <f>_xlfn.XLOOKUP($B246,'[2]Nov-25'!$A:$A,'[2]Nov-25'!$H:$H,0)</f>
        <v>0</v>
      </c>
      <c r="AC246" s="17">
        <f>_xlfn.XLOOKUP($B246,'[2]Dec-25'!$A:$A,'[2]Dec-25'!$H:$H,0)</f>
        <v>0</v>
      </c>
      <c r="AD246" s="17">
        <f>_xlfn.XLOOKUP($B246,'[2]Jan-26'!$A:$A,'[2]Jan-26'!$H:$H,0)</f>
        <v>0</v>
      </c>
      <c r="AE246" s="17">
        <f>_xlfn.XLOOKUP($B246,'[2]Feb-26'!$A:$A,'[2]Feb-26'!$H:$H,0)</f>
        <v>0</v>
      </c>
      <c r="AF246" s="17">
        <f>_xlfn.XLOOKUP($B246,'[2]Mar-26'!$A:$A,'[2]Mar-26'!$H:$H,0)</f>
        <v>0</v>
      </c>
      <c r="AG246" s="17">
        <f>_xlfn.XLOOKUP($B246,'[2]Apr-26'!$A:$A,'[2]Apr-26'!$H:$H,0)</f>
        <v>0</v>
      </c>
    </row>
    <row r="247" spans="1:33" x14ac:dyDescent="0.2">
      <c r="A247" s="58">
        <v>62415</v>
      </c>
      <c r="B247" s="56" t="str">
        <f t="shared" si="5"/>
        <v>62415</v>
      </c>
      <c r="C247" s="57" t="s">
        <v>552</v>
      </c>
      <c r="D247" s="57" t="s">
        <v>387</v>
      </c>
      <c r="E247" s="44" t="s">
        <v>623</v>
      </c>
      <c r="F247" s="17">
        <f>_xlfn.XLOOKUP($B247,'[2]Jan-24'!$A:$A,'[2]Jan-24'!$H:$H,0)</f>
        <v>0</v>
      </c>
      <c r="G247" s="17">
        <f>_xlfn.XLOOKUP($B247,'[2]Feb-24'!$A:$A,'[2]Feb-24'!$H:$H,0)</f>
        <v>0</v>
      </c>
      <c r="H247" s="17">
        <f>_xlfn.XLOOKUP($B247,'[2]Mar-24'!$A:$A,'[2]Mar-24'!$H:$H,0)</f>
        <v>0</v>
      </c>
      <c r="I247" s="17">
        <f>_xlfn.XLOOKUP($B247,'[2]Apr-24'!$A:$A,'[2]Apr-24'!$H:$H,0)</f>
        <v>0</v>
      </c>
      <c r="J247" s="17">
        <f>_xlfn.XLOOKUP($B247,'[2]May-24'!$A:$A,'[2]May-24'!$H:$H,0)</f>
        <v>26.65</v>
      </c>
      <c r="K247" s="17">
        <f>_xlfn.XLOOKUP($B247,'[2]Jun-24'!$A:$A,'[2]Jun-24'!$H:$H,0)</f>
        <v>51.44</v>
      </c>
      <c r="L247" s="17">
        <f>_xlfn.XLOOKUP($B247,'[2]Jul-24'!$A:$A,'[2]Jul-24'!$H:$H,0)</f>
        <v>0</v>
      </c>
      <c r="M247" s="17">
        <f>_xlfn.XLOOKUP($B247,'[2]Aug-24'!$A:$A,'[2]Aug-24'!$H:$H,0)</f>
        <v>0</v>
      </c>
      <c r="N247" s="17">
        <f>_xlfn.XLOOKUP($B247,'[2]Sep-24'!$A:$A,'[2]Sep-24'!$H:$H,0)</f>
        <v>0</v>
      </c>
      <c r="O247" s="17">
        <f>_xlfn.XLOOKUP($B247,'[2]Oct-24'!$A:$A,'[2]Oct-24'!$H:$H,0)</f>
        <v>0</v>
      </c>
      <c r="P247" s="17">
        <f>_xlfn.XLOOKUP($B247,'[2]Nov-24'!$A:$A,'[2]Nov-24'!$H:$H,0)</f>
        <v>0</v>
      </c>
      <c r="Q247" s="17">
        <f>_xlfn.XLOOKUP($B247,'[2]Dec-24'!$A:$A,'[2]Dec-24'!$H:$H,0)</f>
        <v>0</v>
      </c>
      <c r="R247" s="17">
        <f>_xlfn.XLOOKUP($B247,'[2]Jan-25'!$A:$A,'[2]Jan-25'!$H:$H,0)</f>
        <v>60.32</v>
      </c>
      <c r="S247" s="17">
        <f>_xlfn.XLOOKUP($B247,'[2]Feb-25'!$A:$A,'[2]Feb-25'!$H:$H,0)</f>
        <v>0</v>
      </c>
      <c r="T247" s="17">
        <f>_xlfn.XLOOKUP($B247,'[2]Mar-25'!$A:$A,'[2]Mar-25'!$H:$H,0)</f>
        <v>0</v>
      </c>
      <c r="U247" s="17">
        <f>_xlfn.XLOOKUP($B247,'[2]Apr-25'!$A:$A,'[2]Apr-25'!$H:$H,0)</f>
        <v>0</v>
      </c>
      <c r="V247" s="17">
        <f>_xlfn.XLOOKUP($B247,'[2]May-25'!$A:$A,'[2]May-25'!$H:$H,0)</f>
        <v>0</v>
      </c>
      <c r="W247" s="17">
        <f>_xlfn.XLOOKUP($B247,'[2]Jun-25'!$A:$A,'[2]Jun-25'!$H:$H,0)</f>
        <v>0</v>
      </c>
      <c r="X247" s="17">
        <f>_xlfn.XLOOKUP($B247,'[2]Jul-25'!$A:$A,'[2]Jul-25'!$H:$H,0)</f>
        <v>0</v>
      </c>
      <c r="Y247" s="17">
        <f>_xlfn.XLOOKUP($B247,'[2]Aug-25'!$A:$A,'[2]Aug-25'!$H:$H,0)</f>
        <v>0</v>
      </c>
      <c r="Z247" s="17">
        <f>_xlfn.XLOOKUP($B247,'[2]Sep-25'!$A:$A,'[2]Sep-25'!$H:$H,0)</f>
        <v>0</v>
      </c>
      <c r="AA247" s="17">
        <f>_xlfn.XLOOKUP($B247,'[2]Oct-25'!$A:$A,'[2]Oct-25'!$H:$H,0)</f>
        <v>0</v>
      </c>
      <c r="AB247" s="17">
        <f>_xlfn.XLOOKUP($B247,'[2]Nov-25'!$A:$A,'[2]Nov-25'!$H:$H,0)</f>
        <v>0</v>
      </c>
      <c r="AC247" s="17">
        <f>_xlfn.XLOOKUP($B247,'[2]Dec-25'!$A:$A,'[2]Dec-25'!$H:$H,0)</f>
        <v>0</v>
      </c>
      <c r="AD247" s="17">
        <f>_xlfn.XLOOKUP($B247,'[2]Jan-26'!$A:$A,'[2]Jan-26'!$H:$H,0)</f>
        <v>0</v>
      </c>
      <c r="AE247" s="17">
        <f>_xlfn.XLOOKUP($B247,'[2]Feb-26'!$A:$A,'[2]Feb-26'!$H:$H,0)</f>
        <v>0</v>
      </c>
      <c r="AF247" s="17">
        <f>_xlfn.XLOOKUP($B247,'[2]Mar-26'!$A:$A,'[2]Mar-26'!$H:$H,0)</f>
        <v>0</v>
      </c>
      <c r="AG247" s="17">
        <f>_xlfn.XLOOKUP($B247,'[2]Apr-26'!$A:$A,'[2]Apr-26'!$H:$H,0)</f>
        <v>0</v>
      </c>
    </row>
    <row r="248" spans="1:33" x14ac:dyDescent="0.2">
      <c r="A248" s="58">
        <v>62420</v>
      </c>
      <c r="B248" s="56" t="str">
        <f t="shared" si="5"/>
        <v>62420</v>
      </c>
      <c r="C248" s="57" t="s">
        <v>552</v>
      </c>
      <c r="D248" s="57" t="s">
        <v>387</v>
      </c>
      <c r="E248" s="44" t="s">
        <v>624</v>
      </c>
      <c r="F248" s="17">
        <f>_xlfn.XLOOKUP($B248,'[2]Jan-24'!$A:$A,'[2]Jan-24'!$H:$H,0)</f>
        <v>0</v>
      </c>
      <c r="G248" s="17">
        <f>_xlfn.XLOOKUP($B248,'[2]Feb-24'!$A:$A,'[2]Feb-24'!$H:$H,0)</f>
        <v>0</v>
      </c>
      <c r="H248" s="17">
        <f>_xlfn.XLOOKUP($B248,'[2]Mar-24'!$A:$A,'[2]Mar-24'!$H:$H,0)</f>
        <v>0</v>
      </c>
      <c r="I248" s="17">
        <f>_xlfn.XLOOKUP($B248,'[2]Apr-24'!$A:$A,'[2]Apr-24'!$H:$H,0)</f>
        <v>0</v>
      </c>
      <c r="J248" s="17">
        <f>_xlfn.XLOOKUP($B248,'[2]May-24'!$A:$A,'[2]May-24'!$H:$H,0)</f>
        <v>0</v>
      </c>
      <c r="K248" s="17">
        <f>_xlfn.XLOOKUP($B248,'[2]Jun-24'!$A:$A,'[2]Jun-24'!$H:$H,0)</f>
        <v>0</v>
      </c>
      <c r="L248" s="17">
        <f>_xlfn.XLOOKUP($B248,'[2]Jul-24'!$A:$A,'[2]Jul-24'!$H:$H,0)</f>
        <v>0</v>
      </c>
      <c r="M248" s="17">
        <f>_xlfn.XLOOKUP($B248,'[2]Aug-24'!$A:$A,'[2]Aug-24'!$H:$H,0)</f>
        <v>0</v>
      </c>
      <c r="N248" s="17">
        <f>_xlfn.XLOOKUP($B248,'[2]Sep-24'!$A:$A,'[2]Sep-24'!$H:$H,0)</f>
        <v>0</v>
      </c>
      <c r="O248" s="17">
        <f>_xlfn.XLOOKUP($B248,'[2]Oct-24'!$A:$A,'[2]Oct-24'!$H:$H,0)</f>
        <v>0</v>
      </c>
      <c r="P248" s="17">
        <f>_xlfn.XLOOKUP($B248,'[2]Nov-24'!$A:$A,'[2]Nov-24'!$H:$H,0)</f>
        <v>0</v>
      </c>
      <c r="Q248" s="17">
        <f>_xlfn.XLOOKUP($B248,'[2]Dec-24'!$A:$A,'[2]Dec-24'!$H:$H,0)</f>
        <v>0</v>
      </c>
      <c r="R248" s="17">
        <f>_xlfn.XLOOKUP($B248,'[2]Jan-25'!$A:$A,'[2]Jan-25'!$H:$H,0)</f>
        <v>0</v>
      </c>
      <c r="S248" s="17">
        <f>_xlfn.XLOOKUP($B248,'[2]Feb-25'!$A:$A,'[2]Feb-25'!$H:$H,0)</f>
        <v>0</v>
      </c>
      <c r="T248" s="17">
        <f>_xlfn.XLOOKUP($B248,'[2]Mar-25'!$A:$A,'[2]Mar-25'!$H:$H,0)</f>
        <v>0</v>
      </c>
      <c r="U248" s="17">
        <f>_xlfn.XLOOKUP($B248,'[2]Apr-25'!$A:$A,'[2]Apr-25'!$H:$H,0)</f>
        <v>0</v>
      </c>
      <c r="V248" s="17">
        <f>_xlfn.XLOOKUP($B248,'[2]May-25'!$A:$A,'[2]May-25'!$H:$H,0)</f>
        <v>0</v>
      </c>
      <c r="W248" s="17">
        <f>_xlfn.XLOOKUP($B248,'[2]Jun-25'!$A:$A,'[2]Jun-25'!$H:$H,0)</f>
        <v>0</v>
      </c>
      <c r="X248" s="17">
        <f>_xlfn.XLOOKUP($B248,'[2]Jul-25'!$A:$A,'[2]Jul-25'!$H:$H,0)</f>
        <v>0</v>
      </c>
      <c r="Y248" s="17">
        <f>_xlfn.XLOOKUP($B248,'[2]Aug-25'!$A:$A,'[2]Aug-25'!$H:$H,0)</f>
        <v>0</v>
      </c>
      <c r="Z248" s="17">
        <f>_xlfn.XLOOKUP($B248,'[2]Sep-25'!$A:$A,'[2]Sep-25'!$H:$H,0)</f>
        <v>0</v>
      </c>
      <c r="AA248" s="17">
        <f>_xlfn.XLOOKUP($B248,'[2]Oct-25'!$A:$A,'[2]Oct-25'!$H:$H,0)</f>
        <v>0</v>
      </c>
      <c r="AB248" s="17">
        <f>_xlfn.XLOOKUP($B248,'[2]Nov-25'!$A:$A,'[2]Nov-25'!$H:$H,0)</f>
        <v>0</v>
      </c>
      <c r="AC248" s="17">
        <f>_xlfn.XLOOKUP($B248,'[2]Dec-25'!$A:$A,'[2]Dec-25'!$H:$H,0)</f>
        <v>0</v>
      </c>
      <c r="AD248" s="17">
        <f>_xlfn.XLOOKUP($B248,'[2]Jan-26'!$A:$A,'[2]Jan-26'!$H:$H,0)</f>
        <v>0</v>
      </c>
      <c r="AE248" s="17">
        <f>_xlfn.XLOOKUP($B248,'[2]Feb-26'!$A:$A,'[2]Feb-26'!$H:$H,0)</f>
        <v>0</v>
      </c>
      <c r="AF248" s="17">
        <f>_xlfn.XLOOKUP($B248,'[2]Mar-26'!$A:$A,'[2]Mar-26'!$H:$H,0)</f>
        <v>0</v>
      </c>
      <c r="AG248" s="17">
        <f>_xlfn.XLOOKUP($B248,'[2]Apr-26'!$A:$A,'[2]Apr-26'!$H:$H,0)</f>
        <v>0</v>
      </c>
    </row>
    <row r="249" spans="1:33" x14ac:dyDescent="0.2">
      <c r="A249" s="58">
        <v>62425</v>
      </c>
      <c r="B249" s="56" t="str">
        <f t="shared" si="5"/>
        <v>62425</v>
      </c>
      <c r="C249" s="57" t="s">
        <v>552</v>
      </c>
      <c r="D249" s="57" t="s">
        <v>387</v>
      </c>
      <c r="E249" s="44" t="s">
        <v>625</v>
      </c>
      <c r="F249" s="17">
        <f>_xlfn.XLOOKUP($B249,'[2]Jan-24'!$A:$A,'[2]Jan-24'!$H:$H,0)</f>
        <v>0</v>
      </c>
      <c r="G249" s="17">
        <f>_xlfn.XLOOKUP($B249,'[2]Feb-24'!$A:$A,'[2]Feb-24'!$H:$H,0)</f>
        <v>0</v>
      </c>
      <c r="H249" s="17">
        <f>_xlfn.XLOOKUP($B249,'[2]Mar-24'!$A:$A,'[2]Mar-24'!$H:$H,0)</f>
        <v>0</v>
      </c>
      <c r="I249" s="17">
        <f>_xlfn.XLOOKUP($B249,'[2]Apr-24'!$A:$A,'[2]Apr-24'!$H:$H,0)</f>
        <v>0</v>
      </c>
      <c r="J249" s="17">
        <f>_xlfn.XLOOKUP($B249,'[2]May-24'!$A:$A,'[2]May-24'!$H:$H,0)</f>
        <v>0</v>
      </c>
      <c r="K249" s="17">
        <f>_xlfn.XLOOKUP($B249,'[2]Jun-24'!$A:$A,'[2]Jun-24'!$H:$H,0)</f>
        <v>0</v>
      </c>
      <c r="L249" s="17">
        <f>_xlfn.XLOOKUP($B249,'[2]Jul-24'!$A:$A,'[2]Jul-24'!$H:$H,0)</f>
        <v>0</v>
      </c>
      <c r="M249" s="17">
        <f>_xlfn.XLOOKUP($B249,'[2]Aug-24'!$A:$A,'[2]Aug-24'!$H:$H,0)</f>
        <v>0</v>
      </c>
      <c r="N249" s="17">
        <f>_xlfn.XLOOKUP($B249,'[2]Sep-24'!$A:$A,'[2]Sep-24'!$H:$H,0)</f>
        <v>0</v>
      </c>
      <c r="O249" s="17">
        <f>_xlfn.XLOOKUP($B249,'[2]Oct-24'!$A:$A,'[2]Oct-24'!$H:$H,0)</f>
        <v>0</v>
      </c>
      <c r="P249" s="17">
        <f>_xlfn.XLOOKUP($B249,'[2]Nov-24'!$A:$A,'[2]Nov-24'!$H:$H,0)</f>
        <v>0</v>
      </c>
      <c r="Q249" s="17">
        <f>_xlfn.XLOOKUP($B249,'[2]Dec-24'!$A:$A,'[2]Dec-24'!$H:$H,0)</f>
        <v>0</v>
      </c>
      <c r="R249" s="17">
        <f>_xlfn.XLOOKUP($B249,'[2]Jan-25'!$A:$A,'[2]Jan-25'!$H:$H,0)</f>
        <v>0</v>
      </c>
      <c r="S249" s="17">
        <f>_xlfn.XLOOKUP($B249,'[2]Feb-25'!$A:$A,'[2]Feb-25'!$H:$H,0)</f>
        <v>0</v>
      </c>
      <c r="T249" s="17">
        <f>_xlfn.XLOOKUP($B249,'[2]Mar-25'!$A:$A,'[2]Mar-25'!$H:$H,0)</f>
        <v>0</v>
      </c>
      <c r="U249" s="17">
        <f>_xlfn.XLOOKUP($B249,'[2]Apr-25'!$A:$A,'[2]Apr-25'!$H:$H,0)</f>
        <v>0</v>
      </c>
      <c r="V249" s="17">
        <f>_xlfn.XLOOKUP($B249,'[2]May-25'!$A:$A,'[2]May-25'!$H:$H,0)</f>
        <v>0</v>
      </c>
      <c r="W249" s="17">
        <f>_xlfn.XLOOKUP($B249,'[2]Jun-25'!$A:$A,'[2]Jun-25'!$H:$H,0)</f>
        <v>0</v>
      </c>
      <c r="X249" s="17">
        <f>_xlfn.XLOOKUP($B249,'[2]Jul-25'!$A:$A,'[2]Jul-25'!$H:$H,0)</f>
        <v>0</v>
      </c>
      <c r="Y249" s="17">
        <f>_xlfn.XLOOKUP($B249,'[2]Aug-25'!$A:$A,'[2]Aug-25'!$H:$H,0)</f>
        <v>0</v>
      </c>
      <c r="Z249" s="17">
        <f>_xlfn.XLOOKUP($B249,'[2]Sep-25'!$A:$A,'[2]Sep-25'!$H:$H,0)</f>
        <v>0</v>
      </c>
      <c r="AA249" s="17">
        <f>_xlfn.XLOOKUP($B249,'[2]Oct-25'!$A:$A,'[2]Oct-25'!$H:$H,0)</f>
        <v>0</v>
      </c>
      <c r="AB249" s="17">
        <f>_xlfn.XLOOKUP($B249,'[2]Nov-25'!$A:$A,'[2]Nov-25'!$H:$H,0)</f>
        <v>0</v>
      </c>
      <c r="AC249" s="17">
        <f>_xlfn.XLOOKUP($B249,'[2]Dec-25'!$A:$A,'[2]Dec-25'!$H:$H,0)</f>
        <v>0</v>
      </c>
      <c r="AD249" s="17">
        <f>_xlfn.XLOOKUP($B249,'[2]Jan-26'!$A:$A,'[2]Jan-26'!$H:$H,0)</f>
        <v>0</v>
      </c>
      <c r="AE249" s="17">
        <f>_xlfn.XLOOKUP($B249,'[2]Feb-26'!$A:$A,'[2]Feb-26'!$H:$H,0)</f>
        <v>0</v>
      </c>
      <c r="AF249" s="17">
        <f>_xlfn.XLOOKUP($B249,'[2]Mar-26'!$A:$A,'[2]Mar-26'!$H:$H,0)</f>
        <v>0</v>
      </c>
      <c r="AG249" s="17">
        <f>_xlfn.XLOOKUP($B249,'[2]Apr-26'!$A:$A,'[2]Apr-26'!$H:$H,0)</f>
        <v>0</v>
      </c>
    </row>
    <row r="250" spans="1:33" x14ac:dyDescent="0.2">
      <c r="A250" s="58">
        <v>62435</v>
      </c>
      <c r="B250" s="56" t="str">
        <f t="shared" si="5"/>
        <v>62435</v>
      </c>
      <c r="C250" s="57" t="s">
        <v>552</v>
      </c>
      <c r="D250" s="57" t="s">
        <v>387</v>
      </c>
      <c r="E250" s="44" t="s">
        <v>627</v>
      </c>
      <c r="F250" s="17">
        <f>_xlfn.XLOOKUP($B250,'[2]Jan-24'!$A:$A,'[2]Jan-24'!$H:$H,0)</f>
        <v>0</v>
      </c>
      <c r="G250" s="17">
        <f>_xlfn.XLOOKUP($B250,'[2]Feb-24'!$A:$A,'[2]Feb-24'!$H:$H,0)</f>
        <v>0</v>
      </c>
      <c r="H250" s="17">
        <f>_xlfn.XLOOKUP($B250,'[2]Mar-24'!$A:$A,'[2]Mar-24'!$H:$H,0)</f>
        <v>0</v>
      </c>
      <c r="I250" s="17">
        <f>_xlfn.XLOOKUP($B250,'[2]Apr-24'!$A:$A,'[2]Apr-24'!$H:$H,0)</f>
        <v>0</v>
      </c>
      <c r="J250" s="17">
        <f>_xlfn.XLOOKUP($B250,'[2]May-24'!$A:$A,'[2]May-24'!$H:$H,0)</f>
        <v>0</v>
      </c>
      <c r="K250" s="17">
        <f>_xlfn.XLOOKUP($B250,'[2]Jun-24'!$A:$A,'[2]Jun-24'!$H:$H,0)</f>
        <v>0</v>
      </c>
      <c r="L250" s="17">
        <f>_xlfn.XLOOKUP($B250,'[2]Jul-24'!$A:$A,'[2]Jul-24'!$H:$H,0)</f>
        <v>0</v>
      </c>
      <c r="M250" s="17">
        <f>_xlfn.XLOOKUP($B250,'[2]Aug-24'!$A:$A,'[2]Aug-24'!$H:$H,0)</f>
        <v>0</v>
      </c>
      <c r="N250" s="17">
        <f>_xlfn.XLOOKUP($B250,'[2]Sep-24'!$A:$A,'[2]Sep-24'!$H:$H,0)</f>
        <v>0</v>
      </c>
      <c r="O250" s="17">
        <f>_xlfn.XLOOKUP($B250,'[2]Oct-24'!$A:$A,'[2]Oct-24'!$H:$H,0)</f>
        <v>0</v>
      </c>
      <c r="P250" s="17">
        <f>_xlfn.XLOOKUP($B250,'[2]Nov-24'!$A:$A,'[2]Nov-24'!$H:$H,0)</f>
        <v>0</v>
      </c>
      <c r="Q250" s="17">
        <f>_xlfn.XLOOKUP($B250,'[2]Dec-24'!$A:$A,'[2]Dec-24'!$H:$H,0)</f>
        <v>0</v>
      </c>
      <c r="R250" s="17">
        <f>_xlfn.XLOOKUP($B250,'[2]Jan-25'!$A:$A,'[2]Jan-25'!$H:$H,0)</f>
        <v>0</v>
      </c>
      <c r="S250" s="17">
        <f>_xlfn.XLOOKUP($B250,'[2]Feb-25'!$A:$A,'[2]Feb-25'!$H:$H,0)</f>
        <v>0</v>
      </c>
      <c r="T250" s="17">
        <f>_xlfn.XLOOKUP($B250,'[2]Mar-25'!$A:$A,'[2]Mar-25'!$H:$H,0)</f>
        <v>0</v>
      </c>
      <c r="U250" s="17">
        <f>_xlfn.XLOOKUP($B250,'[2]Apr-25'!$A:$A,'[2]Apr-25'!$H:$H,0)</f>
        <v>0</v>
      </c>
      <c r="V250" s="17">
        <f>_xlfn.XLOOKUP($B250,'[2]May-25'!$A:$A,'[2]May-25'!$H:$H,0)</f>
        <v>0</v>
      </c>
      <c r="W250" s="17">
        <f>_xlfn.XLOOKUP($B250,'[2]Jun-25'!$A:$A,'[2]Jun-25'!$H:$H,0)</f>
        <v>0</v>
      </c>
      <c r="X250" s="17">
        <f>_xlfn.XLOOKUP($B250,'[2]Jul-25'!$A:$A,'[2]Jul-25'!$H:$H,0)</f>
        <v>0</v>
      </c>
      <c r="Y250" s="17">
        <f>_xlfn.XLOOKUP($B250,'[2]Aug-25'!$A:$A,'[2]Aug-25'!$H:$H,0)</f>
        <v>0</v>
      </c>
      <c r="Z250" s="17">
        <f>_xlfn.XLOOKUP($B250,'[2]Sep-25'!$A:$A,'[2]Sep-25'!$H:$H,0)</f>
        <v>0</v>
      </c>
      <c r="AA250" s="17">
        <f>_xlfn.XLOOKUP($B250,'[2]Oct-25'!$A:$A,'[2]Oct-25'!$H:$H,0)</f>
        <v>0</v>
      </c>
      <c r="AB250" s="17">
        <f>_xlfn.XLOOKUP($B250,'[2]Nov-25'!$A:$A,'[2]Nov-25'!$H:$H,0)</f>
        <v>0</v>
      </c>
      <c r="AC250" s="17">
        <f>_xlfn.XLOOKUP($B250,'[2]Dec-25'!$A:$A,'[2]Dec-25'!$H:$H,0)</f>
        <v>0</v>
      </c>
      <c r="AD250" s="17">
        <f>_xlfn.XLOOKUP($B250,'[2]Jan-26'!$A:$A,'[2]Jan-26'!$H:$H,0)</f>
        <v>0</v>
      </c>
      <c r="AE250" s="17">
        <f>_xlfn.XLOOKUP($B250,'[2]Feb-26'!$A:$A,'[2]Feb-26'!$H:$H,0)</f>
        <v>0</v>
      </c>
      <c r="AF250" s="17">
        <f>_xlfn.XLOOKUP($B250,'[2]Mar-26'!$A:$A,'[2]Mar-26'!$H:$H,0)</f>
        <v>108.35</v>
      </c>
      <c r="AG250" s="17">
        <f>_xlfn.XLOOKUP($B250,'[2]Apr-26'!$A:$A,'[2]Apr-26'!$H:$H,0)</f>
        <v>0</v>
      </c>
    </row>
    <row r="251" spans="1:33" x14ac:dyDescent="0.2">
      <c r="A251" s="58">
        <v>62500</v>
      </c>
      <c r="B251" s="56" t="str">
        <f t="shared" si="5"/>
        <v>62500</v>
      </c>
      <c r="C251" s="57" t="s">
        <v>389</v>
      </c>
      <c r="D251" s="57" t="s">
        <v>387</v>
      </c>
      <c r="E251" s="44" t="s">
        <v>628</v>
      </c>
      <c r="F251" s="17">
        <f>_xlfn.XLOOKUP($B251,'[2]Jan-24'!$A:$A,'[2]Jan-24'!$H:$H,0)</f>
        <v>94.9</v>
      </c>
      <c r="G251" s="17">
        <f>_xlfn.XLOOKUP($B251,'[2]Feb-24'!$A:$A,'[2]Feb-24'!$H:$H,0)</f>
        <v>32.46</v>
      </c>
      <c r="H251" s="17">
        <f>_xlfn.XLOOKUP($B251,'[2]Mar-24'!$A:$A,'[2]Mar-24'!$H:$H,0)</f>
        <v>0</v>
      </c>
      <c r="I251" s="17">
        <f>_xlfn.XLOOKUP($B251,'[2]Apr-24'!$A:$A,'[2]Apr-24'!$H:$H,0)</f>
        <v>0</v>
      </c>
      <c r="J251" s="17">
        <f>_xlfn.XLOOKUP($B251,'[2]May-24'!$A:$A,'[2]May-24'!$H:$H,0)</f>
        <v>0</v>
      </c>
      <c r="K251" s="17">
        <f>_xlfn.XLOOKUP($B251,'[2]Jun-24'!$A:$A,'[2]Jun-24'!$H:$H,0)</f>
        <v>34.130000000000003</v>
      </c>
      <c r="L251" s="17">
        <f>_xlfn.XLOOKUP($B251,'[2]Jul-24'!$A:$A,'[2]Jul-24'!$H:$H,0)</f>
        <v>0</v>
      </c>
      <c r="M251" s="17">
        <f>_xlfn.XLOOKUP($B251,'[2]Aug-24'!$A:$A,'[2]Aug-24'!$H:$H,0)</f>
        <v>0</v>
      </c>
      <c r="N251" s="17">
        <f>_xlfn.XLOOKUP($B251,'[2]Sep-24'!$A:$A,'[2]Sep-24'!$H:$H,0)</f>
        <v>0</v>
      </c>
      <c r="O251" s="17">
        <f>_xlfn.XLOOKUP($B251,'[2]Oct-24'!$A:$A,'[2]Oct-24'!$H:$H,0)</f>
        <v>0</v>
      </c>
      <c r="P251" s="17">
        <f>_xlfn.XLOOKUP($B251,'[2]Nov-24'!$A:$A,'[2]Nov-24'!$H:$H,0)</f>
        <v>122.5</v>
      </c>
      <c r="Q251" s="17">
        <f>_xlfn.XLOOKUP($B251,'[2]Dec-24'!$A:$A,'[2]Dec-24'!$H:$H,0)</f>
        <v>0</v>
      </c>
      <c r="R251" s="17">
        <f>_xlfn.XLOOKUP($B251,'[2]Jan-25'!$A:$A,'[2]Jan-25'!$H:$H,0)</f>
        <v>0</v>
      </c>
      <c r="S251" s="17">
        <f>_xlfn.XLOOKUP($B251,'[2]Feb-25'!$A:$A,'[2]Feb-25'!$H:$H,0)</f>
        <v>0</v>
      </c>
      <c r="T251" s="17">
        <f>_xlfn.XLOOKUP($B251,'[2]Mar-25'!$A:$A,'[2]Mar-25'!$H:$H,0)</f>
        <v>0</v>
      </c>
      <c r="U251" s="17">
        <f>_xlfn.XLOOKUP($B251,'[2]Apr-25'!$A:$A,'[2]Apr-25'!$H:$H,0)</f>
        <v>0</v>
      </c>
      <c r="V251" s="17">
        <f>_xlfn.XLOOKUP($B251,'[2]May-25'!$A:$A,'[2]May-25'!$H:$H,0)</f>
        <v>248.75</v>
      </c>
      <c r="W251" s="17">
        <f>_xlfn.XLOOKUP($B251,'[2]Jun-25'!$A:$A,'[2]Jun-25'!$H:$H,0)</f>
        <v>0</v>
      </c>
      <c r="X251" s="17">
        <f>_xlfn.XLOOKUP($B251,'[2]Jul-25'!$A:$A,'[2]Jul-25'!$H:$H,0)</f>
        <v>0</v>
      </c>
      <c r="Y251" s="17">
        <f>_xlfn.XLOOKUP($B251,'[2]Aug-25'!$A:$A,'[2]Aug-25'!$H:$H,0)</f>
        <v>0</v>
      </c>
      <c r="Z251" s="17">
        <f>_xlfn.XLOOKUP($B251,'[2]Sep-25'!$A:$A,'[2]Sep-25'!$H:$H,0)</f>
        <v>0</v>
      </c>
      <c r="AA251" s="17">
        <f>_xlfn.XLOOKUP($B251,'[2]Oct-25'!$A:$A,'[2]Oct-25'!$H:$H,0)</f>
        <v>0</v>
      </c>
      <c r="AB251" s="17">
        <f>_xlfn.XLOOKUP($B251,'[2]Nov-25'!$A:$A,'[2]Nov-25'!$H:$H,0)</f>
        <v>0</v>
      </c>
      <c r="AC251" s="17">
        <f>_xlfn.XLOOKUP($B251,'[2]Dec-25'!$A:$A,'[2]Dec-25'!$H:$H,0)</f>
        <v>0</v>
      </c>
      <c r="AD251" s="17">
        <f>_xlfn.XLOOKUP($B251,'[2]Jan-26'!$A:$A,'[2]Jan-26'!$H:$H,0)</f>
        <v>0</v>
      </c>
      <c r="AE251" s="17">
        <f>_xlfn.XLOOKUP($B251,'[2]Feb-26'!$A:$A,'[2]Feb-26'!$H:$H,0)</f>
        <v>0</v>
      </c>
      <c r="AF251" s="17">
        <f>_xlfn.XLOOKUP($B251,'[2]Mar-26'!$A:$A,'[2]Mar-26'!$H:$H,0)</f>
        <v>289</v>
      </c>
      <c r="AG251" s="17">
        <f>_xlfn.XLOOKUP($B251,'[2]Apr-26'!$A:$A,'[2]Apr-26'!$H:$H,0)</f>
        <v>0</v>
      </c>
    </row>
    <row r="252" spans="1:33" x14ac:dyDescent="0.2">
      <c r="A252" s="58">
        <v>62700</v>
      </c>
      <c r="B252" s="56" t="str">
        <f t="shared" si="5"/>
        <v>62700</v>
      </c>
      <c r="C252" s="57" t="s">
        <v>629</v>
      </c>
      <c r="D252" s="57" t="s">
        <v>387</v>
      </c>
      <c r="E252" s="44" t="s">
        <v>630</v>
      </c>
      <c r="F252" s="17">
        <f>_xlfn.XLOOKUP($B252,'[2]Jan-24'!$A:$A,'[2]Jan-24'!$H:$H,0)</f>
        <v>0</v>
      </c>
      <c r="G252" s="17">
        <f>_xlfn.XLOOKUP($B252,'[2]Feb-24'!$A:$A,'[2]Feb-24'!$H:$H,0)</f>
        <v>0</v>
      </c>
      <c r="H252" s="17">
        <f>_xlfn.XLOOKUP($B252,'[2]Mar-24'!$A:$A,'[2]Mar-24'!$H:$H,0)</f>
        <v>0</v>
      </c>
      <c r="I252" s="17">
        <f>_xlfn.XLOOKUP($B252,'[2]Apr-24'!$A:$A,'[2]Apr-24'!$H:$H,0)</f>
        <v>0</v>
      </c>
      <c r="J252" s="17">
        <f>_xlfn.XLOOKUP($B252,'[2]May-24'!$A:$A,'[2]May-24'!$H:$H,0)</f>
        <v>0</v>
      </c>
      <c r="K252" s="17">
        <f>_xlfn.XLOOKUP($B252,'[2]Jun-24'!$A:$A,'[2]Jun-24'!$H:$H,0)</f>
        <v>0</v>
      </c>
      <c r="L252" s="17">
        <f>_xlfn.XLOOKUP($B252,'[2]Jul-24'!$A:$A,'[2]Jul-24'!$H:$H,0)</f>
        <v>0</v>
      </c>
      <c r="M252" s="17">
        <f>_xlfn.XLOOKUP($B252,'[2]Aug-24'!$A:$A,'[2]Aug-24'!$H:$H,0)</f>
        <v>0</v>
      </c>
      <c r="N252" s="17">
        <f>_xlfn.XLOOKUP($B252,'[2]Sep-24'!$A:$A,'[2]Sep-24'!$H:$H,0)</f>
        <v>0</v>
      </c>
      <c r="O252" s="17">
        <f>_xlfn.XLOOKUP($B252,'[2]Oct-24'!$A:$A,'[2]Oct-24'!$H:$H,0)</f>
        <v>0</v>
      </c>
      <c r="P252" s="17">
        <f>_xlfn.XLOOKUP($B252,'[2]Nov-24'!$A:$A,'[2]Nov-24'!$H:$H,0)</f>
        <v>0</v>
      </c>
      <c r="Q252" s="17">
        <f>_xlfn.XLOOKUP($B252,'[2]Dec-24'!$A:$A,'[2]Dec-24'!$H:$H,0)</f>
        <v>0</v>
      </c>
      <c r="R252" s="17">
        <f>_xlfn.XLOOKUP($B252,'[2]Jan-25'!$A:$A,'[2]Jan-25'!$H:$H,0)</f>
        <v>0</v>
      </c>
      <c r="S252" s="17">
        <f>_xlfn.XLOOKUP($B252,'[2]Feb-25'!$A:$A,'[2]Feb-25'!$H:$H,0)</f>
        <v>0</v>
      </c>
      <c r="T252" s="17">
        <f>_xlfn.XLOOKUP($B252,'[2]Mar-25'!$A:$A,'[2]Mar-25'!$H:$H,0)</f>
        <v>0</v>
      </c>
      <c r="U252" s="17">
        <f>_xlfn.XLOOKUP($B252,'[2]Apr-25'!$A:$A,'[2]Apr-25'!$H:$H,0)</f>
        <v>0</v>
      </c>
      <c r="V252" s="17">
        <f>_xlfn.XLOOKUP($B252,'[2]May-25'!$A:$A,'[2]May-25'!$H:$H,0)</f>
        <v>0</v>
      </c>
      <c r="W252" s="17">
        <f>_xlfn.XLOOKUP($B252,'[2]Jun-25'!$A:$A,'[2]Jun-25'!$H:$H,0)</f>
        <v>0</v>
      </c>
      <c r="X252" s="17">
        <f>_xlfn.XLOOKUP($B252,'[2]Jul-25'!$A:$A,'[2]Jul-25'!$H:$H,0)</f>
        <v>0</v>
      </c>
      <c r="Y252" s="17">
        <f>_xlfn.XLOOKUP($B252,'[2]Aug-25'!$A:$A,'[2]Aug-25'!$H:$H,0)</f>
        <v>0</v>
      </c>
      <c r="Z252" s="17">
        <f>_xlfn.XLOOKUP($B252,'[2]Sep-25'!$A:$A,'[2]Sep-25'!$H:$H,0)</f>
        <v>0</v>
      </c>
      <c r="AA252" s="17">
        <f>_xlfn.XLOOKUP($B252,'[2]Oct-25'!$A:$A,'[2]Oct-25'!$H:$H,0)</f>
        <v>0</v>
      </c>
      <c r="AB252" s="17">
        <f>_xlfn.XLOOKUP($B252,'[2]Nov-25'!$A:$A,'[2]Nov-25'!$H:$H,0)</f>
        <v>0</v>
      </c>
      <c r="AC252" s="17">
        <f>_xlfn.XLOOKUP($B252,'[2]Dec-25'!$A:$A,'[2]Dec-25'!$H:$H,0)</f>
        <v>0</v>
      </c>
      <c r="AD252" s="17">
        <f>_xlfn.XLOOKUP($B252,'[2]Jan-26'!$A:$A,'[2]Jan-26'!$H:$H,0)</f>
        <v>0</v>
      </c>
      <c r="AE252" s="17">
        <f>_xlfn.XLOOKUP($B252,'[2]Feb-26'!$A:$A,'[2]Feb-26'!$H:$H,0)</f>
        <v>0</v>
      </c>
      <c r="AF252" s="17">
        <f>_xlfn.XLOOKUP($B252,'[2]Mar-26'!$A:$A,'[2]Mar-26'!$H:$H,0)</f>
        <v>0</v>
      </c>
      <c r="AG252" s="17">
        <f>_xlfn.XLOOKUP($B252,'[2]Apr-26'!$A:$A,'[2]Apr-26'!$H:$H,0)</f>
        <v>0</v>
      </c>
    </row>
    <row r="253" spans="1:33" x14ac:dyDescent="0.2">
      <c r="A253" s="58">
        <v>62710</v>
      </c>
      <c r="B253" s="56" t="str">
        <f t="shared" si="5"/>
        <v>62710</v>
      </c>
      <c r="C253" s="57" t="s">
        <v>629</v>
      </c>
      <c r="D253" s="57" t="s">
        <v>387</v>
      </c>
      <c r="E253" s="44" t="s">
        <v>631</v>
      </c>
      <c r="F253" s="17">
        <f>_xlfn.XLOOKUP($B253,'[2]Jan-24'!$A:$A,'[2]Jan-24'!$H:$H,0)</f>
        <v>0</v>
      </c>
      <c r="G253" s="17">
        <f>_xlfn.XLOOKUP($B253,'[2]Feb-24'!$A:$A,'[2]Feb-24'!$H:$H,0)</f>
        <v>0</v>
      </c>
      <c r="H253" s="17">
        <f>_xlfn.XLOOKUP($B253,'[2]Mar-24'!$A:$A,'[2]Mar-24'!$H:$H,0)</f>
        <v>5966.33</v>
      </c>
      <c r="I253" s="17">
        <f>_xlfn.XLOOKUP($B253,'[2]Apr-24'!$A:$A,'[2]Apr-24'!$H:$H,0)</f>
        <v>0</v>
      </c>
      <c r="J253" s="17">
        <f>_xlfn.XLOOKUP($B253,'[2]May-24'!$A:$A,'[2]May-24'!$H:$H,0)</f>
        <v>0</v>
      </c>
      <c r="K253" s="17">
        <f>_xlfn.XLOOKUP($B253,'[2]Jun-24'!$A:$A,'[2]Jun-24'!$H:$H,0)</f>
        <v>0</v>
      </c>
      <c r="L253" s="17">
        <f>_xlfn.XLOOKUP($B253,'[2]Jul-24'!$A:$A,'[2]Jul-24'!$H:$H,0)</f>
        <v>0</v>
      </c>
      <c r="M253" s="17">
        <f>_xlfn.XLOOKUP($B253,'[2]Aug-24'!$A:$A,'[2]Aug-24'!$H:$H,0)</f>
        <v>395</v>
      </c>
      <c r="N253" s="17">
        <f>_xlfn.XLOOKUP($B253,'[2]Sep-24'!$A:$A,'[2]Sep-24'!$H:$H,0)</f>
        <v>0</v>
      </c>
      <c r="O253" s="17">
        <f>_xlfn.XLOOKUP($B253,'[2]Oct-24'!$A:$A,'[2]Oct-24'!$H:$H,0)</f>
        <v>150</v>
      </c>
      <c r="P253" s="17">
        <f>_xlfn.XLOOKUP($B253,'[2]Nov-24'!$A:$A,'[2]Nov-24'!$H:$H,0)</f>
        <v>0</v>
      </c>
      <c r="Q253" s="17">
        <f>_xlfn.XLOOKUP($B253,'[2]Dec-24'!$A:$A,'[2]Dec-24'!$H:$H,0)</f>
        <v>0</v>
      </c>
      <c r="R253" s="17">
        <f>_xlfn.XLOOKUP($B253,'[2]Jan-25'!$A:$A,'[2]Jan-25'!$H:$H,0)</f>
        <v>0</v>
      </c>
      <c r="S253" s="17">
        <f>_xlfn.XLOOKUP($B253,'[2]Feb-25'!$A:$A,'[2]Feb-25'!$H:$H,0)</f>
        <v>0</v>
      </c>
      <c r="T253" s="17">
        <f>_xlfn.XLOOKUP($B253,'[2]Mar-25'!$A:$A,'[2]Mar-25'!$H:$H,0)</f>
        <v>4440</v>
      </c>
      <c r="U253" s="17">
        <f>_xlfn.XLOOKUP($B253,'[2]Apr-25'!$A:$A,'[2]Apr-25'!$H:$H,0)</f>
        <v>0</v>
      </c>
      <c r="V253" s="17">
        <f>_xlfn.XLOOKUP($B253,'[2]May-25'!$A:$A,'[2]May-25'!$H:$H,0)</f>
        <v>0</v>
      </c>
      <c r="W253" s="17">
        <f>_xlfn.XLOOKUP($B253,'[2]Jun-25'!$A:$A,'[2]Jun-25'!$H:$H,0)</f>
        <v>0</v>
      </c>
      <c r="X253" s="17">
        <f>_xlfn.XLOOKUP($B253,'[2]Jul-25'!$A:$A,'[2]Jul-25'!$H:$H,0)</f>
        <v>0</v>
      </c>
      <c r="Y253" s="17">
        <f>_xlfn.XLOOKUP($B253,'[2]Aug-25'!$A:$A,'[2]Aug-25'!$H:$H,0)</f>
        <v>0</v>
      </c>
      <c r="Z253" s="17">
        <f>_xlfn.XLOOKUP($B253,'[2]Sep-25'!$A:$A,'[2]Sep-25'!$H:$H,0)</f>
        <v>0</v>
      </c>
      <c r="AA253" s="17">
        <f>_xlfn.XLOOKUP($B253,'[2]Oct-25'!$A:$A,'[2]Oct-25'!$H:$H,0)</f>
        <v>150</v>
      </c>
      <c r="AB253" s="17">
        <f>_xlfn.XLOOKUP($B253,'[2]Nov-25'!$A:$A,'[2]Nov-25'!$H:$H,0)</f>
        <v>0</v>
      </c>
      <c r="AC253" s="17">
        <f>_xlfn.XLOOKUP($B253,'[2]Dec-25'!$A:$A,'[2]Dec-25'!$H:$H,0)</f>
        <v>0</v>
      </c>
      <c r="AD253" s="17">
        <f>_xlfn.XLOOKUP($B253,'[2]Jan-26'!$A:$A,'[2]Jan-26'!$H:$H,0)</f>
        <v>0</v>
      </c>
      <c r="AE253" s="17">
        <f>_xlfn.XLOOKUP($B253,'[2]Feb-26'!$A:$A,'[2]Feb-26'!$H:$H,0)</f>
        <v>0</v>
      </c>
      <c r="AF253" s="17">
        <f>_xlfn.XLOOKUP($B253,'[2]Mar-26'!$A:$A,'[2]Mar-26'!$H:$H,0)</f>
        <v>0</v>
      </c>
      <c r="AG253" s="17">
        <f>_xlfn.XLOOKUP($B253,'[2]Apr-26'!$A:$A,'[2]Apr-26'!$H:$H,0)</f>
        <v>0</v>
      </c>
    </row>
    <row r="254" spans="1:33" x14ac:dyDescent="0.2">
      <c r="A254" s="58">
        <v>62730</v>
      </c>
      <c r="B254" s="56" t="str">
        <f t="shared" si="5"/>
        <v>62730</v>
      </c>
      <c r="C254" s="57" t="s">
        <v>629</v>
      </c>
      <c r="D254" s="57" t="s">
        <v>387</v>
      </c>
      <c r="E254" s="44" t="s">
        <v>633</v>
      </c>
      <c r="F254" s="17">
        <f>_xlfn.XLOOKUP($B254,'[2]Jan-24'!$A:$A,'[2]Jan-24'!$H:$H,0)</f>
        <v>0</v>
      </c>
      <c r="G254" s="17">
        <f>_xlfn.XLOOKUP($B254,'[2]Feb-24'!$A:$A,'[2]Feb-24'!$H:$H,0)</f>
        <v>0</v>
      </c>
      <c r="H254" s="17">
        <f>_xlfn.XLOOKUP($B254,'[2]Mar-24'!$A:$A,'[2]Mar-24'!$H:$H,0)</f>
        <v>0</v>
      </c>
      <c r="I254" s="17">
        <f>_xlfn.XLOOKUP($B254,'[2]Apr-24'!$A:$A,'[2]Apr-24'!$H:$H,0)</f>
        <v>0</v>
      </c>
      <c r="J254" s="17">
        <f>_xlfn.XLOOKUP($B254,'[2]May-24'!$A:$A,'[2]May-24'!$H:$H,0)</f>
        <v>0</v>
      </c>
      <c r="K254" s="17">
        <f>_xlfn.XLOOKUP($B254,'[2]Jun-24'!$A:$A,'[2]Jun-24'!$H:$H,0)</f>
        <v>0</v>
      </c>
      <c r="L254" s="17">
        <f>_xlfn.XLOOKUP($B254,'[2]Jul-24'!$A:$A,'[2]Jul-24'!$H:$H,0)</f>
        <v>0</v>
      </c>
      <c r="M254" s="17">
        <f>_xlfn.XLOOKUP($B254,'[2]Aug-24'!$A:$A,'[2]Aug-24'!$H:$H,0)</f>
        <v>0</v>
      </c>
      <c r="N254" s="17">
        <f>_xlfn.XLOOKUP($B254,'[2]Sep-24'!$A:$A,'[2]Sep-24'!$H:$H,0)</f>
        <v>0</v>
      </c>
      <c r="O254" s="17">
        <f>_xlfn.XLOOKUP($B254,'[2]Oct-24'!$A:$A,'[2]Oct-24'!$H:$H,0)</f>
        <v>0</v>
      </c>
      <c r="P254" s="17">
        <f>_xlfn.XLOOKUP($B254,'[2]Nov-24'!$A:$A,'[2]Nov-24'!$H:$H,0)</f>
        <v>0</v>
      </c>
      <c r="Q254" s="17">
        <f>_xlfn.XLOOKUP($B254,'[2]Dec-24'!$A:$A,'[2]Dec-24'!$H:$H,0)</f>
        <v>0</v>
      </c>
      <c r="R254" s="17">
        <f>_xlfn.XLOOKUP($B254,'[2]Jan-25'!$A:$A,'[2]Jan-25'!$H:$H,0)</f>
        <v>0</v>
      </c>
      <c r="S254" s="17">
        <f>_xlfn.XLOOKUP($B254,'[2]Feb-25'!$A:$A,'[2]Feb-25'!$H:$H,0)</f>
        <v>0</v>
      </c>
      <c r="T254" s="17">
        <f>_xlfn.XLOOKUP($B254,'[2]Mar-25'!$A:$A,'[2]Mar-25'!$H:$H,0)</f>
        <v>0</v>
      </c>
      <c r="U254" s="17">
        <f>_xlfn.XLOOKUP($B254,'[2]Apr-25'!$A:$A,'[2]Apr-25'!$H:$H,0)</f>
        <v>0</v>
      </c>
      <c r="V254" s="17">
        <f>_xlfn.XLOOKUP($B254,'[2]May-25'!$A:$A,'[2]May-25'!$H:$H,0)</f>
        <v>0</v>
      </c>
      <c r="W254" s="17">
        <f>_xlfn.XLOOKUP($B254,'[2]Jun-25'!$A:$A,'[2]Jun-25'!$H:$H,0)</f>
        <v>0</v>
      </c>
      <c r="X254" s="17">
        <f>_xlfn.XLOOKUP($B254,'[2]Jul-25'!$A:$A,'[2]Jul-25'!$H:$H,0)</f>
        <v>0</v>
      </c>
      <c r="Y254" s="17">
        <f>_xlfn.XLOOKUP($B254,'[2]Aug-25'!$A:$A,'[2]Aug-25'!$H:$H,0)</f>
        <v>0</v>
      </c>
      <c r="Z254" s="17">
        <f>_xlfn.XLOOKUP($B254,'[2]Sep-25'!$A:$A,'[2]Sep-25'!$H:$H,0)</f>
        <v>0</v>
      </c>
      <c r="AA254" s="17">
        <f>_xlfn.XLOOKUP($B254,'[2]Oct-25'!$A:$A,'[2]Oct-25'!$H:$H,0)</f>
        <v>0</v>
      </c>
      <c r="AB254" s="17">
        <f>_xlfn.XLOOKUP($B254,'[2]Nov-25'!$A:$A,'[2]Nov-25'!$H:$H,0)</f>
        <v>0</v>
      </c>
      <c r="AC254" s="17">
        <f>_xlfn.XLOOKUP($B254,'[2]Dec-25'!$A:$A,'[2]Dec-25'!$H:$H,0)</f>
        <v>0</v>
      </c>
      <c r="AD254" s="17">
        <f>_xlfn.XLOOKUP($B254,'[2]Jan-26'!$A:$A,'[2]Jan-26'!$H:$H,0)</f>
        <v>0</v>
      </c>
      <c r="AE254" s="17">
        <f>_xlfn.XLOOKUP($B254,'[2]Feb-26'!$A:$A,'[2]Feb-26'!$H:$H,0)</f>
        <v>0</v>
      </c>
      <c r="AF254" s="17">
        <f>_xlfn.XLOOKUP($B254,'[2]Mar-26'!$A:$A,'[2]Mar-26'!$H:$H,0)</f>
        <v>0</v>
      </c>
      <c r="AG254" s="17">
        <f>_xlfn.XLOOKUP($B254,'[2]Apr-26'!$A:$A,'[2]Apr-26'!$H:$H,0)</f>
        <v>0</v>
      </c>
    </row>
    <row r="255" spans="1:33" x14ac:dyDescent="0.2">
      <c r="A255" s="58">
        <v>62950</v>
      </c>
      <c r="B255" s="56" t="str">
        <f t="shared" si="5"/>
        <v>62950</v>
      </c>
      <c r="C255" s="57" t="s">
        <v>552</v>
      </c>
      <c r="D255" s="57" t="s">
        <v>387</v>
      </c>
      <c r="E255" s="44" t="s">
        <v>636</v>
      </c>
      <c r="F255" s="17">
        <f>_xlfn.XLOOKUP($B255,'[2]Jan-24'!$A:$A,'[2]Jan-24'!$H:$H,0)</f>
        <v>0</v>
      </c>
      <c r="G255" s="17">
        <f>_xlfn.XLOOKUP($B255,'[2]Feb-24'!$A:$A,'[2]Feb-24'!$H:$H,0)</f>
        <v>0</v>
      </c>
      <c r="H255" s="17">
        <f>_xlfn.XLOOKUP($B255,'[2]Mar-24'!$A:$A,'[2]Mar-24'!$H:$H,0)</f>
        <v>0</v>
      </c>
      <c r="I255" s="17">
        <f>_xlfn.XLOOKUP($B255,'[2]Apr-24'!$A:$A,'[2]Apr-24'!$H:$H,0)</f>
        <v>0</v>
      </c>
      <c r="J255" s="17">
        <f>_xlfn.XLOOKUP($B255,'[2]May-24'!$A:$A,'[2]May-24'!$H:$H,0)</f>
        <v>0</v>
      </c>
      <c r="K255" s="17">
        <f>_xlfn.XLOOKUP($B255,'[2]Jun-24'!$A:$A,'[2]Jun-24'!$H:$H,0)</f>
        <v>0</v>
      </c>
      <c r="L255" s="17">
        <f>_xlfn.XLOOKUP($B255,'[2]Jul-24'!$A:$A,'[2]Jul-24'!$H:$H,0)</f>
        <v>0</v>
      </c>
      <c r="M255" s="17">
        <f>_xlfn.XLOOKUP($B255,'[2]Aug-24'!$A:$A,'[2]Aug-24'!$H:$H,0)</f>
        <v>0</v>
      </c>
      <c r="N255" s="17">
        <f>_xlfn.XLOOKUP($B255,'[2]Sep-24'!$A:$A,'[2]Sep-24'!$H:$H,0)</f>
        <v>0</v>
      </c>
      <c r="O255" s="17">
        <f>_xlfn.XLOOKUP($B255,'[2]Oct-24'!$A:$A,'[2]Oct-24'!$H:$H,0)</f>
        <v>0</v>
      </c>
      <c r="P255" s="17">
        <f>_xlfn.XLOOKUP($B255,'[2]Nov-24'!$A:$A,'[2]Nov-24'!$H:$H,0)</f>
        <v>0</v>
      </c>
      <c r="Q255" s="17">
        <f>_xlfn.XLOOKUP($B255,'[2]Dec-24'!$A:$A,'[2]Dec-24'!$H:$H,0)</f>
        <v>0</v>
      </c>
      <c r="R255" s="17">
        <f>_xlfn.XLOOKUP($B255,'[2]Jan-25'!$A:$A,'[2]Jan-25'!$H:$H,0)</f>
        <v>0</v>
      </c>
      <c r="S255" s="17">
        <f>_xlfn.XLOOKUP($B255,'[2]Feb-25'!$A:$A,'[2]Feb-25'!$H:$H,0)</f>
        <v>0</v>
      </c>
      <c r="T255" s="17">
        <f>_xlfn.XLOOKUP($B255,'[2]Mar-25'!$A:$A,'[2]Mar-25'!$H:$H,0)</f>
        <v>0</v>
      </c>
      <c r="U255" s="17">
        <f>_xlfn.XLOOKUP($B255,'[2]Apr-25'!$A:$A,'[2]Apr-25'!$H:$H,0)</f>
        <v>0</v>
      </c>
      <c r="V255" s="17">
        <f>_xlfn.XLOOKUP($B255,'[2]May-25'!$A:$A,'[2]May-25'!$H:$H,0)</f>
        <v>0</v>
      </c>
      <c r="W255" s="17">
        <f>_xlfn.XLOOKUP($B255,'[2]Jun-25'!$A:$A,'[2]Jun-25'!$H:$H,0)</f>
        <v>0</v>
      </c>
      <c r="X255" s="17">
        <f>_xlfn.XLOOKUP($B255,'[2]Jul-25'!$A:$A,'[2]Jul-25'!$H:$H,0)</f>
        <v>0</v>
      </c>
      <c r="Y255" s="17">
        <f>_xlfn.XLOOKUP($B255,'[2]Aug-25'!$A:$A,'[2]Aug-25'!$H:$H,0)</f>
        <v>0</v>
      </c>
      <c r="Z255" s="17">
        <f>_xlfn.XLOOKUP($B255,'[2]Sep-25'!$A:$A,'[2]Sep-25'!$H:$H,0)</f>
        <v>0</v>
      </c>
      <c r="AA255" s="17">
        <f>_xlfn.XLOOKUP($B255,'[2]Oct-25'!$A:$A,'[2]Oct-25'!$H:$H,0)</f>
        <v>0</v>
      </c>
      <c r="AB255" s="17">
        <f>_xlfn.XLOOKUP($B255,'[2]Nov-25'!$A:$A,'[2]Nov-25'!$H:$H,0)</f>
        <v>0</v>
      </c>
      <c r="AC255" s="17">
        <f>_xlfn.XLOOKUP($B255,'[2]Dec-25'!$A:$A,'[2]Dec-25'!$H:$H,0)</f>
        <v>0</v>
      </c>
      <c r="AD255" s="17">
        <f>_xlfn.XLOOKUP($B255,'[2]Jan-26'!$A:$A,'[2]Jan-26'!$H:$H,0)</f>
        <v>0</v>
      </c>
      <c r="AE255" s="17">
        <f>_xlfn.XLOOKUP($B255,'[2]Feb-26'!$A:$A,'[2]Feb-26'!$H:$H,0)</f>
        <v>0</v>
      </c>
      <c r="AF255" s="17">
        <f>_xlfn.XLOOKUP($B255,'[2]Mar-26'!$A:$A,'[2]Mar-26'!$H:$H,0)</f>
        <v>0</v>
      </c>
      <c r="AG255" s="17">
        <f>_xlfn.XLOOKUP($B255,'[2]Apr-26'!$A:$A,'[2]Apr-26'!$H:$H,0)</f>
        <v>0</v>
      </c>
    </row>
    <row r="256" spans="1:33" x14ac:dyDescent="0.2">
      <c r="A256" s="58">
        <v>63000</v>
      </c>
      <c r="B256" s="56" t="str">
        <f t="shared" si="5"/>
        <v>63000</v>
      </c>
      <c r="C256" s="57" t="s">
        <v>549</v>
      </c>
      <c r="D256" s="57" t="s">
        <v>387</v>
      </c>
      <c r="E256" s="44" t="s">
        <v>637</v>
      </c>
      <c r="F256" s="17">
        <f>_xlfn.XLOOKUP($B256,'[2]Jan-24'!$A:$A,'[2]Jan-24'!$H:$H,0)</f>
        <v>0</v>
      </c>
      <c r="G256" s="17">
        <f>_xlfn.XLOOKUP($B256,'[2]Feb-24'!$A:$A,'[2]Feb-24'!$H:$H,0)</f>
        <v>0</v>
      </c>
      <c r="H256" s="17">
        <f>_xlfn.XLOOKUP($B256,'[2]Mar-24'!$A:$A,'[2]Mar-24'!$H:$H,0)</f>
        <v>0</v>
      </c>
      <c r="I256" s="17">
        <f>_xlfn.XLOOKUP($B256,'[2]Apr-24'!$A:$A,'[2]Apr-24'!$H:$H,0)</f>
        <v>0</v>
      </c>
      <c r="J256" s="17">
        <f>_xlfn.XLOOKUP($B256,'[2]May-24'!$A:$A,'[2]May-24'!$H:$H,0)</f>
        <v>0</v>
      </c>
      <c r="K256" s="17">
        <f>_xlfn.XLOOKUP($B256,'[2]Jun-24'!$A:$A,'[2]Jun-24'!$H:$H,0)</f>
        <v>0</v>
      </c>
      <c r="L256" s="17">
        <f>_xlfn.XLOOKUP($B256,'[2]Jul-24'!$A:$A,'[2]Jul-24'!$H:$H,0)</f>
        <v>0</v>
      </c>
      <c r="M256" s="17">
        <f>_xlfn.XLOOKUP($B256,'[2]Aug-24'!$A:$A,'[2]Aug-24'!$H:$H,0)</f>
        <v>0</v>
      </c>
      <c r="N256" s="17">
        <f>_xlfn.XLOOKUP($B256,'[2]Sep-24'!$A:$A,'[2]Sep-24'!$H:$H,0)</f>
        <v>0</v>
      </c>
      <c r="O256" s="17">
        <f>_xlfn.XLOOKUP($B256,'[2]Oct-24'!$A:$A,'[2]Oct-24'!$H:$H,0)</f>
        <v>0</v>
      </c>
      <c r="P256" s="17">
        <f>_xlfn.XLOOKUP($B256,'[2]Nov-24'!$A:$A,'[2]Nov-24'!$H:$H,0)</f>
        <v>0</v>
      </c>
      <c r="Q256" s="17">
        <f>_xlfn.XLOOKUP($B256,'[2]Dec-24'!$A:$A,'[2]Dec-24'!$H:$H,0)</f>
        <v>0</v>
      </c>
      <c r="R256" s="17">
        <f>_xlfn.XLOOKUP($B256,'[2]Jan-25'!$A:$A,'[2]Jan-25'!$H:$H,0)</f>
        <v>0</v>
      </c>
      <c r="S256" s="17">
        <f>_xlfn.XLOOKUP($B256,'[2]Feb-25'!$A:$A,'[2]Feb-25'!$H:$H,0)</f>
        <v>0</v>
      </c>
      <c r="T256" s="17">
        <f>_xlfn.XLOOKUP($B256,'[2]Mar-25'!$A:$A,'[2]Mar-25'!$H:$H,0)</f>
        <v>0</v>
      </c>
      <c r="U256" s="17">
        <f>_xlfn.XLOOKUP($B256,'[2]Apr-25'!$A:$A,'[2]Apr-25'!$H:$H,0)</f>
        <v>0</v>
      </c>
      <c r="V256" s="17">
        <f>_xlfn.XLOOKUP($B256,'[2]May-25'!$A:$A,'[2]May-25'!$H:$H,0)</f>
        <v>0</v>
      </c>
      <c r="W256" s="17">
        <f>_xlfn.XLOOKUP($B256,'[2]Jun-25'!$A:$A,'[2]Jun-25'!$H:$H,0)</f>
        <v>0</v>
      </c>
      <c r="X256" s="17">
        <f>_xlfn.XLOOKUP($B256,'[2]Jul-25'!$A:$A,'[2]Jul-25'!$H:$H,0)</f>
        <v>0</v>
      </c>
      <c r="Y256" s="17">
        <f>_xlfn.XLOOKUP($B256,'[2]Aug-25'!$A:$A,'[2]Aug-25'!$H:$H,0)</f>
        <v>0</v>
      </c>
      <c r="Z256" s="17">
        <f>_xlfn.XLOOKUP($B256,'[2]Sep-25'!$A:$A,'[2]Sep-25'!$H:$H,0)</f>
        <v>0</v>
      </c>
      <c r="AA256" s="17">
        <f>_xlfn.XLOOKUP($B256,'[2]Oct-25'!$A:$A,'[2]Oct-25'!$H:$H,0)</f>
        <v>0</v>
      </c>
      <c r="AB256" s="17">
        <f>_xlfn.XLOOKUP($B256,'[2]Nov-25'!$A:$A,'[2]Nov-25'!$H:$H,0)</f>
        <v>0</v>
      </c>
      <c r="AC256" s="17">
        <f>_xlfn.XLOOKUP($B256,'[2]Dec-25'!$A:$A,'[2]Dec-25'!$H:$H,0)</f>
        <v>0</v>
      </c>
      <c r="AD256" s="17">
        <f>_xlfn.XLOOKUP($B256,'[2]Jan-26'!$A:$A,'[2]Jan-26'!$H:$H,0)</f>
        <v>0</v>
      </c>
      <c r="AE256" s="17">
        <f>_xlfn.XLOOKUP($B256,'[2]Feb-26'!$A:$A,'[2]Feb-26'!$H:$H,0)</f>
        <v>0</v>
      </c>
      <c r="AF256" s="17">
        <f>_xlfn.XLOOKUP($B256,'[2]Mar-26'!$A:$A,'[2]Mar-26'!$H:$H,0)</f>
        <v>0</v>
      </c>
      <c r="AG256" s="17">
        <f>_xlfn.XLOOKUP($B256,'[2]Apr-26'!$A:$A,'[2]Apr-26'!$H:$H,0)</f>
        <v>0</v>
      </c>
    </row>
    <row r="257" spans="1:33" x14ac:dyDescent="0.2">
      <c r="A257" s="58">
        <v>63100</v>
      </c>
      <c r="B257" s="56" t="str">
        <f t="shared" si="5"/>
        <v>63100</v>
      </c>
      <c r="C257" s="57" t="s">
        <v>552</v>
      </c>
      <c r="D257" s="57" t="s">
        <v>387</v>
      </c>
      <c r="E257" s="44" t="s">
        <v>638</v>
      </c>
      <c r="F257" s="17">
        <f>_xlfn.XLOOKUP($B257,'[2]Jan-24'!$A:$A,'[2]Jan-24'!$H:$H,0)</f>
        <v>0</v>
      </c>
      <c r="G257" s="17">
        <f>_xlfn.XLOOKUP($B257,'[2]Feb-24'!$A:$A,'[2]Feb-24'!$H:$H,0)</f>
        <v>0</v>
      </c>
      <c r="H257" s="17">
        <f>_xlfn.XLOOKUP($B257,'[2]Mar-24'!$A:$A,'[2]Mar-24'!$H:$H,0)</f>
        <v>16.149999999999999</v>
      </c>
      <c r="I257" s="17">
        <f>_xlfn.XLOOKUP($B257,'[2]Apr-24'!$A:$A,'[2]Apr-24'!$H:$H,0)</f>
        <v>70.88</v>
      </c>
      <c r="J257" s="17">
        <f>_xlfn.XLOOKUP($B257,'[2]May-24'!$A:$A,'[2]May-24'!$H:$H,0)</f>
        <v>-15.23</v>
      </c>
      <c r="K257" s="17">
        <f>_xlfn.XLOOKUP($B257,'[2]Jun-24'!$A:$A,'[2]Jun-24'!$H:$H,0)</f>
        <v>53</v>
      </c>
      <c r="L257" s="17">
        <f>_xlfn.XLOOKUP($B257,'[2]Jul-24'!$A:$A,'[2]Jul-24'!$H:$H,0)</f>
        <v>363.4</v>
      </c>
      <c r="M257" s="17">
        <f>_xlfn.XLOOKUP($B257,'[2]Aug-24'!$A:$A,'[2]Aug-24'!$H:$H,0)</f>
        <v>44.3</v>
      </c>
      <c r="N257" s="17">
        <f>_xlfn.XLOOKUP($B257,'[2]Sep-24'!$A:$A,'[2]Sep-24'!$H:$H,0)</f>
        <v>51.5</v>
      </c>
      <c r="O257" s="17">
        <f>_xlfn.XLOOKUP($B257,'[2]Oct-24'!$A:$A,'[2]Oct-24'!$H:$H,0)</f>
        <v>44</v>
      </c>
      <c r="P257" s="17">
        <f>_xlfn.XLOOKUP($B257,'[2]Nov-24'!$A:$A,'[2]Nov-24'!$H:$H,0)</f>
        <v>44</v>
      </c>
      <c r="Q257" s="17">
        <f>_xlfn.XLOOKUP($B257,'[2]Dec-24'!$A:$A,'[2]Dec-24'!$H:$H,0)</f>
        <v>44</v>
      </c>
      <c r="R257" s="17">
        <f>_xlfn.XLOOKUP($B257,'[2]Jan-25'!$A:$A,'[2]Jan-25'!$H:$H,0)</f>
        <v>44.2</v>
      </c>
      <c r="S257" s="17">
        <f>_xlfn.XLOOKUP($B257,'[2]Feb-25'!$A:$A,'[2]Feb-25'!$H:$H,0)</f>
        <v>44</v>
      </c>
      <c r="T257" s="17">
        <f>_xlfn.XLOOKUP($B257,'[2]Mar-25'!$A:$A,'[2]Mar-25'!$H:$H,0)</f>
        <v>44.36</v>
      </c>
      <c r="U257" s="17">
        <f>_xlfn.XLOOKUP($B257,'[2]Apr-25'!$A:$A,'[2]Apr-25'!$H:$H,0)</f>
        <v>44</v>
      </c>
      <c r="V257" s="17">
        <f>_xlfn.XLOOKUP($B257,'[2]May-25'!$A:$A,'[2]May-25'!$H:$H,0)</f>
        <v>44</v>
      </c>
      <c r="W257" s="17">
        <f>_xlfn.XLOOKUP($B257,'[2]Jun-25'!$A:$A,'[2]Jun-25'!$H:$H,0)</f>
        <v>69</v>
      </c>
      <c r="X257" s="17">
        <f>_xlfn.XLOOKUP($B257,'[2]Jul-25'!$A:$A,'[2]Jul-25'!$H:$H,0)</f>
        <v>44.78</v>
      </c>
      <c r="Y257" s="17">
        <f>_xlfn.XLOOKUP($B257,'[2]Aug-25'!$A:$A,'[2]Aug-25'!$H:$H,0)</f>
        <v>0</v>
      </c>
      <c r="Z257" s="17">
        <f>_xlfn.XLOOKUP($B257,'[2]Sep-25'!$A:$A,'[2]Sep-25'!$H:$H,0)</f>
        <v>0</v>
      </c>
      <c r="AA257" s="17">
        <f>_xlfn.XLOOKUP($B257,'[2]Oct-25'!$A:$A,'[2]Oct-25'!$H:$H,0)</f>
        <v>30</v>
      </c>
      <c r="AB257" s="17">
        <f>_xlfn.XLOOKUP($B257,'[2]Nov-25'!$A:$A,'[2]Nov-25'!$H:$H,0)</f>
        <v>3.68</v>
      </c>
      <c r="AC257" s="17">
        <f>_xlfn.XLOOKUP($B257,'[2]Dec-25'!$A:$A,'[2]Dec-25'!$H:$H,0)</f>
        <v>60</v>
      </c>
      <c r="AD257" s="17">
        <f>_xlfn.XLOOKUP($B257,'[2]Jan-26'!$A:$A,'[2]Jan-26'!$H:$H,0)</f>
        <v>30</v>
      </c>
      <c r="AE257" s="17">
        <f>_xlfn.XLOOKUP($B257,'[2]Feb-26'!$A:$A,'[2]Feb-26'!$H:$H,0)</f>
        <v>0</v>
      </c>
      <c r="AF257" s="17">
        <f>_xlfn.XLOOKUP($B257,'[2]Mar-26'!$A:$A,'[2]Mar-26'!$H:$H,0)</f>
        <v>40</v>
      </c>
      <c r="AG257" s="17">
        <f>_xlfn.XLOOKUP($B257,'[2]Apr-26'!$A:$A,'[2]Apr-26'!$H:$H,0)</f>
        <v>30</v>
      </c>
    </row>
    <row r="258" spans="1:33" x14ac:dyDescent="0.2">
      <c r="A258" s="58">
        <v>63110</v>
      </c>
      <c r="B258" s="56" t="str">
        <f t="shared" si="5"/>
        <v>63110</v>
      </c>
      <c r="C258" s="57" t="s">
        <v>565</v>
      </c>
      <c r="D258" s="57" t="s">
        <v>387</v>
      </c>
      <c r="E258" s="44" t="s">
        <v>640</v>
      </c>
      <c r="F258" s="17">
        <f>_xlfn.XLOOKUP($B258,'[2]Jan-24'!$A:$A,'[2]Jan-24'!$H:$H,0)</f>
        <v>0</v>
      </c>
      <c r="G258" s="17">
        <f>_xlfn.XLOOKUP($B258,'[2]Feb-24'!$A:$A,'[2]Feb-24'!$H:$H,0)</f>
        <v>0</v>
      </c>
      <c r="H258" s="17">
        <f>_xlfn.XLOOKUP($B258,'[2]Mar-24'!$A:$A,'[2]Mar-24'!$H:$H,0)</f>
        <v>0</v>
      </c>
      <c r="I258" s="17">
        <f>_xlfn.XLOOKUP($B258,'[2]Apr-24'!$A:$A,'[2]Apr-24'!$H:$H,0)</f>
        <v>0</v>
      </c>
      <c r="J258" s="17">
        <f>_xlfn.XLOOKUP($B258,'[2]May-24'!$A:$A,'[2]May-24'!$H:$H,0)</f>
        <v>0</v>
      </c>
      <c r="K258" s="17">
        <f>_xlfn.XLOOKUP($B258,'[2]Jun-24'!$A:$A,'[2]Jun-24'!$H:$H,0)</f>
        <v>0</v>
      </c>
      <c r="L258" s="17">
        <f>_xlfn.XLOOKUP($B258,'[2]Jul-24'!$A:$A,'[2]Jul-24'!$H:$H,0)</f>
        <v>0</v>
      </c>
      <c r="M258" s="17">
        <f>_xlfn.XLOOKUP($B258,'[2]Aug-24'!$A:$A,'[2]Aug-24'!$H:$H,0)</f>
        <v>0</v>
      </c>
      <c r="N258" s="17">
        <f>_xlfn.XLOOKUP($B258,'[2]Sep-24'!$A:$A,'[2]Sep-24'!$H:$H,0)</f>
        <v>0</v>
      </c>
      <c r="O258" s="17">
        <f>_xlfn.XLOOKUP($B258,'[2]Oct-24'!$A:$A,'[2]Oct-24'!$H:$H,0)</f>
        <v>0</v>
      </c>
      <c r="P258" s="17">
        <f>_xlfn.XLOOKUP($B258,'[2]Nov-24'!$A:$A,'[2]Nov-24'!$H:$H,0)</f>
        <v>0</v>
      </c>
      <c r="Q258" s="17">
        <f>_xlfn.XLOOKUP($B258,'[2]Dec-24'!$A:$A,'[2]Dec-24'!$H:$H,0)</f>
        <v>0</v>
      </c>
      <c r="R258" s="17">
        <f>_xlfn.XLOOKUP($B258,'[2]Jan-25'!$A:$A,'[2]Jan-25'!$H:$H,0)</f>
        <v>0</v>
      </c>
      <c r="S258" s="17">
        <f>_xlfn.XLOOKUP($B258,'[2]Feb-25'!$A:$A,'[2]Feb-25'!$H:$H,0)</f>
        <v>0</v>
      </c>
      <c r="T258" s="17">
        <f>_xlfn.XLOOKUP($B258,'[2]Mar-25'!$A:$A,'[2]Mar-25'!$H:$H,0)</f>
        <v>0</v>
      </c>
      <c r="U258" s="17">
        <f>_xlfn.XLOOKUP($B258,'[2]Apr-25'!$A:$A,'[2]Apr-25'!$H:$H,0)</f>
        <v>0</v>
      </c>
      <c r="V258" s="17">
        <f>_xlfn.XLOOKUP($B258,'[2]May-25'!$A:$A,'[2]May-25'!$H:$H,0)</f>
        <v>0</v>
      </c>
      <c r="W258" s="17">
        <f>_xlfn.XLOOKUP($B258,'[2]Jun-25'!$A:$A,'[2]Jun-25'!$H:$H,0)</f>
        <v>0</v>
      </c>
      <c r="X258" s="17">
        <f>_xlfn.XLOOKUP($B258,'[2]Jul-25'!$A:$A,'[2]Jul-25'!$H:$H,0)</f>
        <v>0</v>
      </c>
      <c r="Y258" s="17">
        <f>_xlfn.XLOOKUP($B258,'[2]Aug-25'!$A:$A,'[2]Aug-25'!$H:$H,0)</f>
        <v>0</v>
      </c>
      <c r="Z258" s="17">
        <f>_xlfn.XLOOKUP($B258,'[2]Sep-25'!$A:$A,'[2]Sep-25'!$H:$H,0)</f>
        <v>0</v>
      </c>
      <c r="AA258" s="17">
        <f>_xlfn.XLOOKUP($B258,'[2]Oct-25'!$A:$A,'[2]Oct-25'!$H:$H,0)</f>
        <v>0</v>
      </c>
      <c r="AB258" s="17">
        <f>_xlfn.XLOOKUP($B258,'[2]Nov-25'!$A:$A,'[2]Nov-25'!$H:$H,0)</f>
        <v>0</v>
      </c>
      <c r="AC258" s="17">
        <f>_xlfn.XLOOKUP($B258,'[2]Dec-25'!$A:$A,'[2]Dec-25'!$H:$H,0)</f>
        <v>0</v>
      </c>
      <c r="AD258" s="17">
        <f>_xlfn.XLOOKUP($B258,'[2]Jan-26'!$A:$A,'[2]Jan-26'!$H:$H,0)</f>
        <v>0</v>
      </c>
      <c r="AE258" s="17">
        <f>_xlfn.XLOOKUP($B258,'[2]Feb-26'!$A:$A,'[2]Feb-26'!$H:$H,0)</f>
        <v>0</v>
      </c>
      <c r="AF258" s="17">
        <f>_xlfn.XLOOKUP($B258,'[2]Mar-26'!$A:$A,'[2]Mar-26'!$H:$H,0)</f>
        <v>0</v>
      </c>
      <c r="AG258" s="17">
        <f>_xlfn.XLOOKUP($B258,'[2]Apr-26'!$A:$A,'[2]Apr-26'!$H:$H,0)</f>
        <v>0</v>
      </c>
    </row>
    <row r="259" spans="1:33" x14ac:dyDescent="0.2">
      <c r="A259" s="58">
        <v>63120</v>
      </c>
      <c r="B259" s="56" t="str">
        <f t="shared" si="5"/>
        <v>63120</v>
      </c>
      <c r="C259" s="57" t="s">
        <v>562</v>
      </c>
      <c r="D259" s="57" t="s">
        <v>387</v>
      </c>
      <c r="E259" s="44" t="s">
        <v>642</v>
      </c>
      <c r="F259" s="17">
        <f>_xlfn.XLOOKUP($B259,'[2]Jan-24'!$A:$A,'[2]Jan-24'!$H:$H,0)</f>
        <v>0</v>
      </c>
      <c r="G259" s="17">
        <f>_xlfn.XLOOKUP($B259,'[2]Feb-24'!$A:$A,'[2]Feb-24'!$H:$H,0)</f>
        <v>0</v>
      </c>
      <c r="H259" s="17">
        <f>_xlfn.XLOOKUP($B259,'[2]Mar-24'!$A:$A,'[2]Mar-24'!$H:$H,0)</f>
        <v>0</v>
      </c>
      <c r="I259" s="17">
        <f>_xlfn.XLOOKUP($B259,'[2]Apr-24'!$A:$A,'[2]Apr-24'!$H:$H,0)</f>
        <v>0</v>
      </c>
      <c r="J259" s="17">
        <f>_xlfn.XLOOKUP($B259,'[2]May-24'!$A:$A,'[2]May-24'!$H:$H,0)</f>
        <v>0</v>
      </c>
      <c r="K259" s="17">
        <f>_xlfn.XLOOKUP($B259,'[2]Jun-24'!$A:$A,'[2]Jun-24'!$H:$H,0)</f>
        <v>0</v>
      </c>
      <c r="L259" s="17">
        <f>_xlfn.XLOOKUP($B259,'[2]Jul-24'!$A:$A,'[2]Jul-24'!$H:$H,0)</f>
        <v>0</v>
      </c>
      <c r="M259" s="17">
        <f>_xlfn.XLOOKUP($B259,'[2]Aug-24'!$A:$A,'[2]Aug-24'!$H:$H,0)</f>
        <v>0</v>
      </c>
      <c r="N259" s="17">
        <f>_xlfn.XLOOKUP($B259,'[2]Sep-24'!$A:$A,'[2]Sep-24'!$H:$H,0)</f>
        <v>0</v>
      </c>
      <c r="O259" s="17">
        <f>_xlfn.XLOOKUP($B259,'[2]Oct-24'!$A:$A,'[2]Oct-24'!$H:$H,0)</f>
        <v>0</v>
      </c>
      <c r="P259" s="17">
        <f>_xlfn.XLOOKUP($B259,'[2]Nov-24'!$A:$A,'[2]Nov-24'!$H:$H,0)</f>
        <v>0</v>
      </c>
      <c r="Q259" s="17">
        <f>_xlfn.XLOOKUP($B259,'[2]Dec-24'!$A:$A,'[2]Dec-24'!$H:$H,0)</f>
        <v>0</v>
      </c>
      <c r="R259" s="17">
        <f>_xlfn.XLOOKUP($B259,'[2]Jan-25'!$A:$A,'[2]Jan-25'!$H:$H,0)</f>
        <v>0</v>
      </c>
      <c r="S259" s="17">
        <f>_xlfn.XLOOKUP($B259,'[2]Feb-25'!$A:$A,'[2]Feb-25'!$H:$H,0)</f>
        <v>0</v>
      </c>
      <c r="T259" s="17">
        <f>_xlfn.XLOOKUP($B259,'[2]Mar-25'!$A:$A,'[2]Mar-25'!$H:$H,0)</f>
        <v>0</v>
      </c>
      <c r="U259" s="17">
        <f>_xlfn.XLOOKUP($B259,'[2]Apr-25'!$A:$A,'[2]Apr-25'!$H:$H,0)</f>
        <v>0</v>
      </c>
      <c r="V259" s="17">
        <f>_xlfn.XLOOKUP($B259,'[2]May-25'!$A:$A,'[2]May-25'!$H:$H,0)</f>
        <v>0</v>
      </c>
      <c r="W259" s="17">
        <f>_xlfn.XLOOKUP($B259,'[2]Jun-25'!$A:$A,'[2]Jun-25'!$H:$H,0)</f>
        <v>0</v>
      </c>
      <c r="X259" s="17">
        <f>_xlfn.XLOOKUP($B259,'[2]Jul-25'!$A:$A,'[2]Jul-25'!$H:$H,0)</f>
        <v>0</v>
      </c>
      <c r="Y259" s="17">
        <f>_xlfn.XLOOKUP($B259,'[2]Aug-25'!$A:$A,'[2]Aug-25'!$H:$H,0)</f>
        <v>0</v>
      </c>
      <c r="Z259" s="17">
        <f>_xlfn.XLOOKUP($B259,'[2]Sep-25'!$A:$A,'[2]Sep-25'!$H:$H,0)</f>
        <v>0</v>
      </c>
      <c r="AA259" s="17">
        <f>_xlfn.XLOOKUP($B259,'[2]Oct-25'!$A:$A,'[2]Oct-25'!$H:$H,0)</f>
        <v>0</v>
      </c>
      <c r="AB259" s="17">
        <f>_xlfn.XLOOKUP($B259,'[2]Nov-25'!$A:$A,'[2]Nov-25'!$H:$H,0)</f>
        <v>0</v>
      </c>
      <c r="AC259" s="17">
        <f>_xlfn.XLOOKUP($B259,'[2]Dec-25'!$A:$A,'[2]Dec-25'!$H:$H,0)</f>
        <v>0</v>
      </c>
      <c r="AD259" s="17">
        <f>_xlfn.XLOOKUP($B259,'[2]Jan-26'!$A:$A,'[2]Jan-26'!$H:$H,0)</f>
        <v>0</v>
      </c>
      <c r="AE259" s="17">
        <f>_xlfn.XLOOKUP($B259,'[2]Feb-26'!$A:$A,'[2]Feb-26'!$H:$H,0)</f>
        <v>0</v>
      </c>
      <c r="AF259" s="17">
        <f>_xlfn.XLOOKUP($B259,'[2]Mar-26'!$A:$A,'[2]Mar-26'!$H:$H,0)</f>
        <v>0</v>
      </c>
      <c r="AG259" s="17">
        <f>_xlfn.XLOOKUP($B259,'[2]Apr-26'!$A:$A,'[2]Apr-26'!$H:$H,0)</f>
        <v>0</v>
      </c>
    </row>
    <row r="260" spans="1:33" x14ac:dyDescent="0.2">
      <c r="A260" s="58">
        <v>63125</v>
      </c>
      <c r="B260" s="56" t="str">
        <f t="shared" si="5"/>
        <v>63125</v>
      </c>
      <c r="C260" s="57" t="s">
        <v>643</v>
      </c>
      <c r="D260" s="57" t="s">
        <v>387</v>
      </c>
      <c r="E260" s="44" t="s">
        <v>644</v>
      </c>
      <c r="F260" s="17">
        <f>_xlfn.XLOOKUP($B260,'[2]Jan-24'!$A:$A,'[2]Jan-24'!$H:$H,0)</f>
        <v>131.22</v>
      </c>
      <c r="G260" s="17">
        <f>_xlfn.XLOOKUP($B260,'[2]Feb-24'!$A:$A,'[2]Feb-24'!$H:$H,0)</f>
        <v>0</v>
      </c>
      <c r="H260" s="17">
        <f>_xlfn.XLOOKUP($B260,'[2]Mar-24'!$A:$A,'[2]Mar-24'!$H:$H,0)</f>
        <v>0</v>
      </c>
      <c r="I260" s="17">
        <f>_xlfn.XLOOKUP($B260,'[2]Apr-24'!$A:$A,'[2]Apr-24'!$H:$H,0)</f>
        <v>0</v>
      </c>
      <c r="J260" s="17">
        <f>_xlfn.XLOOKUP($B260,'[2]May-24'!$A:$A,'[2]May-24'!$H:$H,0)</f>
        <v>0</v>
      </c>
      <c r="K260" s="17">
        <f>_xlfn.XLOOKUP($B260,'[2]Jun-24'!$A:$A,'[2]Jun-24'!$H:$H,0)</f>
        <v>0</v>
      </c>
      <c r="L260" s="17">
        <f>_xlfn.XLOOKUP($B260,'[2]Jul-24'!$A:$A,'[2]Jul-24'!$H:$H,0)</f>
        <v>0</v>
      </c>
      <c r="M260" s="17">
        <f>_xlfn.XLOOKUP($B260,'[2]Aug-24'!$A:$A,'[2]Aug-24'!$H:$H,0)</f>
        <v>0</v>
      </c>
      <c r="N260" s="17">
        <f>_xlfn.XLOOKUP($B260,'[2]Sep-24'!$A:$A,'[2]Sep-24'!$H:$H,0)</f>
        <v>0</v>
      </c>
      <c r="O260" s="17">
        <f>_xlfn.XLOOKUP($B260,'[2]Oct-24'!$A:$A,'[2]Oct-24'!$H:$H,0)</f>
        <v>0</v>
      </c>
      <c r="P260" s="17">
        <f>_xlfn.XLOOKUP($B260,'[2]Nov-24'!$A:$A,'[2]Nov-24'!$H:$H,0)</f>
        <v>94.61</v>
      </c>
      <c r="Q260" s="17">
        <f>_xlfn.XLOOKUP($B260,'[2]Dec-24'!$A:$A,'[2]Dec-24'!$H:$H,0)</f>
        <v>0</v>
      </c>
      <c r="R260" s="17">
        <f>_xlfn.XLOOKUP($B260,'[2]Jan-25'!$A:$A,'[2]Jan-25'!$H:$H,0)</f>
        <v>0</v>
      </c>
      <c r="S260" s="17">
        <f>_xlfn.XLOOKUP($B260,'[2]Feb-25'!$A:$A,'[2]Feb-25'!$H:$H,0)</f>
        <v>0</v>
      </c>
      <c r="T260" s="17">
        <f>_xlfn.XLOOKUP($B260,'[2]Mar-25'!$A:$A,'[2]Mar-25'!$H:$H,0)</f>
        <v>0</v>
      </c>
      <c r="U260" s="17">
        <f>_xlfn.XLOOKUP($B260,'[2]Apr-25'!$A:$A,'[2]Apr-25'!$H:$H,0)</f>
        <v>0</v>
      </c>
      <c r="V260" s="17">
        <f>_xlfn.XLOOKUP($B260,'[2]May-25'!$A:$A,'[2]May-25'!$H:$H,0)</f>
        <v>0</v>
      </c>
      <c r="W260" s="17">
        <f>_xlfn.XLOOKUP($B260,'[2]Jun-25'!$A:$A,'[2]Jun-25'!$H:$H,0)</f>
        <v>0</v>
      </c>
      <c r="X260" s="17">
        <f>_xlfn.XLOOKUP($B260,'[2]Jul-25'!$A:$A,'[2]Jul-25'!$H:$H,0)</f>
        <v>0</v>
      </c>
      <c r="Y260" s="17">
        <f>_xlfn.XLOOKUP($B260,'[2]Aug-25'!$A:$A,'[2]Aug-25'!$H:$H,0)</f>
        <v>0</v>
      </c>
      <c r="Z260" s="17">
        <f>_xlfn.XLOOKUP($B260,'[2]Sep-25'!$A:$A,'[2]Sep-25'!$H:$H,0)</f>
        <v>0</v>
      </c>
      <c r="AA260" s="17">
        <f>_xlfn.XLOOKUP($B260,'[2]Oct-25'!$A:$A,'[2]Oct-25'!$H:$H,0)</f>
        <v>0</v>
      </c>
      <c r="AB260" s="17">
        <f>_xlfn.XLOOKUP($B260,'[2]Nov-25'!$A:$A,'[2]Nov-25'!$H:$H,0)</f>
        <v>0</v>
      </c>
      <c r="AC260" s="17">
        <f>_xlfn.XLOOKUP($B260,'[2]Dec-25'!$A:$A,'[2]Dec-25'!$H:$H,0)</f>
        <v>0</v>
      </c>
      <c r="AD260" s="17">
        <f>_xlfn.XLOOKUP($B260,'[2]Jan-26'!$A:$A,'[2]Jan-26'!$H:$H,0)</f>
        <v>0</v>
      </c>
      <c r="AE260" s="17">
        <f>_xlfn.XLOOKUP($B260,'[2]Feb-26'!$A:$A,'[2]Feb-26'!$H:$H,0)</f>
        <v>0</v>
      </c>
      <c r="AF260" s="17">
        <f>_xlfn.XLOOKUP($B260,'[2]Mar-26'!$A:$A,'[2]Mar-26'!$H:$H,0)</f>
        <v>0</v>
      </c>
      <c r="AG260" s="17">
        <f>_xlfn.XLOOKUP($B260,'[2]Apr-26'!$A:$A,'[2]Apr-26'!$H:$H,0)</f>
        <v>0</v>
      </c>
    </row>
    <row r="261" spans="1:33" x14ac:dyDescent="0.2">
      <c r="A261" s="58">
        <v>63200</v>
      </c>
      <c r="B261" s="56" t="str">
        <f t="shared" si="5"/>
        <v>63200</v>
      </c>
      <c r="C261" s="57" t="s">
        <v>643</v>
      </c>
      <c r="D261" s="57" t="s">
        <v>387</v>
      </c>
      <c r="E261" s="44" t="s">
        <v>645</v>
      </c>
      <c r="F261" s="17">
        <f>_xlfn.XLOOKUP($B261,'[2]Jan-24'!$A:$A,'[2]Jan-24'!$H:$H,0)</f>
        <v>0</v>
      </c>
      <c r="G261" s="17">
        <f>_xlfn.XLOOKUP($B261,'[2]Feb-24'!$A:$A,'[2]Feb-24'!$H:$H,0)</f>
        <v>0</v>
      </c>
      <c r="H261" s="17">
        <f>_xlfn.XLOOKUP($B261,'[2]Mar-24'!$A:$A,'[2]Mar-24'!$H:$H,0)</f>
        <v>0</v>
      </c>
      <c r="I261" s="17">
        <f>_xlfn.XLOOKUP($B261,'[2]Apr-24'!$A:$A,'[2]Apr-24'!$H:$H,0)</f>
        <v>0</v>
      </c>
      <c r="J261" s="17">
        <f>_xlfn.XLOOKUP($B261,'[2]May-24'!$A:$A,'[2]May-24'!$H:$H,0)</f>
        <v>0</v>
      </c>
      <c r="K261" s="17">
        <f>_xlfn.XLOOKUP($B261,'[2]Jun-24'!$A:$A,'[2]Jun-24'!$H:$H,0)</f>
        <v>0</v>
      </c>
      <c r="L261" s="17">
        <f>_xlfn.XLOOKUP($B261,'[2]Jul-24'!$A:$A,'[2]Jul-24'!$H:$H,0)</f>
        <v>0</v>
      </c>
      <c r="M261" s="17">
        <f>_xlfn.XLOOKUP($B261,'[2]Aug-24'!$A:$A,'[2]Aug-24'!$H:$H,0)</f>
        <v>0</v>
      </c>
      <c r="N261" s="17">
        <f>_xlfn.XLOOKUP($B261,'[2]Sep-24'!$A:$A,'[2]Sep-24'!$H:$H,0)</f>
        <v>0</v>
      </c>
      <c r="O261" s="17">
        <f>_xlfn.XLOOKUP($B261,'[2]Oct-24'!$A:$A,'[2]Oct-24'!$H:$H,0)</f>
        <v>0</v>
      </c>
      <c r="P261" s="17">
        <f>_xlfn.XLOOKUP($B261,'[2]Nov-24'!$A:$A,'[2]Nov-24'!$H:$H,0)</f>
        <v>0</v>
      </c>
      <c r="Q261" s="17">
        <f>_xlfn.XLOOKUP($B261,'[2]Dec-24'!$A:$A,'[2]Dec-24'!$H:$H,0)</f>
        <v>0</v>
      </c>
      <c r="R261" s="17">
        <f>_xlfn.XLOOKUP($B261,'[2]Jan-25'!$A:$A,'[2]Jan-25'!$H:$H,0)</f>
        <v>0</v>
      </c>
      <c r="S261" s="17">
        <f>_xlfn.XLOOKUP($B261,'[2]Feb-25'!$A:$A,'[2]Feb-25'!$H:$H,0)</f>
        <v>0</v>
      </c>
      <c r="T261" s="17">
        <f>_xlfn.XLOOKUP($B261,'[2]Mar-25'!$A:$A,'[2]Mar-25'!$H:$H,0)</f>
        <v>0</v>
      </c>
      <c r="U261" s="17">
        <f>_xlfn.XLOOKUP($B261,'[2]Apr-25'!$A:$A,'[2]Apr-25'!$H:$H,0)</f>
        <v>0</v>
      </c>
      <c r="V261" s="17">
        <f>_xlfn.XLOOKUP($B261,'[2]May-25'!$A:$A,'[2]May-25'!$H:$H,0)</f>
        <v>0</v>
      </c>
      <c r="W261" s="17">
        <f>_xlfn.XLOOKUP($B261,'[2]Jun-25'!$A:$A,'[2]Jun-25'!$H:$H,0)</f>
        <v>0</v>
      </c>
      <c r="X261" s="17">
        <f>_xlfn.XLOOKUP($B261,'[2]Jul-25'!$A:$A,'[2]Jul-25'!$H:$H,0)</f>
        <v>0</v>
      </c>
      <c r="Y261" s="17">
        <f>_xlfn.XLOOKUP($B261,'[2]Aug-25'!$A:$A,'[2]Aug-25'!$H:$H,0)</f>
        <v>0</v>
      </c>
      <c r="Z261" s="17">
        <f>_xlfn.XLOOKUP($B261,'[2]Sep-25'!$A:$A,'[2]Sep-25'!$H:$H,0)</f>
        <v>0</v>
      </c>
      <c r="AA261" s="17">
        <f>_xlfn.XLOOKUP($B261,'[2]Oct-25'!$A:$A,'[2]Oct-25'!$H:$H,0)</f>
        <v>0</v>
      </c>
      <c r="AB261" s="17">
        <f>_xlfn.XLOOKUP($B261,'[2]Nov-25'!$A:$A,'[2]Nov-25'!$H:$H,0)</f>
        <v>0</v>
      </c>
      <c r="AC261" s="17">
        <f>_xlfn.XLOOKUP($B261,'[2]Dec-25'!$A:$A,'[2]Dec-25'!$H:$H,0)</f>
        <v>0</v>
      </c>
      <c r="AD261" s="17">
        <f>_xlfn.XLOOKUP($B261,'[2]Jan-26'!$A:$A,'[2]Jan-26'!$H:$H,0)</f>
        <v>0</v>
      </c>
      <c r="AE261" s="17">
        <f>_xlfn.XLOOKUP($B261,'[2]Feb-26'!$A:$A,'[2]Feb-26'!$H:$H,0)</f>
        <v>0</v>
      </c>
      <c r="AF261" s="17">
        <f>_xlfn.XLOOKUP($B261,'[2]Mar-26'!$A:$A,'[2]Mar-26'!$H:$H,0)</f>
        <v>0</v>
      </c>
      <c r="AG261" s="17">
        <f>_xlfn.XLOOKUP($B261,'[2]Apr-26'!$A:$A,'[2]Apr-26'!$H:$H,0)</f>
        <v>0</v>
      </c>
    </row>
    <row r="262" spans="1:33" x14ac:dyDescent="0.2">
      <c r="A262" s="58">
        <v>63300</v>
      </c>
      <c r="B262" s="56" t="str">
        <f t="shared" si="5"/>
        <v>63300</v>
      </c>
      <c r="C262" s="57" t="s">
        <v>552</v>
      </c>
      <c r="D262" s="57" t="s">
        <v>387</v>
      </c>
      <c r="E262" s="44" t="s">
        <v>646</v>
      </c>
      <c r="F262" s="17">
        <f>_xlfn.XLOOKUP($B262,'[2]Jan-24'!$A:$A,'[2]Jan-24'!$H:$H,0)</f>
        <v>0</v>
      </c>
      <c r="G262" s="17">
        <f>_xlfn.XLOOKUP($B262,'[2]Feb-24'!$A:$A,'[2]Feb-24'!$H:$H,0)</f>
        <v>0</v>
      </c>
      <c r="H262" s="17">
        <f>_xlfn.XLOOKUP($B262,'[2]Mar-24'!$A:$A,'[2]Mar-24'!$H:$H,0)</f>
        <v>0</v>
      </c>
      <c r="I262" s="17">
        <f>_xlfn.XLOOKUP($B262,'[2]Apr-24'!$A:$A,'[2]Apr-24'!$H:$H,0)</f>
        <v>0</v>
      </c>
      <c r="J262" s="17">
        <f>_xlfn.XLOOKUP($B262,'[2]May-24'!$A:$A,'[2]May-24'!$H:$H,0)</f>
        <v>0</v>
      </c>
      <c r="K262" s="17">
        <f>_xlfn.XLOOKUP($B262,'[2]Jun-24'!$A:$A,'[2]Jun-24'!$H:$H,0)</f>
        <v>0</v>
      </c>
      <c r="L262" s="17">
        <f>_xlfn.XLOOKUP($B262,'[2]Jul-24'!$A:$A,'[2]Jul-24'!$H:$H,0)</f>
        <v>0</v>
      </c>
      <c r="M262" s="17">
        <f>_xlfn.XLOOKUP($B262,'[2]Aug-24'!$A:$A,'[2]Aug-24'!$H:$H,0)</f>
        <v>0</v>
      </c>
      <c r="N262" s="17">
        <f>_xlfn.XLOOKUP($B262,'[2]Sep-24'!$A:$A,'[2]Sep-24'!$H:$H,0)</f>
        <v>0</v>
      </c>
      <c r="O262" s="17">
        <f>_xlfn.XLOOKUP($B262,'[2]Oct-24'!$A:$A,'[2]Oct-24'!$H:$H,0)</f>
        <v>0</v>
      </c>
      <c r="P262" s="17">
        <f>_xlfn.XLOOKUP($B262,'[2]Nov-24'!$A:$A,'[2]Nov-24'!$H:$H,0)</f>
        <v>0</v>
      </c>
      <c r="Q262" s="17">
        <f>_xlfn.XLOOKUP($B262,'[2]Dec-24'!$A:$A,'[2]Dec-24'!$H:$H,0)</f>
        <v>0</v>
      </c>
      <c r="R262" s="17">
        <f>_xlfn.XLOOKUP($B262,'[2]Jan-25'!$A:$A,'[2]Jan-25'!$H:$H,0)</f>
        <v>0</v>
      </c>
      <c r="S262" s="17">
        <f>_xlfn.XLOOKUP($B262,'[2]Feb-25'!$A:$A,'[2]Feb-25'!$H:$H,0)</f>
        <v>0</v>
      </c>
      <c r="T262" s="17">
        <f>_xlfn.XLOOKUP($B262,'[2]Mar-25'!$A:$A,'[2]Mar-25'!$H:$H,0)</f>
        <v>0</v>
      </c>
      <c r="U262" s="17">
        <f>_xlfn.XLOOKUP($B262,'[2]Apr-25'!$A:$A,'[2]Apr-25'!$H:$H,0)</f>
        <v>0</v>
      </c>
      <c r="V262" s="17">
        <f>_xlfn.XLOOKUP($B262,'[2]May-25'!$A:$A,'[2]May-25'!$H:$H,0)</f>
        <v>0</v>
      </c>
      <c r="W262" s="17">
        <f>_xlfn.XLOOKUP($B262,'[2]Jun-25'!$A:$A,'[2]Jun-25'!$H:$H,0)</f>
        <v>0</v>
      </c>
      <c r="X262" s="17">
        <f>_xlfn.XLOOKUP($B262,'[2]Jul-25'!$A:$A,'[2]Jul-25'!$H:$H,0)</f>
        <v>0</v>
      </c>
      <c r="Y262" s="17">
        <f>_xlfn.XLOOKUP($B262,'[2]Aug-25'!$A:$A,'[2]Aug-25'!$H:$H,0)</f>
        <v>0</v>
      </c>
      <c r="Z262" s="17">
        <f>_xlfn.XLOOKUP($B262,'[2]Sep-25'!$A:$A,'[2]Sep-25'!$H:$H,0)</f>
        <v>0</v>
      </c>
      <c r="AA262" s="17">
        <f>_xlfn.XLOOKUP($B262,'[2]Oct-25'!$A:$A,'[2]Oct-25'!$H:$H,0)</f>
        <v>0</v>
      </c>
      <c r="AB262" s="17">
        <f>_xlfn.XLOOKUP($B262,'[2]Nov-25'!$A:$A,'[2]Nov-25'!$H:$H,0)</f>
        <v>0</v>
      </c>
      <c r="AC262" s="17">
        <f>_xlfn.XLOOKUP($B262,'[2]Dec-25'!$A:$A,'[2]Dec-25'!$H:$H,0)</f>
        <v>0</v>
      </c>
      <c r="AD262" s="17">
        <f>_xlfn.XLOOKUP($B262,'[2]Jan-26'!$A:$A,'[2]Jan-26'!$H:$H,0)</f>
        <v>0</v>
      </c>
      <c r="AE262" s="17">
        <f>_xlfn.XLOOKUP($B262,'[2]Feb-26'!$A:$A,'[2]Feb-26'!$H:$H,0)</f>
        <v>0</v>
      </c>
      <c r="AF262" s="17">
        <f>_xlfn.XLOOKUP($B262,'[2]Mar-26'!$A:$A,'[2]Mar-26'!$H:$H,0)</f>
        <v>0</v>
      </c>
      <c r="AG262" s="17">
        <f>_xlfn.XLOOKUP($B262,'[2]Apr-26'!$A:$A,'[2]Apr-26'!$H:$H,0)</f>
        <v>0</v>
      </c>
    </row>
    <row r="263" spans="1:33" x14ac:dyDescent="0.2">
      <c r="A263" s="58">
        <v>63900</v>
      </c>
      <c r="B263" s="56" t="str">
        <f t="shared" si="5"/>
        <v>63900</v>
      </c>
      <c r="C263" s="57" t="s">
        <v>389</v>
      </c>
      <c r="D263" s="57" t="s">
        <v>387</v>
      </c>
      <c r="E263" s="44" t="s">
        <v>649</v>
      </c>
      <c r="F263" s="17">
        <f>_xlfn.XLOOKUP($B263,'[2]Jan-24'!$A:$A,'[2]Jan-24'!$H:$H,0)</f>
        <v>0</v>
      </c>
      <c r="G263" s="17">
        <f>_xlfn.XLOOKUP($B263,'[2]Feb-24'!$A:$A,'[2]Feb-24'!$H:$H,0)</f>
        <v>0</v>
      </c>
      <c r="H263" s="17">
        <f>_xlfn.XLOOKUP($B263,'[2]Mar-24'!$A:$A,'[2]Mar-24'!$H:$H,0)</f>
        <v>0</v>
      </c>
      <c r="I263" s="17">
        <f>_xlfn.XLOOKUP($B263,'[2]Apr-24'!$A:$A,'[2]Apr-24'!$H:$H,0)</f>
        <v>0</v>
      </c>
      <c r="J263" s="17">
        <f>_xlfn.XLOOKUP($B263,'[2]May-24'!$A:$A,'[2]May-24'!$H:$H,0)</f>
        <v>0</v>
      </c>
      <c r="K263" s="17">
        <f>_xlfn.XLOOKUP($B263,'[2]Jun-24'!$A:$A,'[2]Jun-24'!$H:$H,0)</f>
        <v>0</v>
      </c>
      <c r="L263" s="17">
        <f>_xlfn.XLOOKUP($B263,'[2]Jul-24'!$A:$A,'[2]Jul-24'!$H:$H,0)</f>
        <v>0</v>
      </c>
      <c r="M263" s="17">
        <f>_xlfn.XLOOKUP($B263,'[2]Aug-24'!$A:$A,'[2]Aug-24'!$H:$H,0)</f>
        <v>0</v>
      </c>
      <c r="N263" s="17">
        <f>_xlfn.XLOOKUP($B263,'[2]Sep-24'!$A:$A,'[2]Sep-24'!$H:$H,0)</f>
        <v>0</v>
      </c>
      <c r="O263" s="17">
        <f>_xlfn.XLOOKUP($B263,'[2]Oct-24'!$A:$A,'[2]Oct-24'!$H:$H,0)</f>
        <v>0</v>
      </c>
      <c r="P263" s="17">
        <f>_xlfn.XLOOKUP($B263,'[2]Nov-24'!$A:$A,'[2]Nov-24'!$H:$H,0)</f>
        <v>0</v>
      </c>
      <c r="Q263" s="17">
        <f>_xlfn.XLOOKUP($B263,'[2]Dec-24'!$A:$A,'[2]Dec-24'!$H:$H,0)</f>
        <v>0</v>
      </c>
      <c r="R263" s="17">
        <f>_xlfn.XLOOKUP($B263,'[2]Jan-25'!$A:$A,'[2]Jan-25'!$H:$H,0)</f>
        <v>0</v>
      </c>
      <c r="S263" s="17">
        <f>_xlfn.XLOOKUP($B263,'[2]Feb-25'!$A:$A,'[2]Feb-25'!$H:$H,0)</f>
        <v>0</v>
      </c>
      <c r="T263" s="17">
        <f>_xlfn.XLOOKUP($B263,'[2]Mar-25'!$A:$A,'[2]Mar-25'!$H:$H,0)</f>
        <v>0</v>
      </c>
      <c r="U263" s="17">
        <f>_xlfn.XLOOKUP($B263,'[2]Apr-25'!$A:$A,'[2]Apr-25'!$H:$H,0)</f>
        <v>0</v>
      </c>
      <c r="V263" s="17">
        <f>_xlfn.XLOOKUP($B263,'[2]May-25'!$A:$A,'[2]May-25'!$H:$H,0)</f>
        <v>0</v>
      </c>
      <c r="W263" s="17">
        <f>_xlfn.XLOOKUP($B263,'[2]Jun-25'!$A:$A,'[2]Jun-25'!$H:$H,0)</f>
        <v>0</v>
      </c>
      <c r="X263" s="17">
        <f>_xlfn.XLOOKUP($B263,'[2]Jul-25'!$A:$A,'[2]Jul-25'!$H:$H,0)</f>
        <v>0</v>
      </c>
      <c r="Y263" s="17">
        <f>_xlfn.XLOOKUP($B263,'[2]Aug-25'!$A:$A,'[2]Aug-25'!$H:$H,0)</f>
        <v>0</v>
      </c>
      <c r="Z263" s="17">
        <f>_xlfn.XLOOKUP($B263,'[2]Sep-25'!$A:$A,'[2]Sep-25'!$H:$H,0)</f>
        <v>0</v>
      </c>
      <c r="AA263" s="17">
        <f>_xlfn.XLOOKUP($B263,'[2]Oct-25'!$A:$A,'[2]Oct-25'!$H:$H,0)</f>
        <v>0</v>
      </c>
      <c r="AB263" s="17">
        <f>_xlfn.XLOOKUP($B263,'[2]Nov-25'!$A:$A,'[2]Nov-25'!$H:$H,0)</f>
        <v>0</v>
      </c>
      <c r="AC263" s="17">
        <f>_xlfn.XLOOKUP($B263,'[2]Dec-25'!$A:$A,'[2]Dec-25'!$H:$H,0)</f>
        <v>0</v>
      </c>
      <c r="AD263" s="17">
        <f>_xlfn.XLOOKUP($B263,'[2]Jan-26'!$A:$A,'[2]Jan-26'!$H:$H,0)</f>
        <v>0</v>
      </c>
      <c r="AE263" s="17">
        <f>_xlfn.XLOOKUP($B263,'[2]Feb-26'!$A:$A,'[2]Feb-26'!$H:$H,0)</f>
        <v>0</v>
      </c>
      <c r="AF263" s="17">
        <f>_xlfn.XLOOKUP($B263,'[2]Mar-26'!$A:$A,'[2]Mar-26'!$H:$H,0)</f>
        <v>0</v>
      </c>
      <c r="AG263" s="17">
        <f>_xlfn.XLOOKUP($B263,'[2]Apr-26'!$A:$A,'[2]Apr-26'!$H:$H,0)</f>
        <v>0</v>
      </c>
    </row>
    <row r="264" spans="1:33" x14ac:dyDescent="0.2">
      <c r="A264" s="58">
        <v>63905</v>
      </c>
      <c r="B264" s="56" t="str">
        <f t="shared" ref="B264:B299" si="6">TEXT(A264,"00000")</f>
        <v>63905</v>
      </c>
      <c r="C264" s="57" t="s">
        <v>389</v>
      </c>
      <c r="D264" s="57" t="s">
        <v>387</v>
      </c>
      <c r="E264" s="44" t="s">
        <v>654</v>
      </c>
      <c r="F264" s="17">
        <f>_xlfn.XLOOKUP($B264,'[2]Jan-24'!$A:$A,'[2]Jan-24'!$H:$H,0)</f>
        <v>0</v>
      </c>
      <c r="G264" s="17">
        <f>_xlfn.XLOOKUP($B264,'[2]Feb-24'!$A:$A,'[2]Feb-24'!$H:$H,0)</f>
        <v>0</v>
      </c>
      <c r="H264" s="17">
        <f>_xlfn.XLOOKUP($B264,'[2]Mar-24'!$A:$A,'[2]Mar-24'!$H:$H,0)</f>
        <v>0</v>
      </c>
      <c r="I264" s="17">
        <f>_xlfn.XLOOKUP($B264,'[2]Apr-24'!$A:$A,'[2]Apr-24'!$H:$H,0)</f>
        <v>0</v>
      </c>
      <c r="J264" s="17">
        <f>_xlfn.XLOOKUP($B264,'[2]May-24'!$A:$A,'[2]May-24'!$H:$H,0)</f>
        <v>0</v>
      </c>
      <c r="K264" s="17">
        <f>_xlfn.XLOOKUP($B264,'[2]Jun-24'!$A:$A,'[2]Jun-24'!$H:$H,0)</f>
        <v>0</v>
      </c>
      <c r="L264" s="17">
        <f>_xlfn.XLOOKUP($B264,'[2]Jul-24'!$A:$A,'[2]Jul-24'!$H:$H,0)</f>
        <v>0</v>
      </c>
      <c r="M264" s="17">
        <f>_xlfn.XLOOKUP($B264,'[2]Aug-24'!$A:$A,'[2]Aug-24'!$H:$H,0)</f>
        <v>0</v>
      </c>
      <c r="N264" s="17">
        <f>_xlfn.XLOOKUP($B264,'[2]Sep-24'!$A:$A,'[2]Sep-24'!$H:$H,0)</f>
        <v>0</v>
      </c>
      <c r="O264" s="17">
        <f>_xlfn.XLOOKUP($B264,'[2]Oct-24'!$A:$A,'[2]Oct-24'!$H:$H,0)</f>
        <v>0</v>
      </c>
      <c r="P264" s="17">
        <f>_xlfn.XLOOKUP($B264,'[2]Nov-24'!$A:$A,'[2]Nov-24'!$H:$H,0)</f>
        <v>0</v>
      </c>
      <c r="Q264" s="17">
        <f>_xlfn.XLOOKUP($B264,'[2]Dec-24'!$A:$A,'[2]Dec-24'!$H:$H,0)</f>
        <v>0</v>
      </c>
      <c r="R264" s="17">
        <f>_xlfn.XLOOKUP($B264,'[2]Jan-25'!$A:$A,'[2]Jan-25'!$H:$H,0)</f>
        <v>0</v>
      </c>
      <c r="S264" s="17">
        <f>_xlfn.XLOOKUP($B264,'[2]Feb-25'!$A:$A,'[2]Feb-25'!$H:$H,0)</f>
        <v>0</v>
      </c>
      <c r="T264" s="17">
        <f>_xlfn.XLOOKUP($B264,'[2]Mar-25'!$A:$A,'[2]Mar-25'!$H:$H,0)</f>
        <v>0</v>
      </c>
      <c r="U264" s="17">
        <f>_xlfn.XLOOKUP($B264,'[2]Apr-25'!$A:$A,'[2]Apr-25'!$H:$H,0)</f>
        <v>0</v>
      </c>
      <c r="V264" s="17">
        <f>_xlfn.XLOOKUP($B264,'[2]May-25'!$A:$A,'[2]May-25'!$H:$H,0)</f>
        <v>0</v>
      </c>
      <c r="W264" s="17">
        <f>_xlfn.XLOOKUP($B264,'[2]Jun-25'!$A:$A,'[2]Jun-25'!$H:$H,0)</f>
        <v>0</v>
      </c>
      <c r="X264" s="17">
        <f>_xlfn.XLOOKUP($B264,'[2]Jul-25'!$A:$A,'[2]Jul-25'!$H:$H,0)</f>
        <v>0</v>
      </c>
      <c r="Y264" s="17">
        <f>_xlfn.XLOOKUP($B264,'[2]Aug-25'!$A:$A,'[2]Aug-25'!$H:$H,0)</f>
        <v>0</v>
      </c>
      <c r="Z264" s="17">
        <f>_xlfn.XLOOKUP($B264,'[2]Sep-25'!$A:$A,'[2]Sep-25'!$H:$H,0)</f>
        <v>0</v>
      </c>
      <c r="AA264" s="17">
        <f>_xlfn.XLOOKUP($B264,'[2]Oct-25'!$A:$A,'[2]Oct-25'!$H:$H,0)</f>
        <v>0</v>
      </c>
      <c r="AB264" s="17">
        <f>_xlfn.XLOOKUP($B264,'[2]Nov-25'!$A:$A,'[2]Nov-25'!$H:$H,0)</f>
        <v>0</v>
      </c>
      <c r="AC264" s="17">
        <f>_xlfn.XLOOKUP($B264,'[2]Dec-25'!$A:$A,'[2]Dec-25'!$H:$H,0)</f>
        <v>0</v>
      </c>
      <c r="AD264" s="17">
        <f>_xlfn.XLOOKUP($B264,'[2]Jan-26'!$A:$A,'[2]Jan-26'!$H:$H,0)</f>
        <v>0</v>
      </c>
      <c r="AE264" s="17">
        <f>_xlfn.XLOOKUP($B264,'[2]Feb-26'!$A:$A,'[2]Feb-26'!$H:$H,0)</f>
        <v>0</v>
      </c>
      <c r="AF264" s="17">
        <f>_xlfn.XLOOKUP($B264,'[2]Mar-26'!$A:$A,'[2]Mar-26'!$H:$H,0)</f>
        <v>0</v>
      </c>
      <c r="AG264" s="17">
        <f>_xlfn.XLOOKUP($B264,'[2]Apr-26'!$A:$A,'[2]Apr-26'!$H:$H,0)</f>
        <v>0</v>
      </c>
    </row>
    <row r="265" spans="1:33" x14ac:dyDescent="0.2">
      <c r="A265" s="58">
        <v>63907</v>
      </c>
      <c r="B265" s="56" t="str">
        <f t="shared" si="6"/>
        <v>63907</v>
      </c>
      <c r="C265" s="57" t="s">
        <v>565</v>
      </c>
      <c r="D265" s="57" t="s">
        <v>387</v>
      </c>
      <c r="E265" s="44" t="s">
        <v>656</v>
      </c>
      <c r="F265" s="17">
        <f>_xlfn.XLOOKUP($B265,'[2]Jan-24'!$A:$A,'[2]Jan-24'!$H:$H,0)</f>
        <v>0</v>
      </c>
      <c r="G265" s="17">
        <f>_xlfn.XLOOKUP($B265,'[2]Feb-24'!$A:$A,'[2]Feb-24'!$H:$H,0)</f>
        <v>0</v>
      </c>
      <c r="H265" s="17">
        <f>_xlfn.XLOOKUP($B265,'[2]Mar-24'!$A:$A,'[2]Mar-24'!$H:$H,0)</f>
        <v>0</v>
      </c>
      <c r="I265" s="17">
        <f>_xlfn.XLOOKUP($B265,'[2]Apr-24'!$A:$A,'[2]Apr-24'!$H:$H,0)</f>
        <v>0</v>
      </c>
      <c r="J265" s="17">
        <f>_xlfn.XLOOKUP($B265,'[2]May-24'!$A:$A,'[2]May-24'!$H:$H,0)</f>
        <v>0</v>
      </c>
      <c r="K265" s="17">
        <f>_xlfn.XLOOKUP($B265,'[2]Jun-24'!$A:$A,'[2]Jun-24'!$H:$H,0)</f>
        <v>0</v>
      </c>
      <c r="L265" s="17">
        <f>_xlfn.XLOOKUP($B265,'[2]Jul-24'!$A:$A,'[2]Jul-24'!$H:$H,0)</f>
        <v>0</v>
      </c>
      <c r="M265" s="17">
        <f>_xlfn.XLOOKUP($B265,'[2]Aug-24'!$A:$A,'[2]Aug-24'!$H:$H,0)</f>
        <v>0</v>
      </c>
      <c r="N265" s="17">
        <f>_xlfn.XLOOKUP($B265,'[2]Sep-24'!$A:$A,'[2]Sep-24'!$H:$H,0)</f>
        <v>0</v>
      </c>
      <c r="O265" s="17">
        <f>_xlfn.XLOOKUP($B265,'[2]Oct-24'!$A:$A,'[2]Oct-24'!$H:$H,0)</f>
        <v>0</v>
      </c>
      <c r="P265" s="17">
        <f>_xlfn.XLOOKUP($B265,'[2]Nov-24'!$A:$A,'[2]Nov-24'!$H:$H,0)</f>
        <v>0</v>
      </c>
      <c r="Q265" s="17">
        <f>_xlfn.XLOOKUP($B265,'[2]Dec-24'!$A:$A,'[2]Dec-24'!$H:$H,0)</f>
        <v>0</v>
      </c>
      <c r="R265" s="17">
        <f>_xlfn.XLOOKUP($B265,'[2]Jan-25'!$A:$A,'[2]Jan-25'!$H:$H,0)</f>
        <v>0</v>
      </c>
      <c r="S265" s="17">
        <f>_xlfn.XLOOKUP($B265,'[2]Feb-25'!$A:$A,'[2]Feb-25'!$H:$H,0)</f>
        <v>0</v>
      </c>
      <c r="T265" s="17">
        <f>_xlfn.XLOOKUP($B265,'[2]Mar-25'!$A:$A,'[2]Mar-25'!$H:$H,0)</f>
        <v>0</v>
      </c>
      <c r="U265" s="17">
        <f>_xlfn.XLOOKUP($B265,'[2]Apr-25'!$A:$A,'[2]Apr-25'!$H:$H,0)</f>
        <v>0</v>
      </c>
      <c r="V265" s="17">
        <f>_xlfn.XLOOKUP($B265,'[2]May-25'!$A:$A,'[2]May-25'!$H:$H,0)</f>
        <v>0</v>
      </c>
      <c r="W265" s="17">
        <f>_xlfn.XLOOKUP($B265,'[2]Jun-25'!$A:$A,'[2]Jun-25'!$H:$H,0)</f>
        <v>0</v>
      </c>
      <c r="X265" s="17">
        <f>_xlfn.XLOOKUP($B265,'[2]Jul-25'!$A:$A,'[2]Jul-25'!$H:$H,0)</f>
        <v>0</v>
      </c>
      <c r="Y265" s="17">
        <f>_xlfn.XLOOKUP($B265,'[2]Aug-25'!$A:$A,'[2]Aug-25'!$H:$H,0)</f>
        <v>0</v>
      </c>
      <c r="Z265" s="17">
        <f>_xlfn.XLOOKUP($B265,'[2]Sep-25'!$A:$A,'[2]Sep-25'!$H:$H,0)</f>
        <v>0</v>
      </c>
      <c r="AA265" s="17">
        <f>_xlfn.XLOOKUP($B265,'[2]Oct-25'!$A:$A,'[2]Oct-25'!$H:$H,0)</f>
        <v>0</v>
      </c>
      <c r="AB265" s="17">
        <f>_xlfn.XLOOKUP($B265,'[2]Nov-25'!$A:$A,'[2]Nov-25'!$H:$H,0)</f>
        <v>0</v>
      </c>
      <c r="AC265" s="17">
        <f>_xlfn.XLOOKUP($B265,'[2]Dec-25'!$A:$A,'[2]Dec-25'!$H:$H,0)</f>
        <v>0</v>
      </c>
      <c r="AD265" s="17">
        <f>_xlfn.XLOOKUP($B265,'[2]Jan-26'!$A:$A,'[2]Jan-26'!$H:$H,0)</f>
        <v>0</v>
      </c>
      <c r="AE265" s="17">
        <f>_xlfn.XLOOKUP($B265,'[2]Feb-26'!$A:$A,'[2]Feb-26'!$H:$H,0)</f>
        <v>0</v>
      </c>
      <c r="AF265" s="17">
        <f>_xlfn.XLOOKUP($B265,'[2]Mar-26'!$A:$A,'[2]Mar-26'!$H:$H,0)</f>
        <v>0</v>
      </c>
      <c r="AG265" s="17">
        <f>_xlfn.XLOOKUP($B265,'[2]Apr-26'!$A:$A,'[2]Apr-26'!$H:$H,0)</f>
        <v>0</v>
      </c>
    </row>
    <row r="266" spans="1:33" x14ac:dyDescent="0.2">
      <c r="A266" s="58">
        <v>63910</v>
      </c>
      <c r="B266" s="56" t="str">
        <f t="shared" si="6"/>
        <v>63910</v>
      </c>
      <c r="C266" s="57" t="s">
        <v>565</v>
      </c>
      <c r="D266" s="57" t="s">
        <v>387</v>
      </c>
      <c r="E266" s="44" t="s">
        <v>659</v>
      </c>
      <c r="F266" s="17">
        <f>_xlfn.XLOOKUP($B266,'[2]Jan-24'!$A:$A,'[2]Jan-24'!$H:$H,0)</f>
        <v>0</v>
      </c>
      <c r="G266" s="17">
        <f>_xlfn.XLOOKUP($B266,'[2]Feb-24'!$A:$A,'[2]Feb-24'!$H:$H,0)</f>
        <v>0</v>
      </c>
      <c r="H266" s="17">
        <f>_xlfn.XLOOKUP($B266,'[2]Mar-24'!$A:$A,'[2]Mar-24'!$H:$H,0)</f>
        <v>0</v>
      </c>
      <c r="I266" s="17">
        <f>_xlfn.XLOOKUP($B266,'[2]Apr-24'!$A:$A,'[2]Apr-24'!$H:$H,0)</f>
        <v>0</v>
      </c>
      <c r="J266" s="17">
        <f>_xlfn.XLOOKUP($B266,'[2]May-24'!$A:$A,'[2]May-24'!$H:$H,0)</f>
        <v>0</v>
      </c>
      <c r="K266" s="17">
        <f>_xlfn.XLOOKUP($B266,'[2]Jun-24'!$A:$A,'[2]Jun-24'!$H:$H,0)</f>
        <v>0</v>
      </c>
      <c r="L266" s="17">
        <f>_xlfn.XLOOKUP($B266,'[2]Jul-24'!$A:$A,'[2]Jul-24'!$H:$H,0)</f>
        <v>0</v>
      </c>
      <c r="M266" s="17">
        <f>_xlfn.XLOOKUP($B266,'[2]Aug-24'!$A:$A,'[2]Aug-24'!$H:$H,0)</f>
        <v>0</v>
      </c>
      <c r="N266" s="17">
        <f>_xlfn.XLOOKUP($B266,'[2]Sep-24'!$A:$A,'[2]Sep-24'!$H:$H,0)</f>
        <v>0</v>
      </c>
      <c r="O266" s="17">
        <f>_xlfn.XLOOKUP($B266,'[2]Oct-24'!$A:$A,'[2]Oct-24'!$H:$H,0)</f>
        <v>0</v>
      </c>
      <c r="P266" s="17">
        <f>_xlfn.XLOOKUP($B266,'[2]Nov-24'!$A:$A,'[2]Nov-24'!$H:$H,0)</f>
        <v>0</v>
      </c>
      <c r="Q266" s="17">
        <f>_xlfn.XLOOKUP($B266,'[2]Dec-24'!$A:$A,'[2]Dec-24'!$H:$H,0)</f>
        <v>0</v>
      </c>
      <c r="R266" s="17">
        <f>_xlfn.XLOOKUP($B266,'[2]Jan-25'!$A:$A,'[2]Jan-25'!$H:$H,0)</f>
        <v>0</v>
      </c>
      <c r="S266" s="17">
        <f>_xlfn.XLOOKUP($B266,'[2]Feb-25'!$A:$A,'[2]Feb-25'!$H:$H,0)</f>
        <v>0</v>
      </c>
      <c r="T266" s="17">
        <f>_xlfn.XLOOKUP($B266,'[2]Mar-25'!$A:$A,'[2]Mar-25'!$H:$H,0)</f>
        <v>0</v>
      </c>
      <c r="U266" s="17">
        <f>_xlfn.XLOOKUP($B266,'[2]Apr-25'!$A:$A,'[2]Apr-25'!$H:$H,0)</f>
        <v>0</v>
      </c>
      <c r="V266" s="17">
        <f>_xlfn.XLOOKUP($B266,'[2]May-25'!$A:$A,'[2]May-25'!$H:$H,0)</f>
        <v>0</v>
      </c>
      <c r="W266" s="17">
        <f>_xlfn.XLOOKUP($B266,'[2]Jun-25'!$A:$A,'[2]Jun-25'!$H:$H,0)</f>
        <v>0</v>
      </c>
      <c r="X266" s="17">
        <f>_xlfn.XLOOKUP($B266,'[2]Jul-25'!$A:$A,'[2]Jul-25'!$H:$H,0)</f>
        <v>0</v>
      </c>
      <c r="Y266" s="17">
        <f>_xlfn.XLOOKUP($B266,'[2]Aug-25'!$A:$A,'[2]Aug-25'!$H:$H,0)</f>
        <v>0</v>
      </c>
      <c r="Z266" s="17">
        <f>_xlfn.XLOOKUP($B266,'[2]Sep-25'!$A:$A,'[2]Sep-25'!$H:$H,0)</f>
        <v>0</v>
      </c>
      <c r="AA266" s="17">
        <f>_xlfn.XLOOKUP($B266,'[2]Oct-25'!$A:$A,'[2]Oct-25'!$H:$H,0)</f>
        <v>0</v>
      </c>
      <c r="AB266" s="17">
        <f>_xlfn.XLOOKUP($B266,'[2]Nov-25'!$A:$A,'[2]Nov-25'!$H:$H,0)</f>
        <v>0</v>
      </c>
      <c r="AC266" s="17">
        <f>_xlfn.XLOOKUP($B266,'[2]Dec-25'!$A:$A,'[2]Dec-25'!$H:$H,0)</f>
        <v>0</v>
      </c>
      <c r="AD266" s="17">
        <f>_xlfn.XLOOKUP($B266,'[2]Jan-26'!$A:$A,'[2]Jan-26'!$H:$H,0)</f>
        <v>0</v>
      </c>
      <c r="AE266" s="17">
        <f>_xlfn.XLOOKUP($B266,'[2]Feb-26'!$A:$A,'[2]Feb-26'!$H:$H,0)</f>
        <v>0</v>
      </c>
      <c r="AF266" s="17">
        <f>_xlfn.XLOOKUP($B266,'[2]Mar-26'!$A:$A,'[2]Mar-26'!$H:$H,0)</f>
        <v>0</v>
      </c>
      <c r="AG266" s="17">
        <f>_xlfn.XLOOKUP($B266,'[2]Apr-26'!$A:$A,'[2]Apr-26'!$H:$H,0)</f>
        <v>0</v>
      </c>
    </row>
    <row r="267" spans="1:33" x14ac:dyDescent="0.2">
      <c r="A267" s="58">
        <v>64000</v>
      </c>
      <c r="B267" s="56" t="str">
        <f t="shared" si="6"/>
        <v>64000</v>
      </c>
      <c r="C267" s="57" t="s">
        <v>420</v>
      </c>
      <c r="D267" s="57" t="s">
        <v>387</v>
      </c>
      <c r="E267" s="44" t="s">
        <v>660</v>
      </c>
      <c r="F267" s="17">
        <f>_xlfn.XLOOKUP($B267,'[2]Jan-24'!$A:$A,'[2]Jan-24'!$H:$H,0)</f>
        <v>0</v>
      </c>
      <c r="G267" s="17">
        <f>_xlfn.XLOOKUP($B267,'[2]Feb-24'!$A:$A,'[2]Feb-24'!$H:$H,0)</f>
        <v>0</v>
      </c>
      <c r="H267" s="17">
        <f>_xlfn.XLOOKUP($B267,'[2]Mar-24'!$A:$A,'[2]Mar-24'!$H:$H,0)</f>
        <v>0</v>
      </c>
      <c r="I267" s="17">
        <f>_xlfn.XLOOKUP($B267,'[2]Apr-24'!$A:$A,'[2]Apr-24'!$H:$H,0)</f>
        <v>0</v>
      </c>
      <c r="J267" s="17">
        <f>_xlfn.XLOOKUP($B267,'[2]May-24'!$A:$A,'[2]May-24'!$H:$H,0)</f>
        <v>0</v>
      </c>
      <c r="K267" s="17">
        <f>_xlfn.XLOOKUP($B267,'[2]Jun-24'!$A:$A,'[2]Jun-24'!$H:$H,0)</f>
        <v>0</v>
      </c>
      <c r="L267" s="17">
        <f>_xlfn.XLOOKUP($B267,'[2]Jul-24'!$A:$A,'[2]Jul-24'!$H:$H,0)</f>
        <v>0</v>
      </c>
      <c r="M267" s="17">
        <f>_xlfn.XLOOKUP($B267,'[2]Aug-24'!$A:$A,'[2]Aug-24'!$H:$H,0)</f>
        <v>0</v>
      </c>
      <c r="N267" s="17">
        <f>_xlfn.XLOOKUP($B267,'[2]Sep-24'!$A:$A,'[2]Sep-24'!$H:$H,0)</f>
        <v>0</v>
      </c>
      <c r="O267" s="17">
        <f>_xlfn.XLOOKUP($B267,'[2]Oct-24'!$A:$A,'[2]Oct-24'!$H:$H,0)</f>
        <v>0</v>
      </c>
      <c r="P267" s="17">
        <f>_xlfn.XLOOKUP($B267,'[2]Nov-24'!$A:$A,'[2]Nov-24'!$H:$H,0)</f>
        <v>0</v>
      </c>
      <c r="Q267" s="17">
        <f>_xlfn.XLOOKUP($B267,'[2]Dec-24'!$A:$A,'[2]Dec-24'!$H:$H,0)</f>
        <v>0</v>
      </c>
      <c r="R267" s="17">
        <f>_xlfn.XLOOKUP($B267,'[2]Jan-25'!$A:$A,'[2]Jan-25'!$H:$H,0)</f>
        <v>0</v>
      </c>
      <c r="S267" s="17">
        <f>_xlfn.XLOOKUP($B267,'[2]Feb-25'!$A:$A,'[2]Feb-25'!$H:$H,0)</f>
        <v>0</v>
      </c>
      <c r="T267" s="17">
        <f>_xlfn.XLOOKUP($B267,'[2]Mar-25'!$A:$A,'[2]Mar-25'!$H:$H,0)</f>
        <v>0</v>
      </c>
      <c r="U267" s="17">
        <f>_xlfn.XLOOKUP($B267,'[2]Apr-25'!$A:$A,'[2]Apr-25'!$H:$H,0)</f>
        <v>0</v>
      </c>
      <c r="V267" s="17">
        <f>_xlfn.XLOOKUP($B267,'[2]May-25'!$A:$A,'[2]May-25'!$H:$H,0)</f>
        <v>0</v>
      </c>
      <c r="W267" s="17">
        <f>_xlfn.XLOOKUP($B267,'[2]Jun-25'!$A:$A,'[2]Jun-25'!$H:$H,0)</f>
        <v>0</v>
      </c>
      <c r="X267" s="17">
        <f>_xlfn.XLOOKUP($B267,'[2]Jul-25'!$A:$A,'[2]Jul-25'!$H:$H,0)</f>
        <v>0</v>
      </c>
      <c r="Y267" s="17">
        <f>_xlfn.XLOOKUP($B267,'[2]Aug-25'!$A:$A,'[2]Aug-25'!$H:$H,0)</f>
        <v>0</v>
      </c>
      <c r="Z267" s="17">
        <f>_xlfn.XLOOKUP($B267,'[2]Sep-25'!$A:$A,'[2]Sep-25'!$H:$H,0)</f>
        <v>0</v>
      </c>
      <c r="AA267" s="17">
        <f>_xlfn.XLOOKUP($B267,'[2]Oct-25'!$A:$A,'[2]Oct-25'!$H:$H,0)</f>
        <v>0</v>
      </c>
      <c r="AB267" s="17">
        <f>_xlfn.XLOOKUP($B267,'[2]Nov-25'!$A:$A,'[2]Nov-25'!$H:$H,0)</f>
        <v>0</v>
      </c>
      <c r="AC267" s="17">
        <f>_xlfn.XLOOKUP($B267,'[2]Dec-25'!$A:$A,'[2]Dec-25'!$H:$H,0)</f>
        <v>0</v>
      </c>
      <c r="AD267" s="17">
        <f>_xlfn.XLOOKUP($B267,'[2]Jan-26'!$A:$A,'[2]Jan-26'!$H:$H,0)</f>
        <v>0</v>
      </c>
      <c r="AE267" s="17">
        <f>_xlfn.XLOOKUP($B267,'[2]Feb-26'!$A:$A,'[2]Feb-26'!$H:$H,0)</f>
        <v>0</v>
      </c>
      <c r="AF267" s="17">
        <f>_xlfn.XLOOKUP($B267,'[2]Mar-26'!$A:$A,'[2]Mar-26'!$H:$H,0)</f>
        <v>0</v>
      </c>
      <c r="AG267" s="17">
        <f>_xlfn.XLOOKUP($B267,'[2]Apr-26'!$A:$A,'[2]Apr-26'!$H:$H,0)</f>
        <v>0</v>
      </c>
    </row>
    <row r="268" spans="1:33" x14ac:dyDescent="0.2">
      <c r="A268" s="58">
        <v>65000</v>
      </c>
      <c r="B268" s="56" t="str">
        <f t="shared" si="6"/>
        <v>65000</v>
      </c>
      <c r="C268" s="57" t="s">
        <v>565</v>
      </c>
      <c r="D268" s="57" t="s">
        <v>387</v>
      </c>
      <c r="E268" s="44" t="s">
        <v>661</v>
      </c>
      <c r="F268" s="17">
        <f>_xlfn.XLOOKUP($B268,'[2]Jan-24'!$A:$A,'[2]Jan-24'!$H:$H,0)</f>
        <v>0</v>
      </c>
      <c r="G268" s="17">
        <f>_xlfn.XLOOKUP($B268,'[2]Feb-24'!$A:$A,'[2]Feb-24'!$H:$H,0)</f>
        <v>0</v>
      </c>
      <c r="H268" s="17">
        <f>_xlfn.XLOOKUP($B268,'[2]Mar-24'!$A:$A,'[2]Mar-24'!$H:$H,0)</f>
        <v>0</v>
      </c>
      <c r="I268" s="17">
        <f>_xlfn.XLOOKUP($B268,'[2]Apr-24'!$A:$A,'[2]Apr-24'!$H:$H,0)</f>
        <v>0</v>
      </c>
      <c r="J268" s="17">
        <f>_xlfn.XLOOKUP($B268,'[2]May-24'!$A:$A,'[2]May-24'!$H:$H,0)</f>
        <v>0</v>
      </c>
      <c r="K268" s="17">
        <f>_xlfn.XLOOKUP($B268,'[2]Jun-24'!$A:$A,'[2]Jun-24'!$H:$H,0)</f>
        <v>0</v>
      </c>
      <c r="L268" s="17">
        <f>_xlfn.XLOOKUP($B268,'[2]Jul-24'!$A:$A,'[2]Jul-24'!$H:$H,0)</f>
        <v>0</v>
      </c>
      <c r="M268" s="17">
        <f>_xlfn.XLOOKUP($B268,'[2]Aug-24'!$A:$A,'[2]Aug-24'!$H:$H,0)</f>
        <v>0</v>
      </c>
      <c r="N268" s="17">
        <f>_xlfn.XLOOKUP($B268,'[2]Sep-24'!$A:$A,'[2]Sep-24'!$H:$H,0)</f>
        <v>0</v>
      </c>
      <c r="O268" s="17">
        <f>_xlfn.XLOOKUP($B268,'[2]Oct-24'!$A:$A,'[2]Oct-24'!$H:$H,0)</f>
        <v>0</v>
      </c>
      <c r="P268" s="17">
        <f>_xlfn.XLOOKUP($B268,'[2]Nov-24'!$A:$A,'[2]Nov-24'!$H:$H,0)</f>
        <v>0</v>
      </c>
      <c r="Q268" s="17">
        <f>_xlfn.XLOOKUP($B268,'[2]Dec-24'!$A:$A,'[2]Dec-24'!$H:$H,0)</f>
        <v>0</v>
      </c>
      <c r="R268" s="17">
        <f>_xlfn.XLOOKUP($B268,'[2]Jan-25'!$A:$A,'[2]Jan-25'!$H:$H,0)</f>
        <v>0</v>
      </c>
      <c r="S268" s="17">
        <f>_xlfn.XLOOKUP($B268,'[2]Feb-25'!$A:$A,'[2]Feb-25'!$H:$H,0)</f>
        <v>0</v>
      </c>
      <c r="T268" s="17">
        <f>_xlfn.XLOOKUP($B268,'[2]Mar-25'!$A:$A,'[2]Mar-25'!$H:$H,0)</f>
        <v>0</v>
      </c>
      <c r="U268" s="17">
        <f>_xlfn.XLOOKUP($B268,'[2]Apr-25'!$A:$A,'[2]Apr-25'!$H:$H,0)</f>
        <v>0</v>
      </c>
      <c r="V268" s="17">
        <f>_xlfn.XLOOKUP($B268,'[2]May-25'!$A:$A,'[2]May-25'!$H:$H,0)</f>
        <v>0</v>
      </c>
      <c r="W268" s="17">
        <f>_xlfn.XLOOKUP($B268,'[2]Jun-25'!$A:$A,'[2]Jun-25'!$H:$H,0)</f>
        <v>0</v>
      </c>
      <c r="X268" s="17">
        <f>_xlfn.XLOOKUP($B268,'[2]Jul-25'!$A:$A,'[2]Jul-25'!$H:$H,0)</f>
        <v>0</v>
      </c>
      <c r="Y268" s="17">
        <f>_xlfn.XLOOKUP($B268,'[2]Aug-25'!$A:$A,'[2]Aug-25'!$H:$H,0)</f>
        <v>0</v>
      </c>
      <c r="Z268" s="17">
        <f>_xlfn.XLOOKUP($B268,'[2]Sep-25'!$A:$A,'[2]Sep-25'!$H:$H,0)</f>
        <v>0</v>
      </c>
      <c r="AA268" s="17">
        <f>_xlfn.XLOOKUP($B268,'[2]Oct-25'!$A:$A,'[2]Oct-25'!$H:$H,0)</f>
        <v>0</v>
      </c>
      <c r="AB268" s="17">
        <f>_xlfn.XLOOKUP($B268,'[2]Nov-25'!$A:$A,'[2]Nov-25'!$H:$H,0)</f>
        <v>0</v>
      </c>
      <c r="AC268" s="17">
        <f>_xlfn.XLOOKUP($B268,'[2]Dec-25'!$A:$A,'[2]Dec-25'!$H:$H,0)</f>
        <v>0</v>
      </c>
      <c r="AD268" s="17">
        <f>_xlfn.XLOOKUP($B268,'[2]Jan-26'!$A:$A,'[2]Jan-26'!$H:$H,0)</f>
        <v>0</v>
      </c>
      <c r="AE268" s="17">
        <f>_xlfn.XLOOKUP($B268,'[2]Feb-26'!$A:$A,'[2]Feb-26'!$H:$H,0)</f>
        <v>0</v>
      </c>
      <c r="AF268" s="17">
        <f>_xlfn.XLOOKUP($B268,'[2]Mar-26'!$A:$A,'[2]Mar-26'!$H:$H,0)</f>
        <v>0</v>
      </c>
      <c r="AG268" s="17">
        <f>_xlfn.XLOOKUP($B268,'[2]Apr-26'!$A:$A,'[2]Apr-26'!$H:$H,0)</f>
        <v>0</v>
      </c>
    </row>
    <row r="269" spans="1:33" x14ac:dyDescent="0.2">
      <c r="A269" s="58">
        <v>65010</v>
      </c>
      <c r="B269" s="56" t="str">
        <f t="shared" si="6"/>
        <v>65010</v>
      </c>
      <c r="C269" s="57" t="s">
        <v>565</v>
      </c>
      <c r="D269" s="57" t="s">
        <v>387</v>
      </c>
      <c r="E269" s="44" t="s">
        <v>664</v>
      </c>
      <c r="F269" s="17">
        <f>_xlfn.XLOOKUP($B269,'[2]Jan-24'!$A:$A,'[2]Jan-24'!$H:$H,0)</f>
        <v>0</v>
      </c>
      <c r="G269" s="17">
        <f>_xlfn.XLOOKUP($B269,'[2]Feb-24'!$A:$A,'[2]Feb-24'!$H:$H,0)</f>
        <v>0</v>
      </c>
      <c r="H269" s="17">
        <f>_xlfn.XLOOKUP($B269,'[2]Mar-24'!$A:$A,'[2]Mar-24'!$H:$H,0)</f>
        <v>0</v>
      </c>
      <c r="I269" s="17">
        <f>_xlfn.XLOOKUP($B269,'[2]Apr-24'!$A:$A,'[2]Apr-24'!$H:$H,0)</f>
        <v>0</v>
      </c>
      <c r="J269" s="17">
        <f>_xlfn.XLOOKUP($B269,'[2]May-24'!$A:$A,'[2]May-24'!$H:$H,0)</f>
        <v>0</v>
      </c>
      <c r="K269" s="17">
        <f>_xlfn.XLOOKUP($B269,'[2]Jun-24'!$A:$A,'[2]Jun-24'!$H:$H,0)</f>
        <v>0</v>
      </c>
      <c r="L269" s="17">
        <f>_xlfn.XLOOKUP($B269,'[2]Jul-24'!$A:$A,'[2]Jul-24'!$H:$H,0)</f>
        <v>0</v>
      </c>
      <c r="M269" s="17">
        <f>_xlfn.XLOOKUP($B269,'[2]Aug-24'!$A:$A,'[2]Aug-24'!$H:$H,0)</f>
        <v>0</v>
      </c>
      <c r="N269" s="17">
        <f>_xlfn.XLOOKUP($B269,'[2]Sep-24'!$A:$A,'[2]Sep-24'!$H:$H,0)</f>
        <v>0</v>
      </c>
      <c r="O269" s="17">
        <f>_xlfn.XLOOKUP($B269,'[2]Oct-24'!$A:$A,'[2]Oct-24'!$H:$H,0)</f>
        <v>0</v>
      </c>
      <c r="P269" s="17">
        <f>_xlfn.XLOOKUP($B269,'[2]Nov-24'!$A:$A,'[2]Nov-24'!$H:$H,0)</f>
        <v>0</v>
      </c>
      <c r="Q269" s="17">
        <f>_xlfn.XLOOKUP($B269,'[2]Dec-24'!$A:$A,'[2]Dec-24'!$H:$H,0)</f>
        <v>0</v>
      </c>
      <c r="R269" s="17">
        <f>_xlfn.XLOOKUP($B269,'[2]Jan-25'!$A:$A,'[2]Jan-25'!$H:$H,0)</f>
        <v>0</v>
      </c>
      <c r="S269" s="17">
        <f>_xlfn.XLOOKUP($B269,'[2]Feb-25'!$A:$A,'[2]Feb-25'!$H:$H,0)</f>
        <v>0</v>
      </c>
      <c r="T269" s="17">
        <f>_xlfn.XLOOKUP($B269,'[2]Mar-25'!$A:$A,'[2]Mar-25'!$H:$H,0)</f>
        <v>0</v>
      </c>
      <c r="U269" s="17">
        <f>_xlfn.XLOOKUP($B269,'[2]Apr-25'!$A:$A,'[2]Apr-25'!$H:$H,0)</f>
        <v>0</v>
      </c>
      <c r="V269" s="17">
        <f>_xlfn.XLOOKUP($B269,'[2]May-25'!$A:$A,'[2]May-25'!$H:$H,0)</f>
        <v>0</v>
      </c>
      <c r="W269" s="17">
        <f>_xlfn.XLOOKUP($B269,'[2]Jun-25'!$A:$A,'[2]Jun-25'!$H:$H,0)</f>
        <v>0</v>
      </c>
      <c r="X269" s="17">
        <f>_xlfn.XLOOKUP($B269,'[2]Jul-25'!$A:$A,'[2]Jul-25'!$H:$H,0)</f>
        <v>0</v>
      </c>
      <c r="Y269" s="17">
        <f>_xlfn.XLOOKUP($B269,'[2]Aug-25'!$A:$A,'[2]Aug-25'!$H:$H,0)</f>
        <v>0</v>
      </c>
      <c r="Z269" s="17">
        <f>_xlfn.XLOOKUP($B269,'[2]Sep-25'!$A:$A,'[2]Sep-25'!$H:$H,0)</f>
        <v>0</v>
      </c>
      <c r="AA269" s="17">
        <f>_xlfn.XLOOKUP($B269,'[2]Oct-25'!$A:$A,'[2]Oct-25'!$H:$H,0)</f>
        <v>0</v>
      </c>
      <c r="AB269" s="17">
        <f>_xlfn.XLOOKUP($B269,'[2]Nov-25'!$A:$A,'[2]Nov-25'!$H:$H,0)</f>
        <v>0</v>
      </c>
      <c r="AC269" s="17">
        <f>_xlfn.XLOOKUP($B269,'[2]Dec-25'!$A:$A,'[2]Dec-25'!$H:$H,0)</f>
        <v>0</v>
      </c>
      <c r="AD269" s="17">
        <f>_xlfn.XLOOKUP($B269,'[2]Jan-26'!$A:$A,'[2]Jan-26'!$H:$H,0)</f>
        <v>0</v>
      </c>
      <c r="AE269" s="17">
        <f>_xlfn.XLOOKUP($B269,'[2]Feb-26'!$A:$A,'[2]Feb-26'!$H:$H,0)</f>
        <v>0</v>
      </c>
      <c r="AF269" s="17">
        <f>_xlfn.XLOOKUP($B269,'[2]Mar-26'!$A:$A,'[2]Mar-26'!$H:$H,0)</f>
        <v>0</v>
      </c>
      <c r="AG269" s="17">
        <f>_xlfn.XLOOKUP($B269,'[2]Apr-26'!$A:$A,'[2]Apr-26'!$H:$H,0)</f>
        <v>0</v>
      </c>
    </row>
    <row r="270" spans="1:33" x14ac:dyDescent="0.2">
      <c r="A270" s="58">
        <v>65015</v>
      </c>
      <c r="B270" s="56" t="str">
        <f t="shared" si="6"/>
        <v>65015</v>
      </c>
      <c r="C270" s="57" t="s">
        <v>565</v>
      </c>
      <c r="D270" s="57" t="s">
        <v>387</v>
      </c>
      <c r="E270" s="44" t="s">
        <v>665</v>
      </c>
      <c r="F270" s="17">
        <f>_xlfn.XLOOKUP($B270,'[2]Jan-24'!$A:$A,'[2]Jan-24'!$H:$H,0)</f>
        <v>0</v>
      </c>
      <c r="G270" s="17">
        <f>_xlfn.XLOOKUP($B270,'[2]Feb-24'!$A:$A,'[2]Feb-24'!$H:$H,0)</f>
        <v>0</v>
      </c>
      <c r="H270" s="17">
        <f>_xlfn.XLOOKUP($B270,'[2]Mar-24'!$A:$A,'[2]Mar-24'!$H:$H,0)</f>
        <v>0</v>
      </c>
      <c r="I270" s="17">
        <f>_xlfn.XLOOKUP($B270,'[2]Apr-24'!$A:$A,'[2]Apr-24'!$H:$H,0)</f>
        <v>0</v>
      </c>
      <c r="J270" s="17">
        <f>_xlfn.XLOOKUP($B270,'[2]May-24'!$A:$A,'[2]May-24'!$H:$H,0)</f>
        <v>0</v>
      </c>
      <c r="K270" s="17">
        <f>_xlfn.XLOOKUP($B270,'[2]Jun-24'!$A:$A,'[2]Jun-24'!$H:$H,0)</f>
        <v>0</v>
      </c>
      <c r="L270" s="17">
        <f>_xlfn.XLOOKUP($B270,'[2]Jul-24'!$A:$A,'[2]Jul-24'!$H:$H,0)</f>
        <v>0</v>
      </c>
      <c r="M270" s="17">
        <f>_xlfn.XLOOKUP($B270,'[2]Aug-24'!$A:$A,'[2]Aug-24'!$H:$H,0)</f>
        <v>0</v>
      </c>
      <c r="N270" s="17">
        <f>_xlfn.XLOOKUP($B270,'[2]Sep-24'!$A:$A,'[2]Sep-24'!$H:$H,0)</f>
        <v>0</v>
      </c>
      <c r="O270" s="17">
        <f>_xlfn.XLOOKUP($B270,'[2]Oct-24'!$A:$A,'[2]Oct-24'!$H:$H,0)</f>
        <v>0</v>
      </c>
      <c r="P270" s="17">
        <f>_xlfn.XLOOKUP($B270,'[2]Nov-24'!$A:$A,'[2]Nov-24'!$H:$H,0)</f>
        <v>0</v>
      </c>
      <c r="Q270" s="17">
        <f>_xlfn.XLOOKUP($B270,'[2]Dec-24'!$A:$A,'[2]Dec-24'!$H:$H,0)</f>
        <v>0</v>
      </c>
      <c r="R270" s="17">
        <f>_xlfn.XLOOKUP($B270,'[2]Jan-25'!$A:$A,'[2]Jan-25'!$H:$H,0)</f>
        <v>0</v>
      </c>
      <c r="S270" s="17">
        <f>_xlfn.XLOOKUP($B270,'[2]Feb-25'!$A:$A,'[2]Feb-25'!$H:$H,0)</f>
        <v>0</v>
      </c>
      <c r="T270" s="17">
        <f>_xlfn.XLOOKUP($B270,'[2]Mar-25'!$A:$A,'[2]Mar-25'!$H:$H,0)</f>
        <v>0</v>
      </c>
      <c r="U270" s="17">
        <f>_xlfn.XLOOKUP($B270,'[2]Apr-25'!$A:$A,'[2]Apr-25'!$H:$H,0)</f>
        <v>0</v>
      </c>
      <c r="V270" s="17">
        <f>_xlfn.XLOOKUP($B270,'[2]May-25'!$A:$A,'[2]May-25'!$H:$H,0)</f>
        <v>0</v>
      </c>
      <c r="W270" s="17">
        <f>_xlfn.XLOOKUP($B270,'[2]Jun-25'!$A:$A,'[2]Jun-25'!$H:$H,0)</f>
        <v>0</v>
      </c>
      <c r="X270" s="17">
        <f>_xlfn.XLOOKUP($B270,'[2]Jul-25'!$A:$A,'[2]Jul-25'!$H:$H,0)</f>
        <v>0</v>
      </c>
      <c r="Y270" s="17">
        <f>_xlfn.XLOOKUP($B270,'[2]Aug-25'!$A:$A,'[2]Aug-25'!$H:$H,0)</f>
        <v>0</v>
      </c>
      <c r="Z270" s="17">
        <f>_xlfn.XLOOKUP($B270,'[2]Sep-25'!$A:$A,'[2]Sep-25'!$H:$H,0)</f>
        <v>0</v>
      </c>
      <c r="AA270" s="17">
        <f>_xlfn.XLOOKUP($B270,'[2]Oct-25'!$A:$A,'[2]Oct-25'!$H:$H,0)</f>
        <v>0</v>
      </c>
      <c r="AB270" s="17">
        <f>_xlfn.XLOOKUP($B270,'[2]Nov-25'!$A:$A,'[2]Nov-25'!$H:$H,0)</f>
        <v>0</v>
      </c>
      <c r="AC270" s="17">
        <f>_xlfn.XLOOKUP($B270,'[2]Dec-25'!$A:$A,'[2]Dec-25'!$H:$H,0)</f>
        <v>0</v>
      </c>
      <c r="AD270" s="17">
        <f>_xlfn.XLOOKUP($B270,'[2]Jan-26'!$A:$A,'[2]Jan-26'!$H:$H,0)</f>
        <v>0</v>
      </c>
      <c r="AE270" s="17">
        <f>_xlfn.XLOOKUP($B270,'[2]Feb-26'!$A:$A,'[2]Feb-26'!$H:$H,0)</f>
        <v>0</v>
      </c>
      <c r="AF270" s="17">
        <f>_xlfn.XLOOKUP($B270,'[2]Mar-26'!$A:$A,'[2]Mar-26'!$H:$H,0)</f>
        <v>0</v>
      </c>
      <c r="AG270" s="17">
        <f>_xlfn.XLOOKUP($B270,'[2]Apr-26'!$A:$A,'[2]Apr-26'!$H:$H,0)</f>
        <v>0</v>
      </c>
    </row>
    <row r="271" spans="1:33" x14ac:dyDescent="0.2">
      <c r="A271" s="58">
        <v>65020</v>
      </c>
      <c r="B271" s="56" t="str">
        <f t="shared" si="6"/>
        <v>65020</v>
      </c>
      <c r="C271" s="57" t="s">
        <v>565</v>
      </c>
      <c r="D271" s="57" t="s">
        <v>387</v>
      </c>
      <c r="E271" s="44" t="s">
        <v>666</v>
      </c>
      <c r="F271" s="17">
        <f>_xlfn.XLOOKUP($B271,'[2]Jan-24'!$A:$A,'[2]Jan-24'!$H:$H,0)</f>
        <v>0</v>
      </c>
      <c r="G271" s="17">
        <f>_xlfn.XLOOKUP($B271,'[2]Feb-24'!$A:$A,'[2]Feb-24'!$H:$H,0)</f>
        <v>0</v>
      </c>
      <c r="H271" s="17">
        <f>_xlfn.XLOOKUP($B271,'[2]Mar-24'!$A:$A,'[2]Mar-24'!$H:$H,0)</f>
        <v>0</v>
      </c>
      <c r="I271" s="17">
        <f>_xlfn.XLOOKUP($B271,'[2]Apr-24'!$A:$A,'[2]Apr-24'!$H:$H,0)</f>
        <v>0</v>
      </c>
      <c r="J271" s="17">
        <f>_xlfn.XLOOKUP($B271,'[2]May-24'!$A:$A,'[2]May-24'!$H:$H,0)</f>
        <v>0</v>
      </c>
      <c r="K271" s="17">
        <f>_xlfn.XLOOKUP($B271,'[2]Jun-24'!$A:$A,'[2]Jun-24'!$H:$H,0)</f>
        <v>0</v>
      </c>
      <c r="L271" s="17">
        <f>_xlfn.XLOOKUP($B271,'[2]Jul-24'!$A:$A,'[2]Jul-24'!$H:$H,0)</f>
        <v>0</v>
      </c>
      <c r="M271" s="17">
        <f>_xlfn.XLOOKUP($B271,'[2]Aug-24'!$A:$A,'[2]Aug-24'!$H:$H,0)</f>
        <v>0</v>
      </c>
      <c r="N271" s="17">
        <f>_xlfn.XLOOKUP($B271,'[2]Sep-24'!$A:$A,'[2]Sep-24'!$H:$H,0)</f>
        <v>0</v>
      </c>
      <c r="O271" s="17">
        <f>_xlfn.XLOOKUP($B271,'[2]Oct-24'!$A:$A,'[2]Oct-24'!$H:$H,0)</f>
        <v>0</v>
      </c>
      <c r="P271" s="17">
        <f>_xlfn.XLOOKUP($B271,'[2]Nov-24'!$A:$A,'[2]Nov-24'!$H:$H,0)</f>
        <v>0</v>
      </c>
      <c r="Q271" s="17">
        <f>_xlfn.XLOOKUP($B271,'[2]Dec-24'!$A:$A,'[2]Dec-24'!$H:$H,0)</f>
        <v>0</v>
      </c>
      <c r="R271" s="17">
        <f>_xlfn.XLOOKUP($B271,'[2]Jan-25'!$A:$A,'[2]Jan-25'!$H:$H,0)</f>
        <v>0</v>
      </c>
      <c r="S271" s="17">
        <f>_xlfn.XLOOKUP($B271,'[2]Feb-25'!$A:$A,'[2]Feb-25'!$H:$H,0)</f>
        <v>0</v>
      </c>
      <c r="T271" s="17">
        <f>_xlfn.XLOOKUP($B271,'[2]Mar-25'!$A:$A,'[2]Mar-25'!$H:$H,0)</f>
        <v>0</v>
      </c>
      <c r="U271" s="17">
        <f>_xlfn.XLOOKUP($B271,'[2]Apr-25'!$A:$A,'[2]Apr-25'!$H:$H,0)</f>
        <v>0</v>
      </c>
      <c r="V271" s="17">
        <f>_xlfn.XLOOKUP($B271,'[2]May-25'!$A:$A,'[2]May-25'!$H:$H,0)</f>
        <v>0</v>
      </c>
      <c r="W271" s="17">
        <f>_xlfn.XLOOKUP($B271,'[2]Jun-25'!$A:$A,'[2]Jun-25'!$H:$H,0)</f>
        <v>0</v>
      </c>
      <c r="X271" s="17">
        <f>_xlfn.XLOOKUP($B271,'[2]Jul-25'!$A:$A,'[2]Jul-25'!$H:$H,0)</f>
        <v>0</v>
      </c>
      <c r="Y271" s="17">
        <f>_xlfn.XLOOKUP($B271,'[2]Aug-25'!$A:$A,'[2]Aug-25'!$H:$H,0)</f>
        <v>0</v>
      </c>
      <c r="Z271" s="17">
        <f>_xlfn.XLOOKUP($B271,'[2]Sep-25'!$A:$A,'[2]Sep-25'!$H:$H,0)</f>
        <v>0</v>
      </c>
      <c r="AA271" s="17">
        <f>_xlfn.XLOOKUP($B271,'[2]Oct-25'!$A:$A,'[2]Oct-25'!$H:$H,0)</f>
        <v>0</v>
      </c>
      <c r="AB271" s="17">
        <f>_xlfn.XLOOKUP($B271,'[2]Nov-25'!$A:$A,'[2]Nov-25'!$H:$H,0)</f>
        <v>0</v>
      </c>
      <c r="AC271" s="17">
        <f>_xlfn.XLOOKUP($B271,'[2]Dec-25'!$A:$A,'[2]Dec-25'!$H:$H,0)</f>
        <v>0</v>
      </c>
      <c r="AD271" s="17">
        <f>_xlfn.XLOOKUP($B271,'[2]Jan-26'!$A:$A,'[2]Jan-26'!$H:$H,0)</f>
        <v>0</v>
      </c>
      <c r="AE271" s="17">
        <f>_xlfn.XLOOKUP($B271,'[2]Feb-26'!$A:$A,'[2]Feb-26'!$H:$H,0)</f>
        <v>0</v>
      </c>
      <c r="AF271" s="17">
        <f>_xlfn.XLOOKUP($B271,'[2]Mar-26'!$A:$A,'[2]Mar-26'!$H:$H,0)</f>
        <v>0</v>
      </c>
      <c r="AG271" s="17">
        <f>_xlfn.XLOOKUP($B271,'[2]Apr-26'!$A:$A,'[2]Apr-26'!$H:$H,0)</f>
        <v>0</v>
      </c>
    </row>
    <row r="272" spans="1:33" x14ac:dyDescent="0.2">
      <c r="A272" s="58">
        <v>65030</v>
      </c>
      <c r="B272" s="56" t="str">
        <f t="shared" si="6"/>
        <v>65030</v>
      </c>
      <c r="C272" s="57" t="s">
        <v>565</v>
      </c>
      <c r="D272" s="57" t="s">
        <v>387</v>
      </c>
      <c r="E272" s="44" t="s">
        <v>668</v>
      </c>
      <c r="F272" s="17">
        <f>_xlfn.XLOOKUP($B272,'[2]Jan-24'!$A:$A,'[2]Jan-24'!$H:$H,0)</f>
        <v>0</v>
      </c>
      <c r="G272" s="17">
        <f>_xlfn.XLOOKUP($B272,'[2]Feb-24'!$A:$A,'[2]Feb-24'!$H:$H,0)</f>
        <v>0</v>
      </c>
      <c r="H272" s="17">
        <f>_xlfn.XLOOKUP($B272,'[2]Mar-24'!$A:$A,'[2]Mar-24'!$H:$H,0)</f>
        <v>0</v>
      </c>
      <c r="I272" s="17">
        <f>_xlfn.XLOOKUP($B272,'[2]Apr-24'!$A:$A,'[2]Apr-24'!$H:$H,0)</f>
        <v>0</v>
      </c>
      <c r="J272" s="17">
        <f>_xlfn.XLOOKUP($B272,'[2]May-24'!$A:$A,'[2]May-24'!$H:$H,0)</f>
        <v>0</v>
      </c>
      <c r="K272" s="17">
        <f>_xlfn.XLOOKUP($B272,'[2]Jun-24'!$A:$A,'[2]Jun-24'!$H:$H,0)</f>
        <v>0</v>
      </c>
      <c r="L272" s="17">
        <f>_xlfn.XLOOKUP($B272,'[2]Jul-24'!$A:$A,'[2]Jul-24'!$H:$H,0)</f>
        <v>0</v>
      </c>
      <c r="M272" s="17">
        <f>_xlfn.XLOOKUP($B272,'[2]Aug-24'!$A:$A,'[2]Aug-24'!$H:$H,0)</f>
        <v>0</v>
      </c>
      <c r="N272" s="17">
        <f>_xlfn.XLOOKUP($B272,'[2]Sep-24'!$A:$A,'[2]Sep-24'!$H:$H,0)</f>
        <v>0</v>
      </c>
      <c r="O272" s="17">
        <f>_xlfn.XLOOKUP($B272,'[2]Oct-24'!$A:$A,'[2]Oct-24'!$H:$H,0)</f>
        <v>0</v>
      </c>
      <c r="P272" s="17">
        <f>_xlfn.XLOOKUP($B272,'[2]Nov-24'!$A:$A,'[2]Nov-24'!$H:$H,0)</f>
        <v>0</v>
      </c>
      <c r="Q272" s="17">
        <f>_xlfn.XLOOKUP($B272,'[2]Dec-24'!$A:$A,'[2]Dec-24'!$H:$H,0)</f>
        <v>0</v>
      </c>
      <c r="R272" s="17">
        <f>_xlfn.XLOOKUP($B272,'[2]Jan-25'!$A:$A,'[2]Jan-25'!$H:$H,0)</f>
        <v>0</v>
      </c>
      <c r="S272" s="17">
        <f>_xlfn.XLOOKUP($B272,'[2]Feb-25'!$A:$A,'[2]Feb-25'!$H:$H,0)</f>
        <v>0</v>
      </c>
      <c r="T272" s="17">
        <f>_xlfn.XLOOKUP($B272,'[2]Mar-25'!$A:$A,'[2]Mar-25'!$H:$H,0)</f>
        <v>0</v>
      </c>
      <c r="U272" s="17">
        <f>_xlfn.XLOOKUP($B272,'[2]Apr-25'!$A:$A,'[2]Apr-25'!$H:$H,0)</f>
        <v>0</v>
      </c>
      <c r="V272" s="17">
        <f>_xlfn.XLOOKUP($B272,'[2]May-25'!$A:$A,'[2]May-25'!$H:$H,0)</f>
        <v>0</v>
      </c>
      <c r="W272" s="17">
        <f>_xlfn.XLOOKUP($B272,'[2]Jun-25'!$A:$A,'[2]Jun-25'!$H:$H,0)</f>
        <v>0</v>
      </c>
      <c r="X272" s="17">
        <f>_xlfn.XLOOKUP($B272,'[2]Jul-25'!$A:$A,'[2]Jul-25'!$H:$H,0)</f>
        <v>0</v>
      </c>
      <c r="Y272" s="17">
        <f>_xlfn.XLOOKUP($B272,'[2]Aug-25'!$A:$A,'[2]Aug-25'!$H:$H,0)</f>
        <v>0</v>
      </c>
      <c r="Z272" s="17">
        <f>_xlfn.XLOOKUP($B272,'[2]Sep-25'!$A:$A,'[2]Sep-25'!$H:$H,0)</f>
        <v>0</v>
      </c>
      <c r="AA272" s="17">
        <f>_xlfn.XLOOKUP($B272,'[2]Oct-25'!$A:$A,'[2]Oct-25'!$H:$H,0)</f>
        <v>0</v>
      </c>
      <c r="AB272" s="17">
        <f>_xlfn.XLOOKUP($B272,'[2]Nov-25'!$A:$A,'[2]Nov-25'!$H:$H,0)</f>
        <v>0</v>
      </c>
      <c r="AC272" s="17">
        <f>_xlfn.XLOOKUP($B272,'[2]Dec-25'!$A:$A,'[2]Dec-25'!$H:$H,0)</f>
        <v>0</v>
      </c>
      <c r="AD272" s="17">
        <f>_xlfn.XLOOKUP($B272,'[2]Jan-26'!$A:$A,'[2]Jan-26'!$H:$H,0)</f>
        <v>0</v>
      </c>
      <c r="AE272" s="17">
        <f>_xlfn.XLOOKUP($B272,'[2]Feb-26'!$A:$A,'[2]Feb-26'!$H:$H,0)</f>
        <v>0</v>
      </c>
      <c r="AF272" s="17">
        <f>_xlfn.XLOOKUP($B272,'[2]Mar-26'!$A:$A,'[2]Mar-26'!$H:$H,0)</f>
        <v>0</v>
      </c>
      <c r="AG272" s="17">
        <f>_xlfn.XLOOKUP($B272,'[2]Apr-26'!$A:$A,'[2]Apr-26'!$H:$H,0)</f>
        <v>0</v>
      </c>
    </row>
    <row r="273" spans="1:33" x14ac:dyDescent="0.2">
      <c r="A273" s="58">
        <v>65035</v>
      </c>
      <c r="B273" s="56" t="str">
        <f t="shared" si="6"/>
        <v>65035</v>
      </c>
      <c r="C273" s="57" t="s">
        <v>565</v>
      </c>
      <c r="D273" s="57" t="s">
        <v>387</v>
      </c>
      <c r="E273" s="44" t="s">
        <v>671</v>
      </c>
      <c r="F273" s="17">
        <f>_xlfn.XLOOKUP($B273,'[2]Jan-24'!$A:$A,'[2]Jan-24'!$H:$H,0)</f>
        <v>0</v>
      </c>
      <c r="G273" s="17">
        <f>_xlfn.XLOOKUP($B273,'[2]Feb-24'!$A:$A,'[2]Feb-24'!$H:$H,0)</f>
        <v>0</v>
      </c>
      <c r="H273" s="17">
        <f>_xlfn.XLOOKUP($B273,'[2]Mar-24'!$A:$A,'[2]Mar-24'!$H:$H,0)</f>
        <v>0</v>
      </c>
      <c r="I273" s="17">
        <f>_xlfn.XLOOKUP($B273,'[2]Apr-24'!$A:$A,'[2]Apr-24'!$H:$H,0)</f>
        <v>0</v>
      </c>
      <c r="J273" s="17">
        <f>_xlfn.XLOOKUP($B273,'[2]May-24'!$A:$A,'[2]May-24'!$H:$H,0)</f>
        <v>0</v>
      </c>
      <c r="K273" s="17">
        <f>_xlfn.XLOOKUP($B273,'[2]Jun-24'!$A:$A,'[2]Jun-24'!$H:$H,0)</f>
        <v>0</v>
      </c>
      <c r="L273" s="17">
        <f>_xlfn.XLOOKUP($B273,'[2]Jul-24'!$A:$A,'[2]Jul-24'!$H:$H,0)</f>
        <v>0</v>
      </c>
      <c r="M273" s="17">
        <f>_xlfn.XLOOKUP($B273,'[2]Aug-24'!$A:$A,'[2]Aug-24'!$H:$H,0)</f>
        <v>0</v>
      </c>
      <c r="N273" s="17">
        <f>_xlfn.XLOOKUP($B273,'[2]Sep-24'!$A:$A,'[2]Sep-24'!$H:$H,0)</f>
        <v>0</v>
      </c>
      <c r="O273" s="17">
        <f>_xlfn.XLOOKUP($B273,'[2]Oct-24'!$A:$A,'[2]Oct-24'!$H:$H,0)</f>
        <v>0</v>
      </c>
      <c r="P273" s="17">
        <f>_xlfn.XLOOKUP($B273,'[2]Nov-24'!$A:$A,'[2]Nov-24'!$H:$H,0)</f>
        <v>0</v>
      </c>
      <c r="Q273" s="17">
        <f>_xlfn.XLOOKUP($B273,'[2]Dec-24'!$A:$A,'[2]Dec-24'!$H:$H,0)</f>
        <v>0</v>
      </c>
      <c r="R273" s="17">
        <f>_xlfn.XLOOKUP($B273,'[2]Jan-25'!$A:$A,'[2]Jan-25'!$H:$H,0)</f>
        <v>0</v>
      </c>
      <c r="S273" s="17">
        <f>_xlfn.XLOOKUP($B273,'[2]Feb-25'!$A:$A,'[2]Feb-25'!$H:$H,0)</f>
        <v>0</v>
      </c>
      <c r="T273" s="17">
        <f>_xlfn.XLOOKUP($B273,'[2]Mar-25'!$A:$A,'[2]Mar-25'!$H:$H,0)</f>
        <v>0</v>
      </c>
      <c r="U273" s="17">
        <f>_xlfn.XLOOKUP($B273,'[2]Apr-25'!$A:$A,'[2]Apr-25'!$H:$H,0)</f>
        <v>0</v>
      </c>
      <c r="V273" s="17">
        <f>_xlfn.XLOOKUP($B273,'[2]May-25'!$A:$A,'[2]May-25'!$H:$H,0)</f>
        <v>0</v>
      </c>
      <c r="W273" s="17">
        <f>_xlfn.XLOOKUP($B273,'[2]Jun-25'!$A:$A,'[2]Jun-25'!$H:$H,0)</f>
        <v>0</v>
      </c>
      <c r="X273" s="17">
        <f>_xlfn.XLOOKUP($B273,'[2]Jul-25'!$A:$A,'[2]Jul-25'!$H:$H,0)</f>
        <v>0</v>
      </c>
      <c r="Y273" s="17">
        <f>_xlfn.XLOOKUP($B273,'[2]Aug-25'!$A:$A,'[2]Aug-25'!$H:$H,0)</f>
        <v>0</v>
      </c>
      <c r="Z273" s="17">
        <f>_xlfn.XLOOKUP($B273,'[2]Sep-25'!$A:$A,'[2]Sep-25'!$H:$H,0)</f>
        <v>0</v>
      </c>
      <c r="AA273" s="17">
        <f>_xlfn.XLOOKUP($B273,'[2]Oct-25'!$A:$A,'[2]Oct-25'!$H:$H,0)</f>
        <v>0</v>
      </c>
      <c r="AB273" s="17">
        <f>_xlfn.XLOOKUP($B273,'[2]Nov-25'!$A:$A,'[2]Nov-25'!$H:$H,0)</f>
        <v>0</v>
      </c>
      <c r="AC273" s="17">
        <f>_xlfn.XLOOKUP($B273,'[2]Dec-25'!$A:$A,'[2]Dec-25'!$H:$H,0)</f>
        <v>0</v>
      </c>
      <c r="AD273" s="17">
        <f>_xlfn.XLOOKUP($B273,'[2]Jan-26'!$A:$A,'[2]Jan-26'!$H:$H,0)</f>
        <v>0</v>
      </c>
      <c r="AE273" s="17">
        <f>_xlfn.XLOOKUP($B273,'[2]Feb-26'!$A:$A,'[2]Feb-26'!$H:$H,0)</f>
        <v>0</v>
      </c>
      <c r="AF273" s="17">
        <f>_xlfn.XLOOKUP($B273,'[2]Mar-26'!$A:$A,'[2]Mar-26'!$H:$H,0)</f>
        <v>0</v>
      </c>
      <c r="AG273" s="17">
        <f>_xlfn.XLOOKUP($B273,'[2]Apr-26'!$A:$A,'[2]Apr-26'!$H:$H,0)</f>
        <v>0</v>
      </c>
    </row>
    <row r="274" spans="1:33" x14ac:dyDescent="0.2">
      <c r="A274" s="58">
        <v>65050</v>
      </c>
      <c r="B274" s="56" t="str">
        <f t="shared" si="6"/>
        <v>65050</v>
      </c>
      <c r="C274" s="57" t="s">
        <v>552</v>
      </c>
      <c r="D274" s="57" t="s">
        <v>387</v>
      </c>
      <c r="E274" s="44" t="s">
        <v>674</v>
      </c>
      <c r="F274" s="17">
        <f>_xlfn.XLOOKUP($B274,'[2]Jan-24'!$A:$A,'[2]Jan-24'!$H:$H,0)</f>
        <v>0</v>
      </c>
      <c r="G274" s="17">
        <f>_xlfn.XLOOKUP($B274,'[2]Feb-24'!$A:$A,'[2]Feb-24'!$H:$H,0)</f>
        <v>0</v>
      </c>
      <c r="H274" s="17">
        <f>_xlfn.XLOOKUP($B274,'[2]Mar-24'!$A:$A,'[2]Mar-24'!$H:$H,0)</f>
        <v>0</v>
      </c>
      <c r="I274" s="17">
        <f>_xlfn.XLOOKUP($B274,'[2]Apr-24'!$A:$A,'[2]Apr-24'!$H:$H,0)</f>
        <v>0</v>
      </c>
      <c r="J274" s="17">
        <f>_xlfn.XLOOKUP($B274,'[2]May-24'!$A:$A,'[2]May-24'!$H:$H,0)</f>
        <v>0</v>
      </c>
      <c r="K274" s="17">
        <f>_xlfn.XLOOKUP($B274,'[2]Jun-24'!$A:$A,'[2]Jun-24'!$H:$H,0)</f>
        <v>0</v>
      </c>
      <c r="L274" s="17">
        <f>_xlfn.XLOOKUP($B274,'[2]Jul-24'!$A:$A,'[2]Jul-24'!$H:$H,0)</f>
        <v>0</v>
      </c>
      <c r="M274" s="17">
        <f>_xlfn.XLOOKUP($B274,'[2]Aug-24'!$A:$A,'[2]Aug-24'!$H:$H,0)</f>
        <v>0</v>
      </c>
      <c r="N274" s="17">
        <f>_xlfn.XLOOKUP($B274,'[2]Sep-24'!$A:$A,'[2]Sep-24'!$H:$H,0)</f>
        <v>0</v>
      </c>
      <c r="O274" s="17">
        <f>_xlfn.XLOOKUP($B274,'[2]Oct-24'!$A:$A,'[2]Oct-24'!$H:$H,0)</f>
        <v>0</v>
      </c>
      <c r="P274" s="17">
        <f>_xlfn.XLOOKUP($B274,'[2]Nov-24'!$A:$A,'[2]Nov-24'!$H:$H,0)</f>
        <v>0</v>
      </c>
      <c r="Q274" s="17">
        <f>_xlfn.XLOOKUP($B274,'[2]Dec-24'!$A:$A,'[2]Dec-24'!$H:$H,0)</f>
        <v>0</v>
      </c>
      <c r="R274" s="17">
        <f>_xlfn.XLOOKUP($B274,'[2]Jan-25'!$A:$A,'[2]Jan-25'!$H:$H,0)</f>
        <v>0</v>
      </c>
      <c r="S274" s="17">
        <f>_xlfn.XLOOKUP($B274,'[2]Feb-25'!$A:$A,'[2]Feb-25'!$H:$H,0)</f>
        <v>0</v>
      </c>
      <c r="T274" s="17">
        <f>_xlfn.XLOOKUP($B274,'[2]Mar-25'!$A:$A,'[2]Mar-25'!$H:$H,0)</f>
        <v>0</v>
      </c>
      <c r="U274" s="17">
        <f>_xlfn.XLOOKUP($B274,'[2]Apr-25'!$A:$A,'[2]Apr-25'!$H:$H,0)</f>
        <v>0</v>
      </c>
      <c r="V274" s="17">
        <f>_xlfn.XLOOKUP($B274,'[2]May-25'!$A:$A,'[2]May-25'!$H:$H,0)</f>
        <v>0</v>
      </c>
      <c r="W274" s="17">
        <f>_xlfn.XLOOKUP($B274,'[2]Jun-25'!$A:$A,'[2]Jun-25'!$H:$H,0)</f>
        <v>0</v>
      </c>
      <c r="X274" s="17">
        <f>_xlfn.XLOOKUP($B274,'[2]Jul-25'!$A:$A,'[2]Jul-25'!$H:$H,0)</f>
        <v>0</v>
      </c>
      <c r="Y274" s="17">
        <f>_xlfn.XLOOKUP($B274,'[2]Aug-25'!$A:$A,'[2]Aug-25'!$H:$H,0)</f>
        <v>0</v>
      </c>
      <c r="Z274" s="17">
        <f>_xlfn.XLOOKUP($B274,'[2]Sep-25'!$A:$A,'[2]Sep-25'!$H:$H,0)</f>
        <v>0</v>
      </c>
      <c r="AA274" s="17">
        <f>_xlfn.XLOOKUP($B274,'[2]Oct-25'!$A:$A,'[2]Oct-25'!$H:$H,0)</f>
        <v>0</v>
      </c>
      <c r="AB274" s="17">
        <f>_xlfn.XLOOKUP($B274,'[2]Nov-25'!$A:$A,'[2]Nov-25'!$H:$H,0)</f>
        <v>0</v>
      </c>
      <c r="AC274" s="17">
        <f>_xlfn.XLOOKUP($B274,'[2]Dec-25'!$A:$A,'[2]Dec-25'!$H:$H,0)</f>
        <v>0</v>
      </c>
      <c r="AD274" s="17">
        <f>_xlfn.XLOOKUP($B274,'[2]Jan-26'!$A:$A,'[2]Jan-26'!$H:$H,0)</f>
        <v>0</v>
      </c>
      <c r="AE274" s="17">
        <f>_xlfn.XLOOKUP($B274,'[2]Feb-26'!$A:$A,'[2]Feb-26'!$H:$H,0)</f>
        <v>0</v>
      </c>
      <c r="AF274" s="17">
        <f>_xlfn.XLOOKUP($B274,'[2]Mar-26'!$A:$A,'[2]Mar-26'!$H:$H,0)</f>
        <v>0</v>
      </c>
      <c r="AG274" s="17">
        <f>_xlfn.XLOOKUP($B274,'[2]Apr-26'!$A:$A,'[2]Apr-26'!$H:$H,0)</f>
        <v>0</v>
      </c>
    </row>
    <row r="275" spans="1:33" x14ac:dyDescent="0.2">
      <c r="A275" s="58">
        <v>65095</v>
      </c>
      <c r="B275" s="56" t="str">
        <f t="shared" si="6"/>
        <v>65095</v>
      </c>
      <c r="C275" s="57" t="s">
        <v>552</v>
      </c>
      <c r="D275" s="57" t="s">
        <v>387</v>
      </c>
      <c r="E275" s="44" t="s">
        <v>675</v>
      </c>
      <c r="F275" s="17">
        <f>_xlfn.XLOOKUP($B275,'[2]Jan-24'!$A:$A,'[2]Jan-24'!$H:$H,0)</f>
        <v>0.77</v>
      </c>
      <c r="G275" s="17">
        <f>_xlfn.XLOOKUP($B275,'[2]Feb-24'!$A:$A,'[2]Feb-24'!$H:$H,0)</f>
        <v>0.77</v>
      </c>
      <c r="H275" s="17">
        <f>_xlfn.XLOOKUP($B275,'[2]Mar-24'!$A:$A,'[2]Mar-24'!$H:$H,0)</f>
        <v>0.77</v>
      </c>
      <c r="I275" s="17">
        <f>_xlfn.XLOOKUP($B275,'[2]Apr-24'!$A:$A,'[2]Apr-24'!$H:$H,0)</f>
        <v>30.27</v>
      </c>
      <c r="J275" s="17">
        <f>_xlfn.XLOOKUP($B275,'[2]May-24'!$A:$A,'[2]May-24'!$H:$H,0)</f>
        <v>202.48</v>
      </c>
      <c r="K275" s="17">
        <f>_xlfn.XLOOKUP($B275,'[2]Jun-24'!$A:$A,'[2]Jun-24'!$H:$H,0)</f>
        <v>22.3</v>
      </c>
      <c r="L275" s="17">
        <f>_xlfn.XLOOKUP($B275,'[2]Jul-24'!$A:$A,'[2]Jul-24'!$H:$H,0)</f>
        <v>66.87</v>
      </c>
      <c r="M275" s="17">
        <f>_xlfn.XLOOKUP($B275,'[2]Aug-24'!$A:$A,'[2]Aug-24'!$H:$H,0)</f>
        <v>0.77</v>
      </c>
      <c r="N275" s="17">
        <f>_xlfn.XLOOKUP($B275,'[2]Sep-24'!$A:$A,'[2]Sep-24'!$H:$H,0)</f>
        <v>18.68</v>
      </c>
      <c r="O275" s="17">
        <f>_xlfn.XLOOKUP($B275,'[2]Oct-24'!$A:$A,'[2]Oct-24'!$H:$H,0)</f>
        <v>0.77</v>
      </c>
      <c r="P275" s="17">
        <f>_xlfn.XLOOKUP($B275,'[2]Nov-24'!$A:$A,'[2]Nov-24'!$H:$H,0)</f>
        <v>1434.74</v>
      </c>
      <c r="Q275" s="17">
        <f>_xlfn.XLOOKUP($B275,'[2]Dec-24'!$A:$A,'[2]Dec-24'!$H:$H,0)</f>
        <v>1679.4</v>
      </c>
      <c r="R275" s="17">
        <f>_xlfn.XLOOKUP($B275,'[2]Jan-25'!$A:$A,'[2]Jan-25'!$H:$H,0)</f>
        <v>0.77</v>
      </c>
      <c r="S275" s="17">
        <f>_xlfn.XLOOKUP($B275,'[2]Feb-25'!$A:$A,'[2]Feb-25'!$H:$H,0)</f>
        <v>0.90000000000009095</v>
      </c>
      <c r="T275" s="17">
        <f>_xlfn.XLOOKUP($B275,'[2]Mar-25'!$A:$A,'[2]Mar-25'!$H:$H,0)</f>
        <v>0.77</v>
      </c>
      <c r="U275" s="17">
        <f>_xlfn.XLOOKUP($B275,'[2]Apr-25'!$A:$A,'[2]Apr-25'!$H:$H,0)</f>
        <v>0.77</v>
      </c>
      <c r="V275" s="17">
        <f>_xlfn.XLOOKUP($B275,'[2]May-25'!$A:$A,'[2]May-25'!$H:$H,0)</f>
        <v>0</v>
      </c>
      <c r="W275" s="17">
        <f>_xlfn.XLOOKUP($B275,'[2]Jun-25'!$A:$A,'[2]Jun-25'!$H:$H,0)</f>
        <v>0</v>
      </c>
      <c r="X275" s="17">
        <f>_xlfn.XLOOKUP($B275,'[2]Jul-25'!$A:$A,'[2]Jul-25'!$H:$H,0)</f>
        <v>0</v>
      </c>
      <c r="Y275" s="17">
        <f>_xlfn.XLOOKUP($B275,'[2]Aug-25'!$A:$A,'[2]Aug-25'!$H:$H,0)</f>
        <v>0</v>
      </c>
      <c r="Z275" s="17">
        <f>_xlfn.XLOOKUP($B275,'[2]Sep-25'!$A:$A,'[2]Sep-25'!$H:$H,0)</f>
        <v>0</v>
      </c>
      <c r="AA275" s="17">
        <f>_xlfn.XLOOKUP($B275,'[2]Oct-25'!$A:$A,'[2]Oct-25'!$H:$H,0)</f>
        <v>0</v>
      </c>
      <c r="AB275" s="17">
        <f>_xlfn.XLOOKUP($B275,'[2]Nov-25'!$A:$A,'[2]Nov-25'!$H:$H,0)</f>
        <v>0</v>
      </c>
      <c r="AC275" s="17">
        <f>_xlfn.XLOOKUP($B275,'[2]Dec-25'!$A:$A,'[2]Dec-25'!$H:$H,0)</f>
        <v>0</v>
      </c>
      <c r="AD275" s="17">
        <f>_xlfn.XLOOKUP($B275,'[2]Jan-26'!$A:$A,'[2]Jan-26'!$H:$H,0)</f>
        <v>0</v>
      </c>
      <c r="AE275" s="17">
        <f>_xlfn.XLOOKUP($B275,'[2]Feb-26'!$A:$A,'[2]Feb-26'!$H:$H,0)</f>
        <v>0</v>
      </c>
      <c r="AF275" s="17">
        <f>_xlfn.XLOOKUP($B275,'[2]Mar-26'!$A:$A,'[2]Mar-26'!$H:$H,0)</f>
        <v>0</v>
      </c>
      <c r="AG275" s="17">
        <f>_xlfn.XLOOKUP($B275,'[2]Apr-26'!$A:$A,'[2]Apr-26'!$H:$H,0)</f>
        <v>0</v>
      </c>
    </row>
    <row r="276" spans="1:33" x14ac:dyDescent="0.2">
      <c r="A276" s="58">
        <v>65100</v>
      </c>
      <c r="B276" s="56" t="str">
        <f t="shared" si="6"/>
        <v>65100</v>
      </c>
      <c r="C276" s="57" t="s">
        <v>565</v>
      </c>
      <c r="D276" s="57" t="s">
        <v>387</v>
      </c>
      <c r="E276" s="44" t="s">
        <v>676</v>
      </c>
      <c r="F276" s="17">
        <f>_xlfn.XLOOKUP($B276,'[2]Jan-24'!$A:$A,'[2]Jan-24'!$H:$H,0)</f>
        <v>0</v>
      </c>
      <c r="G276" s="17">
        <f>_xlfn.XLOOKUP($B276,'[2]Feb-24'!$A:$A,'[2]Feb-24'!$H:$H,0)</f>
        <v>0</v>
      </c>
      <c r="H276" s="17">
        <f>_xlfn.XLOOKUP($B276,'[2]Mar-24'!$A:$A,'[2]Mar-24'!$H:$H,0)</f>
        <v>0</v>
      </c>
      <c r="I276" s="17">
        <f>_xlfn.XLOOKUP($B276,'[2]Apr-24'!$A:$A,'[2]Apr-24'!$H:$H,0)</f>
        <v>0</v>
      </c>
      <c r="J276" s="17">
        <f>_xlfn.XLOOKUP($B276,'[2]May-24'!$A:$A,'[2]May-24'!$H:$H,0)</f>
        <v>0</v>
      </c>
      <c r="K276" s="17">
        <f>_xlfn.XLOOKUP($B276,'[2]Jun-24'!$A:$A,'[2]Jun-24'!$H:$H,0)</f>
        <v>0</v>
      </c>
      <c r="L276" s="17">
        <f>_xlfn.XLOOKUP($B276,'[2]Jul-24'!$A:$A,'[2]Jul-24'!$H:$H,0)</f>
        <v>0</v>
      </c>
      <c r="M276" s="17">
        <f>_xlfn.XLOOKUP($B276,'[2]Aug-24'!$A:$A,'[2]Aug-24'!$H:$H,0)</f>
        <v>0</v>
      </c>
      <c r="N276" s="17">
        <f>_xlfn.XLOOKUP($B276,'[2]Sep-24'!$A:$A,'[2]Sep-24'!$H:$H,0)</f>
        <v>0</v>
      </c>
      <c r="O276" s="17">
        <f>_xlfn.XLOOKUP($B276,'[2]Oct-24'!$A:$A,'[2]Oct-24'!$H:$H,0)</f>
        <v>0</v>
      </c>
      <c r="P276" s="17">
        <f>_xlfn.XLOOKUP($B276,'[2]Nov-24'!$A:$A,'[2]Nov-24'!$H:$H,0)</f>
        <v>0</v>
      </c>
      <c r="Q276" s="17">
        <f>_xlfn.XLOOKUP($B276,'[2]Dec-24'!$A:$A,'[2]Dec-24'!$H:$H,0)</f>
        <v>0</v>
      </c>
      <c r="R276" s="17">
        <f>_xlfn.XLOOKUP($B276,'[2]Jan-25'!$A:$A,'[2]Jan-25'!$H:$H,0)</f>
        <v>0</v>
      </c>
      <c r="S276" s="17">
        <f>_xlfn.XLOOKUP($B276,'[2]Feb-25'!$A:$A,'[2]Feb-25'!$H:$H,0)</f>
        <v>0</v>
      </c>
      <c r="T276" s="17">
        <f>_xlfn.XLOOKUP($B276,'[2]Mar-25'!$A:$A,'[2]Mar-25'!$H:$H,0)</f>
        <v>0</v>
      </c>
      <c r="U276" s="17">
        <f>_xlfn.XLOOKUP($B276,'[2]Apr-25'!$A:$A,'[2]Apr-25'!$H:$H,0)</f>
        <v>0</v>
      </c>
      <c r="V276" s="17">
        <f>_xlfn.XLOOKUP($B276,'[2]May-25'!$A:$A,'[2]May-25'!$H:$H,0)</f>
        <v>0</v>
      </c>
      <c r="W276" s="17">
        <f>_xlfn.XLOOKUP($B276,'[2]Jun-25'!$A:$A,'[2]Jun-25'!$H:$H,0)</f>
        <v>0</v>
      </c>
      <c r="X276" s="17">
        <f>_xlfn.XLOOKUP($B276,'[2]Jul-25'!$A:$A,'[2]Jul-25'!$H:$H,0)</f>
        <v>0</v>
      </c>
      <c r="Y276" s="17">
        <f>_xlfn.XLOOKUP($B276,'[2]Aug-25'!$A:$A,'[2]Aug-25'!$H:$H,0)</f>
        <v>0</v>
      </c>
      <c r="Z276" s="17">
        <f>_xlfn.XLOOKUP($B276,'[2]Sep-25'!$A:$A,'[2]Sep-25'!$H:$H,0)</f>
        <v>0</v>
      </c>
      <c r="AA276" s="17">
        <f>_xlfn.XLOOKUP($B276,'[2]Oct-25'!$A:$A,'[2]Oct-25'!$H:$H,0)</f>
        <v>0</v>
      </c>
      <c r="AB276" s="17">
        <f>_xlfn.XLOOKUP($B276,'[2]Nov-25'!$A:$A,'[2]Nov-25'!$H:$H,0)</f>
        <v>0</v>
      </c>
      <c r="AC276" s="17">
        <f>_xlfn.XLOOKUP($B276,'[2]Dec-25'!$A:$A,'[2]Dec-25'!$H:$H,0)</f>
        <v>0</v>
      </c>
      <c r="AD276" s="17">
        <f>_xlfn.XLOOKUP($B276,'[2]Jan-26'!$A:$A,'[2]Jan-26'!$H:$H,0)</f>
        <v>0</v>
      </c>
      <c r="AE276" s="17">
        <f>_xlfn.XLOOKUP($B276,'[2]Feb-26'!$A:$A,'[2]Feb-26'!$H:$H,0)</f>
        <v>0</v>
      </c>
      <c r="AF276" s="17">
        <f>_xlfn.XLOOKUP($B276,'[2]Mar-26'!$A:$A,'[2]Mar-26'!$H:$H,0)</f>
        <v>0</v>
      </c>
      <c r="AG276" s="17">
        <f>_xlfn.XLOOKUP($B276,'[2]Apr-26'!$A:$A,'[2]Apr-26'!$H:$H,0)</f>
        <v>0</v>
      </c>
    </row>
    <row r="277" spans="1:33" x14ac:dyDescent="0.2">
      <c r="A277" s="58">
        <v>65200</v>
      </c>
      <c r="B277" s="56" t="str">
        <f t="shared" si="6"/>
        <v>65200</v>
      </c>
      <c r="C277" s="57" t="s">
        <v>565</v>
      </c>
      <c r="D277" s="57" t="s">
        <v>387</v>
      </c>
      <c r="E277" s="44" t="s">
        <v>677</v>
      </c>
      <c r="F277" s="17">
        <f>_xlfn.XLOOKUP($B277,'[2]Jan-24'!$A:$A,'[2]Jan-24'!$H:$H,0)</f>
        <v>0</v>
      </c>
      <c r="G277" s="17">
        <f>_xlfn.XLOOKUP($B277,'[2]Feb-24'!$A:$A,'[2]Feb-24'!$H:$H,0)</f>
        <v>0</v>
      </c>
      <c r="H277" s="17">
        <f>_xlfn.XLOOKUP($B277,'[2]Mar-24'!$A:$A,'[2]Mar-24'!$H:$H,0)</f>
        <v>0</v>
      </c>
      <c r="I277" s="17">
        <f>_xlfn.XLOOKUP($B277,'[2]Apr-24'!$A:$A,'[2]Apr-24'!$H:$H,0)</f>
        <v>0</v>
      </c>
      <c r="J277" s="17">
        <f>_xlfn.XLOOKUP($B277,'[2]May-24'!$A:$A,'[2]May-24'!$H:$H,0)</f>
        <v>0</v>
      </c>
      <c r="K277" s="17">
        <f>_xlfn.XLOOKUP($B277,'[2]Jun-24'!$A:$A,'[2]Jun-24'!$H:$H,0)</f>
        <v>0</v>
      </c>
      <c r="L277" s="17">
        <f>_xlfn.XLOOKUP($B277,'[2]Jul-24'!$A:$A,'[2]Jul-24'!$H:$H,0)</f>
        <v>0</v>
      </c>
      <c r="M277" s="17">
        <f>_xlfn.XLOOKUP($B277,'[2]Aug-24'!$A:$A,'[2]Aug-24'!$H:$H,0)</f>
        <v>0</v>
      </c>
      <c r="N277" s="17">
        <f>_xlfn.XLOOKUP($B277,'[2]Sep-24'!$A:$A,'[2]Sep-24'!$H:$H,0)</f>
        <v>0</v>
      </c>
      <c r="O277" s="17">
        <f>_xlfn.XLOOKUP($B277,'[2]Oct-24'!$A:$A,'[2]Oct-24'!$H:$H,0)</f>
        <v>0</v>
      </c>
      <c r="P277" s="17">
        <f>_xlfn.XLOOKUP($B277,'[2]Nov-24'!$A:$A,'[2]Nov-24'!$H:$H,0)</f>
        <v>0</v>
      </c>
      <c r="Q277" s="17">
        <f>_xlfn.XLOOKUP($B277,'[2]Dec-24'!$A:$A,'[2]Dec-24'!$H:$H,0)</f>
        <v>0</v>
      </c>
      <c r="R277" s="17">
        <f>_xlfn.XLOOKUP($B277,'[2]Jan-25'!$A:$A,'[2]Jan-25'!$H:$H,0)</f>
        <v>0</v>
      </c>
      <c r="S277" s="17">
        <f>_xlfn.XLOOKUP($B277,'[2]Feb-25'!$A:$A,'[2]Feb-25'!$H:$H,0)</f>
        <v>0</v>
      </c>
      <c r="T277" s="17">
        <f>_xlfn.XLOOKUP($B277,'[2]Mar-25'!$A:$A,'[2]Mar-25'!$H:$H,0)</f>
        <v>0</v>
      </c>
      <c r="U277" s="17">
        <f>_xlfn.XLOOKUP($B277,'[2]Apr-25'!$A:$A,'[2]Apr-25'!$H:$H,0)</f>
        <v>0</v>
      </c>
      <c r="V277" s="17">
        <f>_xlfn.XLOOKUP($B277,'[2]May-25'!$A:$A,'[2]May-25'!$H:$H,0)</f>
        <v>0</v>
      </c>
      <c r="W277" s="17">
        <f>_xlfn.XLOOKUP($B277,'[2]Jun-25'!$A:$A,'[2]Jun-25'!$H:$H,0)</f>
        <v>0</v>
      </c>
      <c r="X277" s="17">
        <f>_xlfn.XLOOKUP($B277,'[2]Jul-25'!$A:$A,'[2]Jul-25'!$H:$H,0)</f>
        <v>0</v>
      </c>
      <c r="Y277" s="17">
        <f>_xlfn.XLOOKUP($B277,'[2]Aug-25'!$A:$A,'[2]Aug-25'!$H:$H,0)</f>
        <v>0</v>
      </c>
      <c r="Z277" s="17">
        <f>_xlfn.XLOOKUP($B277,'[2]Sep-25'!$A:$A,'[2]Sep-25'!$H:$H,0)</f>
        <v>0</v>
      </c>
      <c r="AA277" s="17">
        <f>_xlfn.XLOOKUP($B277,'[2]Oct-25'!$A:$A,'[2]Oct-25'!$H:$H,0)</f>
        <v>0</v>
      </c>
      <c r="AB277" s="17">
        <f>_xlfn.XLOOKUP($B277,'[2]Nov-25'!$A:$A,'[2]Nov-25'!$H:$H,0)</f>
        <v>0</v>
      </c>
      <c r="AC277" s="17">
        <f>_xlfn.XLOOKUP($B277,'[2]Dec-25'!$A:$A,'[2]Dec-25'!$H:$H,0)</f>
        <v>0</v>
      </c>
      <c r="AD277" s="17">
        <f>_xlfn.XLOOKUP($B277,'[2]Jan-26'!$A:$A,'[2]Jan-26'!$H:$H,0)</f>
        <v>0</v>
      </c>
      <c r="AE277" s="17">
        <f>_xlfn.XLOOKUP($B277,'[2]Feb-26'!$A:$A,'[2]Feb-26'!$H:$H,0)</f>
        <v>0</v>
      </c>
      <c r="AF277" s="17">
        <f>_xlfn.XLOOKUP($B277,'[2]Mar-26'!$A:$A,'[2]Mar-26'!$H:$H,0)</f>
        <v>0</v>
      </c>
      <c r="AG277" s="17">
        <f>_xlfn.XLOOKUP($B277,'[2]Apr-26'!$A:$A,'[2]Apr-26'!$H:$H,0)</f>
        <v>0</v>
      </c>
    </row>
    <row r="278" spans="1:33" x14ac:dyDescent="0.2">
      <c r="A278" s="58">
        <v>65800</v>
      </c>
      <c r="B278" s="56" t="str">
        <f t="shared" si="6"/>
        <v>65800</v>
      </c>
      <c r="C278" s="57" t="s">
        <v>552</v>
      </c>
      <c r="D278" s="57" t="s">
        <v>387</v>
      </c>
      <c r="E278" s="44" t="s">
        <v>680</v>
      </c>
      <c r="F278" s="17">
        <f>_xlfn.XLOOKUP($B278,'[2]Jan-24'!$A:$A,'[2]Jan-24'!$H:$H,0)</f>
        <v>0</v>
      </c>
      <c r="G278" s="17">
        <f>_xlfn.XLOOKUP($B278,'[2]Feb-24'!$A:$A,'[2]Feb-24'!$H:$H,0)</f>
        <v>0</v>
      </c>
      <c r="H278" s="17">
        <f>_xlfn.XLOOKUP($B278,'[2]Mar-24'!$A:$A,'[2]Mar-24'!$H:$H,0)</f>
        <v>0</v>
      </c>
      <c r="I278" s="17">
        <f>_xlfn.XLOOKUP($B278,'[2]Apr-24'!$A:$A,'[2]Apr-24'!$H:$H,0)</f>
        <v>0</v>
      </c>
      <c r="J278" s="17">
        <f>_xlfn.XLOOKUP($B278,'[2]May-24'!$A:$A,'[2]May-24'!$H:$H,0)</f>
        <v>0</v>
      </c>
      <c r="K278" s="17">
        <f>_xlfn.XLOOKUP($B278,'[2]Jun-24'!$A:$A,'[2]Jun-24'!$H:$H,0)</f>
        <v>0</v>
      </c>
      <c r="L278" s="17">
        <f>_xlfn.XLOOKUP($B278,'[2]Jul-24'!$A:$A,'[2]Jul-24'!$H:$H,0)</f>
        <v>0</v>
      </c>
      <c r="M278" s="17">
        <f>_xlfn.XLOOKUP($B278,'[2]Aug-24'!$A:$A,'[2]Aug-24'!$H:$H,0)</f>
        <v>0</v>
      </c>
      <c r="N278" s="17">
        <f>_xlfn.XLOOKUP($B278,'[2]Sep-24'!$A:$A,'[2]Sep-24'!$H:$H,0)</f>
        <v>0</v>
      </c>
      <c r="O278" s="17">
        <f>_xlfn.XLOOKUP($B278,'[2]Oct-24'!$A:$A,'[2]Oct-24'!$H:$H,0)</f>
        <v>0</v>
      </c>
      <c r="P278" s="17">
        <f>_xlfn.XLOOKUP($B278,'[2]Nov-24'!$A:$A,'[2]Nov-24'!$H:$H,0)</f>
        <v>0</v>
      </c>
      <c r="Q278" s="17">
        <f>_xlfn.XLOOKUP($B278,'[2]Dec-24'!$A:$A,'[2]Dec-24'!$H:$H,0)</f>
        <v>0</v>
      </c>
      <c r="R278" s="17">
        <f>_xlfn.XLOOKUP($B278,'[2]Jan-25'!$A:$A,'[2]Jan-25'!$H:$H,0)</f>
        <v>0</v>
      </c>
      <c r="S278" s="17">
        <f>_xlfn.XLOOKUP($B278,'[2]Feb-25'!$A:$A,'[2]Feb-25'!$H:$H,0)</f>
        <v>0</v>
      </c>
      <c r="T278" s="17">
        <f>_xlfn.XLOOKUP($B278,'[2]Mar-25'!$A:$A,'[2]Mar-25'!$H:$H,0)</f>
        <v>0</v>
      </c>
      <c r="U278" s="17">
        <f>_xlfn.XLOOKUP($B278,'[2]Apr-25'!$A:$A,'[2]Apr-25'!$H:$H,0)</f>
        <v>0</v>
      </c>
      <c r="V278" s="17">
        <f>_xlfn.XLOOKUP($B278,'[2]May-25'!$A:$A,'[2]May-25'!$H:$H,0)</f>
        <v>0</v>
      </c>
      <c r="W278" s="17">
        <f>_xlfn.XLOOKUP($B278,'[2]Jun-25'!$A:$A,'[2]Jun-25'!$H:$H,0)</f>
        <v>0</v>
      </c>
      <c r="X278" s="17">
        <f>_xlfn.XLOOKUP($B278,'[2]Jul-25'!$A:$A,'[2]Jul-25'!$H:$H,0)</f>
        <v>0</v>
      </c>
      <c r="Y278" s="17">
        <f>_xlfn.XLOOKUP($B278,'[2]Aug-25'!$A:$A,'[2]Aug-25'!$H:$H,0)</f>
        <v>0</v>
      </c>
      <c r="Z278" s="17">
        <f>_xlfn.XLOOKUP($B278,'[2]Sep-25'!$A:$A,'[2]Sep-25'!$H:$H,0)</f>
        <v>0</v>
      </c>
      <c r="AA278" s="17">
        <f>_xlfn.XLOOKUP($B278,'[2]Oct-25'!$A:$A,'[2]Oct-25'!$H:$H,0)</f>
        <v>0</v>
      </c>
      <c r="AB278" s="17">
        <f>_xlfn.XLOOKUP($B278,'[2]Nov-25'!$A:$A,'[2]Nov-25'!$H:$H,0)</f>
        <v>0</v>
      </c>
      <c r="AC278" s="17">
        <f>_xlfn.XLOOKUP($B278,'[2]Dec-25'!$A:$A,'[2]Dec-25'!$H:$H,0)</f>
        <v>0</v>
      </c>
      <c r="AD278" s="17">
        <f>_xlfn.XLOOKUP($B278,'[2]Jan-26'!$A:$A,'[2]Jan-26'!$H:$H,0)</f>
        <v>0</v>
      </c>
      <c r="AE278" s="17">
        <f>_xlfn.XLOOKUP($B278,'[2]Feb-26'!$A:$A,'[2]Feb-26'!$H:$H,0)</f>
        <v>0</v>
      </c>
      <c r="AF278" s="17">
        <f>_xlfn.XLOOKUP($B278,'[2]Mar-26'!$A:$A,'[2]Mar-26'!$H:$H,0)</f>
        <v>0</v>
      </c>
      <c r="AG278" s="17">
        <f>_xlfn.XLOOKUP($B278,'[2]Apr-26'!$A:$A,'[2]Apr-26'!$H:$H,0)</f>
        <v>0</v>
      </c>
    </row>
    <row r="279" spans="1:33" x14ac:dyDescent="0.2">
      <c r="A279" s="58">
        <v>66000</v>
      </c>
      <c r="B279" s="56" t="str">
        <f t="shared" si="6"/>
        <v>66000</v>
      </c>
      <c r="C279" s="57" t="s">
        <v>389</v>
      </c>
      <c r="D279" s="57" t="s">
        <v>387</v>
      </c>
      <c r="E279" s="44" t="s">
        <v>681</v>
      </c>
      <c r="F279" s="17">
        <f>_xlfn.XLOOKUP($B279,'[2]Jan-24'!$A:$A,'[2]Jan-24'!$H:$H,0)</f>
        <v>0</v>
      </c>
      <c r="G279" s="17">
        <f>_xlfn.XLOOKUP($B279,'[2]Feb-24'!$A:$A,'[2]Feb-24'!$H:$H,0)</f>
        <v>0</v>
      </c>
      <c r="H279" s="17">
        <f>_xlfn.XLOOKUP($B279,'[2]Mar-24'!$A:$A,'[2]Mar-24'!$H:$H,0)</f>
        <v>0</v>
      </c>
      <c r="I279" s="17">
        <f>_xlfn.XLOOKUP($B279,'[2]Apr-24'!$A:$A,'[2]Apr-24'!$H:$H,0)</f>
        <v>0</v>
      </c>
      <c r="J279" s="17">
        <f>_xlfn.XLOOKUP($B279,'[2]May-24'!$A:$A,'[2]May-24'!$H:$H,0)</f>
        <v>0</v>
      </c>
      <c r="K279" s="17">
        <f>_xlfn.XLOOKUP($B279,'[2]Jun-24'!$A:$A,'[2]Jun-24'!$H:$H,0)</f>
        <v>0</v>
      </c>
      <c r="L279" s="17">
        <f>_xlfn.XLOOKUP($B279,'[2]Jul-24'!$A:$A,'[2]Jul-24'!$H:$H,0)</f>
        <v>0</v>
      </c>
      <c r="M279" s="17">
        <f>_xlfn.XLOOKUP($B279,'[2]Aug-24'!$A:$A,'[2]Aug-24'!$H:$H,0)</f>
        <v>0</v>
      </c>
      <c r="N279" s="17">
        <f>_xlfn.XLOOKUP($B279,'[2]Sep-24'!$A:$A,'[2]Sep-24'!$H:$H,0)</f>
        <v>0</v>
      </c>
      <c r="O279" s="17">
        <f>_xlfn.XLOOKUP($B279,'[2]Oct-24'!$A:$A,'[2]Oct-24'!$H:$H,0)</f>
        <v>0</v>
      </c>
      <c r="P279" s="17">
        <f>_xlfn.XLOOKUP($B279,'[2]Nov-24'!$A:$A,'[2]Nov-24'!$H:$H,0)</f>
        <v>0</v>
      </c>
      <c r="Q279" s="17">
        <f>_xlfn.XLOOKUP($B279,'[2]Dec-24'!$A:$A,'[2]Dec-24'!$H:$H,0)</f>
        <v>0</v>
      </c>
      <c r="R279" s="17">
        <f>_xlfn.XLOOKUP($B279,'[2]Jan-25'!$A:$A,'[2]Jan-25'!$H:$H,0)</f>
        <v>0</v>
      </c>
      <c r="S279" s="17">
        <f>_xlfn.XLOOKUP($B279,'[2]Feb-25'!$A:$A,'[2]Feb-25'!$H:$H,0)</f>
        <v>0</v>
      </c>
      <c r="T279" s="17">
        <f>_xlfn.XLOOKUP($B279,'[2]Mar-25'!$A:$A,'[2]Mar-25'!$H:$H,0)</f>
        <v>0</v>
      </c>
      <c r="U279" s="17">
        <f>_xlfn.XLOOKUP($B279,'[2]Apr-25'!$A:$A,'[2]Apr-25'!$H:$H,0)</f>
        <v>0</v>
      </c>
      <c r="V279" s="17">
        <f>_xlfn.XLOOKUP($B279,'[2]May-25'!$A:$A,'[2]May-25'!$H:$H,0)</f>
        <v>0</v>
      </c>
      <c r="W279" s="17">
        <f>_xlfn.XLOOKUP($B279,'[2]Jun-25'!$A:$A,'[2]Jun-25'!$H:$H,0)</f>
        <v>0</v>
      </c>
      <c r="X279" s="17">
        <f>_xlfn.XLOOKUP($B279,'[2]Jul-25'!$A:$A,'[2]Jul-25'!$H:$H,0)</f>
        <v>0</v>
      </c>
      <c r="Y279" s="17">
        <f>_xlfn.XLOOKUP($B279,'[2]Aug-25'!$A:$A,'[2]Aug-25'!$H:$H,0)</f>
        <v>0</v>
      </c>
      <c r="Z279" s="17">
        <f>_xlfn.XLOOKUP($B279,'[2]Sep-25'!$A:$A,'[2]Sep-25'!$H:$H,0)</f>
        <v>0</v>
      </c>
      <c r="AA279" s="17">
        <f>_xlfn.XLOOKUP($B279,'[2]Oct-25'!$A:$A,'[2]Oct-25'!$H:$H,0)</f>
        <v>0</v>
      </c>
      <c r="AB279" s="17">
        <f>_xlfn.XLOOKUP($B279,'[2]Nov-25'!$A:$A,'[2]Nov-25'!$H:$H,0)</f>
        <v>0</v>
      </c>
      <c r="AC279" s="17">
        <f>_xlfn.XLOOKUP($B279,'[2]Dec-25'!$A:$A,'[2]Dec-25'!$H:$H,0)</f>
        <v>0</v>
      </c>
      <c r="AD279" s="17">
        <f>_xlfn.XLOOKUP($B279,'[2]Jan-26'!$A:$A,'[2]Jan-26'!$H:$H,0)</f>
        <v>0</v>
      </c>
      <c r="AE279" s="17">
        <f>_xlfn.XLOOKUP($B279,'[2]Feb-26'!$A:$A,'[2]Feb-26'!$H:$H,0)</f>
        <v>0</v>
      </c>
      <c r="AF279" s="17">
        <f>_xlfn.XLOOKUP($B279,'[2]Mar-26'!$A:$A,'[2]Mar-26'!$H:$H,0)</f>
        <v>0</v>
      </c>
      <c r="AG279" s="17">
        <f>_xlfn.XLOOKUP($B279,'[2]Apr-26'!$A:$A,'[2]Apr-26'!$H:$H,0)</f>
        <v>0</v>
      </c>
    </row>
    <row r="280" spans="1:33" x14ac:dyDescent="0.2">
      <c r="A280" s="58">
        <v>66305</v>
      </c>
      <c r="B280" s="56" t="str">
        <f t="shared" si="6"/>
        <v>66305</v>
      </c>
      <c r="C280" s="57" t="s">
        <v>572</v>
      </c>
      <c r="D280" s="57" t="s">
        <v>387</v>
      </c>
      <c r="E280" s="44" t="s">
        <v>686</v>
      </c>
      <c r="F280" s="17">
        <f>_xlfn.XLOOKUP($B280,'[2]Jan-24'!$A:$A,'[2]Jan-24'!$H:$H,0)</f>
        <v>0</v>
      </c>
      <c r="G280" s="17">
        <f>_xlfn.XLOOKUP($B280,'[2]Feb-24'!$A:$A,'[2]Feb-24'!$H:$H,0)</f>
        <v>0</v>
      </c>
      <c r="H280" s="17">
        <f>_xlfn.XLOOKUP($B280,'[2]Mar-24'!$A:$A,'[2]Mar-24'!$H:$H,0)</f>
        <v>0</v>
      </c>
      <c r="I280" s="17">
        <f>_xlfn.XLOOKUP($B280,'[2]Apr-24'!$A:$A,'[2]Apr-24'!$H:$H,0)</f>
        <v>0</v>
      </c>
      <c r="J280" s="17">
        <f>_xlfn.XLOOKUP($B280,'[2]May-24'!$A:$A,'[2]May-24'!$H:$H,0)</f>
        <v>0</v>
      </c>
      <c r="K280" s="17">
        <f>_xlfn.XLOOKUP($B280,'[2]Jun-24'!$A:$A,'[2]Jun-24'!$H:$H,0)</f>
        <v>0</v>
      </c>
      <c r="L280" s="17">
        <f>_xlfn.XLOOKUP($B280,'[2]Jul-24'!$A:$A,'[2]Jul-24'!$H:$H,0)</f>
        <v>0</v>
      </c>
      <c r="M280" s="17">
        <f>_xlfn.XLOOKUP($B280,'[2]Aug-24'!$A:$A,'[2]Aug-24'!$H:$H,0)</f>
        <v>0</v>
      </c>
      <c r="N280" s="17">
        <f>_xlfn.XLOOKUP($B280,'[2]Sep-24'!$A:$A,'[2]Sep-24'!$H:$H,0)</f>
        <v>0</v>
      </c>
      <c r="O280" s="17">
        <f>_xlfn.XLOOKUP($B280,'[2]Oct-24'!$A:$A,'[2]Oct-24'!$H:$H,0)</f>
        <v>0</v>
      </c>
      <c r="P280" s="17">
        <f>_xlfn.XLOOKUP($B280,'[2]Nov-24'!$A:$A,'[2]Nov-24'!$H:$H,0)</f>
        <v>0</v>
      </c>
      <c r="Q280" s="17">
        <f>_xlfn.XLOOKUP($B280,'[2]Dec-24'!$A:$A,'[2]Dec-24'!$H:$H,0)</f>
        <v>0</v>
      </c>
      <c r="R280" s="17">
        <f>_xlfn.XLOOKUP($B280,'[2]Jan-25'!$A:$A,'[2]Jan-25'!$H:$H,0)</f>
        <v>0</v>
      </c>
      <c r="S280" s="17">
        <f>_xlfn.XLOOKUP($B280,'[2]Feb-25'!$A:$A,'[2]Feb-25'!$H:$H,0)</f>
        <v>0</v>
      </c>
      <c r="T280" s="17">
        <f>_xlfn.XLOOKUP($B280,'[2]Mar-25'!$A:$A,'[2]Mar-25'!$H:$H,0)</f>
        <v>0</v>
      </c>
      <c r="U280" s="17">
        <f>_xlfn.XLOOKUP($B280,'[2]Apr-25'!$A:$A,'[2]Apr-25'!$H:$H,0)</f>
        <v>0</v>
      </c>
      <c r="V280" s="17">
        <f>_xlfn.XLOOKUP($B280,'[2]May-25'!$A:$A,'[2]May-25'!$H:$H,0)</f>
        <v>0</v>
      </c>
      <c r="W280" s="17">
        <f>_xlfn.XLOOKUP($B280,'[2]Jun-25'!$A:$A,'[2]Jun-25'!$H:$H,0)</f>
        <v>0</v>
      </c>
      <c r="X280" s="17">
        <f>_xlfn.XLOOKUP($B280,'[2]Jul-25'!$A:$A,'[2]Jul-25'!$H:$H,0)</f>
        <v>0</v>
      </c>
      <c r="Y280" s="17">
        <f>_xlfn.XLOOKUP($B280,'[2]Aug-25'!$A:$A,'[2]Aug-25'!$H:$H,0)</f>
        <v>0</v>
      </c>
      <c r="Z280" s="17">
        <f>_xlfn.XLOOKUP($B280,'[2]Sep-25'!$A:$A,'[2]Sep-25'!$H:$H,0)</f>
        <v>0</v>
      </c>
      <c r="AA280" s="17">
        <f>_xlfn.XLOOKUP($B280,'[2]Oct-25'!$A:$A,'[2]Oct-25'!$H:$H,0)</f>
        <v>0</v>
      </c>
      <c r="AB280" s="17">
        <f>_xlfn.XLOOKUP($B280,'[2]Nov-25'!$A:$A,'[2]Nov-25'!$H:$H,0)</f>
        <v>0</v>
      </c>
      <c r="AC280" s="17">
        <f>_xlfn.XLOOKUP($B280,'[2]Dec-25'!$A:$A,'[2]Dec-25'!$H:$H,0)</f>
        <v>0</v>
      </c>
      <c r="AD280" s="17">
        <f>_xlfn.XLOOKUP($B280,'[2]Jan-26'!$A:$A,'[2]Jan-26'!$H:$H,0)</f>
        <v>0</v>
      </c>
      <c r="AE280" s="17">
        <f>_xlfn.XLOOKUP($B280,'[2]Feb-26'!$A:$A,'[2]Feb-26'!$H:$H,0)</f>
        <v>0</v>
      </c>
      <c r="AF280" s="17">
        <f>_xlfn.XLOOKUP($B280,'[2]Mar-26'!$A:$A,'[2]Mar-26'!$H:$H,0)</f>
        <v>0</v>
      </c>
      <c r="AG280" s="17">
        <f>_xlfn.XLOOKUP($B280,'[2]Apr-26'!$A:$A,'[2]Apr-26'!$H:$H,0)</f>
        <v>0</v>
      </c>
    </row>
    <row r="281" spans="1:33" x14ac:dyDescent="0.2">
      <c r="A281" s="58">
        <v>66310</v>
      </c>
      <c r="B281" s="56" t="str">
        <f t="shared" si="6"/>
        <v>66310</v>
      </c>
      <c r="C281" s="57" t="s">
        <v>572</v>
      </c>
      <c r="D281" s="57" t="s">
        <v>387</v>
      </c>
      <c r="E281" s="44" t="s">
        <v>687</v>
      </c>
      <c r="F281" s="17">
        <f>_xlfn.XLOOKUP($B281,'[2]Jan-24'!$A:$A,'[2]Jan-24'!$H:$H,0)</f>
        <v>0</v>
      </c>
      <c r="G281" s="17">
        <f>_xlfn.XLOOKUP($B281,'[2]Feb-24'!$A:$A,'[2]Feb-24'!$H:$H,0)</f>
        <v>0</v>
      </c>
      <c r="H281" s="17">
        <f>_xlfn.XLOOKUP($B281,'[2]Mar-24'!$A:$A,'[2]Mar-24'!$H:$H,0)</f>
        <v>0</v>
      </c>
      <c r="I281" s="17">
        <f>_xlfn.XLOOKUP($B281,'[2]Apr-24'!$A:$A,'[2]Apr-24'!$H:$H,0)</f>
        <v>0</v>
      </c>
      <c r="J281" s="17">
        <f>_xlfn.XLOOKUP($B281,'[2]May-24'!$A:$A,'[2]May-24'!$H:$H,0)</f>
        <v>0</v>
      </c>
      <c r="K281" s="17">
        <f>_xlfn.XLOOKUP($B281,'[2]Jun-24'!$A:$A,'[2]Jun-24'!$H:$H,0)</f>
        <v>0</v>
      </c>
      <c r="L281" s="17">
        <f>_xlfn.XLOOKUP($B281,'[2]Jul-24'!$A:$A,'[2]Jul-24'!$H:$H,0)</f>
        <v>0</v>
      </c>
      <c r="M281" s="17">
        <f>_xlfn.XLOOKUP($B281,'[2]Aug-24'!$A:$A,'[2]Aug-24'!$H:$H,0)</f>
        <v>0</v>
      </c>
      <c r="N281" s="17">
        <f>_xlfn.XLOOKUP($B281,'[2]Sep-24'!$A:$A,'[2]Sep-24'!$H:$H,0)</f>
        <v>0</v>
      </c>
      <c r="O281" s="17">
        <f>_xlfn.XLOOKUP($B281,'[2]Oct-24'!$A:$A,'[2]Oct-24'!$H:$H,0)</f>
        <v>0</v>
      </c>
      <c r="P281" s="17">
        <f>_xlfn.XLOOKUP($B281,'[2]Nov-24'!$A:$A,'[2]Nov-24'!$H:$H,0)</f>
        <v>0</v>
      </c>
      <c r="Q281" s="17">
        <f>_xlfn.XLOOKUP($B281,'[2]Dec-24'!$A:$A,'[2]Dec-24'!$H:$H,0)</f>
        <v>0</v>
      </c>
      <c r="R281" s="17">
        <f>_xlfn.XLOOKUP($B281,'[2]Jan-25'!$A:$A,'[2]Jan-25'!$H:$H,0)</f>
        <v>0</v>
      </c>
      <c r="S281" s="17">
        <f>_xlfn.XLOOKUP($B281,'[2]Feb-25'!$A:$A,'[2]Feb-25'!$H:$H,0)</f>
        <v>0</v>
      </c>
      <c r="T281" s="17">
        <f>_xlfn.XLOOKUP($B281,'[2]Mar-25'!$A:$A,'[2]Mar-25'!$H:$H,0)</f>
        <v>0</v>
      </c>
      <c r="U281" s="17">
        <f>_xlfn.XLOOKUP($B281,'[2]Apr-25'!$A:$A,'[2]Apr-25'!$H:$H,0)</f>
        <v>0</v>
      </c>
      <c r="V281" s="17">
        <f>_xlfn.XLOOKUP($B281,'[2]May-25'!$A:$A,'[2]May-25'!$H:$H,0)</f>
        <v>0</v>
      </c>
      <c r="W281" s="17">
        <f>_xlfn.XLOOKUP($B281,'[2]Jun-25'!$A:$A,'[2]Jun-25'!$H:$H,0)</f>
        <v>0</v>
      </c>
      <c r="X281" s="17">
        <f>_xlfn.XLOOKUP($B281,'[2]Jul-25'!$A:$A,'[2]Jul-25'!$H:$H,0)</f>
        <v>0</v>
      </c>
      <c r="Y281" s="17">
        <f>_xlfn.XLOOKUP($B281,'[2]Aug-25'!$A:$A,'[2]Aug-25'!$H:$H,0)</f>
        <v>0</v>
      </c>
      <c r="Z281" s="17">
        <f>_xlfn.XLOOKUP($B281,'[2]Sep-25'!$A:$A,'[2]Sep-25'!$H:$H,0)</f>
        <v>0</v>
      </c>
      <c r="AA281" s="17">
        <f>_xlfn.XLOOKUP($B281,'[2]Oct-25'!$A:$A,'[2]Oct-25'!$H:$H,0)</f>
        <v>0</v>
      </c>
      <c r="AB281" s="17">
        <f>_xlfn.XLOOKUP($B281,'[2]Nov-25'!$A:$A,'[2]Nov-25'!$H:$H,0)</f>
        <v>0</v>
      </c>
      <c r="AC281" s="17">
        <f>_xlfn.XLOOKUP($B281,'[2]Dec-25'!$A:$A,'[2]Dec-25'!$H:$H,0)</f>
        <v>0</v>
      </c>
      <c r="AD281" s="17">
        <f>_xlfn.XLOOKUP($B281,'[2]Jan-26'!$A:$A,'[2]Jan-26'!$H:$H,0)</f>
        <v>0</v>
      </c>
      <c r="AE281" s="17">
        <f>_xlfn.XLOOKUP($B281,'[2]Feb-26'!$A:$A,'[2]Feb-26'!$H:$H,0)</f>
        <v>0</v>
      </c>
      <c r="AF281" s="17">
        <f>_xlfn.XLOOKUP($B281,'[2]Mar-26'!$A:$A,'[2]Mar-26'!$H:$H,0)</f>
        <v>0</v>
      </c>
      <c r="AG281" s="17">
        <f>_xlfn.XLOOKUP($B281,'[2]Apr-26'!$A:$A,'[2]Apr-26'!$H:$H,0)</f>
        <v>0</v>
      </c>
    </row>
    <row r="282" spans="1:33" x14ac:dyDescent="0.2">
      <c r="A282" s="58">
        <v>67000</v>
      </c>
      <c r="B282" s="56" t="str">
        <f t="shared" si="6"/>
        <v>67000</v>
      </c>
      <c r="C282" s="57" t="s">
        <v>552</v>
      </c>
      <c r="D282" s="57" t="s">
        <v>387</v>
      </c>
      <c r="E282" s="44" t="s">
        <v>688</v>
      </c>
      <c r="F282" s="17">
        <f>_xlfn.XLOOKUP($B282,'[2]Jan-24'!$A:$A,'[2]Jan-24'!$H:$H,0)</f>
        <v>0</v>
      </c>
      <c r="G282" s="17">
        <f>_xlfn.XLOOKUP($B282,'[2]Feb-24'!$A:$A,'[2]Feb-24'!$H:$H,0)</f>
        <v>0</v>
      </c>
      <c r="H282" s="17">
        <f>_xlfn.XLOOKUP($B282,'[2]Mar-24'!$A:$A,'[2]Mar-24'!$H:$H,0)</f>
        <v>0</v>
      </c>
      <c r="I282" s="17">
        <f>_xlfn.XLOOKUP($B282,'[2]Apr-24'!$A:$A,'[2]Apr-24'!$H:$H,0)</f>
        <v>0</v>
      </c>
      <c r="J282" s="17">
        <f>_xlfn.XLOOKUP($B282,'[2]May-24'!$A:$A,'[2]May-24'!$H:$H,0)</f>
        <v>0</v>
      </c>
      <c r="K282" s="17">
        <f>_xlfn.XLOOKUP($B282,'[2]Jun-24'!$A:$A,'[2]Jun-24'!$H:$H,0)</f>
        <v>0</v>
      </c>
      <c r="L282" s="17">
        <f>_xlfn.XLOOKUP($B282,'[2]Jul-24'!$A:$A,'[2]Jul-24'!$H:$H,0)</f>
        <v>0</v>
      </c>
      <c r="M282" s="17">
        <f>_xlfn.XLOOKUP($B282,'[2]Aug-24'!$A:$A,'[2]Aug-24'!$H:$H,0)</f>
        <v>0</v>
      </c>
      <c r="N282" s="17">
        <f>_xlfn.XLOOKUP($B282,'[2]Sep-24'!$A:$A,'[2]Sep-24'!$H:$H,0)</f>
        <v>0</v>
      </c>
      <c r="O282" s="17">
        <f>_xlfn.XLOOKUP($B282,'[2]Oct-24'!$A:$A,'[2]Oct-24'!$H:$H,0)</f>
        <v>0</v>
      </c>
      <c r="P282" s="17">
        <f>_xlfn.XLOOKUP($B282,'[2]Nov-24'!$A:$A,'[2]Nov-24'!$H:$H,0)</f>
        <v>0</v>
      </c>
      <c r="Q282" s="17">
        <f>_xlfn.XLOOKUP($B282,'[2]Dec-24'!$A:$A,'[2]Dec-24'!$H:$H,0)</f>
        <v>0</v>
      </c>
      <c r="R282" s="17">
        <f>_xlfn.XLOOKUP($B282,'[2]Jan-25'!$A:$A,'[2]Jan-25'!$H:$H,0)</f>
        <v>0</v>
      </c>
      <c r="S282" s="17">
        <f>_xlfn.XLOOKUP($B282,'[2]Feb-25'!$A:$A,'[2]Feb-25'!$H:$H,0)</f>
        <v>0</v>
      </c>
      <c r="T282" s="17">
        <f>_xlfn.XLOOKUP($B282,'[2]Mar-25'!$A:$A,'[2]Mar-25'!$H:$H,0)</f>
        <v>0</v>
      </c>
      <c r="U282" s="17">
        <f>_xlfn.XLOOKUP($B282,'[2]Apr-25'!$A:$A,'[2]Apr-25'!$H:$H,0)</f>
        <v>0</v>
      </c>
      <c r="V282" s="17">
        <f>_xlfn.XLOOKUP($B282,'[2]May-25'!$A:$A,'[2]May-25'!$H:$H,0)</f>
        <v>0</v>
      </c>
      <c r="W282" s="17">
        <f>_xlfn.XLOOKUP($B282,'[2]Jun-25'!$A:$A,'[2]Jun-25'!$H:$H,0)</f>
        <v>0</v>
      </c>
      <c r="X282" s="17">
        <f>_xlfn.XLOOKUP($B282,'[2]Jul-25'!$A:$A,'[2]Jul-25'!$H:$H,0)</f>
        <v>0</v>
      </c>
      <c r="Y282" s="17">
        <f>_xlfn.XLOOKUP($B282,'[2]Aug-25'!$A:$A,'[2]Aug-25'!$H:$H,0)</f>
        <v>0</v>
      </c>
      <c r="Z282" s="17">
        <f>_xlfn.XLOOKUP($B282,'[2]Sep-25'!$A:$A,'[2]Sep-25'!$H:$H,0)</f>
        <v>0</v>
      </c>
      <c r="AA282" s="17">
        <f>_xlfn.XLOOKUP($B282,'[2]Oct-25'!$A:$A,'[2]Oct-25'!$H:$H,0)</f>
        <v>0</v>
      </c>
      <c r="AB282" s="17">
        <f>_xlfn.XLOOKUP($B282,'[2]Nov-25'!$A:$A,'[2]Nov-25'!$H:$H,0)</f>
        <v>0</v>
      </c>
      <c r="AC282" s="17">
        <f>_xlfn.XLOOKUP($B282,'[2]Dec-25'!$A:$A,'[2]Dec-25'!$H:$H,0)</f>
        <v>0</v>
      </c>
      <c r="AD282" s="17">
        <f>_xlfn.XLOOKUP($B282,'[2]Jan-26'!$A:$A,'[2]Jan-26'!$H:$H,0)</f>
        <v>0</v>
      </c>
      <c r="AE282" s="17">
        <f>_xlfn.XLOOKUP($B282,'[2]Feb-26'!$A:$A,'[2]Feb-26'!$H:$H,0)</f>
        <v>0</v>
      </c>
      <c r="AF282" s="17">
        <f>_xlfn.XLOOKUP($B282,'[2]Mar-26'!$A:$A,'[2]Mar-26'!$H:$H,0)</f>
        <v>0</v>
      </c>
      <c r="AG282" s="17">
        <f>_xlfn.XLOOKUP($B282,'[2]Apr-26'!$A:$A,'[2]Apr-26'!$H:$H,0)</f>
        <v>0</v>
      </c>
    </row>
    <row r="283" spans="1:33" x14ac:dyDescent="0.2">
      <c r="A283" s="58">
        <v>67010</v>
      </c>
      <c r="B283" s="56" t="str">
        <f t="shared" si="6"/>
        <v>67010</v>
      </c>
      <c r="C283" s="57" t="s">
        <v>574</v>
      </c>
      <c r="D283" s="57" t="s">
        <v>387</v>
      </c>
      <c r="E283" s="44" t="s">
        <v>690</v>
      </c>
      <c r="F283" s="17">
        <f>_xlfn.XLOOKUP($B283,'[2]Jan-24'!$A:$A,'[2]Jan-24'!$H:$H,0)</f>
        <v>0</v>
      </c>
      <c r="G283" s="17">
        <f>_xlfn.XLOOKUP($B283,'[2]Feb-24'!$A:$A,'[2]Feb-24'!$H:$H,0)</f>
        <v>0</v>
      </c>
      <c r="H283" s="17">
        <f>_xlfn.XLOOKUP($B283,'[2]Mar-24'!$A:$A,'[2]Mar-24'!$H:$H,0)</f>
        <v>0</v>
      </c>
      <c r="I283" s="17">
        <f>_xlfn.XLOOKUP($B283,'[2]Apr-24'!$A:$A,'[2]Apr-24'!$H:$H,0)</f>
        <v>0</v>
      </c>
      <c r="J283" s="17">
        <f>_xlfn.XLOOKUP($B283,'[2]May-24'!$A:$A,'[2]May-24'!$H:$H,0)</f>
        <v>0</v>
      </c>
      <c r="K283" s="17">
        <f>_xlfn.XLOOKUP($B283,'[2]Jun-24'!$A:$A,'[2]Jun-24'!$H:$H,0)</f>
        <v>0</v>
      </c>
      <c r="L283" s="17">
        <f>_xlfn.XLOOKUP($B283,'[2]Jul-24'!$A:$A,'[2]Jul-24'!$H:$H,0)</f>
        <v>0</v>
      </c>
      <c r="M283" s="17">
        <f>_xlfn.XLOOKUP($B283,'[2]Aug-24'!$A:$A,'[2]Aug-24'!$H:$H,0)</f>
        <v>0</v>
      </c>
      <c r="N283" s="17">
        <f>_xlfn.XLOOKUP($B283,'[2]Sep-24'!$A:$A,'[2]Sep-24'!$H:$H,0)</f>
        <v>0</v>
      </c>
      <c r="O283" s="17">
        <f>_xlfn.XLOOKUP($B283,'[2]Oct-24'!$A:$A,'[2]Oct-24'!$H:$H,0)</f>
        <v>0</v>
      </c>
      <c r="P283" s="17">
        <f>_xlfn.XLOOKUP($B283,'[2]Nov-24'!$A:$A,'[2]Nov-24'!$H:$H,0)</f>
        <v>0</v>
      </c>
      <c r="Q283" s="17">
        <f>_xlfn.XLOOKUP($B283,'[2]Dec-24'!$A:$A,'[2]Dec-24'!$H:$H,0)</f>
        <v>0</v>
      </c>
      <c r="R283" s="17">
        <f>_xlfn.XLOOKUP($B283,'[2]Jan-25'!$A:$A,'[2]Jan-25'!$H:$H,0)</f>
        <v>0</v>
      </c>
      <c r="S283" s="17">
        <f>_xlfn.XLOOKUP($B283,'[2]Feb-25'!$A:$A,'[2]Feb-25'!$H:$H,0)</f>
        <v>0</v>
      </c>
      <c r="T283" s="17">
        <f>_xlfn.XLOOKUP($B283,'[2]Mar-25'!$A:$A,'[2]Mar-25'!$H:$H,0)</f>
        <v>0</v>
      </c>
      <c r="U283" s="17">
        <f>_xlfn.XLOOKUP($B283,'[2]Apr-25'!$A:$A,'[2]Apr-25'!$H:$H,0)</f>
        <v>0</v>
      </c>
      <c r="V283" s="17">
        <f>_xlfn.XLOOKUP($B283,'[2]May-25'!$A:$A,'[2]May-25'!$H:$H,0)</f>
        <v>0</v>
      </c>
      <c r="W283" s="17">
        <f>_xlfn.XLOOKUP($B283,'[2]Jun-25'!$A:$A,'[2]Jun-25'!$H:$H,0)</f>
        <v>0</v>
      </c>
      <c r="X283" s="17">
        <f>_xlfn.XLOOKUP($B283,'[2]Jul-25'!$A:$A,'[2]Jul-25'!$H:$H,0)</f>
        <v>0</v>
      </c>
      <c r="Y283" s="17">
        <f>_xlfn.XLOOKUP($B283,'[2]Aug-25'!$A:$A,'[2]Aug-25'!$H:$H,0)</f>
        <v>0</v>
      </c>
      <c r="Z283" s="17">
        <f>_xlfn.XLOOKUP($B283,'[2]Sep-25'!$A:$A,'[2]Sep-25'!$H:$H,0)</f>
        <v>0</v>
      </c>
      <c r="AA283" s="17">
        <f>_xlfn.XLOOKUP($B283,'[2]Oct-25'!$A:$A,'[2]Oct-25'!$H:$H,0)</f>
        <v>0</v>
      </c>
      <c r="AB283" s="17">
        <f>_xlfn.XLOOKUP($B283,'[2]Nov-25'!$A:$A,'[2]Nov-25'!$H:$H,0)</f>
        <v>0</v>
      </c>
      <c r="AC283" s="17">
        <f>_xlfn.XLOOKUP($B283,'[2]Dec-25'!$A:$A,'[2]Dec-25'!$H:$H,0)</f>
        <v>0</v>
      </c>
      <c r="AD283" s="17">
        <f>_xlfn.XLOOKUP($B283,'[2]Jan-26'!$A:$A,'[2]Jan-26'!$H:$H,0)</f>
        <v>0</v>
      </c>
      <c r="AE283" s="17">
        <f>_xlfn.XLOOKUP($B283,'[2]Feb-26'!$A:$A,'[2]Feb-26'!$H:$H,0)</f>
        <v>0</v>
      </c>
      <c r="AF283" s="17">
        <f>_xlfn.XLOOKUP($B283,'[2]Mar-26'!$A:$A,'[2]Mar-26'!$H:$H,0)</f>
        <v>0</v>
      </c>
      <c r="AG283" s="17">
        <f>_xlfn.XLOOKUP($B283,'[2]Apr-26'!$A:$A,'[2]Apr-26'!$H:$H,0)</f>
        <v>0</v>
      </c>
    </row>
    <row r="284" spans="1:33" x14ac:dyDescent="0.2">
      <c r="A284" s="58">
        <v>67012</v>
      </c>
      <c r="B284" s="56" t="str">
        <f t="shared" si="6"/>
        <v>67012</v>
      </c>
      <c r="C284" s="57" t="s">
        <v>389</v>
      </c>
      <c r="D284" s="57" t="s">
        <v>387</v>
      </c>
      <c r="E284" s="44" t="s">
        <v>691</v>
      </c>
      <c r="F284" s="17">
        <f>_xlfn.XLOOKUP($B284,'[2]Jan-24'!$A:$A,'[2]Jan-24'!$H:$H,0)</f>
        <v>0</v>
      </c>
      <c r="G284" s="17">
        <f>_xlfn.XLOOKUP($B284,'[2]Feb-24'!$A:$A,'[2]Feb-24'!$H:$H,0)</f>
        <v>0</v>
      </c>
      <c r="H284" s="17">
        <f>_xlfn.XLOOKUP($B284,'[2]Mar-24'!$A:$A,'[2]Mar-24'!$H:$H,0)</f>
        <v>0</v>
      </c>
      <c r="I284" s="17">
        <f>_xlfn.XLOOKUP($B284,'[2]Apr-24'!$A:$A,'[2]Apr-24'!$H:$H,0)</f>
        <v>0</v>
      </c>
      <c r="J284" s="17">
        <f>_xlfn.XLOOKUP($B284,'[2]May-24'!$A:$A,'[2]May-24'!$H:$H,0)</f>
        <v>0</v>
      </c>
      <c r="K284" s="17">
        <f>_xlfn.XLOOKUP($B284,'[2]Jun-24'!$A:$A,'[2]Jun-24'!$H:$H,0)</f>
        <v>0</v>
      </c>
      <c r="L284" s="17">
        <f>_xlfn.XLOOKUP($B284,'[2]Jul-24'!$A:$A,'[2]Jul-24'!$H:$H,0)</f>
        <v>0</v>
      </c>
      <c r="M284" s="17">
        <f>_xlfn.XLOOKUP($B284,'[2]Aug-24'!$A:$A,'[2]Aug-24'!$H:$H,0)</f>
        <v>0</v>
      </c>
      <c r="N284" s="17">
        <f>_xlfn.XLOOKUP($B284,'[2]Sep-24'!$A:$A,'[2]Sep-24'!$H:$H,0)</f>
        <v>0</v>
      </c>
      <c r="O284" s="17">
        <f>_xlfn.XLOOKUP($B284,'[2]Oct-24'!$A:$A,'[2]Oct-24'!$H:$H,0)</f>
        <v>0</v>
      </c>
      <c r="P284" s="17">
        <f>_xlfn.XLOOKUP($B284,'[2]Nov-24'!$A:$A,'[2]Nov-24'!$H:$H,0)</f>
        <v>0</v>
      </c>
      <c r="Q284" s="17">
        <f>_xlfn.XLOOKUP($B284,'[2]Dec-24'!$A:$A,'[2]Dec-24'!$H:$H,0)</f>
        <v>0</v>
      </c>
      <c r="R284" s="17">
        <f>_xlfn.XLOOKUP($B284,'[2]Jan-25'!$A:$A,'[2]Jan-25'!$H:$H,0)</f>
        <v>0</v>
      </c>
      <c r="S284" s="17">
        <f>_xlfn.XLOOKUP($B284,'[2]Feb-25'!$A:$A,'[2]Feb-25'!$H:$H,0)</f>
        <v>0</v>
      </c>
      <c r="T284" s="17">
        <f>_xlfn.XLOOKUP($B284,'[2]Mar-25'!$A:$A,'[2]Mar-25'!$H:$H,0)</f>
        <v>0</v>
      </c>
      <c r="U284" s="17">
        <f>_xlfn.XLOOKUP($B284,'[2]Apr-25'!$A:$A,'[2]Apr-25'!$H:$H,0)</f>
        <v>0</v>
      </c>
      <c r="V284" s="17">
        <f>_xlfn.XLOOKUP($B284,'[2]May-25'!$A:$A,'[2]May-25'!$H:$H,0)</f>
        <v>0</v>
      </c>
      <c r="W284" s="17">
        <f>_xlfn.XLOOKUP($B284,'[2]Jun-25'!$A:$A,'[2]Jun-25'!$H:$H,0)</f>
        <v>0</v>
      </c>
      <c r="X284" s="17">
        <f>_xlfn.XLOOKUP($B284,'[2]Jul-25'!$A:$A,'[2]Jul-25'!$H:$H,0)</f>
        <v>0</v>
      </c>
      <c r="Y284" s="17">
        <f>_xlfn.XLOOKUP($B284,'[2]Aug-25'!$A:$A,'[2]Aug-25'!$H:$H,0)</f>
        <v>0</v>
      </c>
      <c r="Z284" s="17">
        <f>_xlfn.XLOOKUP($B284,'[2]Sep-25'!$A:$A,'[2]Sep-25'!$H:$H,0)</f>
        <v>0</v>
      </c>
      <c r="AA284" s="17">
        <f>_xlfn.XLOOKUP($B284,'[2]Oct-25'!$A:$A,'[2]Oct-25'!$H:$H,0)</f>
        <v>0</v>
      </c>
      <c r="AB284" s="17">
        <f>_xlfn.XLOOKUP($B284,'[2]Nov-25'!$A:$A,'[2]Nov-25'!$H:$H,0)</f>
        <v>0</v>
      </c>
      <c r="AC284" s="17">
        <f>_xlfn.XLOOKUP($B284,'[2]Dec-25'!$A:$A,'[2]Dec-25'!$H:$H,0)</f>
        <v>0</v>
      </c>
      <c r="AD284" s="17">
        <f>_xlfn.XLOOKUP($B284,'[2]Jan-26'!$A:$A,'[2]Jan-26'!$H:$H,0)</f>
        <v>0</v>
      </c>
      <c r="AE284" s="17">
        <f>_xlfn.XLOOKUP($B284,'[2]Feb-26'!$A:$A,'[2]Feb-26'!$H:$H,0)</f>
        <v>0</v>
      </c>
      <c r="AF284" s="17">
        <f>_xlfn.XLOOKUP($B284,'[2]Mar-26'!$A:$A,'[2]Mar-26'!$H:$H,0)</f>
        <v>0</v>
      </c>
      <c r="AG284" s="17">
        <f>_xlfn.XLOOKUP($B284,'[2]Apr-26'!$A:$A,'[2]Apr-26'!$H:$H,0)</f>
        <v>0</v>
      </c>
    </row>
    <row r="285" spans="1:33" x14ac:dyDescent="0.2">
      <c r="A285" s="58">
        <v>67028</v>
      </c>
      <c r="B285" s="56" t="str">
        <f t="shared" si="6"/>
        <v>67028</v>
      </c>
      <c r="C285" s="57" t="s">
        <v>549</v>
      </c>
      <c r="D285" s="57" t="s">
        <v>387</v>
      </c>
      <c r="E285" s="44" t="s">
        <v>707</v>
      </c>
      <c r="F285" s="17">
        <f>_xlfn.XLOOKUP($B285,'[2]Jan-24'!$A:$A,'[2]Jan-24'!$H:$H,0)</f>
        <v>0</v>
      </c>
      <c r="G285" s="17">
        <f>_xlfn.XLOOKUP($B285,'[2]Feb-24'!$A:$A,'[2]Feb-24'!$H:$H,0)</f>
        <v>0</v>
      </c>
      <c r="H285" s="17">
        <f>_xlfn.XLOOKUP($B285,'[2]Mar-24'!$A:$A,'[2]Mar-24'!$H:$H,0)</f>
        <v>0</v>
      </c>
      <c r="I285" s="17">
        <f>_xlfn.XLOOKUP($B285,'[2]Apr-24'!$A:$A,'[2]Apr-24'!$H:$H,0)</f>
        <v>0</v>
      </c>
      <c r="J285" s="17">
        <f>_xlfn.XLOOKUP($B285,'[2]May-24'!$A:$A,'[2]May-24'!$H:$H,0)</f>
        <v>0</v>
      </c>
      <c r="K285" s="17">
        <f>_xlfn.XLOOKUP($B285,'[2]Jun-24'!$A:$A,'[2]Jun-24'!$H:$H,0)</f>
        <v>0</v>
      </c>
      <c r="L285" s="17">
        <f>_xlfn.XLOOKUP($B285,'[2]Jul-24'!$A:$A,'[2]Jul-24'!$H:$H,0)</f>
        <v>0</v>
      </c>
      <c r="M285" s="17">
        <f>_xlfn.XLOOKUP($B285,'[2]Aug-24'!$A:$A,'[2]Aug-24'!$H:$H,0)</f>
        <v>0</v>
      </c>
      <c r="N285" s="17">
        <f>_xlfn.XLOOKUP($B285,'[2]Sep-24'!$A:$A,'[2]Sep-24'!$H:$H,0)</f>
        <v>0</v>
      </c>
      <c r="O285" s="17">
        <f>_xlfn.XLOOKUP($B285,'[2]Oct-24'!$A:$A,'[2]Oct-24'!$H:$H,0)</f>
        <v>0</v>
      </c>
      <c r="P285" s="17">
        <f>_xlfn.XLOOKUP($B285,'[2]Nov-24'!$A:$A,'[2]Nov-24'!$H:$H,0)</f>
        <v>0</v>
      </c>
      <c r="Q285" s="17">
        <f>_xlfn.XLOOKUP($B285,'[2]Dec-24'!$A:$A,'[2]Dec-24'!$H:$H,0)</f>
        <v>0</v>
      </c>
      <c r="R285" s="17">
        <f>_xlfn.XLOOKUP($B285,'[2]Jan-25'!$A:$A,'[2]Jan-25'!$H:$H,0)</f>
        <v>0</v>
      </c>
      <c r="S285" s="17">
        <f>_xlfn.XLOOKUP($B285,'[2]Feb-25'!$A:$A,'[2]Feb-25'!$H:$H,0)</f>
        <v>0</v>
      </c>
      <c r="T285" s="17">
        <f>_xlfn.XLOOKUP($B285,'[2]Mar-25'!$A:$A,'[2]Mar-25'!$H:$H,0)</f>
        <v>0</v>
      </c>
      <c r="U285" s="17">
        <f>_xlfn.XLOOKUP($B285,'[2]Apr-25'!$A:$A,'[2]Apr-25'!$H:$H,0)</f>
        <v>0</v>
      </c>
      <c r="V285" s="17">
        <f>_xlfn.XLOOKUP($B285,'[2]May-25'!$A:$A,'[2]May-25'!$H:$H,0)</f>
        <v>0</v>
      </c>
      <c r="W285" s="17">
        <f>_xlfn.XLOOKUP($B285,'[2]Jun-25'!$A:$A,'[2]Jun-25'!$H:$H,0)</f>
        <v>0</v>
      </c>
      <c r="X285" s="17">
        <f>_xlfn.XLOOKUP($B285,'[2]Jul-25'!$A:$A,'[2]Jul-25'!$H:$H,0)</f>
        <v>0</v>
      </c>
      <c r="Y285" s="17">
        <f>_xlfn.XLOOKUP($B285,'[2]Aug-25'!$A:$A,'[2]Aug-25'!$H:$H,0)</f>
        <v>0</v>
      </c>
      <c r="Z285" s="17">
        <f>_xlfn.XLOOKUP($B285,'[2]Sep-25'!$A:$A,'[2]Sep-25'!$H:$H,0)</f>
        <v>0</v>
      </c>
      <c r="AA285" s="17">
        <f>_xlfn.XLOOKUP($B285,'[2]Oct-25'!$A:$A,'[2]Oct-25'!$H:$H,0)</f>
        <v>0</v>
      </c>
      <c r="AB285" s="17">
        <f>_xlfn.XLOOKUP($B285,'[2]Nov-25'!$A:$A,'[2]Nov-25'!$H:$H,0)</f>
        <v>0</v>
      </c>
      <c r="AC285" s="17">
        <f>_xlfn.XLOOKUP($B285,'[2]Dec-25'!$A:$A,'[2]Dec-25'!$H:$H,0)</f>
        <v>0</v>
      </c>
      <c r="AD285" s="17">
        <f>_xlfn.XLOOKUP($B285,'[2]Jan-26'!$A:$A,'[2]Jan-26'!$H:$H,0)</f>
        <v>0</v>
      </c>
      <c r="AE285" s="17">
        <f>_xlfn.XLOOKUP($B285,'[2]Feb-26'!$A:$A,'[2]Feb-26'!$H:$H,0)</f>
        <v>0</v>
      </c>
      <c r="AF285" s="17">
        <f>_xlfn.XLOOKUP($B285,'[2]Mar-26'!$A:$A,'[2]Mar-26'!$H:$H,0)</f>
        <v>0</v>
      </c>
      <c r="AG285" s="17">
        <f>_xlfn.XLOOKUP($B285,'[2]Apr-26'!$A:$A,'[2]Apr-26'!$H:$H,0)</f>
        <v>0</v>
      </c>
    </row>
    <row r="286" spans="1:33" x14ac:dyDescent="0.2">
      <c r="A286" s="58">
        <v>67036</v>
      </c>
      <c r="B286" s="56" t="str">
        <f t="shared" si="6"/>
        <v>67036</v>
      </c>
      <c r="C286" s="57" t="s">
        <v>562</v>
      </c>
      <c r="D286" s="57" t="s">
        <v>387</v>
      </c>
      <c r="E286" s="44" t="s">
        <v>563</v>
      </c>
      <c r="F286" s="17">
        <f>_xlfn.XLOOKUP($B286,'[2]Jan-24'!$A:$A,'[2]Jan-24'!$H:$H,0)</f>
        <v>0</v>
      </c>
      <c r="G286" s="17">
        <f>_xlfn.XLOOKUP($B286,'[2]Feb-24'!$A:$A,'[2]Feb-24'!$H:$H,0)</f>
        <v>0</v>
      </c>
      <c r="H286" s="17">
        <f>_xlfn.XLOOKUP($B286,'[2]Mar-24'!$A:$A,'[2]Mar-24'!$H:$H,0)</f>
        <v>0</v>
      </c>
      <c r="I286" s="17">
        <f>_xlfn.XLOOKUP($B286,'[2]Apr-24'!$A:$A,'[2]Apr-24'!$H:$H,0)</f>
        <v>0</v>
      </c>
      <c r="J286" s="17">
        <f>_xlfn.XLOOKUP($B286,'[2]May-24'!$A:$A,'[2]May-24'!$H:$H,0)</f>
        <v>0</v>
      </c>
      <c r="K286" s="17">
        <f>_xlfn.XLOOKUP($B286,'[2]Jun-24'!$A:$A,'[2]Jun-24'!$H:$H,0)</f>
        <v>0</v>
      </c>
      <c r="L286" s="17">
        <f>_xlfn.XLOOKUP($B286,'[2]Jul-24'!$A:$A,'[2]Jul-24'!$H:$H,0)</f>
        <v>0</v>
      </c>
      <c r="M286" s="17">
        <f>_xlfn.XLOOKUP($B286,'[2]Aug-24'!$A:$A,'[2]Aug-24'!$H:$H,0)</f>
        <v>0</v>
      </c>
      <c r="N286" s="17">
        <f>_xlfn.XLOOKUP($B286,'[2]Sep-24'!$A:$A,'[2]Sep-24'!$H:$H,0)</f>
        <v>0</v>
      </c>
      <c r="O286" s="17">
        <f>_xlfn.XLOOKUP($B286,'[2]Oct-24'!$A:$A,'[2]Oct-24'!$H:$H,0)</f>
        <v>0</v>
      </c>
      <c r="P286" s="17">
        <f>_xlfn.XLOOKUP($B286,'[2]Nov-24'!$A:$A,'[2]Nov-24'!$H:$H,0)</f>
        <v>0</v>
      </c>
      <c r="Q286" s="17">
        <f>_xlfn.XLOOKUP($B286,'[2]Dec-24'!$A:$A,'[2]Dec-24'!$H:$H,0)</f>
        <v>0</v>
      </c>
      <c r="R286" s="17">
        <f>_xlfn.XLOOKUP($B286,'[2]Jan-25'!$A:$A,'[2]Jan-25'!$H:$H,0)</f>
        <v>0</v>
      </c>
      <c r="S286" s="17">
        <f>_xlfn.XLOOKUP($B286,'[2]Feb-25'!$A:$A,'[2]Feb-25'!$H:$H,0)</f>
        <v>0</v>
      </c>
      <c r="T286" s="17">
        <f>_xlfn.XLOOKUP($B286,'[2]Mar-25'!$A:$A,'[2]Mar-25'!$H:$H,0)</f>
        <v>0</v>
      </c>
      <c r="U286" s="17">
        <f>_xlfn.XLOOKUP($B286,'[2]Apr-25'!$A:$A,'[2]Apr-25'!$H:$H,0)</f>
        <v>0</v>
      </c>
      <c r="V286" s="17">
        <f>_xlfn.XLOOKUP($B286,'[2]May-25'!$A:$A,'[2]May-25'!$H:$H,0)</f>
        <v>0</v>
      </c>
      <c r="W286" s="17">
        <f>_xlfn.XLOOKUP($B286,'[2]Jun-25'!$A:$A,'[2]Jun-25'!$H:$H,0)</f>
        <v>0</v>
      </c>
      <c r="X286" s="17">
        <f>_xlfn.XLOOKUP($B286,'[2]Jul-25'!$A:$A,'[2]Jul-25'!$H:$H,0)</f>
        <v>0</v>
      </c>
      <c r="Y286" s="17">
        <f>_xlfn.XLOOKUP($B286,'[2]Aug-25'!$A:$A,'[2]Aug-25'!$H:$H,0)</f>
        <v>0</v>
      </c>
      <c r="Z286" s="17">
        <f>_xlfn.XLOOKUP($B286,'[2]Sep-25'!$A:$A,'[2]Sep-25'!$H:$H,0)</f>
        <v>0</v>
      </c>
      <c r="AA286" s="17">
        <f>_xlfn.XLOOKUP($B286,'[2]Oct-25'!$A:$A,'[2]Oct-25'!$H:$H,0)</f>
        <v>0</v>
      </c>
      <c r="AB286" s="17">
        <f>_xlfn.XLOOKUP($B286,'[2]Nov-25'!$A:$A,'[2]Nov-25'!$H:$H,0)</f>
        <v>0</v>
      </c>
      <c r="AC286" s="17">
        <f>_xlfn.XLOOKUP($B286,'[2]Dec-25'!$A:$A,'[2]Dec-25'!$H:$H,0)</f>
        <v>0</v>
      </c>
      <c r="AD286" s="17">
        <f>_xlfn.XLOOKUP($B286,'[2]Jan-26'!$A:$A,'[2]Jan-26'!$H:$H,0)</f>
        <v>0</v>
      </c>
      <c r="AE286" s="17">
        <f>_xlfn.XLOOKUP($B286,'[2]Feb-26'!$A:$A,'[2]Feb-26'!$H:$H,0)</f>
        <v>0</v>
      </c>
      <c r="AF286" s="17">
        <f>_xlfn.XLOOKUP($B286,'[2]Mar-26'!$A:$A,'[2]Mar-26'!$H:$H,0)</f>
        <v>0</v>
      </c>
      <c r="AG286" s="17">
        <f>_xlfn.XLOOKUP($B286,'[2]Apr-26'!$A:$A,'[2]Apr-26'!$H:$H,0)</f>
        <v>0</v>
      </c>
    </row>
    <row r="287" spans="1:33" x14ac:dyDescent="0.2">
      <c r="A287" s="58">
        <v>67040</v>
      </c>
      <c r="B287" s="56" t="str">
        <f t="shared" si="6"/>
        <v>67040</v>
      </c>
      <c r="C287" s="57" t="s">
        <v>572</v>
      </c>
      <c r="D287" s="57" t="s">
        <v>387</v>
      </c>
      <c r="E287" s="44" t="s">
        <v>718</v>
      </c>
      <c r="F287" s="17">
        <f>_xlfn.XLOOKUP($B287,'[2]Jan-24'!$A:$A,'[2]Jan-24'!$H:$H,0)</f>
        <v>0</v>
      </c>
      <c r="G287" s="17">
        <f>_xlfn.XLOOKUP($B287,'[2]Feb-24'!$A:$A,'[2]Feb-24'!$H:$H,0)</f>
        <v>0</v>
      </c>
      <c r="H287" s="17">
        <f>_xlfn.XLOOKUP($B287,'[2]Mar-24'!$A:$A,'[2]Mar-24'!$H:$H,0)</f>
        <v>0</v>
      </c>
      <c r="I287" s="17">
        <f>_xlfn.XLOOKUP($B287,'[2]Apr-24'!$A:$A,'[2]Apr-24'!$H:$H,0)</f>
        <v>0</v>
      </c>
      <c r="J287" s="17">
        <f>_xlfn.XLOOKUP($B287,'[2]May-24'!$A:$A,'[2]May-24'!$H:$H,0)</f>
        <v>0</v>
      </c>
      <c r="K287" s="17">
        <f>_xlfn.XLOOKUP($B287,'[2]Jun-24'!$A:$A,'[2]Jun-24'!$H:$H,0)</f>
        <v>0</v>
      </c>
      <c r="L287" s="17">
        <f>_xlfn.XLOOKUP($B287,'[2]Jul-24'!$A:$A,'[2]Jul-24'!$H:$H,0)</f>
        <v>0</v>
      </c>
      <c r="M287" s="17">
        <f>_xlfn.XLOOKUP($B287,'[2]Aug-24'!$A:$A,'[2]Aug-24'!$H:$H,0)</f>
        <v>0</v>
      </c>
      <c r="N287" s="17">
        <f>_xlfn.XLOOKUP($B287,'[2]Sep-24'!$A:$A,'[2]Sep-24'!$H:$H,0)</f>
        <v>0</v>
      </c>
      <c r="O287" s="17">
        <f>_xlfn.XLOOKUP($B287,'[2]Oct-24'!$A:$A,'[2]Oct-24'!$H:$H,0)</f>
        <v>0</v>
      </c>
      <c r="P287" s="17">
        <f>_xlfn.XLOOKUP($B287,'[2]Nov-24'!$A:$A,'[2]Nov-24'!$H:$H,0)</f>
        <v>0</v>
      </c>
      <c r="Q287" s="17">
        <f>_xlfn.XLOOKUP($B287,'[2]Dec-24'!$A:$A,'[2]Dec-24'!$H:$H,0)</f>
        <v>0</v>
      </c>
      <c r="R287" s="17">
        <f>_xlfn.XLOOKUP($B287,'[2]Jan-25'!$A:$A,'[2]Jan-25'!$H:$H,0)</f>
        <v>0</v>
      </c>
      <c r="S287" s="17">
        <f>_xlfn.XLOOKUP($B287,'[2]Feb-25'!$A:$A,'[2]Feb-25'!$H:$H,0)</f>
        <v>0</v>
      </c>
      <c r="T287" s="17">
        <f>_xlfn.XLOOKUP($B287,'[2]Mar-25'!$A:$A,'[2]Mar-25'!$H:$H,0)</f>
        <v>0</v>
      </c>
      <c r="U287" s="17">
        <f>_xlfn.XLOOKUP($B287,'[2]Apr-25'!$A:$A,'[2]Apr-25'!$H:$H,0)</f>
        <v>0</v>
      </c>
      <c r="V287" s="17">
        <f>_xlfn.XLOOKUP($B287,'[2]May-25'!$A:$A,'[2]May-25'!$H:$H,0)</f>
        <v>0</v>
      </c>
      <c r="W287" s="17">
        <f>_xlfn.XLOOKUP($B287,'[2]Jun-25'!$A:$A,'[2]Jun-25'!$H:$H,0)</f>
        <v>0</v>
      </c>
      <c r="X287" s="17">
        <f>_xlfn.XLOOKUP($B287,'[2]Jul-25'!$A:$A,'[2]Jul-25'!$H:$H,0)</f>
        <v>0</v>
      </c>
      <c r="Y287" s="17">
        <f>_xlfn.XLOOKUP($B287,'[2]Aug-25'!$A:$A,'[2]Aug-25'!$H:$H,0)</f>
        <v>0</v>
      </c>
      <c r="Z287" s="17">
        <f>_xlfn.XLOOKUP($B287,'[2]Sep-25'!$A:$A,'[2]Sep-25'!$H:$H,0)</f>
        <v>0</v>
      </c>
      <c r="AA287" s="17">
        <f>_xlfn.XLOOKUP($B287,'[2]Oct-25'!$A:$A,'[2]Oct-25'!$H:$H,0)</f>
        <v>0</v>
      </c>
      <c r="AB287" s="17">
        <f>_xlfn.XLOOKUP($B287,'[2]Nov-25'!$A:$A,'[2]Nov-25'!$H:$H,0)</f>
        <v>0</v>
      </c>
      <c r="AC287" s="17">
        <f>_xlfn.XLOOKUP($B287,'[2]Dec-25'!$A:$A,'[2]Dec-25'!$H:$H,0)</f>
        <v>0</v>
      </c>
      <c r="AD287" s="17">
        <f>_xlfn.XLOOKUP($B287,'[2]Jan-26'!$A:$A,'[2]Jan-26'!$H:$H,0)</f>
        <v>0</v>
      </c>
      <c r="AE287" s="17">
        <f>_xlfn.XLOOKUP($B287,'[2]Feb-26'!$A:$A,'[2]Feb-26'!$H:$H,0)</f>
        <v>0</v>
      </c>
      <c r="AF287" s="17">
        <f>_xlfn.XLOOKUP($B287,'[2]Mar-26'!$A:$A,'[2]Mar-26'!$H:$H,0)</f>
        <v>0</v>
      </c>
      <c r="AG287" s="17">
        <f>_xlfn.XLOOKUP($B287,'[2]Apr-26'!$A:$A,'[2]Apr-26'!$H:$H,0)</f>
        <v>0</v>
      </c>
    </row>
    <row r="288" spans="1:33" x14ac:dyDescent="0.2">
      <c r="A288" s="58">
        <v>67055</v>
      </c>
      <c r="B288" s="56" t="str">
        <f t="shared" si="6"/>
        <v>67055</v>
      </c>
      <c r="C288" s="57" t="s">
        <v>572</v>
      </c>
      <c r="D288" s="57" t="s">
        <v>387</v>
      </c>
      <c r="E288" s="44" t="s">
        <v>727</v>
      </c>
      <c r="F288" s="17">
        <f>_xlfn.XLOOKUP($B288,'[2]Jan-24'!$A:$A,'[2]Jan-24'!$H:$H,0)</f>
        <v>0</v>
      </c>
      <c r="G288" s="17">
        <f>_xlfn.XLOOKUP($B288,'[2]Feb-24'!$A:$A,'[2]Feb-24'!$H:$H,0)</f>
        <v>0</v>
      </c>
      <c r="H288" s="17">
        <f>_xlfn.XLOOKUP($B288,'[2]Mar-24'!$A:$A,'[2]Mar-24'!$H:$H,0)</f>
        <v>0</v>
      </c>
      <c r="I288" s="17">
        <f>_xlfn.XLOOKUP($B288,'[2]Apr-24'!$A:$A,'[2]Apr-24'!$H:$H,0)</f>
        <v>0</v>
      </c>
      <c r="J288" s="17">
        <f>_xlfn.XLOOKUP($B288,'[2]May-24'!$A:$A,'[2]May-24'!$H:$H,0)</f>
        <v>0</v>
      </c>
      <c r="K288" s="17">
        <f>_xlfn.XLOOKUP($B288,'[2]Jun-24'!$A:$A,'[2]Jun-24'!$H:$H,0)</f>
        <v>0</v>
      </c>
      <c r="L288" s="17">
        <f>_xlfn.XLOOKUP($B288,'[2]Jul-24'!$A:$A,'[2]Jul-24'!$H:$H,0)</f>
        <v>0</v>
      </c>
      <c r="M288" s="17">
        <f>_xlfn.XLOOKUP($B288,'[2]Aug-24'!$A:$A,'[2]Aug-24'!$H:$H,0)</f>
        <v>0</v>
      </c>
      <c r="N288" s="17">
        <f>_xlfn.XLOOKUP($B288,'[2]Sep-24'!$A:$A,'[2]Sep-24'!$H:$H,0)</f>
        <v>0</v>
      </c>
      <c r="O288" s="17">
        <f>_xlfn.XLOOKUP($B288,'[2]Oct-24'!$A:$A,'[2]Oct-24'!$H:$H,0)</f>
        <v>0</v>
      </c>
      <c r="P288" s="17">
        <f>_xlfn.XLOOKUP($B288,'[2]Nov-24'!$A:$A,'[2]Nov-24'!$H:$H,0)</f>
        <v>0</v>
      </c>
      <c r="Q288" s="17">
        <f>_xlfn.XLOOKUP($B288,'[2]Dec-24'!$A:$A,'[2]Dec-24'!$H:$H,0)</f>
        <v>0</v>
      </c>
      <c r="R288" s="17">
        <f>_xlfn.XLOOKUP($B288,'[2]Jan-25'!$A:$A,'[2]Jan-25'!$H:$H,0)</f>
        <v>0</v>
      </c>
      <c r="S288" s="17">
        <f>_xlfn.XLOOKUP($B288,'[2]Feb-25'!$A:$A,'[2]Feb-25'!$H:$H,0)</f>
        <v>0</v>
      </c>
      <c r="T288" s="17">
        <f>_xlfn.XLOOKUP($B288,'[2]Mar-25'!$A:$A,'[2]Mar-25'!$H:$H,0)</f>
        <v>0</v>
      </c>
      <c r="U288" s="17">
        <f>_xlfn.XLOOKUP($B288,'[2]Apr-25'!$A:$A,'[2]Apr-25'!$H:$H,0)</f>
        <v>0</v>
      </c>
      <c r="V288" s="17">
        <f>_xlfn.XLOOKUP($B288,'[2]May-25'!$A:$A,'[2]May-25'!$H:$H,0)</f>
        <v>0</v>
      </c>
      <c r="W288" s="17">
        <f>_xlfn.XLOOKUP($B288,'[2]Jun-25'!$A:$A,'[2]Jun-25'!$H:$H,0)</f>
        <v>0</v>
      </c>
      <c r="X288" s="17">
        <f>_xlfn.XLOOKUP($B288,'[2]Jul-25'!$A:$A,'[2]Jul-25'!$H:$H,0)</f>
        <v>0</v>
      </c>
      <c r="Y288" s="17">
        <f>_xlfn.XLOOKUP($B288,'[2]Aug-25'!$A:$A,'[2]Aug-25'!$H:$H,0)</f>
        <v>0</v>
      </c>
      <c r="Z288" s="17">
        <f>_xlfn.XLOOKUP($B288,'[2]Sep-25'!$A:$A,'[2]Sep-25'!$H:$H,0)</f>
        <v>0</v>
      </c>
      <c r="AA288" s="17">
        <f>_xlfn.XLOOKUP($B288,'[2]Oct-25'!$A:$A,'[2]Oct-25'!$H:$H,0)</f>
        <v>0</v>
      </c>
      <c r="AB288" s="17">
        <f>_xlfn.XLOOKUP($B288,'[2]Nov-25'!$A:$A,'[2]Nov-25'!$H:$H,0)</f>
        <v>0</v>
      </c>
      <c r="AC288" s="17">
        <f>_xlfn.XLOOKUP($B288,'[2]Dec-25'!$A:$A,'[2]Dec-25'!$H:$H,0)</f>
        <v>0</v>
      </c>
      <c r="AD288" s="17">
        <f>_xlfn.XLOOKUP($B288,'[2]Jan-26'!$A:$A,'[2]Jan-26'!$H:$H,0)</f>
        <v>0</v>
      </c>
      <c r="AE288" s="17">
        <f>_xlfn.XLOOKUP($B288,'[2]Feb-26'!$A:$A,'[2]Feb-26'!$H:$H,0)</f>
        <v>0</v>
      </c>
      <c r="AF288" s="17">
        <f>_xlfn.XLOOKUP($B288,'[2]Mar-26'!$A:$A,'[2]Mar-26'!$H:$H,0)</f>
        <v>0</v>
      </c>
      <c r="AG288" s="17">
        <f>_xlfn.XLOOKUP($B288,'[2]Apr-26'!$A:$A,'[2]Apr-26'!$H:$H,0)</f>
        <v>0</v>
      </c>
    </row>
    <row r="289" spans="1:33" x14ac:dyDescent="0.2">
      <c r="A289" s="58">
        <v>67065</v>
      </c>
      <c r="B289" s="56" t="str">
        <f t="shared" si="6"/>
        <v>67065</v>
      </c>
      <c r="C289" s="57" t="s">
        <v>552</v>
      </c>
      <c r="D289" s="57" t="s">
        <v>387</v>
      </c>
      <c r="E289" s="44" t="s">
        <v>728</v>
      </c>
      <c r="F289" s="17">
        <f>_xlfn.XLOOKUP($B289,'[2]Jan-24'!$A:$A,'[2]Jan-24'!$H:$H,0)</f>
        <v>0</v>
      </c>
      <c r="G289" s="17">
        <f>_xlfn.XLOOKUP($B289,'[2]Feb-24'!$A:$A,'[2]Feb-24'!$H:$H,0)</f>
        <v>0</v>
      </c>
      <c r="H289" s="17">
        <f>_xlfn.XLOOKUP($B289,'[2]Mar-24'!$A:$A,'[2]Mar-24'!$H:$H,0)</f>
        <v>0</v>
      </c>
      <c r="I289" s="17">
        <f>_xlfn.XLOOKUP($B289,'[2]Apr-24'!$A:$A,'[2]Apr-24'!$H:$H,0)</f>
        <v>0</v>
      </c>
      <c r="J289" s="17">
        <f>_xlfn.XLOOKUP($B289,'[2]May-24'!$A:$A,'[2]May-24'!$H:$H,0)</f>
        <v>0</v>
      </c>
      <c r="K289" s="17">
        <f>_xlfn.XLOOKUP($B289,'[2]Jun-24'!$A:$A,'[2]Jun-24'!$H:$H,0)</f>
        <v>0</v>
      </c>
      <c r="L289" s="17">
        <f>_xlfn.XLOOKUP($B289,'[2]Jul-24'!$A:$A,'[2]Jul-24'!$H:$H,0)</f>
        <v>0</v>
      </c>
      <c r="M289" s="17">
        <f>_xlfn.XLOOKUP($B289,'[2]Aug-24'!$A:$A,'[2]Aug-24'!$H:$H,0)</f>
        <v>0</v>
      </c>
      <c r="N289" s="17">
        <f>_xlfn.XLOOKUP($B289,'[2]Sep-24'!$A:$A,'[2]Sep-24'!$H:$H,0)</f>
        <v>0</v>
      </c>
      <c r="O289" s="17">
        <f>_xlfn.XLOOKUP($B289,'[2]Oct-24'!$A:$A,'[2]Oct-24'!$H:$H,0)</f>
        <v>0</v>
      </c>
      <c r="P289" s="17">
        <f>_xlfn.XLOOKUP($B289,'[2]Nov-24'!$A:$A,'[2]Nov-24'!$H:$H,0)</f>
        <v>0</v>
      </c>
      <c r="Q289" s="17">
        <f>_xlfn.XLOOKUP($B289,'[2]Dec-24'!$A:$A,'[2]Dec-24'!$H:$H,0)</f>
        <v>0</v>
      </c>
      <c r="R289" s="17">
        <f>_xlfn.XLOOKUP($B289,'[2]Jan-25'!$A:$A,'[2]Jan-25'!$H:$H,0)</f>
        <v>0</v>
      </c>
      <c r="S289" s="17">
        <f>_xlfn.XLOOKUP($B289,'[2]Feb-25'!$A:$A,'[2]Feb-25'!$H:$H,0)</f>
        <v>0</v>
      </c>
      <c r="T289" s="17">
        <f>_xlfn.XLOOKUP($B289,'[2]Mar-25'!$A:$A,'[2]Mar-25'!$H:$H,0)</f>
        <v>0</v>
      </c>
      <c r="U289" s="17">
        <f>_xlfn.XLOOKUP($B289,'[2]Apr-25'!$A:$A,'[2]Apr-25'!$H:$H,0)</f>
        <v>0</v>
      </c>
      <c r="V289" s="17">
        <f>_xlfn.XLOOKUP($B289,'[2]May-25'!$A:$A,'[2]May-25'!$H:$H,0)</f>
        <v>0</v>
      </c>
      <c r="W289" s="17">
        <f>_xlfn.XLOOKUP($B289,'[2]Jun-25'!$A:$A,'[2]Jun-25'!$H:$H,0)</f>
        <v>0</v>
      </c>
      <c r="X289" s="17">
        <f>_xlfn.XLOOKUP($B289,'[2]Jul-25'!$A:$A,'[2]Jul-25'!$H:$H,0)</f>
        <v>0</v>
      </c>
      <c r="Y289" s="17">
        <f>_xlfn.XLOOKUP($B289,'[2]Aug-25'!$A:$A,'[2]Aug-25'!$H:$H,0)</f>
        <v>0</v>
      </c>
      <c r="Z289" s="17">
        <f>_xlfn.XLOOKUP($B289,'[2]Sep-25'!$A:$A,'[2]Sep-25'!$H:$H,0)</f>
        <v>0</v>
      </c>
      <c r="AA289" s="17">
        <f>_xlfn.XLOOKUP($B289,'[2]Oct-25'!$A:$A,'[2]Oct-25'!$H:$H,0)</f>
        <v>0</v>
      </c>
      <c r="AB289" s="17">
        <f>_xlfn.XLOOKUP($B289,'[2]Nov-25'!$A:$A,'[2]Nov-25'!$H:$H,0)</f>
        <v>0</v>
      </c>
      <c r="AC289" s="17">
        <f>_xlfn.XLOOKUP($B289,'[2]Dec-25'!$A:$A,'[2]Dec-25'!$H:$H,0)</f>
        <v>0</v>
      </c>
      <c r="AD289" s="17">
        <f>_xlfn.XLOOKUP($B289,'[2]Jan-26'!$A:$A,'[2]Jan-26'!$H:$H,0)</f>
        <v>0</v>
      </c>
      <c r="AE289" s="17">
        <f>_xlfn.XLOOKUP($B289,'[2]Feb-26'!$A:$A,'[2]Feb-26'!$H:$H,0)</f>
        <v>0</v>
      </c>
      <c r="AF289" s="17">
        <f>_xlfn.XLOOKUP($B289,'[2]Mar-26'!$A:$A,'[2]Mar-26'!$H:$H,0)</f>
        <v>0</v>
      </c>
      <c r="AG289" s="17">
        <f>_xlfn.XLOOKUP($B289,'[2]Apr-26'!$A:$A,'[2]Apr-26'!$H:$H,0)</f>
        <v>0</v>
      </c>
    </row>
    <row r="290" spans="1:33" x14ac:dyDescent="0.2">
      <c r="A290" s="58">
        <v>67100</v>
      </c>
      <c r="B290" s="56" t="str">
        <f t="shared" si="6"/>
        <v>67100</v>
      </c>
      <c r="C290" s="57" t="s">
        <v>287</v>
      </c>
      <c r="D290" s="57" t="s">
        <v>429</v>
      </c>
      <c r="E290" s="44" t="s">
        <v>288</v>
      </c>
      <c r="F290" s="17">
        <f>_xlfn.XLOOKUP($B290,'[2]Jan-24'!$A:$A,'[2]Jan-24'!$H:$H,0)</f>
        <v>0</v>
      </c>
      <c r="G290" s="17">
        <f>_xlfn.XLOOKUP($B290,'[2]Feb-24'!$A:$A,'[2]Feb-24'!$H:$H,0)</f>
        <v>0</v>
      </c>
      <c r="H290" s="17">
        <f>_xlfn.XLOOKUP($B290,'[2]Mar-24'!$A:$A,'[2]Mar-24'!$H:$H,0)</f>
        <v>0</v>
      </c>
      <c r="I290" s="17">
        <f>_xlfn.XLOOKUP($B290,'[2]Apr-24'!$A:$A,'[2]Apr-24'!$H:$H,0)</f>
        <v>0</v>
      </c>
      <c r="J290" s="17">
        <f>_xlfn.XLOOKUP($B290,'[2]May-24'!$A:$A,'[2]May-24'!$H:$H,0)</f>
        <v>0</v>
      </c>
      <c r="K290" s="17">
        <f>_xlfn.XLOOKUP($B290,'[2]Jun-24'!$A:$A,'[2]Jun-24'!$H:$H,0)</f>
        <v>0</v>
      </c>
      <c r="L290" s="17">
        <f>_xlfn.XLOOKUP($B290,'[2]Jul-24'!$A:$A,'[2]Jul-24'!$H:$H,0)</f>
        <v>0</v>
      </c>
      <c r="M290" s="17">
        <f>_xlfn.XLOOKUP($B290,'[2]Aug-24'!$A:$A,'[2]Aug-24'!$H:$H,0)</f>
        <v>0</v>
      </c>
      <c r="N290" s="17">
        <f>_xlfn.XLOOKUP($B290,'[2]Sep-24'!$A:$A,'[2]Sep-24'!$H:$H,0)</f>
        <v>0</v>
      </c>
      <c r="O290" s="17">
        <f>_xlfn.XLOOKUP($B290,'[2]Oct-24'!$A:$A,'[2]Oct-24'!$H:$H,0)</f>
        <v>0</v>
      </c>
      <c r="P290" s="17">
        <f>_xlfn.XLOOKUP($B290,'[2]Nov-24'!$A:$A,'[2]Nov-24'!$H:$H,0)</f>
        <v>0</v>
      </c>
      <c r="Q290" s="17">
        <f>_xlfn.XLOOKUP($B290,'[2]Dec-24'!$A:$A,'[2]Dec-24'!$H:$H,0)</f>
        <v>0</v>
      </c>
      <c r="R290" s="17">
        <f>_xlfn.XLOOKUP($B290,'[2]Jan-25'!$A:$A,'[2]Jan-25'!$H:$H,0)</f>
        <v>0</v>
      </c>
      <c r="S290" s="17">
        <f>_xlfn.XLOOKUP($B290,'[2]Feb-25'!$A:$A,'[2]Feb-25'!$H:$H,0)</f>
        <v>0</v>
      </c>
      <c r="T290" s="17">
        <f>_xlfn.XLOOKUP($B290,'[2]Mar-25'!$A:$A,'[2]Mar-25'!$H:$H,0)</f>
        <v>0</v>
      </c>
      <c r="U290" s="17">
        <f>_xlfn.XLOOKUP($B290,'[2]Apr-25'!$A:$A,'[2]Apr-25'!$H:$H,0)</f>
        <v>0</v>
      </c>
      <c r="V290" s="17">
        <f>_xlfn.XLOOKUP($B290,'[2]May-25'!$A:$A,'[2]May-25'!$H:$H,0)</f>
        <v>0</v>
      </c>
      <c r="W290" s="17">
        <f>_xlfn.XLOOKUP($B290,'[2]Jun-25'!$A:$A,'[2]Jun-25'!$H:$H,0)</f>
        <v>0</v>
      </c>
      <c r="X290" s="17">
        <f>_xlfn.XLOOKUP($B290,'[2]Jul-25'!$A:$A,'[2]Jul-25'!$H:$H,0)</f>
        <v>0</v>
      </c>
      <c r="Y290" s="17">
        <f>_xlfn.XLOOKUP($B290,'[2]Aug-25'!$A:$A,'[2]Aug-25'!$H:$H,0)</f>
        <v>0</v>
      </c>
      <c r="Z290" s="17">
        <f>_xlfn.XLOOKUP($B290,'[2]Sep-25'!$A:$A,'[2]Sep-25'!$H:$H,0)</f>
        <v>0</v>
      </c>
      <c r="AA290" s="17">
        <f>_xlfn.XLOOKUP($B290,'[2]Oct-25'!$A:$A,'[2]Oct-25'!$H:$H,0)</f>
        <v>0</v>
      </c>
      <c r="AB290" s="17">
        <f>_xlfn.XLOOKUP($B290,'[2]Nov-25'!$A:$A,'[2]Nov-25'!$H:$H,0)</f>
        <v>0</v>
      </c>
      <c r="AC290" s="17">
        <f>_xlfn.XLOOKUP($B290,'[2]Dec-25'!$A:$A,'[2]Dec-25'!$H:$H,0)</f>
        <v>0</v>
      </c>
      <c r="AD290" s="17">
        <f>_xlfn.XLOOKUP($B290,'[2]Jan-26'!$A:$A,'[2]Jan-26'!$H:$H,0)</f>
        <v>0</v>
      </c>
      <c r="AE290" s="17">
        <f>_xlfn.XLOOKUP($B290,'[2]Feb-26'!$A:$A,'[2]Feb-26'!$H:$H,0)</f>
        <v>0</v>
      </c>
      <c r="AF290" s="17">
        <f>_xlfn.XLOOKUP($B290,'[2]Mar-26'!$A:$A,'[2]Mar-26'!$H:$H,0)</f>
        <v>0</v>
      </c>
      <c r="AG290" s="17">
        <f>_xlfn.XLOOKUP($B290,'[2]Apr-26'!$A:$A,'[2]Apr-26'!$H:$H,0)</f>
        <v>0</v>
      </c>
    </row>
    <row r="291" spans="1:33" x14ac:dyDescent="0.2">
      <c r="A291" s="58">
        <v>67920</v>
      </c>
      <c r="B291" s="56" t="str">
        <f t="shared" si="6"/>
        <v>67920</v>
      </c>
      <c r="C291" s="57" t="s">
        <v>477</v>
      </c>
      <c r="D291" s="57" t="s">
        <v>387</v>
      </c>
      <c r="E291" s="44" t="s">
        <v>735</v>
      </c>
      <c r="F291" s="17">
        <f>_xlfn.XLOOKUP($B291,'[2]Jan-24'!$A:$A,'[2]Jan-24'!$H:$H,0)</f>
        <v>0</v>
      </c>
      <c r="G291" s="17">
        <f>_xlfn.XLOOKUP($B291,'[2]Feb-24'!$A:$A,'[2]Feb-24'!$H:$H,0)</f>
        <v>0</v>
      </c>
      <c r="H291" s="17">
        <f>_xlfn.XLOOKUP($B291,'[2]Mar-24'!$A:$A,'[2]Mar-24'!$H:$H,0)</f>
        <v>0</v>
      </c>
      <c r="I291" s="17">
        <f>_xlfn.XLOOKUP($B291,'[2]Apr-24'!$A:$A,'[2]Apr-24'!$H:$H,0)</f>
        <v>0</v>
      </c>
      <c r="J291" s="17">
        <f>_xlfn.XLOOKUP($B291,'[2]May-24'!$A:$A,'[2]May-24'!$H:$H,0)</f>
        <v>0</v>
      </c>
      <c r="K291" s="17">
        <f>_xlfn.XLOOKUP($B291,'[2]Jun-24'!$A:$A,'[2]Jun-24'!$H:$H,0)</f>
        <v>0</v>
      </c>
      <c r="L291" s="17">
        <f>_xlfn.XLOOKUP($B291,'[2]Jul-24'!$A:$A,'[2]Jul-24'!$H:$H,0)</f>
        <v>0</v>
      </c>
      <c r="M291" s="17">
        <f>_xlfn.XLOOKUP($B291,'[2]Aug-24'!$A:$A,'[2]Aug-24'!$H:$H,0)</f>
        <v>0</v>
      </c>
      <c r="N291" s="17">
        <f>_xlfn.XLOOKUP($B291,'[2]Sep-24'!$A:$A,'[2]Sep-24'!$H:$H,0)</f>
        <v>0</v>
      </c>
      <c r="O291" s="17">
        <f>_xlfn.XLOOKUP($B291,'[2]Oct-24'!$A:$A,'[2]Oct-24'!$H:$H,0)</f>
        <v>0</v>
      </c>
      <c r="P291" s="17">
        <f>_xlfn.XLOOKUP($B291,'[2]Nov-24'!$A:$A,'[2]Nov-24'!$H:$H,0)</f>
        <v>0</v>
      </c>
      <c r="Q291" s="17">
        <f>_xlfn.XLOOKUP($B291,'[2]Dec-24'!$A:$A,'[2]Dec-24'!$H:$H,0)</f>
        <v>0</v>
      </c>
      <c r="R291" s="17">
        <f>_xlfn.XLOOKUP($B291,'[2]Jan-25'!$A:$A,'[2]Jan-25'!$H:$H,0)</f>
        <v>0</v>
      </c>
      <c r="S291" s="17">
        <f>_xlfn.XLOOKUP($B291,'[2]Feb-25'!$A:$A,'[2]Feb-25'!$H:$H,0)</f>
        <v>0</v>
      </c>
      <c r="T291" s="17">
        <f>_xlfn.XLOOKUP($B291,'[2]Mar-25'!$A:$A,'[2]Mar-25'!$H:$H,0)</f>
        <v>0</v>
      </c>
      <c r="U291" s="17">
        <f>_xlfn.XLOOKUP($B291,'[2]Apr-25'!$A:$A,'[2]Apr-25'!$H:$H,0)</f>
        <v>0</v>
      </c>
      <c r="V291" s="17">
        <f>_xlfn.XLOOKUP($B291,'[2]May-25'!$A:$A,'[2]May-25'!$H:$H,0)</f>
        <v>0</v>
      </c>
      <c r="W291" s="17">
        <f>_xlfn.XLOOKUP($B291,'[2]Jun-25'!$A:$A,'[2]Jun-25'!$H:$H,0)</f>
        <v>0</v>
      </c>
      <c r="X291" s="17">
        <f>_xlfn.XLOOKUP($B291,'[2]Jul-25'!$A:$A,'[2]Jul-25'!$H:$H,0)</f>
        <v>0</v>
      </c>
      <c r="Y291" s="17">
        <f>_xlfn.XLOOKUP($B291,'[2]Aug-25'!$A:$A,'[2]Aug-25'!$H:$H,0)</f>
        <v>0</v>
      </c>
      <c r="Z291" s="17">
        <f>_xlfn.XLOOKUP($B291,'[2]Sep-25'!$A:$A,'[2]Sep-25'!$H:$H,0)</f>
        <v>0</v>
      </c>
      <c r="AA291" s="17">
        <f>_xlfn.XLOOKUP($B291,'[2]Oct-25'!$A:$A,'[2]Oct-25'!$H:$H,0)</f>
        <v>0</v>
      </c>
      <c r="AB291" s="17">
        <f>_xlfn.XLOOKUP($B291,'[2]Nov-25'!$A:$A,'[2]Nov-25'!$H:$H,0)</f>
        <v>0</v>
      </c>
      <c r="AC291" s="17">
        <f>_xlfn.XLOOKUP($B291,'[2]Dec-25'!$A:$A,'[2]Dec-25'!$H:$H,0)</f>
        <v>0</v>
      </c>
      <c r="AD291" s="17">
        <f>_xlfn.XLOOKUP($B291,'[2]Jan-26'!$A:$A,'[2]Jan-26'!$H:$H,0)</f>
        <v>0</v>
      </c>
      <c r="AE291" s="17">
        <f>_xlfn.XLOOKUP($B291,'[2]Feb-26'!$A:$A,'[2]Feb-26'!$H:$H,0)</f>
        <v>10.36</v>
      </c>
      <c r="AF291" s="17">
        <f>_xlfn.XLOOKUP($B291,'[2]Mar-26'!$A:$A,'[2]Mar-26'!$H:$H,0)</f>
        <v>0</v>
      </c>
      <c r="AG291" s="17">
        <f>_xlfn.XLOOKUP($B291,'[2]Apr-26'!$A:$A,'[2]Apr-26'!$H:$H,0)</f>
        <v>0</v>
      </c>
    </row>
    <row r="292" spans="1:33" x14ac:dyDescent="0.2">
      <c r="A292" s="58">
        <v>67940</v>
      </c>
      <c r="B292" s="56" t="str">
        <f t="shared" si="6"/>
        <v>67940</v>
      </c>
      <c r="C292" s="57" t="s">
        <v>389</v>
      </c>
      <c r="D292" s="57" t="s">
        <v>387</v>
      </c>
      <c r="E292" s="44" t="s">
        <v>736</v>
      </c>
      <c r="F292" s="17">
        <f>_xlfn.XLOOKUP($B292,'[2]Jan-24'!$A:$A,'[2]Jan-24'!$H:$H,0)</f>
        <v>0</v>
      </c>
      <c r="G292" s="17">
        <f>_xlfn.XLOOKUP($B292,'[2]Feb-24'!$A:$A,'[2]Feb-24'!$H:$H,0)</f>
        <v>0</v>
      </c>
      <c r="H292" s="17">
        <f>_xlfn.XLOOKUP($B292,'[2]Mar-24'!$A:$A,'[2]Mar-24'!$H:$H,0)</f>
        <v>0</v>
      </c>
      <c r="I292" s="17">
        <f>_xlfn.XLOOKUP($B292,'[2]Apr-24'!$A:$A,'[2]Apr-24'!$H:$H,0)</f>
        <v>0</v>
      </c>
      <c r="J292" s="17">
        <f>_xlfn.XLOOKUP($B292,'[2]May-24'!$A:$A,'[2]May-24'!$H:$H,0)</f>
        <v>0</v>
      </c>
      <c r="K292" s="17">
        <f>_xlfn.XLOOKUP($B292,'[2]Jun-24'!$A:$A,'[2]Jun-24'!$H:$H,0)</f>
        <v>0</v>
      </c>
      <c r="L292" s="17">
        <f>_xlfn.XLOOKUP($B292,'[2]Jul-24'!$A:$A,'[2]Jul-24'!$H:$H,0)</f>
        <v>0</v>
      </c>
      <c r="M292" s="17">
        <f>_xlfn.XLOOKUP($B292,'[2]Aug-24'!$A:$A,'[2]Aug-24'!$H:$H,0)</f>
        <v>0</v>
      </c>
      <c r="N292" s="17">
        <f>_xlfn.XLOOKUP($B292,'[2]Sep-24'!$A:$A,'[2]Sep-24'!$H:$H,0)</f>
        <v>0</v>
      </c>
      <c r="O292" s="17">
        <f>_xlfn.XLOOKUP($B292,'[2]Oct-24'!$A:$A,'[2]Oct-24'!$H:$H,0)</f>
        <v>0</v>
      </c>
      <c r="P292" s="17">
        <f>_xlfn.XLOOKUP($B292,'[2]Nov-24'!$A:$A,'[2]Nov-24'!$H:$H,0)</f>
        <v>0</v>
      </c>
      <c r="Q292" s="17">
        <f>_xlfn.XLOOKUP($B292,'[2]Dec-24'!$A:$A,'[2]Dec-24'!$H:$H,0)</f>
        <v>0</v>
      </c>
      <c r="R292" s="17">
        <f>_xlfn.XLOOKUP($B292,'[2]Jan-25'!$A:$A,'[2]Jan-25'!$H:$H,0)</f>
        <v>0</v>
      </c>
      <c r="S292" s="17">
        <f>_xlfn.XLOOKUP($B292,'[2]Feb-25'!$A:$A,'[2]Feb-25'!$H:$H,0)</f>
        <v>0</v>
      </c>
      <c r="T292" s="17">
        <f>_xlfn.XLOOKUP($B292,'[2]Mar-25'!$A:$A,'[2]Mar-25'!$H:$H,0)</f>
        <v>0</v>
      </c>
      <c r="U292" s="17">
        <f>_xlfn.XLOOKUP($B292,'[2]Apr-25'!$A:$A,'[2]Apr-25'!$H:$H,0)</f>
        <v>0</v>
      </c>
      <c r="V292" s="17">
        <f>_xlfn.XLOOKUP($B292,'[2]May-25'!$A:$A,'[2]May-25'!$H:$H,0)</f>
        <v>0</v>
      </c>
      <c r="W292" s="17">
        <f>_xlfn.XLOOKUP($B292,'[2]Jun-25'!$A:$A,'[2]Jun-25'!$H:$H,0)</f>
        <v>0</v>
      </c>
      <c r="X292" s="17">
        <f>_xlfn.XLOOKUP($B292,'[2]Jul-25'!$A:$A,'[2]Jul-25'!$H:$H,0)</f>
        <v>0</v>
      </c>
      <c r="Y292" s="17">
        <f>_xlfn.XLOOKUP($B292,'[2]Aug-25'!$A:$A,'[2]Aug-25'!$H:$H,0)</f>
        <v>0</v>
      </c>
      <c r="Z292" s="17">
        <f>_xlfn.XLOOKUP($B292,'[2]Sep-25'!$A:$A,'[2]Sep-25'!$H:$H,0)</f>
        <v>0</v>
      </c>
      <c r="AA292" s="17">
        <f>_xlfn.XLOOKUP($B292,'[2]Oct-25'!$A:$A,'[2]Oct-25'!$H:$H,0)</f>
        <v>0</v>
      </c>
      <c r="AB292" s="17">
        <f>_xlfn.XLOOKUP($B292,'[2]Nov-25'!$A:$A,'[2]Nov-25'!$H:$H,0)</f>
        <v>0</v>
      </c>
      <c r="AC292" s="17">
        <f>_xlfn.XLOOKUP($B292,'[2]Dec-25'!$A:$A,'[2]Dec-25'!$H:$H,0)</f>
        <v>0</v>
      </c>
      <c r="AD292" s="17">
        <f>_xlfn.XLOOKUP($B292,'[2]Jan-26'!$A:$A,'[2]Jan-26'!$H:$H,0)</f>
        <v>0</v>
      </c>
      <c r="AE292" s="17">
        <f>_xlfn.XLOOKUP($B292,'[2]Feb-26'!$A:$A,'[2]Feb-26'!$H:$H,0)</f>
        <v>0</v>
      </c>
      <c r="AF292" s="17">
        <f>_xlfn.XLOOKUP($B292,'[2]Mar-26'!$A:$A,'[2]Mar-26'!$H:$H,0)</f>
        <v>0</v>
      </c>
      <c r="AG292" s="17">
        <f>_xlfn.XLOOKUP($B292,'[2]Apr-26'!$A:$A,'[2]Apr-26'!$H:$H,0)</f>
        <v>0</v>
      </c>
    </row>
    <row r="293" spans="1:33" x14ac:dyDescent="0.2">
      <c r="A293" s="58">
        <v>68500</v>
      </c>
      <c r="B293" s="56" t="str">
        <f t="shared" si="6"/>
        <v>68500</v>
      </c>
      <c r="C293" s="57" t="s">
        <v>629</v>
      </c>
      <c r="D293" s="57" t="s">
        <v>387</v>
      </c>
      <c r="E293" s="44" t="s">
        <v>737</v>
      </c>
      <c r="F293" s="17">
        <f>_xlfn.XLOOKUP($B293,'[2]Jan-24'!$A:$A,'[2]Jan-24'!$H:$H,0)</f>
        <v>0</v>
      </c>
      <c r="G293" s="17">
        <f>_xlfn.XLOOKUP($B293,'[2]Feb-24'!$A:$A,'[2]Feb-24'!$H:$H,0)</f>
        <v>0</v>
      </c>
      <c r="H293" s="17">
        <f>_xlfn.XLOOKUP($B293,'[2]Mar-24'!$A:$A,'[2]Mar-24'!$H:$H,0)</f>
        <v>0</v>
      </c>
      <c r="I293" s="17">
        <f>_xlfn.XLOOKUP($B293,'[2]Apr-24'!$A:$A,'[2]Apr-24'!$H:$H,0)</f>
        <v>0</v>
      </c>
      <c r="J293" s="17">
        <f>_xlfn.XLOOKUP($B293,'[2]May-24'!$A:$A,'[2]May-24'!$H:$H,0)</f>
        <v>0</v>
      </c>
      <c r="K293" s="17">
        <f>_xlfn.XLOOKUP($B293,'[2]Jun-24'!$A:$A,'[2]Jun-24'!$H:$H,0)</f>
        <v>0</v>
      </c>
      <c r="L293" s="17">
        <f>_xlfn.XLOOKUP($B293,'[2]Jul-24'!$A:$A,'[2]Jul-24'!$H:$H,0)</f>
        <v>0</v>
      </c>
      <c r="M293" s="17">
        <f>_xlfn.XLOOKUP($B293,'[2]Aug-24'!$A:$A,'[2]Aug-24'!$H:$H,0)</f>
        <v>0</v>
      </c>
      <c r="N293" s="17">
        <f>_xlfn.XLOOKUP($B293,'[2]Sep-24'!$A:$A,'[2]Sep-24'!$H:$H,0)</f>
        <v>0</v>
      </c>
      <c r="O293" s="17">
        <f>_xlfn.XLOOKUP($B293,'[2]Oct-24'!$A:$A,'[2]Oct-24'!$H:$H,0)</f>
        <v>0</v>
      </c>
      <c r="P293" s="17">
        <f>_xlfn.XLOOKUP($B293,'[2]Nov-24'!$A:$A,'[2]Nov-24'!$H:$H,0)</f>
        <v>0</v>
      </c>
      <c r="Q293" s="17">
        <f>_xlfn.XLOOKUP($B293,'[2]Dec-24'!$A:$A,'[2]Dec-24'!$H:$H,0)</f>
        <v>0</v>
      </c>
      <c r="R293" s="17">
        <f>_xlfn.XLOOKUP($B293,'[2]Jan-25'!$A:$A,'[2]Jan-25'!$H:$H,0)</f>
        <v>0</v>
      </c>
      <c r="S293" s="17">
        <f>_xlfn.XLOOKUP($B293,'[2]Feb-25'!$A:$A,'[2]Feb-25'!$H:$H,0)</f>
        <v>0</v>
      </c>
      <c r="T293" s="17">
        <f>_xlfn.XLOOKUP($B293,'[2]Mar-25'!$A:$A,'[2]Mar-25'!$H:$H,0)</f>
        <v>0</v>
      </c>
      <c r="U293" s="17">
        <f>_xlfn.XLOOKUP($B293,'[2]Apr-25'!$A:$A,'[2]Apr-25'!$H:$H,0)</f>
        <v>0</v>
      </c>
      <c r="V293" s="17">
        <f>_xlfn.XLOOKUP($B293,'[2]May-25'!$A:$A,'[2]May-25'!$H:$H,0)</f>
        <v>0</v>
      </c>
      <c r="W293" s="17">
        <f>_xlfn.XLOOKUP($B293,'[2]Jun-25'!$A:$A,'[2]Jun-25'!$H:$H,0)</f>
        <v>0</v>
      </c>
      <c r="X293" s="17">
        <f>_xlfn.XLOOKUP($B293,'[2]Jul-25'!$A:$A,'[2]Jul-25'!$H:$H,0)</f>
        <v>0</v>
      </c>
      <c r="Y293" s="17">
        <f>_xlfn.XLOOKUP($B293,'[2]Aug-25'!$A:$A,'[2]Aug-25'!$H:$H,0)</f>
        <v>0</v>
      </c>
      <c r="Z293" s="17">
        <f>_xlfn.XLOOKUP($B293,'[2]Sep-25'!$A:$A,'[2]Sep-25'!$H:$H,0)</f>
        <v>0</v>
      </c>
      <c r="AA293" s="17">
        <f>_xlfn.XLOOKUP($B293,'[2]Oct-25'!$A:$A,'[2]Oct-25'!$H:$H,0)</f>
        <v>0</v>
      </c>
      <c r="AB293" s="17">
        <f>_xlfn.XLOOKUP($B293,'[2]Nov-25'!$A:$A,'[2]Nov-25'!$H:$H,0)</f>
        <v>0</v>
      </c>
      <c r="AC293" s="17">
        <f>_xlfn.XLOOKUP($B293,'[2]Dec-25'!$A:$A,'[2]Dec-25'!$H:$H,0)</f>
        <v>0</v>
      </c>
      <c r="AD293" s="17">
        <f>_xlfn.XLOOKUP($B293,'[2]Jan-26'!$A:$A,'[2]Jan-26'!$H:$H,0)</f>
        <v>0</v>
      </c>
      <c r="AE293" s="17">
        <f>_xlfn.XLOOKUP($B293,'[2]Feb-26'!$A:$A,'[2]Feb-26'!$H:$H,0)</f>
        <v>0</v>
      </c>
      <c r="AF293" s="17">
        <f>_xlfn.XLOOKUP($B293,'[2]Mar-26'!$A:$A,'[2]Mar-26'!$H:$H,0)</f>
        <v>0</v>
      </c>
      <c r="AG293" s="17">
        <f>_xlfn.XLOOKUP($B293,'[2]Apr-26'!$A:$A,'[2]Apr-26'!$H:$H,0)</f>
        <v>0</v>
      </c>
    </row>
    <row r="294" spans="1:33" x14ac:dyDescent="0.2">
      <c r="A294" s="58">
        <v>68501</v>
      </c>
      <c r="B294" s="56" t="str">
        <f t="shared" si="6"/>
        <v>68501</v>
      </c>
      <c r="C294" s="57" t="s">
        <v>629</v>
      </c>
      <c r="D294" s="57" t="s">
        <v>387</v>
      </c>
      <c r="E294" s="44" t="s">
        <v>738</v>
      </c>
      <c r="F294" s="17">
        <f>_xlfn.XLOOKUP($B294,'[2]Jan-24'!$A:$A,'[2]Jan-24'!$H:$H,0)</f>
        <v>0</v>
      </c>
      <c r="G294" s="17">
        <f>_xlfn.XLOOKUP($B294,'[2]Feb-24'!$A:$A,'[2]Feb-24'!$H:$H,0)</f>
        <v>0</v>
      </c>
      <c r="H294" s="17">
        <f>_xlfn.XLOOKUP($B294,'[2]Mar-24'!$A:$A,'[2]Mar-24'!$H:$H,0)</f>
        <v>0</v>
      </c>
      <c r="I294" s="17">
        <f>_xlfn.XLOOKUP($B294,'[2]Apr-24'!$A:$A,'[2]Apr-24'!$H:$H,0)</f>
        <v>0</v>
      </c>
      <c r="J294" s="17">
        <f>_xlfn.XLOOKUP($B294,'[2]May-24'!$A:$A,'[2]May-24'!$H:$H,0)</f>
        <v>0</v>
      </c>
      <c r="K294" s="17">
        <f>_xlfn.XLOOKUP($B294,'[2]Jun-24'!$A:$A,'[2]Jun-24'!$H:$H,0)</f>
        <v>0</v>
      </c>
      <c r="L294" s="17">
        <f>_xlfn.XLOOKUP($B294,'[2]Jul-24'!$A:$A,'[2]Jul-24'!$H:$H,0)</f>
        <v>0</v>
      </c>
      <c r="M294" s="17">
        <f>_xlfn.XLOOKUP($B294,'[2]Aug-24'!$A:$A,'[2]Aug-24'!$H:$H,0)</f>
        <v>0</v>
      </c>
      <c r="N294" s="17">
        <f>_xlfn.XLOOKUP($B294,'[2]Sep-24'!$A:$A,'[2]Sep-24'!$H:$H,0)</f>
        <v>0</v>
      </c>
      <c r="O294" s="17">
        <f>_xlfn.XLOOKUP($B294,'[2]Oct-24'!$A:$A,'[2]Oct-24'!$H:$H,0)</f>
        <v>0</v>
      </c>
      <c r="P294" s="17">
        <f>_xlfn.XLOOKUP($B294,'[2]Nov-24'!$A:$A,'[2]Nov-24'!$H:$H,0)</f>
        <v>0</v>
      </c>
      <c r="Q294" s="17">
        <f>_xlfn.XLOOKUP($B294,'[2]Dec-24'!$A:$A,'[2]Dec-24'!$H:$H,0)</f>
        <v>0</v>
      </c>
      <c r="R294" s="17">
        <f>_xlfn.XLOOKUP($B294,'[2]Jan-25'!$A:$A,'[2]Jan-25'!$H:$H,0)</f>
        <v>0</v>
      </c>
      <c r="S294" s="17">
        <f>_xlfn.XLOOKUP($B294,'[2]Feb-25'!$A:$A,'[2]Feb-25'!$H:$H,0)</f>
        <v>0</v>
      </c>
      <c r="T294" s="17">
        <f>_xlfn.XLOOKUP($B294,'[2]Mar-25'!$A:$A,'[2]Mar-25'!$H:$H,0)</f>
        <v>0</v>
      </c>
      <c r="U294" s="17">
        <f>_xlfn.XLOOKUP($B294,'[2]Apr-25'!$A:$A,'[2]Apr-25'!$H:$H,0)</f>
        <v>0</v>
      </c>
      <c r="V294" s="17">
        <f>_xlfn.XLOOKUP($B294,'[2]May-25'!$A:$A,'[2]May-25'!$H:$H,0)</f>
        <v>0</v>
      </c>
      <c r="W294" s="17">
        <f>_xlfn.XLOOKUP($B294,'[2]Jun-25'!$A:$A,'[2]Jun-25'!$H:$H,0)</f>
        <v>0</v>
      </c>
      <c r="X294" s="17">
        <f>_xlfn.XLOOKUP($B294,'[2]Jul-25'!$A:$A,'[2]Jul-25'!$H:$H,0)</f>
        <v>0</v>
      </c>
      <c r="Y294" s="17">
        <f>_xlfn.XLOOKUP($B294,'[2]Aug-25'!$A:$A,'[2]Aug-25'!$H:$H,0)</f>
        <v>0</v>
      </c>
      <c r="Z294" s="17">
        <f>_xlfn.XLOOKUP($B294,'[2]Sep-25'!$A:$A,'[2]Sep-25'!$H:$H,0)</f>
        <v>0</v>
      </c>
      <c r="AA294" s="17">
        <f>_xlfn.XLOOKUP($B294,'[2]Oct-25'!$A:$A,'[2]Oct-25'!$H:$H,0)</f>
        <v>0</v>
      </c>
      <c r="AB294" s="17">
        <f>_xlfn.XLOOKUP($B294,'[2]Nov-25'!$A:$A,'[2]Nov-25'!$H:$H,0)</f>
        <v>0</v>
      </c>
      <c r="AC294" s="17">
        <f>_xlfn.XLOOKUP($B294,'[2]Dec-25'!$A:$A,'[2]Dec-25'!$H:$H,0)</f>
        <v>0</v>
      </c>
      <c r="AD294" s="17">
        <f>_xlfn.XLOOKUP($B294,'[2]Jan-26'!$A:$A,'[2]Jan-26'!$H:$H,0)</f>
        <v>0</v>
      </c>
      <c r="AE294" s="17">
        <f>_xlfn.XLOOKUP($B294,'[2]Feb-26'!$A:$A,'[2]Feb-26'!$H:$H,0)</f>
        <v>0</v>
      </c>
      <c r="AF294" s="17">
        <f>_xlfn.XLOOKUP($B294,'[2]Mar-26'!$A:$A,'[2]Mar-26'!$H:$H,0)</f>
        <v>0</v>
      </c>
      <c r="AG294" s="17">
        <f>_xlfn.XLOOKUP($B294,'[2]Apr-26'!$A:$A,'[2]Apr-26'!$H:$H,0)</f>
        <v>0</v>
      </c>
    </row>
    <row r="295" spans="1:33" x14ac:dyDescent="0.2">
      <c r="A295" s="58">
        <v>68502</v>
      </c>
      <c r="B295" s="56" t="str">
        <f t="shared" si="6"/>
        <v>68502</v>
      </c>
      <c r="C295" s="57" t="s">
        <v>629</v>
      </c>
      <c r="D295" s="57" t="s">
        <v>387</v>
      </c>
      <c r="E295" s="44" t="s">
        <v>739</v>
      </c>
      <c r="F295" s="17">
        <f>_xlfn.XLOOKUP($B295,'[2]Jan-24'!$A:$A,'[2]Jan-24'!$H:$H,0)</f>
        <v>0</v>
      </c>
      <c r="G295" s="17">
        <f>_xlfn.XLOOKUP($B295,'[2]Feb-24'!$A:$A,'[2]Feb-24'!$H:$H,0)</f>
        <v>0</v>
      </c>
      <c r="H295" s="17">
        <f>_xlfn.XLOOKUP($B295,'[2]Mar-24'!$A:$A,'[2]Mar-24'!$H:$H,0)</f>
        <v>0</v>
      </c>
      <c r="I295" s="17">
        <f>_xlfn.XLOOKUP($B295,'[2]Apr-24'!$A:$A,'[2]Apr-24'!$H:$H,0)</f>
        <v>0</v>
      </c>
      <c r="J295" s="17">
        <f>_xlfn.XLOOKUP($B295,'[2]May-24'!$A:$A,'[2]May-24'!$H:$H,0)</f>
        <v>0</v>
      </c>
      <c r="K295" s="17">
        <f>_xlfn.XLOOKUP($B295,'[2]Jun-24'!$A:$A,'[2]Jun-24'!$H:$H,0)</f>
        <v>0</v>
      </c>
      <c r="L295" s="17">
        <f>_xlfn.XLOOKUP($B295,'[2]Jul-24'!$A:$A,'[2]Jul-24'!$H:$H,0)</f>
        <v>0</v>
      </c>
      <c r="M295" s="17">
        <f>_xlfn.XLOOKUP($B295,'[2]Aug-24'!$A:$A,'[2]Aug-24'!$H:$H,0)</f>
        <v>0</v>
      </c>
      <c r="N295" s="17">
        <f>_xlfn.XLOOKUP($B295,'[2]Sep-24'!$A:$A,'[2]Sep-24'!$H:$H,0)</f>
        <v>0</v>
      </c>
      <c r="O295" s="17">
        <f>_xlfn.XLOOKUP($B295,'[2]Oct-24'!$A:$A,'[2]Oct-24'!$H:$H,0)</f>
        <v>0</v>
      </c>
      <c r="P295" s="17">
        <f>_xlfn.XLOOKUP($B295,'[2]Nov-24'!$A:$A,'[2]Nov-24'!$H:$H,0)</f>
        <v>0</v>
      </c>
      <c r="Q295" s="17">
        <f>_xlfn.XLOOKUP($B295,'[2]Dec-24'!$A:$A,'[2]Dec-24'!$H:$H,0)</f>
        <v>0</v>
      </c>
      <c r="R295" s="17">
        <f>_xlfn.XLOOKUP($B295,'[2]Jan-25'!$A:$A,'[2]Jan-25'!$H:$H,0)</f>
        <v>0</v>
      </c>
      <c r="S295" s="17">
        <f>_xlfn.XLOOKUP($B295,'[2]Feb-25'!$A:$A,'[2]Feb-25'!$H:$H,0)</f>
        <v>0</v>
      </c>
      <c r="T295" s="17">
        <f>_xlfn.XLOOKUP($B295,'[2]Mar-25'!$A:$A,'[2]Mar-25'!$H:$H,0)</f>
        <v>0</v>
      </c>
      <c r="U295" s="17">
        <f>_xlfn.XLOOKUP($B295,'[2]Apr-25'!$A:$A,'[2]Apr-25'!$H:$H,0)</f>
        <v>0</v>
      </c>
      <c r="V295" s="17">
        <f>_xlfn.XLOOKUP($B295,'[2]May-25'!$A:$A,'[2]May-25'!$H:$H,0)</f>
        <v>0</v>
      </c>
      <c r="W295" s="17">
        <f>_xlfn.XLOOKUP($B295,'[2]Jun-25'!$A:$A,'[2]Jun-25'!$H:$H,0)</f>
        <v>0</v>
      </c>
      <c r="X295" s="17">
        <f>_xlfn.XLOOKUP($B295,'[2]Jul-25'!$A:$A,'[2]Jul-25'!$H:$H,0)</f>
        <v>0</v>
      </c>
      <c r="Y295" s="17">
        <f>_xlfn.XLOOKUP($B295,'[2]Aug-25'!$A:$A,'[2]Aug-25'!$H:$H,0)</f>
        <v>0</v>
      </c>
      <c r="Z295" s="17">
        <f>_xlfn.XLOOKUP($B295,'[2]Sep-25'!$A:$A,'[2]Sep-25'!$H:$H,0)</f>
        <v>0</v>
      </c>
      <c r="AA295" s="17">
        <f>_xlfn.XLOOKUP($B295,'[2]Oct-25'!$A:$A,'[2]Oct-25'!$H:$H,0)</f>
        <v>0</v>
      </c>
      <c r="AB295" s="17">
        <f>_xlfn.XLOOKUP($B295,'[2]Nov-25'!$A:$A,'[2]Nov-25'!$H:$H,0)</f>
        <v>0</v>
      </c>
      <c r="AC295" s="17">
        <f>_xlfn.XLOOKUP($B295,'[2]Dec-25'!$A:$A,'[2]Dec-25'!$H:$H,0)</f>
        <v>0</v>
      </c>
      <c r="AD295" s="17">
        <f>_xlfn.XLOOKUP($B295,'[2]Jan-26'!$A:$A,'[2]Jan-26'!$H:$H,0)</f>
        <v>0</v>
      </c>
      <c r="AE295" s="17">
        <f>_xlfn.XLOOKUP($B295,'[2]Feb-26'!$A:$A,'[2]Feb-26'!$H:$H,0)</f>
        <v>0</v>
      </c>
      <c r="AF295" s="17">
        <f>_xlfn.XLOOKUP($B295,'[2]Mar-26'!$A:$A,'[2]Mar-26'!$H:$H,0)</f>
        <v>0</v>
      </c>
      <c r="AG295" s="17">
        <f>_xlfn.XLOOKUP($B295,'[2]Apr-26'!$A:$A,'[2]Apr-26'!$H:$H,0)</f>
        <v>0</v>
      </c>
    </row>
    <row r="296" spans="1:33" x14ac:dyDescent="0.2">
      <c r="A296" s="58">
        <v>68503</v>
      </c>
      <c r="B296" s="56" t="str">
        <f t="shared" si="6"/>
        <v>68503</v>
      </c>
      <c r="C296" s="57" t="s">
        <v>629</v>
      </c>
      <c r="D296" s="57" t="s">
        <v>387</v>
      </c>
      <c r="E296" s="44" t="s">
        <v>740</v>
      </c>
      <c r="F296" s="17">
        <f>_xlfn.XLOOKUP($B296,'[2]Jan-24'!$A:$A,'[2]Jan-24'!$H:$H,0)</f>
        <v>0</v>
      </c>
      <c r="G296" s="17">
        <f>_xlfn.XLOOKUP($B296,'[2]Feb-24'!$A:$A,'[2]Feb-24'!$H:$H,0)</f>
        <v>0</v>
      </c>
      <c r="H296" s="17">
        <f>_xlfn.XLOOKUP($B296,'[2]Mar-24'!$A:$A,'[2]Mar-24'!$H:$H,0)</f>
        <v>0</v>
      </c>
      <c r="I296" s="17">
        <f>_xlfn.XLOOKUP($B296,'[2]Apr-24'!$A:$A,'[2]Apr-24'!$H:$H,0)</f>
        <v>0</v>
      </c>
      <c r="J296" s="17">
        <f>_xlfn.XLOOKUP($B296,'[2]May-24'!$A:$A,'[2]May-24'!$H:$H,0)</f>
        <v>0</v>
      </c>
      <c r="K296" s="17">
        <f>_xlfn.XLOOKUP($B296,'[2]Jun-24'!$A:$A,'[2]Jun-24'!$H:$H,0)</f>
        <v>0</v>
      </c>
      <c r="L296" s="17">
        <f>_xlfn.XLOOKUP($B296,'[2]Jul-24'!$A:$A,'[2]Jul-24'!$H:$H,0)</f>
        <v>0</v>
      </c>
      <c r="M296" s="17">
        <f>_xlfn.XLOOKUP($B296,'[2]Aug-24'!$A:$A,'[2]Aug-24'!$H:$H,0)</f>
        <v>0</v>
      </c>
      <c r="N296" s="17">
        <f>_xlfn.XLOOKUP($B296,'[2]Sep-24'!$A:$A,'[2]Sep-24'!$H:$H,0)</f>
        <v>0</v>
      </c>
      <c r="O296" s="17">
        <f>_xlfn.XLOOKUP($B296,'[2]Oct-24'!$A:$A,'[2]Oct-24'!$H:$H,0)</f>
        <v>0</v>
      </c>
      <c r="P296" s="17">
        <f>_xlfn.XLOOKUP($B296,'[2]Nov-24'!$A:$A,'[2]Nov-24'!$H:$H,0)</f>
        <v>0</v>
      </c>
      <c r="Q296" s="17">
        <f>_xlfn.XLOOKUP($B296,'[2]Dec-24'!$A:$A,'[2]Dec-24'!$H:$H,0)</f>
        <v>0</v>
      </c>
      <c r="R296" s="17">
        <f>_xlfn.XLOOKUP($B296,'[2]Jan-25'!$A:$A,'[2]Jan-25'!$H:$H,0)</f>
        <v>0</v>
      </c>
      <c r="S296" s="17">
        <f>_xlfn.XLOOKUP($B296,'[2]Feb-25'!$A:$A,'[2]Feb-25'!$H:$H,0)</f>
        <v>0</v>
      </c>
      <c r="T296" s="17">
        <f>_xlfn.XLOOKUP($B296,'[2]Mar-25'!$A:$A,'[2]Mar-25'!$H:$H,0)</f>
        <v>0</v>
      </c>
      <c r="U296" s="17">
        <f>_xlfn.XLOOKUP($B296,'[2]Apr-25'!$A:$A,'[2]Apr-25'!$H:$H,0)</f>
        <v>0</v>
      </c>
      <c r="V296" s="17">
        <f>_xlfn.XLOOKUP($B296,'[2]May-25'!$A:$A,'[2]May-25'!$H:$H,0)</f>
        <v>0</v>
      </c>
      <c r="W296" s="17">
        <f>_xlfn.XLOOKUP($B296,'[2]Jun-25'!$A:$A,'[2]Jun-25'!$H:$H,0)</f>
        <v>0</v>
      </c>
      <c r="X296" s="17">
        <f>_xlfn.XLOOKUP($B296,'[2]Jul-25'!$A:$A,'[2]Jul-25'!$H:$H,0)</f>
        <v>0</v>
      </c>
      <c r="Y296" s="17">
        <f>_xlfn.XLOOKUP($B296,'[2]Aug-25'!$A:$A,'[2]Aug-25'!$H:$H,0)</f>
        <v>0</v>
      </c>
      <c r="Z296" s="17">
        <f>_xlfn.XLOOKUP($B296,'[2]Sep-25'!$A:$A,'[2]Sep-25'!$H:$H,0)</f>
        <v>0</v>
      </c>
      <c r="AA296" s="17">
        <f>_xlfn.XLOOKUP($B296,'[2]Oct-25'!$A:$A,'[2]Oct-25'!$H:$H,0)</f>
        <v>0</v>
      </c>
      <c r="AB296" s="17">
        <f>_xlfn.XLOOKUP($B296,'[2]Nov-25'!$A:$A,'[2]Nov-25'!$H:$H,0)</f>
        <v>0</v>
      </c>
      <c r="AC296" s="17">
        <f>_xlfn.XLOOKUP($B296,'[2]Dec-25'!$A:$A,'[2]Dec-25'!$H:$H,0)</f>
        <v>0</v>
      </c>
      <c r="AD296" s="17">
        <f>_xlfn.XLOOKUP($B296,'[2]Jan-26'!$A:$A,'[2]Jan-26'!$H:$H,0)</f>
        <v>0</v>
      </c>
      <c r="AE296" s="17">
        <f>_xlfn.XLOOKUP($B296,'[2]Feb-26'!$A:$A,'[2]Feb-26'!$H:$H,0)</f>
        <v>0</v>
      </c>
      <c r="AF296" s="17">
        <f>_xlfn.XLOOKUP($B296,'[2]Mar-26'!$A:$A,'[2]Mar-26'!$H:$H,0)</f>
        <v>0</v>
      </c>
      <c r="AG296" s="17">
        <f>_xlfn.XLOOKUP($B296,'[2]Apr-26'!$A:$A,'[2]Apr-26'!$H:$H,0)</f>
        <v>0</v>
      </c>
    </row>
    <row r="297" spans="1:33" x14ac:dyDescent="0.2">
      <c r="A297" s="58">
        <v>69600</v>
      </c>
      <c r="B297" s="56" t="str">
        <f t="shared" si="6"/>
        <v>69600</v>
      </c>
      <c r="C297" s="57" t="s">
        <v>517</v>
      </c>
      <c r="D297" s="57" t="s">
        <v>387</v>
      </c>
      <c r="E297" s="44" t="s">
        <v>118</v>
      </c>
      <c r="F297" s="17">
        <f>_xlfn.XLOOKUP($B297,'[2]Jan-24'!$A:$A,'[2]Jan-24'!$H:$H,0)</f>
        <v>0</v>
      </c>
      <c r="G297" s="17">
        <f>_xlfn.XLOOKUP($B297,'[2]Feb-24'!$A:$A,'[2]Feb-24'!$H:$H,0)</f>
        <v>0</v>
      </c>
      <c r="H297" s="17">
        <f>_xlfn.XLOOKUP($B297,'[2]Mar-24'!$A:$A,'[2]Mar-24'!$H:$H,0)</f>
        <v>0</v>
      </c>
      <c r="I297" s="17">
        <f>_xlfn.XLOOKUP($B297,'[2]Apr-24'!$A:$A,'[2]Apr-24'!$H:$H,0)</f>
        <v>0</v>
      </c>
      <c r="J297" s="17">
        <f>_xlfn.XLOOKUP($B297,'[2]May-24'!$A:$A,'[2]May-24'!$H:$H,0)</f>
        <v>0</v>
      </c>
      <c r="K297" s="17">
        <f>_xlfn.XLOOKUP($B297,'[2]Jun-24'!$A:$A,'[2]Jun-24'!$H:$H,0)</f>
        <v>0</v>
      </c>
      <c r="L297" s="17">
        <f>_xlfn.XLOOKUP($B297,'[2]Jul-24'!$A:$A,'[2]Jul-24'!$H:$H,0)</f>
        <v>0</v>
      </c>
      <c r="M297" s="17">
        <f>_xlfn.XLOOKUP($B297,'[2]Aug-24'!$A:$A,'[2]Aug-24'!$H:$H,0)</f>
        <v>0</v>
      </c>
      <c r="N297" s="17">
        <f>_xlfn.XLOOKUP($B297,'[2]Sep-24'!$A:$A,'[2]Sep-24'!$H:$H,0)</f>
        <v>0</v>
      </c>
      <c r="O297" s="17">
        <f>_xlfn.XLOOKUP($B297,'[2]Oct-24'!$A:$A,'[2]Oct-24'!$H:$H,0)</f>
        <v>0</v>
      </c>
      <c r="P297" s="17">
        <f>_xlfn.XLOOKUP($B297,'[2]Nov-24'!$A:$A,'[2]Nov-24'!$H:$H,0)</f>
        <v>0</v>
      </c>
      <c r="Q297" s="17">
        <f>_xlfn.XLOOKUP($B297,'[2]Dec-24'!$A:$A,'[2]Dec-24'!$H:$H,0)</f>
        <v>0</v>
      </c>
      <c r="R297" s="17">
        <f>_xlfn.XLOOKUP($B297,'[2]Jan-25'!$A:$A,'[2]Jan-25'!$H:$H,0)</f>
        <v>0</v>
      </c>
      <c r="S297" s="17">
        <f>_xlfn.XLOOKUP($B297,'[2]Feb-25'!$A:$A,'[2]Feb-25'!$H:$H,0)</f>
        <v>0</v>
      </c>
      <c r="T297" s="17">
        <f>_xlfn.XLOOKUP($B297,'[2]Mar-25'!$A:$A,'[2]Mar-25'!$H:$H,0)</f>
        <v>0</v>
      </c>
      <c r="U297" s="17">
        <f>_xlfn.XLOOKUP($B297,'[2]Apr-25'!$A:$A,'[2]Apr-25'!$H:$H,0)</f>
        <v>0</v>
      </c>
      <c r="V297" s="17">
        <f>_xlfn.XLOOKUP($B297,'[2]May-25'!$A:$A,'[2]May-25'!$H:$H,0)</f>
        <v>0</v>
      </c>
      <c r="W297" s="17">
        <f>_xlfn.XLOOKUP($B297,'[2]Jun-25'!$A:$A,'[2]Jun-25'!$H:$H,0)</f>
        <v>0</v>
      </c>
      <c r="X297" s="17">
        <f>_xlfn.XLOOKUP($B297,'[2]Jul-25'!$A:$A,'[2]Jul-25'!$H:$H,0)</f>
        <v>0</v>
      </c>
      <c r="Y297" s="17">
        <f>_xlfn.XLOOKUP($B297,'[2]Aug-25'!$A:$A,'[2]Aug-25'!$H:$H,0)</f>
        <v>0</v>
      </c>
      <c r="Z297" s="17">
        <f>_xlfn.XLOOKUP($B297,'[2]Sep-25'!$A:$A,'[2]Sep-25'!$H:$H,0)</f>
        <v>0</v>
      </c>
      <c r="AA297" s="17">
        <f>_xlfn.XLOOKUP($B297,'[2]Oct-25'!$A:$A,'[2]Oct-25'!$H:$H,0)</f>
        <v>0</v>
      </c>
      <c r="AB297" s="17">
        <f>_xlfn.XLOOKUP($B297,'[2]Nov-25'!$A:$A,'[2]Nov-25'!$H:$H,0)</f>
        <v>0</v>
      </c>
      <c r="AC297" s="17">
        <f>_xlfn.XLOOKUP($B297,'[2]Dec-25'!$A:$A,'[2]Dec-25'!$H:$H,0)</f>
        <v>0</v>
      </c>
      <c r="AD297" s="17">
        <f>_xlfn.XLOOKUP($B297,'[2]Jan-26'!$A:$A,'[2]Jan-26'!$H:$H,0)</f>
        <v>0</v>
      </c>
      <c r="AE297" s="17">
        <f>_xlfn.XLOOKUP($B297,'[2]Feb-26'!$A:$A,'[2]Feb-26'!$H:$H,0)</f>
        <v>0</v>
      </c>
      <c r="AF297" s="17">
        <f>_xlfn.XLOOKUP($B297,'[2]Mar-26'!$A:$A,'[2]Mar-26'!$H:$H,0)</f>
        <v>0</v>
      </c>
      <c r="AG297" s="17">
        <f>_xlfn.XLOOKUP($B297,'[2]Apr-26'!$A:$A,'[2]Apr-26'!$H:$H,0)</f>
        <v>0</v>
      </c>
    </row>
    <row r="298" spans="1:33" x14ac:dyDescent="0.2">
      <c r="A298" s="58">
        <v>69901</v>
      </c>
      <c r="B298" s="56" t="str">
        <f t="shared" si="6"/>
        <v>69901</v>
      </c>
      <c r="C298" s="57" t="s">
        <v>420</v>
      </c>
      <c r="D298" s="57" t="s">
        <v>387</v>
      </c>
      <c r="E298" s="44" t="s">
        <v>743</v>
      </c>
      <c r="F298" s="17">
        <f>_xlfn.XLOOKUP($B298,'[2]Jan-24'!$A:$A,'[2]Jan-24'!$H:$H,0)</f>
        <v>0</v>
      </c>
      <c r="G298" s="17">
        <f>_xlfn.XLOOKUP($B298,'[2]Feb-24'!$A:$A,'[2]Feb-24'!$H:$H,0)</f>
        <v>0</v>
      </c>
      <c r="H298" s="17">
        <f>_xlfn.XLOOKUP($B298,'[2]Mar-24'!$A:$A,'[2]Mar-24'!$H:$H,0)</f>
        <v>0</v>
      </c>
      <c r="I298" s="17">
        <f>_xlfn.XLOOKUP($B298,'[2]Apr-24'!$A:$A,'[2]Apr-24'!$H:$H,0)</f>
        <v>0</v>
      </c>
      <c r="J298" s="17">
        <f>_xlfn.XLOOKUP($B298,'[2]May-24'!$A:$A,'[2]May-24'!$H:$H,0)</f>
        <v>0</v>
      </c>
      <c r="K298" s="17">
        <f>_xlfn.XLOOKUP($B298,'[2]Jun-24'!$A:$A,'[2]Jun-24'!$H:$H,0)</f>
        <v>0</v>
      </c>
      <c r="L298" s="17">
        <f>_xlfn.XLOOKUP($B298,'[2]Jul-24'!$A:$A,'[2]Jul-24'!$H:$H,0)</f>
        <v>0</v>
      </c>
      <c r="M298" s="17">
        <f>_xlfn.XLOOKUP($B298,'[2]Aug-24'!$A:$A,'[2]Aug-24'!$H:$H,0)</f>
        <v>0</v>
      </c>
      <c r="N298" s="17">
        <f>_xlfn.XLOOKUP($B298,'[2]Sep-24'!$A:$A,'[2]Sep-24'!$H:$H,0)</f>
        <v>0</v>
      </c>
      <c r="O298" s="17">
        <f>_xlfn.XLOOKUP($B298,'[2]Oct-24'!$A:$A,'[2]Oct-24'!$H:$H,0)</f>
        <v>0</v>
      </c>
      <c r="P298" s="17">
        <f>_xlfn.XLOOKUP($B298,'[2]Nov-24'!$A:$A,'[2]Nov-24'!$H:$H,0)</f>
        <v>0</v>
      </c>
      <c r="Q298" s="17">
        <f>_xlfn.XLOOKUP($B298,'[2]Dec-24'!$A:$A,'[2]Dec-24'!$H:$H,0)</f>
        <v>0</v>
      </c>
      <c r="R298" s="17">
        <f>_xlfn.XLOOKUP($B298,'[2]Jan-25'!$A:$A,'[2]Jan-25'!$H:$H,0)</f>
        <v>0</v>
      </c>
      <c r="S298" s="17">
        <f>_xlfn.XLOOKUP($B298,'[2]Feb-25'!$A:$A,'[2]Feb-25'!$H:$H,0)</f>
        <v>0</v>
      </c>
      <c r="T298" s="17">
        <f>_xlfn.XLOOKUP($B298,'[2]Mar-25'!$A:$A,'[2]Mar-25'!$H:$H,0)</f>
        <v>0</v>
      </c>
      <c r="U298" s="17">
        <f>_xlfn.XLOOKUP($B298,'[2]Apr-25'!$A:$A,'[2]Apr-25'!$H:$H,0)</f>
        <v>0</v>
      </c>
      <c r="V298" s="17">
        <f>_xlfn.XLOOKUP($B298,'[2]May-25'!$A:$A,'[2]May-25'!$H:$H,0)</f>
        <v>0</v>
      </c>
      <c r="W298" s="17">
        <f>_xlfn.XLOOKUP($B298,'[2]Jun-25'!$A:$A,'[2]Jun-25'!$H:$H,0)</f>
        <v>0</v>
      </c>
      <c r="X298" s="17">
        <f>_xlfn.XLOOKUP($B298,'[2]Jul-25'!$A:$A,'[2]Jul-25'!$H:$H,0)</f>
        <v>0</v>
      </c>
      <c r="Y298" s="17">
        <f>_xlfn.XLOOKUP($B298,'[2]Aug-25'!$A:$A,'[2]Aug-25'!$H:$H,0)</f>
        <v>0</v>
      </c>
      <c r="Z298" s="17">
        <f>_xlfn.XLOOKUP($B298,'[2]Sep-25'!$A:$A,'[2]Sep-25'!$H:$H,0)</f>
        <v>0</v>
      </c>
      <c r="AA298" s="17">
        <f>_xlfn.XLOOKUP($B298,'[2]Oct-25'!$A:$A,'[2]Oct-25'!$H:$H,0)</f>
        <v>0</v>
      </c>
      <c r="AB298" s="17">
        <f>_xlfn.XLOOKUP($B298,'[2]Nov-25'!$A:$A,'[2]Nov-25'!$H:$H,0)</f>
        <v>0</v>
      </c>
      <c r="AC298" s="17">
        <f>_xlfn.XLOOKUP($B298,'[2]Dec-25'!$A:$A,'[2]Dec-25'!$H:$H,0)</f>
        <v>0</v>
      </c>
      <c r="AD298" s="17">
        <f>_xlfn.XLOOKUP($B298,'[2]Jan-26'!$A:$A,'[2]Jan-26'!$H:$H,0)</f>
        <v>0</v>
      </c>
      <c r="AE298" s="17">
        <f>_xlfn.XLOOKUP($B298,'[2]Feb-26'!$A:$A,'[2]Feb-26'!$H:$H,0)</f>
        <v>0</v>
      </c>
      <c r="AF298" s="17">
        <f>_xlfn.XLOOKUP($B298,'[2]Mar-26'!$A:$A,'[2]Mar-26'!$H:$H,0)</f>
        <v>0</v>
      </c>
      <c r="AG298" s="17">
        <f>_xlfn.XLOOKUP($B298,'[2]Apr-26'!$A:$A,'[2]Apr-26'!$H:$H,0)</f>
        <v>0</v>
      </c>
    </row>
    <row r="299" spans="1:33" x14ac:dyDescent="0.2">
      <c r="A299" s="58">
        <v>69902</v>
      </c>
      <c r="B299" s="56" t="str">
        <f t="shared" si="6"/>
        <v>69902</v>
      </c>
      <c r="C299" s="57" t="s">
        <v>565</v>
      </c>
      <c r="D299" s="57" t="s">
        <v>387</v>
      </c>
      <c r="E299" s="44" t="s">
        <v>744</v>
      </c>
      <c r="F299" s="17">
        <f>_xlfn.XLOOKUP($B299,'[2]Jan-24'!$A:$A,'[2]Jan-24'!$H:$H,0)</f>
        <v>0</v>
      </c>
      <c r="G299" s="17">
        <f>_xlfn.XLOOKUP($B299,'[2]Feb-24'!$A:$A,'[2]Feb-24'!$H:$H,0)</f>
        <v>0</v>
      </c>
      <c r="H299" s="17">
        <f>_xlfn.XLOOKUP($B299,'[2]Mar-24'!$A:$A,'[2]Mar-24'!$H:$H,0)</f>
        <v>0</v>
      </c>
      <c r="I299" s="17">
        <f>_xlfn.XLOOKUP($B299,'[2]Apr-24'!$A:$A,'[2]Apr-24'!$H:$H,0)</f>
        <v>0</v>
      </c>
      <c r="J299" s="17">
        <f>_xlfn.XLOOKUP($B299,'[2]May-24'!$A:$A,'[2]May-24'!$H:$H,0)</f>
        <v>0</v>
      </c>
      <c r="K299" s="17">
        <f>_xlfn.XLOOKUP($B299,'[2]Jun-24'!$A:$A,'[2]Jun-24'!$H:$H,0)</f>
        <v>0</v>
      </c>
      <c r="L299" s="17">
        <f>_xlfn.XLOOKUP($B299,'[2]Jul-24'!$A:$A,'[2]Jul-24'!$H:$H,0)</f>
        <v>0</v>
      </c>
      <c r="M299" s="17">
        <f>_xlfn.XLOOKUP($B299,'[2]Aug-24'!$A:$A,'[2]Aug-24'!$H:$H,0)</f>
        <v>0</v>
      </c>
      <c r="N299" s="17">
        <f>_xlfn.XLOOKUP($B299,'[2]Sep-24'!$A:$A,'[2]Sep-24'!$H:$H,0)</f>
        <v>0</v>
      </c>
      <c r="O299" s="17">
        <f>_xlfn.XLOOKUP($B299,'[2]Oct-24'!$A:$A,'[2]Oct-24'!$H:$H,0)</f>
        <v>0</v>
      </c>
      <c r="P299" s="17">
        <f>_xlfn.XLOOKUP($B299,'[2]Nov-24'!$A:$A,'[2]Nov-24'!$H:$H,0)</f>
        <v>0</v>
      </c>
      <c r="Q299" s="17">
        <f>_xlfn.XLOOKUP($B299,'[2]Dec-24'!$A:$A,'[2]Dec-24'!$H:$H,0)</f>
        <v>0</v>
      </c>
      <c r="R299" s="17">
        <f>_xlfn.XLOOKUP($B299,'[2]Jan-25'!$A:$A,'[2]Jan-25'!$H:$H,0)</f>
        <v>0</v>
      </c>
      <c r="S299" s="17">
        <f>_xlfn.XLOOKUP($B299,'[2]Feb-25'!$A:$A,'[2]Feb-25'!$H:$H,0)</f>
        <v>0</v>
      </c>
      <c r="T299" s="17">
        <f>_xlfn.XLOOKUP($B299,'[2]Mar-25'!$A:$A,'[2]Mar-25'!$H:$H,0)</f>
        <v>0</v>
      </c>
      <c r="U299" s="17">
        <f>_xlfn.XLOOKUP($B299,'[2]Apr-25'!$A:$A,'[2]Apr-25'!$H:$H,0)</f>
        <v>0</v>
      </c>
      <c r="V299" s="17">
        <f>_xlfn.XLOOKUP($B299,'[2]May-25'!$A:$A,'[2]May-25'!$H:$H,0)</f>
        <v>0</v>
      </c>
      <c r="W299" s="17">
        <f>_xlfn.XLOOKUP($B299,'[2]Jun-25'!$A:$A,'[2]Jun-25'!$H:$H,0)</f>
        <v>0</v>
      </c>
      <c r="X299" s="17">
        <f>_xlfn.XLOOKUP($B299,'[2]Jul-25'!$A:$A,'[2]Jul-25'!$H:$H,0)</f>
        <v>0</v>
      </c>
      <c r="Y299" s="17">
        <f>_xlfn.XLOOKUP($B299,'[2]Aug-25'!$A:$A,'[2]Aug-25'!$H:$H,0)</f>
        <v>0</v>
      </c>
      <c r="Z299" s="17">
        <f>_xlfn.XLOOKUP($B299,'[2]Sep-25'!$A:$A,'[2]Sep-25'!$H:$H,0)</f>
        <v>0</v>
      </c>
      <c r="AA299" s="17">
        <f>_xlfn.XLOOKUP($B299,'[2]Oct-25'!$A:$A,'[2]Oct-25'!$H:$H,0)</f>
        <v>0</v>
      </c>
      <c r="AB299" s="17">
        <f>_xlfn.XLOOKUP($B299,'[2]Nov-25'!$A:$A,'[2]Nov-25'!$H:$H,0)</f>
        <v>0</v>
      </c>
      <c r="AC299" s="17">
        <f>_xlfn.XLOOKUP($B299,'[2]Dec-25'!$A:$A,'[2]Dec-25'!$H:$H,0)</f>
        <v>0</v>
      </c>
      <c r="AD299" s="17">
        <f>_xlfn.XLOOKUP($B299,'[2]Jan-26'!$A:$A,'[2]Jan-26'!$H:$H,0)</f>
        <v>0</v>
      </c>
      <c r="AE299" s="17">
        <f>_xlfn.XLOOKUP($B299,'[2]Feb-26'!$A:$A,'[2]Feb-26'!$H:$H,0)</f>
        <v>0</v>
      </c>
      <c r="AF299" s="17">
        <f>_xlfn.XLOOKUP($B299,'[2]Mar-26'!$A:$A,'[2]Mar-26'!$H:$H,0)</f>
        <v>0</v>
      </c>
      <c r="AG299" s="17">
        <f>_xlfn.XLOOKUP($B299,'[2]Apr-26'!$A:$A,'[2]Apr-26'!$H:$H,0)</f>
        <v>0</v>
      </c>
    </row>
    <row r="300" spans="1:33" ht="16" thickBot="1" x14ac:dyDescent="0.25">
      <c r="A300" s="46"/>
      <c r="B300" s="46"/>
      <c r="C300" s="46"/>
      <c r="D300" s="46"/>
      <c r="E300" s="47"/>
      <c r="F300" s="59" cm="1">
        <f t="array" ref="F300">SUMPRODUCT(($D$4:$D$299="Income")+($D$4:$D$299="Expense"), F$4:F$299)</f>
        <v>992.90999999999849</v>
      </c>
      <c r="G300" s="59" cm="1">
        <f t="array" ref="G300">SUMPRODUCT(($D$4:$D$299="Income")+($D$4:$D$299="Expense"), G$4:G$299)</f>
        <v>3610.6599999999935</v>
      </c>
      <c r="H300" s="59" cm="1">
        <f t="array" ref="H300">SUMPRODUCT(($D$4:$D$299="Income")+($D$4:$D$299="Expense"), H$4:H$299)</f>
        <v>184677.34999999998</v>
      </c>
      <c r="I300" s="59" cm="1">
        <f t="array" ref="I300">SUMPRODUCT(($D$4:$D$299="Income")+($D$4:$D$299="Expense"), I$4:I$299)</f>
        <v>7225.4500000000035</v>
      </c>
      <c r="J300" s="59" cm="1">
        <f t="array" ref="J300">SUMPRODUCT(($D$4:$D$299="Income")+($D$4:$D$299="Expense"), J$4:J$299)</f>
        <v>-3429.3299999999995</v>
      </c>
      <c r="K300" s="59" cm="1">
        <f t="array" ref="K300">SUMPRODUCT(($D$4:$D$299="Income")+($D$4:$D$299="Expense"), K$4:K$299)</f>
        <v>21893.649999999994</v>
      </c>
      <c r="L300" s="59" cm="1">
        <f t="array" ref="L300">SUMPRODUCT(($D$4:$D$299="Income")+($D$4:$D$299="Expense"), L$4:L$299)</f>
        <v>42467.020000000011</v>
      </c>
      <c r="M300" s="59" cm="1">
        <f t="array" ref="M300">SUMPRODUCT(($D$4:$D$299="Income")+($D$4:$D$299="Expense"), M$4:M$299)</f>
        <v>18639.599999999995</v>
      </c>
      <c r="N300" s="59" cm="1">
        <f t="array" ref="N300">SUMPRODUCT(($D$4:$D$299="Income")+($D$4:$D$299="Expense"), N$4:N$299)</f>
        <v>24749.110000000004</v>
      </c>
      <c r="O300" s="59" cm="1">
        <f t="array" ref="O300">SUMPRODUCT(($D$4:$D$299="Income")+($D$4:$D$299="Expense"), O$4:O$299)</f>
        <v>22696.9</v>
      </c>
      <c r="P300" s="59" cm="1">
        <f t="array" ref="P300">SUMPRODUCT(($D$4:$D$299="Income")+($D$4:$D$299="Expense"), P$4:P$299)</f>
        <v>16805.189999999999</v>
      </c>
      <c r="Q300" s="59" cm="1">
        <f t="array" ref="Q300">SUMPRODUCT(($D$4:$D$299="Income")+($D$4:$D$299="Expense"), Q$4:Q$299)</f>
        <v>-64264.960000000014</v>
      </c>
      <c r="R300" s="59" cm="1">
        <f t="array" ref="R300">SUMPRODUCT(($D$4:$D$299="Income")+($D$4:$D$299="Expense"), R$4:R$299)</f>
        <v>22089.77</v>
      </c>
      <c r="S300" s="59" cm="1">
        <f t="array" ref="S300">SUMPRODUCT(($D$4:$D$299="Income")+($D$4:$D$299="Expense"), S$4:S$299)</f>
        <v>16306.649999999448</v>
      </c>
      <c r="T300" s="59" cm="1">
        <f t="array" ref="T300">SUMPRODUCT(($D$4:$D$299="Income")+($D$4:$D$299="Expense"), T$4:T$299)</f>
        <v>32919.300000000003</v>
      </c>
      <c r="U300" s="59" cm="1">
        <f t="array" ref="U300">SUMPRODUCT(($D$4:$D$299="Income")+($D$4:$D$299="Expense"), U$4:U$299)</f>
        <v>26943.470000000008</v>
      </c>
      <c r="V300" s="59" cm="1">
        <f t="array" ref="V300">SUMPRODUCT(($D$4:$D$299="Income")+($D$4:$D$299="Expense"), V$4:V$299)</f>
        <v>34447.880000000005</v>
      </c>
      <c r="W300" s="59" cm="1">
        <f t="array" ref="W300">SUMPRODUCT(($D$4:$D$299="Income")+($D$4:$D$299="Expense"), W$4:W$299)</f>
        <v>35457.329999999994</v>
      </c>
      <c r="X300" s="59" cm="1">
        <f t="array" ref="X300">SUMPRODUCT(($D$4:$D$299="Income")+($D$4:$D$299="Expense"), X$4:X$299)</f>
        <v>30192.469999999987</v>
      </c>
      <c r="Y300" s="59" cm="1">
        <f t="array" ref="Y300">SUMPRODUCT(($D$4:$D$299="Income")+($D$4:$D$299="Expense"), Y$4:Y$299)</f>
        <v>21468.239999999998</v>
      </c>
      <c r="Z300" s="59" cm="1">
        <f t="array" ref="Z300">SUMPRODUCT(($D$4:$D$299="Income")+($D$4:$D$299="Expense"), Z$4:Z$299)</f>
        <v>29684.550000000003</v>
      </c>
      <c r="AA300" s="59" cm="1">
        <f t="array" ref="AA300">SUMPRODUCT(($D$4:$D$299="Income")+($D$4:$D$299="Expense"), AA$4:AA$299)</f>
        <v>45915.199999999997</v>
      </c>
      <c r="AB300" s="59" cm="1">
        <f t="array" ref="AB300">SUMPRODUCT(($D$4:$D$299="Income")+($D$4:$D$299="Expense"), AB$4:AB$299)</f>
        <v>23468.03</v>
      </c>
      <c r="AC300" s="59" cm="1">
        <f t="array" ref="AC300">SUMPRODUCT(($D$4:$D$299="Income")+($D$4:$D$299="Expense"), AC$4:AC$299)</f>
        <v>-94961.930000000022</v>
      </c>
      <c r="AD300" s="59" cm="1">
        <f t="array" ref="AD300">SUMPRODUCT(($D$4:$D$299="Income")+($D$4:$D$299="Expense"), AD$4:AD$299)</f>
        <v>25667.030000000002</v>
      </c>
      <c r="AE300" s="59" cm="1">
        <f t="array" ref="AE300">SUMPRODUCT(($D$4:$D$299="Income")+($D$4:$D$299="Expense"), AE$4:AE$299)</f>
        <v>19715.570000000003</v>
      </c>
      <c r="AF300" s="59" cm="1">
        <f t="array" ref="AF300">SUMPRODUCT(($D$4:$D$299="Income")+($D$4:$D$299="Expense"), AF$4:AF$299)</f>
        <v>19960.21</v>
      </c>
      <c r="AG300" s="59" cm="1">
        <f t="array" ref="AG300">SUMPRODUCT(($D$4:$D$299="Income")+($D$4:$D$299="Expense"), AG$4:AG$299)</f>
        <v>19095.059999999998</v>
      </c>
    </row>
    <row r="301" spans="1:33" x14ac:dyDescent="0.2">
      <c r="A301" s="46"/>
      <c r="B301" s="46"/>
      <c r="C301" s="46"/>
      <c r="D301" s="46"/>
      <c r="E301" s="47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</row>
    <row r="302" spans="1:33" x14ac:dyDescent="0.2">
      <c r="A302" s="46"/>
      <c r="B302" s="46"/>
      <c r="C302" s="46"/>
      <c r="D302" s="46"/>
      <c r="E302" s="47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</row>
    <row r="303" spans="1:33" x14ac:dyDescent="0.2">
      <c r="A303" s="46"/>
      <c r="B303" s="46"/>
      <c r="C303" s="46"/>
      <c r="D303" s="46"/>
      <c r="E303" s="47" t="s">
        <v>746</v>
      </c>
      <c r="F303" s="62" cm="1">
        <f t="array" ref="F303">SUMPRODUCT(($D$4:$D$299="Asset")+($D$4:$D$299="Liability"), F$4:F$299)</f>
        <v>0</v>
      </c>
      <c r="G303" s="62" cm="1">
        <f t="array" ref="G303">SUMPRODUCT(($D$4:$D$299="Asset")+($D$4:$D$299="Liability"), G$4:G$299)</f>
        <v>0</v>
      </c>
      <c r="H303" s="62" cm="1">
        <f t="array" ref="H303">SUMPRODUCT(($D$4:$D$299="Asset")+($D$4:$D$299="Liability"), H$4:H$299)</f>
        <v>0</v>
      </c>
      <c r="I303" s="62" cm="1">
        <f t="array" ref="I303">SUMPRODUCT(($D$4:$D$299="Asset")+($D$4:$D$299="Liability"), I$4:I$299)</f>
        <v>-7225.4500000000116</v>
      </c>
      <c r="J303" s="62" cm="1">
        <f t="array" ref="J303">SUMPRODUCT(($D$4:$D$299="Asset")+($D$4:$D$299="Liability"), J$4:J$299)</f>
        <v>-3796.1200000000536</v>
      </c>
      <c r="K303" s="62" cm="1">
        <f t="array" ref="K303">SUMPRODUCT(($D$4:$D$299="Asset")+($D$4:$D$299="Liability"), K$4:K$299)</f>
        <v>-25689.770000000077</v>
      </c>
      <c r="L303" s="62" cm="1">
        <f t="array" ref="L303">SUMPRODUCT(($D$4:$D$299="Asset")+($D$4:$D$299="Liability"), L$4:L$299)</f>
        <v>-68156.790000000095</v>
      </c>
      <c r="M303" s="62" cm="1">
        <f t="array" ref="M303">SUMPRODUCT(($D$4:$D$299="Asset")+($D$4:$D$299="Liability"), M$4:M$299)</f>
        <v>-86796.390000000072</v>
      </c>
      <c r="N303" s="62" cm="1">
        <f t="array" ref="N303">SUMPRODUCT(($D$4:$D$299="Asset")+($D$4:$D$299="Liability"), N$4:N$299)</f>
        <v>-111545.50000000006</v>
      </c>
      <c r="O303" s="62" cm="1">
        <f t="array" ref="O303">SUMPRODUCT(($D$4:$D$299="Asset")+($D$4:$D$299="Liability"), O$4:O$299)</f>
        <v>-134242.40000000008</v>
      </c>
      <c r="P303" s="62" cm="1">
        <f t="array" ref="P303">SUMPRODUCT(($D$4:$D$299="Asset")+($D$4:$D$299="Liability"), P$4:P$299)</f>
        <v>-151047.59000000014</v>
      </c>
      <c r="Q303" s="62" cm="1">
        <f t="array" ref="Q303">SUMPRODUCT(($D$4:$D$299="Asset")+($D$4:$D$299="Liability"), Q$4:Q$299)</f>
        <v>-86782.630000000063</v>
      </c>
      <c r="R303" s="62" cm="1">
        <f t="array" ref="R303">SUMPRODUCT(($D$4:$D$299="Asset")+($D$4:$D$299="Liability"), R$4:R$299)</f>
        <v>-108872.39999999997</v>
      </c>
      <c r="S303" s="62" cm="1">
        <f t="array" ref="S303">SUMPRODUCT(($D$4:$D$299="Asset")+($D$4:$D$299="Liability"), S$4:S$299)</f>
        <v>-125179.0500000001</v>
      </c>
      <c r="T303" s="62" cm="1">
        <f t="array" ref="T303">SUMPRODUCT(($D$4:$D$299="Asset")+($D$4:$D$299="Liability"), T$4:T$299)</f>
        <v>-158098.35000000003</v>
      </c>
      <c r="U303" s="62" cm="1">
        <f t="array" ref="U303">SUMPRODUCT(($D$4:$D$299="Asset")+($D$4:$D$299="Liability"), U$4:U$299)</f>
        <v>-26943.470000000088</v>
      </c>
      <c r="V303" s="62" cm="1">
        <f t="array" ref="V303">SUMPRODUCT(($D$4:$D$299="Asset")+($D$4:$D$299="Liability"), V$4:V$299)</f>
        <v>-61391.349999999977</v>
      </c>
      <c r="W303" s="62" cm="1">
        <f t="array" ref="W303">SUMPRODUCT(($D$4:$D$299="Asset")+($D$4:$D$299="Liability"), W$4:W$299)</f>
        <v>-96848.680000000051</v>
      </c>
      <c r="X303" s="62" cm="1">
        <f t="array" ref="X303">SUMPRODUCT(($D$4:$D$299="Asset")+($D$4:$D$299="Liability"), X$4:X$299)</f>
        <v>-127041.15000000002</v>
      </c>
      <c r="Y303" s="62" cm="1">
        <f t="array" ref="Y303">SUMPRODUCT(($D$4:$D$299="Asset")+($D$4:$D$299="Liability"), Y$4:Y$299)</f>
        <v>-148509.39000000001</v>
      </c>
      <c r="Z303" s="62" cm="1">
        <f t="array" ref="Z303">SUMPRODUCT(($D$4:$D$299="Asset")+($D$4:$D$299="Liability"), Z$4:Z$299)</f>
        <v>-178193.94000000006</v>
      </c>
      <c r="AA303" s="62" cm="1">
        <f t="array" ref="AA303">SUMPRODUCT(($D$4:$D$299="Asset")+($D$4:$D$299="Liability"), AA$4:AA$299)</f>
        <v>-224109.14</v>
      </c>
      <c r="AB303" s="62" cm="1">
        <f t="array" ref="AB303">SUMPRODUCT(($D$4:$D$299="Asset")+($D$4:$D$299="Liability"), AB$4:AB$299)</f>
        <v>-247577.17000000004</v>
      </c>
      <c r="AC303" s="62" cm="1">
        <f t="array" ref="AC303">SUMPRODUCT(($D$4:$D$299="Asset")+($D$4:$D$299="Liability"), AC$4:AC$299)</f>
        <v>-152615.24</v>
      </c>
      <c r="AD303" s="62" cm="1">
        <f t="array" ref="AD303">SUMPRODUCT(($D$4:$D$299="Asset")+($D$4:$D$299="Liability"), AD$4:AD$299)</f>
        <v>-178282.27000000002</v>
      </c>
      <c r="AE303" s="62" cm="1">
        <f t="array" ref="AE303">SUMPRODUCT(($D$4:$D$299="Asset")+($D$4:$D$299="Liability"), AE$4:AE$299)</f>
        <v>-198364.66000000003</v>
      </c>
      <c r="AF303" s="62" cm="1">
        <f t="array" ref="AF303">SUMPRODUCT(($D$4:$D$299="Asset")+($D$4:$D$299="Liability"), AF$4:AF$299)</f>
        <v>-217409.96000000008</v>
      </c>
      <c r="AG303" s="62" cm="1">
        <f t="array" ref="AG303">SUMPRODUCT(($D$4:$D$299="Asset")+($D$4:$D$299="Liability"), AG$4:AG$299)</f>
        <v>-19095.059999999939</v>
      </c>
    </row>
    <row r="304" spans="1:33" x14ac:dyDescent="0.2">
      <c r="A304" s="46"/>
      <c r="B304" s="46"/>
      <c r="C304" s="46"/>
      <c r="D304" s="46"/>
      <c r="E304" s="47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</row>
    <row r="305" spans="1:33" x14ac:dyDescent="0.2">
      <c r="A305" s="46"/>
      <c r="B305" s="46"/>
      <c r="C305" s="46"/>
      <c r="D305" s="46"/>
      <c r="E305" s="47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64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</row>
    <row r="306" spans="1:33" x14ac:dyDescent="0.2">
      <c r="A306" s="46"/>
      <c r="B306" s="46"/>
      <c r="C306" s="46"/>
      <c r="D306" s="46"/>
      <c r="E306" s="47"/>
      <c r="F306" s="46">
        <f>SUBTOTAL(9,F53:F275)</f>
        <v>992.90999999999849</v>
      </c>
      <c r="G306" s="46">
        <f t="shared" ref="G306:M306" si="7">SUBTOTAL(9,G53:G275)</f>
        <v>3610.6599999999935</v>
      </c>
      <c r="H306" s="46">
        <f t="shared" si="7"/>
        <v>184677.34999999998</v>
      </c>
      <c r="I306" s="46">
        <f t="shared" si="7"/>
        <v>-178943.77000000008</v>
      </c>
      <c r="J306" s="46">
        <f t="shared" si="7"/>
        <v>-173221.87000000014</v>
      </c>
      <c r="K306" s="46">
        <f t="shared" si="7"/>
        <v>-140444.37000000008</v>
      </c>
      <c r="L306" s="46">
        <f t="shared" si="7"/>
        <v>-125957.97000000003</v>
      </c>
      <c r="M306" s="46">
        <f t="shared" si="7"/>
        <v>-153706.58000000005</v>
      </c>
      <c r="N306" s="46">
        <f>SUBTOTAL(9,N53:N275)</f>
        <v>-197827.66999999998</v>
      </c>
      <c r="O306" s="46">
        <f>SUBTOTAL(9,O53:O275)</f>
        <v>-208897.76</v>
      </c>
      <c r="P306" s="46">
        <f>SUBTOTAL(9,P53:P275)</f>
        <v>-209550.78000000009</v>
      </c>
      <c r="Q306" s="46">
        <f>SUBTOTAL(9,Q53:Q275)</f>
        <v>-198217.18000000008</v>
      </c>
      <c r="R306" s="46"/>
      <c r="S306" s="46"/>
      <c r="T306" s="46"/>
      <c r="U306" s="46"/>
      <c r="V306" s="65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</row>
    <row r="307" spans="1:33" x14ac:dyDescent="0.2">
      <c r="A307" s="46"/>
      <c r="B307" s="46"/>
      <c r="C307" s="46"/>
      <c r="D307" s="46"/>
      <c r="E307" s="47"/>
      <c r="F307" s="231">
        <f>PL_UK!D142+TB_UK!F306</f>
        <v>-1127091.8574000001</v>
      </c>
      <c r="G307" s="231">
        <f>PL_UK!E142+TB_UK!G306</f>
        <v>-7254229.1179999979</v>
      </c>
      <c r="H307" s="231">
        <f>PL_UK!F142+TB_UK!H306</f>
        <v>-324184010.29690003</v>
      </c>
      <c r="I307" s="231">
        <f>PL_UK!G142+TB_UK!I306</f>
        <v>-12291136.112499995</v>
      </c>
      <c r="J307" s="231">
        <f>PL_UK!H142+TB_UK!J306</f>
        <v>5797725.9893999957</v>
      </c>
      <c r="K307" s="231">
        <f>PL_UK!I142+TB_UK!K306</f>
        <v>-42630672.957299985</v>
      </c>
      <c r="L307" s="231">
        <f>PL_UK!J142+TB_UK!L306</f>
        <v>-88943314.145999983</v>
      </c>
      <c r="M307" s="231">
        <f>PL_UK!K142+TB_UK!M306</f>
        <v>-39136025.917599984</v>
      </c>
      <c r="N307" s="231">
        <f>PL_UK!L142+TB_UK!N306</f>
        <v>-55398717.435699984</v>
      </c>
      <c r="O307" s="231">
        <f>PL_UK!M142+TB_UK!O306</f>
        <v>-48658167.943999998</v>
      </c>
      <c r="P307" s="231">
        <f>PL_UK!N142+TB_UK!P306</f>
        <v>-36153331.411499992</v>
      </c>
      <c r="Q307" s="231">
        <f>PL_UK!O142+TB_UK!Q306</f>
        <v>124704588.47759999</v>
      </c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</row>
    <row r="308" spans="1:33" x14ac:dyDescent="0.2">
      <c r="A308" s="46"/>
      <c r="B308" s="46"/>
      <c r="C308" s="46"/>
      <c r="D308" s="46"/>
      <c r="E308" s="47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</row>
    <row r="309" spans="1:33" x14ac:dyDescent="0.2">
      <c r="A309" s="46"/>
      <c r="B309" s="46"/>
      <c r="C309" s="46"/>
      <c r="D309" s="46"/>
      <c r="E309" s="47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</row>
    <row r="310" spans="1:33" x14ac:dyDescent="0.2">
      <c r="A310" s="46"/>
      <c r="B310" s="46"/>
      <c r="C310" s="46"/>
      <c r="D310" s="46"/>
      <c r="E310" s="47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</row>
    <row r="311" spans="1:33" x14ac:dyDescent="0.2">
      <c r="A311" s="46"/>
      <c r="B311" s="46"/>
      <c r="C311" s="46"/>
      <c r="D311" s="46"/>
      <c r="E311" s="47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</row>
    <row r="312" spans="1:33" x14ac:dyDescent="0.2">
      <c r="A312" s="46"/>
      <c r="B312" s="46"/>
      <c r="C312" s="46"/>
      <c r="D312" s="46"/>
      <c r="E312" s="47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</row>
    <row r="313" spans="1:33" x14ac:dyDescent="0.2">
      <c r="A313" s="46"/>
      <c r="B313" s="46"/>
      <c r="C313" s="46"/>
      <c r="D313" s="46"/>
      <c r="E313" s="47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</row>
    <row r="314" spans="1:33" x14ac:dyDescent="0.2">
      <c r="A314" s="46"/>
      <c r="B314" s="46"/>
      <c r="C314" s="46"/>
      <c r="D314" s="46"/>
      <c r="E314" s="47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</row>
    <row r="315" spans="1:33" x14ac:dyDescent="0.2">
      <c r="A315" s="46"/>
      <c r="B315" s="46"/>
      <c r="C315" s="46"/>
      <c r="D315" s="46"/>
      <c r="E315" s="47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</row>
    <row r="316" spans="1:33" x14ac:dyDescent="0.2">
      <c r="A316" s="46"/>
      <c r="B316" s="46"/>
      <c r="C316" s="46"/>
      <c r="D316" s="46"/>
      <c r="E316" s="47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</row>
    <row r="317" spans="1:33" x14ac:dyDescent="0.2">
      <c r="A317" s="46"/>
      <c r="B317" s="46"/>
      <c r="C317" s="46"/>
      <c r="D317" s="46"/>
      <c r="E317" s="47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</row>
    <row r="318" spans="1:33" x14ac:dyDescent="0.2">
      <c r="A318" s="46"/>
      <c r="B318" s="46"/>
      <c r="C318" s="46"/>
      <c r="D318" s="46"/>
      <c r="E318" s="47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</row>
    <row r="319" spans="1:33" x14ac:dyDescent="0.2">
      <c r="A319" s="46"/>
      <c r="B319" s="46"/>
      <c r="C319" s="46"/>
      <c r="D319" s="46"/>
      <c r="E319" s="47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</row>
    <row r="320" spans="1:33" x14ac:dyDescent="0.2">
      <c r="A320" s="46"/>
      <c r="B320" s="46"/>
      <c r="C320" s="46"/>
      <c r="D320" s="46"/>
      <c r="E320" s="47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</row>
    <row r="321" spans="1:33" x14ac:dyDescent="0.2">
      <c r="A321" s="46"/>
      <c r="B321" s="46"/>
      <c r="C321" s="46"/>
      <c r="D321" s="46"/>
      <c r="E321" s="47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</row>
    <row r="322" spans="1:33" x14ac:dyDescent="0.2">
      <c r="A322" s="46"/>
      <c r="B322" s="46"/>
      <c r="C322" s="46"/>
      <c r="D322" s="46"/>
      <c r="E322" s="47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</row>
    <row r="323" spans="1:33" x14ac:dyDescent="0.2">
      <c r="A323" s="46"/>
      <c r="B323" s="46"/>
      <c r="C323" s="46"/>
      <c r="D323" s="46"/>
      <c r="E323" s="47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</row>
    <row r="324" spans="1:33" x14ac:dyDescent="0.2">
      <c r="A324" s="46"/>
      <c r="B324" s="46"/>
      <c r="C324" s="46"/>
      <c r="D324" s="46"/>
      <c r="E324" s="47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</row>
    <row r="325" spans="1:33" x14ac:dyDescent="0.2">
      <c r="A325" s="46"/>
      <c r="B325" s="46"/>
      <c r="C325" s="46"/>
      <c r="D325" s="46"/>
      <c r="E325" s="47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</row>
    <row r="326" spans="1:33" x14ac:dyDescent="0.2">
      <c r="A326" s="46"/>
      <c r="B326" s="46"/>
      <c r="C326" s="46"/>
      <c r="D326" s="46"/>
      <c r="E326" s="47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</row>
    <row r="327" spans="1:33" x14ac:dyDescent="0.2">
      <c r="A327" s="46"/>
      <c r="B327" s="46"/>
      <c r="C327" s="46"/>
      <c r="D327" s="46"/>
      <c r="E327" s="47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</row>
    <row r="328" spans="1:33" x14ac:dyDescent="0.2">
      <c r="A328" s="46"/>
      <c r="B328" s="46"/>
      <c r="C328" s="46"/>
      <c r="D328" s="46"/>
      <c r="E328" s="47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</row>
    <row r="329" spans="1:33" x14ac:dyDescent="0.2">
      <c r="A329" s="46"/>
      <c r="B329" s="46"/>
      <c r="C329" s="46"/>
      <c r="D329" s="46"/>
      <c r="E329" s="47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</row>
    <row r="330" spans="1:33" x14ac:dyDescent="0.2">
      <c r="A330" s="46"/>
      <c r="B330" s="46"/>
      <c r="C330" s="46"/>
      <c r="D330" s="46"/>
      <c r="E330" s="47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</row>
    <row r="331" spans="1:33" x14ac:dyDescent="0.2">
      <c r="A331" s="46"/>
      <c r="B331" s="46"/>
      <c r="C331" s="46"/>
      <c r="D331" s="46"/>
      <c r="E331" s="47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</row>
    <row r="332" spans="1:33" x14ac:dyDescent="0.2">
      <c r="A332" s="46"/>
      <c r="B332" s="46"/>
      <c r="C332" s="46"/>
      <c r="D332" s="46"/>
      <c r="E332" s="47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</row>
    <row r="333" spans="1:33" x14ac:dyDescent="0.2">
      <c r="A333" s="46"/>
      <c r="B333" s="46"/>
      <c r="C333" s="46"/>
      <c r="D333" s="46"/>
      <c r="E333" s="47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</row>
    <row r="334" spans="1:33" x14ac:dyDescent="0.2">
      <c r="A334" s="46"/>
      <c r="B334" s="46"/>
      <c r="C334" s="46"/>
      <c r="D334" s="46"/>
      <c r="E334" s="47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</row>
    <row r="335" spans="1:33" x14ac:dyDescent="0.2">
      <c r="A335" s="46"/>
      <c r="B335" s="46"/>
      <c r="C335" s="46"/>
      <c r="D335" s="46"/>
      <c r="E335" s="47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</row>
    <row r="336" spans="1:33" x14ac:dyDescent="0.2">
      <c r="A336" s="46"/>
      <c r="B336" s="46"/>
      <c r="C336" s="46"/>
      <c r="D336" s="46"/>
      <c r="E336" s="47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</row>
    <row r="337" spans="1:33" x14ac:dyDescent="0.2">
      <c r="A337" s="46"/>
      <c r="B337" s="46"/>
      <c r="C337" s="46"/>
      <c r="D337" s="46"/>
      <c r="E337" s="47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</row>
    <row r="338" spans="1:33" x14ac:dyDescent="0.2">
      <c r="A338" s="46"/>
      <c r="B338" s="46"/>
      <c r="C338" s="46"/>
      <c r="D338" s="46"/>
      <c r="E338" s="47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</row>
    <row r="339" spans="1:33" x14ac:dyDescent="0.2">
      <c r="A339" s="46"/>
      <c r="B339" s="46"/>
      <c r="C339" s="46"/>
      <c r="D339" s="46"/>
      <c r="E339" s="47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</row>
    <row r="340" spans="1:33" x14ac:dyDescent="0.2">
      <c r="A340" s="46"/>
      <c r="B340" s="46"/>
      <c r="C340" s="46"/>
      <c r="D340" s="46"/>
      <c r="E340" s="47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</row>
    <row r="341" spans="1:33" x14ac:dyDescent="0.2">
      <c r="A341" s="46"/>
      <c r="B341" s="46"/>
      <c r="C341" s="46"/>
      <c r="D341" s="46"/>
      <c r="E341" s="47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</row>
    <row r="342" spans="1:33" x14ac:dyDescent="0.2">
      <c r="A342" s="46"/>
      <c r="B342" s="46"/>
      <c r="C342" s="46"/>
      <c r="D342" s="46"/>
      <c r="E342" s="47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</row>
    <row r="343" spans="1:33" x14ac:dyDescent="0.2">
      <c r="A343" s="46"/>
      <c r="B343" s="46"/>
      <c r="C343" s="46"/>
      <c r="D343" s="46"/>
      <c r="E343" s="47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</row>
    <row r="344" spans="1:33" x14ac:dyDescent="0.2">
      <c r="A344" s="46"/>
      <c r="B344" s="46"/>
      <c r="C344" s="46"/>
      <c r="D344" s="46"/>
      <c r="E344" s="47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</row>
    <row r="345" spans="1:33" x14ac:dyDescent="0.2">
      <c r="A345" s="46"/>
      <c r="B345" s="46"/>
      <c r="C345" s="46"/>
      <c r="D345" s="46"/>
      <c r="E345" s="47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</row>
    <row r="346" spans="1:33" x14ac:dyDescent="0.2">
      <c r="A346" s="46"/>
      <c r="B346" s="46"/>
      <c r="C346" s="46"/>
      <c r="D346" s="46"/>
      <c r="E346" s="47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</row>
    <row r="347" spans="1:33" x14ac:dyDescent="0.2">
      <c r="A347" s="46"/>
      <c r="B347" s="46"/>
      <c r="C347" s="46"/>
      <c r="D347" s="46"/>
      <c r="E347" s="47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</row>
    <row r="348" spans="1:33" x14ac:dyDescent="0.2">
      <c r="A348" s="46"/>
      <c r="B348" s="46"/>
      <c r="C348" s="46"/>
      <c r="D348" s="46"/>
      <c r="E348" s="47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</row>
    <row r="349" spans="1:33" x14ac:dyDescent="0.2">
      <c r="A349" s="46"/>
      <c r="B349" s="46"/>
      <c r="C349" s="46"/>
      <c r="D349" s="46"/>
      <c r="E349" s="47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</row>
    <row r="350" spans="1:33" x14ac:dyDescent="0.2">
      <c r="A350" s="46"/>
      <c r="B350" s="46"/>
      <c r="C350" s="46"/>
      <c r="D350" s="46"/>
      <c r="E350" s="47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</row>
    <row r="351" spans="1:33" x14ac:dyDescent="0.2">
      <c r="A351" s="46"/>
      <c r="B351" s="46"/>
      <c r="C351" s="46"/>
      <c r="D351" s="46"/>
      <c r="E351" s="47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</row>
    <row r="352" spans="1:33" x14ac:dyDescent="0.2">
      <c r="A352" s="46"/>
      <c r="B352" s="46"/>
      <c r="C352" s="46"/>
      <c r="D352" s="46"/>
      <c r="E352" s="47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</row>
    <row r="353" spans="1:33" x14ac:dyDescent="0.2">
      <c r="A353" s="46"/>
      <c r="B353" s="46"/>
      <c r="C353" s="46"/>
      <c r="D353" s="46"/>
      <c r="E353" s="47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</row>
    <row r="354" spans="1:33" x14ac:dyDescent="0.2">
      <c r="A354" s="46"/>
      <c r="B354" s="46"/>
      <c r="C354" s="46"/>
      <c r="D354" s="46"/>
      <c r="E354" s="47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</row>
    <row r="355" spans="1:33" x14ac:dyDescent="0.2">
      <c r="A355" s="46"/>
      <c r="B355" s="46"/>
      <c r="C355" s="46"/>
      <c r="D355" s="46"/>
      <c r="E355" s="47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</row>
    <row r="356" spans="1:33" x14ac:dyDescent="0.2">
      <c r="A356" s="46"/>
      <c r="B356" s="46"/>
      <c r="C356" s="46"/>
      <c r="D356" s="46"/>
      <c r="E356" s="47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</row>
    <row r="357" spans="1:33" x14ac:dyDescent="0.2">
      <c r="A357" s="46"/>
      <c r="B357" s="46"/>
      <c r="C357" s="46"/>
      <c r="D357" s="46"/>
      <c r="E357" s="47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</row>
    <row r="358" spans="1:33" x14ac:dyDescent="0.2">
      <c r="A358" s="46"/>
      <c r="B358" s="46"/>
      <c r="C358" s="46"/>
      <c r="D358" s="46"/>
      <c r="E358" s="47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</row>
    <row r="359" spans="1:33" x14ac:dyDescent="0.2">
      <c r="A359" s="46"/>
      <c r="B359" s="46"/>
      <c r="C359" s="46"/>
      <c r="D359" s="46"/>
      <c r="E359" s="47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</row>
    <row r="360" spans="1:33" x14ac:dyDescent="0.2">
      <c r="A360" s="46"/>
      <c r="B360" s="46"/>
      <c r="C360" s="46"/>
      <c r="D360" s="46"/>
      <c r="E360" s="47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</row>
    <row r="361" spans="1:33" x14ac:dyDescent="0.2">
      <c r="A361" s="46"/>
      <c r="B361" s="46"/>
      <c r="C361" s="46"/>
      <c r="D361" s="46"/>
      <c r="E361" s="47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</row>
    <row r="362" spans="1:33" x14ac:dyDescent="0.2">
      <c r="A362" s="46"/>
      <c r="B362" s="46"/>
      <c r="C362" s="46"/>
      <c r="D362" s="46"/>
      <c r="E362" s="47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</row>
    <row r="363" spans="1:33" x14ac:dyDescent="0.2">
      <c r="A363" s="46"/>
      <c r="B363" s="46"/>
      <c r="C363" s="46"/>
      <c r="D363" s="46"/>
      <c r="E363" s="47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</row>
    <row r="364" spans="1:33" x14ac:dyDescent="0.2">
      <c r="A364" s="46"/>
      <c r="B364" s="46"/>
      <c r="C364" s="46"/>
      <c r="D364" s="46"/>
      <c r="E364" s="47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</row>
    <row r="365" spans="1:33" x14ac:dyDescent="0.2">
      <c r="A365" s="46"/>
      <c r="B365" s="46"/>
      <c r="C365" s="46"/>
      <c r="D365" s="46"/>
      <c r="E365" s="47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</row>
    <row r="366" spans="1:33" x14ac:dyDescent="0.2">
      <c r="A366" s="46"/>
      <c r="B366" s="46"/>
      <c r="C366" s="46"/>
      <c r="D366" s="46"/>
      <c r="E366" s="47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</row>
    <row r="367" spans="1:33" x14ac:dyDescent="0.2">
      <c r="A367" s="46"/>
      <c r="B367" s="46"/>
      <c r="C367" s="46"/>
      <c r="D367" s="46"/>
      <c r="E367" s="47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</row>
    <row r="368" spans="1:33" x14ac:dyDescent="0.2">
      <c r="A368" s="46"/>
      <c r="B368" s="46"/>
      <c r="C368" s="46"/>
      <c r="D368" s="46"/>
      <c r="E368" s="47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</row>
    <row r="369" spans="1:33" x14ac:dyDescent="0.2">
      <c r="A369" s="46"/>
      <c r="B369" s="46"/>
      <c r="C369" s="46"/>
      <c r="D369" s="46"/>
      <c r="E369" s="47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</row>
    <row r="370" spans="1:33" x14ac:dyDescent="0.2">
      <c r="A370" s="46"/>
      <c r="B370" s="46"/>
      <c r="C370" s="46"/>
      <c r="D370" s="46"/>
      <c r="E370" s="47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</row>
    <row r="371" spans="1:33" x14ac:dyDescent="0.2">
      <c r="A371" s="46"/>
      <c r="B371" s="46"/>
      <c r="C371" s="46"/>
      <c r="D371" s="46"/>
      <c r="E371" s="47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</row>
    <row r="372" spans="1:33" x14ac:dyDescent="0.2">
      <c r="A372" s="46"/>
      <c r="B372" s="46"/>
      <c r="C372" s="46"/>
      <c r="D372" s="46"/>
      <c r="E372" s="47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</row>
    <row r="373" spans="1:33" x14ac:dyDescent="0.2">
      <c r="A373" s="46"/>
      <c r="B373" s="46"/>
      <c r="C373" s="46"/>
      <c r="D373" s="46"/>
      <c r="E373" s="47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</row>
    <row r="374" spans="1:33" x14ac:dyDescent="0.2">
      <c r="A374" s="46"/>
      <c r="B374" s="46"/>
      <c r="C374" s="46"/>
      <c r="D374" s="46"/>
      <c r="E374" s="47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</row>
    <row r="375" spans="1:33" x14ac:dyDescent="0.2">
      <c r="A375" s="46"/>
      <c r="B375" s="46"/>
      <c r="C375" s="46"/>
      <c r="D375" s="46"/>
      <c r="E375" s="47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</row>
    <row r="376" spans="1:33" x14ac:dyDescent="0.2">
      <c r="A376" s="46"/>
      <c r="B376" s="46"/>
      <c r="C376" s="46"/>
      <c r="D376" s="46"/>
      <c r="E376" s="47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</row>
    <row r="377" spans="1:33" x14ac:dyDescent="0.2">
      <c r="A377" s="46"/>
      <c r="B377" s="46"/>
      <c r="C377" s="46"/>
      <c r="D377" s="46"/>
      <c r="E377" s="47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</row>
    <row r="378" spans="1:33" x14ac:dyDescent="0.2">
      <c r="A378" s="46"/>
      <c r="B378" s="46"/>
      <c r="C378" s="46"/>
      <c r="D378" s="46"/>
      <c r="E378" s="47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</row>
    <row r="379" spans="1:33" x14ac:dyDescent="0.2">
      <c r="A379" s="46"/>
      <c r="B379" s="46"/>
      <c r="C379" s="46"/>
      <c r="D379" s="46"/>
      <c r="E379" s="47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</row>
    <row r="380" spans="1:33" x14ac:dyDescent="0.2">
      <c r="A380" s="46"/>
      <c r="B380" s="46"/>
      <c r="C380" s="46"/>
      <c r="D380" s="46"/>
      <c r="E380" s="47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</row>
    <row r="381" spans="1:33" x14ac:dyDescent="0.2">
      <c r="A381" s="46"/>
      <c r="B381" s="46"/>
      <c r="C381" s="46"/>
      <c r="D381" s="46"/>
      <c r="E381" s="47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</row>
    <row r="382" spans="1:33" x14ac:dyDescent="0.2">
      <c r="A382" s="46"/>
      <c r="B382" s="46"/>
      <c r="C382" s="46"/>
      <c r="D382" s="46"/>
      <c r="E382" s="47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</row>
    <row r="383" spans="1:33" x14ac:dyDescent="0.2">
      <c r="A383" s="46"/>
      <c r="B383" s="46"/>
      <c r="C383" s="46"/>
      <c r="D383" s="46"/>
      <c r="E383" s="47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</row>
    <row r="384" spans="1:33" x14ac:dyDescent="0.2">
      <c r="A384" s="46"/>
      <c r="B384" s="46"/>
      <c r="C384" s="46"/>
      <c r="D384" s="46"/>
      <c r="E384" s="47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</row>
    <row r="385" spans="1:33" x14ac:dyDescent="0.2">
      <c r="A385" s="46"/>
      <c r="B385" s="46"/>
      <c r="C385" s="46"/>
      <c r="D385" s="46"/>
      <c r="E385" s="47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</row>
    <row r="386" spans="1:33" x14ac:dyDescent="0.2">
      <c r="A386" s="46"/>
      <c r="B386" s="46"/>
      <c r="C386" s="46"/>
      <c r="D386" s="46"/>
      <c r="E386" s="47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</row>
    <row r="387" spans="1:33" x14ac:dyDescent="0.2">
      <c r="A387" s="46"/>
      <c r="B387" s="46"/>
      <c r="C387" s="46"/>
      <c r="D387" s="46"/>
      <c r="E387" s="47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</row>
    <row r="388" spans="1:33" x14ac:dyDescent="0.2">
      <c r="A388" s="46"/>
      <c r="B388" s="46"/>
      <c r="C388" s="46"/>
      <c r="D388" s="46"/>
      <c r="E388" s="47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</row>
    <row r="389" spans="1:33" x14ac:dyDescent="0.2">
      <c r="A389" s="46"/>
      <c r="B389" s="46"/>
      <c r="C389" s="46"/>
      <c r="D389" s="46"/>
      <c r="E389" s="47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</row>
    <row r="390" spans="1:33" x14ac:dyDescent="0.2">
      <c r="A390" s="46"/>
      <c r="B390" s="46"/>
      <c r="C390" s="46"/>
      <c r="D390" s="46"/>
      <c r="E390" s="47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</row>
    <row r="391" spans="1:33" x14ac:dyDescent="0.2">
      <c r="A391" s="46"/>
      <c r="B391" s="46"/>
      <c r="C391" s="46"/>
      <c r="D391" s="46"/>
      <c r="E391" s="47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</row>
    <row r="392" spans="1:33" x14ac:dyDescent="0.2">
      <c r="A392" s="46"/>
      <c r="B392" s="46"/>
      <c r="C392" s="46"/>
      <c r="D392" s="46"/>
      <c r="E392" s="47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</row>
    <row r="393" spans="1:33" x14ac:dyDescent="0.2">
      <c r="A393" s="46"/>
      <c r="B393" s="46"/>
      <c r="C393" s="46"/>
      <c r="D393" s="46"/>
      <c r="E393" s="47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</row>
    <row r="394" spans="1:33" x14ac:dyDescent="0.2">
      <c r="A394" s="46"/>
      <c r="B394" s="46"/>
      <c r="C394" s="46"/>
      <c r="D394" s="46"/>
      <c r="E394" s="47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</row>
    <row r="395" spans="1:33" x14ac:dyDescent="0.2">
      <c r="A395" s="46"/>
      <c r="B395" s="46"/>
      <c r="C395" s="46"/>
      <c r="D395" s="46"/>
      <c r="E395" s="47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</row>
    <row r="396" spans="1:33" x14ac:dyDescent="0.2">
      <c r="A396" s="46"/>
      <c r="B396" s="46"/>
      <c r="C396" s="46"/>
      <c r="D396" s="46"/>
      <c r="E396" s="47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</row>
    <row r="397" spans="1:33" x14ac:dyDescent="0.2">
      <c r="A397" s="46"/>
      <c r="B397" s="46"/>
      <c r="C397" s="46"/>
      <c r="D397" s="46"/>
      <c r="E397" s="47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</row>
    <row r="398" spans="1:33" x14ac:dyDescent="0.2">
      <c r="A398" s="46"/>
      <c r="B398" s="46"/>
      <c r="C398" s="46"/>
      <c r="D398" s="46"/>
      <c r="E398" s="47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</row>
    <row r="399" spans="1:33" x14ac:dyDescent="0.2">
      <c r="A399" s="46"/>
      <c r="B399" s="46"/>
      <c r="C399" s="46"/>
      <c r="D399" s="46"/>
      <c r="E399" s="47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</row>
    <row r="400" spans="1:33" x14ac:dyDescent="0.2">
      <c r="A400" s="46"/>
      <c r="B400" s="46"/>
      <c r="C400" s="46"/>
      <c r="D400" s="46"/>
      <c r="E400" s="47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</row>
    <row r="401" spans="1:33" x14ac:dyDescent="0.2">
      <c r="A401" s="46"/>
      <c r="B401" s="46"/>
      <c r="C401" s="46"/>
      <c r="D401" s="46"/>
      <c r="E401" s="47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</row>
    <row r="402" spans="1:33" x14ac:dyDescent="0.2">
      <c r="A402" s="46"/>
      <c r="B402" s="46"/>
      <c r="C402" s="46"/>
      <c r="D402" s="46"/>
      <c r="E402" s="47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</row>
    <row r="403" spans="1:33" x14ac:dyDescent="0.2">
      <c r="A403" s="46"/>
      <c r="B403" s="46"/>
      <c r="C403" s="46"/>
      <c r="D403" s="46"/>
      <c r="E403" s="47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</row>
    <row r="404" spans="1:33" x14ac:dyDescent="0.2">
      <c r="A404" s="46"/>
      <c r="B404" s="46"/>
      <c r="C404" s="46"/>
      <c r="D404" s="46"/>
      <c r="E404" s="47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</row>
    <row r="405" spans="1:33" x14ac:dyDescent="0.2">
      <c r="A405" s="46"/>
      <c r="B405" s="46"/>
      <c r="C405" s="46"/>
      <c r="D405" s="46"/>
      <c r="E405" s="47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</row>
    <row r="406" spans="1:33" x14ac:dyDescent="0.2">
      <c r="A406" s="46"/>
      <c r="B406" s="46"/>
      <c r="C406" s="46"/>
      <c r="D406" s="46"/>
      <c r="E406" s="47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</row>
    <row r="407" spans="1:33" x14ac:dyDescent="0.2">
      <c r="A407" s="46"/>
      <c r="B407" s="46"/>
      <c r="C407" s="46"/>
      <c r="D407" s="46"/>
      <c r="E407" s="47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</row>
    <row r="408" spans="1:33" x14ac:dyDescent="0.2">
      <c r="A408" s="46"/>
      <c r="B408" s="46"/>
      <c r="C408" s="46"/>
      <c r="D408" s="46"/>
      <c r="E408" s="47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</row>
    <row r="409" spans="1:33" x14ac:dyDescent="0.2">
      <c r="A409" s="46"/>
      <c r="B409" s="46"/>
      <c r="C409" s="46"/>
      <c r="D409" s="46"/>
      <c r="E409" s="47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</row>
    <row r="410" spans="1:33" x14ac:dyDescent="0.2">
      <c r="A410" s="46"/>
      <c r="B410" s="46"/>
      <c r="C410" s="46"/>
      <c r="D410" s="46"/>
      <c r="E410" s="47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</row>
    <row r="411" spans="1:33" x14ac:dyDescent="0.2">
      <c r="A411" s="46"/>
      <c r="B411" s="46"/>
      <c r="C411" s="46"/>
      <c r="D411" s="46"/>
      <c r="E411" s="47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</row>
    <row r="412" spans="1:33" x14ac:dyDescent="0.2">
      <c r="A412" s="46"/>
      <c r="B412" s="46"/>
      <c r="C412" s="46"/>
      <c r="D412" s="46"/>
      <c r="E412" s="47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</row>
    <row r="413" spans="1:33" x14ac:dyDescent="0.2">
      <c r="A413" s="46"/>
      <c r="B413" s="46"/>
      <c r="C413" s="46"/>
      <c r="D413" s="46"/>
      <c r="E413" s="47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</row>
    <row r="414" spans="1:33" x14ac:dyDescent="0.2">
      <c r="A414" s="46"/>
      <c r="B414" s="46"/>
      <c r="C414" s="46"/>
      <c r="D414" s="46"/>
      <c r="E414" s="47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</row>
    <row r="415" spans="1:33" x14ac:dyDescent="0.2">
      <c r="A415" s="46"/>
      <c r="B415" s="46"/>
      <c r="C415" s="46"/>
      <c r="D415" s="46"/>
      <c r="E415" s="47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</row>
    <row r="416" spans="1:33" x14ac:dyDescent="0.2">
      <c r="A416" s="46"/>
      <c r="B416" s="46"/>
      <c r="C416" s="46"/>
      <c r="D416" s="46"/>
      <c r="E416" s="47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</row>
    <row r="417" spans="1:33" x14ac:dyDescent="0.2">
      <c r="A417" s="46"/>
      <c r="B417" s="46"/>
      <c r="C417" s="46"/>
      <c r="D417" s="46"/>
      <c r="E417" s="47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</row>
    <row r="418" spans="1:33" x14ac:dyDescent="0.2">
      <c r="A418" s="46"/>
      <c r="B418" s="46"/>
      <c r="C418" s="46"/>
      <c r="D418" s="46"/>
      <c r="E418" s="47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</row>
    <row r="419" spans="1:33" x14ac:dyDescent="0.2">
      <c r="A419" s="46"/>
      <c r="B419" s="46"/>
      <c r="C419" s="46"/>
      <c r="D419" s="46"/>
      <c r="E419" s="47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</row>
    <row r="420" spans="1:33" x14ac:dyDescent="0.2">
      <c r="A420" s="46"/>
      <c r="B420" s="46"/>
      <c r="C420" s="46"/>
      <c r="D420" s="46"/>
      <c r="E420" s="47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</row>
    <row r="421" spans="1:33" x14ac:dyDescent="0.2">
      <c r="A421" s="46"/>
      <c r="B421" s="46"/>
      <c r="C421" s="46"/>
      <c r="D421" s="46"/>
      <c r="E421" s="47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</row>
    <row r="422" spans="1:33" x14ac:dyDescent="0.2">
      <c r="A422" s="46"/>
      <c r="B422" s="46"/>
      <c r="C422" s="46"/>
      <c r="D422" s="46"/>
      <c r="E422" s="47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</row>
    <row r="423" spans="1:33" x14ac:dyDescent="0.2">
      <c r="A423" s="46"/>
      <c r="B423" s="46"/>
      <c r="C423" s="46"/>
      <c r="D423" s="46"/>
      <c r="E423" s="47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</row>
    <row r="424" spans="1:33" x14ac:dyDescent="0.2">
      <c r="A424" s="46"/>
      <c r="B424" s="46"/>
      <c r="C424" s="46"/>
      <c r="D424" s="46"/>
      <c r="E424" s="47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</row>
    <row r="425" spans="1:33" x14ac:dyDescent="0.2">
      <c r="A425" s="46"/>
      <c r="B425" s="46"/>
      <c r="C425" s="46"/>
      <c r="D425" s="46"/>
      <c r="E425" s="47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</row>
    <row r="426" spans="1:33" x14ac:dyDescent="0.2">
      <c r="A426" s="46"/>
      <c r="B426" s="46"/>
      <c r="C426" s="46"/>
      <c r="D426" s="46"/>
      <c r="E426" s="47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</row>
    <row r="427" spans="1:33" x14ac:dyDescent="0.2">
      <c r="A427" s="46"/>
      <c r="B427" s="46"/>
      <c r="C427" s="46"/>
      <c r="D427" s="46"/>
      <c r="E427" s="47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</row>
    <row r="428" spans="1:33" x14ac:dyDescent="0.2">
      <c r="A428" s="46"/>
      <c r="B428" s="46"/>
      <c r="C428" s="46"/>
      <c r="D428" s="46"/>
      <c r="E428" s="47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</row>
    <row r="429" spans="1:33" x14ac:dyDescent="0.2">
      <c r="A429" s="46"/>
      <c r="B429" s="46"/>
      <c r="C429" s="46"/>
      <c r="D429" s="46"/>
      <c r="E429" s="47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</row>
    <row r="430" spans="1:33" x14ac:dyDescent="0.2">
      <c r="A430" s="46"/>
      <c r="B430" s="46"/>
      <c r="C430" s="46"/>
      <c r="D430" s="46"/>
      <c r="E430" s="47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</row>
    <row r="431" spans="1:33" x14ac:dyDescent="0.2">
      <c r="A431" s="46"/>
      <c r="B431" s="46"/>
      <c r="C431" s="46"/>
      <c r="D431" s="46"/>
      <c r="E431" s="47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</row>
    <row r="432" spans="1:33" x14ac:dyDescent="0.2">
      <c r="A432" s="46"/>
      <c r="B432" s="46"/>
      <c r="C432" s="46"/>
      <c r="D432" s="46"/>
      <c r="E432" s="47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</row>
    <row r="433" spans="1:33" x14ac:dyDescent="0.2">
      <c r="A433" s="46"/>
      <c r="B433" s="46"/>
      <c r="C433" s="46"/>
      <c r="D433" s="46"/>
      <c r="E433" s="47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</row>
    <row r="434" spans="1:33" x14ac:dyDescent="0.2">
      <c r="A434" s="46"/>
      <c r="B434" s="46"/>
      <c r="C434" s="46"/>
      <c r="D434" s="46"/>
      <c r="E434" s="47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</row>
    <row r="435" spans="1:33" x14ac:dyDescent="0.2">
      <c r="A435" s="46"/>
      <c r="B435" s="46"/>
      <c r="C435" s="46"/>
      <c r="D435" s="46"/>
      <c r="E435" s="47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</row>
    <row r="436" spans="1:33" x14ac:dyDescent="0.2">
      <c r="A436" s="46"/>
      <c r="B436" s="46"/>
      <c r="C436" s="46"/>
      <c r="D436" s="46"/>
      <c r="E436" s="47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</row>
    <row r="437" spans="1:33" x14ac:dyDescent="0.2">
      <c r="A437" s="46"/>
      <c r="B437" s="46"/>
      <c r="C437" s="46"/>
      <c r="D437" s="46"/>
      <c r="E437" s="47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</row>
    <row r="438" spans="1:33" x14ac:dyDescent="0.2">
      <c r="A438" s="46"/>
      <c r="B438" s="46"/>
      <c r="C438" s="46"/>
      <c r="D438" s="46"/>
      <c r="E438" s="47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</row>
    <row r="439" spans="1:33" x14ac:dyDescent="0.2">
      <c r="A439" s="46"/>
      <c r="B439" s="46"/>
      <c r="C439" s="46"/>
      <c r="D439" s="46"/>
      <c r="E439" s="47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</row>
    <row r="440" spans="1:33" x14ac:dyDescent="0.2">
      <c r="A440" s="46"/>
      <c r="B440" s="46"/>
      <c r="C440" s="46"/>
      <c r="D440" s="46"/>
      <c r="E440" s="47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</row>
    <row r="441" spans="1:33" x14ac:dyDescent="0.2">
      <c r="A441" s="46"/>
      <c r="B441" s="46"/>
      <c r="C441" s="46"/>
      <c r="D441" s="46"/>
      <c r="E441" s="47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</row>
    <row r="442" spans="1:33" x14ac:dyDescent="0.2">
      <c r="A442" s="46"/>
      <c r="B442" s="46"/>
      <c r="C442" s="46"/>
      <c r="D442" s="46"/>
      <c r="E442" s="47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</row>
    <row r="443" spans="1:33" x14ac:dyDescent="0.2">
      <c r="A443" s="46"/>
      <c r="B443" s="46"/>
      <c r="C443" s="46"/>
      <c r="D443" s="46"/>
      <c r="E443" s="47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</row>
    <row r="444" spans="1:33" x14ac:dyDescent="0.2">
      <c r="A444" s="46"/>
      <c r="B444" s="46"/>
      <c r="C444" s="46"/>
      <c r="D444" s="46"/>
      <c r="E444" s="47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</row>
    <row r="445" spans="1:33" x14ac:dyDescent="0.2">
      <c r="A445" s="46"/>
      <c r="B445" s="46"/>
      <c r="C445" s="46"/>
      <c r="D445" s="46"/>
      <c r="E445" s="47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</row>
    <row r="446" spans="1:33" x14ac:dyDescent="0.2">
      <c r="A446" s="46"/>
      <c r="B446" s="46"/>
      <c r="C446" s="46"/>
      <c r="D446" s="46"/>
      <c r="E446" s="47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</row>
    <row r="447" spans="1:33" x14ac:dyDescent="0.2">
      <c r="A447" s="46"/>
      <c r="B447" s="46"/>
      <c r="C447" s="46"/>
      <c r="D447" s="46"/>
      <c r="E447" s="47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</row>
    <row r="448" spans="1:33" x14ac:dyDescent="0.2">
      <c r="A448" s="46"/>
      <c r="B448" s="46"/>
      <c r="C448" s="46"/>
      <c r="D448" s="46"/>
      <c r="E448" s="47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</row>
    <row r="449" spans="1:33" x14ac:dyDescent="0.2">
      <c r="A449" s="46"/>
      <c r="B449" s="46"/>
      <c r="C449" s="46"/>
      <c r="D449" s="46"/>
      <c r="E449" s="47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</row>
    <row r="450" spans="1:33" x14ac:dyDescent="0.2">
      <c r="A450" s="46"/>
      <c r="B450" s="46"/>
      <c r="C450" s="46"/>
      <c r="D450" s="46"/>
      <c r="E450" s="47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</row>
    <row r="451" spans="1:33" x14ac:dyDescent="0.2">
      <c r="A451" s="46"/>
      <c r="B451" s="46"/>
      <c r="C451" s="46"/>
      <c r="D451" s="46"/>
      <c r="E451" s="47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</row>
    <row r="452" spans="1:33" x14ac:dyDescent="0.2">
      <c r="A452" s="46"/>
      <c r="B452" s="46"/>
      <c r="C452" s="46"/>
      <c r="D452" s="46"/>
      <c r="E452" s="47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</row>
    <row r="453" spans="1:33" x14ac:dyDescent="0.2">
      <c r="A453" s="46"/>
      <c r="B453" s="46"/>
      <c r="C453" s="46"/>
      <c r="D453" s="46"/>
      <c r="E453" s="47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</row>
    <row r="454" spans="1:33" x14ac:dyDescent="0.2">
      <c r="A454" s="46"/>
      <c r="B454" s="46"/>
      <c r="C454" s="46"/>
      <c r="D454" s="46"/>
      <c r="E454" s="47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</row>
    <row r="455" spans="1:33" x14ac:dyDescent="0.2">
      <c r="A455" s="46"/>
      <c r="B455" s="46"/>
      <c r="C455" s="46"/>
      <c r="D455" s="46"/>
      <c r="E455" s="47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</row>
    <row r="456" spans="1:33" x14ac:dyDescent="0.2">
      <c r="A456" s="46"/>
      <c r="B456" s="46"/>
      <c r="C456" s="46"/>
      <c r="D456" s="46"/>
      <c r="E456" s="47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</row>
    <row r="457" spans="1:33" x14ac:dyDescent="0.2">
      <c r="A457" s="46"/>
      <c r="B457" s="46"/>
      <c r="C457" s="46"/>
      <c r="D457" s="46"/>
      <c r="E457" s="47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</row>
    <row r="458" spans="1:33" x14ac:dyDescent="0.2">
      <c r="A458" s="46"/>
      <c r="B458" s="46"/>
      <c r="C458" s="46"/>
      <c r="D458" s="46"/>
      <c r="E458" s="47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</row>
    <row r="459" spans="1:33" x14ac:dyDescent="0.2">
      <c r="A459" s="46"/>
      <c r="B459" s="46"/>
      <c r="C459" s="46"/>
      <c r="D459" s="46"/>
      <c r="E459" s="47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</row>
    <row r="460" spans="1:33" x14ac:dyDescent="0.2">
      <c r="A460" s="46"/>
      <c r="B460" s="46"/>
      <c r="C460" s="46"/>
      <c r="D460" s="46"/>
      <c r="E460" s="47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</row>
    <row r="461" spans="1:33" x14ac:dyDescent="0.2">
      <c r="A461" s="46"/>
      <c r="B461" s="46"/>
      <c r="C461" s="46"/>
      <c r="D461" s="46"/>
      <c r="E461" s="47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</row>
    <row r="462" spans="1:33" x14ac:dyDescent="0.2">
      <c r="A462" s="46"/>
      <c r="B462" s="46"/>
      <c r="C462" s="46"/>
      <c r="D462" s="46"/>
      <c r="E462" s="47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</row>
    <row r="463" spans="1:33" x14ac:dyDescent="0.2">
      <c r="A463" s="46"/>
      <c r="B463" s="46"/>
      <c r="C463" s="46"/>
      <c r="D463" s="46"/>
      <c r="E463" s="47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</row>
    <row r="464" spans="1:33" x14ac:dyDescent="0.2">
      <c r="A464" s="46"/>
      <c r="B464" s="46"/>
      <c r="C464" s="46"/>
      <c r="D464" s="46"/>
      <c r="E464" s="47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</row>
    <row r="465" spans="1:33" x14ac:dyDescent="0.2">
      <c r="A465" s="46"/>
      <c r="B465" s="46"/>
      <c r="C465" s="46"/>
      <c r="D465" s="46"/>
      <c r="E465" s="47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</row>
    <row r="466" spans="1:33" x14ac:dyDescent="0.2">
      <c r="A466" s="46"/>
      <c r="B466" s="46"/>
      <c r="C466" s="46"/>
      <c r="D466" s="46"/>
      <c r="E466" s="47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</row>
    <row r="467" spans="1:33" x14ac:dyDescent="0.2">
      <c r="A467" s="46"/>
      <c r="B467" s="46"/>
      <c r="C467" s="46"/>
      <c r="D467" s="46"/>
      <c r="E467" s="47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</row>
    <row r="468" spans="1:33" x14ac:dyDescent="0.2">
      <c r="A468" s="46"/>
      <c r="B468" s="46"/>
      <c r="C468" s="46"/>
      <c r="D468" s="46"/>
      <c r="E468" s="47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</row>
    <row r="469" spans="1:33" x14ac:dyDescent="0.2">
      <c r="A469" s="46"/>
      <c r="B469" s="46"/>
      <c r="C469" s="46"/>
      <c r="D469" s="46"/>
      <c r="E469" s="47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</row>
    <row r="470" spans="1:33" x14ac:dyDescent="0.2">
      <c r="A470" s="46"/>
      <c r="B470" s="46"/>
      <c r="C470" s="46"/>
      <c r="D470" s="46"/>
      <c r="E470" s="47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</row>
    <row r="471" spans="1:33" x14ac:dyDescent="0.2">
      <c r="A471" s="46"/>
      <c r="B471" s="46"/>
      <c r="C471" s="46"/>
      <c r="D471" s="46"/>
      <c r="E471" s="47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</row>
    <row r="472" spans="1:33" x14ac:dyDescent="0.2">
      <c r="A472" s="46"/>
      <c r="B472" s="46"/>
      <c r="C472" s="46"/>
      <c r="D472" s="46"/>
      <c r="E472" s="47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</row>
    <row r="473" spans="1:33" x14ac:dyDescent="0.2">
      <c r="A473" s="46"/>
      <c r="B473" s="46"/>
      <c r="C473" s="46"/>
      <c r="D473" s="46"/>
      <c r="E473" s="47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</row>
    <row r="474" spans="1:33" x14ac:dyDescent="0.2">
      <c r="A474" s="46"/>
      <c r="B474" s="46"/>
      <c r="C474" s="46"/>
      <c r="D474" s="46"/>
      <c r="E474" s="47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</row>
    <row r="475" spans="1:33" x14ac:dyDescent="0.2">
      <c r="A475" s="46"/>
      <c r="B475" s="46"/>
      <c r="C475" s="46"/>
      <c r="D475" s="46"/>
      <c r="E475" s="47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</row>
    <row r="476" spans="1:33" x14ac:dyDescent="0.2">
      <c r="A476" s="46"/>
      <c r="B476" s="46"/>
      <c r="C476" s="46"/>
      <c r="D476" s="46"/>
      <c r="E476" s="47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</row>
    <row r="477" spans="1:33" x14ac:dyDescent="0.2">
      <c r="A477" s="46"/>
      <c r="B477" s="46"/>
      <c r="C477" s="46"/>
      <c r="D477" s="46"/>
      <c r="E477" s="47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</row>
    <row r="478" spans="1:33" x14ac:dyDescent="0.2">
      <c r="A478" s="46"/>
      <c r="B478" s="46"/>
      <c r="C478" s="46"/>
      <c r="D478" s="46"/>
      <c r="E478" s="47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</row>
    <row r="479" spans="1:33" x14ac:dyDescent="0.2">
      <c r="A479" s="46"/>
      <c r="B479" s="46"/>
      <c r="C479" s="46"/>
      <c r="D479" s="46"/>
      <c r="E479" s="47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</row>
    <row r="480" spans="1:33" x14ac:dyDescent="0.2">
      <c r="A480" s="46"/>
      <c r="B480" s="46"/>
      <c r="C480" s="46"/>
      <c r="D480" s="46"/>
      <c r="E480" s="47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</row>
    <row r="481" spans="1:33" x14ac:dyDescent="0.2">
      <c r="A481" s="46"/>
      <c r="B481" s="46"/>
      <c r="C481" s="46"/>
      <c r="D481" s="46"/>
      <c r="E481" s="47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</row>
    <row r="482" spans="1:33" x14ac:dyDescent="0.2">
      <c r="A482" s="46"/>
      <c r="B482" s="46"/>
      <c r="C482" s="46"/>
      <c r="D482" s="46"/>
      <c r="E482" s="47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</row>
    <row r="483" spans="1:33" x14ac:dyDescent="0.2">
      <c r="A483" s="46"/>
      <c r="B483" s="46"/>
      <c r="C483" s="46"/>
      <c r="D483" s="46"/>
      <c r="E483" s="47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</row>
    <row r="484" spans="1:33" x14ac:dyDescent="0.2">
      <c r="A484" s="46"/>
      <c r="B484" s="46"/>
      <c r="C484" s="46"/>
      <c r="D484" s="46"/>
      <c r="E484" s="47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</row>
    <row r="485" spans="1:33" x14ac:dyDescent="0.2">
      <c r="A485" s="46"/>
      <c r="B485" s="46"/>
      <c r="C485" s="46"/>
      <c r="D485" s="46"/>
      <c r="E485" s="47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</row>
    <row r="486" spans="1:33" x14ac:dyDescent="0.2">
      <c r="A486" s="46"/>
      <c r="B486" s="46"/>
      <c r="C486" s="46"/>
      <c r="D486" s="46"/>
      <c r="E486" s="47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</row>
    <row r="487" spans="1:33" x14ac:dyDescent="0.2">
      <c r="A487" s="46"/>
      <c r="B487" s="46"/>
      <c r="C487" s="46"/>
      <c r="D487" s="46"/>
      <c r="E487" s="47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</row>
    <row r="488" spans="1:33" x14ac:dyDescent="0.2">
      <c r="A488" s="46"/>
      <c r="B488" s="46"/>
      <c r="C488" s="46"/>
      <c r="D488" s="46"/>
      <c r="E488" s="47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</row>
    <row r="489" spans="1:33" x14ac:dyDescent="0.2">
      <c r="A489" s="46"/>
      <c r="B489" s="46"/>
      <c r="C489" s="46"/>
      <c r="D489" s="46"/>
      <c r="E489" s="47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</row>
    <row r="490" spans="1:33" x14ac:dyDescent="0.2">
      <c r="A490" s="46"/>
      <c r="B490" s="46"/>
      <c r="C490" s="46"/>
      <c r="D490" s="46"/>
      <c r="E490" s="47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</row>
    <row r="491" spans="1:33" x14ac:dyDescent="0.2">
      <c r="A491" s="46"/>
      <c r="B491" s="46"/>
      <c r="C491" s="46"/>
      <c r="D491" s="46"/>
      <c r="E491" s="47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</row>
    <row r="492" spans="1:33" x14ac:dyDescent="0.2">
      <c r="A492" s="46"/>
      <c r="B492" s="46"/>
      <c r="C492" s="46"/>
      <c r="D492" s="46"/>
      <c r="E492" s="47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</row>
    <row r="493" spans="1:33" x14ac:dyDescent="0.2">
      <c r="A493" s="46"/>
      <c r="B493" s="46"/>
      <c r="C493" s="46"/>
      <c r="D493" s="46"/>
      <c r="E493" s="47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</row>
    <row r="494" spans="1:33" x14ac:dyDescent="0.2">
      <c r="A494" s="46"/>
      <c r="B494" s="46"/>
      <c r="C494" s="46"/>
      <c r="D494" s="46"/>
      <c r="E494" s="47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</row>
    <row r="495" spans="1:33" x14ac:dyDescent="0.2">
      <c r="A495" s="46"/>
      <c r="B495" s="46"/>
      <c r="C495" s="46"/>
      <c r="D495" s="46"/>
      <c r="E495" s="47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</row>
    <row r="496" spans="1:33" x14ac:dyDescent="0.2">
      <c r="A496" s="46"/>
      <c r="B496" s="46"/>
      <c r="C496" s="46"/>
      <c r="D496" s="46"/>
      <c r="E496" s="47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</row>
    <row r="497" spans="1:33" x14ac:dyDescent="0.2">
      <c r="A497" s="46"/>
      <c r="B497" s="46"/>
      <c r="C497" s="46"/>
      <c r="D497" s="46"/>
      <c r="E497" s="47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</row>
    <row r="498" spans="1:33" x14ac:dyDescent="0.2">
      <c r="A498" s="46"/>
      <c r="B498" s="46"/>
      <c r="C498" s="46"/>
      <c r="D498" s="46"/>
      <c r="E498" s="47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</row>
    <row r="499" spans="1:33" x14ac:dyDescent="0.2">
      <c r="A499" s="46"/>
      <c r="B499" s="46"/>
      <c r="C499" s="46"/>
      <c r="D499" s="46"/>
      <c r="E499" s="47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</row>
    <row r="500" spans="1:33" x14ac:dyDescent="0.2">
      <c r="A500" s="46"/>
      <c r="B500" s="46"/>
      <c r="C500" s="46"/>
      <c r="D500" s="46"/>
      <c r="E500" s="47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</row>
    <row r="501" spans="1:33" x14ac:dyDescent="0.2">
      <c r="A501" s="46"/>
      <c r="B501" s="46"/>
      <c r="C501" s="46"/>
      <c r="D501" s="46"/>
      <c r="E501" s="47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</row>
    <row r="502" spans="1:33" x14ac:dyDescent="0.2">
      <c r="A502" s="46"/>
      <c r="B502" s="46"/>
      <c r="C502" s="46"/>
      <c r="D502" s="46"/>
      <c r="E502" s="47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</row>
    <row r="503" spans="1:33" x14ac:dyDescent="0.2">
      <c r="A503" s="46"/>
      <c r="B503" s="46"/>
      <c r="C503" s="46"/>
      <c r="D503" s="46"/>
      <c r="E503" s="47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</row>
    <row r="504" spans="1:33" x14ac:dyDescent="0.2">
      <c r="A504" s="46"/>
      <c r="B504" s="46"/>
      <c r="C504" s="46"/>
      <c r="D504" s="46"/>
      <c r="E504" s="47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</row>
    <row r="505" spans="1:33" x14ac:dyDescent="0.2">
      <c r="A505" s="46"/>
      <c r="B505" s="46"/>
      <c r="C505" s="46"/>
      <c r="D505" s="46"/>
      <c r="E505" s="47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</row>
    <row r="506" spans="1:33" x14ac:dyDescent="0.2">
      <c r="A506" s="46"/>
      <c r="B506" s="46"/>
      <c r="C506" s="46"/>
      <c r="D506" s="46"/>
      <c r="E506" s="47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</row>
    <row r="507" spans="1:33" x14ac:dyDescent="0.2">
      <c r="A507" s="46"/>
      <c r="B507" s="46"/>
      <c r="C507" s="46"/>
      <c r="D507" s="46"/>
      <c r="E507" s="47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</row>
    <row r="508" spans="1:33" x14ac:dyDescent="0.2">
      <c r="A508" s="46"/>
      <c r="B508" s="46"/>
      <c r="C508" s="46"/>
      <c r="D508" s="46"/>
      <c r="E508" s="47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</row>
    <row r="509" spans="1:33" x14ac:dyDescent="0.2">
      <c r="A509" s="46"/>
      <c r="B509" s="46"/>
      <c r="C509" s="46"/>
      <c r="D509" s="46"/>
      <c r="E509" s="47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</row>
    <row r="510" spans="1:33" x14ac:dyDescent="0.2">
      <c r="A510" s="46"/>
      <c r="B510" s="46"/>
      <c r="C510" s="46"/>
      <c r="D510" s="46"/>
      <c r="E510" s="47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</row>
    <row r="511" spans="1:33" x14ac:dyDescent="0.2">
      <c r="A511" s="46"/>
      <c r="B511" s="46"/>
      <c r="C511" s="46"/>
      <c r="D511" s="46"/>
      <c r="E511" s="47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</row>
    <row r="512" spans="1:33" x14ac:dyDescent="0.2">
      <c r="A512" s="46"/>
      <c r="B512" s="46"/>
      <c r="C512" s="46"/>
      <c r="D512" s="46"/>
      <c r="E512" s="47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</row>
    <row r="513" spans="1:33" x14ac:dyDescent="0.2">
      <c r="A513" s="46"/>
      <c r="B513" s="46"/>
      <c r="C513" s="46"/>
      <c r="D513" s="46"/>
      <c r="E513" s="47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</row>
    <row r="514" spans="1:33" x14ac:dyDescent="0.2">
      <c r="A514" s="46"/>
      <c r="B514" s="46"/>
      <c r="C514" s="46"/>
      <c r="D514" s="46"/>
      <c r="E514" s="47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</row>
    <row r="515" spans="1:33" x14ac:dyDescent="0.2">
      <c r="A515" s="46"/>
      <c r="B515" s="46"/>
      <c r="C515" s="46"/>
      <c r="D515" s="46"/>
      <c r="E515" s="47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</row>
    <row r="516" spans="1:33" x14ac:dyDescent="0.2">
      <c r="A516" s="46"/>
      <c r="B516" s="46"/>
      <c r="C516" s="46"/>
      <c r="D516" s="46"/>
      <c r="E516" s="47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</row>
    <row r="517" spans="1:33" x14ac:dyDescent="0.2">
      <c r="A517" s="46"/>
      <c r="B517" s="46"/>
      <c r="C517" s="46"/>
      <c r="D517" s="46"/>
      <c r="E517" s="47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</row>
    <row r="518" spans="1:33" x14ac:dyDescent="0.2">
      <c r="A518" s="46"/>
      <c r="B518" s="46"/>
      <c r="C518" s="46"/>
      <c r="D518" s="46"/>
      <c r="E518" s="47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</row>
    <row r="519" spans="1:33" x14ac:dyDescent="0.2">
      <c r="A519" s="46"/>
      <c r="B519" s="46"/>
      <c r="C519" s="46"/>
      <c r="D519" s="46"/>
      <c r="E519" s="47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</row>
    <row r="520" spans="1:33" x14ac:dyDescent="0.2">
      <c r="A520" s="46"/>
      <c r="B520" s="46"/>
      <c r="C520" s="46"/>
      <c r="D520" s="46"/>
      <c r="E520" s="47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</row>
    <row r="521" spans="1:33" x14ac:dyDescent="0.2">
      <c r="A521" s="46"/>
      <c r="B521" s="46"/>
      <c r="C521" s="46"/>
      <c r="D521" s="46"/>
      <c r="E521" s="47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</row>
    <row r="522" spans="1:33" x14ac:dyDescent="0.2">
      <c r="A522" s="46"/>
      <c r="B522" s="46"/>
      <c r="C522" s="46"/>
      <c r="D522" s="46"/>
      <c r="E522" s="47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</row>
    <row r="523" spans="1:33" x14ac:dyDescent="0.2">
      <c r="A523" s="46"/>
      <c r="B523" s="46"/>
      <c r="C523" s="46"/>
      <c r="D523" s="46"/>
      <c r="E523" s="47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</row>
    <row r="524" spans="1:33" x14ac:dyDescent="0.2">
      <c r="A524" s="46"/>
      <c r="B524" s="46"/>
      <c r="C524" s="46"/>
      <c r="D524" s="46"/>
      <c r="E524" s="47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</row>
    <row r="525" spans="1:33" x14ac:dyDescent="0.2">
      <c r="A525" s="46"/>
      <c r="B525" s="46"/>
      <c r="C525" s="46"/>
      <c r="D525" s="46"/>
      <c r="E525" s="47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</row>
    <row r="526" spans="1:33" x14ac:dyDescent="0.2">
      <c r="A526" s="46"/>
      <c r="B526" s="46"/>
      <c r="C526" s="46"/>
      <c r="D526" s="46"/>
      <c r="E526" s="47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</row>
    <row r="527" spans="1:33" x14ac:dyDescent="0.2">
      <c r="A527" s="46"/>
      <c r="B527" s="46"/>
      <c r="C527" s="46"/>
      <c r="D527" s="46"/>
      <c r="E527" s="47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</row>
    <row r="528" spans="1:33" x14ac:dyDescent="0.2">
      <c r="A528" s="46"/>
      <c r="B528" s="46"/>
      <c r="C528" s="46"/>
      <c r="D528" s="46"/>
      <c r="E528" s="47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</row>
    <row r="529" spans="1:33" x14ac:dyDescent="0.2">
      <c r="A529" s="46"/>
      <c r="B529" s="46"/>
      <c r="C529" s="46"/>
      <c r="D529" s="46"/>
      <c r="E529" s="47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</row>
    <row r="530" spans="1:33" x14ac:dyDescent="0.2">
      <c r="A530" s="46"/>
      <c r="B530" s="46"/>
      <c r="C530" s="46"/>
      <c r="D530" s="46"/>
      <c r="E530" s="47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</row>
    <row r="531" spans="1:33" x14ac:dyDescent="0.2">
      <c r="A531" s="46"/>
      <c r="B531" s="46"/>
      <c r="C531" s="46"/>
      <c r="D531" s="46"/>
      <c r="E531" s="47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</row>
    <row r="532" spans="1:33" x14ac:dyDescent="0.2">
      <c r="A532" s="46"/>
      <c r="B532" s="46"/>
      <c r="C532" s="46"/>
      <c r="D532" s="46"/>
      <c r="E532" s="47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</row>
    <row r="533" spans="1:33" x14ac:dyDescent="0.2">
      <c r="A533" s="46"/>
      <c r="B533" s="46"/>
      <c r="C533" s="46"/>
      <c r="D533" s="46"/>
      <c r="E533" s="47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</row>
    <row r="534" spans="1:33" x14ac:dyDescent="0.2">
      <c r="A534" s="46"/>
      <c r="B534" s="46"/>
      <c r="C534" s="46"/>
      <c r="D534" s="46"/>
      <c r="E534" s="47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</row>
    <row r="535" spans="1:33" x14ac:dyDescent="0.2">
      <c r="A535" s="46"/>
      <c r="B535" s="46"/>
      <c r="C535" s="46"/>
      <c r="D535" s="46"/>
      <c r="E535" s="47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</row>
    <row r="536" spans="1:33" x14ac:dyDescent="0.2">
      <c r="A536" s="46"/>
      <c r="B536" s="46"/>
      <c r="C536" s="46"/>
      <c r="D536" s="46"/>
      <c r="E536" s="47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</row>
    <row r="537" spans="1:33" x14ac:dyDescent="0.2">
      <c r="A537" s="46"/>
      <c r="B537" s="46"/>
      <c r="C537" s="46"/>
      <c r="D537" s="46"/>
      <c r="E537" s="47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</row>
    <row r="538" spans="1:33" x14ac:dyDescent="0.2">
      <c r="A538" s="46"/>
      <c r="B538" s="46"/>
      <c r="C538" s="46"/>
      <c r="D538" s="46"/>
      <c r="E538" s="47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</row>
    <row r="539" spans="1:33" x14ac:dyDescent="0.2">
      <c r="A539" s="46"/>
      <c r="B539" s="46"/>
      <c r="C539" s="46"/>
      <c r="D539" s="46"/>
      <c r="E539" s="47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</row>
    <row r="540" spans="1:33" x14ac:dyDescent="0.2">
      <c r="A540" s="46"/>
      <c r="B540" s="46"/>
      <c r="C540" s="46"/>
      <c r="D540" s="46"/>
      <c r="E540" s="47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</row>
    <row r="541" spans="1:33" x14ac:dyDescent="0.2">
      <c r="A541" s="46"/>
      <c r="B541" s="46"/>
      <c r="C541" s="46"/>
      <c r="D541" s="46"/>
      <c r="E541" s="47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</row>
    <row r="542" spans="1:33" x14ac:dyDescent="0.2">
      <c r="A542" s="46"/>
      <c r="B542" s="46"/>
      <c r="C542" s="46"/>
      <c r="D542" s="46"/>
      <c r="E542" s="47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</row>
    <row r="543" spans="1:33" x14ac:dyDescent="0.2">
      <c r="A543" s="46"/>
      <c r="B543" s="46"/>
      <c r="C543" s="46"/>
      <c r="D543" s="46"/>
      <c r="E543" s="47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</row>
    <row r="544" spans="1:33" x14ac:dyDescent="0.2">
      <c r="A544" s="46"/>
      <c r="B544" s="46"/>
      <c r="C544" s="46"/>
      <c r="D544" s="46"/>
      <c r="E544" s="47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</row>
    <row r="545" spans="1:33" x14ac:dyDescent="0.2">
      <c r="A545" s="46"/>
      <c r="B545" s="46"/>
      <c r="C545" s="46"/>
      <c r="D545" s="46"/>
      <c r="E545" s="47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</row>
    <row r="546" spans="1:33" x14ac:dyDescent="0.2">
      <c r="A546" s="46"/>
      <c r="B546" s="46"/>
      <c r="C546" s="46"/>
      <c r="D546" s="46"/>
      <c r="E546" s="47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</row>
    <row r="547" spans="1:33" x14ac:dyDescent="0.2">
      <c r="A547" s="46"/>
      <c r="B547" s="46"/>
      <c r="C547" s="46"/>
      <c r="D547" s="46"/>
      <c r="E547" s="47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</row>
    <row r="548" spans="1:33" x14ac:dyDescent="0.2">
      <c r="A548" s="46"/>
      <c r="B548" s="46"/>
      <c r="C548" s="46"/>
      <c r="D548" s="46"/>
      <c r="E548" s="47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</row>
    <row r="549" spans="1:33" x14ac:dyDescent="0.2">
      <c r="A549" s="46"/>
      <c r="B549" s="46"/>
      <c r="C549" s="46"/>
      <c r="D549" s="46"/>
      <c r="E549" s="47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</row>
    <row r="550" spans="1:33" x14ac:dyDescent="0.2">
      <c r="A550" s="46"/>
      <c r="B550" s="46"/>
      <c r="C550" s="46"/>
      <c r="D550" s="46"/>
      <c r="E550" s="47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</row>
    <row r="551" spans="1:33" x14ac:dyDescent="0.2">
      <c r="A551" s="46"/>
      <c r="B551" s="46"/>
      <c r="C551" s="46"/>
      <c r="D551" s="46"/>
      <c r="E551" s="47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</row>
    <row r="552" spans="1:33" x14ac:dyDescent="0.2">
      <c r="A552" s="46"/>
      <c r="B552" s="46"/>
      <c r="C552" s="46"/>
      <c r="D552" s="46"/>
      <c r="E552" s="47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</row>
    <row r="553" spans="1:33" x14ac:dyDescent="0.2">
      <c r="A553" s="46"/>
      <c r="B553" s="46"/>
      <c r="C553" s="46"/>
      <c r="D553" s="46"/>
      <c r="E553" s="47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</row>
    <row r="554" spans="1:33" x14ac:dyDescent="0.2">
      <c r="A554" s="46"/>
      <c r="B554" s="46"/>
      <c r="C554" s="46"/>
      <c r="D554" s="46"/>
      <c r="E554" s="47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</row>
    <row r="555" spans="1:33" x14ac:dyDescent="0.2">
      <c r="A555" s="46"/>
      <c r="B555" s="46"/>
      <c r="C555" s="46"/>
      <c r="D555" s="46"/>
      <c r="E555" s="47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</row>
    <row r="556" spans="1:33" x14ac:dyDescent="0.2">
      <c r="A556" s="46"/>
      <c r="B556" s="46"/>
      <c r="C556" s="46"/>
      <c r="D556" s="46"/>
      <c r="E556" s="47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</row>
    <row r="557" spans="1:33" x14ac:dyDescent="0.2">
      <c r="A557" s="46"/>
      <c r="B557" s="46"/>
      <c r="C557" s="46"/>
      <c r="D557" s="46"/>
      <c r="E557" s="47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</row>
    <row r="558" spans="1:33" x14ac:dyDescent="0.2">
      <c r="A558" s="46"/>
      <c r="B558" s="46"/>
      <c r="C558" s="46"/>
      <c r="D558" s="46"/>
      <c r="E558" s="47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</row>
    <row r="559" spans="1:33" x14ac:dyDescent="0.2">
      <c r="A559" s="46"/>
      <c r="B559" s="46"/>
      <c r="C559" s="46"/>
      <c r="D559" s="46"/>
      <c r="E559" s="47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</row>
    <row r="560" spans="1:33" x14ac:dyDescent="0.2">
      <c r="A560" s="46"/>
      <c r="B560" s="46"/>
      <c r="C560" s="46"/>
      <c r="D560" s="46"/>
      <c r="E560" s="47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</row>
    <row r="561" spans="1:33" x14ac:dyDescent="0.2">
      <c r="A561" s="46"/>
      <c r="B561" s="46"/>
      <c r="C561" s="46"/>
      <c r="D561" s="46"/>
      <c r="E561" s="47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</row>
    <row r="562" spans="1:33" x14ac:dyDescent="0.2">
      <c r="A562" s="46"/>
      <c r="B562" s="46"/>
      <c r="C562" s="46"/>
      <c r="D562" s="46"/>
      <c r="E562" s="47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</row>
    <row r="563" spans="1:33" x14ac:dyDescent="0.2">
      <c r="A563" s="46"/>
      <c r="B563" s="46"/>
      <c r="C563" s="46"/>
      <c r="D563" s="46"/>
      <c r="E563" s="47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</row>
    <row r="564" spans="1:33" x14ac:dyDescent="0.2">
      <c r="A564" s="46"/>
      <c r="B564" s="46"/>
      <c r="C564" s="46"/>
      <c r="D564" s="46"/>
      <c r="E564" s="47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</row>
    <row r="565" spans="1:33" x14ac:dyDescent="0.2">
      <c r="A565" s="46"/>
      <c r="B565" s="46"/>
      <c r="C565" s="46"/>
      <c r="D565" s="46"/>
      <c r="E565" s="47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</row>
    <row r="566" spans="1:33" x14ac:dyDescent="0.2">
      <c r="A566" s="46"/>
      <c r="B566" s="46"/>
      <c r="C566" s="46"/>
      <c r="D566" s="46"/>
      <c r="E566" s="47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</row>
    <row r="567" spans="1:33" x14ac:dyDescent="0.2">
      <c r="A567" s="46"/>
      <c r="B567" s="46"/>
      <c r="C567" s="46"/>
      <c r="D567" s="46"/>
      <c r="E567" s="47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</row>
    <row r="568" spans="1:33" x14ac:dyDescent="0.2">
      <c r="A568" s="46"/>
      <c r="B568" s="46"/>
      <c r="C568" s="46"/>
      <c r="D568" s="46"/>
      <c r="E568" s="47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</row>
    <row r="569" spans="1:33" x14ac:dyDescent="0.2">
      <c r="A569" s="46"/>
      <c r="B569" s="46"/>
      <c r="C569" s="46"/>
      <c r="D569" s="46"/>
      <c r="E569" s="47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</row>
    <row r="570" spans="1:33" x14ac:dyDescent="0.2">
      <c r="A570" s="46"/>
      <c r="B570" s="46"/>
      <c r="C570" s="46"/>
      <c r="D570" s="46"/>
      <c r="E570" s="47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</row>
    <row r="571" spans="1:33" x14ac:dyDescent="0.2">
      <c r="A571" s="46"/>
      <c r="B571" s="46"/>
      <c r="C571" s="46"/>
      <c r="D571" s="46"/>
      <c r="E571" s="47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</row>
    <row r="572" spans="1:33" x14ac:dyDescent="0.2">
      <c r="A572" s="46"/>
      <c r="B572" s="46"/>
      <c r="C572" s="46"/>
      <c r="D572" s="46"/>
      <c r="E572" s="47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</row>
    <row r="573" spans="1:33" x14ac:dyDescent="0.2">
      <c r="A573" s="46"/>
      <c r="B573" s="46"/>
      <c r="C573" s="46"/>
      <c r="D573" s="46"/>
      <c r="E573" s="47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</row>
    <row r="574" spans="1:33" x14ac:dyDescent="0.2">
      <c r="A574" s="46"/>
      <c r="B574" s="46"/>
      <c r="C574" s="46"/>
      <c r="D574" s="46"/>
      <c r="E574" s="47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</row>
    <row r="575" spans="1:33" x14ac:dyDescent="0.2">
      <c r="A575" s="46"/>
      <c r="B575" s="46"/>
      <c r="C575" s="46"/>
      <c r="D575" s="46"/>
      <c r="E575" s="47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</row>
    <row r="576" spans="1:33" x14ac:dyDescent="0.2">
      <c r="A576" s="46"/>
      <c r="B576" s="46"/>
      <c r="C576" s="46"/>
      <c r="D576" s="46"/>
      <c r="E576" s="47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</row>
    <row r="577" spans="1:33" x14ac:dyDescent="0.2">
      <c r="A577" s="46"/>
      <c r="B577" s="46"/>
      <c r="C577" s="46"/>
      <c r="D577" s="46"/>
      <c r="E577" s="47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</row>
    <row r="578" spans="1:33" x14ac:dyDescent="0.2">
      <c r="A578" s="46"/>
      <c r="B578" s="46"/>
      <c r="C578" s="46"/>
      <c r="D578" s="46"/>
      <c r="E578" s="47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</row>
    <row r="579" spans="1:33" x14ac:dyDescent="0.2">
      <c r="A579" s="46"/>
      <c r="B579" s="46"/>
      <c r="C579" s="46"/>
      <c r="D579" s="46"/>
      <c r="E579" s="47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</row>
    <row r="580" spans="1:33" x14ac:dyDescent="0.2">
      <c r="A580" s="46"/>
      <c r="B580" s="46"/>
      <c r="C580" s="46"/>
      <c r="D580" s="46"/>
      <c r="E580" s="47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</row>
    <row r="581" spans="1:33" x14ac:dyDescent="0.2">
      <c r="A581" s="46"/>
      <c r="B581" s="46"/>
      <c r="C581" s="46"/>
      <c r="D581" s="46"/>
      <c r="E581" s="47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</row>
    <row r="582" spans="1:33" x14ac:dyDescent="0.2">
      <c r="A582" s="46"/>
      <c r="B582" s="46"/>
      <c r="C582" s="46"/>
      <c r="D582" s="46"/>
      <c r="E582" s="47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</row>
    <row r="583" spans="1:33" x14ac:dyDescent="0.2">
      <c r="A583" s="46"/>
      <c r="B583" s="46"/>
      <c r="C583" s="46"/>
      <c r="D583" s="46"/>
      <c r="E583" s="47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</row>
    <row r="584" spans="1:33" x14ac:dyDescent="0.2">
      <c r="A584" s="46"/>
      <c r="B584" s="46"/>
      <c r="C584" s="46"/>
      <c r="D584" s="46"/>
      <c r="E584" s="47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</row>
    <row r="585" spans="1:33" x14ac:dyDescent="0.2">
      <c r="A585" s="46"/>
      <c r="B585" s="46"/>
      <c r="C585" s="46"/>
      <c r="D585" s="46"/>
      <c r="E585" s="47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</row>
    <row r="586" spans="1:33" x14ac:dyDescent="0.2">
      <c r="A586" s="46"/>
      <c r="B586" s="46"/>
      <c r="C586" s="46"/>
      <c r="D586" s="46"/>
      <c r="E586" s="47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</row>
    <row r="587" spans="1:33" x14ac:dyDescent="0.2">
      <c r="A587" s="46"/>
      <c r="B587" s="46"/>
      <c r="C587" s="46"/>
      <c r="D587" s="46"/>
      <c r="E587" s="47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</row>
    <row r="588" spans="1:33" x14ac:dyDescent="0.2">
      <c r="A588" s="46"/>
      <c r="B588" s="46"/>
      <c r="C588" s="46"/>
      <c r="D588" s="46"/>
      <c r="E588" s="47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</row>
    <row r="589" spans="1:33" x14ac:dyDescent="0.2">
      <c r="A589" s="46"/>
      <c r="B589" s="46"/>
      <c r="C589" s="46"/>
      <c r="D589" s="46"/>
      <c r="E589" s="47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</row>
    <row r="590" spans="1:33" x14ac:dyDescent="0.2">
      <c r="A590" s="46"/>
      <c r="B590" s="46"/>
      <c r="C590" s="46"/>
      <c r="D590" s="46"/>
      <c r="E590" s="47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</row>
    <row r="591" spans="1:33" x14ac:dyDescent="0.2">
      <c r="A591" s="46"/>
      <c r="B591" s="46"/>
      <c r="C591" s="46"/>
      <c r="D591" s="46"/>
      <c r="E591" s="47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</row>
    <row r="592" spans="1:33" x14ac:dyDescent="0.2">
      <c r="A592" s="46"/>
      <c r="B592" s="46"/>
      <c r="C592" s="46"/>
      <c r="D592" s="46"/>
      <c r="E592" s="47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</row>
    <row r="593" spans="1:33" x14ac:dyDescent="0.2">
      <c r="A593" s="46"/>
      <c r="B593" s="46"/>
      <c r="C593" s="46"/>
      <c r="D593" s="46"/>
      <c r="E593" s="47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</row>
    <row r="594" spans="1:33" x14ac:dyDescent="0.2">
      <c r="A594" s="46"/>
      <c r="B594" s="46"/>
      <c r="C594" s="46"/>
      <c r="D594" s="46"/>
      <c r="E594" s="47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</row>
    <row r="595" spans="1:33" x14ac:dyDescent="0.2">
      <c r="A595" s="46"/>
      <c r="B595" s="46"/>
      <c r="C595" s="46"/>
      <c r="D595" s="46"/>
      <c r="E595" s="47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</row>
    <row r="596" spans="1:33" x14ac:dyDescent="0.2">
      <c r="A596" s="46"/>
      <c r="B596" s="46"/>
      <c r="C596" s="46"/>
      <c r="D596" s="46"/>
      <c r="E596" s="47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</row>
    <row r="597" spans="1:33" x14ac:dyDescent="0.2">
      <c r="A597" s="46"/>
      <c r="B597" s="46"/>
      <c r="C597" s="46"/>
      <c r="D597" s="46"/>
      <c r="E597" s="47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</row>
    <row r="598" spans="1:33" x14ac:dyDescent="0.2">
      <c r="A598" s="46"/>
      <c r="B598" s="46"/>
      <c r="C598" s="46"/>
      <c r="D598" s="46"/>
      <c r="E598" s="47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</row>
    <row r="599" spans="1:33" x14ac:dyDescent="0.2">
      <c r="A599" s="46"/>
      <c r="B599" s="46"/>
      <c r="C599" s="46"/>
      <c r="D599" s="46"/>
      <c r="E599" s="47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</row>
    <row r="600" spans="1:33" x14ac:dyDescent="0.2">
      <c r="A600" s="46"/>
      <c r="B600" s="46"/>
      <c r="C600" s="46"/>
      <c r="D600" s="46"/>
      <c r="E600" s="47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</row>
    <row r="601" spans="1:33" x14ac:dyDescent="0.2">
      <c r="A601" s="46"/>
      <c r="B601" s="46"/>
      <c r="C601" s="46"/>
      <c r="D601" s="46"/>
      <c r="E601" s="47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</row>
    <row r="602" spans="1:33" x14ac:dyDescent="0.2">
      <c r="A602" s="46"/>
      <c r="B602" s="46"/>
      <c r="C602" s="46"/>
      <c r="D602" s="46"/>
      <c r="E602" s="47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</row>
    <row r="603" spans="1:33" x14ac:dyDescent="0.2">
      <c r="A603" s="46"/>
      <c r="B603" s="46"/>
      <c r="C603" s="46"/>
      <c r="D603" s="46"/>
      <c r="E603" s="47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</row>
    <row r="604" spans="1:33" x14ac:dyDescent="0.2">
      <c r="A604" s="46"/>
      <c r="B604" s="46"/>
      <c r="C604" s="46"/>
      <c r="D604" s="46"/>
      <c r="E604" s="47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</row>
    <row r="605" spans="1:33" x14ac:dyDescent="0.2">
      <c r="A605" s="46"/>
      <c r="B605" s="46"/>
      <c r="C605" s="46"/>
      <c r="D605" s="46"/>
      <c r="E605" s="47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</row>
    <row r="606" spans="1:33" x14ac:dyDescent="0.2">
      <c r="A606" s="46"/>
      <c r="B606" s="46"/>
      <c r="C606" s="46"/>
      <c r="D606" s="46"/>
      <c r="E606" s="47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</row>
    <row r="607" spans="1:33" x14ac:dyDescent="0.2">
      <c r="A607" s="46"/>
      <c r="B607" s="46"/>
      <c r="C607" s="46"/>
      <c r="D607" s="46"/>
      <c r="E607" s="47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</row>
    <row r="608" spans="1:33" x14ac:dyDescent="0.2">
      <c r="A608" s="46"/>
      <c r="B608" s="46"/>
      <c r="C608" s="46"/>
      <c r="D608" s="46"/>
      <c r="E608" s="47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</row>
    <row r="609" spans="1:33" x14ac:dyDescent="0.2">
      <c r="A609" s="46"/>
      <c r="B609" s="46"/>
      <c r="C609" s="46"/>
      <c r="D609" s="46"/>
      <c r="E609" s="47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</row>
    <row r="610" spans="1:33" x14ac:dyDescent="0.2">
      <c r="A610" s="46"/>
      <c r="B610" s="46"/>
      <c r="C610" s="46"/>
      <c r="D610" s="46"/>
      <c r="E610" s="47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</row>
    <row r="611" spans="1:33" x14ac:dyDescent="0.2">
      <c r="A611" s="46"/>
      <c r="B611" s="46"/>
      <c r="C611" s="46"/>
      <c r="D611" s="46"/>
      <c r="E611" s="47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</row>
    <row r="612" spans="1:33" x14ac:dyDescent="0.2">
      <c r="A612" s="46"/>
      <c r="B612" s="46"/>
      <c r="C612" s="46"/>
      <c r="D612" s="46"/>
      <c r="E612" s="47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</row>
    <row r="613" spans="1:33" x14ac:dyDescent="0.2">
      <c r="A613" s="46"/>
      <c r="B613" s="46"/>
      <c r="C613" s="46"/>
      <c r="D613" s="46"/>
      <c r="E613" s="47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</row>
    <row r="614" spans="1:33" x14ac:dyDescent="0.2">
      <c r="A614" s="46"/>
      <c r="B614" s="46"/>
      <c r="C614" s="46"/>
      <c r="D614" s="46"/>
      <c r="E614" s="47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</row>
    <row r="615" spans="1:33" x14ac:dyDescent="0.2">
      <c r="A615" s="46"/>
      <c r="B615" s="46"/>
      <c r="C615" s="46"/>
      <c r="D615" s="46"/>
      <c r="E615" s="47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</row>
    <row r="616" spans="1:33" x14ac:dyDescent="0.2">
      <c r="A616" s="46"/>
      <c r="B616" s="46"/>
      <c r="C616" s="46"/>
      <c r="D616" s="46"/>
      <c r="E616" s="47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</row>
    <row r="617" spans="1:33" x14ac:dyDescent="0.2">
      <c r="A617" s="46"/>
      <c r="B617" s="46"/>
      <c r="C617" s="46"/>
      <c r="D617" s="46"/>
      <c r="E617" s="47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</row>
    <row r="618" spans="1:33" x14ac:dyDescent="0.2">
      <c r="A618" s="46"/>
      <c r="B618" s="46"/>
      <c r="C618" s="46"/>
      <c r="D618" s="46"/>
      <c r="E618" s="47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</row>
    <row r="619" spans="1:33" x14ac:dyDescent="0.2">
      <c r="A619" s="46"/>
      <c r="B619" s="46"/>
      <c r="C619" s="46"/>
      <c r="D619" s="46"/>
      <c r="E619" s="47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</row>
    <row r="620" spans="1:33" x14ac:dyDescent="0.2">
      <c r="A620" s="46"/>
      <c r="B620" s="46"/>
      <c r="C620" s="46"/>
      <c r="D620" s="46"/>
      <c r="E620" s="47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</row>
    <row r="621" spans="1:33" x14ac:dyDescent="0.2">
      <c r="A621" s="46"/>
      <c r="B621" s="46"/>
      <c r="C621" s="46"/>
      <c r="D621" s="46"/>
      <c r="E621" s="47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</row>
    <row r="622" spans="1:33" x14ac:dyDescent="0.2">
      <c r="A622" s="46"/>
      <c r="B622" s="46"/>
      <c r="C622" s="46"/>
      <c r="D622" s="46"/>
      <c r="E622" s="47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</row>
    <row r="623" spans="1:33" x14ac:dyDescent="0.2">
      <c r="A623" s="46"/>
      <c r="B623" s="46"/>
      <c r="C623" s="46"/>
      <c r="D623" s="46"/>
      <c r="E623" s="47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</row>
    <row r="624" spans="1:33" x14ac:dyDescent="0.2">
      <c r="A624" s="46"/>
      <c r="B624" s="46"/>
      <c r="C624" s="46"/>
      <c r="D624" s="46"/>
      <c r="E624" s="47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</row>
    <row r="625" spans="1:33" x14ac:dyDescent="0.2">
      <c r="A625" s="46"/>
      <c r="B625" s="46"/>
      <c r="C625" s="46"/>
      <c r="D625" s="46"/>
      <c r="E625" s="47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</row>
    <row r="626" spans="1:33" x14ac:dyDescent="0.2">
      <c r="A626" s="46"/>
      <c r="B626" s="46"/>
      <c r="C626" s="46"/>
      <c r="D626" s="46"/>
      <c r="E626" s="47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</row>
    <row r="627" spans="1:33" x14ac:dyDescent="0.2">
      <c r="A627" s="46"/>
      <c r="B627" s="46"/>
      <c r="C627" s="46"/>
      <c r="D627" s="46"/>
      <c r="E627" s="47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</row>
    <row r="628" spans="1:33" x14ac:dyDescent="0.2">
      <c r="A628" s="46"/>
      <c r="B628" s="46"/>
      <c r="C628" s="46"/>
      <c r="D628" s="46"/>
      <c r="E628" s="47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</row>
    <row r="629" spans="1:33" x14ac:dyDescent="0.2">
      <c r="A629" s="46"/>
      <c r="B629" s="46"/>
      <c r="C629" s="46"/>
      <c r="D629" s="46"/>
      <c r="E629" s="47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</row>
    <row r="630" spans="1:33" x14ac:dyDescent="0.2">
      <c r="A630" s="46"/>
      <c r="B630" s="46"/>
      <c r="C630" s="46"/>
      <c r="D630" s="46"/>
      <c r="E630" s="47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</row>
    <row r="631" spans="1:33" x14ac:dyDescent="0.2">
      <c r="A631" s="46"/>
      <c r="B631" s="46"/>
      <c r="C631" s="46"/>
      <c r="D631" s="46"/>
      <c r="E631" s="47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</row>
    <row r="632" spans="1:33" x14ac:dyDescent="0.2">
      <c r="A632" s="46"/>
      <c r="B632" s="46"/>
      <c r="C632" s="46"/>
      <c r="D632" s="46"/>
      <c r="E632" s="47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</row>
    <row r="633" spans="1:33" x14ac:dyDescent="0.2">
      <c r="A633" s="46"/>
      <c r="B633" s="46"/>
      <c r="C633" s="46"/>
      <c r="D633" s="46"/>
      <c r="E633" s="47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</row>
    <row r="634" spans="1:33" x14ac:dyDescent="0.2">
      <c r="A634" s="46"/>
      <c r="B634" s="46"/>
      <c r="C634" s="46"/>
      <c r="D634" s="46"/>
      <c r="E634" s="47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</row>
    <row r="635" spans="1:33" x14ac:dyDescent="0.2">
      <c r="A635" s="46"/>
      <c r="B635" s="46"/>
      <c r="C635" s="46"/>
      <c r="D635" s="46"/>
      <c r="E635" s="47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</row>
    <row r="636" spans="1:33" x14ac:dyDescent="0.2">
      <c r="A636" s="46"/>
      <c r="B636" s="46"/>
      <c r="C636" s="46"/>
      <c r="D636" s="46"/>
      <c r="E636" s="47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</row>
    <row r="637" spans="1:33" x14ac:dyDescent="0.2">
      <c r="A637" s="46"/>
      <c r="B637" s="46"/>
      <c r="C637" s="46"/>
      <c r="D637" s="46"/>
      <c r="E637" s="47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</row>
    <row r="638" spans="1:33" x14ac:dyDescent="0.2">
      <c r="A638" s="46"/>
      <c r="B638" s="46"/>
      <c r="C638" s="46"/>
      <c r="D638" s="46"/>
      <c r="E638" s="47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</row>
    <row r="639" spans="1:33" x14ac:dyDescent="0.2">
      <c r="A639" s="46"/>
      <c r="B639" s="46"/>
      <c r="C639" s="46"/>
      <c r="D639" s="46"/>
      <c r="E639" s="47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</row>
    <row r="640" spans="1:33" x14ac:dyDescent="0.2">
      <c r="A640" s="46"/>
      <c r="B640" s="46"/>
      <c r="C640" s="46"/>
      <c r="D640" s="46"/>
      <c r="E640" s="47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</row>
    <row r="641" spans="1:33" x14ac:dyDescent="0.2">
      <c r="A641" s="46"/>
      <c r="B641" s="46"/>
      <c r="C641" s="46"/>
      <c r="D641" s="46"/>
      <c r="E641" s="47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</row>
    <row r="642" spans="1:33" x14ac:dyDescent="0.2">
      <c r="A642" s="46"/>
      <c r="B642" s="46"/>
      <c r="C642" s="46"/>
      <c r="D642" s="46"/>
      <c r="E642" s="47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</row>
    <row r="643" spans="1:33" x14ac:dyDescent="0.2">
      <c r="A643" s="46"/>
      <c r="B643" s="46"/>
      <c r="C643" s="46"/>
      <c r="D643" s="46"/>
      <c r="E643" s="47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</row>
    <row r="644" spans="1:33" x14ac:dyDescent="0.2">
      <c r="A644" s="46"/>
      <c r="B644" s="46"/>
      <c r="C644" s="46"/>
      <c r="D644" s="46"/>
      <c r="E644" s="47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</row>
    <row r="645" spans="1:33" x14ac:dyDescent="0.2">
      <c r="A645" s="46"/>
      <c r="B645" s="46"/>
      <c r="C645" s="46"/>
      <c r="D645" s="46"/>
      <c r="E645" s="47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</row>
    <row r="646" spans="1:33" x14ac:dyDescent="0.2">
      <c r="A646" s="46"/>
      <c r="B646" s="46"/>
      <c r="C646" s="46"/>
      <c r="D646" s="46"/>
      <c r="E646" s="47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</row>
    <row r="647" spans="1:33" x14ac:dyDescent="0.2">
      <c r="A647" s="46"/>
      <c r="B647" s="46"/>
      <c r="C647" s="46"/>
      <c r="D647" s="46"/>
      <c r="E647" s="47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</row>
    <row r="648" spans="1:33" x14ac:dyDescent="0.2">
      <c r="A648" s="46"/>
      <c r="B648" s="46"/>
      <c r="C648" s="46"/>
      <c r="D648" s="46"/>
      <c r="E648" s="47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</row>
    <row r="649" spans="1:33" x14ac:dyDescent="0.2">
      <c r="A649" s="46"/>
      <c r="B649" s="46"/>
      <c r="C649" s="46"/>
      <c r="D649" s="46"/>
      <c r="E649" s="47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</row>
    <row r="650" spans="1:33" x14ac:dyDescent="0.2">
      <c r="A650" s="46"/>
      <c r="B650" s="46"/>
      <c r="C650" s="46"/>
      <c r="D650" s="46"/>
      <c r="E650" s="47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</row>
    <row r="651" spans="1:33" x14ac:dyDescent="0.2">
      <c r="A651" s="46"/>
      <c r="B651" s="46"/>
      <c r="C651" s="46"/>
      <c r="D651" s="46"/>
      <c r="E651" s="47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</row>
    <row r="652" spans="1:33" x14ac:dyDescent="0.2">
      <c r="A652" s="46"/>
      <c r="B652" s="46"/>
      <c r="C652" s="46"/>
      <c r="D652" s="46"/>
      <c r="E652" s="47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</row>
    <row r="653" spans="1:33" x14ac:dyDescent="0.2">
      <c r="A653" s="46"/>
      <c r="B653" s="46"/>
      <c r="C653" s="46"/>
      <c r="D653" s="46"/>
      <c r="E653" s="47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</row>
    <row r="654" spans="1:33" x14ac:dyDescent="0.2">
      <c r="A654" s="46"/>
      <c r="B654" s="46"/>
      <c r="C654" s="46"/>
      <c r="D654" s="46"/>
      <c r="E654" s="47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</row>
    <row r="655" spans="1:33" x14ac:dyDescent="0.2">
      <c r="A655" s="46"/>
      <c r="B655" s="46"/>
      <c r="C655" s="46"/>
      <c r="D655" s="46"/>
      <c r="E655" s="47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</row>
    <row r="656" spans="1:33" x14ac:dyDescent="0.2">
      <c r="A656" s="46"/>
      <c r="B656" s="46"/>
      <c r="C656" s="46"/>
      <c r="D656" s="46"/>
      <c r="E656" s="47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</row>
    <row r="657" spans="1:33" x14ac:dyDescent="0.2">
      <c r="A657" s="46"/>
      <c r="B657" s="46"/>
      <c r="C657" s="46"/>
      <c r="D657" s="46"/>
      <c r="E657" s="47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</row>
    <row r="658" spans="1:33" x14ac:dyDescent="0.2">
      <c r="A658" s="46"/>
      <c r="B658" s="46"/>
      <c r="C658" s="46"/>
      <c r="D658" s="46"/>
      <c r="E658" s="47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</row>
    <row r="659" spans="1:33" x14ac:dyDescent="0.2">
      <c r="A659" s="46"/>
      <c r="B659" s="46"/>
      <c r="C659" s="46"/>
      <c r="D659" s="46"/>
      <c r="E659" s="47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</row>
    <row r="660" spans="1:33" x14ac:dyDescent="0.2">
      <c r="A660" s="46"/>
      <c r="B660" s="46"/>
      <c r="C660" s="46"/>
      <c r="D660" s="46"/>
      <c r="E660" s="47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</row>
    <row r="661" spans="1:33" x14ac:dyDescent="0.2">
      <c r="A661" s="46"/>
      <c r="B661" s="46"/>
      <c r="C661" s="46"/>
      <c r="D661" s="46"/>
      <c r="E661" s="47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</row>
    <row r="662" spans="1:33" x14ac:dyDescent="0.2">
      <c r="A662" s="46"/>
      <c r="B662" s="46"/>
      <c r="C662" s="46"/>
      <c r="D662" s="46"/>
      <c r="E662" s="47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</row>
    <row r="663" spans="1:33" x14ac:dyDescent="0.2">
      <c r="A663" s="46"/>
      <c r="B663" s="46"/>
      <c r="C663" s="46"/>
      <c r="D663" s="46"/>
      <c r="E663" s="47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</row>
    <row r="664" spans="1:33" x14ac:dyDescent="0.2">
      <c r="A664" s="46"/>
      <c r="B664" s="46"/>
      <c r="C664" s="46"/>
      <c r="D664" s="46"/>
      <c r="E664" s="47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</row>
    <row r="665" spans="1:33" x14ac:dyDescent="0.2">
      <c r="A665" s="46"/>
      <c r="B665" s="46"/>
      <c r="C665" s="46"/>
      <c r="D665" s="46"/>
      <c r="E665" s="47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</row>
    <row r="666" spans="1:33" x14ac:dyDescent="0.2">
      <c r="A666" s="46"/>
      <c r="B666" s="46"/>
      <c r="C666" s="46"/>
      <c r="D666" s="46"/>
      <c r="E666" s="47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</row>
    <row r="667" spans="1:33" x14ac:dyDescent="0.2">
      <c r="A667" s="46"/>
      <c r="B667" s="46"/>
      <c r="C667" s="46"/>
      <c r="D667" s="46"/>
      <c r="E667" s="47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</row>
    <row r="668" spans="1:33" x14ac:dyDescent="0.2">
      <c r="A668" s="46"/>
      <c r="B668" s="46"/>
      <c r="C668" s="46"/>
      <c r="D668" s="46"/>
      <c r="E668" s="47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</row>
    <row r="669" spans="1:33" x14ac:dyDescent="0.2">
      <c r="A669" s="46"/>
      <c r="B669" s="46"/>
      <c r="C669" s="46"/>
      <c r="D669" s="46"/>
      <c r="E669" s="47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</row>
    <row r="670" spans="1:33" x14ac:dyDescent="0.2">
      <c r="A670" s="46"/>
      <c r="B670" s="46"/>
      <c r="C670" s="46"/>
      <c r="D670" s="46"/>
      <c r="E670" s="47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</row>
    <row r="671" spans="1:33" x14ac:dyDescent="0.2">
      <c r="A671" s="46"/>
      <c r="B671" s="46"/>
      <c r="C671" s="46"/>
      <c r="D671" s="46"/>
      <c r="E671" s="47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</row>
    <row r="672" spans="1:33" x14ac:dyDescent="0.2">
      <c r="A672" s="46"/>
      <c r="B672" s="46"/>
      <c r="C672" s="46"/>
      <c r="D672" s="46"/>
      <c r="E672" s="47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</row>
    <row r="673" spans="1:33" x14ac:dyDescent="0.2">
      <c r="A673" s="46"/>
      <c r="B673" s="46"/>
      <c r="C673" s="46"/>
      <c r="D673" s="46"/>
      <c r="E673" s="47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</row>
    <row r="674" spans="1:33" x14ac:dyDescent="0.2">
      <c r="A674" s="46"/>
      <c r="B674" s="46"/>
      <c r="C674" s="46"/>
      <c r="D674" s="46"/>
      <c r="E674" s="47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</row>
    <row r="675" spans="1:33" x14ac:dyDescent="0.2">
      <c r="A675" s="46"/>
      <c r="B675" s="46"/>
      <c r="C675" s="46"/>
      <c r="D675" s="46"/>
      <c r="E675" s="47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</row>
    <row r="676" spans="1:33" x14ac:dyDescent="0.2">
      <c r="A676" s="46"/>
      <c r="B676" s="46"/>
      <c r="C676" s="46"/>
      <c r="D676" s="46"/>
      <c r="E676" s="47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</row>
    <row r="677" spans="1:33" x14ac:dyDescent="0.2">
      <c r="A677" s="46"/>
      <c r="B677" s="46"/>
      <c r="C677" s="46"/>
      <c r="D677" s="46"/>
      <c r="E677" s="47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</row>
    <row r="678" spans="1:33" x14ac:dyDescent="0.2">
      <c r="A678" s="46"/>
      <c r="B678" s="46"/>
      <c r="C678" s="46"/>
      <c r="D678" s="46"/>
      <c r="E678" s="47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</row>
    <row r="679" spans="1:33" x14ac:dyDescent="0.2">
      <c r="A679" s="46"/>
      <c r="B679" s="46"/>
      <c r="C679" s="46"/>
      <c r="D679" s="46"/>
      <c r="E679" s="47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</row>
    <row r="680" spans="1:33" x14ac:dyDescent="0.2">
      <c r="A680" s="46"/>
      <c r="B680" s="46"/>
      <c r="C680" s="46"/>
      <c r="D680" s="46"/>
      <c r="E680" s="47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</row>
    <row r="681" spans="1:33" x14ac:dyDescent="0.2">
      <c r="A681" s="46"/>
      <c r="B681" s="46"/>
      <c r="C681" s="46"/>
      <c r="D681" s="46"/>
      <c r="E681" s="47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</row>
    <row r="682" spans="1:33" x14ac:dyDescent="0.2">
      <c r="A682" s="46"/>
      <c r="B682" s="46"/>
      <c r="C682" s="46"/>
      <c r="D682" s="46"/>
      <c r="E682" s="47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</row>
    <row r="683" spans="1:33" x14ac:dyDescent="0.2">
      <c r="A683" s="46"/>
      <c r="B683" s="46"/>
      <c r="C683" s="46"/>
      <c r="D683" s="46"/>
      <c r="E683" s="47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</row>
    <row r="684" spans="1:33" x14ac:dyDescent="0.2">
      <c r="A684" s="46"/>
      <c r="B684" s="46"/>
      <c r="C684" s="46"/>
      <c r="D684" s="46"/>
      <c r="E684" s="47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</row>
    <row r="685" spans="1:33" x14ac:dyDescent="0.2">
      <c r="A685" s="46"/>
      <c r="B685" s="46"/>
      <c r="C685" s="46"/>
      <c r="D685" s="46"/>
      <c r="E685" s="47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</row>
    <row r="686" spans="1:33" x14ac:dyDescent="0.2">
      <c r="A686" s="46"/>
      <c r="B686" s="46"/>
      <c r="C686" s="46"/>
      <c r="D686" s="46"/>
      <c r="E686" s="47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</row>
    <row r="687" spans="1:33" x14ac:dyDescent="0.2">
      <c r="A687" s="46"/>
      <c r="B687" s="46"/>
      <c r="C687" s="46"/>
      <c r="D687" s="46"/>
      <c r="E687" s="47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</row>
    <row r="688" spans="1:33" x14ac:dyDescent="0.2">
      <c r="A688" s="46"/>
      <c r="B688" s="46"/>
      <c r="C688" s="46"/>
      <c r="D688" s="46"/>
      <c r="E688" s="47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</row>
    <row r="689" spans="1:33" x14ac:dyDescent="0.2">
      <c r="A689" s="46"/>
      <c r="B689" s="46"/>
      <c r="C689" s="46"/>
      <c r="D689" s="46"/>
      <c r="E689" s="47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</row>
    <row r="690" spans="1:33" x14ac:dyDescent="0.2">
      <c r="A690" s="46"/>
      <c r="B690" s="46"/>
      <c r="C690" s="46"/>
      <c r="D690" s="46"/>
      <c r="E690" s="47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</row>
    <row r="691" spans="1:33" x14ac:dyDescent="0.2">
      <c r="A691" s="46"/>
      <c r="B691" s="46"/>
      <c r="C691" s="46"/>
      <c r="D691" s="46"/>
      <c r="E691" s="47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</row>
    <row r="692" spans="1:33" x14ac:dyDescent="0.2">
      <c r="A692" s="46"/>
      <c r="B692" s="46"/>
      <c r="C692" s="46"/>
      <c r="D692" s="46"/>
      <c r="E692" s="47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</row>
    <row r="693" spans="1:33" x14ac:dyDescent="0.2">
      <c r="A693" s="46"/>
      <c r="B693" s="46"/>
      <c r="C693" s="46"/>
      <c r="D693" s="46"/>
      <c r="E693" s="47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</row>
    <row r="694" spans="1:33" x14ac:dyDescent="0.2">
      <c r="A694" s="46"/>
      <c r="B694" s="46"/>
      <c r="C694" s="46"/>
      <c r="D694" s="46"/>
      <c r="E694" s="47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</row>
    <row r="695" spans="1:33" x14ac:dyDescent="0.2">
      <c r="A695" s="46"/>
      <c r="B695" s="46"/>
      <c r="C695" s="46"/>
      <c r="D695" s="46"/>
      <c r="E695" s="47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</row>
    <row r="696" spans="1:33" x14ac:dyDescent="0.2">
      <c r="A696" s="46"/>
      <c r="B696" s="46"/>
      <c r="C696" s="46"/>
      <c r="D696" s="46"/>
      <c r="E696" s="47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</row>
    <row r="697" spans="1:33" x14ac:dyDescent="0.2">
      <c r="A697" s="46"/>
      <c r="B697" s="46"/>
      <c r="C697" s="46"/>
      <c r="D697" s="46"/>
      <c r="E697" s="47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</row>
    <row r="698" spans="1:33" x14ac:dyDescent="0.2">
      <c r="A698" s="46"/>
      <c r="B698" s="46"/>
      <c r="C698" s="46"/>
      <c r="D698" s="46"/>
      <c r="E698" s="47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</row>
    <row r="699" spans="1:33" x14ac:dyDescent="0.2">
      <c r="A699" s="46"/>
      <c r="B699" s="46"/>
      <c r="C699" s="46"/>
      <c r="D699" s="46"/>
      <c r="E699" s="47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</row>
    <row r="700" spans="1:33" x14ac:dyDescent="0.2">
      <c r="A700" s="46"/>
      <c r="B700" s="46"/>
      <c r="C700" s="46"/>
      <c r="D700" s="46"/>
      <c r="E700" s="47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</row>
    <row r="701" spans="1:33" x14ac:dyDescent="0.2">
      <c r="A701" s="46"/>
      <c r="B701" s="46"/>
      <c r="C701" s="46"/>
      <c r="D701" s="46"/>
      <c r="E701" s="47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</row>
    <row r="702" spans="1:33" x14ac:dyDescent="0.2">
      <c r="A702" s="46"/>
      <c r="B702" s="46"/>
      <c r="C702" s="46"/>
      <c r="D702" s="46"/>
      <c r="E702" s="47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</row>
    <row r="703" spans="1:33" x14ac:dyDescent="0.2">
      <c r="A703" s="46"/>
      <c r="B703" s="46"/>
      <c r="C703" s="46"/>
      <c r="D703" s="46"/>
      <c r="E703" s="47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</row>
    <row r="704" spans="1:33" x14ac:dyDescent="0.2">
      <c r="A704" s="46"/>
      <c r="B704" s="46"/>
      <c r="C704" s="46"/>
      <c r="D704" s="46"/>
      <c r="E704" s="47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</row>
    <row r="705" spans="1:33" x14ac:dyDescent="0.2">
      <c r="A705" s="46"/>
      <c r="B705" s="46"/>
      <c r="C705" s="46"/>
      <c r="D705" s="46"/>
      <c r="E705" s="47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</row>
    <row r="706" spans="1:33" x14ac:dyDescent="0.2">
      <c r="A706" s="46"/>
      <c r="B706" s="46"/>
      <c r="C706" s="46"/>
      <c r="D706" s="46"/>
      <c r="E706" s="47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</row>
    <row r="707" spans="1:33" x14ac:dyDescent="0.2">
      <c r="A707" s="46"/>
      <c r="B707" s="46"/>
      <c r="C707" s="46"/>
      <c r="D707" s="46"/>
      <c r="E707" s="47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</row>
    <row r="708" spans="1:33" x14ac:dyDescent="0.2">
      <c r="A708" s="46"/>
      <c r="B708" s="46"/>
      <c r="C708" s="46"/>
      <c r="D708" s="46"/>
      <c r="E708" s="47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</row>
    <row r="709" spans="1:33" x14ac:dyDescent="0.2">
      <c r="A709" s="46"/>
      <c r="B709" s="46"/>
      <c r="C709" s="46"/>
      <c r="D709" s="46"/>
      <c r="E709" s="47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</row>
    <row r="710" spans="1:33" x14ac:dyDescent="0.2">
      <c r="A710" s="46"/>
      <c r="B710" s="46"/>
      <c r="C710" s="46"/>
      <c r="D710" s="46"/>
      <c r="E710" s="47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</row>
    <row r="711" spans="1:33" x14ac:dyDescent="0.2">
      <c r="A711" s="46"/>
      <c r="B711" s="46"/>
      <c r="C711" s="46"/>
      <c r="D711" s="46"/>
      <c r="E711" s="47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</row>
    <row r="712" spans="1:33" x14ac:dyDescent="0.2">
      <c r="A712" s="46"/>
      <c r="B712" s="46"/>
      <c r="C712" s="46"/>
      <c r="D712" s="46"/>
      <c r="E712" s="47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</row>
    <row r="713" spans="1:33" x14ac:dyDescent="0.2">
      <c r="A713" s="46"/>
      <c r="B713" s="46"/>
      <c r="C713" s="46"/>
      <c r="D713" s="46"/>
      <c r="E713" s="47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</row>
    <row r="714" spans="1:33" x14ac:dyDescent="0.2">
      <c r="A714" s="46"/>
      <c r="B714" s="46"/>
      <c r="C714" s="46"/>
      <c r="D714" s="46"/>
      <c r="E714" s="47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</row>
    <row r="715" spans="1:33" x14ac:dyDescent="0.2">
      <c r="A715" s="46"/>
      <c r="B715" s="46"/>
      <c r="C715" s="46"/>
      <c r="D715" s="46"/>
      <c r="E715" s="47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</row>
    <row r="716" spans="1:33" x14ac:dyDescent="0.2">
      <c r="A716" s="46"/>
      <c r="B716" s="46"/>
      <c r="C716" s="46"/>
      <c r="D716" s="46"/>
      <c r="E716" s="47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</row>
    <row r="717" spans="1:33" x14ac:dyDescent="0.2">
      <c r="A717" s="46"/>
      <c r="B717" s="46"/>
      <c r="C717" s="46"/>
      <c r="D717" s="46"/>
      <c r="E717" s="47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</row>
    <row r="718" spans="1:33" x14ac:dyDescent="0.2">
      <c r="A718" s="46"/>
      <c r="B718" s="46"/>
      <c r="C718" s="46"/>
      <c r="D718" s="46"/>
      <c r="E718" s="47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</row>
    <row r="719" spans="1:33" x14ac:dyDescent="0.2">
      <c r="A719" s="46"/>
      <c r="B719" s="46"/>
      <c r="C719" s="46"/>
      <c r="D719" s="46"/>
      <c r="E719" s="47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</row>
    <row r="720" spans="1:33" x14ac:dyDescent="0.2">
      <c r="A720" s="46"/>
      <c r="B720" s="46"/>
      <c r="C720" s="46"/>
      <c r="D720" s="46"/>
      <c r="E720" s="47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</row>
    <row r="721" spans="1:33" x14ac:dyDescent="0.2">
      <c r="A721" s="46"/>
      <c r="B721" s="46"/>
      <c r="C721" s="46"/>
      <c r="D721" s="46"/>
      <c r="E721" s="47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</row>
    <row r="722" spans="1:33" x14ac:dyDescent="0.2">
      <c r="A722" s="46"/>
      <c r="B722" s="46"/>
      <c r="C722" s="46"/>
      <c r="D722" s="46"/>
      <c r="E722" s="47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</row>
    <row r="723" spans="1:33" x14ac:dyDescent="0.2">
      <c r="A723" s="46"/>
      <c r="B723" s="46"/>
      <c r="C723" s="46"/>
      <c r="D723" s="46"/>
      <c r="E723" s="47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</row>
    <row r="724" spans="1:33" x14ac:dyDescent="0.2">
      <c r="A724" s="46"/>
      <c r="B724" s="46"/>
      <c r="C724" s="46"/>
      <c r="D724" s="46"/>
      <c r="E724" s="47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</row>
    <row r="725" spans="1:33" x14ac:dyDescent="0.2">
      <c r="A725" s="46"/>
      <c r="B725" s="46"/>
      <c r="C725" s="46"/>
      <c r="D725" s="46"/>
      <c r="E725" s="47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</row>
    <row r="726" spans="1:33" x14ac:dyDescent="0.2">
      <c r="A726" s="46"/>
      <c r="B726" s="46"/>
      <c r="C726" s="46"/>
      <c r="D726" s="46"/>
      <c r="E726" s="47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</row>
    <row r="727" spans="1:33" x14ac:dyDescent="0.2">
      <c r="A727" s="46"/>
      <c r="B727" s="46"/>
      <c r="C727" s="46"/>
      <c r="D727" s="46"/>
      <c r="E727" s="47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</row>
    <row r="728" spans="1:33" x14ac:dyDescent="0.2">
      <c r="A728" s="46"/>
      <c r="B728" s="46"/>
      <c r="C728" s="46"/>
      <c r="D728" s="46"/>
      <c r="E728" s="47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</row>
    <row r="729" spans="1:33" x14ac:dyDescent="0.2">
      <c r="A729" s="46"/>
      <c r="B729" s="46"/>
      <c r="C729" s="46"/>
      <c r="D729" s="46"/>
      <c r="E729" s="47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</row>
    <row r="730" spans="1:33" x14ac:dyDescent="0.2">
      <c r="A730" s="46"/>
      <c r="B730" s="46"/>
      <c r="C730" s="46"/>
      <c r="D730" s="46"/>
      <c r="E730" s="47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</row>
    <row r="731" spans="1:33" x14ac:dyDescent="0.2">
      <c r="A731" s="46"/>
      <c r="B731" s="46"/>
      <c r="C731" s="46"/>
      <c r="D731" s="46"/>
      <c r="E731" s="47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</row>
    <row r="732" spans="1:33" x14ac:dyDescent="0.2">
      <c r="A732" s="46"/>
      <c r="B732" s="46"/>
      <c r="C732" s="46"/>
      <c r="D732" s="46"/>
      <c r="E732" s="47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</row>
    <row r="733" spans="1:33" x14ac:dyDescent="0.2">
      <c r="A733" s="46"/>
      <c r="B733" s="46"/>
      <c r="C733" s="46"/>
      <c r="D733" s="46"/>
      <c r="E733" s="47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</row>
    <row r="734" spans="1:33" x14ac:dyDescent="0.2">
      <c r="A734" s="46"/>
      <c r="B734" s="46"/>
      <c r="C734" s="46"/>
      <c r="D734" s="46"/>
      <c r="E734" s="47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</row>
    <row r="735" spans="1:33" x14ac:dyDescent="0.2">
      <c r="A735" s="46"/>
      <c r="B735" s="46"/>
      <c r="C735" s="46"/>
      <c r="D735" s="46"/>
      <c r="E735" s="47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</row>
    <row r="736" spans="1:33" x14ac:dyDescent="0.2">
      <c r="A736" s="46"/>
      <c r="B736" s="46"/>
      <c r="C736" s="46"/>
      <c r="D736" s="46"/>
      <c r="E736" s="47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</row>
    <row r="737" spans="1:33" x14ac:dyDescent="0.2">
      <c r="A737" s="46"/>
      <c r="B737" s="46"/>
      <c r="C737" s="46"/>
      <c r="D737" s="46"/>
      <c r="E737" s="47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</row>
    <row r="738" spans="1:33" x14ac:dyDescent="0.2">
      <c r="A738" s="46"/>
      <c r="B738" s="46"/>
      <c r="C738" s="46"/>
      <c r="D738" s="46"/>
      <c r="E738" s="47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</row>
    <row r="739" spans="1:33" x14ac:dyDescent="0.2">
      <c r="A739" s="46"/>
      <c r="B739" s="46"/>
      <c r="C739" s="46"/>
      <c r="D739" s="46"/>
      <c r="E739" s="47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</row>
    <row r="740" spans="1:33" x14ac:dyDescent="0.2">
      <c r="A740" s="46"/>
      <c r="B740" s="46"/>
      <c r="C740" s="46"/>
      <c r="D740" s="46"/>
      <c r="E740" s="47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</row>
    <row r="741" spans="1:33" x14ac:dyDescent="0.2">
      <c r="A741" s="46"/>
      <c r="B741" s="46"/>
      <c r="C741" s="46"/>
      <c r="D741" s="46"/>
      <c r="E741" s="47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</row>
    <row r="742" spans="1:33" x14ac:dyDescent="0.2">
      <c r="A742" s="46"/>
      <c r="B742" s="46"/>
      <c r="C742" s="46"/>
      <c r="D742" s="46"/>
      <c r="E742" s="47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</row>
    <row r="743" spans="1:33" x14ac:dyDescent="0.2">
      <c r="A743" s="46"/>
      <c r="B743" s="46"/>
      <c r="C743" s="46"/>
      <c r="D743" s="46"/>
      <c r="E743" s="47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</row>
  </sheetData>
  <autoFilter ref="A3:AE300" xr:uid="{8CFA59D6-1361-4492-9B36-F00223A1E0CA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91EC-730C-46A3-B339-44F0D41843C5}">
  <sheetPr codeName="Sheet16">
    <tabColor theme="5"/>
  </sheetPr>
  <dimension ref="A1:AX148"/>
  <sheetViews>
    <sheetView showGridLines="0" zoomScale="140" zoomScaleNormal="140" workbookViewId="0">
      <pane xSplit="3" ySplit="3" topLeftCell="D4" activePane="bottomRight" state="frozen"/>
      <selection activeCell="C2" sqref="C2"/>
      <selection pane="topRight" activeCell="C2" sqref="C2"/>
      <selection pane="bottomLeft" activeCell="C2" sqref="C2"/>
      <selection pane="bottomRight" activeCell="C2" sqref="C2"/>
    </sheetView>
  </sheetViews>
  <sheetFormatPr baseColWidth="10" defaultColWidth="8.83203125" defaultRowHeight="15" x14ac:dyDescent="0.2"/>
  <cols>
    <col min="1" max="1" width="11.83203125" bestFit="1" customWidth="1"/>
    <col min="2" max="2" width="8.83203125" style="10" customWidth="1"/>
    <col min="3" max="3" width="32.6640625" style="10" customWidth="1"/>
    <col min="4" max="7" width="10.6640625" customWidth="1"/>
    <col min="8" max="8" width="13.1640625" bestFit="1" customWidth="1"/>
    <col min="9" max="9" width="12.1640625" bestFit="1" customWidth="1"/>
    <col min="10" max="11" width="13.1640625" bestFit="1" customWidth="1"/>
    <col min="12" max="12" width="12.83203125" bestFit="1" customWidth="1"/>
    <col min="13" max="14" width="13.1640625" bestFit="1" customWidth="1"/>
    <col min="15" max="15" width="13.33203125" bestFit="1" customWidth="1"/>
    <col min="16" max="20" width="13.1640625" bestFit="1" customWidth="1"/>
    <col min="21" max="21" width="12.83203125" bestFit="1" customWidth="1"/>
    <col min="22" max="23" width="13.1640625" bestFit="1" customWidth="1"/>
    <col min="24" max="26" width="11.6640625" bestFit="1" customWidth="1"/>
    <col min="27" max="27" width="12.1640625" bestFit="1" customWidth="1"/>
    <col min="28" max="39" width="10.6640625" customWidth="1"/>
    <col min="45" max="46" width="10.5" bestFit="1" customWidth="1"/>
    <col min="49" max="51" width="12.83203125" bestFit="1" customWidth="1"/>
  </cols>
  <sheetData>
    <row r="1" spans="2:39" x14ac:dyDescent="0.2">
      <c r="V1" s="11"/>
    </row>
    <row r="2" spans="2:39" x14ac:dyDescent="0.2">
      <c r="C2" s="63" t="s">
        <v>882</v>
      </c>
      <c r="D2" s="31">
        <f>_xlfn.IFNA(INDEX('FX Rate'!$B$3:$ZZ$10,MATCH(PL_UAE!$C$2,'FX Rate'!$B$3:$B$10,0),MATCH(PL_UAE!D$3,'FX Rate'!$B$3:$ZZ$3,0)),0)</f>
        <v>243.73699999999999</v>
      </c>
      <c r="E2" s="31">
        <f>_xlfn.IFNA(INDEX('FX Rate'!$B$3:$ZZ$10,MATCH(PL_UAE!$C$2,'FX Rate'!$B$3:$B$10,0),MATCH(PL_UAE!E$3,'FX Rate'!$B$3:$ZZ$3,0)),0)</f>
        <v>432.35599999999999</v>
      </c>
      <c r="F2" s="31">
        <f>_xlfn.IFNA(INDEX('FX Rate'!$B$3:$ZZ$10,MATCH(PL_UAE!$C$2,'FX Rate'!$B$3:$B$10,0),MATCH(PL_UAE!F$3,'FX Rate'!$B$3:$ZZ$3,0)),0)</f>
        <v>378.99799999999999</v>
      </c>
      <c r="G2" s="31">
        <f>_xlfn.IFNA(INDEX('FX Rate'!$B$3:$ZZ$10,MATCH(PL_UAE!$C$2,'FX Rate'!$B$3:$B$10,0),MATCH(PL_UAE!G$3,'FX Rate'!$B$3:$ZZ$3,0)),0)</f>
        <v>363.93299999999999</v>
      </c>
      <c r="H2" s="31">
        <f>_xlfn.IFNA(INDEX('FX Rate'!$B$3:$ZZ$10,MATCH(PL_UAE!$C$2,'FX Rate'!$B$3:$B$10,0),MATCH(PL_UAE!H$3,'FX Rate'!$B$3:$ZZ$3,0)),0)</f>
        <v>372.74799999999999</v>
      </c>
      <c r="I2" s="31">
        <f>_xlfn.IFNA(INDEX('FX Rate'!$B$3:$ZZ$10,MATCH(PL_UAE!$C$2,'FX Rate'!$B$3:$B$10,0),MATCH(PL_UAE!I$3,'FX Rate'!$B$3:$ZZ$3,0)),0)</f>
        <v>417.84699999999998</v>
      </c>
      <c r="J2" s="31">
        <f>_xlfn.IFNA(INDEX('FX Rate'!$B$3:$ZZ$10,MATCH(PL_UAE!$C$2,'FX Rate'!$B$3:$B$10,0),MATCH(PL_UAE!J$3,'FX Rate'!$B$3:$ZZ$3,0)),0)</f>
        <v>443.31200000000001</v>
      </c>
      <c r="K2" s="31">
        <f>_xlfn.IFNA(INDEX('FX Rate'!$B$3:$ZZ$10,MATCH(PL_UAE!$C$2,'FX Rate'!$B$3:$B$10,0),MATCH(PL_UAE!K$3,'FX Rate'!$B$3:$ZZ$3,0)),0)</f>
        <v>432.88900000000001</v>
      </c>
      <c r="L2" s="31">
        <f>_xlfn.IFNA(INDEX('FX Rate'!$B$3:$ZZ$10,MATCH(PL_UAE!$C$2,'FX Rate'!$B$3:$B$10,0),MATCH(PL_UAE!L$3,'FX Rate'!$B$3:$ZZ$3,0)),0)</f>
        <v>454.089</v>
      </c>
      <c r="M2" s="31">
        <f>_xlfn.IFNA(INDEX('FX Rate'!$B$3:$ZZ$10,MATCH(PL_UAE!$C$2,'FX Rate'!$B$3:$B$10,0),MATCH(PL_UAE!M$3,'FX Rate'!$B$3:$ZZ$3,0)),0)</f>
        <v>447.34199999999998</v>
      </c>
      <c r="N2" s="31">
        <f>_xlfn.IFNA(INDEX('FX Rate'!$B$3:$ZZ$10,MATCH(PL_UAE!$C$2,'FX Rate'!$B$3:$B$10,0),MATCH(PL_UAE!N$3,'FX Rate'!$B$3:$ZZ$3,0)),0)</f>
        <v>458.12</v>
      </c>
      <c r="O2" s="31">
        <f>_xlfn.IFNA(INDEX('FX Rate'!$B$3:$ZZ$10,MATCH(PL_UAE!$C$2,'FX Rate'!$B$3:$B$10,0),MATCH(PL_UAE!O$3,'FX Rate'!$B$3:$ZZ$3,0)),0)</f>
        <v>421.072</v>
      </c>
      <c r="P2" s="31">
        <f>_xlfn.IFNA(INDEX('FX Rate'!$B$3:$ZZ$10,MATCH(PL_UAE!$C$2,'FX Rate'!$B$3:$B$10,0),MATCH(PL_UAE!P$3,'FX Rate'!$B$3:$ZZ$3,0)),0)</f>
        <v>418.58</v>
      </c>
      <c r="Q2" s="31">
        <f>_xlfn.IFNA(INDEX('FX Rate'!$B$3:$ZZ$10,MATCH(PL_UAE!$C$2,'FX Rate'!$B$3:$B$10,0),MATCH(PL_UAE!Q$3,'FX Rate'!$B$3:$ZZ$3,0)),0)</f>
        <v>407.86399999999998</v>
      </c>
      <c r="R2" s="31">
        <f>_xlfn.IFNA(INDEX('FX Rate'!$B$3:$ZZ$10,MATCH(PL_UAE!$C$2,'FX Rate'!$B$3:$B$10,0),MATCH(PL_UAE!R$3,'FX Rate'!$B$3:$ZZ$3,0)),0)</f>
        <v>418.03899999999999</v>
      </c>
      <c r="S2" s="31">
        <f>_xlfn.IFNA(INDEX('FX Rate'!$B$3:$ZZ$10,MATCH(PL_UAE!$C$2,'FX Rate'!$B$3:$B$10,0),MATCH(PL_UAE!S$3,'FX Rate'!$B$3:$ZZ$3,0)),0)</f>
        <v>436.06900000000002</v>
      </c>
      <c r="T2" s="31">
        <f>_xlfn.IFNA(INDEX('FX Rate'!$B$3:$ZZ$10,MATCH(PL_UAE!$C$2,'FX Rate'!$B$3:$B$10,0),MATCH(PL_UAE!T$3,'FX Rate'!$B$3:$ZZ$3,0)),0)</f>
        <v>432.25900000000001</v>
      </c>
      <c r="U2" s="31">
        <f>_xlfn.IFNA(INDEX('FX Rate'!$B$3:$ZZ$10,MATCH(PL_UAE!$C$2,'FX Rate'!$B$3:$B$10,0),MATCH(PL_UAE!U$3,'FX Rate'!$B$3:$ZZ$3,0)),0)</f>
        <v>419.67099999999999</v>
      </c>
      <c r="V2" s="31">
        <f>_xlfn.IFNA(INDEX('FX Rate'!$B$3:$ZZ$10,MATCH(PL_UAE!$C$2,'FX Rate'!$B$3:$B$10,0),MATCH(PL_UAE!V$3,'FX Rate'!$B$3:$ZZ$3,0)),0)</f>
        <v>416.66199999999998</v>
      </c>
      <c r="W2" s="31">
        <f>_xlfn.IFNA(INDEX('FX Rate'!$B$3:$ZZ$10,MATCH(PL_UAE!$C$2,'FX Rate'!$B$3:$B$10,0),MATCH(PL_UAE!W$3,'FX Rate'!$B$3:$ZZ$3,0)),0)</f>
        <v>418.75799999999998</v>
      </c>
      <c r="X2" s="31">
        <f>_xlfn.IFNA(INDEX('FX Rate'!$B$3:$ZZ$10,MATCH(PL_UAE!$C$2,'FX Rate'!$B$3:$B$10,0),MATCH(PL_UAE!X$3,'FX Rate'!$B$3:$ZZ$3,0)),0)</f>
        <v>403.92599999999999</v>
      </c>
      <c r="Y2" s="31">
        <f>_xlfn.IFNA(INDEX('FX Rate'!$B$3:$ZZ$10,MATCH(PL_UAE!$C$2,'FX Rate'!$B$3:$B$10,0),MATCH(PL_UAE!Y$3,'FX Rate'!$B$3:$ZZ$3,0)),0)</f>
        <v>394.6</v>
      </c>
      <c r="Z2" s="31">
        <f>_xlfn.IFNA(INDEX('FX Rate'!$B$3:$ZZ$10,MATCH(PL_UAE!$C$2,'FX Rate'!$B$3:$B$10,0),MATCH(PL_UAE!Z$3,'FX Rate'!$B$3:$ZZ$3,0)),0)</f>
        <v>394.02499999999998</v>
      </c>
      <c r="AA2" s="31">
        <f>_xlfn.IFNA(INDEX('FX Rate'!$B$3:$ZZ$10,MATCH(PL_UAE!$C$2,'FX Rate'!$B$3:$B$10,0),MATCH(PL_UAE!AA$3,'FX Rate'!$B$3:$ZZ$3,0)),0)</f>
        <v>394.637</v>
      </c>
      <c r="AB2" s="31">
        <f>_xlfn.IFNA(INDEX('FX Rate'!$B$3:$ZZ$10,MATCH(PL_UAE!$C$2,'FX Rate'!$B$3:$B$10,0),MATCH(PL_UAE!AB$3,'FX Rate'!$B$3:$ZZ$3,0)),0)</f>
        <v>377.78800000000001</v>
      </c>
      <c r="AC2" s="31">
        <f>_xlfn.IFNA(INDEX('FX Rate'!$B$3:$ZZ$10,MATCH(PL_UAE!$C$2,'FX Rate'!$B$3:$B$10,0),MATCH(PL_UAE!AC$3,'FX Rate'!$B$3:$ZZ$3,0)),0)</f>
        <v>369.45499999999998</v>
      </c>
      <c r="AD2" s="31">
        <f>_xlfn.IFNA(INDEX('FX Rate'!$B$3:$ZZ$10,MATCH(PL_UAE!$C$2,'FX Rate'!$B$3:$B$10,0),MATCH(PL_UAE!AD$3,'FX Rate'!$B$3:$ZZ$3,0)),0)</f>
        <v>376.42700000000002</v>
      </c>
      <c r="AE2" s="31">
        <f>_xlfn.IFNA(INDEX('FX Rate'!$B$3:$ZZ$10,MATCH(PL_UAE!$C$2,'FX Rate'!$B$3:$B$10,0),MATCH(PL_UAE!AE$3,'FX Rate'!$B$3:$ZZ$3,0)),0)</f>
        <v>374.19600000000003</v>
      </c>
      <c r="AF2" s="31">
        <f>_xlfn.IFNA(INDEX('FX Rate'!$B$3:$ZZ$10,MATCH(PL_UAE!$C$2,'FX Rate'!$B$3:$B$10,0),MATCH(PL_UAE!AF$3,'FX Rate'!$B$3:$ZZ$3,0)),0)</f>
        <v>0</v>
      </c>
      <c r="AG2" s="31">
        <f>_xlfn.IFNA(INDEX('FX Rate'!$B$3:$ZZ$10,MATCH(PL_UAE!$C$2,'FX Rate'!$B$3:$B$10,0),MATCH(PL_UAE!AG$3,'FX Rate'!$B$3:$ZZ$3,0)),0)</f>
        <v>0</v>
      </c>
      <c r="AH2" s="31">
        <f>_xlfn.IFNA(INDEX('FX Rate'!$B$3:$ZZ$10,MATCH(PL_UAE!$C$2,'FX Rate'!$B$3:$B$10,0),MATCH(PL_UAE!AH$3,'FX Rate'!$B$3:$ZZ$3,0)),0)</f>
        <v>0</v>
      </c>
      <c r="AI2" s="31">
        <f>_xlfn.IFNA(INDEX('FX Rate'!$B$3:$ZZ$10,MATCH(PL_UAE!$C$2,'FX Rate'!$B$3:$B$10,0),MATCH(PL_UAE!AI$3,'FX Rate'!$B$3:$ZZ$3,0)),0)</f>
        <v>0</v>
      </c>
      <c r="AJ2" s="31">
        <f>_xlfn.IFNA(INDEX('FX Rate'!$B$3:$ZZ$10,MATCH(PL_UAE!$C$2,'FX Rate'!$B$3:$B$10,0),MATCH(PL_UAE!AJ$3,'FX Rate'!$B$3:$ZZ$3,0)),0)</f>
        <v>0</v>
      </c>
      <c r="AK2" s="31">
        <f>_xlfn.IFNA(INDEX('FX Rate'!$B$3:$ZZ$10,MATCH(PL_UAE!$C$2,'FX Rate'!$B$3:$B$10,0),MATCH(PL_UAE!AK$3,'FX Rate'!$B$3:$ZZ$3,0)),0)</f>
        <v>0</v>
      </c>
      <c r="AL2" s="31">
        <f>_xlfn.IFNA(INDEX('FX Rate'!$B$3:$ZZ$10,MATCH(PL_UAE!$C$2,'FX Rate'!$B$3:$B$10,0),MATCH(PL_UAE!AL$3,'FX Rate'!$B$3:$ZZ$3,0)),0)</f>
        <v>0</v>
      </c>
      <c r="AM2" s="31">
        <f>_xlfn.IFNA(INDEX('FX Rate'!$B$3:$ZZ$10,MATCH(PL_UAE!$C$2,'FX Rate'!$B$3:$B$10,0),MATCH(PL_UAE!AM$3,'FX Rate'!$B$3:$ZZ$3,0)),0)</f>
        <v>0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>EOMONTH(M3,1)</f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x14ac:dyDescent="0.2">
      <c r="B5" s="19"/>
      <c r="C5" s="20" t="s">
        <v>92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x14ac:dyDescent="0.2">
      <c r="B6" s="21" t="s">
        <v>883</v>
      </c>
      <c r="C6" s="16" t="str">
        <f>_xlfn.XLOOKUP(B6,TB_UAE!A:A,TB_UAE!E:E)</f>
        <v>BioRegistra Income</v>
      </c>
      <c r="D6" s="17">
        <f>-_xlfn.XLOOKUP($C6,TB_UAE!$E:$E,TB_UAE!F:F)*D$2</f>
        <v>0</v>
      </c>
      <c r="E6" s="17">
        <f>-_xlfn.XLOOKUP($C6,TB_UAE!$E:$E,TB_UAE!G:G)*E$2</f>
        <v>0</v>
      </c>
      <c r="F6" s="17">
        <f>-_xlfn.XLOOKUP($C6,TB_UAE!$E:$E,TB_UAE!H:H)*F$2</f>
        <v>0</v>
      </c>
      <c r="G6" s="17">
        <f>-_xlfn.XLOOKUP($C6,TB_UAE!$E:$E,TB_UAE!I:I)*G$2</f>
        <v>0</v>
      </c>
      <c r="H6" s="17">
        <f>-_xlfn.XLOOKUP($C6,TB_UAE!$E:$E,TB_UAE!J:J)*H$2</f>
        <v>0</v>
      </c>
      <c r="I6" s="17">
        <f>-_xlfn.XLOOKUP($C6,TB_UAE!$E:$E,TB_UAE!K:K)*I$2</f>
        <v>0</v>
      </c>
      <c r="J6" s="17">
        <f>-_xlfn.XLOOKUP($C6,TB_UAE!$E:$E,TB_UAE!L:L)*J$2</f>
        <v>0</v>
      </c>
      <c r="K6" s="17">
        <f>-_xlfn.XLOOKUP($C6,TB_UAE!$E:$E,TB_UAE!M:M)*K$2</f>
        <v>0</v>
      </c>
      <c r="L6" s="17">
        <f>-_xlfn.XLOOKUP($C6,TB_UAE!$E:$E,TB_UAE!N:N)*L$2</f>
        <v>0</v>
      </c>
      <c r="M6" s="17">
        <f>-_xlfn.XLOOKUP($C6,TB_UAE!$E:$E,TB_UAE!O:O)*M$2</f>
        <v>0</v>
      </c>
      <c r="N6" s="17">
        <f>-_xlfn.XLOOKUP($C6,TB_UAE!$E:$E,TB_UAE!P:P)*N$2</f>
        <v>0</v>
      </c>
      <c r="O6" s="17">
        <f>-_xlfn.XLOOKUP($C6,TB_UAE!$E:$E,TB_UAE!Q:Q)*O$2</f>
        <v>0</v>
      </c>
      <c r="P6" s="17">
        <f>-_xlfn.XLOOKUP($C6,TB_UAE!$E:$E,TB_UAE!R:R)*P$2</f>
        <v>0</v>
      </c>
      <c r="Q6" s="17">
        <f>-_xlfn.XLOOKUP($C6,TB_UAE!$E:$E,TB_UAE!S:S)*Q$2</f>
        <v>0</v>
      </c>
      <c r="R6" s="17">
        <f>-_xlfn.XLOOKUP($C6,TB_UAE!$E:$E,TB_UAE!T:T)*R$2</f>
        <v>0</v>
      </c>
      <c r="S6" s="17">
        <f>-_xlfn.XLOOKUP($C6,TB_UAE!$E:$E,TB_UAE!U:U)*S$2</f>
        <v>0</v>
      </c>
      <c r="T6" s="17">
        <f>-_xlfn.XLOOKUP($C6,TB_UAE!$E:$E,TB_UAE!V:V)*T$2</f>
        <v>0</v>
      </c>
      <c r="U6" s="17">
        <f>-_xlfn.XLOOKUP($C6,TB_UAE!$E:$E,TB_UAE!W:W)*U$2</f>
        <v>0</v>
      </c>
      <c r="V6" s="17">
        <f>-_xlfn.XLOOKUP($C6,TB_UAE!$E:$E,TB_UAE!X:X)*V$2</f>
        <v>0</v>
      </c>
      <c r="W6" s="17">
        <f>-_xlfn.XLOOKUP($C6,TB_UAE!$E:$E,TB_UAE!Y:Y)*W$2</f>
        <v>0</v>
      </c>
      <c r="X6" s="17">
        <f>-_xlfn.XLOOKUP($C6,TB_UAE!$E:$E,TB_UAE!Z:Z)*X$2</f>
        <v>0</v>
      </c>
      <c r="Y6" s="17">
        <f>-_xlfn.XLOOKUP($C6,TB_UAE!$E:$E,TB_UAE!AA:AA)*Y$2</f>
        <v>0</v>
      </c>
      <c r="Z6" s="17">
        <f>-_xlfn.XLOOKUP($C6,TB_UAE!$E:$E,TB_UAE!AB:AB)*Z$2</f>
        <v>0</v>
      </c>
      <c r="AA6" s="17">
        <f>-_xlfn.XLOOKUP($C6,TB_UAE!$E:$E,TB_UAE!AC:AC)*AA$2</f>
        <v>0</v>
      </c>
      <c r="AB6" s="17">
        <f>-_xlfn.XLOOKUP($C6,TB_UAE!$E:$E,TB_UAE!AD:AD)*AB$2</f>
        <v>0</v>
      </c>
      <c r="AC6" s="17">
        <f>-_xlfn.XLOOKUP($C6,TB_UAE!$E:$E,TB_UAE!AE:AE)*AC$2</f>
        <v>0</v>
      </c>
      <c r="AD6" s="17">
        <f>-_xlfn.XLOOKUP($C6,TB_UAE!$E:$E,TB_UAE!AF:AF)*AD$2</f>
        <v>0</v>
      </c>
      <c r="AE6" s="17">
        <f>-_xlfn.XLOOKUP($C6,TB_UAE!$E:$E,TB_UAE!AG:AG)*AE$2</f>
        <v>0</v>
      </c>
      <c r="AF6" s="17">
        <f>-_xlfn.XLOOKUP($C6,TB_UAE!$E:$E,TB_UAE!AH:AH)*AF$2</f>
        <v>0</v>
      </c>
      <c r="AG6" s="17">
        <f>-_xlfn.XLOOKUP($C6,TB_UAE!$E:$E,TB_UAE!AI:AI)*AG$2</f>
        <v>0</v>
      </c>
      <c r="AH6" s="17">
        <f>-_xlfn.XLOOKUP($C6,TB_UAE!$E:$E,TB_UAE!AJ:AJ)*AH$2</f>
        <v>0</v>
      </c>
      <c r="AI6" s="17">
        <f>-_xlfn.XLOOKUP($C6,TB_UAE!$E:$E,TB_UAE!AK:AK)*AI$2</f>
        <v>0</v>
      </c>
      <c r="AJ6" s="17">
        <f>-_xlfn.XLOOKUP($C6,TB_UAE!$E:$E,TB_UAE!AL:AL)*AJ$2</f>
        <v>0</v>
      </c>
      <c r="AK6" s="17">
        <f>-_xlfn.XLOOKUP($C6,TB_UAE!$E:$E,TB_UAE!AM:AM)*AK$2</f>
        <v>0</v>
      </c>
      <c r="AL6" s="17">
        <f>-_xlfn.XLOOKUP($C6,TB_UAE!$E:$E,TB_UAE!AN:AN)*AL$2</f>
        <v>0</v>
      </c>
      <c r="AM6" s="17">
        <f>-_xlfn.XLOOKUP($C6,TB_UAE!$E:$E,TB_UAE!AO:AO)*AM$2</f>
        <v>0</v>
      </c>
    </row>
    <row r="7" spans="2:39" x14ac:dyDescent="0.2">
      <c r="B7" s="21" t="s">
        <v>884</v>
      </c>
      <c r="C7" s="16" t="str">
        <f>_xlfn.XLOOKUP(B7,TB_UAE!A:A,TB_UAE!E:E)</f>
        <v>Ancillary Income</v>
      </c>
      <c r="D7" s="17">
        <f>-_xlfn.XLOOKUP($C7,TB_UAE!$E:$E,TB_UAE!F:F)*D$2</f>
        <v>0</v>
      </c>
      <c r="E7" s="17">
        <f>-_xlfn.XLOOKUP($C7,TB_UAE!$E:$E,TB_UAE!G:G)*E$2</f>
        <v>0</v>
      </c>
      <c r="F7" s="17">
        <f>-_xlfn.XLOOKUP($C7,TB_UAE!$E:$E,TB_UAE!H:H)*F$2</f>
        <v>0</v>
      </c>
      <c r="G7" s="17">
        <f>-_xlfn.XLOOKUP($C7,TB_UAE!$E:$E,TB_UAE!I:I)*G$2</f>
        <v>0</v>
      </c>
      <c r="H7" s="17">
        <f>-_xlfn.XLOOKUP($C7,TB_UAE!$E:$E,TB_UAE!J:J)*H$2</f>
        <v>0</v>
      </c>
      <c r="I7" s="17">
        <f>-_xlfn.XLOOKUP($C7,TB_UAE!$E:$E,TB_UAE!K:K)*I$2</f>
        <v>0</v>
      </c>
      <c r="J7" s="17">
        <f>-_xlfn.XLOOKUP($C7,TB_UAE!$E:$E,TB_UAE!L:L)*J$2</f>
        <v>0</v>
      </c>
      <c r="K7" s="17">
        <f>-_xlfn.XLOOKUP($C7,TB_UAE!$E:$E,TB_UAE!M:M)*K$2</f>
        <v>0</v>
      </c>
      <c r="L7" s="17">
        <f>-_xlfn.XLOOKUP($C7,TB_UAE!$E:$E,TB_UAE!N:N)*L$2</f>
        <v>0</v>
      </c>
      <c r="M7" s="17">
        <f>-_xlfn.XLOOKUP($C7,TB_UAE!$E:$E,TB_UAE!O:O)*M$2</f>
        <v>0</v>
      </c>
      <c r="N7" s="17">
        <f>-_xlfn.XLOOKUP($C7,TB_UAE!$E:$E,TB_UAE!P:P)*N$2</f>
        <v>0</v>
      </c>
      <c r="O7" s="17">
        <f>-_xlfn.XLOOKUP($C7,TB_UAE!$E:$E,TB_UAE!Q:Q)*O$2</f>
        <v>0</v>
      </c>
      <c r="P7" s="17">
        <f>-_xlfn.XLOOKUP($C7,TB_UAE!$E:$E,TB_UAE!R:R)*P$2</f>
        <v>0</v>
      </c>
      <c r="Q7" s="17">
        <f>-_xlfn.XLOOKUP($C7,TB_UAE!$E:$E,TB_UAE!S:S)*Q$2</f>
        <v>0</v>
      </c>
      <c r="R7" s="17">
        <f>-_xlfn.XLOOKUP($C7,TB_UAE!$E:$E,TB_UAE!T:T)*R$2</f>
        <v>0</v>
      </c>
      <c r="S7" s="17">
        <f>-_xlfn.XLOOKUP($C7,TB_UAE!$E:$E,TB_UAE!U:U)*S$2</f>
        <v>0</v>
      </c>
      <c r="T7" s="17">
        <f>-_xlfn.XLOOKUP($C7,TB_UAE!$E:$E,TB_UAE!V:V)*T$2</f>
        <v>0</v>
      </c>
      <c r="U7" s="17">
        <f>-_xlfn.XLOOKUP($C7,TB_UAE!$E:$E,TB_UAE!W:W)*U$2</f>
        <v>0</v>
      </c>
      <c r="V7" s="17">
        <f>-_xlfn.XLOOKUP($C7,TB_UAE!$E:$E,TB_UAE!X:X)*V$2</f>
        <v>0</v>
      </c>
      <c r="W7" s="17">
        <f>-_xlfn.XLOOKUP($C7,TB_UAE!$E:$E,TB_UAE!Y:Y)*W$2</f>
        <v>0</v>
      </c>
      <c r="X7" s="17">
        <f>-_xlfn.XLOOKUP($C7,TB_UAE!$E:$E,TB_UAE!Z:Z)*X$2</f>
        <v>0</v>
      </c>
      <c r="Y7" s="17">
        <f>-_xlfn.XLOOKUP($C7,TB_UAE!$E:$E,TB_UAE!AA:AA)*Y$2</f>
        <v>0</v>
      </c>
      <c r="Z7" s="17">
        <f>-_xlfn.XLOOKUP($C7,TB_UAE!$E:$E,TB_UAE!AB:AB)*Z$2</f>
        <v>0</v>
      </c>
      <c r="AA7" s="17">
        <f>-_xlfn.XLOOKUP($C7,TB_UAE!$E:$E,TB_UAE!AC:AC)*AA$2</f>
        <v>0</v>
      </c>
      <c r="AB7" s="17">
        <f>-_xlfn.XLOOKUP($C7,TB_UAE!$E:$E,TB_UAE!AD:AD)*AB$2</f>
        <v>0</v>
      </c>
      <c r="AC7" s="17">
        <f>-_xlfn.XLOOKUP($C7,TB_UAE!$E:$E,TB_UAE!AE:AE)*AC$2</f>
        <v>0</v>
      </c>
      <c r="AD7" s="17">
        <f>-_xlfn.XLOOKUP($C7,TB_UAE!$E:$E,TB_UAE!AF:AF)*AD$2</f>
        <v>0</v>
      </c>
      <c r="AE7" s="17">
        <f>-_xlfn.XLOOKUP($C7,TB_UAE!$E:$E,TB_UAE!AG:AG)*AE$2</f>
        <v>0</v>
      </c>
      <c r="AF7" s="17">
        <f>-_xlfn.XLOOKUP($C7,TB_UAE!$E:$E,TB_UAE!AH:AH)*AF$2</f>
        <v>0</v>
      </c>
      <c r="AG7" s="17">
        <f>-_xlfn.XLOOKUP($C7,TB_UAE!$E:$E,TB_UAE!AI:AI)*AG$2</f>
        <v>0</v>
      </c>
      <c r="AH7" s="17">
        <f>-_xlfn.XLOOKUP($C7,TB_UAE!$E:$E,TB_UAE!AJ:AJ)*AH$2</f>
        <v>0</v>
      </c>
      <c r="AI7" s="17">
        <f>-_xlfn.XLOOKUP($C7,TB_UAE!$E:$E,TB_UAE!AK:AK)*AI$2</f>
        <v>0</v>
      </c>
      <c r="AJ7" s="17">
        <f>-_xlfn.XLOOKUP($C7,TB_UAE!$E:$E,TB_UAE!AL:AL)*AJ$2</f>
        <v>0</v>
      </c>
      <c r="AK7" s="17">
        <f>-_xlfn.XLOOKUP($C7,TB_UAE!$E:$E,TB_UAE!AM:AM)*AK$2</f>
        <v>0</v>
      </c>
      <c r="AL7" s="17">
        <f>-_xlfn.XLOOKUP($C7,TB_UAE!$E:$E,TB_UAE!AN:AN)*AL$2</f>
        <v>0</v>
      </c>
      <c r="AM7" s="17">
        <f>-_xlfn.XLOOKUP($C7,TB_UAE!$E:$E,TB_UAE!AO:AO)*AM$2</f>
        <v>0</v>
      </c>
    </row>
    <row r="8" spans="2:39" x14ac:dyDescent="0.2">
      <c r="B8" s="21" t="s">
        <v>885</v>
      </c>
      <c r="C8" s="16" t="str">
        <f>_xlfn.XLOOKUP(B8,TB_UAE!A:A,TB_UAE!E:E)</f>
        <v>NIMC Income</v>
      </c>
      <c r="D8" s="17">
        <f>-_xlfn.XLOOKUP($C8,TB_UAE!$E:$E,TB_UAE!F:F)*D$2</f>
        <v>0</v>
      </c>
      <c r="E8" s="17">
        <f>-_xlfn.XLOOKUP($C8,TB_UAE!$E:$E,TB_UAE!G:G)*E$2</f>
        <v>0</v>
      </c>
      <c r="F8" s="17">
        <f>-_xlfn.XLOOKUP($C8,TB_UAE!$E:$E,TB_UAE!H:H)*F$2</f>
        <v>0</v>
      </c>
      <c r="G8" s="17">
        <f>-_xlfn.XLOOKUP($C8,TB_UAE!$E:$E,TB_UAE!I:I)*G$2</f>
        <v>0</v>
      </c>
      <c r="H8" s="17">
        <f>-_xlfn.XLOOKUP($C8,TB_UAE!$E:$E,TB_UAE!J:J)*H$2</f>
        <v>0</v>
      </c>
      <c r="I8" s="17">
        <f>-_xlfn.XLOOKUP($C8,TB_UAE!$E:$E,TB_UAE!K:K)*I$2</f>
        <v>0</v>
      </c>
      <c r="J8" s="17">
        <f>-_xlfn.XLOOKUP($C8,TB_UAE!$E:$E,TB_UAE!L:L)*J$2</f>
        <v>0</v>
      </c>
      <c r="K8" s="17">
        <f>-_xlfn.XLOOKUP($C8,TB_UAE!$E:$E,TB_UAE!M:M)*K$2</f>
        <v>0</v>
      </c>
      <c r="L8" s="17">
        <f>-_xlfn.XLOOKUP($C8,TB_UAE!$E:$E,TB_UAE!N:N)*L$2</f>
        <v>0</v>
      </c>
      <c r="M8" s="17">
        <f>-_xlfn.XLOOKUP($C8,TB_UAE!$E:$E,TB_UAE!O:O)*M$2</f>
        <v>0</v>
      </c>
      <c r="N8" s="17">
        <f>-_xlfn.XLOOKUP($C8,TB_UAE!$E:$E,TB_UAE!P:P)*N$2</f>
        <v>0</v>
      </c>
      <c r="O8" s="17">
        <f>-_xlfn.XLOOKUP($C8,TB_UAE!$E:$E,TB_UAE!Q:Q)*O$2</f>
        <v>0</v>
      </c>
      <c r="P8" s="17">
        <f>-_xlfn.XLOOKUP($C8,TB_UAE!$E:$E,TB_UAE!R:R)*P$2</f>
        <v>0</v>
      </c>
      <c r="Q8" s="17">
        <f>-_xlfn.XLOOKUP($C8,TB_UAE!$E:$E,TB_UAE!S:S)*Q$2</f>
        <v>0</v>
      </c>
      <c r="R8" s="17">
        <f>-_xlfn.XLOOKUP($C8,TB_UAE!$E:$E,TB_UAE!T:T)*R$2</f>
        <v>0</v>
      </c>
      <c r="S8" s="17">
        <f>-_xlfn.XLOOKUP($C8,TB_UAE!$E:$E,TB_UAE!U:U)*S$2</f>
        <v>0</v>
      </c>
      <c r="T8" s="17">
        <f>-_xlfn.XLOOKUP($C8,TB_UAE!$E:$E,TB_UAE!V:V)*T$2</f>
        <v>0</v>
      </c>
      <c r="U8" s="17">
        <f>-_xlfn.XLOOKUP($C8,TB_UAE!$E:$E,TB_UAE!W:W)*U$2</f>
        <v>0</v>
      </c>
      <c r="V8" s="17">
        <f>-_xlfn.XLOOKUP($C8,TB_UAE!$E:$E,TB_UAE!X:X)*V$2</f>
        <v>0</v>
      </c>
      <c r="W8" s="17">
        <f>-_xlfn.XLOOKUP($C8,TB_UAE!$E:$E,TB_UAE!Y:Y)*W$2</f>
        <v>0</v>
      </c>
      <c r="X8" s="17">
        <f>-_xlfn.XLOOKUP($C8,TB_UAE!$E:$E,TB_UAE!Z:Z)*X$2</f>
        <v>0</v>
      </c>
      <c r="Y8" s="17">
        <f>-_xlfn.XLOOKUP($C8,TB_UAE!$E:$E,TB_UAE!AA:AA)*Y$2</f>
        <v>0</v>
      </c>
      <c r="Z8" s="17">
        <f>-_xlfn.XLOOKUP($C8,TB_UAE!$E:$E,TB_UAE!AB:AB)*Z$2</f>
        <v>0</v>
      </c>
      <c r="AA8" s="17">
        <f>-_xlfn.XLOOKUP($C8,TB_UAE!$E:$E,TB_UAE!AC:AC)*AA$2</f>
        <v>0</v>
      </c>
      <c r="AB8" s="17">
        <f>-_xlfn.XLOOKUP($C8,TB_UAE!$E:$E,TB_UAE!AD:AD)*AB$2</f>
        <v>0</v>
      </c>
      <c r="AC8" s="17">
        <f>-_xlfn.XLOOKUP($C8,TB_UAE!$E:$E,TB_UAE!AE:AE)*AC$2</f>
        <v>0</v>
      </c>
      <c r="AD8" s="17">
        <f>-_xlfn.XLOOKUP($C8,TB_UAE!$E:$E,TB_UAE!AF:AF)*AD$2</f>
        <v>0</v>
      </c>
      <c r="AE8" s="17">
        <f>-_xlfn.XLOOKUP($C8,TB_UAE!$E:$E,TB_UAE!AG:AG)*AE$2</f>
        <v>0</v>
      </c>
      <c r="AF8" s="17">
        <f>-_xlfn.XLOOKUP($C8,TB_UAE!$E:$E,TB_UAE!AH:AH)*AF$2</f>
        <v>0</v>
      </c>
      <c r="AG8" s="17">
        <f>-_xlfn.XLOOKUP($C8,TB_UAE!$E:$E,TB_UAE!AI:AI)*AG$2</f>
        <v>0</v>
      </c>
      <c r="AH8" s="17">
        <f>-_xlfn.XLOOKUP($C8,TB_UAE!$E:$E,TB_UAE!AJ:AJ)*AH$2</f>
        <v>0</v>
      </c>
      <c r="AI8" s="17">
        <f>-_xlfn.XLOOKUP($C8,TB_UAE!$E:$E,TB_UAE!AK:AK)*AI$2</f>
        <v>0</v>
      </c>
      <c r="AJ8" s="17">
        <f>-_xlfn.XLOOKUP($C8,TB_UAE!$E:$E,TB_UAE!AL:AL)*AJ$2</f>
        <v>0</v>
      </c>
      <c r="AK8" s="17">
        <f>-_xlfn.XLOOKUP($C8,TB_UAE!$E:$E,TB_UAE!AM:AM)*AK$2</f>
        <v>0</v>
      </c>
      <c r="AL8" s="17">
        <f>-_xlfn.XLOOKUP($C8,TB_UAE!$E:$E,TB_UAE!AN:AN)*AL$2</f>
        <v>0</v>
      </c>
      <c r="AM8" s="17">
        <f>-_xlfn.XLOOKUP($C8,TB_UAE!$E:$E,TB_UAE!AO:AO)*AM$2</f>
        <v>0</v>
      </c>
    </row>
    <row r="9" spans="2:39" x14ac:dyDescent="0.2">
      <c r="B9" s="21" t="s">
        <v>886</v>
      </c>
      <c r="C9" s="16" t="str">
        <f>_xlfn.XLOOKUP(B9,TB_UAE!A:A,TB_UAE!E:E)</f>
        <v>NCC Income</v>
      </c>
      <c r="D9" s="17">
        <f>-_xlfn.XLOOKUP($C9,TB_UAE!$E:$E,TB_UAE!F:F)*D$2</f>
        <v>0</v>
      </c>
      <c r="E9" s="17">
        <f>-_xlfn.XLOOKUP($C9,TB_UAE!$E:$E,TB_UAE!G:G)*E$2</f>
        <v>0</v>
      </c>
      <c r="F9" s="17">
        <f>-_xlfn.XLOOKUP($C9,TB_UAE!$E:$E,TB_UAE!H:H)*F$2</f>
        <v>0</v>
      </c>
      <c r="G9" s="17">
        <f>-_xlfn.XLOOKUP($C9,TB_UAE!$E:$E,TB_UAE!I:I)*G$2</f>
        <v>0</v>
      </c>
      <c r="H9" s="17">
        <f>-_xlfn.XLOOKUP($C9,TB_UAE!$E:$E,TB_UAE!J:J)*H$2</f>
        <v>0</v>
      </c>
      <c r="I9" s="17">
        <f>-_xlfn.XLOOKUP($C9,TB_UAE!$E:$E,TB_UAE!K:K)*I$2</f>
        <v>0</v>
      </c>
      <c r="J9" s="17">
        <f>-_xlfn.XLOOKUP($C9,TB_UAE!$E:$E,TB_UAE!L:L)*J$2</f>
        <v>0</v>
      </c>
      <c r="K9" s="17">
        <f>-_xlfn.XLOOKUP($C9,TB_UAE!$E:$E,TB_UAE!M:M)*K$2</f>
        <v>0</v>
      </c>
      <c r="L9" s="17">
        <f>-_xlfn.XLOOKUP($C9,TB_UAE!$E:$E,TB_UAE!N:N)*L$2</f>
        <v>0</v>
      </c>
      <c r="M9" s="17">
        <f>-_xlfn.XLOOKUP($C9,TB_UAE!$E:$E,TB_UAE!O:O)*M$2</f>
        <v>0</v>
      </c>
      <c r="N9" s="17">
        <f>-_xlfn.XLOOKUP($C9,TB_UAE!$E:$E,TB_UAE!P:P)*N$2</f>
        <v>0</v>
      </c>
      <c r="O9" s="17">
        <f>-_xlfn.XLOOKUP($C9,TB_UAE!$E:$E,TB_UAE!Q:Q)*O$2</f>
        <v>0</v>
      </c>
      <c r="P9" s="17">
        <f>-_xlfn.XLOOKUP($C9,TB_UAE!$E:$E,TB_UAE!R:R)*P$2</f>
        <v>0</v>
      </c>
      <c r="Q9" s="17">
        <f>-_xlfn.XLOOKUP($C9,TB_UAE!$E:$E,TB_UAE!S:S)*Q$2</f>
        <v>0</v>
      </c>
      <c r="R9" s="17">
        <f>-_xlfn.XLOOKUP($C9,TB_UAE!$E:$E,TB_UAE!T:T)*R$2</f>
        <v>0</v>
      </c>
      <c r="S9" s="17">
        <f>-_xlfn.XLOOKUP($C9,TB_UAE!$E:$E,TB_UAE!U:U)*S$2</f>
        <v>0</v>
      </c>
      <c r="T9" s="17">
        <f>-_xlfn.XLOOKUP($C9,TB_UAE!$E:$E,TB_UAE!V:V)*T$2</f>
        <v>0</v>
      </c>
      <c r="U9" s="17">
        <f>-_xlfn.XLOOKUP($C9,TB_UAE!$E:$E,TB_UAE!W:W)*U$2</f>
        <v>0</v>
      </c>
      <c r="V9" s="17">
        <f>-_xlfn.XLOOKUP($C9,TB_UAE!$E:$E,TB_UAE!X:X)*V$2</f>
        <v>0</v>
      </c>
      <c r="W9" s="17">
        <f>-_xlfn.XLOOKUP($C9,TB_UAE!$E:$E,TB_UAE!Y:Y)*W$2</f>
        <v>0</v>
      </c>
      <c r="X9" s="17">
        <f>-_xlfn.XLOOKUP($C9,TB_UAE!$E:$E,TB_UAE!Z:Z)*X$2</f>
        <v>0</v>
      </c>
      <c r="Y9" s="17">
        <f>-_xlfn.XLOOKUP($C9,TB_UAE!$E:$E,TB_UAE!AA:AA)*Y$2</f>
        <v>0</v>
      </c>
      <c r="Z9" s="17">
        <f>-_xlfn.XLOOKUP($C9,TB_UAE!$E:$E,TB_UAE!AB:AB)*Z$2</f>
        <v>0</v>
      </c>
      <c r="AA9" s="17">
        <f>-_xlfn.XLOOKUP($C9,TB_UAE!$E:$E,TB_UAE!AC:AC)*AA$2</f>
        <v>0</v>
      </c>
      <c r="AB9" s="17">
        <f>-_xlfn.XLOOKUP($C9,TB_UAE!$E:$E,TB_UAE!AD:AD)*AB$2</f>
        <v>0</v>
      </c>
      <c r="AC9" s="17">
        <f>-_xlfn.XLOOKUP($C9,TB_UAE!$E:$E,TB_UAE!AE:AE)*AC$2</f>
        <v>0</v>
      </c>
      <c r="AD9" s="17">
        <f>-_xlfn.XLOOKUP($C9,TB_UAE!$E:$E,TB_UAE!AF:AF)*AD$2</f>
        <v>0</v>
      </c>
      <c r="AE9" s="17">
        <f>-_xlfn.XLOOKUP($C9,TB_UAE!$E:$E,TB_UAE!AG:AG)*AE$2</f>
        <v>0</v>
      </c>
      <c r="AF9" s="17">
        <f>-_xlfn.XLOOKUP($C9,TB_UAE!$E:$E,TB_UAE!AH:AH)*AF$2</f>
        <v>0</v>
      </c>
      <c r="AG9" s="17">
        <f>-_xlfn.XLOOKUP($C9,TB_UAE!$E:$E,TB_UAE!AI:AI)*AG$2</f>
        <v>0</v>
      </c>
      <c r="AH9" s="17">
        <f>-_xlfn.XLOOKUP($C9,TB_UAE!$E:$E,TB_UAE!AJ:AJ)*AH$2</f>
        <v>0</v>
      </c>
      <c r="AI9" s="17">
        <f>-_xlfn.XLOOKUP($C9,TB_UAE!$E:$E,TB_UAE!AK:AK)*AI$2</f>
        <v>0</v>
      </c>
      <c r="AJ9" s="17">
        <f>-_xlfn.XLOOKUP($C9,TB_UAE!$E:$E,TB_UAE!AL:AL)*AJ$2</f>
        <v>0</v>
      </c>
      <c r="AK9" s="17">
        <f>-_xlfn.XLOOKUP($C9,TB_UAE!$E:$E,TB_UAE!AM:AM)*AK$2</f>
        <v>0</v>
      </c>
      <c r="AL9" s="17">
        <f>-_xlfn.XLOOKUP($C9,TB_UAE!$E:$E,TB_UAE!AN:AN)*AL$2</f>
        <v>0</v>
      </c>
      <c r="AM9" s="17">
        <f>-_xlfn.XLOOKUP($C9,TB_UAE!$E:$E,TB_UAE!AO:AO)*AM$2</f>
        <v>0</v>
      </c>
    </row>
    <row r="10" spans="2:39" x14ac:dyDescent="0.2">
      <c r="B10" s="15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8"/>
    </row>
    <row r="11" spans="2:39" x14ac:dyDescent="0.2">
      <c r="B11" s="15"/>
      <c r="C11" s="22" t="s">
        <v>4</v>
      </c>
      <c r="D11" s="23">
        <f t="shared" ref="D11:AM11" si="1">SUM(D6:D10)</f>
        <v>0</v>
      </c>
      <c r="E11" s="23">
        <f t="shared" si="1"/>
        <v>0</v>
      </c>
      <c r="F11" s="23">
        <f t="shared" si="1"/>
        <v>0</v>
      </c>
      <c r="G11" s="23">
        <f t="shared" si="1"/>
        <v>0</v>
      </c>
      <c r="H11" s="23">
        <f t="shared" si="1"/>
        <v>0</v>
      </c>
      <c r="I11" s="23">
        <f t="shared" si="1"/>
        <v>0</v>
      </c>
      <c r="J11" s="23">
        <f t="shared" si="1"/>
        <v>0</v>
      </c>
      <c r="K11" s="23">
        <f t="shared" si="1"/>
        <v>0</v>
      </c>
      <c r="L11" s="23">
        <f t="shared" si="1"/>
        <v>0</v>
      </c>
      <c r="M11" s="23">
        <f t="shared" si="1"/>
        <v>0</v>
      </c>
      <c r="N11" s="23">
        <f t="shared" si="1"/>
        <v>0</v>
      </c>
      <c r="O11" s="23">
        <f t="shared" si="1"/>
        <v>0</v>
      </c>
      <c r="P11" s="23">
        <f t="shared" si="1"/>
        <v>0</v>
      </c>
      <c r="Q11" s="23">
        <f t="shared" si="1"/>
        <v>0</v>
      </c>
      <c r="R11" s="23">
        <f t="shared" si="1"/>
        <v>0</v>
      </c>
      <c r="S11" s="23">
        <f t="shared" si="1"/>
        <v>0</v>
      </c>
      <c r="T11" s="23">
        <f t="shared" si="1"/>
        <v>0</v>
      </c>
      <c r="U11" s="23">
        <f t="shared" si="1"/>
        <v>0</v>
      </c>
      <c r="V11" s="23">
        <f t="shared" si="1"/>
        <v>0</v>
      </c>
      <c r="W11" s="23">
        <f t="shared" si="1"/>
        <v>0</v>
      </c>
      <c r="X11" s="23">
        <f t="shared" si="1"/>
        <v>0</v>
      </c>
      <c r="Y11" s="23">
        <f t="shared" si="1"/>
        <v>0</v>
      </c>
      <c r="Z11" s="23">
        <f t="shared" si="1"/>
        <v>0</v>
      </c>
      <c r="AA11" s="23">
        <f>SUM(AA6:AA10)</f>
        <v>0</v>
      </c>
      <c r="AB11" s="23">
        <f t="shared" si="1"/>
        <v>0</v>
      </c>
      <c r="AC11" s="23">
        <f t="shared" si="1"/>
        <v>0</v>
      </c>
      <c r="AD11" s="23">
        <f t="shared" si="1"/>
        <v>0</v>
      </c>
      <c r="AE11" s="23">
        <f t="shared" si="1"/>
        <v>0</v>
      </c>
      <c r="AF11" s="23">
        <f t="shared" si="1"/>
        <v>0</v>
      </c>
      <c r="AG11" s="23">
        <f t="shared" si="1"/>
        <v>0</v>
      </c>
      <c r="AH11" s="23">
        <f t="shared" si="1"/>
        <v>0</v>
      </c>
      <c r="AI11" s="23">
        <f t="shared" si="1"/>
        <v>0</v>
      </c>
      <c r="AJ11" s="23">
        <f t="shared" si="1"/>
        <v>0</v>
      </c>
      <c r="AK11" s="23">
        <f t="shared" si="1"/>
        <v>0</v>
      </c>
      <c r="AL11" s="23">
        <f t="shared" si="1"/>
        <v>0</v>
      </c>
      <c r="AM11" s="23">
        <f t="shared" si="1"/>
        <v>0</v>
      </c>
    </row>
    <row r="12" spans="2:39" x14ac:dyDescent="0.2">
      <c r="B12" s="15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8"/>
    </row>
    <row r="13" spans="2:39" x14ac:dyDescent="0.2">
      <c r="B13" s="15"/>
      <c r="C13" s="20" t="s">
        <v>103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8"/>
    </row>
    <row r="14" spans="2:39" x14ac:dyDescent="0.2">
      <c r="B14" s="21" t="s">
        <v>887</v>
      </c>
      <c r="C14" s="16" t="str">
        <f>_xlfn.XLOOKUP(B14,TB_UAE!A:A,TB_UAE!E:E)</f>
        <v>COS - Hardware Purchases</v>
      </c>
      <c r="D14" s="17">
        <f>-_xlfn.XLOOKUP($C14,TB_UAE!$E:$E,TB_UAE!F:F)*D$2</f>
        <v>0</v>
      </c>
      <c r="E14" s="17">
        <f>-_xlfn.XLOOKUP($C14,TB_UAE!$E:$E,TB_UAE!G:G)*E$2</f>
        <v>0</v>
      </c>
      <c r="F14" s="17">
        <f>-_xlfn.XLOOKUP($C14,TB_UAE!$E:$E,TB_UAE!H:H)*F$2</f>
        <v>0</v>
      </c>
      <c r="G14" s="17">
        <f>-_xlfn.XLOOKUP($C14,TB_UAE!$E:$E,TB_UAE!I:I)*G$2</f>
        <v>0</v>
      </c>
      <c r="H14" s="17">
        <f>-_xlfn.XLOOKUP($C14,TB_UAE!$E:$E,TB_UAE!J:J)*H$2</f>
        <v>0</v>
      </c>
      <c r="I14" s="17">
        <f>-_xlfn.XLOOKUP($C14,TB_UAE!$E:$E,TB_UAE!K:K)*I$2</f>
        <v>0</v>
      </c>
      <c r="J14" s="17">
        <f>-_xlfn.XLOOKUP($C14,TB_UAE!$E:$E,TB_UAE!L:L)*J$2</f>
        <v>0</v>
      </c>
      <c r="K14" s="17">
        <f>-_xlfn.XLOOKUP($C14,TB_UAE!$E:$E,TB_UAE!M:M)*K$2</f>
        <v>0</v>
      </c>
      <c r="L14" s="17">
        <f>-_xlfn.XLOOKUP($C14,TB_UAE!$E:$E,TB_UAE!N:N)*L$2</f>
        <v>0</v>
      </c>
      <c r="M14" s="17">
        <f>-_xlfn.XLOOKUP($C14,TB_UAE!$E:$E,TB_UAE!O:O)*M$2</f>
        <v>0</v>
      </c>
      <c r="N14" s="17">
        <f>-_xlfn.XLOOKUP($C14,TB_UAE!$E:$E,TB_UAE!P:P)*N$2</f>
        <v>0</v>
      </c>
      <c r="O14" s="17">
        <f>-_xlfn.XLOOKUP($C14,TB_UAE!$E:$E,TB_UAE!Q:Q)*O$2</f>
        <v>0</v>
      </c>
      <c r="P14" s="17">
        <f>-_xlfn.XLOOKUP($C14,TB_UAE!$E:$E,TB_UAE!R:R)*P$2</f>
        <v>0</v>
      </c>
      <c r="Q14" s="17">
        <f>-_xlfn.XLOOKUP($C14,TB_UAE!$E:$E,TB_UAE!S:S)*Q$2</f>
        <v>0</v>
      </c>
      <c r="R14" s="17">
        <f>-_xlfn.XLOOKUP($C14,TB_UAE!$E:$E,TB_UAE!T:T)*R$2</f>
        <v>0</v>
      </c>
      <c r="S14" s="17">
        <f>-_xlfn.XLOOKUP($C14,TB_UAE!$E:$E,TB_UAE!U:U)*S$2</f>
        <v>0</v>
      </c>
      <c r="T14" s="17">
        <f>-_xlfn.XLOOKUP($C14,TB_UAE!$E:$E,TB_UAE!V:V)*T$2</f>
        <v>0</v>
      </c>
      <c r="U14" s="17">
        <f>-_xlfn.XLOOKUP($C14,TB_UAE!$E:$E,TB_UAE!W:W)*U$2</f>
        <v>0</v>
      </c>
      <c r="V14" s="17">
        <f>-_xlfn.XLOOKUP($C14,TB_UAE!$E:$E,TB_UAE!X:X)*V$2</f>
        <v>0</v>
      </c>
      <c r="W14" s="17">
        <f>-_xlfn.XLOOKUP($C14,TB_UAE!$E:$E,TB_UAE!Y:Y)*W$2</f>
        <v>0</v>
      </c>
      <c r="X14" s="17">
        <f>-_xlfn.XLOOKUP($C14,TB_UAE!$E:$E,TB_UAE!Z:Z)*X$2</f>
        <v>0</v>
      </c>
      <c r="Y14" s="17">
        <f>-_xlfn.XLOOKUP($C14,TB_UAE!$E:$E,TB_UAE!AA:AA)*Y$2</f>
        <v>0</v>
      </c>
      <c r="Z14" s="17">
        <f>-_xlfn.XLOOKUP($C14,TB_UAE!$E:$E,TB_UAE!AB:AB)*Z$2</f>
        <v>0</v>
      </c>
      <c r="AA14" s="17">
        <f>-_xlfn.XLOOKUP($C14,TB_UAE!$E:$E,TB_UAE!AC:AC)*AA$2</f>
        <v>0</v>
      </c>
      <c r="AB14" s="17">
        <f>-_xlfn.XLOOKUP($C14,TB_UAE!$E:$E,TB_UAE!AD:AD)*AB$2</f>
        <v>0</v>
      </c>
      <c r="AC14" s="17">
        <f>-_xlfn.XLOOKUP($C14,TB_UAE!$E:$E,TB_UAE!AE:AE)*AC$2</f>
        <v>0</v>
      </c>
      <c r="AD14" s="17">
        <f>-_xlfn.XLOOKUP($C14,TB_UAE!$E:$E,TB_UAE!AF:AF)*AD$2</f>
        <v>0</v>
      </c>
      <c r="AE14" s="17">
        <f>-_xlfn.XLOOKUP($C14,TB_UAE!$E:$E,TB_UAE!AG:AG)*AE$2</f>
        <v>0</v>
      </c>
      <c r="AF14" s="17">
        <f>-_xlfn.XLOOKUP($C14,TB_UAE!$E:$E,TB_UAE!AH:AH)*AF$2</f>
        <v>0</v>
      </c>
      <c r="AG14" s="17">
        <f>-_xlfn.XLOOKUP($C14,TB_UAE!$E:$E,TB_UAE!AI:AI)*AG$2</f>
        <v>0</v>
      </c>
      <c r="AH14" s="17">
        <f>-_xlfn.XLOOKUP($C14,TB_UAE!$E:$E,TB_UAE!AJ:AJ)*AH$2</f>
        <v>0</v>
      </c>
      <c r="AI14" s="17">
        <f>-_xlfn.XLOOKUP($C14,TB_UAE!$E:$E,TB_UAE!AK:AK)*AI$2</f>
        <v>0</v>
      </c>
      <c r="AJ14" s="17">
        <f>-_xlfn.XLOOKUP($C14,TB_UAE!$E:$E,TB_UAE!AL:AL)*AJ$2</f>
        <v>0</v>
      </c>
      <c r="AK14" s="17">
        <f>-_xlfn.XLOOKUP($C14,TB_UAE!$E:$E,TB_UAE!AM:AM)*AK$2</f>
        <v>0</v>
      </c>
      <c r="AL14" s="17">
        <f>-_xlfn.XLOOKUP($C14,TB_UAE!$E:$E,TB_UAE!AN:AN)*AL$2</f>
        <v>0</v>
      </c>
      <c r="AM14" s="17">
        <f>-_xlfn.XLOOKUP($C14,TB_UAE!$E:$E,TB_UAE!AO:AO)*AM$2</f>
        <v>0</v>
      </c>
    </row>
    <row r="15" spans="2:39" x14ac:dyDescent="0.2">
      <c r="B15" s="21" t="s">
        <v>888</v>
      </c>
      <c r="C15" s="16" t="str">
        <f>_xlfn.XLOOKUP(B15,TB_UAE!A:A,TB_UAE!E:E)</f>
        <v>COGS - Direct Labor Costs</v>
      </c>
      <c r="D15" s="17">
        <f>-_xlfn.XLOOKUP($C15,TB_UAE!$E:$E,TB_UAE!F:F)*D$2</f>
        <v>0</v>
      </c>
      <c r="E15" s="17">
        <f>-_xlfn.XLOOKUP($C15,TB_UAE!$E:$E,TB_UAE!G:G)*E$2</f>
        <v>0</v>
      </c>
      <c r="F15" s="17">
        <f>-_xlfn.XLOOKUP($C15,TB_UAE!$E:$E,TB_UAE!H:H)*F$2</f>
        <v>0</v>
      </c>
      <c r="G15" s="17">
        <f>-_xlfn.XLOOKUP($C15,TB_UAE!$E:$E,TB_UAE!I:I)*G$2</f>
        <v>0</v>
      </c>
      <c r="H15" s="17">
        <f>-_xlfn.XLOOKUP($C15,TB_UAE!$E:$E,TB_UAE!J:J)*H$2</f>
        <v>0</v>
      </c>
      <c r="I15" s="17">
        <f>-_xlfn.XLOOKUP($C15,TB_UAE!$E:$E,TB_UAE!K:K)*I$2</f>
        <v>0</v>
      </c>
      <c r="J15" s="17">
        <f>-_xlfn.XLOOKUP($C15,TB_UAE!$E:$E,TB_UAE!L:L)*J$2</f>
        <v>0</v>
      </c>
      <c r="K15" s="17">
        <f>-_xlfn.XLOOKUP($C15,TB_UAE!$E:$E,TB_UAE!M:M)*K$2</f>
        <v>0</v>
      </c>
      <c r="L15" s="17">
        <f>-_xlfn.XLOOKUP($C15,TB_UAE!$E:$E,TB_UAE!N:N)*L$2</f>
        <v>0</v>
      </c>
      <c r="M15" s="17">
        <f>-_xlfn.XLOOKUP($C15,TB_UAE!$E:$E,TB_UAE!O:O)*M$2</f>
        <v>0</v>
      </c>
      <c r="N15" s="17">
        <f>-_xlfn.XLOOKUP($C15,TB_UAE!$E:$E,TB_UAE!P:P)*N$2</f>
        <v>0</v>
      </c>
      <c r="O15" s="17">
        <f>-_xlfn.XLOOKUP($C15,TB_UAE!$E:$E,TB_UAE!Q:Q)*O$2</f>
        <v>0</v>
      </c>
      <c r="P15" s="17">
        <f>-_xlfn.XLOOKUP($C15,TB_UAE!$E:$E,TB_UAE!R:R)*P$2</f>
        <v>0</v>
      </c>
      <c r="Q15" s="17">
        <f>-_xlfn.XLOOKUP($C15,TB_UAE!$E:$E,TB_UAE!S:S)*Q$2</f>
        <v>0</v>
      </c>
      <c r="R15" s="17">
        <f>-_xlfn.XLOOKUP($C15,TB_UAE!$E:$E,TB_UAE!T:T)*R$2</f>
        <v>0</v>
      </c>
      <c r="S15" s="17">
        <f>-_xlfn.XLOOKUP($C15,TB_UAE!$E:$E,TB_UAE!U:U)*S$2</f>
        <v>0</v>
      </c>
      <c r="T15" s="17">
        <f>-_xlfn.XLOOKUP($C15,TB_UAE!$E:$E,TB_UAE!V:V)*T$2</f>
        <v>0</v>
      </c>
      <c r="U15" s="17">
        <f>-_xlfn.XLOOKUP($C15,TB_UAE!$E:$E,TB_UAE!W:W)*U$2</f>
        <v>0</v>
      </c>
      <c r="V15" s="17">
        <f>-_xlfn.XLOOKUP($C15,TB_UAE!$E:$E,TB_UAE!X:X)*V$2</f>
        <v>0</v>
      </c>
      <c r="W15" s="17">
        <f>-_xlfn.XLOOKUP($C15,TB_UAE!$E:$E,TB_UAE!Y:Y)*W$2</f>
        <v>0</v>
      </c>
      <c r="X15" s="17">
        <f>-_xlfn.XLOOKUP($C15,TB_UAE!$E:$E,TB_UAE!Z:Z)*X$2</f>
        <v>0</v>
      </c>
      <c r="Y15" s="17">
        <f>-_xlfn.XLOOKUP($C15,TB_UAE!$E:$E,TB_UAE!AA:AA)*Y$2</f>
        <v>0</v>
      </c>
      <c r="Z15" s="17">
        <f>-_xlfn.XLOOKUP($C15,TB_UAE!$E:$E,TB_UAE!AB:AB)*Z$2</f>
        <v>0</v>
      </c>
      <c r="AA15" s="17">
        <f>-_xlfn.XLOOKUP($C15,TB_UAE!$E:$E,TB_UAE!AC:AC)*AA$2</f>
        <v>0</v>
      </c>
      <c r="AB15" s="17">
        <f>-_xlfn.XLOOKUP($C15,TB_UAE!$E:$E,TB_UAE!AD:AD)*AB$2</f>
        <v>0</v>
      </c>
      <c r="AC15" s="17">
        <f>-_xlfn.XLOOKUP($C15,TB_UAE!$E:$E,TB_UAE!AE:AE)*AC$2</f>
        <v>0</v>
      </c>
      <c r="AD15" s="17">
        <f>-_xlfn.XLOOKUP($C15,TB_UAE!$E:$E,TB_UAE!AF:AF)*AD$2</f>
        <v>0</v>
      </c>
      <c r="AE15" s="17">
        <f>-_xlfn.XLOOKUP($C15,TB_UAE!$E:$E,TB_UAE!AG:AG)*AE$2</f>
        <v>0</v>
      </c>
      <c r="AF15" s="17">
        <f>-_xlfn.XLOOKUP($C15,TB_UAE!$E:$E,TB_UAE!AH:AH)*AF$2</f>
        <v>0</v>
      </c>
      <c r="AG15" s="17">
        <f>-_xlfn.XLOOKUP($C15,TB_UAE!$E:$E,TB_UAE!AI:AI)*AG$2</f>
        <v>0</v>
      </c>
      <c r="AH15" s="17">
        <f>-_xlfn.XLOOKUP($C15,TB_UAE!$E:$E,TB_UAE!AJ:AJ)*AH$2</f>
        <v>0</v>
      </c>
      <c r="AI15" s="17">
        <f>-_xlfn.XLOOKUP($C15,TB_UAE!$E:$E,TB_UAE!AK:AK)*AI$2</f>
        <v>0</v>
      </c>
      <c r="AJ15" s="17">
        <f>-_xlfn.XLOOKUP($C15,TB_UAE!$E:$E,TB_UAE!AL:AL)*AJ$2</f>
        <v>0</v>
      </c>
      <c r="AK15" s="17">
        <f>-_xlfn.XLOOKUP($C15,TB_UAE!$E:$E,TB_UAE!AM:AM)*AK$2</f>
        <v>0</v>
      </c>
      <c r="AL15" s="17">
        <f>-_xlfn.XLOOKUP($C15,TB_UAE!$E:$E,TB_UAE!AN:AN)*AL$2</f>
        <v>0</v>
      </c>
      <c r="AM15" s="17">
        <f>-_xlfn.XLOOKUP($C15,TB_UAE!$E:$E,TB_UAE!AO:AO)*AM$2</f>
        <v>0</v>
      </c>
    </row>
    <row r="16" spans="2:39" x14ac:dyDescent="0.2">
      <c r="B16" s="21" t="s">
        <v>889</v>
      </c>
      <c r="C16" s="16" t="str">
        <f>_xlfn.XLOOKUP(B16,TB_UAE!A:A,TB_UAE!E:E)</f>
        <v>COGS - Other</v>
      </c>
      <c r="D16" s="17">
        <f>-_xlfn.XLOOKUP($C16,TB_UAE!$E:$E,TB_UAE!F:F)*D$2</f>
        <v>0</v>
      </c>
      <c r="E16" s="17">
        <f>-_xlfn.XLOOKUP($C16,TB_UAE!$E:$E,TB_UAE!G:G)*E$2</f>
        <v>0</v>
      </c>
      <c r="F16" s="17">
        <f>-_xlfn.XLOOKUP($C16,TB_UAE!$E:$E,TB_UAE!H:H)*F$2</f>
        <v>0</v>
      </c>
      <c r="G16" s="17">
        <f>-_xlfn.XLOOKUP($C16,TB_UAE!$E:$E,TB_UAE!I:I)*G$2</f>
        <v>0</v>
      </c>
      <c r="H16" s="17">
        <f>-_xlfn.XLOOKUP($C16,TB_UAE!$E:$E,TB_UAE!J:J)*H$2</f>
        <v>0</v>
      </c>
      <c r="I16" s="17">
        <f>-_xlfn.XLOOKUP($C16,TB_UAE!$E:$E,TB_UAE!K:K)*I$2</f>
        <v>0</v>
      </c>
      <c r="J16" s="17">
        <f>-_xlfn.XLOOKUP($C16,TB_UAE!$E:$E,TB_UAE!L:L)*J$2</f>
        <v>0</v>
      </c>
      <c r="K16" s="17">
        <f>-_xlfn.XLOOKUP($C16,TB_UAE!$E:$E,TB_UAE!M:M)*K$2</f>
        <v>0</v>
      </c>
      <c r="L16" s="17">
        <f>-_xlfn.XLOOKUP($C16,TB_UAE!$E:$E,TB_UAE!N:N)*L$2</f>
        <v>0</v>
      </c>
      <c r="M16" s="17">
        <f>-_xlfn.XLOOKUP($C16,TB_UAE!$E:$E,TB_UAE!O:O)*M$2</f>
        <v>0</v>
      </c>
      <c r="N16" s="17">
        <f>-_xlfn.XLOOKUP($C16,TB_UAE!$E:$E,TB_UAE!P:P)*N$2</f>
        <v>0</v>
      </c>
      <c r="O16" s="17">
        <f>-_xlfn.XLOOKUP($C16,TB_UAE!$E:$E,TB_UAE!Q:Q)*O$2</f>
        <v>0</v>
      </c>
      <c r="P16" s="17">
        <f>-_xlfn.XLOOKUP($C16,TB_UAE!$E:$E,TB_UAE!R:R)*P$2</f>
        <v>0</v>
      </c>
      <c r="Q16" s="17">
        <f>-_xlfn.XLOOKUP($C16,TB_UAE!$E:$E,TB_UAE!S:S)*Q$2</f>
        <v>0</v>
      </c>
      <c r="R16" s="17">
        <f>-_xlfn.XLOOKUP($C16,TB_UAE!$E:$E,TB_UAE!T:T)*R$2</f>
        <v>0</v>
      </c>
      <c r="S16" s="17">
        <f>-_xlfn.XLOOKUP($C16,TB_UAE!$E:$E,TB_UAE!U:U)*S$2</f>
        <v>0</v>
      </c>
      <c r="T16" s="17">
        <f>-_xlfn.XLOOKUP($C16,TB_UAE!$E:$E,TB_UAE!V:V)*T$2</f>
        <v>0</v>
      </c>
      <c r="U16" s="17">
        <f>-_xlfn.XLOOKUP($C16,TB_UAE!$E:$E,TB_UAE!W:W)*U$2</f>
        <v>0</v>
      </c>
      <c r="V16" s="17">
        <f>-_xlfn.XLOOKUP($C16,TB_UAE!$E:$E,TB_UAE!X:X)*V$2</f>
        <v>0</v>
      </c>
      <c r="W16" s="17">
        <f>-_xlfn.XLOOKUP($C16,TB_UAE!$E:$E,TB_UAE!Y:Y)*W$2</f>
        <v>0</v>
      </c>
      <c r="X16" s="17">
        <f>-_xlfn.XLOOKUP($C16,TB_UAE!$E:$E,TB_UAE!Z:Z)*X$2</f>
        <v>0</v>
      </c>
      <c r="Y16" s="17">
        <f>-_xlfn.XLOOKUP($C16,TB_UAE!$E:$E,TB_UAE!AA:AA)*Y$2</f>
        <v>0</v>
      </c>
      <c r="Z16" s="17">
        <f>-_xlfn.XLOOKUP($C16,TB_UAE!$E:$E,TB_UAE!AB:AB)*Z$2</f>
        <v>0</v>
      </c>
      <c r="AA16" s="17">
        <f>-_xlfn.XLOOKUP($C16,TB_UAE!$E:$E,TB_UAE!AC:AC)*AA$2</f>
        <v>0</v>
      </c>
      <c r="AB16" s="17">
        <f>-_xlfn.XLOOKUP($C16,TB_UAE!$E:$E,TB_UAE!AD:AD)*AB$2</f>
        <v>0</v>
      </c>
      <c r="AC16" s="17">
        <f>-_xlfn.XLOOKUP($C16,TB_UAE!$E:$E,TB_UAE!AE:AE)*AC$2</f>
        <v>0</v>
      </c>
      <c r="AD16" s="17">
        <f>-_xlfn.XLOOKUP($C16,TB_UAE!$E:$E,TB_UAE!AF:AF)*AD$2</f>
        <v>0</v>
      </c>
      <c r="AE16" s="17">
        <f>-_xlfn.XLOOKUP($C16,TB_UAE!$E:$E,TB_UAE!AG:AG)*AE$2</f>
        <v>0</v>
      </c>
      <c r="AF16" s="17">
        <f>-_xlfn.XLOOKUP($C16,TB_UAE!$E:$E,TB_UAE!AH:AH)*AF$2</f>
        <v>0</v>
      </c>
      <c r="AG16" s="17">
        <f>-_xlfn.XLOOKUP($C16,TB_UAE!$E:$E,TB_UAE!AI:AI)*AG$2</f>
        <v>0</v>
      </c>
      <c r="AH16" s="17">
        <f>-_xlfn.XLOOKUP($C16,TB_UAE!$E:$E,TB_UAE!AJ:AJ)*AH$2</f>
        <v>0</v>
      </c>
      <c r="AI16" s="17">
        <f>-_xlfn.XLOOKUP($C16,TB_UAE!$E:$E,TB_UAE!AK:AK)*AI$2</f>
        <v>0</v>
      </c>
      <c r="AJ16" s="17">
        <f>-_xlfn.XLOOKUP($C16,TB_UAE!$E:$E,TB_UAE!AL:AL)*AJ$2</f>
        <v>0</v>
      </c>
      <c r="AK16" s="17">
        <f>-_xlfn.XLOOKUP($C16,TB_UAE!$E:$E,TB_UAE!AM:AM)*AK$2</f>
        <v>0</v>
      </c>
      <c r="AL16" s="17">
        <f>-_xlfn.XLOOKUP($C16,TB_UAE!$E:$E,TB_UAE!AN:AN)*AL$2</f>
        <v>0</v>
      </c>
      <c r="AM16" s="17">
        <f>-_xlfn.XLOOKUP($C16,TB_UAE!$E:$E,TB_UAE!AO:AO)*AM$2</f>
        <v>0</v>
      </c>
    </row>
    <row r="17" spans="2:46" x14ac:dyDescent="0.2">
      <c r="B17" s="21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2:46" x14ac:dyDescent="0.2">
      <c r="B18" s="21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8"/>
    </row>
    <row r="19" spans="2:46" x14ac:dyDescent="0.2">
      <c r="B19" s="15"/>
      <c r="C19" s="22" t="s">
        <v>5</v>
      </c>
      <c r="D19" s="23">
        <f t="shared" ref="D19:AM19" si="2">SUM(D14:D18)</f>
        <v>0</v>
      </c>
      <c r="E19" s="23">
        <f t="shared" si="2"/>
        <v>0</v>
      </c>
      <c r="F19" s="23">
        <f t="shared" si="2"/>
        <v>0</v>
      </c>
      <c r="G19" s="23">
        <f t="shared" si="2"/>
        <v>0</v>
      </c>
      <c r="H19" s="23">
        <f t="shared" si="2"/>
        <v>0</v>
      </c>
      <c r="I19" s="23">
        <f t="shared" si="2"/>
        <v>0</v>
      </c>
      <c r="J19" s="23">
        <f t="shared" si="2"/>
        <v>0</v>
      </c>
      <c r="K19" s="23">
        <f t="shared" si="2"/>
        <v>0</v>
      </c>
      <c r="L19" s="23">
        <f t="shared" si="2"/>
        <v>0</v>
      </c>
      <c r="M19" s="23">
        <f t="shared" si="2"/>
        <v>0</v>
      </c>
      <c r="N19" s="23">
        <f t="shared" si="2"/>
        <v>0</v>
      </c>
      <c r="O19" s="23">
        <f t="shared" si="2"/>
        <v>0</v>
      </c>
      <c r="P19" s="23">
        <f t="shared" si="2"/>
        <v>0</v>
      </c>
      <c r="Q19" s="23">
        <f t="shared" si="2"/>
        <v>0</v>
      </c>
      <c r="R19" s="23">
        <f t="shared" si="2"/>
        <v>0</v>
      </c>
      <c r="S19" s="23">
        <f t="shared" si="2"/>
        <v>0</v>
      </c>
      <c r="T19" s="23">
        <f t="shared" si="2"/>
        <v>0</v>
      </c>
      <c r="U19" s="23">
        <f t="shared" si="2"/>
        <v>0</v>
      </c>
      <c r="V19" s="23">
        <f t="shared" si="2"/>
        <v>0</v>
      </c>
      <c r="W19" s="23">
        <f t="shared" si="2"/>
        <v>0</v>
      </c>
      <c r="X19" s="23">
        <f t="shared" si="2"/>
        <v>0</v>
      </c>
      <c r="Y19" s="23">
        <f t="shared" si="2"/>
        <v>0</v>
      </c>
      <c r="Z19" s="23">
        <f t="shared" si="2"/>
        <v>0</v>
      </c>
      <c r="AA19" s="23">
        <f>SUM(AA14:AA18)</f>
        <v>0</v>
      </c>
      <c r="AB19" s="23">
        <f t="shared" si="2"/>
        <v>0</v>
      </c>
      <c r="AC19" s="23">
        <f t="shared" si="2"/>
        <v>0</v>
      </c>
      <c r="AD19" s="23">
        <f t="shared" si="2"/>
        <v>0</v>
      </c>
      <c r="AE19" s="23">
        <f t="shared" si="2"/>
        <v>0</v>
      </c>
      <c r="AF19" s="23">
        <f t="shared" si="2"/>
        <v>0</v>
      </c>
      <c r="AG19" s="23">
        <f t="shared" si="2"/>
        <v>0</v>
      </c>
      <c r="AH19" s="23">
        <f t="shared" si="2"/>
        <v>0</v>
      </c>
      <c r="AI19" s="23">
        <f t="shared" si="2"/>
        <v>0</v>
      </c>
      <c r="AJ19" s="23">
        <f t="shared" si="2"/>
        <v>0</v>
      </c>
      <c r="AK19" s="23">
        <f t="shared" si="2"/>
        <v>0</v>
      </c>
      <c r="AL19" s="23">
        <f t="shared" si="2"/>
        <v>0</v>
      </c>
      <c r="AM19" s="23">
        <f t="shared" si="2"/>
        <v>0</v>
      </c>
    </row>
    <row r="20" spans="2:46" x14ac:dyDescent="0.2">
      <c r="B20" s="15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8"/>
    </row>
    <row r="21" spans="2:46" s="27" customFormat="1" x14ac:dyDescent="0.2">
      <c r="B21" s="24"/>
      <c r="C21" s="25" t="s">
        <v>119</v>
      </c>
      <c r="D21" s="26">
        <f t="shared" ref="D21:AM21" si="3">D11+D19</f>
        <v>0</v>
      </c>
      <c r="E21" s="26">
        <f t="shared" si="3"/>
        <v>0</v>
      </c>
      <c r="F21" s="26">
        <f t="shared" si="3"/>
        <v>0</v>
      </c>
      <c r="G21" s="26">
        <f t="shared" si="3"/>
        <v>0</v>
      </c>
      <c r="H21" s="26">
        <f t="shared" si="3"/>
        <v>0</v>
      </c>
      <c r="I21" s="26">
        <f t="shared" si="3"/>
        <v>0</v>
      </c>
      <c r="J21" s="26">
        <f t="shared" si="3"/>
        <v>0</v>
      </c>
      <c r="K21" s="26">
        <f t="shared" si="3"/>
        <v>0</v>
      </c>
      <c r="L21" s="26">
        <f t="shared" si="3"/>
        <v>0</v>
      </c>
      <c r="M21" s="26">
        <f t="shared" si="3"/>
        <v>0</v>
      </c>
      <c r="N21" s="26">
        <f t="shared" si="3"/>
        <v>0</v>
      </c>
      <c r="O21" s="26">
        <f t="shared" si="3"/>
        <v>0</v>
      </c>
      <c r="P21" s="26">
        <f t="shared" si="3"/>
        <v>0</v>
      </c>
      <c r="Q21" s="26">
        <f t="shared" si="3"/>
        <v>0</v>
      </c>
      <c r="R21" s="26">
        <f t="shared" si="3"/>
        <v>0</v>
      </c>
      <c r="S21" s="26">
        <f t="shared" si="3"/>
        <v>0</v>
      </c>
      <c r="T21" s="26">
        <f t="shared" si="3"/>
        <v>0</v>
      </c>
      <c r="U21" s="26">
        <f t="shared" si="3"/>
        <v>0</v>
      </c>
      <c r="V21" s="26">
        <f t="shared" si="3"/>
        <v>0</v>
      </c>
      <c r="W21" s="26">
        <f t="shared" si="3"/>
        <v>0</v>
      </c>
      <c r="X21" s="26">
        <f t="shared" si="3"/>
        <v>0</v>
      </c>
      <c r="Y21" s="26">
        <f t="shared" si="3"/>
        <v>0</v>
      </c>
      <c r="Z21" s="26">
        <f t="shared" si="3"/>
        <v>0</v>
      </c>
      <c r="AA21" s="26">
        <f>AA11+AA19</f>
        <v>0</v>
      </c>
      <c r="AB21" s="26">
        <f t="shared" si="3"/>
        <v>0</v>
      </c>
      <c r="AC21" s="26">
        <f t="shared" si="3"/>
        <v>0</v>
      </c>
      <c r="AD21" s="26">
        <f t="shared" si="3"/>
        <v>0</v>
      </c>
      <c r="AE21" s="26">
        <f t="shared" si="3"/>
        <v>0</v>
      </c>
      <c r="AF21" s="26">
        <f t="shared" si="3"/>
        <v>0</v>
      </c>
      <c r="AG21" s="26">
        <f t="shared" si="3"/>
        <v>0</v>
      </c>
      <c r="AH21" s="26">
        <f t="shared" si="3"/>
        <v>0</v>
      </c>
      <c r="AI21" s="26">
        <f t="shared" si="3"/>
        <v>0</v>
      </c>
      <c r="AJ21" s="26">
        <f t="shared" si="3"/>
        <v>0</v>
      </c>
      <c r="AK21" s="26">
        <f t="shared" si="3"/>
        <v>0</v>
      </c>
      <c r="AL21" s="26">
        <f t="shared" si="3"/>
        <v>0</v>
      </c>
      <c r="AM21" s="26">
        <f t="shared" si="3"/>
        <v>0</v>
      </c>
    </row>
    <row r="22" spans="2:46" s="31" customFormat="1" x14ac:dyDescent="0.2">
      <c r="B22" s="28"/>
      <c r="C22" s="29" t="s">
        <v>120</v>
      </c>
      <c r="D22" s="30" t="str">
        <f>IFERROR(D21/D11,"")</f>
        <v/>
      </c>
      <c r="E22" s="30" t="str">
        <f t="shared" ref="E22:AM22" si="4">IFERROR(E21/E11,"")</f>
        <v/>
      </c>
      <c r="F22" s="30" t="str">
        <f t="shared" si="4"/>
        <v/>
      </c>
      <c r="G22" s="30" t="str">
        <f t="shared" si="4"/>
        <v/>
      </c>
      <c r="H22" s="30" t="str">
        <f t="shared" si="4"/>
        <v/>
      </c>
      <c r="I22" s="30" t="str">
        <f t="shared" si="4"/>
        <v/>
      </c>
      <c r="J22" s="30" t="str">
        <f t="shared" si="4"/>
        <v/>
      </c>
      <c r="K22" s="30" t="str">
        <f t="shared" si="4"/>
        <v/>
      </c>
      <c r="L22" s="30" t="str">
        <f t="shared" si="4"/>
        <v/>
      </c>
      <c r="M22" s="30" t="str">
        <f t="shared" si="4"/>
        <v/>
      </c>
      <c r="N22" s="30" t="str">
        <f t="shared" si="4"/>
        <v/>
      </c>
      <c r="O22" s="30" t="str">
        <f t="shared" si="4"/>
        <v/>
      </c>
      <c r="P22" s="30" t="str">
        <f t="shared" si="4"/>
        <v/>
      </c>
      <c r="Q22" s="30" t="str">
        <f t="shared" si="4"/>
        <v/>
      </c>
      <c r="R22" s="30" t="str">
        <f t="shared" si="4"/>
        <v/>
      </c>
      <c r="S22" s="30" t="str">
        <f t="shared" si="4"/>
        <v/>
      </c>
      <c r="T22" s="30" t="str">
        <f t="shared" si="4"/>
        <v/>
      </c>
      <c r="U22" s="30" t="str">
        <f t="shared" si="4"/>
        <v/>
      </c>
      <c r="V22" s="30" t="str">
        <f t="shared" si="4"/>
        <v/>
      </c>
      <c r="W22" s="30" t="str">
        <f t="shared" si="4"/>
        <v/>
      </c>
      <c r="X22" s="30" t="str">
        <f t="shared" si="4"/>
        <v/>
      </c>
      <c r="Y22" s="30" t="str">
        <f t="shared" si="4"/>
        <v/>
      </c>
      <c r="Z22" s="30" t="str">
        <f t="shared" si="4"/>
        <v/>
      </c>
      <c r="AA22" s="30" t="str">
        <f>IFERROR(AA21/AA11,"")</f>
        <v/>
      </c>
      <c r="AB22" s="30" t="str">
        <f t="shared" si="4"/>
        <v/>
      </c>
      <c r="AC22" s="30" t="str">
        <f t="shared" si="4"/>
        <v/>
      </c>
      <c r="AD22" s="30" t="str">
        <f t="shared" si="4"/>
        <v/>
      </c>
      <c r="AE22" s="30" t="str">
        <f t="shared" si="4"/>
        <v/>
      </c>
      <c r="AF22" s="30" t="str">
        <f t="shared" si="4"/>
        <v/>
      </c>
      <c r="AG22" s="30" t="str">
        <f t="shared" si="4"/>
        <v/>
      </c>
      <c r="AH22" s="30" t="str">
        <f t="shared" si="4"/>
        <v/>
      </c>
      <c r="AI22" s="30" t="str">
        <f t="shared" si="4"/>
        <v/>
      </c>
      <c r="AJ22" s="30" t="str">
        <f t="shared" si="4"/>
        <v/>
      </c>
      <c r="AK22" s="30" t="str">
        <f t="shared" si="4"/>
        <v/>
      </c>
      <c r="AL22" s="30" t="str">
        <f t="shared" si="4"/>
        <v/>
      </c>
      <c r="AM22" s="30" t="str">
        <f t="shared" si="4"/>
        <v/>
      </c>
    </row>
    <row r="23" spans="2:46" x14ac:dyDescent="0.2">
      <c r="B23" s="15"/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8"/>
    </row>
    <row r="24" spans="2:46" x14ac:dyDescent="0.2">
      <c r="B24" s="15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8"/>
    </row>
    <row r="25" spans="2:46" x14ac:dyDescent="0.2">
      <c r="B25" s="15"/>
      <c r="C25" s="20" t="s">
        <v>121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8"/>
    </row>
    <row r="26" spans="2:46" x14ac:dyDescent="0.2">
      <c r="B26" s="21" t="s">
        <v>890</v>
      </c>
      <c r="C26" s="16" t="str">
        <f>_xlfn.XLOOKUP(B26,TB_UAE!A:A,TB_UAE!E:E)</f>
        <v>Interest income</v>
      </c>
      <c r="D26" s="17">
        <f>-_xlfn.XLOOKUP($C26,TB_UAE!$E:$E,TB_UAE!F:F)*D$2</f>
        <v>0</v>
      </c>
      <c r="E26" s="17">
        <f>-_xlfn.XLOOKUP($C26,TB_UAE!$E:$E,TB_UAE!G:G)*E$2</f>
        <v>0</v>
      </c>
      <c r="F26" s="17">
        <f>-_xlfn.XLOOKUP($C26,TB_UAE!$E:$E,TB_UAE!H:H)*F$2</f>
        <v>0</v>
      </c>
      <c r="G26" s="17">
        <f>-_xlfn.XLOOKUP($C26,TB_UAE!$E:$E,TB_UAE!I:I)*G$2</f>
        <v>0</v>
      </c>
      <c r="H26" s="17">
        <f>-_xlfn.XLOOKUP($C26,TB_UAE!$E:$E,TB_UAE!J:J)*H$2</f>
        <v>0</v>
      </c>
      <c r="I26" s="17">
        <f>-_xlfn.XLOOKUP($C26,TB_UAE!$E:$E,TB_UAE!K:K)*I$2</f>
        <v>0</v>
      </c>
      <c r="J26" s="17">
        <f>-_xlfn.XLOOKUP($C26,TB_UAE!$E:$E,TB_UAE!L:L)*J$2</f>
        <v>0</v>
      </c>
      <c r="K26" s="17">
        <f>-_xlfn.XLOOKUP($C26,TB_UAE!$E:$E,TB_UAE!M:M)*K$2</f>
        <v>0</v>
      </c>
      <c r="L26" s="17">
        <f>-_xlfn.XLOOKUP($C26,TB_UAE!$E:$E,TB_UAE!N:N)*L$2</f>
        <v>0</v>
      </c>
      <c r="M26" s="17">
        <f>-_xlfn.XLOOKUP($C26,TB_UAE!$E:$E,TB_UAE!O:O)*M$2</f>
        <v>0</v>
      </c>
      <c r="N26" s="17">
        <f>-_xlfn.XLOOKUP($C26,TB_UAE!$E:$E,TB_UAE!P:P)*N$2</f>
        <v>0</v>
      </c>
      <c r="O26" s="17">
        <f>-_xlfn.XLOOKUP($C26,TB_UAE!$E:$E,TB_UAE!Q:Q)*O$2</f>
        <v>0</v>
      </c>
      <c r="P26" s="17">
        <f>-_xlfn.XLOOKUP($C26,TB_UAE!$E:$E,TB_UAE!R:R)*P$2</f>
        <v>0</v>
      </c>
      <c r="Q26" s="17">
        <f>-_xlfn.XLOOKUP($C26,TB_UAE!$E:$E,TB_UAE!S:S)*Q$2</f>
        <v>0</v>
      </c>
      <c r="R26" s="17">
        <f>-_xlfn.XLOOKUP($C26,TB_UAE!$E:$E,TB_UAE!T:T)*R$2</f>
        <v>0</v>
      </c>
      <c r="S26" s="17">
        <f>-_xlfn.XLOOKUP($C26,TB_UAE!$E:$E,TB_UAE!U:U)*S$2</f>
        <v>0</v>
      </c>
      <c r="T26" s="17">
        <f>-_xlfn.XLOOKUP($C26,TB_UAE!$E:$E,TB_UAE!V:V)*T$2</f>
        <v>0</v>
      </c>
      <c r="U26" s="17">
        <f>-_xlfn.XLOOKUP($C26,TB_UAE!$E:$E,TB_UAE!W:W)*U$2</f>
        <v>0</v>
      </c>
      <c r="V26" s="17">
        <f>-_xlfn.XLOOKUP($C26,TB_UAE!$E:$E,TB_UAE!X:X)*V$2</f>
        <v>0</v>
      </c>
      <c r="W26" s="17">
        <f>-_xlfn.XLOOKUP($C26,TB_UAE!$E:$E,TB_UAE!Y:Y)*W$2</f>
        <v>0</v>
      </c>
      <c r="X26" s="17">
        <f>-_xlfn.XLOOKUP($C26,TB_UAE!$E:$E,TB_UAE!Z:Z)*X$2</f>
        <v>0</v>
      </c>
      <c r="Y26" s="17">
        <f>-_xlfn.XLOOKUP($C26,TB_UAE!$E:$E,TB_UAE!AA:AA)*Y$2</f>
        <v>0</v>
      </c>
      <c r="Z26" s="17">
        <f>-_xlfn.XLOOKUP($C26,TB_UAE!$E:$E,TB_UAE!AB:AB)*Z$2</f>
        <v>0</v>
      </c>
      <c r="AA26" s="17">
        <f>-_xlfn.XLOOKUP($C26,TB_UAE!$E:$E,TB_UAE!AC:AC)*AA$2</f>
        <v>0</v>
      </c>
      <c r="AB26" s="17">
        <f>-_xlfn.XLOOKUP($C26,TB_UAE!$E:$E,TB_UAE!AD:AD)*AB$2</f>
        <v>0</v>
      </c>
      <c r="AC26" s="17">
        <f>-_xlfn.XLOOKUP($C26,TB_UAE!$E:$E,TB_UAE!AE:AE)*AC$2</f>
        <v>0</v>
      </c>
      <c r="AD26" s="17">
        <f>-_xlfn.XLOOKUP($C26,TB_UAE!$E:$E,TB_UAE!AF:AF)*AD$2</f>
        <v>0</v>
      </c>
      <c r="AE26" s="17">
        <f>-_xlfn.XLOOKUP($C26,TB_UAE!$E:$E,TB_UAE!AG:AG)*AE$2</f>
        <v>0</v>
      </c>
      <c r="AF26" s="17">
        <f>-_xlfn.XLOOKUP($C26,TB_UAE!$E:$E,TB_UAE!AH:AH)*AF$2</f>
        <v>0</v>
      </c>
      <c r="AG26" s="17">
        <f>-_xlfn.XLOOKUP($C26,TB_UAE!$E:$E,TB_UAE!AI:AI)*AG$2</f>
        <v>0</v>
      </c>
      <c r="AH26" s="17">
        <f>-_xlfn.XLOOKUP($C26,TB_UAE!$E:$E,TB_UAE!AJ:AJ)*AH$2</f>
        <v>0</v>
      </c>
      <c r="AI26" s="17">
        <f>-_xlfn.XLOOKUP($C26,TB_UAE!$E:$E,TB_UAE!AK:AK)*AI$2</f>
        <v>0</v>
      </c>
      <c r="AJ26" s="17">
        <f>-_xlfn.XLOOKUP($C26,TB_UAE!$E:$E,TB_UAE!AL:AL)*AJ$2</f>
        <v>0</v>
      </c>
      <c r="AK26" s="17">
        <f>-_xlfn.XLOOKUP($C26,TB_UAE!$E:$E,TB_UAE!AM:AM)*AK$2</f>
        <v>0</v>
      </c>
      <c r="AL26" s="17">
        <f>-_xlfn.XLOOKUP($C26,TB_UAE!$E:$E,TB_UAE!AN:AN)*AL$2</f>
        <v>0</v>
      </c>
      <c r="AM26" s="17">
        <f>-_xlfn.XLOOKUP($C26,TB_UAE!$E:$E,TB_UAE!AO:AO)*AM$2</f>
        <v>0</v>
      </c>
    </row>
    <row r="27" spans="2:46" x14ac:dyDescent="0.2">
      <c r="B27" s="21" t="s">
        <v>891</v>
      </c>
      <c r="C27" s="16" t="str">
        <f>_xlfn.XLOOKUP(B27,TB_UAE!A:A,TB_UAE!E:E)</f>
        <v>Other Income</v>
      </c>
      <c r="D27" s="17">
        <f>-_xlfn.XLOOKUP($C27,TB_UAE!$E:$E,TB_UAE!F:F)*D$2</f>
        <v>0</v>
      </c>
      <c r="E27" s="17">
        <f>-_xlfn.XLOOKUP($C27,TB_UAE!$E:$E,TB_UAE!G:G)*E$2</f>
        <v>0</v>
      </c>
      <c r="F27" s="17">
        <f>-_xlfn.XLOOKUP($C27,TB_UAE!$E:$E,TB_UAE!H:H)*F$2</f>
        <v>0</v>
      </c>
      <c r="G27" s="17">
        <f>-_xlfn.XLOOKUP($C27,TB_UAE!$E:$E,TB_UAE!I:I)*G$2</f>
        <v>0</v>
      </c>
      <c r="H27" s="17">
        <f>-_xlfn.XLOOKUP($C27,TB_UAE!$E:$E,TB_UAE!J:J)*H$2</f>
        <v>0</v>
      </c>
      <c r="I27" s="17">
        <f>-_xlfn.XLOOKUP($C27,TB_UAE!$E:$E,TB_UAE!K:K)*I$2</f>
        <v>0</v>
      </c>
      <c r="J27" s="17">
        <f>-_xlfn.XLOOKUP($C27,TB_UAE!$E:$E,TB_UAE!L:L)*J$2</f>
        <v>0</v>
      </c>
      <c r="K27" s="17">
        <f>-_xlfn.XLOOKUP($C27,TB_UAE!$E:$E,TB_UAE!M:M)*K$2</f>
        <v>0</v>
      </c>
      <c r="L27" s="17">
        <f>-_xlfn.XLOOKUP($C27,TB_UAE!$E:$E,TB_UAE!N:N)*L$2</f>
        <v>0</v>
      </c>
      <c r="M27" s="17">
        <f>-_xlfn.XLOOKUP($C27,TB_UAE!$E:$E,TB_UAE!O:O)*M$2</f>
        <v>0</v>
      </c>
      <c r="N27" s="17">
        <f>-_xlfn.XLOOKUP($C27,TB_UAE!$E:$E,TB_UAE!P:P)*N$2</f>
        <v>0</v>
      </c>
      <c r="O27" s="17">
        <f>-_xlfn.XLOOKUP($C27,TB_UAE!$E:$E,TB_UAE!Q:Q)*O$2</f>
        <v>0</v>
      </c>
      <c r="P27" s="17">
        <f>-_xlfn.XLOOKUP($C27,TB_UAE!$E:$E,TB_UAE!R:R)*P$2</f>
        <v>0</v>
      </c>
      <c r="Q27" s="17">
        <f>-_xlfn.XLOOKUP($C27,TB_UAE!$E:$E,TB_UAE!S:S)*Q$2</f>
        <v>0</v>
      </c>
      <c r="R27" s="17">
        <f>-_xlfn.XLOOKUP($C27,TB_UAE!$E:$E,TB_UAE!T:T)*R$2</f>
        <v>0</v>
      </c>
      <c r="S27" s="17">
        <f>-_xlfn.XLOOKUP($C27,TB_UAE!$E:$E,TB_UAE!U:U)*S$2</f>
        <v>0</v>
      </c>
      <c r="T27" s="17">
        <f>-_xlfn.XLOOKUP($C27,TB_UAE!$E:$E,TB_UAE!V:V)*T$2</f>
        <v>0</v>
      </c>
      <c r="U27" s="17">
        <f>-_xlfn.XLOOKUP($C27,TB_UAE!$E:$E,TB_UAE!W:W)*U$2</f>
        <v>0</v>
      </c>
      <c r="V27" s="17">
        <f>-_xlfn.XLOOKUP($C27,TB_UAE!$E:$E,TB_UAE!X:X)*V$2</f>
        <v>0</v>
      </c>
      <c r="W27" s="17">
        <f>-_xlfn.XLOOKUP($C27,TB_UAE!$E:$E,TB_UAE!Y:Y)*W$2</f>
        <v>0</v>
      </c>
      <c r="X27" s="17">
        <f>-_xlfn.XLOOKUP($C27,TB_UAE!$E:$E,TB_UAE!Z:Z)*X$2</f>
        <v>0</v>
      </c>
      <c r="Y27" s="17">
        <f>-_xlfn.XLOOKUP($C27,TB_UAE!$E:$E,TB_UAE!AA:AA)*Y$2</f>
        <v>0</v>
      </c>
      <c r="Z27" s="17">
        <f>-_xlfn.XLOOKUP($C27,TB_UAE!$E:$E,TB_UAE!AB:AB)*Z$2</f>
        <v>0</v>
      </c>
      <c r="AA27" s="17">
        <f>-_xlfn.XLOOKUP($C27,TB_UAE!$E:$E,TB_UAE!AC:AC)*AA$2</f>
        <v>15729110.050920002</v>
      </c>
      <c r="AB27" s="17">
        <f>-_xlfn.XLOOKUP($C27,TB_UAE!$E:$E,TB_UAE!AD:AD)*AB$2</f>
        <v>0</v>
      </c>
      <c r="AC27" s="17">
        <f>-_xlfn.XLOOKUP($C27,TB_UAE!$E:$E,TB_UAE!AE:AE)*AC$2</f>
        <v>0</v>
      </c>
      <c r="AD27" s="17">
        <f>-_xlfn.XLOOKUP($C27,TB_UAE!$E:$E,TB_UAE!AF:AF)*AD$2</f>
        <v>0</v>
      </c>
      <c r="AE27" s="17">
        <f>-_xlfn.XLOOKUP($C27,TB_UAE!$E:$E,TB_UAE!AG:AG)*AE$2</f>
        <v>0</v>
      </c>
      <c r="AF27" s="17">
        <f>-_xlfn.XLOOKUP($C27,TB_UAE!$E:$E,TB_UAE!AH:AH)*AF$2</f>
        <v>0</v>
      </c>
      <c r="AG27" s="17">
        <f>-_xlfn.XLOOKUP($C27,TB_UAE!$E:$E,TB_UAE!AI:AI)*AG$2</f>
        <v>0</v>
      </c>
      <c r="AH27" s="17">
        <f>-_xlfn.XLOOKUP($C27,TB_UAE!$E:$E,TB_UAE!AJ:AJ)*AH$2</f>
        <v>0</v>
      </c>
      <c r="AI27" s="17">
        <f>-_xlfn.XLOOKUP($C27,TB_UAE!$E:$E,TB_UAE!AK:AK)*AI$2</f>
        <v>0</v>
      </c>
      <c r="AJ27" s="17">
        <f>-_xlfn.XLOOKUP($C27,TB_UAE!$E:$E,TB_UAE!AL:AL)*AJ$2</f>
        <v>0</v>
      </c>
      <c r="AK27" s="17">
        <f>-_xlfn.XLOOKUP($C27,TB_UAE!$E:$E,TB_UAE!AM:AM)*AK$2</f>
        <v>0</v>
      </c>
      <c r="AL27" s="17">
        <f>-_xlfn.XLOOKUP($C27,TB_UAE!$E:$E,TB_UAE!AN:AN)*AL$2</f>
        <v>0</v>
      </c>
      <c r="AM27" s="17">
        <f>-_xlfn.XLOOKUP($C27,TB_UAE!$E:$E,TB_UAE!AO:AO)*AM$2</f>
        <v>0</v>
      </c>
    </row>
    <row r="28" spans="2:46" x14ac:dyDescent="0.2">
      <c r="B28" s="21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2:46" x14ac:dyDescent="0.2">
      <c r="B29" s="15"/>
      <c r="C29" s="22" t="s">
        <v>8</v>
      </c>
      <c r="D29" s="23">
        <f>SUM(D26:D28)</f>
        <v>0</v>
      </c>
      <c r="E29" s="23">
        <f t="shared" ref="E29:AM29" si="5">SUM(E26:E28)</f>
        <v>0</v>
      </c>
      <c r="F29" s="23">
        <f t="shared" si="5"/>
        <v>0</v>
      </c>
      <c r="G29" s="23">
        <f t="shared" si="5"/>
        <v>0</v>
      </c>
      <c r="H29" s="23">
        <f t="shared" si="5"/>
        <v>0</v>
      </c>
      <c r="I29" s="23">
        <f t="shared" si="5"/>
        <v>0</v>
      </c>
      <c r="J29" s="23">
        <f t="shared" si="5"/>
        <v>0</v>
      </c>
      <c r="K29" s="23">
        <f t="shared" si="5"/>
        <v>0</v>
      </c>
      <c r="L29" s="23">
        <f t="shared" si="5"/>
        <v>0</v>
      </c>
      <c r="M29" s="23">
        <f t="shared" si="5"/>
        <v>0</v>
      </c>
      <c r="N29" s="23">
        <f t="shared" si="5"/>
        <v>0</v>
      </c>
      <c r="O29" s="23">
        <f t="shared" si="5"/>
        <v>0</v>
      </c>
      <c r="P29" s="23">
        <f>SUM(P26:P28)</f>
        <v>0</v>
      </c>
      <c r="Q29" s="23">
        <f t="shared" si="5"/>
        <v>0</v>
      </c>
      <c r="R29" s="23">
        <f t="shared" si="5"/>
        <v>0</v>
      </c>
      <c r="S29" s="23">
        <f t="shared" si="5"/>
        <v>0</v>
      </c>
      <c r="T29" s="23">
        <f t="shared" si="5"/>
        <v>0</v>
      </c>
      <c r="U29" s="23">
        <f t="shared" si="5"/>
        <v>0</v>
      </c>
      <c r="V29" s="23">
        <f t="shared" si="5"/>
        <v>0</v>
      </c>
      <c r="W29" s="23">
        <f t="shared" si="5"/>
        <v>0</v>
      </c>
      <c r="X29" s="23">
        <f t="shared" si="5"/>
        <v>0</v>
      </c>
      <c r="Y29" s="23">
        <f t="shared" si="5"/>
        <v>0</v>
      </c>
      <c r="Z29" s="23">
        <f t="shared" si="5"/>
        <v>0</v>
      </c>
      <c r="AA29" s="23">
        <f>SUM(AA26:AA28)</f>
        <v>15729110.050920002</v>
      </c>
      <c r="AB29" s="23">
        <f t="shared" si="5"/>
        <v>0</v>
      </c>
      <c r="AC29" s="23">
        <f t="shared" si="5"/>
        <v>0</v>
      </c>
      <c r="AD29" s="23">
        <f t="shared" si="5"/>
        <v>0</v>
      </c>
      <c r="AE29" s="23">
        <f t="shared" si="5"/>
        <v>0</v>
      </c>
      <c r="AF29" s="23">
        <f t="shared" si="5"/>
        <v>0</v>
      </c>
      <c r="AG29" s="23">
        <f t="shared" si="5"/>
        <v>0</v>
      </c>
      <c r="AH29" s="23">
        <f t="shared" si="5"/>
        <v>0</v>
      </c>
      <c r="AI29" s="23">
        <f t="shared" si="5"/>
        <v>0</v>
      </c>
      <c r="AJ29" s="23">
        <f t="shared" si="5"/>
        <v>0</v>
      </c>
      <c r="AK29" s="23">
        <f t="shared" si="5"/>
        <v>0</v>
      </c>
      <c r="AL29" s="23">
        <f t="shared" si="5"/>
        <v>0</v>
      </c>
      <c r="AM29" s="23">
        <f t="shared" si="5"/>
        <v>0</v>
      </c>
      <c r="AS29" s="23">
        <f>SUM(D29:O29)</f>
        <v>0</v>
      </c>
      <c r="AT29" s="23">
        <f>SUM(P29:AA29)</f>
        <v>15729110.050920002</v>
      </c>
    </row>
    <row r="30" spans="2:46" x14ac:dyDescent="0.2">
      <c r="B30" s="15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8"/>
    </row>
    <row r="31" spans="2:46" x14ac:dyDescent="0.2">
      <c r="B31" s="15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8"/>
    </row>
    <row r="32" spans="2:46" x14ac:dyDescent="0.2">
      <c r="B32" s="15"/>
      <c r="C32" s="20" t="s">
        <v>123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8"/>
    </row>
    <row r="33" spans="1:50" x14ac:dyDescent="0.2">
      <c r="B33" s="15"/>
      <c r="C33" s="20" t="s">
        <v>124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8"/>
    </row>
    <row r="34" spans="1:50" x14ac:dyDescent="0.2">
      <c r="B34" s="21" t="s">
        <v>892</v>
      </c>
      <c r="C34" s="16" t="str">
        <f>_xlfn.XLOOKUP(B34,TB_UAE!A:A,TB_UAE!E:E)</f>
        <v>Payroll Expenses</v>
      </c>
      <c r="D34" s="17">
        <f>-_xlfn.XLOOKUP($C34,TB_UAE!$E:$E,TB_UAE!F:F)*D$2</f>
        <v>-9140137.5</v>
      </c>
      <c r="E34" s="17">
        <f>-_xlfn.XLOOKUP($C34,TB_UAE!$E:$E,TB_UAE!G:G)*E$2</f>
        <v>-16213350</v>
      </c>
      <c r="F34" s="17">
        <f>-_xlfn.XLOOKUP($C34,TB_UAE!$E:$E,TB_UAE!H:H)*F$2</f>
        <v>-14212425</v>
      </c>
      <c r="G34" s="17">
        <f>-_xlfn.XLOOKUP($C34,TB_UAE!$E:$E,TB_UAE!I:I)*G$2</f>
        <v>-13647487.5</v>
      </c>
      <c r="H34" s="17">
        <f>-_xlfn.XLOOKUP($C34,TB_UAE!$E:$E,TB_UAE!J:J)*H$2</f>
        <v>-20967075</v>
      </c>
      <c r="I34" s="17">
        <f>-_xlfn.XLOOKUP($C34,TB_UAE!$E:$E,TB_UAE!K:K)*I$2</f>
        <v>0</v>
      </c>
      <c r="J34" s="17">
        <f>-_xlfn.XLOOKUP($C34,TB_UAE!$E:$E,TB_UAE!L:L)*J$2</f>
        <v>-58184700</v>
      </c>
      <c r="K34" s="17">
        <f>-_xlfn.XLOOKUP($C34,TB_UAE!$E:$E,TB_UAE!M:M)*K$2</f>
        <v>-24350006.25</v>
      </c>
      <c r="L34" s="17">
        <f>-_xlfn.XLOOKUP($C34,TB_UAE!$E:$E,TB_UAE!N:N)*L$2</f>
        <v>-17028337.5</v>
      </c>
      <c r="M34" s="17">
        <f>-_xlfn.XLOOKUP($C34,TB_UAE!$E:$E,TB_UAE!O:O)*M$2</f>
        <v>-33550650</v>
      </c>
      <c r="N34" s="17">
        <f>-_xlfn.XLOOKUP($C34,TB_UAE!$E:$E,TB_UAE!P:P)*N$2</f>
        <v>0</v>
      </c>
      <c r="O34" s="17">
        <f>-_xlfn.XLOOKUP($C34,TB_UAE!$E:$E,TB_UAE!Q:Q)*O$2</f>
        <v>0</v>
      </c>
      <c r="P34" s="17">
        <f>-_xlfn.XLOOKUP($C34,TB_UAE!$E:$E,TB_UAE!R:R)*P$2</f>
        <v>0</v>
      </c>
      <c r="Q34" s="17">
        <f>-_xlfn.XLOOKUP($C34,TB_UAE!$E:$E,TB_UAE!S:S)*Q$2</f>
        <v>0</v>
      </c>
      <c r="R34" s="17">
        <f>-_xlfn.XLOOKUP($C34,TB_UAE!$E:$E,TB_UAE!T:T)*R$2</f>
        <v>0</v>
      </c>
      <c r="S34" s="17">
        <f>-_xlfn.XLOOKUP($C34,TB_UAE!$E:$E,TB_UAE!U:U)*S$2</f>
        <v>0</v>
      </c>
      <c r="T34" s="17">
        <f>-_xlfn.XLOOKUP($C34,TB_UAE!$E:$E,TB_UAE!V:V)*T$2</f>
        <v>0</v>
      </c>
      <c r="U34" s="17">
        <f>-_xlfn.XLOOKUP($C34,TB_UAE!$E:$E,TB_UAE!W:W)*U$2</f>
        <v>0</v>
      </c>
      <c r="V34" s="17">
        <f>-_xlfn.XLOOKUP($C34,TB_UAE!$E:$E,TB_UAE!X:X)*V$2</f>
        <v>0</v>
      </c>
      <c r="W34" s="17">
        <f>-_xlfn.XLOOKUP($C34,TB_UAE!$E:$E,TB_UAE!Y:Y)*W$2</f>
        <v>0</v>
      </c>
      <c r="X34" s="17">
        <f>-_xlfn.XLOOKUP($C34,TB_UAE!$E:$E,TB_UAE!Z:Z)*X$2</f>
        <v>0</v>
      </c>
      <c r="Y34" s="17">
        <f>-_xlfn.XLOOKUP($C34,TB_UAE!$E:$E,TB_UAE!AA:AA)*Y$2</f>
        <v>0</v>
      </c>
      <c r="Z34" s="17">
        <f>-_xlfn.XLOOKUP($C34,TB_UAE!$E:$E,TB_UAE!AB:AB)*Z$2</f>
        <v>0</v>
      </c>
      <c r="AA34" s="17">
        <f>-_xlfn.XLOOKUP($C34,TB_UAE!$E:$E,TB_UAE!AC:AC)*AA$2</f>
        <v>0</v>
      </c>
      <c r="AB34" s="17">
        <f>-_xlfn.XLOOKUP($C34,TB_UAE!$E:$E,TB_UAE!AD:AD)*AB$2</f>
        <v>0</v>
      </c>
      <c r="AC34" s="17">
        <f>-_xlfn.XLOOKUP($C34,TB_UAE!$E:$E,TB_UAE!AE:AE)*AC$2</f>
        <v>0</v>
      </c>
      <c r="AD34" s="17">
        <f>-_xlfn.XLOOKUP($C34,TB_UAE!$E:$E,TB_UAE!AF:AF)*AD$2</f>
        <v>0</v>
      </c>
      <c r="AE34" s="17">
        <f>-_xlfn.XLOOKUP($C34,TB_UAE!$E:$E,TB_UAE!AG:AG)*AE$2</f>
        <v>0</v>
      </c>
      <c r="AF34" s="17">
        <f>-_xlfn.XLOOKUP($C34,TB_UAE!$E:$E,TB_UAE!AH:AH)*AF$2</f>
        <v>0</v>
      </c>
      <c r="AG34" s="17">
        <f>-_xlfn.XLOOKUP($C34,TB_UAE!$E:$E,TB_UAE!AI:AI)*AG$2</f>
        <v>0</v>
      </c>
      <c r="AH34" s="17">
        <f>-_xlfn.XLOOKUP($C34,TB_UAE!$E:$E,TB_UAE!AJ:AJ)*AH$2</f>
        <v>0</v>
      </c>
      <c r="AI34" s="17">
        <f>-_xlfn.XLOOKUP($C34,TB_UAE!$E:$E,TB_UAE!AK:AK)*AI$2</f>
        <v>0</v>
      </c>
      <c r="AJ34" s="17">
        <f>-_xlfn.XLOOKUP($C34,TB_UAE!$E:$E,TB_UAE!AL:AL)*AJ$2</f>
        <v>0</v>
      </c>
      <c r="AK34" s="17">
        <f>-_xlfn.XLOOKUP($C34,TB_UAE!$E:$E,TB_UAE!AM:AM)*AK$2</f>
        <v>0</v>
      </c>
      <c r="AL34" s="17">
        <f>-_xlfn.XLOOKUP($C34,TB_UAE!$E:$E,TB_UAE!AN:AN)*AL$2</f>
        <v>0</v>
      </c>
      <c r="AM34" s="17">
        <f>-_xlfn.XLOOKUP($C34,TB_UAE!$E:$E,TB_UAE!AO:AO)*AM$2</f>
        <v>0</v>
      </c>
    </row>
    <row r="35" spans="1:50" x14ac:dyDescent="0.2">
      <c r="B35" s="21" t="s">
        <v>893</v>
      </c>
      <c r="C35" s="16" t="str">
        <f>_xlfn.XLOOKUP(B35,TB_UAE!A:A,TB_UAE!E:E)</f>
        <v>Payroll: Directors' Salaries</v>
      </c>
      <c r="D35" s="17">
        <f>-_xlfn.XLOOKUP($C35,TB_UAE!$E:$E,TB_UAE!F:F)*D$2</f>
        <v>0</v>
      </c>
      <c r="E35" s="17">
        <f>-_xlfn.XLOOKUP($C35,TB_UAE!$E:$E,TB_UAE!G:G)*E$2</f>
        <v>0</v>
      </c>
      <c r="F35" s="17">
        <f>-_xlfn.XLOOKUP($C35,TB_UAE!$E:$E,TB_UAE!H:H)*F$2</f>
        <v>0</v>
      </c>
      <c r="G35" s="17">
        <f>-_xlfn.XLOOKUP($C35,TB_UAE!$E:$E,TB_UAE!I:I)*G$2</f>
        <v>0</v>
      </c>
      <c r="H35" s="17">
        <f>-_xlfn.XLOOKUP($C35,TB_UAE!$E:$E,TB_UAE!J:J)*H$2</f>
        <v>0</v>
      </c>
      <c r="I35" s="17">
        <f>-_xlfn.XLOOKUP($C35,TB_UAE!$E:$E,TB_UAE!K:K)*I$2</f>
        <v>0</v>
      </c>
      <c r="J35" s="17">
        <f>-_xlfn.XLOOKUP($C35,TB_UAE!$E:$E,TB_UAE!L:L)*J$2</f>
        <v>0</v>
      </c>
      <c r="K35" s="17">
        <f>-_xlfn.XLOOKUP($C35,TB_UAE!$E:$E,TB_UAE!M:M)*K$2</f>
        <v>0</v>
      </c>
      <c r="L35" s="17">
        <f>-_xlfn.XLOOKUP($C35,TB_UAE!$E:$E,TB_UAE!N:N)*L$2</f>
        <v>0</v>
      </c>
      <c r="M35" s="17">
        <f>-_xlfn.XLOOKUP($C35,TB_UAE!$E:$E,TB_UAE!O:O)*M$2</f>
        <v>0</v>
      </c>
      <c r="N35" s="17">
        <f>-_xlfn.XLOOKUP($C35,TB_UAE!$E:$E,TB_UAE!P:P)*N$2</f>
        <v>-25253865</v>
      </c>
      <c r="O35" s="17">
        <f>-_xlfn.XLOOKUP($C35,TB_UAE!$E:$E,TB_UAE!Q:Q)*O$2</f>
        <v>-34817391</v>
      </c>
      <c r="P35" s="17">
        <f>-_xlfn.XLOOKUP($C35,TB_UAE!$E:$E,TB_UAE!R:R)*P$2</f>
        <v>-23074222.5</v>
      </c>
      <c r="Q35" s="17">
        <f>-_xlfn.XLOOKUP($C35,TB_UAE!$E:$E,TB_UAE!S:S)*Q$2</f>
        <v>-22483503</v>
      </c>
      <c r="R35" s="17">
        <f>-_xlfn.XLOOKUP($C35,TB_UAE!$E:$E,TB_UAE!T:T)*R$2</f>
        <v>-23044399.875</v>
      </c>
      <c r="S35" s="17">
        <f>-_xlfn.XLOOKUP($C35,TB_UAE!$E:$E,TB_UAE!U:U)*S$2</f>
        <v>-24038303.625</v>
      </c>
      <c r="T35" s="17">
        <f>-_xlfn.XLOOKUP($C35,TB_UAE!$E:$E,TB_UAE!V:V)*T$2</f>
        <v>-23828277.375</v>
      </c>
      <c r="U35" s="17">
        <f>-_xlfn.XLOOKUP($C35,TB_UAE!$E:$E,TB_UAE!W:W)*U$2</f>
        <v>-23134363.875</v>
      </c>
      <c r="V35" s="17">
        <f>-_xlfn.XLOOKUP($C35,TB_UAE!$E:$E,TB_UAE!X:X)*V$2</f>
        <v>-22968492.75</v>
      </c>
      <c r="W35" s="17">
        <f>-_xlfn.XLOOKUP($C35,TB_UAE!$E:$E,TB_UAE!Y:Y)*W$2</f>
        <v>-23084034.75</v>
      </c>
      <c r="X35" s="17">
        <f>-_xlfn.XLOOKUP($C35,TB_UAE!$E:$E,TB_UAE!Z:Z)*X$2</f>
        <v>-22266420.75</v>
      </c>
      <c r="Y35" s="17">
        <f>-_xlfn.XLOOKUP($C35,TB_UAE!$E:$E,TB_UAE!AA:AA)*Y$2</f>
        <v>-21752325</v>
      </c>
      <c r="Z35" s="17">
        <f>-_xlfn.XLOOKUP($C35,TB_UAE!$E:$E,TB_UAE!AB:AB)*Z$2</f>
        <v>-21720628.125</v>
      </c>
      <c r="AA35" s="17">
        <f>-_xlfn.XLOOKUP($C35,TB_UAE!$E:$E,TB_UAE!AC:AC)*AA$2</f>
        <v>-32631546.9375</v>
      </c>
      <c r="AB35" s="17">
        <f>-_xlfn.XLOOKUP($C35,TB_UAE!$E:$E,TB_UAE!AD:AD)*AB$2</f>
        <v>-20825563.5</v>
      </c>
      <c r="AC35" s="17">
        <f>-_xlfn.XLOOKUP($C35,TB_UAE!$E:$E,TB_UAE!AE:AE)*AC$2</f>
        <v>-20366206.875</v>
      </c>
      <c r="AD35" s="17">
        <f>-_xlfn.XLOOKUP($C35,TB_UAE!$E:$E,TB_UAE!AF:AF)*AD$2</f>
        <v>-20750538.375</v>
      </c>
      <c r="AE35" s="17">
        <f>-_xlfn.XLOOKUP($C35,TB_UAE!$E:$E,TB_UAE!AG:AG)*AE$2</f>
        <v>-20627554.5</v>
      </c>
      <c r="AF35" s="17">
        <f>-_xlfn.XLOOKUP($C35,TB_UAE!$E:$E,TB_UAE!AH:AH)*AF$2</f>
        <v>0</v>
      </c>
      <c r="AG35" s="17">
        <f>-_xlfn.XLOOKUP($C35,TB_UAE!$E:$E,TB_UAE!AI:AI)*AG$2</f>
        <v>0</v>
      </c>
      <c r="AH35" s="17">
        <f>-_xlfn.XLOOKUP($C35,TB_UAE!$E:$E,TB_UAE!AJ:AJ)*AH$2</f>
        <v>0</v>
      </c>
      <c r="AI35" s="17">
        <f>-_xlfn.XLOOKUP($C35,TB_UAE!$E:$E,TB_UAE!AK:AK)*AI$2</f>
        <v>0</v>
      </c>
      <c r="AJ35" s="17">
        <f>-_xlfn.XLOOKUP($C35,TB_UAE!$E:$E,TB_UAE!AL:AL)*AJ$2</f>
        <v>0</v>
      </c>
      <c r="AK35" s="17">
        <f>-_xlfn.XLOOKUP($C35,TB_UAE!$E:$E,TB_UAE!AM:AM)*AK$2</f>
        <v>0</v>
      </c>
      <c r="AL35" s="17">
        <f>-_xlfn.XLOOKUP($C35,TB_UAE!$E:$E,TB_UAE!AN:AN)*AL$2</f>
        <v>0</v>
      </c>
      <c r="AM35" s="17">
        <f>-_xlfn.XLOOKUP($C35,TB_UAE!$E:$E,TB_UAE!AO:AO)*AM$2</f>
        <v>0</v>
      </c>
    </row>
    <row r="36" spans="1:50" x14ac:dyDescent="0.2">
      <c r="B36" s="21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</row>
    <row r="37" spans="1:50" x14ac:dyDescent="0.2">
      <c r="B37" s="21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spans="1:50" x14ac:dyDescent="0.2">
      <c r="B38" s="21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</row>
    <row r="39" spans="1:50" x14ac:dyDescent="0.2">
      <c r="B39" s="21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 spans="1:50" x14ac:dyDescent="0.2">
      <c r="B40" s="21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W40">
        <v>2025</v>
      </c>
      <c r="AX40">
        <v>2024</v>
      </c>
    </row>
    <row r="41" spans="1:50" x14ac:dyDescent="0.2">
      <c r="B41" s="21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V41" t="s">
        <v>1640</v>
      </c>
      <c r="AW41" s="45">
        <f>AT43+AT56+AT112</f>
        <v>-25033006.475490034</v>
      </c>
      <c r="AX41" s="45">
        <f>AS43+AS56+AS112</f>
        <v>-22200526.751179993</v>
      </c>
    </row>
    <row r="42" spans="1:50" x14ac:dyDescent="0.2">
      <c r="B42" s="21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V42" t="s">
        <v>1638</v>
      </c>
      <c r="AW42" s="45">
        <f>AT81+AT88</f>
        <v>-1398415.11607</v>
      </c>
      <c r="AX42" s="45">
        <f>AS81+AS88</f>
        <v>-8502439.959999999</v>
      </c>
    </row>
    <row r="43" spans="1:50" x14ac:dyDescent="0.2">
      <c r="A43" s="41">
        <f>SUM(D43:O43)*'FX Rate'!Z8/'FX Rate'!Z7</f>
        <v>-72782579.603266105</v>
      </c>
      <c r="B43" s="15"/>
      <c r="C43" s="22" t="s">
        <v>125</v>
      </c>
      <c r="D43" s="23">
        <f t="shared" ref="D43:AM43" si="6">SUM(D34:D42)</f>
        <v>-9140137.5</v>
      </c>
      <c r="E43" s="23">
        <f t="shared" si="6"/>
        <v>-16213350</v>
      </c>
      <c r="F43" s="23">
        <f t="shared" si="6"/>
        <v>-14212425</v>
      </c>
      <c r="G43" s="23">
        <f t="shared" si="6"/>
        <v>-13647487.5</v>
      </c>
      <c r="H43" s="23">
        <f t="shared" si="6"/>
        <v>-20967075</v>
      </c>
      <c r="I43" s="23">
        <f t="shared" si="6"/>
        <v>0</v>
      </c>
      <c r="J43" s="23">
        <f t="shared" si="6"/>
        <v>-58184700</v>
      </c>
      <c r="K43" s="23">
        <f t="shared" si="6"/>
        <v>-24350006.25</v>
      </c>
      <c r="L43" s="23">
        <f t="shared" si="6"/>
        <v>-17028337.5</v>
      </c>
      <c r="M43" s="23">
        <f t="shared" si="6"/>
        <v>-33550650</v>
      </c>
      <c r="N43" s="23">
        <f t="shared" si="6"/>
        <v>-25253865</v>
      </c>
      <c r="O43" s="23">
        <f t="shared" si="6"/>
        <v>-34817391</v>
      </c>
      <c r="P43" s="23">
        <f t="shared" si="6"/>
        <v>-23074222.5</v>
      </c>
      <c r="Q43" s="23">
        <f t="shared" si="6"/>
        <v>-22483503</v>
      </c>
      <c r="R43" s="23">
        <f t="shared" si="6"/>
        <v>-23044399.875</v>
      </c>
      <c r="S43" s="23">
        <f t="shared" si="6"/>
        <v>-24038303.625</v>
      </c>
      <c r="T43" s="23">
        <f t="shared" si="6"/>
        <v>-23828277.375</v>
      </c>
      <c r="U43" s="23">
        <f t="shared" si="6"/>
        <v>-23134363.875</v>
      </c>
      <c r="V43" s="23">
        <f t="shared" si="6"/>
        <v>-22968492.75</v>
      </c>
      <c r="W43" s="23">
        <f t="shared" si="6"/>
        <v>-23084034.75</v>
      </c>
      <c r="X43" s="23">
        <f t="shared" si="6"/>
        <v>-22266420.75</v>
      </c>
      <c r="Y43" s="23">
        <f t="shared" si="6"/>
        <v>-21752325</v>
      </c>
      <c r="Z43" s="23">
        <f t="shared" si="6"/>
        <v>-21720628.125</v>
      </c>
      <c r="AA43" s="23">
        <f>SUM(AA34:AA42)</f>
        <v>-32631546.9375</v>
      </c>
      <c r="AB43" s="23">
        <f t="shared" si="6"/>
        <v>-20825563.5</v>
      </c>
      <c r="AC43" s="23">
        <f t="shared" si="6"/>
        <v>-20366206.875</v>
      </c>
      <c r="AD43" s="23">
        <f t="shared" si="6"/>
        <v>-20750538.375</v>
      </c>
      <c r="AE43" s="23">
        <f t="shared" si="6"/>
        <v>-20627554.5</v>
      </c>
      <c r="AF43" s="23">
        <f t="shared" si="6"/>
        <v>0</v>
      </c>
      <c r="AG43" s="23">
        <f t="shared" si="6"/>
        <v>0</v>
      </c>
      <c r="AH43" s="23">
        <f t="shared" si="6"/>
        <v>0</v>
      </c>
      <c r="AI43" s="23">
        <f t="shared" si="6"/>
        <v>0</v>
      </c>
      <c r="AJ43" s="23">
        <f t="shared" si="6"/>
        <v>0</v>
      </c>
      <c r="AK43" s="23">
        <f t="shared" si="6"/>
        <v>0</v>
      </c>
      <c r="AL43" s="23">
        <f t="shared" si="6"/>
        <v>0</v>
      </c>
      <c r="AM43" s="23">
        <f t="shared" si="6"/>
        <v>0</v>
      </c>
      <c r="AS43" s="23">
        <f>SUM(D43:O43)</f>
        <v>-267365424.75</v>
      </c>
      <c r="AT43" s="23">
        <f>SUM(P43:AA43)</f>
        <v>-284026518.5625</v>
      </c>
      <c r="AV43" t="s">
        <v>1639</v>
      </c>
      <c r="AW43" s="45">
        <f>AT70+AT94+AT98+AT103+AT107</f>
        <v>-13565202.283779999</v>
      </c>
      <c r="AX43" s="45">
        <f>AS70+AS94+AS98+AS103+AS107</f>
        <v>-80189071.781970009</v>
      </c>
    </row>
    <row r="44" spans="1:50" x14ac:dyDescent="0.2">
      <c r="B44" s="15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8"/>
      <c r="AV44" t="s">
        <v>1431</v>
      </c>
    </row>
    <row r="45" spans="1:50" x14ac:dyDescent="0.2">
      <c r="B45" s="15"/>
      <c r="C45" s="20" t="s">
        <v>126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8"/>
      <c r="AW45" s="45">
        <f>SUM(AW41:AW44)</f>
        <v>-39996623.87534003</v>
      </c>
      <c r="AX45" s="45">
        <f>SUM(AX41:AX44)</f>
        <v>-110892038.49315</v>
      </c>
    </row>
    <row r="46" spans="1:50" x14ac:dyDescent="0.2">
      <c r="B46" s="21" t="s">
        <v>894</v>
      </c>
      <c r="C46" s="16" t="str">
        <f>_xlfn.XLOOKUP(B46,TB_UAE!A:A,TB_UAE!E:E)</f>
        <v>Training</v>
      </c>
      <c r="D46" s="17">
        <f>-_xlfn.XLOOKUP($C46,TB_UAE!$E:$E,TB_UAE!F:F)*D$2</f>
        <v>0</v>
      </c>
      <c r="E46" s="17">
        <f>-_xlfn.XLOOKUP($C46,TB_UAE!$E:$E,TB_UAE!G:G)*E$2</f>
        <v>0</v>
      </c>
      <c r="F46" s="17">
        <f>-_xlfn.XLOOKUP($C46,TB_UAE!$E:$E,TB_UAE!H:H)*F$2</f>
        <v>0</v>
      </c>
      <c r="G46" s="17">
        <f>-_xlfn.XLOOKUP($C46,TB_UAE!$E:$E,TB_UAE!I:I)*G$2</f>
        <v>0</v>
      </c>
      <c r="H46" s="17">
        <f>-_xlfn.XLOOKUP($C46,TB_UAE!$E:$E,TB_UAE!J:J)*H$2</f>
        <v>0</v>
      </c>
      <c r="I46" s="17">
        <f>-_xlfn.XLOOKUP($C46,TB_UAE!$E:$E,TB_UAE!K:K)*I$2</f>
        <v>0</v>
      </c>
      <c r="J46" s="17">
        <f>-_xlfn.XLOOKUP($C46,TB_UAE!$E:$E,TB_UAE!L:L)*J$2</f>
        <v>0</v>
      </c>
      <c r="K46" s="17">
        <f>-_xlfn.XLOOKUP($C46,TB_UAE!$E:$E,TB_UAE!M:M)*K$2</f>
        <v>0</v>
      </c>
      <c r="L46" s="17">
        <f>-_xlfn.XLOOKUP($C46,TB_UAE!$E:$E,TB_UAE!N:N)*L$2</f>
        <v>0</v>
      </c>
      <c r="M46" s="17">
        <f>-_xlfn.XLOOKUP($C46,TB_UAE!$E:$E,TB_UAE!O:O)*M$2</f>
        <v>0</v>
      </c>
      <c r="N46" s="17">
        <f>-_xlfn.XLOOKUP($C46,TB_UAE!$E:$E,TB_UAE!P:P)*N$2</f>
        <v>0</v>
      </c>
      <c r="O46" s="17">
        <f>-_xlfn.XLOOKUP($C46,TB_UAE!$E:$E,TB_UAE!Q:Q)*O$2</f>
        <v>0</v>
      </c>
      <c r="P46" s="17">
        <f>-_xlfn.XLOOKUP($C46,TB_UAE!$E:$E,TB_UAE!R:R)*P$2</f>
        <v>0</v>
      </c>
      <c r="Q46" s="17">
        <f>-_xlfn.XLOOKUP($C46,TB_UAE!$E:$E,TB_UAE!S:S)*Q$2</f>
        <v>0</v>
      </c>
      <c r="R46" s="17">
        <f>-_xlfn.XLOOKUP($C46,TB_UAE!$E:$E,TB_UAE!T:T)*R$2</f>
        <v>0</v>
      </c>
      <c r="S46" s="17">
        <f>-_xlfn.XLOOKUP($C46,TB_UAE!$E:$E,TB_UAE!U:U)*S$2</f>
        <v>0</v>
      </c>
      <c r="T46" s="17">
        <f>-_xlfn.XLOOKUP($C46,TB_UAE!$E:$E,TB_UAE!V:V)*T$2</f>
        <v>0</v>
      </c>
      <c r="U46" s="17">
        <f>-_xlfn.XLOOKUP($C46,TB_UAE!$E:$E,TB_UAE!W:W)*U$2</f>
        <v>0</v>
      </c>
      <c r="V46" s="17">
        <f>-_xlfn.XLOOKUP($C46,TB_UAE!$E:$E,TB_UAE!X:X)*V$2</f>
        <v>0</v>
      </c>
      <c r="W46" s="17">
        <f>-_xlfn.XLOOKUP($C46,TB_UAE!$E:$E,TB_UAE!Y:Y)*W$2</f>
        <v>0</v>
      </c>
      <c r="X46" s="17">
        <f>-_xlfn.XLOOKUP($C46,TB_UAE!$E:$E,TB_UAE!Z:Z)*X$2</f>
        <v>0</v>
      </c>
      <c r="Y46" s="17">
        <f>-_xlfn.XLOOKUP($C46,TB_UAE!$E:$E,TB_UAE!AA:AA)*Y$2</f>
        <v>0</v>
      </c>
      <c r="Z46" s="17">
        <f>-_xlfn.XLOOKUP($C46,TB_UAE!$E:$E,TB_UAE!AB:AB)*Z$2</f>
        <v>0</v>
      </c>
      <c r="AA46" s="17">
        <f>-_xlfn.XLOOKUP($C46,TB_UAE!$E:$E,TB_UAE!AC:AC)*AA$2</f>
        <v>0</v>
      </c>
      <c r="AB46" s="17">
        <f>-_xlfn.XLOOKUP($C46,TB_UAE!$E:$E,TB_UAE!AD:AD)*AB$2</f>
        <v>0</v>
      </c>
      <c r="AC46" s="17">
        <f>-_xlfn.XLOOKUP($C46,TB_UAE!$E:$E,TB_UAE!AE:AE)*AC$2</f>
        <v>0</v>
      </c>
      <c r="AD46" s="17">
        <f>-_xlfn.XLOOKUP($C46,TB_UAE!$E:$E,TB_UAE!AF:AF)*AD$2</f>
        <v>0</v>
      </c>
      <c r="AE46" s="17">
        <f>-_xlfn.XLOOKUP($C46,TB_UAE!$E:$E,TB_UAE!AG:AG)*AE$2</f>
        <v>0</v>
      </c>
      <c r="AF46" s="17">
        <f>-_xlfn.XLOOKUP($C46,TB_UAE!$E:$E,TB_UAE!AH:AH)*AF$2</f>
        <v>0</v>
      </c>
      <c r="AG46" s="17">
        <f>-_xlfn.XLOOKUP($C46,TB_UAE!$E:$E,TB_UAE!AI:AI)*AG$2</f>
        <v>0</v>
      </c>
      <c r="AH46" s="17">
        <f>-_xlfn.XLOOKUP($C46,TB_UAE!$E:$E,TB_UAE!AJ:AJ)*AH$2</f>
        <v>0</v>
      </c>
      <c r="AI46" s="17">
        <f>-_xlfn.XLOOKUP($C46,TB_UAE!$E:$E,TB_UAE!AK:AK)*AI$2</f>
        <v>0</v>
      </c>
      <c r="AJ46" s="17">
        <f>-_xlfn.XLOOKUP($C46,TB_UAE!$E:$E,TB_UAE!AL:AL)*AJ$2</f>
        <v>0</v>
      </c>
      <c r="AK46" s="17">
        <f>-_xlfn.XLOOKUP($C46,TB_UAE!$E:$E,TB_UAE!AM:AM)*AK$2</f>
        <v>0</v>
      </c>
      <c r="AL46" s="17">
        <f>-_xlfn.XLOOKUP($C46,TB_UAE!$E:$E,TB_UAE!AN:AN)*AL$2</f>
        <v>0</v>
      </c>
      <c r="AM46" s="17">
        <f>-_xlfn.XLOOKUP($C46,TB_UAE!$E:$E,TB_UAE!AO:AO)*AM$2</f>
        <v>0</v>
      </c>
    </row>
    <row r="47" spans="1:50" x14ac:dyDescent="0.2">
      <c r="B47" s="21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 spans="1:50" s="20" customFormat="1" ht="13.5" customHeight="1" x14ac:dyDescent="0.15">
      <c r="C48" s="22" t="s">
        <v>127</v>
      </c>
      <c r="D48" s="23">
        <f>SUM(D46:D47)</f>
        <v>0</v>
      </c>
      <c r="E48" s="23">
        <f t="shared" ref="E48:AM48" si="7">SUM(E46:E47)</f>
        <v>0</v>
      </c>
      <c r="F48" s="23">
        <f t="shared" si="7"/>
        <v>0</v>
      </c>
      <c r="G48" s="23">
        <f t="shared" si="7"/>
        <v>0</v>
      </c>
      <c r="H48" s="23">
        <f t="shared" si="7"/>
        <v>0</v>
      </c>
      <c r="I48" s="23">
        <f t="shared" si="7"/>
        <v>0</v>
      </c>
      <c r="J48" s="23">
        <f t="shared" si="7"/>
        <v>0</v>
      </c>
      <c r="K48" s="23">
        <f t="shared" si="7"/>
        <v>0</v>
      </c>
      <c r="L48" s="23">
        <f t="shared" si="7"/>
        <v>0</v>
      </c>
      <c r="M48" s="23">
        <f t="shared" si="7"/>
        <v>0</v>
      </c>
      <c r="N48" s="23">
        <f t="shared" si="7"/>
        <v>0</v>
      </c>
      <c r="O48" s="23">
        <f t="shared" si="7"/>
        <v>0</v>
      </c>
      <c r="P48" s="23">
        <f t="shared" si="7"/>
        <v>0</v>
      </c>
      <c r="Q48" s="23">
        <f t="shared" si="7"/>
        <v>0</v>
      </c>
      <c r="R48" s="23">
        <f t="shared" si="7"/>
        <v>0</v>
      </c>
      <c r="S48" s="23">
        <f t="shared" si="7"/>
        <v>0</v>
      </c>
      <c r="T48" s="23">
        <f t="shared" si="7"/>
        <v>0</v>
      </c>
      <c r="U48" s="23">
        <f t="shared" si="7"/>
        <v>0</v>
      </c>
      <c r="V48" s="23">
        <f t="shared" si="7"/>
        <v>0</v>
      </c>
      <c r="W48" s="23">
        <f t="shared" si="7"/>
        <v>0</v>
      </c>
      <c r="X48" s="23">
        <f t="shared" si="7"/>
        <v>0</v>
      </c>
      <c r="Y48" s="23">
        <f t="shared" si="7"/>
        <v>0</v>
      </c>
      <c r="Z48" s="23">
        <f t="shared" si="7"/>
        <v>0</v>
      </c>
      <c r="AA48" s="23">
        <f>SUM(AA46:AA47)</f>
        <v>0</v>
      </c>
      <c r="AB48" s="23">
        <f t="shared" si="7"/>
        <v>0</v>
      </c>
      <c r="AC48" s="23">
        <f t="shared" si="7"/>
        <v>0</v>
      </c>
      <c r="AD48" s="23">
        <f t="shared" si="7"/>
        <v>0</v>
      </c>
      <c r="AE48" s="23">
        <f t="shared" si="7"/>
        <v>0</v>
      </c>
      <c r="AF48" s="23">
        <f t="shared" si="7"/>
        <v>0</v>
      </c>
      <c r="AG48" s="23">
        <f t="shared" si="7"/>
        <v>0</v>
      </c>
      <c r="AH48" s="23">
        <f t="shared" si="7"/>
        <v>0</v>
      </c>
      <c r="AI48" s="23">
        <f t="shared" si="7"/>
        <v>0</v>
      </c>
      <c r="AJ48" s="23">
        <f t="shared" si="7"/>
        <v>0</v>
      </c>
      <c r="AK48" s="23">
        <f t="shared" si="7"/>
        <v>0</v>
      </c>
      <c r="AL48" s="23">
        <f t="shared" si="7"/>
        <v>0</v>
      </c>
      <c r="AM48" s="23">
        <f t="shared" si="7"/>
        <v>0</v>
      </c>
      <c r="AS48" s="23">
        <f>SUM(D48:O48)</f>
        <v>0</v>
      </c>
      <c r="AT48" s="23">
        <f>SUM(P48:AA48)</f>
        <v>0</v>
      </c>
    </row>
    <row r="49" spans="2:46" x14ac:dyDescent="0.2">
      <c r="B49" s="21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8"/>
    </row>
    <row r="50" spans="2:46" x14ac:dyDescent="0.2">
      <c r="B50" s="21"/>
      <c r="C50" s="20" t="s">
        <v>747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8"/>
    </row>
    <row r="51" spans="2:46" x14ac:dyDescent="0.2">
      <c r="B51" s="21" t="s">
        <v>895</v>
      </c>
      <c r="C51" s="16" t="str">
        <f>_xlfn.XLOOKUP(B51,TB_UAE!A:A,TB_UAE!E:E)</f>
        <v>Professional Fees:Professional Fees Auditors' Fees</v>
      </c>
      <c r="D51" s="17">
        <f>-_xlfn.XLOOKUP($C51,TB_UAE!$E:$E,TB_UAE!F:F)*D$2</f>
        <v>0</v>
      </c>
      <c r="E51" s="17">
        <f>-_xlfn.XLOOKUP($C51,TB_UAE!$E:$E,TB_UAE!G:G)*E$2</f>
        <v>0</v>
      </c>
      <c r="F51" s="17">
        <f>-_xlfn.XLOOKUP($C51,TB_UAE!$E:$E,TB_UAE!H:H)*F$2</f>
        <v>0</v>
      </c>
      <c r="G51" s="17">
        <f>-_xlfn.XLOOKUP($C51,TB_UAE!$E:$E,TB_UAE!I:I)*G$2</f>
        <v>0</v>
      </c>
      <c r="H51" s="17">
        <f>-_xlfn.XLOOKUP($C51,TB_UAE!$E:$E,TB_UAE!J:J)*H$2</f>
        <v>0</v>
      </c>
      <c r="I51" s="17">
        <f>-_xlfn.XLOOKUP($C51,TB_UAE!$E:$E,TB_UAE!K:K)*I$2</f>
        <v>0</v>
      </c>
      <c r="J51" s="17">
        <f>-_xlfn.XLOOKUP($C51,TB_UAE!$E:$E,TB_UAE!L:L)*J$2</f>
        <v>0</v>
      </c>
      <c r="K51" s="17">
        <f>-_xlfn.XLOOKUP($C51,TB_UAE!$E:$E,TB_UAE!M:M)*K$2</f>
        <v>0</v>
      </c>
      <c r="L51" s="17">
        <f>-_xlfn.XLOOKUP($C51,TB_UAE!$E:$E,TB_UAE!N:N)*L$2</f>
        <v>0</v>
      </c>
      <c r="M51" s="17">
        <f>-_xlfn.XLOOKUP($C51,TB_UAE!$E:$E,TB_UAE!O:O)*M$2</f>
        <v>0</v>
      </c>
      <c r="N51" s="17">
        <f>-_xlfn.XLOOKUP($C51,TB_UAE!$E:$E,TB_UAE!P:P)*N$2</f>
        <v>0</v>
      </c>
      <c r="O51" s="17">
        <f>-_xlfn.XLOOKUP($C51,TB_UAE!$E:$E,TB_UAE!Q:Q)*O$2</f>
        <v>0</v>
      </c>
      <c r="P51" s="17">
        <f>-_xlfn.XLOOKUP($C51,TB_UAE!$E:$E,TB_UAE!R:R)*P$2</f>
        <v>0</v>
      </c>
      <c r="Q51" s="17">
        <f>-_xlfn.XLOOKUP($C51,TB_UAE!$E:$E,TB_UAE!S:S)*Q$2</f>
        <v>-1876174.4</v>
      </c>
      <c r="R51" s="17">
        <f>-_xlfn.XLOOKUP($C51,TB_UAE!$E:$E,TB_UAE!T:T)*R$2</f>
        <v>0</v>
      </c>
      <c r="S51" s="17">
        <f>-_xlfn.XLOOKUP($C51,TB_UAE!$E:$E,TB_UAE!U:U)*S$2</f>
        <v>0</v>
      </c>
      <c r="T51" s="17">
        <f>-_xlfn.XLOOKUP($C51,TB_UAE!$E:$E,TB_UAE!V:V)*T$2</f>
        <v>0</v>
      </c>
      <c r="U51" s="17">
        <f>-_xlfn.XLOOKUP($C51,TB_UAE!$E:$E,TB_UAE!W:W)*U$2</f>
        <v>0</v>
      </c>
      <c r="V51" s="17">
        <f>-_xlfn.XLOOKUP($C51,TB_UAE!$E:$E,TB_UAE!X:X)*V$2</f>
        <v>0</v>
      </c>
      <c r="W51" s="17">
        <f>-_xlfn.XLOOKUP($C51,TB_UAE!$E:$E,TB_UAE!Y:Y)*W$2</f>
        <v>0</v>
      </c>
      <c r="X51" s="17">
        <f>-_xlfn.XLOOKUP($C51,TB_UAE!$E:$E,TB_UAE!Z:Z)*X$2</f>
        <v>0</v>
      </c>
      <c r="Y51" s="17">
        <f>-_xlfn.XLOOKUP($C51,TB_UAE!$E:$E,TB_UAE!AA:AA)*Y$2</f>
        <v>0</v>
      </c>
      <c r="Z51" s="17">
        <f>-_xlfn.XLOOKUP($C51,TB_UAE!$E:$E,TB_UAE!AB:AB)*Z$2</f>
        <v>0</v>
      </c>
      <c r="AA51" s="17">
        <f>-_xlfn.XLOOKUP($C51,TB_UAE!$E:$E,TB_UAE!AC:AC)*AA$2</f>
        <v>0</v>
      </c>
      <c r="AB51" s="17">
        <f>-_xlfn.XLOOKUP($C51,TB_UAE!$E:$E,TB_UAE!AD:AD)*AB$2</f>
        <v>0</v>
      </c>
      <c r="AC51" s="17">
        <f>-_xlfn.XLOOKUP($C51,TB_UAE!$E:$E,TB_UAE!AE:AE)*AC$2</f>
        <v>0</v>
      </c>
      <c r="AD51" s="17">
        <f>-_xlfn.XLOOKUP($C51,TB_UAE!$E:$E,TB_UAE!AF:AF)*AD$2</f>
        <v>0</v>
      </c>
      <c r="AE51" s="17">
        <f>-_xlfn.XLOOKUP($C51,TB_UAE!$E:$E,TB_UAE!AG:AG)*AE$2</f>
        <v>0</v>
      </c>
      <c r="AF51" s="17">
        <f>-_xlfn.XLOOKUP($C51,TB_UAE!$E:$E,TB_UAE!AH:AH)*AF$2</f>
        <v>0</v>
      </c>
      <c r="AG51" s="17">
        <f>-_xlfn.XLOOKUP($C51,TB_UAE!$E:$E,TB_UAE!AI:AI)*AG$2</f>
        <v>0</v>
      </c>
      <c r="AH51" s="17">
        <f>-_xlfn.XLOOKUP($C51,TB_UAE!$E:$E,TB_UAE!AJ:AJ)*AH$2</f>
        <v>0</v>
      </c>
      <c r="AI51" s="17">
        <f>-_xlfn.XLOOKUP($C51,TB_UAE!$E:$E,TB_UAE!AK:AK)*AI$2</f>
        <v>0</v>
      </c>
      <c r="AJ51" s="17">
        <f>-_xlfn.XLOOKUP($C51,TB_UAE!$E:$E,TB_UAE!AL:AL)*AJ$2</f>
        <v>0</v>
      </c>
      <c r="AK51" s="17">
        <f>-_xlfn.XLOOKUP($C51,TB_UAE!$E:$E,TB_UAE!AM:AM)*AK$2</f>
        <v>0</v>
      </c>
      <c r="AL51" s="17">
        <f>-_xlfn.XLOOKUP($C51,TB_UAE!$E:$E,TB_UAE!AN:AN)*AL$2</f>
        <v>0</v>
      </c>
      <c r="AM51" s="17">
        <f>-_xlfn.XLOOKUP($C51,TB_UAE!$E:$E,TB_UAE!AO:AO)*AM$2</f>
        <v>0</v>
      </c>
    </row>
    <row r="52" spans="2:46" x14ac:dyDescent="0.2">
      <c r="B52" s="21" t="s">
        <v>896</v>
      </c>
      <c r="C52" s="16" t="str">
        <f>_xlfn.XLOOKUP(B52,TB_UAE!A:A,TB_UAE!E:E)</f>
        <v>EXP034D Professional Fees:Tax Services</v>
      </c>
      <c r="D52" s="17">
        <f>-_xlfn.XLOOKUP($C52,TB_UAE!$E:$E,TB_UAE!F:F)*D$2</f>
        <v>0</v>
      </c>
      <c r="E52" s="17">
        <f>-_xlfn.XLOOKUP($C52,TB_UAE!$E:$E,TB_UAE!G:G)*E$2</f>
        <v>0</v>
      </c>
      <c r="F52" s="17">
        <f>-_xlfn.XLOOKUP($C52,TB_UAE!$E:$E,TB_UAE!H:H)*F$2</f>
        <v>0</v>
      </c>
      <c r="G52" s="17">
        <f>-_xlfn.XLOOKUP($C52,TB_UAE!$E:$E,TB_UAE!I:I)*G$2</f>
        <v>0</v>
      </c>
      <c r="H52" s="17">
        <f>-_xlfn.XLOOKUP($C52,TB_UAE!$E:$E,TB_UAE!J:J)*H$2</f>
        <v>0</v>
      </c>
      <c r="I52" s="17">
        <f>-_xlfn.XLOOKUP($C52,TB_UAE!$E:$E,TB_UAE!K:K)*I$2</f>
        <v>0</v>
      </c>
      <c r="J52" s="17">
        <f>-_xlfn.XLOOKUP($C52,TB_UAE!$E:$E,TB_UAE!L:L)*J$2</f>
        <v>0</v>
      </c>
      <c r="K52" s="17">
        <f>-_xlfn.XLOOKUP($C52,TB_UAE!$E:$E,TB_UAE!M:M)*K$2</f>
        <v>0</v>
      </c>
      <c r="L52" s="17">
        <f>-_xlfn.XLOOKUP($C52,TB_UAE!$E:$E,TB_UAE!N:N)*L$2</f>
        <v>0</v>
      </c>
      <c r="M52" s="17">
        <f>-_xlfn.XLOOKUP($C52,TB_UAE!$E:$E,TB_UAE!O:O)*M$2</f>
        <v>0</v>
      </c>
      <c r="N52" s="17">
        <f>-_xlfn.XLOOKUP($C52,TB_UAE!$E:$E,TB_UAE!P:P)*N$2</f>
        <v>0</v>
      </c>
      <c r="O52" s="17">
        <f>-_xlfn.XLOOKUP($C52,TB_UAE!$E:$E,TB_UAE!Q:Q)*O$2</f>
        <v>0</v>
      </c>
      <c r="P52" s="17">
        <f>-_xlfn.XLOOKUP($C52,TB_UAE!$E:$E,TB_UAE!R:R)*P$2</f>
        <v>-775210.15999999992</v>
      </c>
      <c r="Q52" s="17">
        <f>-_xlfn.XLOOKUP($C52,TB_UAE!$E:$E,TB_UAE!S:S)*Q$2</f>
        <v>0</v>
      </c>
      <c r="R52" s="17">
        <f>-_xlfn.XLOOKUP($C52,TB_UAE!$E:$E,TB_UAE!T:T)*R$2</f>
        <v>0</v>
      </c>
      <c r="S52" s="17">
        <f>-_xlfn.XLOOKUP($C52,TB_UAE!$E:$E,TB_UAE!U:U)*S$2</f>
        <v>0</v>
      </c>
      <c r="T52" s="17">
        <f>-_xlfn.XLOOKUP($C52,TB_UAE!$E:$E,TB_UAE!V:V)*T$2</f>
        <v>-748888.71750000003</v>
      </c>
      <c r="U52" s="17">
        <f>-_xlfn.XLOOKUP($C52,TB_UAE!$E:$E,TB_UAE!W:W)*U$2</f>
        <v>0</v>
      </c>
      <c r="V52" s="17">
        <f>-_xlfn.XLOOKUP($C52,TB_UAE!$E:$E,TB_UAE!X:X)*V$2</f>
        <v>0</v>
      </c>
      <c r="W52" s="17">
        <f>-_xlfn.XLOOKUP($C52,TB_UAE!$E:$E,TB_UAE!Y:Y)*W$2</f>
        <v>-690950.7</v>
      </c>
      <c r="X52" s="17">
        <f>-_xlfn.XLOOKUP($C52,TB_UAE!$E:$E,TB_UAE!Z:Z)*X$2</f>
        <v>0</v>
      </c>
      <c r="Y52" s="17">
        <f>-_xlfn.XLOOKUP($C52,TB_UAE!$E:$E,TB_UAE!AA:AA)*Y$2</f>
        <v>-1834890</v>
      </c>
      <c r="Z52" s="17">
        <f>-_xlfn.XLOOKUP($C52,TB_UAE!$E:$E,TB_UAE!AB:AB)*Z$2</f>
        <v>0</v>
      </c>
      <c r="AA52" s="17">
        <f>-_xlfn.XLOOKUP($C52,TB_UAE!$E:$E,TB_UAE!AC:AC)*AA$2</f>
        <v>0</v>
      </c>
      <c r="AB52" s="17">
        <f>-_xlfn.XLOOKUP($C52,TB_UAE!$E:$E,TB_UAE!AD:AD)*AB$2</f>
        <v>0</v>
      </c>
      <c r="AC52" s="17">
        <f>-_xlfn.XLOOKUP($C52,TB_UAE!$E:$E,TB_UAE!AE:AE)*AC$2</f>
        <v>0</v>
      </c>
      <c r="AD52" s="17">
        <f>-_xlfn.XLOOKUP($C52,TB_UAE!$E:$E,TB_UAE!AF:AF)*AD$2</f>
        <v>0</v>
      </c>
      <c r="AE52" s="17">
        <f>-_xlfn.XLOOKUP($C52,TB_UAE!$E:$E,TB_UAE!AG:AG)*AE$2</f>
        <v>0</v>
      </c>
      <c r="AF52" s="17">
        <f>-_xlfn.XLOOKUP($C52,TB_UAE!$E:$E,TB_UAE!AH:AH)*AF$2</f>
        <v>0</v>
      </c>
      <c r="AG52" s="17">
        <f>-_xlfn.XLOOKUP($C52,TB_UAE!$E:$E,TB_UAE!AI:AI)*AG$2</f>
        <v>0</v>
      </c>
      <c r="AH52" s="17">
        <f>-_xlfn.XLOOKUP($C52,TB_UAE!$E:$E,TB_UAE!AJ:AJ)*AH$2</f>
        <v>0</v>
      </c>
      <c r="AI52" s="17">
        <f>-_xlfn.XLOOKUP($C52,TB_UAE!$E:$E,TB_UAE!AK:AK)*AI$2</f>
        <v>0</v>
      </c>
      <c r="AJ52" s="17">
        <f>-_xlfn.XLOOKUP($C52,TB_UAE!$E:$E,TB_UAE!AL:AL)*AJ$2</f>
        <v>0</v>
      </c>
      <c r="AK52" s="17">
        <f>-_xlfn.XLOOKUP($C52,TB_UAE!$E:$E,TB_UAE!AM:AM)*AK$2</f>
        <v>0</v>
      </c>
      <c r="AL52" s="17">
        <f>-_xlfn.XLOOKUP($C52,TB_UAE!$E:$E,TB_UAE!AN:AN)*AL$2</f>
        <v>0</v>
      </c>
      <c r="AM52" s="17">
        <f>-_xlfn.XLOOKUP($C52,TB_UAE!$E:$E,TB_UAE!AO:AO)*AM$2</f>
        <v>0</v>
      </c>
    </row>
    <row r="53" spans="2:46" x14ac:dyDescent="0.2">
      <c r="B53" s="74" t="s">
        <v>1216</v>
      </c>
      <c r="C53" s="16" t="str">
        <f>_xlfn.XLOOKUP(B53,TB_UAE!A:A,TB_UAE!E:E)</f>
        <v>Professional Fees:Professional Fees Legal Practitioners' fee</v>
      </c>
      <c r="D53" s="17">
        <f>-_xlfn.XLOOKUP($C53,TB_UAE!$E:$E,TB_UAE!F:F)*D$2</f>
        <v>0</v>
      </c>
      <c r="E53" s="17">
        <f>-_xlfn.XLOOKUP($C53,TB_UAE!$E:$E,TB_UAE!G:G)*E$2</f>
        <v>0</v>
      </c>
      <c r="F53" s="17">
        <f>-_xlfn.XLOOKUP($C53,TB_UAE!$E:$E,TB_UAE!H:H)*F$2</f>
        <v>0</v>
      </c>
      <c r="G53" s="17">
        <f>-_xlfn.XLOOKUP($C53,TB_UAE!$E:$E,TB_UAE!I:I)*G$2</f>
        <v>0</v>
      </c>
      <c r="H53" s="17">
        <f>-_xlfn.XLOOKUP($C53,TB_UAE!$E:$E,TB_UAE!J:J)*H$2</f>
        <v>0</v>
      </c>
      <c r="I53" s="17">
        <f>-_xlfn.XLOOKUP($C53,TB_UAE!$E:$E,TB_UAE!K:K)*I$2</f>
        <v>0</v>
      </c>
      <c r="J53" s="17">
        <f>-_xlfn.XLOOKUP($C53,TB_UAE!$E:$E,TB_UAE!L:L)*J$2</f>
        <v>0</v>
      </c>
      <c r="K53" s="17">
        <f>-_xlfn.XLOOKUP($C53,TB_UAE!$E:$E,TB_UAE!M:M)*K$2</f>
        <v>0</v>
      </c>
      <c r="L53" s="17">
        <f>-_xlfn.XLOOKUP($C53,TB_UAE!$E:$E,TB_UAE!N:N)*L$2</f>
        <v>0</v>
      </c>
      <c r="M53" s="17">
        <f>-_xlfn.XLOOKUP($C53,TB_UAE!$E:$E,TB_UAE!O:O)*M$2</f>
        <v>0</v>
      </c>
      <c r="N53" s="17">
        <f>-_xlfn.XLOOKUP($C53,TB_UAE!$E:$E,TB_UAE!P:P)*N$2</f>
        <v>0</v>
      </c>
      <c r="O53" s="17">
        <f>-_xlfn.XLOOKUP($C53,TB_UAE!$E:$E,TB_UAE!Q:Q)*O$2</f>
        <v>0</v>
      </c>
      <c r="P53" s="17">
        <f>-_xlfn.XLOOKUP($C53,TB_UAE!$E:$E,TB_UAE!R:R)*P$2</f>
        <v>0</v>
      </c>
      <c r="Q53" s="17">
        <f>-_xlfn.XLOOKUP($C53,TB_UAE!$E:$E,TB_UAE!S:S)*Q$2</f>
        <v>0</v>
      </c>
      <c r="R53" s="17">
        <f>-_xlfn.XLOOKUP($C53,TB_UAE!$E:$E,TB_UAE!T:T)*R$2</f>
        <v>0</v>
      </c>
      <c r="S53" s="17">
        <f>-_xlfn.XLOOKUP($C53,TB_UAE!$E:$E,TB_UAE!U:U)*S$2</f>
        <v>0</v>
      </c>
      <c r="T53" s="17">
        <f>-_xlfn.XLOOKUP($C53,TB_UAE!$E:$E,TB_UAE!V:V)*T$2</f>
        <v>0</v>
      </c>
      <c r="U53" s="17">
        <f>-_xlfn.XLOOKUP($C53,TB_UAE!$E:$E,TB_UAE!W:W)*U$2</f>
        <v>0</v>
      </c>
      <c r="V53" s="17">
        <f>-_xlfn.XLOOKUP($C53,TB_UAE!$E:$E,TB_UAE!X:X)*V$2</f>
        <v>0</v>
      </c>
      <c r="W53" s="17">
        <f>-_xlfn.XLOOKUP($C53,TB_UAE!$E:$E,TB_UAE!Y:Y)*W$2</f>
        <v>0</v>
      </c>
      <c r="X53" s="17">
        <f>-_xlfn.XLOOKUP($C53,TB_UAE!$E:$E,TB_UAE!Z:Z)*X$2</f>
        <v>-605889</v>
      </c>
      <c r="Y53" s="17">
        <f>-_xlfn.XLOOKUP($C53,TB_UAE!$E:$E,TB_UAE!AA:AA)*Y$2</f>
        <v>0</v>
      </c>
      <c r="Z53" s="17">
        <f>-_xlfn.XLOOKUP($C53,TB_UAE!$E:$E,TB_UAE!AB:AB)*Z$2</f>
        <v>0</v>
      </c>
      <c r="AA53" s="17">
        <f>-_xlfn.XLOOKUP($C53,TB_UAE!$E:$E,TB_UAE!AC:AC)*AA$2</f>
        <v>0</v>
      </c>
      <c r="AB53" s="17">
        <f>-_xlfn.XLOOKUP($C53,TB_UAE!$E:$E,TB_UAE!AD:AD)*AB$2</f>
        <v>0</v>
      </c>
      <c r="AC53" s="17">
        <f>-_xlfn.XLOOKUP($C53,TB_UAE!$E:$E,TB_UAE!AE:AE)*AC$2</f>
        <v>0</v>
      </c>
      <c r="AD53" s="17">
        <f>-_xlfn.XLOOKUP($C53,TB_UAE!$E:$E,TB_UAE!AF:AF)*AD$2</f>
        <v>0</v>
      </c>
      <c r="AE53" s="17">
        <f>-_xlfn.XLOOKUP($C53,TB_UAE!$E:$E,TB_UAE!AG:AG)*AE$2</f>
        <v>0</v>
      </c>
      <c r="AF53" s="17">
        <f>-_xlfn.XLOOKUP($C53,TB_UAE!$E:$E,TB_UAE!AH:AH)*AF$2</f>
        <v>0</v>
      </c>
      <c r="AG53" s="17">
        <f>-_xlfn.XLOOKUP($C53,TB_UAE!$E:$E,TB_UAE!AI:AI)*AG$2</f>
        <v>0</v>
      </c>
      <c r="AH53" s="17">
        <f>-_xlfn.XLOOKUP($C53,TB_UAE!$E:$E,TB_UAE!AJ:AJ)*AH$2</f>
        <v>0</v>
      </c>
      <c r="AI53" s="17">
        <f>-_xlfn.XLOOKUP($C53,TB_UAE!$E:$E,TB_UAE!AK:AK)*AI$2</f>
        <v>0</v>
      </c>
      <c r="AJ53" s="17">
        <f>-_xlfn.XLOOKUP($C53,TB_UAE!$E:$E,TB_UAE!AL:AL)*AJ$2</f>
        <v>0</v>
      </c>
      <c r="AK53" s="17">
        <f>-_xlfn.XLOOKUP($C53,TB_UAE!$E:$E,TB_UAE!AM:AM)*AK$2</f>
        <v>0</v>
      </c>
      <c r="AL53" s="17">
        <f>-_xlfn.XLOOKUP($C53,TB_UAE!$E:$E,TB_UAE!AN:AN)*AL$2</f>
        <v>0</v>
      </c>
      <c r="AM53" s="17">
        <f>-_xlfn.XLOOKUP($C53,TB_UAE!$E:$E,TB_UAE!AO:AO)*AM$2</f>
        <v>0</v>
      </c>
    </row>
    <row r="54" spans="2:46" x14ac:dyDescent="0.2">
      <c r="B54" s="21"/>
      <c r="C54" s="16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</row>
    <row r="55" spans="2:46" x14ac:dyDescent="0.2">
      <c r="B55" s="21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spans="2:46" s="20" customFormat="1" ht="13.5" customHeight="1" x14ac:dyDescent="0.15">
      <c r="C56" s="22" t="s">
        <v>748</v>
      </c>
      <c r="D56" s="23">
        <f t="shared" ref="D56:AM56" si="8">SUM(D51:D55)</f>
        <v>0</v>
      </c>
      <c r="E56" s="23">
        <f t="shared" si="8"/>
        <v>0</v>
      </c>
      <c r="F56" s="23">
        <f t="shared" si="8"/>
        <v>0</v>
      </c>
      <c r="G56" s="23">
        <f t="shared" si="8"/>
        <v>0</v>
      </c>
      <c r="H56" s="23">
        <f t="shared" si="8"/>
        <v>0</v>
      </c>
      <c r="I56" s="23">
        <f t="shared" si="8"/>
        <v>0</v>
      </c>
      <c r="J56" s="23">
        <f t="shared" si="8"/>
        <v>0</v>
      </c>
      <c r="K56" s="23">
        <f t="shared" si="8"/>
        <v>0</v>
      </c>
      <c r="L56" s="23">
        <f t="shared" si="8"/>
        <v>0</v>
      </c>
      <c r="M56" s="23">
        <f t="shared" si="8"/>
        <v>0</v>
      </c>
      <c r="N56" s="23">
        <f t="shared" si="8"/>
        <v>0</v>
      </c>
      <c r="O56" s="23">
        <f t="shared" si="8"/>
        <v>0</v>
      </c>
      <c r="P56" s="23">
        <f t="shared" si="8"/>
        <v>-775210.15999999992</v>
      </c>
      <c r="Q56" s="23">
        <f t="shared" si="8"/>
        <v>-1876174.4</v>
      </c>
      <c r="R56" s="23">
        <f t="shared" si="8"/>
        <v>0</v>
      </c>
      <c r="S56" s="23">
        <f t="shared" si="8"/>
        <v>0</v>
      </c>
      <c r="T56" s="23">
        <f t="shared" si="8"/>
        <v>-748888.71750000003</v>
      </c>
      <c r="U56" s="23">
        <f t="shared" si="8"/>
        <v>0</v>
      </c>
      <c r="V56" s="23">
        <f t="shared" si="8"/>
        <v>0</v>
      </c>
      <c r="W56" s="23">
        <f t="shared" si="8"/>
        <v>-690950.7</v>
      </c>
      <c r="X56" s="23">
        <f t="shared" si="8"/>
        <v>-605889</v>
      </c>
      <c r="Y56" s="23">
        <f t="shared" si="8"/>
        <v>-1834890</v>
      </c>
      <c r="Z56" s="23">
        <f t="shared" si="8"/>
        <v>0</v>
      </c>
      <c r="AA56" s="23">
        <f>SUM(AA51:AA55)</f>
        <v>0</v>
      </c>
      <c r="AB56" s="23">
        <f t="shared" si="8"/>
        <v>0</v>
      </c>
      <c r="AC56" s="23">
        <f t="shared" si="8"/>
        <v>0</v>
      </c>
      <c r="AD56" s="23">
        <f t="shared" si="8"/>
        <v>0</v>
      </c>
      <c r="AE56" s="23">
        <f t="shared" si="8"/>
        <v>0</v>
      </c>
      <c r="AF56" s="23">
        <f t="shared" si="8"/>
        <v>0</v>
      </c>
      <c r="AG56" s="23">
        <f t="shared" si="8"/>
        <v>0</v>
      </c>
      <c r="AH56" s="23">
        <f t="shared" si="8"/>
        <v>0</v>
      </c>
      <c r="AI56" s="23">
        <f t="shared" si="8"/>
        <v>0</v>
      </c>
      <c r="AJ56" s="23">
        <f t="shared" si="8"/>
        <v>0</v>
      </c>
      <c r="AK56" s="23">
        <f t="shared" si="8"/>
        <v>0</v>
      </c>
      <c r="AL56" s="23">
        <f t="shared" si="8"/>
        <v>0</v>
      </c>
      <c r="AM56" s="23">
        <f t="shared" si="8"/>
        <v>0</v>
      </c>
      <c r="AS56" s="23">
        <f>SUM(D56:O56)</f>
        <v>0</v>
      </c>
      <c r="AT56" s="23">
        <f>SUM(P56:AA56)</f>
        <v>-6532002.9775</v>
      </c>
    </row>
    <row r="57" spans="2:46" x14ac:dyDescent="0.2">
      <c r="B57" s="21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8"/>
    </row>
    <row r="58" spans="2:46" x14ac:dyDescent="0.2">
      <c r="B58" s="21"/>
      <c r="C58" s="20" t="s">
        <v>130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8"/>
    </row>
    <row r="59" spans="2:46" x14ac:dyDescent="0.2">
      <c r="B59" s="21" t="s">
        <v>897</v>
      </c>
      <c r="C59" s="16" t="str">
        <f>_xlfn.XLOOKUP(B59,TB_UAE!A:A,TB_UAE!E:E)</f>
        <v>Legal and professional fees</v>
      </c>
      <c r="D59" s="17">
        <f>-_xlfn.XLOOKUP($C59,TB_UAE!$E:$E,TB_UAE!F:F)*D$2</f>
        <v>-657468.37064999994</v>
      </c>
      <c r="E59" s="17">
        <f>-_xlfn.XLOOKUP($C59,TB_UAE!$E:$E,TB_UAE!G:G)*E$2</f>
        <v>0</v>
      </c>
      <c r="F59" s="17">
        <f>-_xlfn.XLOOKUP($C59,TB_UAE!$E:$E,TB_UAE!H:H)*F$2</f>
        <v>0</v>
      </c>
      <c r="G59" s="17">
        <f>-_xlfn.XLOOKUP($C59,TB_UAE!$E:$E,TB_UAE!I:I)*G$2</f>
        <v>0</v>
      </c>
      <c r="H59" s="17">
        <f>-_xlfn.XLOOKUP($C59,TB_UAE!$E:$E,TB_UAE!J:J)*H$2</f>
        <v>-11934067.704600001</v>
      </c>
      <c r="I59" s="17">
        <f>-_xlfn.XLOOKUP($C59,TB_UAE!$E:$E,TB_UAE!K:K)*I$2</f>
        <v>0</v>
      </c>
      <c r="J59" s="17">
        <f>-_xlfn.XLOOKUP($C59,TB_UAE!$E:$E,TB_UAE!L:L)*J$2</f>
        <v>-6284351.0139199998</v>
      </c>
      <c r="K59" s="17">
        <f>-_xlfn.XLOOKUP($C59,TB_UAE!$E:$E,TB_UAE!M:M)*K$2</f>
        <v>-1668137.7615</v>
      </c>
      <c r="L59" s="17">
        <f>-_xlfn.XLOOKUP($C59,TB_UAE!$E:$E,TB_UAE!N:N)*L$2</f>
        <v>0</v>
      </c>
      <c r="M59" s="17">
        <f>-_xlfn.XLOOKUP($C59,TB_UAE!$E:$E,TB_UAE!O:O)*M$2</f>
        <v>-4152452.1149999998</v>
      </c>
      <c r="N59" s="17">
        <f>-_xlfn.XLOOKUP($C59,TB_UAE!$E:$E,TB_UAE!P:P)*N$2</f>
        <v>0</v>
      </c>
      <c r="O59" s="17">
        <f>-_xlfn.XLOOKUP($C59,TB_UAE!$E:$E,TB_UAE!Q:Q)*O$2</f>
        <v>0</v>
      </c>
      <c r="P59" s="17">
        <f>-_xlfn.XLOOKUP($C59,TB_UAE!$E:$E,TB_UAE!R:R)*P$2</f>
        <v>0</v>
      </c>
      <c r="Q59" s="17">
        <f>-_xlfn.XLOOKUP($C59,TB_UAE!$E:$E,TB_UAE!S:S)*Q$2</f>
        <v>0</v>
      </c>
      <c r="R59" s="17">
        <f>-_xlfn.XLOOKUP($C59,TB_UAE!$E:$E,TB_UAE!T:T)*R$2</f>
        <v>0</v>
      </c>
      <c r="S59" s="17">
        <f>-_xlfn.XLOOKUP($C59,TB_UAE!$E:$E,TB_UAE!U:U)*S$2</f>
        <v>0</v>
      </c>
      <c r="T59" s="17">
        <f>-_xlfn.XLOOKUP($C59,TB_UAE!$E:$E,TB_UAE!V:V)*T$2</f>
        <v>0</v>
      </c>
      <c r="U59" s="17">
        <f>-_xlfn.XLOOKUP($C59,TB_UAE!$E:$E,TB_UAE!W:W)*U$2</f>
        <v>0</v>
      </c>
      <c r="V59" s="17">
        <f>-_xlfn.XLOOKUP($C59,TB_UAE!$E:$E,TB_UAE!X:X)*V$2</f>
        <v>0</v>
      </c>
      <c r="W59" s="17">
        <f>-_xlfn.XLOOKUP($C59,TB_UAE!$E:$E,TB_UAE!Y:Y)*W$2</f>
        <v>-397820.1</v>
      </c>
      <c r="X59" s="17">
        <f>-_xlfn.XLOOKUP($C59,TB_UAE!$E:$E,TB_UAE!Z:Z)*X$2</f>
        <v>0</v>
      </c>
      <c r="Y59" s="17">
        <f>-_xlfn.XLOOKUP($C59,TB_UAE!$E:$E,TB_UAE!AA:AA)*Y$2</f>
        <v>0</v>
      </c>
      <c r="Z59" s="17">
        <f>-_xlfn.XLOOKUP($C59,TB_UAE!$E:$E,TB_UAE!AB:AB)*Z$2</f>
        <v>0</v>
      </c>
      <c r="AA59" s="17">
        <f>-_xlfn.XLOOKUP($C59,TB_UAE!$E:$E,TB_UAE!AC:AC)*AA$2</f>
        <v>0</v>
      </c>
      <c r="AB59" s="17">
        <f>-_xlfn.XLOOKUP($C59,TB_UAE!$E:$E,TB_UAE!AD:AD)*AB$2</f>
        <v>0</v>
      </c>
      <c r="AC59" s="17">
        <f>-_xlfn.XLOOKUP($C59,TB_UAE!$E:$E,TB_UAE!AE:AE)*AC$2</f>
        <v>0</v>
      </c>
      <c r="AD59" s="17">
        <f>-_xlfn.XLOOKUP($C59,TB_UAE!$E:$E,TB_UAE!AF:AF)*AD$2</f>
        <v>0</v>
      </c>
      <c r="AE59" s="17">
        <f>-_xlfn.XLOOKUP($C59,TB_UAE!$E:$E,TB_UAE!AG:AG)*AE$2</f>
        <v>0</v>
      </c>
      <c r="AF59" s="17">
        <f>-_xlfn.XLOOKUP($C59,TB_UAE!$E:$E,TB_UAE!AH:AH)*AF$2</f>
        <v>0</v>
      </c>
      <c r="AG59" s="17">
        <f>-_xlfn.XLOOKUP($C59,TB_UAE!$E:$E,TB_UAE!AI:AI)*AG$2</f>
        <v>0</v>
      </c>
      <c r="AH59" s="17">
        <f>-_xlfn.XLOOKUP($C59,TB_UAE!$E:$E,TB_UAE!AJ:AJ)*AH$2</f>
        <v>0</v>
      </c>
      <c r="AI59" s="17">
        <f>-_xlfn.XLOOKUP($C59,TB_UAE!$E:$E,TB_UAE!AK:AK)*AI$2</f>
        <v>0</v>
      </c>
      <c r="AJ59" s="17">
        <f>-_xlfn.XLOOKUP($C59,TB_UAE!$E:$E,TB_UAE!AL:AL)*AJ$2</f>
        <v>0</v>
      </c>
      <c r="AK59" s="17">
        <f>-_xlfn.XLOOKUP($C59,TB_UAE!$E:$E,TB_UAE!AM:AM)*AK$2</f>
        <v>0</v>
      </c>
      <c r="AL59" s="17">
        <f>-_xlfn.XLOOKUP($C59,TB_UAE!$E:$E,TB_UAE!AN:AN)*AL$2</f>
        <v>0</v>
      </c>
      <c r="AM59" s="17">
        <f>-_xlfn.XLOOKUP($C59,TB_UAE!$E:$E,TB_UAE!AO:AO)*AM$2</f>
        <v>0</v>
      </c>
    </row>
    <row r="60" spans="2:46" x14ac:dyDescent="0.2">
      <c r="B60" s="21" t="s">
        <v>898</v>
      </c>
      <c r="C60" s="16" t="str">
        <f>_xlfn.XLOOKUP(B60,TB_UAE!A:A,TB_UAE!E:E)</f>
        <v>Rent or lease payments</v>
      </c>
      <c r="D60" s="17">
        <f>-_xlfn.XLOOKUP($C60,TB_UAE!$E:$E,TB_UAE!F:F)*D$2</f>
        <v>-224028.42617999998</v>
      </c>
      <c r="E60" s="17">
        <f>-_xlfn.XLOOKUP($C60,TB_UAE!$E:$E,TB_UAE!G:G)*E$2</f>
        <v>-397395.69383999996</v>
      </c>
      <c r="F60" s="17">
        <f>-_xlfn.XLOOKUP($C60,TB_UAE!$E:$E,TB_UAE!H:H)*F$2</f>
        <v>-348352.22171999997</v>
      </c>
      <c r="G60" s="17">
        <f>-_xlfn.XLOOKUP($C60,TB_UAE!$E:$E,TB_UAE!I:I)*G$2</f>
        <v>-334505.37761999998</v>
      </c>
      <c r="H60" s="17">
        <f>-_xlfn.XLOOKUP($C60,TB_UAE!$E:$E,TB_UAE!J:J)*H$2</f>
        <v>-39830412.472719997</v>
      </c>
      <c r="I60" s="17">
        <f>-_xlfn.XLOOKUP($C60,TB_UAE!$E:$E,TB_UAE!K:K)*I$2</f>
        <v>-384059.89158</v>
      </c>
      <c r="J60" s="17">
        <f>-_xlfn.XLOOKUP($C60,TB_UAE!$E:$E,TB_UAE!L:L)*J$2</f>
        <v>-407465.79168000002</v>
      </c>
      <c r="K60" s="17">
        <f>-_xlfn.XLOOKUP($C60,TB_UAE!$E:$E,TB_UAE!M:M)*K$2</f>
        <v>-324666.75</v>
      </c>
      <c r="L60" s="17">
        <f>-_xlfn.XLOOKUP($C60,TB_UAE!$E:$E,TB_UAE!N:N)*L$2</f>
        <v>-340566.75</v>
      </c>
      <c r="M60" s="17">
        <f>-_xlfn.XLOOKUP($C60,TB_UAE!$E:$E,TB_UAE!O:O)*M$2</f>
        <v>-335506.5</v>
      </c>
      <c r="N60" s="17">
        <f>-_xlfn.XLOOKUP($C60,TB_UAE!$E:$E,TB_UAE!P:P)*N$2</f>
        <v>0</v>
      </c>
      <c r="O60" s="17">
        <f>-_xlfn.XLOOKUP($C60,TB_UAE!$E:$E,TB_UAE!Q:Q)*O$2</f>
        <v>0</v>
      </c>
      <c r="P60" s="17">
        <f>-_xlfn.XLOOKUP($C60,TB_UAE!$E:$E,TB_UAE!R:R)*P$2</f>
        <v>0</v>
      </c>
      <c r="Q60" s="17">
        <f>-_xlfn.XLOOKUP($C60,TB_UAE!$E:$E,TB_UAE!S:S)*Q$2</f>
        <v>0</v>
      </c>
      <c r="R60" s="17">
        <f>-_xlfn.XLOOKUP($C60,TB_UAE!$E:$E,TB_UAE!T:T)*R$2</f>
        <v>0</v>
      </c>
      <c r="S60" s="17">
        <f>-_xlfn.XLOOKUP($C60,TB_UAE!$E:$E,TB_UAE!U:U)*S$2</f>
        <v>0</v>
      </c>
      <c r="T60" s="17">
        <f>-_xlfn.XLOOKUP($C60,TB_UAE!$E:$E,TB_UAE!V:V)*T$2</f>
        <v>0</v>
      </c>
      <c r="U60" s="17">
        <f>-_xlfn.XLOOKUP($C60,TB_UAE!$E:$E,TB_UAE!W:W)*U$2</f>
        <v>0</v>
      </c>
      <c r="V60" s="17">
        <f>-_xlfn.XLOOKUP($C60,TB_UAE!$E:$E,TB_UAE!X:X)*V$2</f>
        <v>0</v>
      </c>
      <c r="W60" s="17">
        <f>-_xlfn.XLOOKUP($C60,TB_UAE!$E:$E,TB_UAE!Y:Y)*W$2</f>
        <v>0</v>
      </c>
      <c r="X60" s="17">
        <f>-_xlfn.XLOOKUP($C60,TB_UAE!$E:$E,TB_UAE!Z:Z)*X$2</f>
        <v>0</v>
      </c>
      <c r="Y60" s="17">
        <f>-_xlfn.XLOOKUP($C60,TB_UAE!$E:$E,TB_UAE!AA:AA)*Y$2</f>
        <v>0</v>
      </c>
      <c r="Z60" s="17">
        <f>-_xlfn.XLOOKUP($C60,TB_UAE!$E:$E,TB_UAE!AB:AB)*Z$2</f>
        <v>0</v>
      </c>
      <c r="AA60" s="17">
        <f>-_xlfn.XLOOKUP($C60,TB_UAE!$E:$E,TB_UAE!AC:AC)*AA$2</f>
        <v>0</v>
      </c>
      <c r="AB60" s="17">
        <f>-_xlfn.XLOOKUP($C60,TB_UAE!$E:$E,TB_UAE!AD:AD)*AB$2</f>
        <v>0</v>
      </c>
      <c r="AC60" s="17">
        <f>-_xlfn.XLOOKUP($C60,TB_UAE!$E:$E,TB_UAE!AE:AE)*AC$2</f>
        <v>0</v>
      </c>
      <c r="AD60" s="17">
        <f>-_xlfn.XLOOKUP($C60,TB_UAE!$E:$E,TB_UAE!AF:AF)*AD$2</f>
        <v>0</v>
      </c>
      <c r="AE60" s="17">
        <f>-_xlfn.XLOOKUP($C60,TB_UAE!$E:$E,TB_UAE!AG:AG)*AE$2</f>
        <v>0</v>
      </c>
      <c r="AF60" s="17">
        <f>-_xlfn.XLOOKUP($C60,TB_UAE!$E:$E,TB_UAE!AH:AH)*AF$2</f>
        <v>0</v>
      </c>
      <c r="AG60" s="17">
        <f>-_xlfn.XLOOKUP($C60,TB_UAE!$E:$E,TB_UAE!AI:AI)*AG$2</f>
        <v>0</v>
      </c>
      <c r="AH60" s="17">
        <f>-_xlfn.XLOOKUP($C60,TB_UAE!$E:$E,TB_UAE!AJ:AJ)*AH$2</f>
        <v>0</v>
      </c>
      <c r="AI60" s="17">
        <f>-_xlfn.XLOOKUP($C60,TB_UAE!$E:$E,TB_UAE!AK:AK)*AI$2</f>
        <v>0</v>
      </c>
      <c r="AJ60" s="17">
        <f>-_xlfn.XLOOKUP($C60,TB_UAE!$E:$E,TB_UAE!AL:AL)*AJ$2</f>
        <v>0</v>
      </c>
      <c r="AK60" s="17">
        <f>-_xlfn.XLOOKUP($C60,TB_UAE!$E:$E,TB_UAE!AM:AM)*AK$2</f>
        <v>0</v>
      </c>
      <c r="AL60" s="17">
        <f>-_xlfn.XLOOKUP($C60,TB_UAE!$E:$E,TB_UAE!AN:AN)*AL$2</f>
        <v>0</v>
      </c>
      <c r="AM60" s="17">
        <f>-_xlfn.XLOOKUP($C60,TB_UAE!$E:$E,TB_UAE!AO:AO)*AM$2</f>
        <v>0</v>
      </c>
    </row>
    <row r="61" spans="2:46" x14ac:dyDescent="0.2">
      <c r="B61" s="21" t="s">
        <v>899</v>
      </c>
      <c r="C61" s="16" t="str">
        <f>_xlfn.XLOOKUP(B61,TB_UAE!A:A,TB_UAE!E:E)</f>
        <v>Shipping and delivery expense</v>
      </c>
      <c r="D61" s="17">
        <f>-_xlfn.XLOOKUP($C61,TB_UAE!$E:$E,TB_UAE!F:F)*D$2</f>
        <v>0</v>
      </c>
      <c r="E61" s="17">
        <f>-_xlfn.XLOOKUP($C61,TB_UAE!$E:$E,TB_UAE!G:G)*E$2</f>
        <v>-136192.13999999998</v>
      </c>
      <c r="F61" s="17">
        <f>-_xlfn.XLOOKUP($C61,TB_UAE!$E:$E,TB_UAE!H:H)*F$2</f>
        <v>0</v>
      </c>
      <c r="G61" s="17">
        <f>-_xlfn.XLOOKUP($C61,TB_UAE!$E:$E,TB_UAE!I:I)*G$2</f>
        <v>0</v>
      </c>
      <c r="H61" s="17">
        <f>-_xlfn.XLOOKUP($C61,TB_UAE!$E:$E,TB_UAE!J:J)*H$2</f>
        <v>0</v>
      </c>
      <c r="I61" s="17">
        <f>-_xlfn.XLOOKUP($C61,TB_UAE!$E:$E,TB_UAE!K:K)*I$2</f>
        <v>0</v>
      </c>
      <c r="J61" s="17">
        <f>-_xlfn.XLOOKUP($C61,TB_UAE!$E:$E,TB_UAE!L:L)*J$2</f>
        <v>0</v>
      </c>
      <c r="K61" s="17">
        <f>-_xlfn.XLOOKUP($C61,TB_UAE!$E:$E,TB_UAE!M:M)*K$2</f>
        <v>-136792.924</v>
      </c>
      <c r="L61" s="17">
        <f>-_xlfn.XLOOKUP($C61,TB_UAE!$E:$E,TB_UAE!N:N)*L$2</f>
        <v>0</v>
      </c>
      <c r="M61" s="17">
        <f>-_xlfn.XLOOKUP($C61,TB_UAE!$E:$E,TB_UAE!O:O)*M$2</f>
        <v>0</v>
      </c>
      <c r="N61" s="17">
        <f>-_xlfn.XLOOKUP($C61,TB_UAE!$E:$E,TB_UAE!P:P)*N$2</f>
        <v>-193326.64</v>
      </c>
      <c r="O61" s="17">
        <f>-_xlfn.XLOOKUP($C61,TB_UAE!$E:$E,TB_UAE!Q:Q)*O$2</f>
        <v>0</v>
      </c>
      <c r="P61" s="17">
        <f>-_xlfn.XLOOKUP($C61,TB_UAE!$E:$E,TB_UAE!R:R)*P$2</f>
        <v>0</v>
      </c>
      <c r="Q61" s="17">
        <f>-_xlfn.XLOOKUP($C61,TB_UAE!$E:$E,TB_UAE!S:S)*Q$2</f>
        <v>0</v>
      </c>
      <c r="R61" s="17">
        <f>-_xlfn.XLOOKUP($C61,TB_UAE!$E:$E,TB_UAE!T:T)*R$2</f>
        <v>0</v>
      </c>
      <c r="S61" s="17">
        <f>-_xlfn.XLOOKUP($C61,TB_UAE!$E:$E,TB_UAE!U:U)*S$2</f>
        <v>0</v>
      </c>
      <c r="T61" s="17">
        <f>-_xlfn.XLOOKUP($C61,TB_UAE!$E:$E,TB_UAE!V:V)*T$2</f>
        <v>0</v>
      </c>
      <c r="U61" s="17">
        <f>-_xlfn.XLOOKUP($C61,TB_UAE!$E:$E,TB_UAE!W:W)*U$2</f>
        <v>0</v>
      </c>
      <c r="V61" s="17">
        <f>-_xlfn.XLOOKUP($C61,TB_UAE!$E:$E,TB_UAE!X:X)*V$2</f>
        <v>0</v>
      </c>
      <c r="W61" s="17">
        <f>-_xlfn.XLOOKUP($C61,TB_UAE!$E:$E,TB_UAE!Y:Y)*W$2</f>
        <v>0</v>
      </c>
      <c r="X61" s="17">
        <f>-_xlfn.XLOOKUP($C61,TB_UAE!$E:$E,TB_UAE!Z:Z)*X$2</f>
        <v>0</v>
      </c>
      <c r="Y61" s="17">
        <f>-_xlfn.XLOOKUP($C61,TB_UAE!$E:$E,TB_UAE!AA:AA)*Y$2</f>
        <v>0</v>
      </c>
      <c r="Z61" s="17">
        <f>-_xlfn.XLOOKUP($C61,TB_UAE!$E:$E,TB_UAE!AB:AB)*Z$2</f>
        <v>0</v>
      </c>
      <c r="AA61" s="17">
        <f>-_xlfn.XLOOKUP($C61,TB_UAE!$E:$E,TB_UAE!AC:AC)*AA$2</f>
        <v>0</v>
      </c>
      <c r="AB61" s="17">
        <f>-_xlfn.XLOOKUP($C61,TB_UAE!$E:$E,TB_UAE!AD:AD)*AB$2</f>
        <v>0</v>
      </c>
      <c r="AC61" s="17">
        <f>-_xlfn.XLOOKUP($C61,TB_UAE!$E:$E,TB_UAE!AE:AE)*AC$2</f>
        <v>0</v>
      </c>
      <c r="AD61" s="17">
        <f>-_xlfn.XLOOKUP($C61,TB_UAE!$E:$E,TB_UAE!AF:AF)*AD$2</f>
        <v>0</v>
      </c>
      <c r="AE61" s="17">
        <f>-_xlfn.XLOOKUP($C61,TB_UAE!$E:$E,TB_UAE!AG:AG)*AE$2</f>
        <v>0</v>
      </c>
      <c r="AF61" s="17">
        <f>-_xlfn.XLOOKUP($C61,TB_UAE!$E:$E,TB_UAE!AH:AH)*AF$2</f>
        <v>0</v>
      </c>
      <c r="AG61" s="17">
        <f>-_xlfn.XLOOKUP($C61,TB_UAE!$E:$E,TB_UAE!AI:AI)*AG$2</f>
        <v>0</v>
      </c>
      <c r="AH61" s="17">
        <f>-_xlfn.XLOOKUP($C61,TB_UAE!$E:$E,TB_UAE!AJ:AJ)*AH$2</f>
        <v>0</v>
      </c>
      <c r="AI61" s="17">
        <f>-_xlfn.XLOOKUP($C61,TB_UAE!$E:$E,TB_UAE!AK:AK)*AI$2</f>
        <v>0</v>
      </c>
      <c r="AJ61" s="17">
        <f>-_xlfn.XLOOKUP($C61,TB_UAE!$E:$E,TB_UAE!AL:AL)*AJ$2</f>
        <v>0</v>
      </c>
      <c r="AK61" s="17">
        <f>-_xlfn.XLOOKUP($C61,TB_UAE!$E:$E,TB_UAE!AM:AM)*AK$2</f>
        <v>0</v>
      </c>
      <c r="AL61" s="17">
        <f>-_xlfn.XLOOKUP($C61,TB_UAE!$E:$E,TB_UAE!AN:AN)*AL$2</f>
        <v>0</v>
      </c>
      <c r="AM61" s="17">
        <f>-_xlfn.XLOOKUP($C61,TB_UAE!$E:$E,TB_UAE!AO:AO)*AM$2</f>
        <v>0</v>
      </c>
    </row>
    <row r="62" spans="2:46" x14ac:dyDescent="0.2">
      <c r="B62" s="21" t="s">
        <v>900</v>
      </c>
      <c r="C62" s="16" t="str">
        <f>_xlfn.XLOOKUP(B62,TB_UAE!A:A,TB_UAE!E:E)</f>
        <v>Stationery and printing</v>
      </c>
      <c r="D62" s="17">
        <f>-_xlfn.XLOOKUP($C62,TB_UAE!$E:$E,TB_UAE!F:F)*D$2</f>
        <v>0</v>
      </c>
      <c r="E62" s="17">
        <f>-_xlfn.XLOOKUP($C62,TB_UAE!$E:$E,TB_UAE!G:G)*E$2</f>
        <v>0</v>
      </c>
      <c r="F62" s="17">
        <f>-_xlfn.XLOOKUP($C62,TB_UAE!$E:$E,TB_UAE!H:H)*F$2</f>
        <v>-14970.421</v>
      </c>
      <c r="G62" s="17">
        <f>-_xlfn.XLOOKUP($C62,TB_UAE!$E:$E,TB_UAE!I:I)*G$2</f>
        <v>0</v>
      </c>
      <c r="H62" s="17">
        <f>-_xlfn.XLOOKUP($C62,TB_UAE!$E:$E,TB_UAE!J:J)*H$2</f>
        <v>0</v>
      </c>
      <c r="I62" s="17">
        <f>-_xlfn.XLOOKUP($C62,TB_UAE!$E:$E,TB_UAE!K:K)*I$2</f>
        <v>0</v>
      </c>
      <c r="J62" s="17">
        <f>-_xlfn.XLOOKUP($C62,TB_UAE!$E:$E,TB_UAE!L:L)*J$2</f>
        <v>0</v>
      </c>
      <c r="K62" s="17">
        <f>-_xlfn.XLOOKUP($C62,TB_UAE!$E:$E,TB_UAE!M:M)*K$2</f>
        <v>0</v>
      </c>
      <c r="L62" s="17">
        <f>-_xlfn.XLOOKUP($C62,TB_UAE!$E:$E,TB_UAE!N:N)*L$2</f>
        <v>0</v>
      </c>
      <c r="M62" s="17">
        <f>-_xlfn.XLOOKUP($C62,TB_UAE!$E:$E,TB_UAE!O:O)*M$2</f>
        <v>0</v>
      </c>
      <c r="N62" s="17">
        <f>-_xlfn.XLOOKUP($C62,TB_UAE!$E:$E,TB_UAE!P:P)*N$2</f>
        <v>0</v>
      </c>
      <c r="O62" s="17">
        <f>-_xlfn.XLOOKUP($C62,TB_UAE!$E:$E,TB_UAE!Q:Q)*O$2</f>
        <v>0</v>
      </c>
      <c r="P62" s="17">
        <f>-_xlfn.XLOOKUP($C62,TB_UAE!$E:$E,TB_UAE!R:R)*P$2</f>
        <v>0</v>
      </c>
      <c r="Q62" s="17">
        <f>-_xlfn.XLOOKUP($C62,TB_UAE!$E:$E,TB_UAE!S:S)*Q$2</f>
        <v>0</v>
      </c>
      <c r="R62" s="17">
        <f>-_xlfn.XLOOKUP($C62,TB_UAE!$E:$E,TB_UAE!T:T)*R$2</f>
        <v>0</v>
      </c>
      <c r="S62" s="17">
        <f>-_xlfn.XLOOKUP($C62,TB_UAE!$E:$E,TB_UAE!U:U)*S$2</f>
        <v>0</v>
      </c>
      <c r="T62" s="17">
        <f>-_xlfn.XLOOKUP($C62,TB_UAE!$E:$E,TB_UAE!V:V)*T$2</f>
        <v>0</v>
      </c>
      <c r="U62" s="17">
        <f>-_xlfn.XLOOKUP($C62,TB_UAE!$E:$E,TB_UAE!W:W)*U$2</f>
        <v>0</v>
      </c>
      <c r="V62" s="17">
        <f>-_xlfn.XLOOKUP($C62,TB_UAE!$E:$E,TB_UAE!X:X)*V$2</f>
        <v>0</v>
      </c>
      <c r="W62" s="17">
        <f>-_xlfn.XLOOKUP($C62,TB_UAE!$E:$E,TB_UAE!Y:Y)*W$2</f>
        <v>0</v>
      </c>
      <c r="X62" s="17">
        <f>-_xlfn.XLOOKUP($C62,TB_UAE!$E:$E,TB_UAE!Z:Z)*X$2</f>
        <v>0</v>
      </c>
      <c r="Y62" s="17">
        <f>-_xlfn.XLOOKUP($C62,TB_UAE!$E:$E,TB_UAE!AA:AA)*Y$2</f>
        <v>0</v>
      </c>
      <c r="Z62" s="17">
        <f>-_xlfn.XLOOKUP($C62,TB_UAE!$E:$E,TB_UAE!AB:AB)*Z$2</f>
        <v>0</v>
      </c>
      <c r="AA62" s="17">
        <f>-_xlfn.XLOOKUP($C62,TB_UAE!$E:$E,TB_UAE!AC:AC)*AA$2</f>
        <v>0</v>
      </c>
      <c r="AB62" s="17">
        <f>-_xlfn.XLOOKUP($C62,TB_UAE!$E:$E,TB_UAE!AD:AD)*AB$2</f>
        <v>0</v>
      </c>
      <c r="AC62" s="17">
        <f>-_xlfn.XLOOKUP($C62,TB_UAE!$E:$E,TB_UAE!AE:AE)*AC$2</f>
        <v>0</v>
      </c>
      <c r="AD62" s="17">
        <f>-_xlfn.XLOOKUP($C62,TB_UAE!$E:$E,TB_UAE!AF:AF)*AD$2</f>
        <v>0</v>
      </c>
      <c r="AE62" s="17">
        <f>-_xlfn.XLOOKUP($C62,TB_UAE!$E:$E,TB_UAE!AG:AG)*AE$2</f>
        <v>0</v>
      </c>
      <c r="AF62" s="17">
        <f>-_xlfn.XLOOKUP($C62,TB_UAE!$E:$E,TB_UAE!AH:AH)*AF$2</f>
        <v>0</v>
      </c>
      <c r="AG62" s="17">
        <f>-_xlfn.XLOOKUP($C62,TB_UAE!$E:$E,TB_UAE!AI:AI)*AG$2</f>
        <v>0</v>
      </c>
      <c r="AH62" s="17">
        <f>-_xlfn.XLOOKUP($C62,TB_UAE!$E:$E,TB_UAE!AJ:AJ)*AH$2</f>
        <v>0</v>
      </c>
      <c r="AI62" s="17">
        <f>-_xlfn.XLOOKUP($C62,TB_UAE!$E:$E,TB_UAE!AK:AK)*AI$2</f>
        <v>0</v>
      </c>
      <c r="AJ62" s="17">
        <f>-_xlfn.XLOOKUP($C62,TB_UAE!$E:$E,TB_UAE!AL:AL)*AJ$2</f>
        <v>0</v>
      </c>
      <c r="AK62" s="17">
        <f>-_xlfn.XLOOKUP($C62,TB_UAE!$E:$E,TB_UAE!AM:AM)*AK$2</f>
        <v>0</v>
      </c>
      <c r="AL62" s="17">
        <f>-_xlfn.XLOOKUP($C62,TB_UAE!$E:$E,TB_UAE!AN:AN)*AL$2</f>
        <v>0</v>
      </c>
      <c r="AM62" s="17">
        <f>-_xlfn.XLOOKUP($C62,TB_UAE!$E:$E,TB_UAE!AO:AO)*AM$2</f>
        <v>0</v>
      </c>
    </row>
    <row r="63" spans="2:46" x14ac:dyDescent="0.2">
      <c r="B63" s="21" t="s">
        <v>901</v>
      </c>
      <c r="C63" s="16" t="str">
        <f>_xlfn.XLOOKUP(B63,TB_UAE!A:A,TB_UAE!E:E)</f>
        <v>Vehicle Maintenance Expenses</v>
      </c>
      <c r="D63" s="17">
        <f>-_xlfn.XLOOKUP($C63,TB_UAE!$E:$E,TB_UAE!F:F)*D$2</f>
        <v>0</v>
      </c>
      <c r="E63" s="17">
        <f>-_xlfn.XLOOKUP($C63,TB_UAE!$E:$E,TB_UAE!G:G)*E$2</f>
        <v>-216178</v>
      </c>
      <c r="F63" s="17">
        <f>-_xlfn.XLOOKUP($C63,TB_UAE!$E:$E,TB_UAE!H:H)*F$2</f>
        <v>0</v>
      </c>
      <c r="G63" s="17">
        <f>-_xlfn.XLOOKUP($C63,TB_UAE!$E:$E,TB_UAE!I:I)*G$2</f>
        <v>-181966.5</v>
      </c>
      <c r="H63" s="17">
        <f>-_xlfn.XLOOKUP($C63,TB_UAE!$E:$E,TB_UAE!J:J)*H$2</f>
        <v>-93187</v>
      </c>
      <c r="I63" s="17">
        <f>-_xlfn.XLOOKUP($C63,TB_UAE!$E:$E,TB_UAE!K:K)*I$2</f>
        <v>0</v>
      </c>
      <c r="J63" s="17">
        <f>-_xlfn.XLOOKUP($C63,TB_UAE!$E:$E,TB_UAE!L:L)*J$2</f>
        <v>-221656</v>
      </c>
      <c r="K63" s="17">
        <f>-_xlfn.XLOOKUP($C63,TB_UAE!$E:$E,TB_UAE!M:M)*K$2</f>
        <v>-108222.25</v>
      </c>
      <c r="L63" s="17">
        <f>-_xlfn.XLOOKUP($C63,TB_UAE!$E:$E,TB_UAE!N:N)*L$2</f>
        <v>-113522.25</v>
      </c>
      <c r="M63" s="17">
        <f>-_xlfn.XLOOKUP($C63,TB_UAE!$E:$E,TB_UAE!O:O)*M$2</f>
        <v>-111835.5</v>
      </c>
      <c r="N63" s="17">
        <f>-_xlfn.XLOOKUP($C63,TB_UAE!$E:$E,TB_UAE!P:P)*N$2</f>
        <v>0</v>
      </c>
      <c r="O63" s="17">
        <f>-_xlfn.XLOOKUP($C63,TB_UAE!$E:$E,TB_UAE!Q:Q)*O$2</f>
        <v>0</v>
      </c>
      <c r="P63" s="17">
        <f>-_xlfn.XLOOKUP($C63,TB_UAE!$E:$E,TB_UAE!R:R)*P$2</f>
        <v>0</v>
      </c>
      <c r="Q63" s="17">
        <f>-_xlfn.XLOOKUP($C63,TB_UAE!$E:$E,TB_UAE!S:S)*Q$2</f>
        <v>0</v>
      </c>
      <c r="R63" s="17">
        <f>-_xlfn.XLOOKUP($C63,TB_UAE!$E:$E,TB_UAE!T:T)*R$2</f>
        <v>0</v>
      </c>
      <c r="S63" s="17">
        <f>-_xlfn.XLOOKUP($C63,TB_UAE!$E:$E,TB_UAE!U:U)*S$2</f>
        <v>0</v>
      </c>
      <c r="T63" s="17">
        <f>-_xlfn.XLOOKUP($C63,TB_UAE!$E:$E,TB_UAE!V:V)*T$2</f>
        <v>0</v>
      </c>
      <c r="U63" s="17">
        <f>-_xlfn.XLOOKUP($C63,TB_UAE!$E:$E,TB_UAE!W:W)*U$2</f>
        <v>0</v>
      </c>
      <c r="V63" s="17">
        <f>-_xlfn.XLOOKUP($C63,TB_UAE!$E:$E,TB_UAE!X:X)*V$2</f>
        <v>0</v>
      </c>
      <c r="W63" s="17">
        <f>-_xlfn.XLOOKUP($C63,TB_UAE!$E:$E,TB_UAE!Y:Y)*W$2</f>
        <v>0</v>
      </c>
      <c r="X63" s="17">
        <f>-_xlfn.XLOOKUP($C63,TB_UAE!$E:$E,TB_UAE!Z:Z)*X$2</f>
        <v>0</v>
      </c>
      <c r="Y63" s="17">
        <f>-_xlfn.XLOOKUP($C63,TB_UAE!$E:$E,TB_UAE!AA:AA)*Y$2</f>
        <v>0</v>
      </c>
      <c r="Z63" s="17">
        <f>-_xlfn.XLOOKUP($C63,TB_UAE!$E:$E,TB_UAE!AB:AB)*Z$2</f>
        <v>0</v>
      </c>
      <c r="AA63" s="17">
        <f>-_xlfn.XLOOKUP($C63,TB_UAE!$E:$E,TB_UAE!AC:AC)*AA$2</f>
        <v>0</v>
      </c>
      <c r="AB63" s="17">
        <f>-_xlfn.XLOOKUP($C63,TB_UAE!$E:$E,TB_UAE!AD:AD)*AB$2</f>
        <v>0</v>
      </c>
      <c r="AC63" s="17">
        <f>-_xlfn.XLOOKUP($C63,TB_UAE!$E:$E,TB_UAE!AE:AE)*AC$2</f>
        <v>0</v>
      </c>
      <c r="AD63" s="17">
        <f>-_xlfn.XLOOKUP($C63,TB_UAE!$E:$E,TB_UAE!AF:AF)*AD$2</f>
        <v>0</v>
      </c>
      <c r="AE63" s="17">
        <f>-_xlfn.XLOOKUP($C63,TB_UAE!$E:$E,TB_UAE!AG:AG)*AE$2</f>
        <v>0</v>
      </c>
      <c r="AF63" s="17">
        <f>-_xlfn.XLOOKUP($C63,TB_UAE!$E:$E,TB_UAE!AH:AH)*AF$2</f>
        <v>0</v>
      </c>
      <c r="AG63" s="17">
        <f>-_xlfn.XLOOKUP($C63,TB_UAE!$E:$E,TB_UAE!AI:AI)*AG$2</f>
        <v>0</v>
      </c>
      <c r="AH63" s="17">
        <f>-_xlfn.XLOOKUP($C63,TB_UAE!$E:$E,TB_UAE!AJ:AJ)*AH$2</f>
        <v>0</v>
      </c>
      <c r="AI63" s="17">
        <f>-_xlfn.XLOOKUP($C63,TB_UAE!$E:$E,TB_UAE!AK:AK)*AI$2</f>
        <v>0</v>
      </c>
      <c r="AJ63" s="17">
        <f>-_xlfn.XLOOKUP($C63,TB_UAE!$E:$E,TB_UAE!AL:AL)*AJ$2</f>
        <v>0</v>
      </c>
      <c r="AK63" s="17">
        <f>-_xlfn.XLOOKUP($C63,TB_UAE!$E:$E,TB_UAE!AM:AM)*AK$2</f>
        <v>0</v>
      </c>
      <c r="AL63" s="17">
        <f>-_xlfn.XLOOKUP($C63,TB_UAE!$E:$E,TB_UAE!AN:AN)*AL$2</f>
        <v>0</v>
      </c>
      <c r="AM63" s="17">
        <f>-_xlfn.XLOOKUP($C63,TB_UAE!$E:$E,TB_UAE!AO:AO)*AM$2</f>
        <v>0</v>
      </c>
    </row>
    <row r="64" spans="2:46" x14ac:dyDescent="0.2">
      <c r="B64" s="21" t="s">
        <v>902</v>
      </c>
      <c r="C64" s="16" t="str">
        <f>_xlfn.XLOOKUP(B64,TB_UAE!A:A,TB_UAE!E:E)</f>
        <v>Rental Expense</v>
      </c>
      <c r="D64" s="17">
        <f>-_xlfn.XLOOKUP($C64,TB_UAE!$E:$E,TB_UAE!F:F)*D$2</f>
        <v>0</v>
      </c>
      <c r="E64" s="17">
        <f>-_xlfn.XLOOKUP($C64,TB_UAE!$E:$E,TB_UAE!G:G)*E$2</f>
        <v>0</v>
      </c>
      <c r="F64" s="17">
        <f>-_xlfn.XLOOKUP($C64,TB_UAE!$E:$E,TB_UAE!H:H)*F$2</f>
        <v>0</v>
      </c>
      <c r="G64" s="17">
        <f>-_xlfn.XLOOKUP($C64,TB_UAE!$E:$E,TB_UAE!I:I)*G$2</f>
        <v>0</v>
      </c>
      <c r="H64" s="17">
        <f>-_xlfn.XLOOKUP($C64,TB_UAE!$E:$E,TB_UAE!J:J)*H$2</f>
        <v>0</v>
      </c>
      <c r="I64" s="17">
        <f>-_xlfn.XLOOKUP($C64,TB_UAE!$E:$E,TB_UAE!K:K)*I$2</f>
        <v>0</v>
      </c>
      <c r="J64" s="17">
        <f>-_xlfn.XLOOKUP($C64,TB_UAE!$E:$E,TB_UAE!L:L)*J$2</f>
        <v>0</v>
      </c>
      <c r="K64" s="17">
        <f>-_xlfn.XLOOKUP($C64,TB_UAE!$E:$E,TB_UAE!M:M)*K$2</f>
        <v>0</v>
      </c>
      <c r="L64" s="17">
        <f>-_xlfn.XLOOKUP($C64,TB_UAE!$E:$E,TB_UAE!N:N)*L$2</f>
        <v>0</v>
      </c>
      <c r="M64" s="17">
        <f>-_xlfn.XLOOKUP($C64,TB_UAE!$E:$E,TB_UAE!O:O)*M$2</f>
        <v>0</v>
      </c>
      <c r="N64" s="17">
        <f>-_xlfn.XLOOKUP($C64,TB_UAE!$E:$E,TB_UAE!P:P)*N$2</f>
        <v>-343590</v>
      </c>
      <c r="O64" s="17">
        <f>-_xlfn.XLOOKUP($C64,TB_UAE!$E:$E,TB_UAE!Q:Q)*O$2</f>
        <v>-315804</v>
      </c>
      <c r="P64" s="17">
        <f>-_xlfn.XLOOKUP($C64,TB_UAE!$E:$E,TB_UAE!R:R)*P$2</f>
        <v>-313935</v>
      </c>
      <c r="Q64" s="17">
        <f>-_xlfn.XLOOKUP($C64,TB_UAE!$E:$E,TB_UAE!S:S)*Q$2</f>
        <v>-305898</v>
      </c>
      <c r="R64" s="17">
        <f>-_xlfn.XLOOKUP($C64,TB_UAE!$E:$E,TB_UAE!T:T)*R$2</f>
        <v>-313529.25</v>
      </c>
      <c r="S64" s="17">
        <f>-_xlfn.XLOOKUP($C64,TB_UAE!$E:$E,TB_UAE!U:U)*S$2</f>
        <v>-327051.75</v>
      </c>
      <c r="T64" s="17">
        <f>-_xlfn.XLOOKUP($C64,TB_UAE!$E:$E,TB_UAE!V:V)*T$2</f>
        <v>-324194.25</v>
      </c>
      <c r="U64" s="17">
        <f>-_xlfn.XLOOKUP($C64,TB_UAE!$E:$E,TB_UAE!W:W)*U$2</f>
        <v>-314753.25</v>
      </c>
      <c r="V64" s="17">
        <f>-_xlfn.XLOOKUP($C64,TB_UAE!$E:$E,TB_UAE!X:X)*V$2</f>
        <v>-312508.99985999998</v>
      </c>
      <c r="W64" s="17">
        <f>-_xlfn.XLOOKUP($C64,TB_UAE!$E:$E,TB_UAE!Y:Y)*W$2</f>
        <v>-329022.34817999997</v>
      </c>
      <c r="X64" s="17">
        <f>-_xlfn.XLOOKUP($C64,TB_UAE!$E:$E,TB_UAE!Z:Z)*X$2</f>
        <v>-317368.69746</v>
      </c>
      <c r="Y64" s="17">
        <f>-_xlfn.XLOOKUP($C64,TB_UAE!$E:$E,TB_UAE!AA:AA)*Y$2</f>
        <v>-310041.16600000003</v>
      </c>
      <c r="Z64" s="17">
        <f>-_xlfn.XLOOKUP($C64,TB_UAE!$E:$E,TB_UAE!AB:AB)*Z$2</f>
        <v>-309589.38274999999</v>
      </c>
      <c r="AA64" s="17">
        <f>-_xlfn.XLOOKUP($C64,TB_UAE!$E:$E,TB_UAE!AC:AC)*AA$2</f>
        <v>-310070.23727000004</v>
      </c>
      <c r="AB64" s="17">
        <f>-_xlfn.XLOOKUP($C64,TB_UAE!$E:$E,TB_UAE!AD:AD)*AB$2</f>
        <v>-296831.80948</v>
      </c>
      <c r="AC64" s="17">
        <f>-_xlfn.XLOOKUP($C64,TB_UAE!$E:$E,TB_UAE!AE:AE)*AC$2</f>
        <v>-290284.48804999999</v>
      </c>
      <c r="AD64" s="17">
        <f>-_xlfn.XLOOKUP($C64,TB_UAE!$E:$E,TB_UAE!AF:AF)*AD$2</f>
        <v>-295762.45817000006</v>
      </c>
      <c r="AE64" s="17">
        <f>-_xlfn.XLOOKUP($C64,TB_UAE!$E:$E,TB_UAE!AG:AG)*AE$2</f>
        <v>-294009.53916000004</v>
      </c>
      <c r="AF64" s="17">
        <f>-_xlfn.XLOOKUP($C64,TB_UAE!$E:$E,TB_UAE!AH:AH)*AF$2</f>
        <v>0</v>
      </c>
      <c r="AG64" s="17">
        <f>-_xlfn.XLOOKUP($C64,TB_UAE!$E:$E,TB_UAE!AI:AI)*AG$2</f>
        <v>0</v>
      </c>
      <c r="AH64" s="17">
        <f>-_xlfn.XLOOKUP($C64,TB_UAE!$E:$E,TB_UAE!AJ:AJ)*AH$2</f>
        <v>0</v>
      </c>
      <c r="AI64" s="17">
        <f>-_xlfn.XLOOKUP($C64,TB_UAE!$E:$E,TB_UAE!AK:AK)*AI$2</f>
        <v>0</v>
      </c>
      <c r="AJ64" s="17">
        <f>-_xlfn.XLOOKUP($C64,TB_UAE!$E:$E,TB_UAE!AL:AL)*AJ$2</f>
        <v>0</v>
      </c>
      <c r="AK64" s="17">
        <f>-_xlfn.XLOOKUP($C64,TB_UAE!$E:$E,TB_UAE!AM:AM)*AK$2</f>
        <v>0</v>
      </c>
      <c r="AL64" s="17">
        <f>-_xlfn.XLOOKUP($C64,TB_UAE!$E:$E,TB_UAE!AN:AN)*AL$2</f>
        <v>0</v>
      </c>
      <c r="AM64" s="17">
        <f>-_xlfn.XLOOKUP($C64,TB_UAE!$E:$E,TB_UAE!AO:AO)*AM$2</f>
        <v>0</v>
      </c>
    </row>
    <row r="65" spans="2:46" x14ac:dyDescent="0.2">
      <c r="B65" s="21" t="s">
        <v>903</v>
      </c>
      <c r="C65" s="16" t="str">
        <f>_xlfn.XLOOKUP(B65,TB_UAE!A:A,TB_UAE!E:E)</f>
        <v>Internet Expense</v>
      </c>
      <c r="D65" s="17">
        <f>-_xlfn.XLOOKUP($C65,TB_UAE!$E:$E,TB_UAE!F:F)*D$2</f>
        <v>0</v>
      </c>
      <c r="E65" s="17">
        <f>-_xlfn.XLOOKUP($C65,TB_UAE!$E:$E,TB_UAE!G:G)*E$2</f>
        <v>-648534</v>
      </c>
      <c r="F65" s="17">
        <f>-_xlfn.XLOOKUP($C65,TB_UAE!$E:$E,TB_UAE!H:H)*F$2</f>
        <v>0</v>
      </c>
      <c r="G65" s="17">
        <f>-_xlfn.XLOOKUP($C65,TB_UAE!$E:$E,TB_UAE!I:I)*G$2</f>
        <v>-545899.5</v>
      </c>
      <c r="H65" s="17">
        <f>-_xlfn.XLOOKUP($C65,TB_UAE!$E:$E,TB_UAE!J:J)*H$2</f>
        <v>-279561</v>
      </c>
      <c r="I65" s="17">
        <f>-_xlfn.XLOOKUP($C65,TB_UAE!$E:$E,TB_UAE!K:K)*I$2</f>
        <v>0</v>
      </c>
      <c r="J65" s="17">
        <f>-_xlfn.XLOOKUP($C65,TB_UAE!$E:$E,TB_UAE!L:L)*J$2</f>
        <v>-664968</v>
      </c>
      <c r="K65" s="17">
        <f>-_xlfn.XLOOKUP($C65,TB_UAE!$E:$E,TB_UAE!M:M)*K$2</f>
        <v>-324666.75</v>
      </c>
      <c r="L65" s="17">
        <f>-_xlfn.XLOOKUP($C65,TB_UAE!$E:$E,TB_UAE!N:N)*L$2</f>
        <v>-340566.75</v>
      </c>
      <c r="M65" s="17">
        <f>-_xlfn.XLOOKUP($C65,TB_UAE!$E:$E,TB_UAE!O:O)*M$2</f>
        <v>-335506.5</v>
      </c>
      <c r="N65" s="17">
        <f>-_xlfn.XLOOKUP($C65,TB_UAE!$E:$E,TB_UAE!P:P)*N$2</f>
        <v>-343590</v>
      </c>
      <c r="O65" s="17">
        <f>-_xlfn.XLOOKUP($C65,TB_UAE!$E:$E,TB_UAE!Q:Q)*O$2</f>
        <v>-315804</v>
      </c>
      <c r="P65" s="17">
        <f>-_xlfn.XLOOKUP($C65,TB_UAE!$E:$E,TB_UAE!R:R)*P$2</f>
        <v>0</v>
      </c>
      <c r="Q65" s="17">
        <f>-_xlfn.XLOOKUP($C65,TB_UAE!$E:$E,TB_UAE!S:S)*Q$2</f>
        <v>0</v>
      </c>
      <c r="R65" s="17">
        <f>-_xlfn.XLOOKUP($C65,TB_UAE!$E:$E,TB_UAE!T:T)*R$2</f>
        <v>0</v>
      </c>
      <c r="S65" s="17">
        <f>-_xlfn.XLOOKUP($C65,TB_UAE!$E:$E,TB_UAE!U:U)*S$2</f>
        <v>0</v>
      </c>
      <c r="T65" s="17">
        <f>-_xlfn.XLOOKUP($C65,TB_UAE!$E:$E,TB_UAE!V:V)*T$2</f>
        <v>0</v>
      </c>
      <c r="U65" s="17">
        <f>-_xlfn.XLOOKUP($C65,TB_UAE!$E:$E,TB_UAE!W:W)*U$2</f>
        <v>0</v>
      </c>
      <c r="V65" s="17">
        <f>-_xlfn.XLOOKUP($C65,TB_UAE!$E:$E,TB_UAE!X:X)*V$2</f>
        <v>0</v>
      </c>
      <c r="W65" s="17">
        <f>-_xlfn.XLOOKUP($C65,TB_UAE!$E:$E,TB_UAE!Y:Y)*W$2</f>
        <v>0</v>
      </c>
      <c r="X65" s="17">
        <f>-_xlfn.XLOOKUP($C65,TB_UAE!$E:$E,TB_UAE!Z:Z)*X$2</f>
        <v>0</v>
      </c>
      <c r="Y65" s="17">
        <f>-_xlfn.XLOOKUP($C65,TB_UAE!$E:$E,TB_UAE!AA:AA)*Y$2</f>
        <v>0</v>
      </c>
      <c r="Z65" s="17">
        <f>-_xlfn.XLOOKUP($C65,TB_UAE!$E:$E,TB_UAE!AB:AB)*Z$2</f>
        <v>0</v>
      </c>
      <c r="AA65" s="17">
        <f>-_xlfn.XLOOKUP($C65,TB_UAE!$E:$E,TB_UAE!AC:AC)*AA$2</f>
        <v>0</v>
      </c>
      <c r="AB65" s="17">
        <f>-_xlfn.XLOOKUP($C65,TB_UAE!$E:$E,TB_UAE!AD:AD)*AB$2</f>
        <v>0</v>
      </c>
      <c r="AC65" s="17">
        <f>-_xlfn.XLOOKUP($C65,TB_UAE!$E:$E,TB_UAE!AE:AE)*AC$2</f>
        <v>0</v>
      </c>
      <c r="AD65" s="17">
        <f>-_xlfn.XLOOKUP($C65,TB_UAE!$E:$E,TB_UAE!AF:AF)*AD$2</f>
        <v>0</v>
      </c>
      <c r="AE65" s="17">
        <f>-_xlfn.XLOOKUP($C65,TB_UAE!$E:$E,TB_UAE!AG:AG)*AE$2</f>
        <v>0</v>
      </c>
      <c r="AF65" s="17">
        <f>-_xlfn.XLOOKUP($C65,TB_UAE!$E:$E,TB_UAE!AH:AH)*AF$2</f>
        <v>0</v>
      </c>
      <c r="AG65" s="17">
        <f>-_xlfn.XLOOKUP($C65,TB_UAE!$E:$E,TB_UAE!AI:AI)*AG$2</f>
        <v>0</v>
      </c>
      <c r="AH65" s="17">
        <f>-_xlfn.XLOOKUP($C65,TB_UAE!$E:$E,TB_UAE!AJ:AJ)*AH$2</f>
        <v>0</v>
      </c>
      <c r="AI65" s="17">
        <f>-_xlfn.XLOOKUP($C65,TB_UAE!$E:$E,TB_UAE!AK:AK)*AI$2</f>
        <v>0</v>
      </c>
      <c r="AJ65" s="17">
        <f>-_xlfn.XLOOKUP($C65,TB_UAE!$E:$E,TB_UAE!AL:AL)*AJ$2</f>
        <v>0</v>
      </c>
      <c r="AK65" s="17">
        <f>-_xlfn.XLOOKUP($C65,TB_UAE!$E:$E,TB_UAE!AM:AM)*AK$2</f>
        <v>0</v>
      </c>
      <c r="AL65" s="17">
        <f>-_xlfn.XLOOKUP($C65,TB_UAE!$E:$E,TB_UAE!AN:AN)*AL$2</f>
        <v>0</v>
      </c>
      <c r="AM65" s="17">
        <f>-_xlfn.XLOOKUP($C65,TB_UAE!$E:$E,TB_UAE!AO:AO)*AM$2</f>
        <v>0</v>
      </c>
    </row>
    <row r="66" spans="2:46" x14ac:dyDescent="0.2">
      <c r="B66" s="21" t="s">
        <v>904</v>
      </c>
      <c r="C66" s="16" t="str">
        <f>_xlfn.XLOOKUP(B66,TB_UAE!A:A,TB_UAE!E:E)</f>
        <v>Dues and subscriptions</v>
      </c>
      <c r="D66" s="17">
        <f>-_xlfn.XLOOKUP($C66,TB_UAE!$E:$E,TB_UAE!F:F)*D$2</f>
        <v>-26182.22854</v>
      </c>
      <c r="E66" s="17">
        <f>-_xlfn.XLOOKUP($C66,TB_UAE!$E:$E,TB_UAE!G:G)*E$2</f>
        <v>-331521.93367999996</v>
      </c>
      <c r="F66" s="17">
        <f>-_xlfn.XLOOKUP($C66,TB_UAE!$E:$E,TB_UAE!H:H)*F$2</f>
        <v>-40715.755140000001</v>
      </c>
      <c r="G66" s="17">
        <f>-_xlfn.XLOOKUP($C66,TB_UAE!$E:$E,TB_UAE!I:I)*G$2</f>
        <v>-39093.682860000001</v>
      </c>
      <c r="H66" s="17">
        <f>-_xlfn.XLOOKUP($C66,TB_UAE!$E:$E,TB_UAE!J:J)*H$2</f>
        <v>-40040.59016</v>
      </c>
      <c r="I66" s="17">
        <f>-_xlfn.XLOOKUP($C66,TB_UAE!$E:$E,TB_UAE!K:K)*I$2</f>
        <v>-44889.303209999998</v>
      </c>
      <c r="J66" s="17">
        <f>-_xlfn.XLOOKUP($C66,TB_UAE!$E:$E,TB_UAE!L:L)*J$2</f>
        <v>-47625.008160000005</v>
      </c>
      <c r="K66" s="17">
        <f>-_xlfn.XLOOKUP($C66,TB_UAE!$E:$E,TB_UAE!M:M)*K$2</f>
        <v>-238344.35451000003</v>
      </c>
      <c r="L66" s="17">
        <f>-_xlfn.XLOOKUP($C66,TB_UAE!$E:$E,TB_UAE!N:N)*L$2</f>
        <v>-118580.80145999999</v>
      </c>
      <c r="M66" s="17">
        <f>-_xlfn.XLOOKUP($C66,TB_UAE!$E:$E,TB_UAE!O:O)*M$2</f>
        <v>-285055.26923999999</v>
      </c>
      <c r="N66" s="17">
        <f>-_xlfn.XLOOKUP($C66,TB_UAE!$E:$E,TB_UAE!P:P)*N$2</f>
        <v>-51281.952799999999</v>
      </c>
      <c r="O66" s="17">
        <f>-_xlfn.XLOOKUP($C66,TB_UAE!$E:$E,TB_UAE!Q:Q)*O$2</f>
        <v>-47134.799679999996</v>
      </c>
      <c r="P66" s="17">
        <f>-_xlfn.XLOOKUP($C66,TB_UAE!$E:$E,TB_UAE!R:R)*P$2</f>
        <v>-46855.845199999996</v>
      </c>
      <c r="Q66" s="17">
        <f>-_xlfn.XLOOKUP($C66,TB_UAE!$E:$E,TB_UAE!S:S)*Q$2</f>
        <v>-45656.296159999998</v>
      </c>
      <c r="R66" s="17">
        <f>-_xlfn.XLOOKUP($C66,TB_UAE!$E:$E,TB_UAE!T:T)*R$2</f>
        <v>0</v>
      </c>
      <c r="S66" s="17">
        <f>-_xlfn.XLOOKUP($C66,TB_UAE!$E:$E,TB_UAE!U:U)*S$2</f>
        <v>0</v>
      </c>
      <c r="T66" s="17">
        <f>-_xlfn.XLOOKUP($C66,TB_UAE!$E:$E,TB_UAE!V:V)*T$2</f>
        <v>0</v>
      </c>
      <c r="U66" s="17">
        <f>-_xlfn.XLOOKUP($C66,TB_UAE!$E:$E,TB_UAE!W:W)*U$2</f>
        <v>0</v>
      </c>
      <c r="V66" s="17">
        <f>-_xlfn.XLOOKUP($C66,TB_UAE!$E:$E,TB_UAE!X:X)*V$2</f>
        <v>-185543.75522000002</v>
      </c>
      <c r="W66" s="17">
        <f>-_xlfn.XLOOKUP($C66,TB_UAE!$E:$E,TB_UAE!Y:Y)*W$2</f>
        <v>0</v>
      </c>
      <c r="X66" s="17">
        <f>-_xlfn.XLOOKUP($C66,TB_UAE!$E:$E,TB_UAE!Z:Z)*X$2</f>
        <v>0</v>
      </c>
      <c r="Y66" s="17">
        <f>-_xlfn.XLOOKUP($C66,TB_UAE!$E:$E,TB_UAE!AA:AA)*Y$2</f>
        <v>-89597.876000000004</v>
      </c>
      <c r="Z66" s="17">
        <f>-_xlfn.XLOOKUP($C66,TB_UAE!$E:$E,TB_UAE!AB:AB)*Z$2</f>
        <v>-1834347.9252499999</v>
      </c>
      <c r="AA66" s="17">
        <f>-_xlfn.XLOOKUP($C66,TB_UAE!$E:$E,TB_UAE!AC:AC)*AA$2</f>
        <v>0</v>
      </c>
      <c r="AB66" s="17">
        <f>-_xlfn.XLOOKUP($C66,TB_UAE!$E:$E,TB_UAE!AD:AD)*AB$2</f>
        <v>-14355.944</v>
      </c>
      <c r="AC66" s="17">
        <f>-_xlfn.XLOOKUP($C66,TB_UAE!$E:$E,TB_UAE!AE:AE)*AC$2</f>
        <v>0</v>
      </c>
      <c r="AD66" s="17">
        <f>-_xlfn.XLOOKUP($C66,TB_UAE!$E:$E,TB_UAE!AF:AF)*AD$2</f>
        <v>-292024.53805999999</v>
      </c>
      <c r="AE66" s="17">
        <f>-_xlfn.XLOOKUP($C66,TB_UAE!$E:$E,TB_UAE!AG:AG)*AE$2</f>
        <v>-149337.88164000001</v>
      </c>
      <c r="AF66" s="17">
        <f>-_xlfn.XLOOKUP($C66,TB_UAE!$E:$E,TB_UAE!AH:AH)*AF$2</f>
        <v>0</v>
      </c>
      <c r="AG66" s="17">
        <f>-_xlfn.XLOOKUP($C66,TB_UAE!$E:$E,TB_UAE!AI:AI)*AG$2</f>
        <v>0</v>
      </c>
      <c r="AH66" s="17">
        <f>-_xlfn.XLOOKUP($C66,TB_UAE!$E:$E,TB_UAE!AJ:AJ)*AH$2</f>
        <v>0</v>
      </c>
      <c r="AI66" s="17">
        <f>-_xlfn.XLOOKUP($C66,TB_UAE!$E:$E,TB_UAE!AK:AK)*AI$2</f>
        <v>0</v>
      </c>
      <c r="AJ66" s="17">
        <f>-_xlfn.XLOOKUP($C66,TB_UAE!$E:$E,TB_UAE!AL:AL)*AJ$2</f>
        <v>0</v>
      </c>
      <c r="AK66" s="17">
        <f>-_xlfn.XLOOKUP($C66,TB_UAE!$E:$E,TB_UAE!AM:AM)*AK$2</f>
        <v>0</v>
      </c>
      <c r="AL66" s="17">
        <f>-_xlfn.XLOOKUP($C66,TB_UAE!$E:$E,TB_UAE!AN:AN)*AL$2</f>
        <v>0</v>
      </c>
      <c r="AM66" s="17">
        <f>-_xlfn.XLOOKUP($C66,TB_UAE!$E:$E,TB_UAE!AO:AO)*AM$2</f>
        <v>0</v>
      </c>
    </row>
    <row r="67" spans="2:46" x14ac:dyDescent="0.2">
      <c r="B67" s="74" t="s">
        <v>1183</v>
      </c>
      <c r="C67" s="16" t="str">
        <f>_xlfn.XLOOKUP(B67,TB_UAE!A:A,TB_UAE!E:E)</f>
        <v>Professional Fees - Others</v>
      </c>
      <c r="D67" s="17">
        <f>-_xlfn.XLOOKUP($C67,TB_UAE!$E:$E,TB_UAE!F:F)*D$2</f>
        <v>0</v>
      </c>
      <c r="E67" s="17">
        <f>-_xlfn.XLOOKUP($C67,TB_UAE!$E:$E,TB_UAE!G:G)*E$2</f>
        <v>0</v>
      </c>
      <c r="F67" s="17">
        <f>-_xlfn.XLOOKUP($C67,TB_UAE!$E:$E,TB_UAE!H:H)*F$2</f>
        <v>0</v>
      </c>
      <c r="G67" s="17">
        <f>-_xlfn.XLOOKUP($C67,TB_UAE!$E:$E,TB_UAE!I:I)*G$2</f>
        <v>0</v>
      </c>
      <c r="H67" s="17">
        <f>-_xlfn.XLOOKUP($C67,TB_UAE!$E:$E,TB_UAE!J:J)*H$2</f>
        <v>0</v>
      </c>
      <c r="I67" s="17">
        <f>-_xlfn.XLOOKUP($C67,TB_UAE!$E:$E,TB_UAE!K:K)*I$2</f>
        <v>0</v>
      </c>
      <c r="J67" s="17">
        <f>-_xlfn.XLOOKUP($C67,TB_UAE!$E:$E,TB_UAE!L:L)*J$2</f>
        <v>0</v>
      </c>
      <c r="K67" s="17">
        <f>-_xlfn.XLOOKUP($C67,TB_UAE!$E:$E,TB_UAE!M:M)*K$2</f>
        <v>0</v>
      </c>
      <c r="L67" s="17">
        <f>-_xlfn.XLOOKUP($C67,TB_UAE!$E:$E,TB_UAE!N:N)*L$2</f>
        <v>0</v>
      </c>
      <c r="M67" s="17">
        <f>-_xlfn.XLOOKUP($C67,TB_UAE!$E:$E,TB_UAE!O:O)*M$2</f>
        <v>0</v>
      </c>
      <c r="N67" s="17">
        <f>-_xlfn.XLOOKUP($C67,TB_UAE!$E:$E,TB_UAE!P:P)*N$2</f>
        <v>0</v>
      </c>
      <c r="O67" s="17">
        <f>-_xlfn.XLOOKUP($C67,TB_UAE!$E:$E,TB_UAE!Q:Q)*O$2</f>
        <v>0</v>
      </c>
      <c r="P67" s="17">
        <f>-_xlfn.XLOOKUP($C67,TB_UAE!$E:$E,TB_UAE!R:R)*P$2</f>
        <v>0</v>
      </c>
      <c r="Q67" s="17">
        <f>-_xlfn.XLOOKUP($C67,TB_UAE!$E:$E,TB_UAE!S:S)*Q$2</f>
        <v>0</v>
      </c>
      <c r="R67" s="17">
        <f>-_xlfn.XLOOKUP($C67,TB_UAE!$E:$E,TB_UAE!T:T)*R$2</f>
        <v>0</v>
      </c>
      <c r="S67" s="17">
        <f>-_xlfn.XLOOKUP($C67,TB_UAE!$E:$E,TB_UAE!U:U)*S$2</f>
        <v>0</v>
      </c>
      <c r="T67" s="17">
        <f>-_xlfn.XLOOKUP($C67,TB_UAE!$E:$E,TB_UAE!V:V)*T$2</f>
        <v>0</v>
      </c>
      <c r="U67" s="17">
        <f>-_xlfn.XLOOKUP($C67,TB_UAE!$E:$E,TB_UAE!W:W)*U$2</f>
        <v>0</v>
      </c>
      <c r="V67" s="17">
        <f>-_xlfn.XLOOKUP($C67,TB_UAE!$E:$E,TB_UAE!X:X)*V$2</f>
        <v>0</v>
      </c>
      <c r="W67" s="17">
        <f>-_xlfn.XLOOKUP($C67,TB_UAE!$E:$E,TB_UAE!Y:Y)*W$2</f>
        <v>0</v>
      </c>
      <c r="X67" s="17">
        <f>-_xlfn.XLOOKUP($C67,TB_UAE!$E:$E,TB_UAE!Z:Z)*X$2</f>
        <v>0</v>
      </c>
      <c r="Y67" s="17">
        <f>-_xlfn.XLOOKUP($C67,TB_UAE!$E:$E,TB_UAE!AA:AA)*Y$2</f>
        <v>0</v>
      </c>
      <c r="Z67" s="17">
        <f>-_xlfn.XLOOKUP($C67,TB_UAE!$E:$E,TB_UAE!AB:AB)*Z$2</f>
        <v>0</v>
      </c>
      <c r="AA67" s="17">
        <f>-_xlfn.XLOOKUP($C67,TB_UAE!$E:$E,TB_UAE!AC:AC)*AA$2</f>
        <v>0</v>
      </c>
      <c r="AB67" s="17">
        <f>-_xlfn.XLOOKUP($C67,TB_UAE!$E:$E,TB_UAE!AD:AD)*AB$2</f>
        <v>0</v>
      </c>
      <c r="AC67" s="17">
        <f>-_xlfn.XLOOKUP($C67,TB_UAE!$E:$E,TB_UAE!AE:AE)*AC$2</f>
        <v>-640080.78749999998</v>
      </c>
      <c r="AD67" s="17">
        <f>-_xlfn.XLOOKUP($C67,TB_UAE!$E:$E,TB_UAE!AF:AF)*AD$2</f>
        <v>0</v>
      </c>
      <c r="AE67" s="17">
        <f>-_xlfn.XLOOKUP($C67,TB_UAE!$E:$E,TB_UAE!AG:AG)*AE$2</f>
        <v>-617423.4</v>
      </c>
      <c r="AF67" s="17">
        <f>-_xlfn.XLOOKUP($C67,TB_UAE!$E:$E,TB_UAE!AH:AH)*AF$2</f>
        <v>0</v>
      </c>
      <c r="AG67" s="17">
        <f>-_xlfn.XLOOKUP($C67,TB_UAE!$E:$E,TB_UAE!AI:AI)*AG$2</f>
        <v>0</v>
      </c>
      <c r="AH67" s="17">
        <f>-_xlfn.XLOOKUP($C67,TB_UAE!$E:$E,TB_UAE!AJ:AJ)*AH$2</f>
        <v>0</v>
      </c>
      <c r="AI67" s="17">
        <f>-_xlfn.XLOOKUP($C67,TB_UAE!$E:$E,TB_UAE!AK:AK)*AI$2</f>
        <v>0</v>
      </c>
      <c r="AJ67" s="17">
        <f>-_xlfn.XLOOKUP($C67,TB_UAE!$E:$E,TB_UAE!AL:AL)*AJ$2</f>
        <v>0</v>
      </c>
      <c r="AK67" s="17">
        <f>-_xlfn.XLOOKUP($C67,TB_UAE!$E:$E,TB_UAE!AM:AM)*AK$2</f>
        <v>0</v>
      </c>
      <c r="AL67" s="17">
        <f>-_xlfn.XLOOKUP($C67,TB_UAE!$E:$E,TB_UAE!AN:AN)*AL$2</f>
        <v>0</v>
      </c>
      <c r="AM67" s="17">
        <f>-_xlfn.XLOOKUP($C67,TB_UAE!$E:$E,TB_UAE!AO:AO)*AM$2</f>
        <v>0</v>
      </c>
    </row>
    <row r="68" spans="2:46" x14ac:dyDescent="0.2">
      <c r="B68" s="21" t="s">
        <v>905</v>
      </c>
      <c r="C68" s="16" t="str">
        <f>_xlfn.XLOOKUP(B68,TB_UAE!A:A,TB_UAE!E:E)</f>
        <v>Telephone</v>
      </c>
      <c r="D68" s="17">
        <f>-_xlfn.XLOOKUP($C68,TB_UAE!$E:$E,TB_UAE!F:F)*D$2</f>
        <v>0</v>
      </c>
      <c r="E68" s="17">
        <f>-_xlfn.XLOOKUP($C68,TB_UAE!$E:$E,TB_UAE!G:G)*E$2</f>
        <v>-172942.4</v>
      </c>
      <c r="F68" s="17">
        <f>-_xlfn.XLOOKUP($C68,TB_UAE!$E:$E,TB_UAE!H:H)*F$2</f>
        <v>0</v>
      </c>
      <c r="G68" s="17">
        <f>-_xlfn.XLOOKUP($C68,TB_UAE!$E:$E,TB_UAE!I:I)*G$2</f>
        <v>-145573.20000000001</v>
      </c>
      <c r="H68" s="17">
        <f>-_xlfn.XLOOKUP($C68,TB_UAE!$E:$E,TB_UAE!J:J)*H$2</f>
        <v>-74549.599999999991</v>
      </c>
      <c r="I68" s="17">
        <f>-_xlfn.XLOOKUP($C68,TB_UAE!$E:$E,TB_UAE!K:K)*I$2</f>
        <v>0</v>
      </c>
      <c r="J68" s="17">
        <f>-_xlfn.XLOOKUP($C68,TB_UAE!$E:$E,TB_UAE!L:L)*J$2</f>
        <v>-177324.80000000002</v>
      </c>
      <c r="K68" s="17">
        <f>-_xlfn.XLOOKUP($C68,TB_UAE!$E:$E,TB_UAE!M:M)*K$2</f>
        <v>-86577.8</v>
      </c>
      <c r="L68" s="17">
        <f>-_xlfn.XLOOKUP($C68,TB_UAE!$E:$E,TB_UAE!N:N)*L$2</f>
        <v>-90817.8</v>
      </c>
      <c r="M68" s="17">
        <f>-_xlfn.XLOOKUP($C68,TB_UAE!$E:$E,TB_UAE!O:O)*M$2</f>
        <v>-89468.4</v>
      </c>
      <c r="N68" s="17">
        <f>-_xlfn.XLOOKUP($C68,TB_UAE!$E:$E,TB_UAE!P:P)*N$2</f>
        <v>-91624</v>
      </c>
      <c r="O68" s="17">
        <f>-_xlfn.XLOOKUP($C68,TB_UAE!$E:$E,TB_UAE!Q:Q)*O$2</f>
        <v>-84214.399999999994</v>
      </c>
      <c r="P68" s="17">
        <f>-_xlfn.XLOOKUP($C68,TB_UAE!$E:$E,TB_UAE!R:R)*P$2</f>
        <v>0</v>
      </c>
      <c r="Q68" s="17">
        <f>-_xlfn.XLOOKUP($C68,TB_UAE!$E:$E,TB_UAE!S:S)*Q$2</f>
        <v>0</v>
      </c>
      <c r="R68" s="17">
        <f>-_xlfn.XLOOKUP($C68,TB_UAE!$E:$E,TB_UAE!T:T)*R$2</f>
        <v>0</v>
      </c>
      <c r="S68" s="17">
        <f>-_xlfn.XLOOKUP($C68,TB_UAE!$E:$E,TB_UAE!U:U)*S$2</f>
        <v>0</v>
      </c>
      <c r="T68" s="17">
        <f>-_xlfn.XLOOKUP($C68,TB_UAE!$E:$E,TB_UAE!V:V)*T$2</f>
        <v>0</v>
      </c>
      <c r="U68" s="17">
        <f>-_xlfn.XLOOKUP($C68,TB_UAE!$E:$E,TB_UAE!W:W)*U$2</f>
        <v>0</v>
      </c>
      <c r="V68" s="17">
        <f>-_xlfn.XLOOKUP($C68,TB_UAE!$E:$E,TB_UAE!X:X)*V$2</f>
        <v>0</v>
      </c>
      <c r="W68" s="17">
        <f>-_xlfn.XLOOKUP($C68,TB_UAE!$E:$E,TB_UAE!Y:Y)*W$2</f>
        <v>0</v>
      </c>
      <c r="X68" s="17">
        <f>-_xlfn.XLOOKUP($C68,TB_UAE!$E:$E,TB_UAE!Z:Z)*X$2</f>
        <v>0</v>
      </c>
      <c r="Y68" s="17">
        <f>-_xlfn.XLOOKUP($C68,TB_UAE!$E:$E,TB_UAE!AA:AA)*Y$2</f>
        <v>0</v>
      </c>
      <c r="Z68" s="17">
        <f>-_xlfn.XLOOKUP($C68,TB_UAE!$E:$E,TB_UAE!AB:AB)*Z$2</f>
        <v>0</v>
      </c>
      <c r="AA68" s="17">
        <f>-_xlfn.XLOOKUP($C68,TB_UAE!$E:$E,TB_UAE!AC:AC)*AA$2</f>
        <v>0</v>
      </c>
      <c r="AB68" s="17">
        <f>-_xlfn.XLOOKUP($C68,TB_UAE!$E:$E,TB_UAE!AD:AD)*AB$2</f>
        <v>0</v>
      </c>
      <c r="AC68" s="17">
        <f>-_xlfn.XLOOKUP($C68,TB_UAE!$E:$E,TB_UAE!AE:AE)*AC$2</f>
        <v>0</v>
      </c>
      <c r="AD68" s="17">
        <f>-_xlfn.XLOOKUP($C68,TB_UAE!$E:$E,TB_UAE!AF:AF)*AD$2</f>
        <v>0</v>
      </c>
      <c r="AE68" s="17">
        <f>-_xlfn.XLOOKUP($C68,TB_UAE!$E:$E,TB_UAE!AG:AG)*AE$2</f>
        <v>0</v>
      </c>
      <c r="AF68" s="17">
        <f>-_xlfn.XLOOKUP($C68,TB_UAE!$E:$E,TB_UAE!AH:AH)*AF$2</f>
        <v>0</v>
      </c>
      <c r="AG68" s="17">
        <f>-_xlfn.XLOOKUP($C68,TB_UAE!$E:$E,TB_UAE!AI:AI)*AG$2</f>
        <v>0</v>
      </c>
      <c r="AH68" s="17">
        <f>-_xlfn.XLOOKUP($C68,TB_UAE!$E:$E,TB_UAE!AJ:AJ)*AH$2</f>
        <v>0</v>
      </c>
      <c r="AI68" s="17">
        <f>-_xlfn.XLOOKUP($C68,TB_UAE!$E:$E,TB_UAE!AK:AK)*AI$2</f>
        <v>0</v>
      </c>
      <c r="AJ68" s="17">
        <f>-_xlfn.XLOOKUP($C68,TB_UAE!$E:$E,TB_UAE!AL:AL)*AJ$2</f>
        <v>0</v>
      </c>
      <c r="AK68" s="17">
        <f>-_xlfn.XLOOKUP($C68,TB_UAE!$E:$E,TB_UAE!AM:AM)*AK$2</f>
        <v>0</v>
      </c>
      <c r="AL68" s="17">
        <f>-_xlfn.XLOOKUP($C68,TB_UAE!$E:$E,TB_UAE!AN:AN)*AL$2</f>
        <v>0</v>
      </c>
      <c r="AM68" s="17">
        <f>-_xlfn.XLOOKUP($C68,TB_UAE!$E:$E,TB_UAE!AO:AO)*AM$2</f>
        <v>0</v>
      </c>
    </row>
    <row r="69" spans="2:46" x14ac:dyDescent="0.2">
      <c r="B69" s="73"/>
      <c r="C69" s="16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</row>
    <row r="70" spans="2:46" s="20" customFormat="1" ht="13.5" customHeight="1" x14ac:dyDescent="0.15">
      <c r="C70" s="22" t="s">
        <v>131</v>
      </c>
      <c r="D70" s="23">
        <f t="shared" ref="D70:AM70" si="9">SUM(D59:D68)</f>
        <v>-907679.02536999993</v>
      </c>
      <c r="E70" s="23">
        <f t="shared" si="9"/>
        <v>-1902764.1675199999</v>
      </c>
      <c r="F70" s="23">
        <f t="shared" si="9"/>
        <v>-404038.39785999997</v>
      </c>
      <c r="G70" s="23">
        <f t="shared" si="9"/>
        <v>-1247038.2604799999</v>
      </c>
      <c r="H70" s="23">
        <f t="shared" si="9"/>
        <v>-52251818.367479995</v>
      </c>
      <c r="I70" s="23">
        <f t="shared" si="9"/>
        <v>-428949.19478999998</v>
      </c>
      <c r="J70" s="23">
        <f t="shared" si="9"/>
        <v>-7803390.6137599992</v>
      </c>
      <c r="K70" s="23">
        <f t="shared" si="9"/>
        <v>-2887408.5900099999</v>
      </c>
      <c r="L70" s="23">
        <f t="shared" si="9"/>
        <v>-1004054.35146</v>
      </c>
      <c r="M70" s="23">
        <f t="shared" si="9"/>
        <v>-5309824.2842400009</v>
      </c>
      <c r="N70" s="23">
        <f t="shared" si="9"/>
        <v>-1023412.5928</v>
      </c>
      <c r="O70" s="23">
        <f t="shared" si="9"/>
        <v>-762957.19967999996</v>
      </c>
      <c r="P70" s="23">
        <f t="shared" si="9"/>
        <v>-360790.84519999998</v>
      </c>
      <c r="Q70" s="23">
        <f t="shared" si="9"/>
        <v>-351554.29616000003</v>
      </c>
      <c r="R70" s="23">
        <f t="shared" si="9"/>
        <v>-313529.25</v>
      </c>
      <c r="S70" s="23">
        <f t="shared" si="9"/>
        <v>-327051.75</v>
      </c>
      <c r="T70" s="23">
        <f t="shared" si="9"/>
        <v>-324194.25</v>
      </c>
      <c r="U70" s="23">
        <f t="shared" si="9"/>
        <v>-314753.25</v>
      </c>
      <c r="V70" s="23">
        <f t="shared" si="9"/>
        <v>-498052.75508000003</v>
      </c>
      <c r="W70" s="23">
        <f t="shared" si="9"/>
        <v>-726842.44817999995</v>
      </c>
      <c r="X70" s="23">
        <f t="shared" si="9"/>
        <v>-317368.69746</v>
      </c>
      <c r="Y70" s="23">
        <f t="shared" si="9"/>
        <v>-399639.04200000002</v>
      </c>
      <c r="Z70" s="23">
        <f t="shared" si="9"/>
        <v>-2143937.3079999997</v>
      </c>
      <c r="AA70" s="23">
        <f>SUM(AA59:AA68)</f>
        <v>-310070.23727000004</v>
      </c>
      <c r="AB70" s="23">
        <f t="shared" si="9"/>
        <v>-311187.75348000001</v>
      </c>
      <c r="AC70" s="23">
        <f t="shared" si="9"/>
        <v>-930365.2755499999</v>
      </c>
      <c r="AD70" s="23">
        <f t="shared" si="9"/>
        <v>-587786.99623000005</v>
      </c>
      <c r="AE70" s="23">
        <f t="shared" si="9"/>
        <v>-1060770.8208000001</v>
      </c>
      <c r="AF70" s="23">
        <f t="shared" si="9"/>
        <v>0</v>
      </c>
      <c r="AG70" s="23">
        <f t="shared" si="9"/>
        <v>0</v>
      </c>
      <c r="AH70" s="23">
        <f t="shared" si="9"/>
        <v>0</v>
      </c>
      <c r="AI70" s="23">
        <f t="shared" si="9"/>
        <v>0</v>
      </c>
      <c r="AJ70" s="23">
        <f t="shared" si="9"/>
        <v>0</v>
      </c>
      <c r="AK70" s="23">
        <f t="shared" si="9"/>
        <v>0</v>
      </c>
      <c r="AL70" s="23">
        <f t="shared" si="9"/>
        <v>0</v>
      </c>
      <c r="AM70" s="23">
        <f t="shared" si="9"/>
        <v>0</v>
      </c>
      <c r="AS70" s="23">
        <f>SUM(D70:O70)</f>
        <v>-75933335.045450002</v>
      </c>
      <c r="AT70" s="23">
        <f>SUM(P70:AA70)</f>
        <v>-6387784.1293500001</v>
      </c>
    </row>
    <row r="71" spans="2:46" x14ac:dyDescent="0.2">
      <c r="B71" s="21"/>
      <c r="C71" s="16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8"/>
    </row>
    <row r="72" spans="2:46" x14ac:dyDescent="0.2">
      <c r="B72" s="21"/>
      <c r="C72" s="20" t="s">
        <v>749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8"/>
    </row>
    <row r="73" spans="2:46" x14ac:dyDescent="0.2">
      <c r="B73" s="21" t="s">
        <v>906</v>
      </c>
      <c r="C73" s="16" t="str">
        <f>_xlfn.XLOOKUP(B73,TB_UAE!A:A,TB_UAE!E:E)</f>
        <v>Business Development Expenses</v>
      </c>
      <c r="D73" s="17">
        <f>-_xlfn.XLOOKUP($B73,TB_UAE!$A:$A,TB_UAE!F:F)*D$2</f>
        <v>0</v>
      </c>
      <c r="E73" s="17">
        <f>-_xlfn.XLOOKUP($B73,TB_UAE!$A:$A,TB_UAE!G:G)*E$2</f>
        <v>0</v>
      </c>
      <c r="F73" s="17">
        <f>-_xlfn.XLOOKUP($B73,TB_UAE!$A:$A,TB_UAE!H:H)*F$2</f>
        <v>0</v>
      </c>
      <c r="G73" s="17">
        <f>-_xlfn.XLOOKUP($B73,TB_UAE!$A:$A,TB_UAE!I:I)*G$2</f>
        <v>0</v>
      </c>
      <c r="H73" s="17">
        <f>-_xlfn.XLOOKUP($B73,TB_UAE!$A:$A,TB_UAE!J:J)*H$2</f>
        <v>0</v>
      </c>
      <c r="I73" s="17">
        <f>-_xlfn.XLOOKUP($B73,TB_UAE!$A:$A,TB_UAE!K:K)*I$2</f>
        <v>0</v>
      </c>
      <c r="J73" s="17">
        <f>-_xlfn.XLOOKUP($B73,TB_UAE!$A:$A,TB_UAE!L:L)*J$2</f>
        <v>0</v>
      </c>
      <c r="K73" s="17">
        <f>-_xlfn.XLOOKUP($B73,TB_UAE!$A:$A,TB_UAE!M:M)*K$2</f>
        <v>0</v>
      </c>
      <c r="L73" s="17">
        <f>-_xlfn.XLOOKUP($B73,TB_UAE!$A:$A,TB_UAE!N:N)*L$2</f>
        <v>0</v>
      </c>
      <c r="M73" s="17">
        <f>-_xlfn.XLOOKUP($B73,TB_UAE!$A:$A,TB_UAE!O:O)*M$2</f>
        <v>0</v>
      </c>
      <c r="N73" s="17">
        <f>-_xlfn.XLOOKUP($B73,TB_UAE!$A:$A,TB_UAE!P:P)*N$2</f>
        <v>0</v>
      </c>
      <c r="O73" s="17">
        <f>-_xlfn.XLOOKUP($B73,TB_UAE!$A:$A,TB_UAE!Q:Q)*O$2</f>
        <v>0</v>
      </c>
      <c r="P73" s="17">
        <f>-_xlfn.XLOOKUP($B73,TB_UAE!$A:$A,TB_UAE!R:R)*P$2</f>
        <v>0</v>
      </c>
      <c r="Q73" s="17">
        <f>-_xlfn.XLOOKUP($B73,TB_UAE!$A:$A,TB_UAE!S:S)*Q$2</f>
        <v>0</v>
      </c>
      <c r="R73" s="17">
        <f>-_xlfn.XLOOKUP($B73,TB_UAE!$A:$A,TB_UAE!T:T)*R$2</f>
        <v>0</v>
      </c>
      <c r="S73" s="17">
        <f>-_xlfn.XLOOKUP($B73,TB_UAE!$A:$A,TB_UAE!U:U)*S$2</f>
        <v>0</v>
      </c>
      <c r="T73" s="17">
        <f>-_xlfn.XLOOKUP($B73,TB_UAE!$A:$A,TB_UAE!V:V)*T$2</f>
        <v>0</v>
      </c>
      <c r="U73" s="17">
        <f>-_xlfn.XLOOKUP($B73,TB_UAE!$A:$A,TB_UAE!W:W)*U$2</f>
        <v>-1398415.11607</v>
      </c>
      <c r="V73" s="17">
        <f>-_xlfn.XLOOKUP($B73,TB_UAE!$A:$A,TB_UAE!X:X)*V$2</f>
        <v>0</v>
      </c>
      <c r="W73" s="17">
        <f>-_xlfn.XLOOKUP($B73,TB_UAE!$A:$A,TB_UAE!Y:Y)*W$2</f>
        <v>0</v>
      </c>
      <c r="X73" s="17">
        <f>-_xlfn.XLOOKUP($B73,TB_UAE!$A:$A,TB_UAE!Z:Z)*X$2</f>
        <v>0</v>
      </c>
      <c r="Y73" s="17">
        <f>-_xlfn.XLOOKUP($B73,TB_UAE!$A:$A,TB_UAE!AA:AA)*Y$2</f>
        <v>0</v>
      </c>
      <c r="Z73" s="17">
        <f>-_xlfn.XLOOKUP($B73,TB_UAE!$A:$A,TB_UAE!AB:AB)*Z$2</f>
        <v>0</v>
      </c>
      <c r="AA73" s="17">
        <f>-_xlfn.XLOOKUP($B73,TB_UAE!$A:$A,TB_UAE!AC:AC)*AA$2</f>
        <v>0</v>
      </c>
      <c r="AB73" s="17">
        <f>-_xlfn.XLOOKUP($B73,TB_UAE!$A:$A,TB_UAE!AD:AD)*AB$2</f>
        <v>0</v>
      </c>
      <c r="AC73" s="17">
        <f>-_xlfn.XLOOKUP($B73,TB_UAE!$A:$A,TB_UAE!AE:AE)*AC$2</f>
        <v>0</v>
      </c>
      <c r="AD73" s="17">
        <f>-_xlfn.XLOOKUP($B73,TB_UAE!$A:$A,TB_UAE!AF:AF)*AD$2</f>
        <v>0</v>
      </c>
      <c r="AE73" s="17">
        <f>-_xlfn.XLOOKUP($B73,TB_UAE!$A:$A,TB_UAE!AG:AG)*AE$2</f>
        <v>0</v>
      </c>
      <c r="AF73" s="17">
        <f>-_xlfn.XLOOKUP($B73,TB_UAE!$A:$A,TB_UAE!AH:AH)*AF$2</f>
        <v>0</v>
      </c>
      <c r="AG73" s="17">
        <f>-_xlfn.XLOOKUP($B73,TB_UAE!$A:$A,TB_UAE!AI:AI)*AG$2</f>
        <v>0</v>
      </c>
      <c r="AH73" s="17">
        <f>-_xlfn.XLOOKUP($B73,TB_UAE!$A:$A,TB_UAE!AJ:AJ)*AH$2</f>
        <v>0</v>
      </c>
      <c r="AI73" s="17">
        <f>-_xlfn.XLOOKUP($B73,TB_UAE!$A:$A,TB_UAE!AK:AK)*AI$2</f>
        <v>0</v>
      </c>
      <c r="AJ73" s="17">
        <f>-_xlfn.XLOOKUP($B73,TB_UAE!$A:$A,TB_UAE!AL:AL)*AJ$2</f>
        <v>0</v>
      </c>
      <c r="AK73" s="17">
        <f>-_xlfn.XLOOKUP($B73,TB_UAE!$A:$A,TB_UAE!AM:AM)*AK$2</f>
        <v>0</v>
      </c>
      <c r="AL73" s="17">
        <f>-_xlfn.XLOOKUP($B73,TB_UAE!$A:$A,TB_UAE!AN:AN)*AL$2</f>
        <v>0</v>
      </c>
      <c r="AM73" s="17">
        <f>-_xlfn.XLOOKUP($B73,TB_UAE!$A:$A,TB_UAE!AO:AO)*AM$2</f>
        <v>0</v>
      </c>
    </row>
    <row r="74" spans="2:46" x14ac:dyDescent="0.2">
      <c r="B74" s="21" t="s">
        <v>907</v>
      </c>
      <c r="C74" s="16" t="str">
        <f>_xlfn.XLOOKUP(B74,TB_UAE!A:A,TB_UAE!E:E)</f>
        <v>Business Development Expenses</v>
      </c>
      <c r="D74" s="17">
        <f>-_xlfn.XLOOKUP($B74,TB_UAE!$A:$A,TB_UAE!F:F)*D$2</f>
        <v>0</v>
      </c>
      <c r="E74" s="17">
        <f>-_xlfn.XLOOKUP($B74,TB_UAE!$A:$A,TB_UAE!G:G)*E$2</f>
        <v>-3156198.8</v>
      </c>
      <c r="F74" s="17">
        <f>-_xlfn.XLOOKUP($B74,TB_UAE!$A:$A,TB_UAE!H:H)*F$2</f>
        <v>-5124052.96</v>
      </c>
      <c r="G74" s="17">
        <f>-_xlfn.XLOOKUP($B74,TB_UAE!$A:$A,TB_UAE!I:I)*G$2</f>
        <v>0</v>
      </c>
      <c r="H74" s="17">
        <f>-_xlfn.XLOOKUP($B74,TB_UAE!$A:$A,TB_UAE!J:J)*H$2</f>
        <v>0</v>
      </c>
      <c r="I74" s="17">
        <f>-_xlfn.XLOOKUP($B74,TB_UAE!$A:$A,TB_UAE!K:K)*I$2</f>
        <v>0</v>
      </c>
      <c r="J74" s="17">
        <f>-_xlfn.XLOOKUP($B74,TB_UAE!$A:$A,TB_UAE!L:L)*J$2</f>
        <v>0</v>
      </c>
      <c r="K74" s="17">
        <f>-_xlfn.XLOOKUP($B74,TB_UAE!$A:$A,TB_UAE!M:M)*K$2</f>
        <v>0</v>
      </c>
      <c r="L74" s="17">
        <f>-_xlfn.XLOOKUP($B74,TB_UAE!$A:$A,TB_UAE!N:N)*L$2</f>
        <v>0</v>
      </c>
      <c r="M74" s="17">
        <f>-_xlfn.XLOOKUP($B74,TB_UAE!$A:$A,TB_UAE!O:O)*M$2</f>
        <v>0</v>
      </c>
      <c r="N74" s="17">
        <f>-_xlfn.XLOOKUP($B74,TB_UAE!$A:$A,TB_UAE!P:P)*N$2</f>
        <v>-222188.2</v>
      </c>
      <c r="O74" s="17">
        <f>-_xlfn.XLOOKUP($B74,TB_UAE!$A:$A,TB_UAE!Q:Q)*O$2</f>
        <v>0</v>
      </c>
      <c r="P74" s="17">
        <f>-_xlfn.XLOOKUP($B74,TB_UAE!$A:$A,TB_UAE!R:R)*P$2</f>
        <v>0</v>
      </c>
      <c r="Q74" s="17">
        <f>-_xlfn.XLOOKUP($B74,TB_UAE!$A:$A,TB_UAE!S:S)*Q$2</f>
        <v>0</v>
      </c>
      <c r="R74" s="17">
        <f>-_xlfn.XLOOKUP($B74,TB_UAE!$A:$A,TB_UAE!T:T)*R$2</f>
        <v>0</v>
      </c>
      <c r="S74" s="17">
        <f>-_xlfn.XLOOKUP($B74,TB_UAE!$A:$A,TB_UAE!U:U)*S$2</f>
        <v>0</v>
      </c>
      <c r="T74" s="17">
        <f>-_xlfn.XLOOKUP($B74,TB_UAE!$A:$A,TB_UAE!V:V)*T$2</f>
        <v>0</v>
      </c>
      <c r="U74" s="17">
        <f>-_xlfn.XLOOKUP($B74,TB_UAE!$A:$A,TB_UAE!W:W)*U$2</f>
        <v>0</v>
      </c>
      <c r="V74" s="17">
        <f>-_xlfn.XLOOKUP($B74,TB_UAE!$A:$A,TB_UAE!X:X)*V$2</f>
        <v>0</v>
      </c>
      <c r="W74" s="17">
        <f>-_xlfn.XLOOKUP($B74,TB_UAE!$A:$A,TB_UAE!Y:Y)*W$2</f>
        <v>0</v>
      </c>
      <c r="X74" s="17">
        <f>-_xlfn.XLOOKUP($B74,TB_UAE!$A:$A,TB_UAE!Z:Z)*X$2</f>
        <v>0</v>
      </c>
      <c r="Y74" s="17">
        <f>-_xlfn.XLOOKUP($B74,TB_UAE!$A:$A,TB_UAE!AA:AA)*Y$2</f>
        <v>0</v>
      </c>
      <c r="Z74" s="17">
        <f>-_xlfn.XLOOKUP($B74,TB_UAE!$A:$A,TB_UAE!AB:AB)*Z$2</f>
        <v>0</v>
      </c>
      <c r="AA74" s="17">
        <f>-_xlfn.XLOOKUP($B74,TB_UAE!$A:$A,TB_UAE!AC:AC)*AA$2</f>
        <v>0</v>
      </c>
      <c r="AB74" s="17">
        <f>-_xlfn.XLOOKUP($B74,TB_UAE!$A:$A,TB_UAE!AD:AD)*AB$2</f>
        <v>0</v>
      </c>
      <c r="AC74" s="17">
        <f>-_xlfn.XLOOKUP($B74,TB_UAE!$A:$A,TB_UAE!AE:AE)*AC$2</f>
        <v>0</v>
      </c>
      <c r="AD74" s="17">
        <f>-_xlfn.XLOOKUP($B74,TB_UAE!$A:$A,TB_UAE!AF:AF)*AD$2</f>
        <v>0</v>
      </c>
      <c r="AE74" s="17">
        <f>-_xlfn.XLOOKUP($B74,TB_UAE!$A:$A,TB_UAE!AG:AG)*AE$2</f>
        <v>0</v>
      </c>
      <c r="AF74" s="17">
        <f>-_xlfn.XLOOKUP($B74,TB_UAE!$A:$A,TB_UAE!AH:AH)*AF$2</f>
        <v>0</v>
      </c>
      <c r="AG74" s="17">
        <f>-_xlfn.XLOOKUP($B74,TB_UAE!$A:$A,TB_UAE!AI:AI)*AG$2</f>
        <v>0</v>
      </c>
      <c r="AH74" s="17">
        <f>-_xlfn.XLOOKUP($B74,TB_UAE!$A:$A,TB_UAE!AJ:AJ)*AH$2</f>
        <v>0</v>
      </c>
      <c r="AI74" s="17">
        <f>-_xlfn.XLOOKUP($B74,TB_UAE!$A:$A,TB_UAE!AK:AK)*AI$2</f>
        <v>0</v>
      </c>
      <c r="AJ74" s="17">
        <f>-_xlfn.XLOOKUP($B74,TB_UAE!$A:$A,TB_UAE!AL:AL)*AJ$2</f>
        <v>0</v>
      </c>
      <c r="AK74" s="17">
        <f>-_xlfn.XLOOKUP($B74,TB_UAE!$A:$A,TB_UAE!AM:AM)*AK$2</f>
        <v>0</v>
      </c>
      <c r="AL74" s="17">
        <f>-_xlfn.XLOOKUP($B74,TB_UAE!$A:$A,TB_UAE!AN:AN)*AL$2</f>
        <v>0</v>
      </c>
      <c r="AM74" s="17">
        <f>-_xlfn.XLOOKUP($B74,TB_UAE!$A:$A,TB_UAE!AO:AO)*AM$2</f>
        <v>0</v>
      </c>
    </row>
    <row r="75" spans="2:46" x14ac:dyDescent="0.2">
      <c r="B75" s="21" t="s">
        <v>908</v>
      </c>
      <c r="C75" s="16" t="str">
        <f>_xlfn.XLOOKUP(B75,TB_UAE!A:A,TB_UAE!E:E)</f>
        <v>Advertising Expense</v>
      </c>
      <c r="D75" s="17">
        <f>-_xlfn.XLOOKUP($B75,TB_UAE!$A:$A,TB_UAE!F:F)*D$2</f>
        <v>0</v>
      </c>
      <c r="E75" s="17">
        <f>-_xlfn.XLOOKUP($B75,TB_UAE!$A:$A,TB_UAE!G:G)*E$2</f>
        <v>0</v>
      </c>
      <c r="F75" s="17">
        <f>-_xlfn.XLOOKUP($B75,TB_UAE!$A:$A,TB_UAE!H:H)*F$2</f>
        <v>0</v>
      </c>
      <c r="G75" s="17">
        <f>-_xlfn.XLOOKUP($B75,TB_UAE!$A:$A,TB_UAE!I:I)*G$2</f>
        <v>0</v>
      </c>
      <c r="H75" s="17">
        <f>-_xlfn.XLOOKUP($B75,TB_UAE!$A:$A,TB_UAE!J:J)*H$2</f>
        <v>0</v>
      </c>
      <c r="I75" s="17">
        <f>-_xlfn.XLOOKUP($B75,TB_UAE!$A:$A,TB_UAE!K:K)*I$2</f>
        <v>0</v>
      </c>
      <c r="J75" s="17">
        <f>-_xlfn.XLOOKUP($B75,TB_UAE!$A:$A,TB_UAE!L:L)*J$2</f>
        <v>0</v>
      </c>
      <c r="K75" s="17">
        <f>-_xlfn.XLOOKUP($B75,TB_UAE!$A:$A,TB_UAE!M:M)*K$2</f>
        <v>0</v>
      </c>
      <c r="L75" s="17">
        <f>-_xlfn.XLOOKUP($B75,TB_UAE!$A:$A,TB_UAE!N:N)*L$2</f>
        <v>0</v>
      </c>
      <c r="M75" s="17">
        <f>-_xlfn.XLOOKUP($B75,TB_UAE!$A:$A,TB_UAE!O:O)*M$2</f>
        <v>0</v>
      </c>
      <c r="N75" s="17">
        <f>-_xlfn.XLOOKUP($B75,TB_UAE!$A:$A,TB_UAE!P:P)*N$2</f>
        <v>0</v>
      </c>
      <c r="O75" s="17">
        <f>-_xlfn.XLOOKUP($B75,TB_UAE!$A:$A,TB_UAE!Q:Q)*O$2</f>
        <v>0</v>
      </c>
      <c r="P75" s="17">
        <f>-_xlfn.XLOOKUP($B75,TB_UAE!$A:$A,TB_UAE!R:R)*P$2</f>
        <v>0</v>
      </c>
      <c r="Q75" s="17">
        <f>-_xlfn.XLOOKUP($B75,TB_UAE!$A:$A,TB_UAE!S:S)*Q$2</f>
        <v>0</v>
      </c>
      <c r="R75" s="17">
        <f>-_xlfn.XLOOKUP($B75,TB_UAE!$A:$A,TB_UAE!T:T)*R$2</f>
        <v>0</v>
      </c>
      <c r="S75" s="17">
        <f>-_xlfn.XLOOKUP($B75,TB_UAE!$A:$A,TB_UAE!U:U)*S$2</f>
        <v>0</v>
      </c>
      <c r="T75" s="17">
        <f>-_xlfn.XLOOKUP($B75,TB_UAE!$A:$A,TB_UAE!V:V)*T$2</f>
        <v>0</v>
      </c>
      <c r="U75" s="17">
        <f>-_xlfn.XLOOKUP($B75,TB_UAE!$A:$A,TB_UAE!W:W)*U$2</f>
        <v>0</v>
      </c>
      <c r="V75" s="17">
        <f>-_xlfn.XLOOKUP($B75,TB_UAE!$A:$A,TB_UAE!X:X)*V$2</f>
        <v>0</v>
      </c>
      <c r="W75" s="17">
        <f>-_xlfn.XLOOKUP($B75,TB_UAE!$A:$A,TB_UAE!Y:Y)*W$2</f>
        <v>0</v>
      </c>
      <c r="X75" s="17">
        <f>-_xlfn.XLOOKUP($B75,TB_UAE!$A:$A,TB_UAE!Z:Z)*X$2</f>
        <v>0</v>
      </c>
      <c r="Y75" s="17">
        <f>-_xlfn.XLOOKUP($B75,TB_UAE!$A:$A,TB_UAE!AA:AA)*Y$2</f>
        <v>0</v>
      </c>
      <c r="Z75" s="17">
        <f>-_xlfn.XLOOKUP($B75,TB_UAE!$A:$A,TB_UAE!AB:AB)*Z$2</f>
        <v>0</v>
      </c>
      <c r="AA75" s="17">
        <f>-_xlfn.XLOOKUP($B75,TB_UAE!$A:$A,TB_UAE!AC:AC)*AA$2</f>
        <v>0</v>
      </c>
      <c r="AB75" s="17">
        <f>-_xlfn.XLOOKUP($B75,TB_UAE!$A:$A,TB_UAE!AD:AD)*AB$2</f>
        <v>0</v>
      </c>
      <c r="AC75" s="17">
        <f>-_xlfn.XLOOKUP($B75,TB_UAE!$A:$A,TB_UAE!AE:AE)*AC$2</f>
        <v>0</v>
      </c>
      <c r="AD75" s="17">
        <f>-_xlfn.XLOOKUP($B75,TB_UAE!$A:$A,TB_UAE!AF:AF)*AD$2</f>
        <v>0</v>
      </c>
      <c r="AE75" s="17">
        <f>-_xlfn.XLOOKUP($B75,TB_UAE!$A:$A,TB_UAE!AG:AG)*AE$2</f>
        <v>0</v>
      </c>
      <c r="AF75" s="17">
        <f>-_xlfn.XLOOKUP($B75,TB_UAE!$A:$A,TB_UAE!AH:AH)*AF$2</f>
        <v>0</v>
      </c>
      <c r="AG75" s="17">
        <f>-_xlfn.XLOOKUP($B75,TB_UAE!$A:$A,TB_UAE!AI:AI)*AG$2</f>
        <v>0</v>
      </c>
      <c r="AH75" s="17">
        <f>-_xlfn.XLOOKUP($B75,TB_UAE!$A:$A,TB_UAE!AJ:AJ)*AH$2</f>
        <v>0</v>
      </c>
      <c r="AI75" s="17">
        <f>-_xlfn.XLOOKUP($B75,TB_UAE!$A:$A,TB_UAE!AK:AK)*AI$2</f>
        <v>0</v>
      </c>
      <c r="AJ75" s="17">
        <f>-_xlfn.XLOOKUP($B75,TB_UAE!$A:$A,TB_UAE!AL:AL)*AJ$2</f>
        <v>0</v>
      </c>
      <c r="AK75" s="17">
        <f>-_xlfn.XLOOKUP($B75,TB_UAE!$A:$A,TB_UAE!AM:AM)*AK$2</f>
        <v>0</v>
      </c>
      <c r="AL75" s="17">
        <f>-_xlfn.XLOOKUP($B75,TB_UAE!$A:$A,TB_UAE!AN:AN)*AL$2</f>
        <v>0</v>
      </c>
      <c r="AM75" s="17">
        <f>-_xlfn.XLOOKUP($B75,TB_UAE!$A:$A,TB_UAE!AO:AO)*AM$2</f>
        <v>0</v>
      </c>
    </row>
    <row r="76" spans="2:46" x14ac:dyDescent="0.2">
      <c r="B76" s="21" t="s">
        <v>909</v>
      </c>
      <c r="C76" s="16" t="str">
        <f>_xlfn.XLOOKUP(B76,TB_UAE!A:A,TB_UAE!E:E)</f>
        <v>Sales Commission</v>
      </c>
      <c r="D76" s="17">
        <f>-_xlfn.XLOOKUP($B76,TB_UAE!$A:$A,TB_UAE!F:F)*D$2</f>
        <v>0</v>
      </c>
      <c r="E76" s="17">
        <f>-_xlfn.XLOOKUP($B76,TB_UAE!$A:$A,TB_UAE!G:G)*E$2</f>
        <v>0</v>
      </c>
      <c r="F76" s="17">
        <f>-_xlfn.XLOOKUP($B76,TB_UAE!$A:$A,TB_UAE!H:H)*F$2</f>
        <v>0</v>
      </c>
      <c r="G76" s="17">
        <f>-_xlfn.XLOOKUP($B76,TB_UAE!$A:$A,TB_UAE!I:I)*G$2</f>
        <v>0</v>
      </c>
      <c r="H76" s="17">
        <f>-_xlfn.XLOOKUP($B76,TB_UAE!$A:$A,TB_UAE!J:J)*H$2</f>
        <v>0</v>
      </c>
      <c r="I76" s="17">
        <f>-_xlfn.XLOOKUP($B76,TB_UAE!$A:$A,TB_UAE!K:K)*I$2</f>
        <v>0</v>
      </c>
      <c r="J76" s="17">
        <f>-_xlfn.XLOOKUP($B76,TB_UAE!$A:$A,TB_UAE!L:L)*J$2</f>
        <v>0</v>
      </c>
      <c r="K76" s="17">
        <f>-_xlfn.XLOOKUP($B76,TB_UAE!$A:$A,TB_UAE!M:M)*K$2</f>
        <v>0</v>
      </c>
      <c r="L76" s="17">
        <f>-_xlfn.XLOOKUP($B76,TB_UAE!$A:$A,TB_UAE!N:N)*L$2</f>
        <v>0</v>
      </c>
      <c r="M76" s="17">
        <f>-_xlfn.XLOOKUP($B76,TB_UAE!$A:$A,TB_UAE!O:O)*M$2</f>
        <v>0</v>
      </c>
      <c r="N76" s="17">
        <f>-_xlfn.XLOOKUP($B76,TB_UAE!$A:$A,TB_UAE!P:P)*N$2</f>
        <v>0</v>
      </c>
      <c r="O76" s="17">
        <f>-_xlfn.XLOOKUP($B76,TB_UAE!$A:$A,TB_UAE!Q:Q)*O$2</f>
        <v>0</v>
      </c>
      <c r="P76" s="17">
        <f>-_xlfn.XLOOKUP($B76,TB_UAE!$A:$A,TB_UAE!R:R)*P$2</f>
        <v>0</v>
      </c>
      <c r="Q76" s="17">
        <f>-_xlfn.XLOOKUP($B76,TB_UAE!$A:$A,TB_UAE!S:S)*Q$2</f>
        <v>0</v>
      </c>
      <c r="R76" s="17">
        <f>-_xlfn.XLOOKUP($B76,TB_UAE!$A:$A,TB_UAE!T:T)*R$2</f>
        <v>0</v>
      </c>
      <c r="S76" s="17">
        <f>-_xlfn.XLOOKUP($B76,TB_UAE!$A:$A,TB_UAE!U:U)*S$2</f>
        <v>0</v>
      </c>
      <c r="T76" s="17">
        <f>-_xlfn.XLOOKUP($B76,TB_UAE!$A:$A,TB_UAE!V:V)*T$2</f>
        <v>0</v>
      </c>
      <c r="U76" s="17">
        <f>-_xlfn.XLOOKUP($B76,TB_UAE!$A:$A,TB_UAE!W:W)*U$2</f>
        <v>0</v>
      </c>
      <c r="V76" s="17">
        <f>-_xlfn.XLOOKUP($B76,TB_UAE!$A:$A,TB_UAE!X:X)*V$2</f>
        <v>0</v>
      </c>
      <c r="W76" s="17">
        <f>-_xlfn.XLOOKUP($B76,TB_UAE!$A:$A,TB_UAE!Y:Y)*W$2</f>
        <v>0</v>
      </c>
      <c r="X76" s="17">
        <f>-_xlfn.XLOOKUP($B76,TB_UAE!$A:$A,TB_UAE!Z:Z)*X$2</f>
        <v>0</v>
      </c>
      <c r="Y76" s="17">
        <f>-_xlfn.XLOOKUP($B76,TB_UAE!$A:$A,TB_UAE!AA:AA)*Y$2</f>
        <v>0</v>
      </c>
      <c r="Z76" s="17">
        <f>-_xlfn.XLOOKUP($B76,TB_UAE!$A:$A,TB_UAE!AB:AB)*Z$2</f>
        <v>0</v>
      </c>
      <c r="AA76" s="17">
        <f>-_xlfn.XLOOKUP($B76,TB_UAE!$A:$A,TB_UAE!AC:AC)*AA$2</f>
        <v>0</v>
      </c>
      <c r="AB76" s="17">
        <f>-_xlfn.XLOOKUP($B76,TB_UAE!$A:$A,TB_UAE!AD:AD)*AB$2</f>
        <v>0</v>
      </c>
      <c r="AC76" s="17">
        <f>-_xlfn.XLOOKUP($B76,TB_UAE!$A:$A,TB_UAE!AE:AE)*AC$2</f>
        <v>0</v>
      </c>
      <c r="AD76" s="17">
        <f>-_xlfn.XLOOKUP($B76,TB_UAE!$A:$A,TB_UAE!AF:AF)*AD$2</f>
        <v>0</v>
      </c>
      <c r="AE76" s="17">
        <f>-_xlfn.XLOOKUP($B76,TB_UAE!$A:$A,TB_UAE!AG:AG)*AE$2</f>
        <v>0</v>
      </c>
      <c r="AF76" s="17">
        <f>-_xlfn.XLOOKUP($B76,TB_UAE!$A:$A,TB_UAE!AH:AH)*AF$2</f>
        <v>0</v>
      </c>
      <c r="AG76" s="17">
        <f>-_xlfn.XLOOKUP($B76,TB_UAE!$A:$A,TB_UAE!AI:AI)*AG$2</f>
        <v>0</v>
      </c>
      <c r="AH76" s="17">
        <f>-_xlfn.XLOOKUP($B76,TB_UAE!$A:$A,TB_UAE!AJ:AJ)*AH$2</f>
        <v>0</v>
      </c>
      <c r="AI76" s="17">
        <f>-_xlfn.XLOOKUP($B76,TB_UAE!$A:$A,TB_UAE!AK:AK)*AI$2</f>
        <v>0</v>
      </c>
      <c r="AJ76" s="17">
        <f>-_xlfn.XLOOKUP($B76,TB_UAE!$A:$A,TB_UAE!AL:AL)*AJ$2</f>
        <v>0</v>
      </c>
      <c r="AK76" s="17">
        <f>-_xlfn.XLOOKUP($B76,TB_UAE!$A:$A,TB_UAE!AM:AM)*AK$2</f>
        <v>0</v>
      </c>
      <c r="AL76" s="17">
        <f>-_xlfn.XLOOKUP($B76,TB_UAE!$A:$A,TB_UAE!AN:AN)*AL$2</f>
        <v>0</v>
      </c>
      <c r="AM76" s="17">
        <f>-_xlfn.XLOOKUP($B76,TB_UAE!$A:$A,TB_UAE!AO:AO)*AM$2</f>
        <v>0</v>
      </c>
    </row>
    <row r="77" spans="2:46" x14ac:dyDescent="0.2">
      <c r="B77" s="21"/>
      <c r="C77" s="1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</row>
    <row r="78" spans="2:46" x14ac:dyDescent="0.2">
      <c r="B78" s="21"/>
      <c r="C78" s="16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</row>
    <row r="79" spans="2:46" x14ac:dyDescent="0.2">
      <c r="B79" s="21"/>
      <c r="C79" s="16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</row>
    <row r="80" spans="2:46" x14ac:dyDescent="0.2">
      <c r="B80" s="21"/>
      <c r="C80" s="16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</row>
    <row r="81" spans="2:46" x14ac:dyDescent="0.2">
      <c r="B81" s="21"/>
      <c r="C81" s="22" t="s">
        <v>129</v>
      </c>
      <c r="D81" s="23">
        <f t="shared" ref="D81:AM81" si="10">SUM(D73:D80)</f>
        <v>0</v>
      </c>
      <c r="E81" s="23">
        <f t="shared" si="10"/>
        <v>-3156198.8</v>
      </c>
      <c r="F81" s="23">
        <f t="shared" si="10"/>
        <v>-5124052.96</v>
      </c>
      <c r="G81" s="23">
        <f t="shared" si="10"/>
        <v>0</v>
      </c>
      <c r="H81" s="23">
        <f t="shared" si="10"/>
        <v>0</v>
      </c>
      <c r="I81" s="23">
        <f t="shared" si="10"/>
        <v>0</v>
      </c>
      <c r="J81" s="23">
        <f t="shared" si="10"/>
        <v>0</v>
      </c>
      <c r="K81" s="23">
        <f t="shared" si="10"/>
        <v>0</v>
      </c>
      <c r="L81" s="23">
        <f t="shared" si="10"/>
        <v>0</v>
      </c>
      <c r="M81" s="23">
        <f t="shared" si="10"/>
        <v>0</v>
      </c>
      <c r="N81" s="23">
        <f t="shared" si="10"/>
        <v>-222188.2</v>
      </c>
      <c r="O81" s="23">
        <f t="shared" si="10"/>
        <v>0</v>
      </c>
      <c r="P81" s="23">
        <f t="shared" si="10"/>
        <v>0</v>
      </c>
      <c r="Q81" s="23">
        <f t="shared" si="10"/>
        <v>0</v>
      </c>
      <c r="R81" s="23">
        <f t="shared" si="10"/>
        <v>0</v>
      </c>
      <c r="S81" s="23">
        <f t="shared" si="10"/>
        <v>0</v>
      </c>
      <c r="T81" s="23">
        <f t="shared" si="10"/>
        <v>0</v>
      </c>
      <c r="U81" s="23">
        <f t="shared" si="10"/>
        <v>-1398415.11607</v>
      </c>
      <c r="V81" s="23">
        <f t="shared" si="10"/>
        <v>0</v>
      </c>
      <c r="W81" s="23">
        <f t="shared" si="10"/>
        <v>0</v>
      </c>
      <c r="X81" s="23">
        <f t="shared" si="10"/>
        <v>0</v>
      </c>
      <c r="Y81" s="23">
        <f t="shared" si="10"/>
        <v>0</v>
      </c>
      <c r="Z81" s="23">
        <f t="shared" si="10"/>
        <v>0</v>
      </c>
      <c r="AA81" s="23">
        <f>SUM(AA73:AA80)</f>
        <v>0</v>
      </c>
      <c r="AB81" s="23">
        <f t="shared" si="10"/>
        <v>0</v>
      </c>
      <c r="AC81" s="23">
        <f t="shared" si="10"/>
        <v>0</v>
      </c>
      <c r="AD81" s="23">
        <f t="shared" si="10"/>
        <v>0</v>
      </c>
      <c r="AE81" s="23">
        <f t="shared" si="10"/>
        <v>0</v>
      </c>
      <c r="AF81" s="23">
        <f t="shared" si="10"/>
        <v>0</v>
      </c>
      <c r="AG81" s="23">
        <f t="shared" si="10"/>
        <v>0</v>
      </c>
      <c r="AH81" s="23">
        <f t="shared" si="10"/>
        <v>0</v>
      </c>
      <c r="AI81" s="23">
        <f t="shared" si="10"/>
        <v>0</v>
      </c>
      <c r="AJ81" s="23">
        <f t="shared" si="10"/>
        <v>0</v>
      </c>
      <c r="AK81" s="23">
        <f t="shared" si="10"/>
        <v>0</v>
      </c>
      <c r="AL81" s="23">
        <f t="shared" si="10"/>
        <v>0</v>
      </c>
      <c r="AM81" s="23">
        <f t="shared" si="10"/>
        <v>0</v>
      </c>
      <c r="AS81" s="23">
        <f>SUM(D81:O81)</f>
        <v>-8502439.959999999</v>
      </c>
      <c r="AT81" s="23">
        <f>SUM(P81:AA81)</f>
        <v>-1398415.11607</v>
      </c>
    </row>
    <row r="82" spans="2:46" x14ac:dyDescent="0.2">
      <c r="B82" s="21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8"/>
    </row>
    <row r="83" spans="2:46" x14ac:dyDescent="0.2">
      <c r="B83" s="21"/>
      <c r="C83" s="20" t="s">
        <v>133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8"/>
    </row>
    <row r="84" spans="2:46" x14ac:dyDescent="0.2">
      <c r="B84" s="21" t="s">
        <v>910</v>
      </c>
      <c r="C84" s="16" t="str">
        <f>_xlfn.XLOOKUP(B84,TB_UAE!A:A,TB_UAE!E:E)</f>
        <v>Transportation</v>
      </c>
      <c r="D84" s="17">
        <f>-_xlfn.XLOOKUP($C84,TB_UAE!$E:$E,TB_UAE!F:F)*D$2</f>
        <v>0</v>
      </c>
      <c r="E84" s="17">
        <f>-_xlfn.XLOOKUP($C84,TB_UAE!$E:$E,TB_UAE!G:G)*E$2</f>
        <v>0</v>
      </c>
      <c r="F84" s="17">
        <f>-_xlfn.XLOOKUP($C84,TB_UAE!$E:$E,TB_UAE!H:H)*F$2</f>
        <v>0</v>
      </c>
      <c r="G84" s="17">
        <f>-_xlfn.XLOOKUP($C84,TB_UAE!$E:$E,TB_UAE!I:I)*G$2</f>
        <v>0</v>
      </c>
      <c r="H84" s="17">
        <f>-_xlfn.XLOOKUP($C84,TB_UAE!$E:$E,TB_UAE!J:J)*H$2</f>
        <v>0</v>
      </c>
      <c r="I84" s="17">
        <f>-_xlfn.XLOOKUP($C84,TB_UAE!$E:$E,TB_UAE!K:K)*I$2</f>
        <v>0</v>
      </c>
      <c r="J84" s="17">
        <f>-_xlfn.XLOOKUP($C84,TB_UAE!$E:$E,TB_UAE!L:L)*J$2</f>
        <v>0</v>
      </c>
      <c r="K84" s="17">
        <f>-_xlfn.XLOOKUP($C84,TB_UAE!$E:$E,TB_UAE!M:M)*K$2</f>
        <v>0</v>
      </c>
      <c r="L84" s="17">
        <f>-_xlfn.XLOOKUP($C84,TB_UAE!$E:$E,TB_UAE!N:N)*L$2</f>
        <v>0</v>
      </c>
      <c r="M84" s="17">
        <f>-_xlfn.XLOOKUP($C84,TB_UAE!$E:$E,TB_UAE!O:O)*M$2</f>
        <v>0</v>
      </c>
      <c r="N84" s="17">
        <f>-_xlfn.XLOOKUP($C84,TB_UAE!$E:$E,TB_UAE!P:P)*N$2</f>
        <v>0</v>
      </c>
      <c r="O84" s="17">
        <f>-_xlfn.XLOOKUP($C84,TB_UAE!$E:$E,TB_UAE!Q:Q)*O$2</f>
        <v>0</v>
      </c>
      <c r="P84" s="17">
        <f>-_xlfn.XLOOKUP($C84,TB_UAE!$E:$E,TB_UAE!R:R)*P$2</f>
        <v>0</v>
      </c>
      <c r="Q84" s="17">
        <f>-_xlfn.XLOOKUP($C84,TB_UAE!$E:$E,TB_UAE!S:S)*Q$2</f>
        <v>0</v>
      </c>
      <c r="R84" s="17">
        <f>-_xlfn.XLOOKUP($C84,TB_UAE!$E:$E,TB_UAE!T:T)*R$2</f>
        <v>0</v>
      </c>
      <c r="S84" s="17">
        <f>-_xlfn.XLOOKUP($C84,TB_UAE!$E:$E,TB_UAE!U:U)*S$2</f>
        <v>0</v>
      </c>
      <c r="T84" s="17">
        <f>-_xlfn.XLOOKUP($C84,TB_UAE!$E:$E,TB_UAE!V:V)*T$2</f>
        <v>0</v>
      </c>
      <c r="U84" s="17">
        <f>-_xlfn.XLOOKUP($C84,TB_UAE!$E:$E,TB_UAE!W:W)*U$2</f>
        <v>0</v>
      </c>
      <c r="V84" s="17">
        <f>-_xlfn.XLOOKUP($C84,TB_UAE!$E:$E,TB_UAE!X:X)*V$2</f>
        <v>0</v>
      </c>
      <c r="W84" s="17">
        <f>-_xlfn.XLOOKUP($C84,TB_UAE!$E:$E,TB_UAE!Y:Y)*W$2</f>
        <v>0</v>
      </c>
      <c r="X84" s="17">
        <f>-_xlfn.XLOOKUP($C84,TB_UAE!$E:$E,TB_UAE!Z:Z)*X$2</f>
        <v>0</v>
      </c>
      <c r="Y84" s="17">
        <f>-_xlfn.XLOOKUP($C84,TB_UAE!$E:$E,TB_UAE!AA:AA)*Y$2</f>
        <v>0</v>
      </c>
      <c r="Z84" s="17">
        <f>-_xlfn.XLOOKUP($C84,TB_UAE!$E:$E,TB_UAE!AB:AB)*Z$2</f>
        <v>0</v>
      </c>
      <c r="AA84" s="17">
        <f>-_xlfn.XLOOKUP($C84,TB_UAE!$E:$E,TB_UAE!AC:AC)*AA$2</f>
        <v>0</v>
      </c>
      <c r="AB84" s="17">
        <f>-_xlfn.XLOOKUP($C84,TB_UAE!$E:$E,TB_UAE!AD:AD)*AB$2</f>
        <v>0</v>
      </c>
      <c r="AC84" s="17">
        <f>-_xlfn.XLOOKUP($C84,TB_UAE!$E:$E,TB_UAE!AE:AE)*AC$2</f>
        <v>0</v>
      </c>
      <c r="AD84" s="17">
        <f>-_xlfn.XLOOKUP($C84,TB_UAE!$E:$E,TB_UAE!AF:AF)*AD$2</f>
        <v>0</v>
      </c>
      <c r="AE84" s="17">
        <f>-_xlfn.XLOOKUP($C84,TB_UAE!$E:$E,TB_UAE!AG:AG)*AE$2</f>
        <v>0</v>
      </c>
      <c r="AF84" s="17">
        <f>-_xlfn.XLOOKUP($C84,TB_UAE!$E:$E,TB_UAE!AH:AH)*AF$2</f>
        <v>0</v>
      </c>
      <c r="AG84" s="17">
        <f>-_xlfn.XLOOKUP($C84,TB_UAE!$E:$E,TB_UAE!AI:AI)*AG$2</f>
        <v>0</v>
      </c>
      <c r="AH84" s="17">
        <f>-_xlfn.XLOOKUP($C84,TB_UAE!$E:$E,TB_UAE!AJ:AJ)*AH$2</f>
        <v>0</v>
      </c>
      <c r="AI84" s="17">
        <f>-_xlfn.XLOOKUP($C84,TB_UAE!$E:$E,TB_UAE!AK:AK)*AI$2</f>
        <v>0</v>
      </c>
      <c r="AJ84" s="17">
        <f>-_xlfn.XLOOKUP($C84,TB_UAE!$E:$E,TB_UAE!AL:AL)*AJ$2</f>
        <v>0</v>
      </c>
      <c r="AK84" s="17">
        <f>-_xlfn.XLOOKUP($C84,TB_UAE!$E:$E,TB_UAE!AM:AM)*AK$2</f>
        <v>0</v>
      </c>
      <c r="AL84" s="17">
        <f>-_xlfn.XLOOKUP($C84,TB_UAE!$E:$E,TB_UAE!AN:AN)*AL$2</f>
        <v>0</v>
      </c>
      <c r="AM84" s="17">
        <f>-_xlfn.XLOOKUP($C84,TB_UAE!$E:$E,TB_UAE!AO:AO)*AM$2</f>
        <v>0</v>
      </c>
    </row>
    <row r="85" spans="2:46" x14ac:dyDescent="0.2">
      <c r="B85" s="21" t="s">
        <v>911</v>
      </c>
      <c r="C85" s="16" t="str">
        <f>_xlfn.XLOOKUP(B85,TB_UAE!A:A,TB_UAE!E:E)</f>
        <v>Travel</v>
      </c>
      <c r="D85" s="17">
        <f>-_xlfn.XLOOKUP($C85,TB_UAE!$E:$E,TB_UAE!F:F)*D$2</f>
        <v>0</v>
      </c>
      <c r="E85" s="17">
        <f>-_xlfn.XLOOKUP($C85,TB_UAE!$E:$E,TB_UAE!G:G)*E$2</f>
        <v>0</v>
      </c>
      <c r="F85" s="17">
        <f>-_xlfn.XLOOKUP($C85,TB_UAE!$E:$E,TB_UAE!H:H)*F$2</f>
        <v>0</v>
      </c>
      <c r="G85" s="17">
        <f>-_xlfn.XLOOKUP($C85,TB_UAE!$E:$E,TB_UAE!I:I)*G$2</f>
        <v>0</v>
      </c>
      <c r="H85" s="17">
        <f>-_xlfn.XLOOKUP($C85,TB_UAE!$E:$E,TB_UAE!J:J)*H$2</f>
        <v>0</v>
      </c>
      <c r="I85" s="17">
        <f>-_xlfn.XLOOKUP($C85,TB_UAE!$E:$E,TB_UAE!K:K)*I$2</f>
        <v>0</v>
      </c>
      <c r="J85" s="17">
        <f>-_xlfn.XLOOKUP($C85,TB_UAE!$E:$E,TB_UAE!L:L)*J$2</f>
        <v>0</v>
      </c>
      <c r="K85" s="17">
        <f>-_xlfn.XLOOKUP($C85,TB_UAE!$E:$E,TB_UAE!M:M)*K$2</f>
        <v>0</v>
      </c>
      <c r="L85" s="17">
        <f>-_xlfn.XLOOKUP($C85,TB_UAE!$E:$E,TB_UAE!N:N)*L$2</f>
        <v>0</v>
      </c>
      <c r="M85" s="17">
        <f>-_xlfn.XLOOKUP($C85,TB_UAE!$E:$E,TB_UAE!O:O)*M$2</f>
        <v>0</v>
      </c>
      <c r="N85" s="17">
        <f>-_xlfn.XLOOKUP($C85,TB_UAE!$E:$E,TB_UAE!P:P)*N$2</f>
        <v>0</v>
      </c>
      <c r="O85" s="17">
        <f>-_xlfn.XLOOKUP($C85,TB_UAE!$E:$E,TB_UAE!Q:Q)*O$2</f>
        <v>0</v>
      </c>
      <c r="P85" s="17">
        <f>-_xlfn.XLOOKUP($C85,TB_UAE!$E:$E,TB_UAE!R:R)*P$2</f>
        <v>0</v>
      </c>
      <c r="Q85" s="17">
        <f>-_xlfn.XLOOKUP($C85,TB_UAE!$E:$E,TB_UAE!S:S)*Q$2</f>
        <v>0</v>
      </c>
      <c r="R85" s="17">
        <f>-_xlfn.XLOOKUP($C85,TB_UAE!$E:$E,TB_UAE!T:T)*R$2</f>
        <v>0</v>
      </c>
      <c r="S85" s="17">
        <f>-_xlfn.XLOOKUP($C85,TB_UAE!$E:$E,TB_UAE!U:U)*S$2</f>
        <v>0</v>
      </c>
      <c r="T85" s="17">
        <f>-_xlfn.XLOOKUP($C85,TB_UAE!$E:$E,TB_UAE!V:V)*T$2</f>
        <v>0</v>
      </c>
      <c r="U85" s="17">
        <f>-_xlfn.XLOOKUP($C85,TB_UAE!$E:$E,TB_UAE!W:W)*U$2</f>
        <v>0</v>
      </c>
      <c r="V85" s="17">
        <f>-_xlfn.XLOOKUP($C85,TB_UAE!$E:$E,TB_UAE!X:X)*V$2</f>
        <v>0</v>
      </c>
      <c r="W85" s="17">
        <f>-_xlfn.XLOOKUP($C85,TB_UAE!$E:$E,TB_UAE!Y:Y)*W$2</f>
        <v>0</v>
      </c>
      <c r="X85" s="17">
        <f>-_xlfn.XLOOKUP($C85,TB_UAE!$E:$E,TB_UAE!Z:Z)*X$2</f>
        <v>0</v>
      </c>
      <c r="Y85" s="17">
        <f>-_xlfn.XLOOKUP($C85,TB_UAE!$E:$E,TB_UAE!AA:AA)*Y$2</f>
        <v>0</v>
      </c>
      <c r="Z85" s="17">
        <f>-_xlfn.XLOOKUP($C85,TB_UAE!$E:$E,TB_UAE!AB:AB)*Z$2</f>
        <v>0</v>
      </c>
      <c r="AA85" s="17">
        <f>-_xlfn.XLOOKUP($C85,TB_UAE!$E:$E,TB_UAE!AC:AC)*AA$2</f>
        <v>0</v>
      </c>
      <c r="AB85" s="17">
        <f>-_xlfn.XLOOKUP($C85,TB_UAE!$E:$E,TB_UAE!AD:AD)*AB$2</f>
        <v>0</v>
      </c>
      <c r="AC85" s="17">
        <f>-_xlfn.XLOOKUP($C85,TB_UAE!$E:$E,TB_UAE!AE:AE)*AC$2</f>
        <v>0</v>
      </c>
      <c r="AD85" s="17">
        <f>-_xlfn.XLOOKUP($C85,TB_UAE!$E:$E,TB_UAE!AF:AF)*AD$2</f>
        <v>0</v>
      </c>
      <c r="AE85" s="17">
        <f>-_xlfn.XLOOKUP($C85,TB_UAE!$E:$E,TB_UAE!AG:AG)*AE$2</f>
        <v>0</v>
      </c>
      <c r="AF85" s="17">
        <f>-_xlfn.XLOOKUP($C85,TB_UAE!$E:$E,TB_UAE!AH:AH)*AF$2</f>
        <v>0</v>
      </c>
      <c r="AG85" s="17">
        <f>-_xlfn.XLOOKUP($C85,TB_UAE!$E:$E,TB_UAE!AI:AI)*AG$2</f>
        <v>0</v>
      </c>
      <c r="AH85" s="17">
        <f>-_xlfn.XLOOKUP($C85,TB_UAE!$E:$E,TB_UAE!AJ:AJ)*AH$2</f>
        <v>0</v>
      </c>
      <c r="AI85" s="17">
        <f>-_xlfn.XLOOKUP($C85,TB_UAE!$E:$E,TB_UAE!AK:AK)*AI$2</f>
        <v>0</v>
      </c>
      <c r="AJ85" s="17">
        <f>-_xlfn.XLOOKUP($C85,TB_UAE!$E:$E,TB_UAE!AL:AL)*AJ$2</f>
        <v>0</v>
      </c>
      <c r="AK85" s="17">
        <f>-_xlfn.XLOOKUP($C85,TB_UAE!$E:$E,TB_UAE!AM:AM)*AK$2</f>
        <v>0</v>
      </c>
      <c r="AL85" s="17">
        <f>-_xlfn.XLOOKUP($C85,TB_UAE!$E:$E,TB_UAE!AN:AN)*AL$2</f>
        <v>0</v>
      </c>
      <c r="AM85" s="17">
        <f>-_xlfn.XLOOKUP($C85,TB_UAE!$E:$E,TB_UAE!AO:AO)*AM$2</f>
        <v>0</v>
      </c>
    </row>
    <row r="86" spans="2:46" x14ac:dyDescent="0.2">
      <c r="B86" s="21"/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</row>
    <row r="87" spans="2:46" x14ac:dyDescent="0.2">
      <c r="B87" s="21"/>
      <c r="C87" s="16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</row>
    <row r="88" spans="2:46" x14ac:dyDescent="0.2">
      <c r="B88" s="21"/>
      <c r="C88" s="22" t="s">
        <v>134</v>
      </c>
      <c r="D88" s="23">
        <f>SUM(D84:D87)</f>
        <v>0</v>
      </c>
      <c r="E88" s="23">
        <f t="shared" ref="E88:AM88" si="11">SUM(E84:E87)</f>
        <v>0</v>
      </c>
      <c r="F88" s="23">
        <f t="shared" si="11"/>
        <v>0</v>
      </c>
      <c r="G88" s="23">
        <f t="shared" si="11"/>
        <v>0</v>
      </c>
      <c r="H88" s="23">
        <f t="shared" si="11"/>
        <v>0</v>
      </c>
      <c r="I88" s="23">
        <f t="shared" si="11"/>
        <v>0</v>
      </c>
      <c r="J88" s="23">
        <f t="shared" si="11"/>
        <v>0</v>
      </c>
      <c r="K88" s="23">
        <f t="shared" si="11"/>
        <v>0</v>
      </c>
      <c r="L88" s="23">
        <f t="shared" si="11"/>
        <v>0</v>
      </c>
      <c r="M88" s="23">
        <f t="shared" si="11"/>
        <v>0</v>
      </c>
      <c r="N88" s="23">
        <f t="shared" si="11"/>
        <v>0</v>
      </c>
      <c r="O88" s="23">
        <f t="shared" si="11"/>
        <v>0</v>
      </c>
      <c r="P88" s="23">
        <f t="shared" si="11"/>
        <v>0</v>
      </c>
      <c r="Q88" s="23">
        <f t="shared" si="11"/>
        <v>0</v>
      </c>
      <c r="R88" s="23">
        <f t="shared" si="11"/>
        <v>0</v>
      </c>
      <c r="S88" s="23">
        <f t="shared" si="11"/>
        <v>0</v>
      </c>
      <c r="T88" s="23">
        <f t="shared" si="11"/>
        <v>0</v>
      </c>
      <c r="U88" s="23">
        <f t="shared" si="11"/>
        <v>0</v>
      </c>
      <c r="V88" s="23">
        <f t="shared" si="11"/>
        <v>0</v>
      </c>
      <c r="W88" s="23">
        <f t="shared" si="11"/>
        <v>0</v>
      </c>
      <c r="X88" s="23">
        <f t="shared" si="11"/>
        <v>0</v>
      </c>
      <c r="Y88" s="23">
        <f t="shared" si="11"/>
        <v>0</v>
      </c>
      <c r="Z88" s="23">
        <f t="shared" si="11"/>
        <v>0</v>
      </c>
      <c r="AA88" s="23">
        <f>SUM(AA84:AA87)</f>
        <v>0</v>
      </c>
      <c r="AB88" s="23">
        <f t="shared" si="11"/>
        <v>0</v>
      </c>
      <c r="AC88" s="23">
        <f t="shared" si="11"/>
        <v>0</v>
      </c>
      <c r="AD88" s="23">
        <f t="shared" si="11"/>
        <v>0</v>
      </c>
      <c r="AE88" s="23">
        <f t="shared" si="11"/>
        <v>0</v>
      </c>
      <c r="AF88" s="23">
        <f t="shared" si="11"/>
        <v>0</v>
      </c>
      <c r="AG88" s="23">
        <f t="shared" si="11"/>
        <v>0</v>
      </c>
      <c r="AH88" s="23">
        <f t="shared" si="11"/>
        <v>0</v>
      </c>
      <c r="AI88" s="23">
        <f t="shared" si="11"/>
        <v>0</v>
      </c>
      <c r="AJ88" s="23">
        <f t="shared" si="11"/>
        <v>0</v>
      </c>
      <c r="AK88" s="23">
        <f t="shared" si="11"/>
        <v>0</v>
      </c>
      <c r="AL88" s="23">
        <f t="shared" si="11"/>
        <v>0</v>
      </c>
      <c r="AM88" s="23">
        <f t="shared" si="11"/>
        <v>0</v>
      </c>
      <c r="AS88" s="23">
        <f>SUM(D88:O88)</f>
        <v>0</v>
      </c>
      <c r="AT88" s="23">
        <f>SUM(P88:AA88)</f>
        <v>0</v>
      </c>
    </row>
    <row r="89" spans="2:46" x14ac:dyDescent="0.2">
      <c r="B89" s="21"/>
      <c r="C89" s="16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8"/>
    </row>
    <row r="90" spans="2:46" x14ac:dyDescent="0.2">
      <c r="B90" s="21"/>
      <c r="C90" s="20" t="s">
        <v>135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8"/>
    </row>
    <row r="91" spans="2:46" x14ac:dyDescent="0.2">
      <c r="B91" s="21" t="s">
        <v>912</v>
      </c>
      <c r="C91" s="16" t="str">
        <f>_xlfn.XLOOKUP(B91,TB_UAE!A:A,TB_UAE!E:E)</f>
        <v>Insurance - General</v>
      </c>
      <c r="D91" s="17">
        <f>-_xlfn.XLOOKUP($C91,TB_UAE!$E:$E,TB_UAE!F:F)*D$2</f>
        <v>0</v>
      </c>
      <c r="E91" s="17">
        <f>-_xlfn.XLOOKUP($C91,TB_UAE!$E:$E,TB_UAE!G:G)*E$2</f>
        <v>0</v>
      </c>
      <c r="F91" s="17">
        <f>-_xlfn.XLOOKUP($C91,TB_UAE!$E:$E,TB_UAE!H:H)*F$2</f>
        <v>0</v>
      </c>
      <c r="G91" s="17">
        <f>-_xlfn.XLOOKUP($C91,TB_UAE!$E:$E,TB_UAE!I:I)*G$2</f>
        <v>0</v>
      </c>
      <c r="H91" s="17">
        <f>-_xlfn.XLOOKUP($C91,TB_UAE!$E:$E,TB_UAE!J:J)*H$2</f>
        <v>0</v>
      </c>
      <c r="I91" s="17">
        <f>-_xlfn.XLOOKUP($C91,TB_UAE!$E:$E,TB_UAE!K:K)*I$2</f>
        <v>0</v>
      </c>
      <c r="J91" s="17">
        <f>-_xlfn.XLOOKUP($C91,TB_UAE!$E:$E,TB_UAE!L:L)*J$2</f>
        <v>0</v>
      </c>
      <c r="K91" s="17">
        <f>-_xlfn.XLOOKUP($C91,TB_UAE!$E:$E,TB_UAE!M:M)*K$2</f>
        <v>0</v>
      </c>
      <c r="L91" s="17">
        <f>-_xlfn.XLOOKUP($C91,TB_UAE!$E:$E,TB_UAE!N:N)*L$2</f>
        <v>0</v>
      </c>
      <c r="M91" s="17">
        <f>-_xlfn.XLOOKUP($C91,TB_UAE!$E:$E,TB_UAE!O:O)*M$2</f>
        <v>0</v>
      </c>
      <c r="N91" s="17">
        <f>-_xlfn.XLOOKUP($C91,TB_UAE!$E:$E,TB_UAE!P:P)*N$2</f>
        <v>0</v>
      </c>
      <c r="O91" s="17">
        <f>-_xlfn.XLOOKUP($C91,TB_UAE!$E:$E,TB_UAE!Q:Q)*O$2</f>
        <v>0</v>
      </c>
      <c r="P91" s="17">
        <f>-_xlfn.XLOOKUP($C91,TB_UAE!$E:$E,TB_UAE!R:R)*P$2</f>
        <v>0</v>
      </c>
      <c r="Q91" s="17">
        <f>-_xlfn.XLOOKUP($C91,TB_UAE!$E:$E,TB_UAE!S:S)*Q$2</f>
        <v>0</v>
      </c>
      <c r="R91" s="17">
        <f>-_xlfn.XLOOKUP($C91,TB_UAE!$E:$E,TB_UAE!T:T)*R$2</f>
        <v>0</v>
      </c>
      <c r="S91" s="17">
        <f>-_xlfn.XLOOKUP($C91,TB_UAE!$E:$E,TB_UAE!U:U)*S$2</f>
        <v>0</v>
      </c>
      <c r="T91" s="17">
        <f>-_xlfn.XLOOKUP($C91,TB_UAE!$E:$E,TB_UAE!V:V)*T$2</f>
        <v>0</v>
      </c>
      <c r="U91" s="17">
        <f>-_xlfn.XLOOKUP($C91,TB_UAE!$E:$E,TB_UAE!W:W)*U$2</f>
        <v>0</v>
      </c>
      <c r="V91" s="17">
        <f>-_xlfn.XLOOKUP($C91,TB_UAE!$E:$E,TB_UAE!X:X)*V$2</f>
        <v>0</v>
      </c>
      <c r="W91" s="17">
        <f>-_xlfn.XLOOKUP($C91,TB_UAE!$E:$E,TB_UAE!Y:Y)*W$2</f>
        <v>0</v>
      </c>
      <c r="X91" s="17">
        <f>-_xlfn.XLOOKUP($C91,TB_UAE!$E:$E,TB_UAE!Z:Z)*X$2</f>
        <v>0</v>
      </c>
      <c r="Y91" s="17">
        <f>-_xlfn.XLOOKUP($C91,TB_UAE!$E:$E,TB_UAE!AA:AA)*Y$2</f>
        <v>0</v>
      </c>
      <c r="Z91" s="17">
        <f>-_xlfn.XLOOKUP($C91,TB_UAE!$E:$E,TB_UAE!AB:AB)*Z$2</f>
        <v>0</v>
      </c>
      <c r="AA91" s="17">
        <f>-_xlfn.XLOOKUP($C91,TB_UAE!$E:$E,TB_UAE!AC:AC)*AA$2</f>
        <v>0</v>
      </c>
      <c r="AB91" s="17">
        <f>-_xlfn.XLOOKUP($C91,TB_UAE!$E:$E,TB_UAE!AD:AD)*AB$2</f>
        <v>0</v>
      </c>
      <c r="AC91" s="17">
        <f>-_xlfn.XLOOKUP($C91,TB_UAE!$E:$E,TB_UAE!AE:AE)*AC$2</f>
        <v>0</v>
      </c>
      <c r="AD91" s="17">
        <f>-_xlfn.XLOOKUP($C91,TB_UAE!$E:$E,TB_UAE!AF:AF)*AD$2</f>
        <v>0</v>
      </c>
      <c r="AE91" s="17">
        <f>-_xlfn.XLOOKUP($C91,TB_UAE!$E:$E,TB_UAE!AG:AG)*AE$2</f>
        <v>0</v>
      </c>
      <c r="AF91" s="17">
        <f>-_xlfn.XLOOKUP($C91,TB_UAE!$E:$E,TB_UAE!AH:AH)*AF$2</f>
        <v>0</v>
      </c>
      <c r="AG91" s="17">
        <f>-_xlfn.XLOOKUP($C91,TB_UAE!$E:$E,TB_UAE!AI:AI)*AG$2</f>
        <v>0</v>
      </c>
      <c r="AH91" s="17">
        <f>-_xlfn.XLOOKUP($C91,TB_UAE!$E:$E,TB_UAE!AJ:AJ)*AH$2</f>
        <v>0</v>
      </c>
      <c r="AI91" s="17">
        <f>-_xlfn.XLOOKUP($C91,TB_UAE!$E:$E,TB_UAE!AK:AK)*AI$2</f>
        <v>0</v>
      </c>
      <c r="AJ91" s="17">
        <f>-_xlfn.XLOOKUP($C91,TB_UAE!$E:$E,TB_UAE!AL:AL)*AJ$2</f>
        <v>0</v>
      </c>
      <c r="AK91" s="17">
        <f>-_xlfn.XLOOKUP($C91,TB_UAE!$E:$E,TB_UAE!AM:AM)*AK$2</f>
        <v>0</v>
      </c>
      <c r="AL91" s="17">
        <f>-_xlfn.XLOOKUP($C91,TB_UAE!$E:$E,TB_UAE!AN:AN)*AL$2</f>
        <v>0</v>
      </c>
      <c r="AM91" s="17">
        <f>-_xlfn.XLOOKUP($C91,TB_UAE!$E:$E,TB_UAE!AO:AO)*AM$2</f>
        <v>0</v>
      </c>
    </row>
    <row r="92" spans="2:46" x14ac:dyDescent="0.2">
      <c r="B92" s="21" t="s">
        <v>913</v>
      </c>
      <c r="C92" s="16" t="str">
        <f>_xlfn.XLOOKUP(B92,TB_UAE!A:A,TB_UAE!E:E)</f>
        <v>Insurance Expense</v>
      </c>
      <c r="D92" s="17">
        <f>-_xlfn.XLOOKUP($C92,TB_UAE!$E:$E,TB_UAE!F:F)*D$2</f>
        <v>0</v>
      </c>
      <c r="E92" s="17">
        <f>-_xlfn.XLOOKUP($C92,TB_UAE!$E:$E,TB_UAE!G:G)*E$2</f>
        <v>0</v>
      </c>
      <c r="F92" s="17">
        <f>-_xlfn.XLOOKUP($C92,TB_UAE!$E:$E,TB_UAE!H:H)*F$2</f>
        <v>0</v>
      </c>
      <c r="G92" s="17">
        <f>-_xlfn.XLOOKUP($C92,TB_UAE!$E:$E,TB_UAE!I:I)*G$2</f>
        <v>0</v>
      </c>
      <c r="H92" s="17">
        <f>-_xlfn.XLOOKUP($C92,TB_UAE!$E:$E,TB_UAE!J:J)*H$2</f>
        <v>0</v>
      </c>
      <c r="I92" s="17">
        <f>-_xlfn.XLOOKUP($C92,TB_UAE!$E:$E,TB_UAE!K:K)*I$2</f>
        <v>0</v>
      </c>
      <c r="J92" s="17">
        <f>-_xlfn.XLOOKUP($C92,TB_UAE!$E:$E,TB_UAE!L:L)*J$2</f>
        <v>0</v>
      </c>
      <c r="K92" s="17">
        <f>-_xlfn.XLOOKUP($C92,TB_UAE!$E:$E,TB_UAE!M:M)*K$2</f>
        <v>0</v>
      </c>
      <c r="L92" s="17">
        <f>-_xlfn.XLOOKUP($C92,TB_UAE!$E:$E,TB_UAE!N:N)*L$2</f>
        <v>0</v>
      </c>
      <c r="M92" s="17">
        <f>-_xlfn.XLOOKUP($C92,TB_UAE!$E:$E,TB_UAE!O:O)*M$2</f>
        <v>0</v>
      </c>
      <c r="N92" s="17">
        <f>-_xlfn.XLOOKUP($C92,TB_UAE!$E:$E,TB_UAE!P:P)*N$2</f>
        <v>0</v>
      </c>
      <c r="O92" s="17">
        <f>-_xlfn.XLOOKUP($C92,TB_UAE!$E:$E,TB_UAE!Q:Q)*O$2</f>
        <v>0</v>
      </c>
      <c r="P92" s="17">
        <f>-_xlfn.XLOOKUP($C92,TB_UAE!$E:$E,TB_UAE!R:R)*P$2</f>
        <v>0</v>
      </c>
      <c r="Q92" s="17">
        <f>-_xlfn.XLOOKUP($C92,TB_UAE!$E:$E,TB_UAE!S:S)*Q$2</f>
        <v>0</v>
      </c>
      <c r="R92" s="17">
        <f>-_xlfn.XLOOKUP($C92,TB_UAE!$E:$E,TB_UAE!T:T)*R$2</f>
        <v>0</v>
      </c>
      <c r="S92" s="17">
        <f>-_xlfn.XLOOKUP($C92,TB_UAE!$E:$E,TB_UAE!U:U)*S$2</f>
        <v>0</v>
      </c>
      <c r="T92" s="17">
        <f>-_xlfn.XLOOKUP($C92,TB_UAE!$E:$E,TB_UAE!V:V)*T$2</f>
        <v>0</v>
      </c>
      <c r="U92" s="17">
        <f>-_xlfn.XLOOKUP($C92,TB_UAE!$E:$E,TB_UAE!W:W)*U$2</f>
        <v>0</v>
      </c>
      <c r="V92" s="17">
        <f>-_xlfn.XLOOKUP($C92,TB_UAE!$E:$E,TB_UAE!X:X)*V$2</f>
        <v>0</v>
      </c>
      <c r="W92" s="17">
        <f>-_xlfn.XLOOKUP($C92,TB_UAE!$E:$E,TB_UAE!Y:Y)*W$2</f>
        <v>0</v>
      </c>
      <c r="X92" s="17">
        <f>-_xlfn.XLOOKUP($C92,TB_UAE!$E:$E,TB_UAE!Z:Z)*X$2</f>
        <v>0</v>
      </c>
      <c r="Y92" s="17">
        <f>-_xlfn.XLOOKUP($C92,TB_UAE!$E:$E,TB_UAE!AA:AA)*Y$2</f>
        <v>0</v>
      </c>
      <c r="Z92" s="17">
        <f>-_xlfn.XLOOKUP($C92,TB_UAE!$E:$E,TB_UAE!AB:AB)*Z$2</f>
        <v>0</v>
      </c>
      <c r="AA92" s="17">
        <f>-_xlfn.XLOOKUP($C92,TB_UAE!$E:$E,TB_UAE!AC:AC)*AA$2</f>
        <v>0</v>
      </c>
      <c r="AB92" s="17">
        <f>-_xlfn.XLOOKUP($C92,TB_UAE!$E:$E,TB_UAE!AD:AD)*AB$2</f>
        <v>0</v>
      </c>
      <c r="AC92" s="17">
        <f>-_xlfn.XLOOKUP($C92,TB_UAE!$E:$E,TB_UAE!AE:AE)*AC$2</f>
        <v>0</v>
      </c>
      <c r="AD92" s="17">
        <f>-_xlfn.XLOOKUP($C92,TB_UAE!$E:$E,TB_UAE!AF:AF)*AD$2</f>
        <v>0</v>
      </c>
      <c r="AE92" s="17">
        <f>-_xlfn.XLOOKUP($C92,TB_UAE!$E:$E,TB_UAE!AG:AG)*AE$2</f>
        <v>0</v>
      </c>
      <c r="AF92" s="17">
        <f>-_xlfn.XLOOKUP($C92,TB_UAE!$E:$E,TB_UAE!AH:AH)*AF$2</f>
        <v>0</v>
      </c>
      <c r="AG92" s="17">
        <f>-_xlfn.XLOOKUP($C92,TB_UAE!$E:$E,TB_UAE!AI:AI)*AG$2</f>
        <v>0</v>
      </c>
      <c r="AH92" s="17">
        <f>-_xlfn.XLOOKUP($C92,TB_UAE!$E:$E,TB_UAE!AJ:AJ)*AH$2</f>
        <v>0</v>
      </c>
      <c r="AI92" s="17">
        <f>-_xlfn.XLOOKUP($C92,TB_UAE!$E:$E,TB_UAE!AK:AK)*AI$2</f>
        <v>0</v>
      </c>
      <c r="AJ92" s="17">
        <f>-_xlfn.XLOOKUP($C92,TB_UAE!$E:$E,TB_UAE!AL:AL)*AJ$2</f>
        <v>0</v>
      </c>
      <c r="AK92" s="17">
        <f>-_xlfn.XLOOKUP($C92,TB_UAE!$E:$E,TB_UAE!AM:AM)*AK$2</f>
        <v>0</v>
      </c>
      <c r="AL92" s="17">
        <f>-_xlfn.XLOOKUP($C92,TB_UAE!$E:$E,TB_UAE!AN:AN)*AL$2</f>
        <v>0</v>
      </c>
      <c r="AM92" s="17">
        <f>-_xlfn.XLOOKUP($C92,TB_UAE!$E:$E,TB_UAE!AO:AO)*AM$2</f>
        <v>0</v>
      </c>
    </row>
    <row r="93" spans="2:46" x14ac:dyDescent="0.2">
      <c r="B93" s="21"/>
      <c r="C93" s="16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8"/>
    </row>
    <row r="94" spans="2:46" x14ac:dyDescent="0.2">
      <c r="B94" s="21"/>
      <c r="C94" s="22" t="s">
        <v>136</v>
      </c>
      <c r="D94" s="23">
        <f>SUM(D91:D93)</f>
        <v>0</v>
      </c>
      <c r="E94" s="23">
        <f t="shared" ref="E94:AM94" si="12">SUM(E91:E93)</f>
        <v>0</v>
      </c>
      <c r="F94" s="23">
        <f t="shared" si="12"/>
        <v>0</v>
      </c>
      <c r="G94" s="23">
        <f t="shared" si="12"/>
        <v>0</v>
      </c>
      <c r="H94" s="23">
        <f t="shared" si="12"/>
        <v>0</v>
      </c>
      <c r="I94" s="23">
        <f t="shared" si="12"/>
        <v>0</v>
      </c>
      <c r="J94" s="23">
        <f t="shared" si="12"/>
        <v>0</v>
      </c>
      <c r="K94" s="23">
        <f t="shared" si="12"/>
        <v>0</v>
      </c>
      <c r="L94" s="23">
        <f t="shared" si="12"/>
        <v>0</v>
      </c>
      <c r="M94" s="23">
        <f t="shared" si="12"/>
        <v>0</v>
      </c>
      <c r="N94" s="23">
        <f t="shared" si="12"/>
        <v>0</v>
      </c>
      <c r="O94" s="23">
        <f t="shared" si="12"/>
        <v>0</v>
      </c>
      <c r="P94" s="23">
        <f t="shared" si="12"/>
        <v>0</v>
      </c>
      <c r="Q94" s="23">
        <f t="shared" si="12"/>
        <v>0</v>
      </c>
      <c r="R94" s="23">
        <f t="shared" si="12"/>
        <v>0</v>
      </c>
      <c r="S94" s="23">
        <f t="shared" si="12"/>
        <v>0</v>
      </c>
      <c r="T94" s="23">
        <f t="shared" si="12"/>
        <v>0</v>
      </c>
      <c r="U94" s="23">
        <f t="shared" si="12"/>
        <v>0</v>
      </c>
      <c r="V94" s="23">
        <f t="shared" si="12"/>
        <v>0</v>
      </c>
      <c r="W94" s="23">
        <f t="shared" si="12"/>
        <v>0</v>
      </c>
      <c r="X94" s="23">
        <f t="shared" si="12"/>
        <v>0</v>
      </c>
      <c r="Y94" s="23">
        <f t="shared" si="12"/>
        <v>0</v>
      </c>
      <c r="Z94" s="23">
        <f t="shared" si="12"/>
        <v>0</v>
      </c>
      <c r="AA94" s="23">
        <f>SUM(AA91:AA93)</f>
        <v>0</v>
      </c>
      <c r="AB94" s="23">
        <f t="shared" si="12"/>
        <v>0</v>
      </c>
      <c r="AC94" s="23">
        <f t="shared" si="12"/>
        <v>0</v>
      </c>
      <c r="AD94" s="23">
        <f t="shared" si="12"/>
        <v>0</v>
      </c>
      <c r="AE94" s="23">
        <f t="shared" si="12"/>
        <v>0</v>
      </c>
      <c r="AF94" s="23">
        <f t="shared" si="12"/>
        <v>0</v>
      </c>
      <c r="AG94" s="23">
        <f t="shared" si="12"/>
        <v>0</v>
      </c>
      <c r="AH94" s="23">
        <f t="shared" si="12"/>
        <v>0</v>
      </c>
      <c r="AI94" s="23">
        <f t="shared" si="12"/>
        <v>0</v>
      </c>
      <c r="AJ94" s="23">
        <f t="shared" si="12"/>
        <v>0</v>
      </c>
      <c r="AK94" s="23">
        <f t="shared" si="12"/>
        <v>0</v>
      </c>
      <c r="AL94" s="23">
        <f t="shared" si="12"/>
        <v>0</v>
      </c>
      <c r="AM94" s="23">
        <f t="shared" si="12"/>
        <v>0</v>
      </c>
      <c r="AS94" s="23">
        <f>SUM(D94:O94)</f>
        <v>0</v>
      </c>
      <c r="AT94" s="23">
        <f>SUM(P94:AA94)</f>
        <v>0</v>
      </c>
    </row>
    <row r="95" spans="2:46" x14ac:dyDescent="0.2">
      <c r="B95" s="21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8"/>
    </row>
    <row r="96" spans="2:46" x14ac:dyDescent="0.2">
      <c r="B96" s="21"/>
      <c r="C96" s="20" t="s">
        <v>137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8"/>
    </row>
    <row r="97" spans="2:46" x14ac:dyDescent="0.2">
      <c r="B97" s="21" t="s">
        <v>914</v>
      </c>
      <c r="C97" s="16" t="str">
        <f>_xlfn.XLOOKUP(B97,TB_UAE!A:A,TB_UAE!E:E)</f>
        <v>Business Licenses and Permits</v>
      </c>
      <c r="D97" s="17">
        <f>-_xlfn.XLOOKUP($C97,TB_UAE!$E:$E,TB_UAE!F:F)*D$2</f>
        <v>0</v>
      </c>
      <c r="E97" s="17">
        <f>-_xlfn.XLOOKUP($C97,TB_UAE!$E:$E,TB_UAE!G:G)*E$2</f>
        <v>0</v>
      </c>
      <c r="F97" s="17">
        <f>-_xlfn.XLOOKUP($C97,TB_UAE!$E:$E,TB_UAE!H:H)*F$2</f>
        <v>0</v>
      </c>
      <c r="G97" s="17">
        <f>-_xlfn.XLOOKUP($C97,TB_UAE!$E:$E,TB_UAE!I:I)*G$2</f>
        <v>0</v>
      </c>
      <c r="H97" s="17">
        <f>-_xlfn.XLOOKUP($C97,TB_UAE!$E:$E,TB_UAE!J:J)*H$2</f>
        <v>0</v>
      </c>
      <c r="I97" s="17">
        <f>-_xlfn.XLOOKUP($C97,TB_UAE!$E:$E,TB_UAE!K:K)*I$2</f>
        <v>0</v>
      </c>
      <c r="J97" s="17">
        <f>-_xlfn.XLOOKUP($C97,TB_UAE!$E:$E,TB_UAE!L:L)*J$2</f>
        <v>0</v>
      </c>
      <c r="K97" s="17">
        <f>-_xlfn.XLOOKUP($C97,TB_UAE!$E:$E,TB_UAE!M:M)*K$2</f>
        <v>0</v>
      </c>
      <c r="L97" s="17">
        <f>-_xlfn.XLOOKUP($C97,TB_UAE!$E:$E,TB_UAE!N:N)*L$2</f>
        <v>0</v>
      </c>
      <c r="M97" s="17">
        <f>-_xlfn.XLOOKUP($C97,TB_UAE!$E:$E,TB_UAE!O:O)*M$2</f>
        <v>0</v>
      </c>
      <c r="N97" s="17">
        <f>-_xlfn.XLOOKUP($C97,TB_UAE!$E:$E,TB_UAE!P:P)*N$2</f>
        <v>0</v>
      </c>
      <c r="O97" s="17">
        <f>-_xlfn.XLOOKUP($C97,TB_UAE!$E:$E,TB_UAE!Q:Q)*O$2</f>
        <v>0</v>
      </c>
      <c r="P97" s="17">
        <f>-_xlfn.XLOOKUP($C97,TB_UAE!$E:$E,TB_UAE!R:R)*P$2</f>
        <v>0</v>
      </c>
      <c r="Q97" s="17">
        <f>-_xlfn.XLOOKUP($C97,TB_UAE!$E:$E,TB_UAE!S:S)*Q$2</f>
        <v>0</v>
      </c>
      <c r="R97" s="17">
        <f>-_xlfn.XLOOKUP($C97,TB_UAE!$E:$E,TB_UAE!T:T)*R$2</f>
        <v>0</v>
      </c>
      <c r="S97" s="17">
        <f>-_xlfn.XLOOKUP($C97,TB_UAE!$E:$E,TB_UAE!U:U)*S$2</f>
        <v>0</v>
      </c>
      <c r="T97" s="17">
        <f>-_xlfn.XLOOKUP($C97,TB_UAE!$E:$E,TB_UAE!V:V)*T$2</f>
        <v>0</v>
      </c>
      <c r="U97" s="17">
        <f>-_xlfn.XLOOKUP($C97,TB_UAE!$E:$E,TB_UAE!W:W)*U$2</f>
        <v>0</v>
      </c>
      <c r="V97" s="17">
        <f>-_xlfn.XLOOKUP($C97,TB_UAE!$E:$E,TB_UAE!X:X)*V$2</f>
        <v>0</v>
      </c>
      <c r="W97" s="17">
        <f>-_xlfn.XLOOKUP($C97,TB_UAE!$E:$E,TB_UAE!Y:Y)*W$2</f>
        <v>-519896.43215999997</v>
      </c>
      <c r="X97" s="17">
        <f>-_xlfn.XLOOKUP($C97,TB_UAE!$E:$E,TB_UAE!Z:Z)*X$2</f>
        <v>-501482.20752</v>
      </c>
      <c r="Y97" s="17">
        <f>-_xlfn.XLOOKUP($C97,TB_UAE!$E:$E,TB_UAE!AA:AA)*Y$2</f>
        <v>-489903.79200000002</v>
      </c>
      <c r="Z97" s="17">
        <f>-_xlfn.XLOOKUP($C97,TB_UAE!$E:$E,TB_UAE!AB:AB)*Z$2</f>
        <v>-489189.91799999995</v>
      </c>
      <c r="AA97" s="17">
        <f>-_xlfn.XLOOKUP($C97,TB_UAE!$E:$E,TB_UAE!AC:AC)*AA$2</f>
        <v>-489949.72823999997</v>
      </c>
      <c r="AB97" s="17">
        <f>-_xlfn.XLOOKUP($C97,TB_UAE!$E:$E,TB_UAE!AD:AD)*AB$2</f>
        <v>-469031.35775999998</v>
      </c>
      <c r="AC97" s="17">
        <f>-_xlfn.XLOOKUP($C97,TB_UAE!$E:$E,TB_UAE!AE:AE)*AC$2</f>
        <v>-458685.77159999998</v>
      </c>
      <c r="AD97" s="17">
        <f>-_xlfn.XLOOKUP($C97,TB_UAE!$E:$E,TB_UAE!AF:AF)*AD$2</f>
        <v>-467341.64904000005</v>
      </c>
      <c r="AE97" s="17">
        <f>-_xlfn.XLOOKUP($C97,TB_UAE!$E:$E,TB_UAE!AG:AG)*AE$2</f>
        <v>-464571.81792</v>
      </c>
      <c r="AF97" s="17">
        <f>-_xlfn.XLOOKUP($C97,TB_UAE!$E:$E,TB_UAE!AH:AH)*AF$2</f>
        <v>0</v>
      </c>
      <c r="AG97" s="17">
        <f>-_xlfn.XLOOKUP($C97,TB_UAE!$E:$E,TB_UAE!AI:AI)*AG$2</f>
        <v>0</v>
      </c>
      <c r="AH97" s="17">
        <f>-_xlfn.XLOOKUP($C97,TB_UAE!$E:$E,TB_UAE!AJ:AJ)*AH$2</f>
        <v>0</v>
      </c>
      <c r="AI97" s="17">
        <f>-_xlfn.XLOOKUP($C97,TB_UAE!$E:$E,TB_UAE!AK:AK)*AI$2</f>
        <v>0</v>
      </c>
      <c r="AJ97" s="17">
        <f>-_xlfn.XLOOKUP($C97,TB_UAE!$E:$E,TB_UAE!AL:AL)*AJ$2</f>
        <v>0</v>
      </c>
      <c r="AK97" s="17">
        <f>-_xlfn.XLOOKUP($C97,TB_UAE!$E:$E,TB_UAE!AM:AM)*AK$2</f>
        <v>0</v>
      </c>
      <c r="AL97" s="17">
        <f>-_xlfn.XLOOKUP($C97,TB_UAE!$E:$E,TB_UAE!AN:AN)*AL$2</f>
        <v>0</v>
      </c>
      <c r="AM97" s="17">
        <f>-_xlfn.XLOOKUP($C97,TB_UAE!$E:$E,TB_UAE!AO:AO)*AM$2</f>
        <v>0</v>
      </c>
    </row>
    <row r="98" spans="2:46" x14ac:dyDescent="0.2">
      <c r="B98" s="21"/>
      <c r="C98" s="22" t="s">
        <v>138</v>
      </c>
      <c r="D98" s="23">
        <f t="shared" ref="D98:AM98" si="13">SUM(D97:D97)</f>
        <v>0</v>
      </c>
      <c r="E98" s="23">
        <f t="shared" si="13"/>
        <v>0</v>
      </c>
      <c r="F98" s="23">
        <f t="shared" si="13"/>
        <v>0</v>
      </c>
      <c r="G98" s="23">
        <f t="shared" si="13"/>
        <v>0</v>
      </c>
      <c r="H98" s="23">
        <f t="shared" si="13"/>
        <v>0</v>
      </c>
      <c r="I98" s="23">
        <f t="shared" si="13"/>
        <v>0</v>
      </c>
      <c r="J98" s="23">
        <f t="shared" si="13"/>
        <v>0</v>
      </c>
      <c r="K98" s="23">
        <f t="shared" si="13"/>
        <v>0</v>
      </c>
      <c r="L98" s="23">
        <f t="shared" si="13"/>
        <v>0</v>
      </c>
      <c r="M98" s="23">
        <f t="shared" si="13"/>
        <v>0</v>
      </c>
      <c r="N98" s="23">
        <f t="shared" si="13"/>
        <v>0</v>
      </c>
      <c r="O98" s="23">
        <f t="shared" si="13"/>
        <v>0</v>
      </c>
      <c r="P98" s="23">
        <f t="shared" si="13"/>
        <v>0</v>
      </c>
      <c r="Q98" s="23">
        <f t="shared" si="13"/>
        <v>0</v>
      </c>
      <c r="R98" s="23">
        <f t="shared" si="13"/>
        <v>0</v>
      </c>
      <c r="S98" s="23">
        <f t="shared" si="13"/>
        <v>0</v>
      </c>
      <c r="T98" s="23">
        <f t="shared" si="13"/>
        <v>0</v>
      </c>
      <c r="U98" s="23">
        <f t="shared" si="13"/>
        <v>0</v>
      </c>
      <c r="V98" s="23">
        <f t="shared" si="13"/>
        <v>0</v>
      </c>
      <c r="W98" s="23">
        <f t="shared" si="13"/>
        <v>-519896.43215999997</v>
      </c>
      <c r="X98" s="23">
        <f t="shared" si="13"/>
        <v>-501482.20752</v>
      </c>
      <c r="Y98" s="23">
        <f t="shared" si="13"/>
        <v>-489903.79200000002</v>
      </c>
      <c r="Z98" s="23">
        <f t="shared" si="13"/>
        <v>-489189.91799999995</v>
      </c>
      <c r="AA98" s="23">
        <f>SUM(AA97:AA97)</f>
        <v>-489949.72823999997</v>
      </c>
      <c r="AB98" s="23">
        <f t="shared" si="13"/>
        <v>-469031.35775999998</v>
      </c>
      <c r="AC98" s="23">
        <f t="shared" si="13"/>
        <v>-458685.77159999998</v>
      </c>
      <c r="AD98" s="23">
        <f t="shared" si="13"/>
        <v>-467341.64904000005</v>
      </c>
      <c r="AE98" s="23">
        <f t="shared" si="13"/>
        <v>-464571.81792</v>
      </c>
      <c r="AF98" s="23">
        <f t="shared" si="13"/>
        <v>0</v>
      </c>
      <c r="AG98" s="23">
        <f t="shared" si="13"/>
        <v>0</v>
      </c>
      <c r="AH98" s="23">
        <f t="shared" si="13"/>
        <v>0</v>
      </c>
      <c r="AI98" s="23">
        <f t="shared" si="13"/>
        <v>0</v>
      </c>
      <c r="AJ98" s="23">
        <f t="shared" si="13"/>
        <v>0</v>
      </c>
      <c r="AK98" s="23">
        <f t="shared" si="13"/>
        <v>0</v>
      </c>
      <c r="AL98" s="23">
        <f t="shared" si="13"/>
        <v>0</v>
      </c>
      <c r="AM98" s="23">
        <f t="shared" si="13"/>
        <v>0</v>
      </c>
      <c r="AS98" s="23">
        <f>SUM(D98:O98)</f>
        <v>0</v>
      </c>
      <c r="AT98" s="23">
        <f>SUM(P98:AA98)</f>
        <v>-2490422.0779200001</v>
      </c>
    </row>
    <row r="99" spans="2:46" x14ac:dyDescent="0.2">
      <c r="B99" s="21"/>
      <c r="C99" s="16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8"/>
    </row>
    <row r="100" spans="2:46" x14ac:dyDescent="0.2">
      <c r="B100" s="21"/>
      <c r="C100" s="20" t="s">
        <v>139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8"/>
    </row>
    <row r="101" spans="2:46" x14ac:dyDescent="0.2">
      <c r="B101" s="21" t="s">
        <v>915</v>
      </c>
      <c r="C101" s="16" t="str">
        <f>_xlfn.XLOOKUP(B101,TB_UAE!A:A,TB_UAE!E:E)</f>
        <v>Bank charges</v>
      </c>
      <c r="D101" s="17">
        <f>-_xlfn.XLOOKUP($C101,TB_UAE!$E:$E,TB_UAE!F:F)*D$2</f>
        <v>-227516.30265</v>
      </c>
      <c r="E101" s="17">
        <f>-_xlfn.XLOOKUP($C101,TB_UAE!$E:$E,TB_UAE!G:G)*E$2</f>
        <v>-401766.81300000002</v>
      </c>
      <c r="F101" s="17">
        <f>-_xlfn.XLOOKUP($C101,TB_UAE!$E:$E,TB_UAE!H:H)*F$2</f>
        <v>-352183.89149999997</v>
      </c>
      <c r="G101" s="17">
        <f>-_xlfn.XLOOKUP($C101,TB_UAE!$E:$E,TB_UAE!I:I)*G$2</f>
        <v>-311432.02542000002</v>
      </c>
      <c r="H101" s="17">
        <f>-_xlfn.XLOOKUP($C101,TB_UAE!$E:$E,TB_UAE!J:J)*H$2</f>
        <v>-295943.2746</v>
      </c>
      <c r="I101" s="17">
        <f>-_xlfn.XLOOKUP($C101,TB_UAE!$E:$E,TB_UAE!K:K)*I$2</f>
        <v>-183217.55256000001</v>
      </c>
      <c r="J101" s="17">
        <f>-_xlfn.XLOOKUP($C101,TB_UAE!$E:$E,TB_UAE!L:L)*J$2</f>
        <v>-838467.01743999997</v>
      </c>
      <c r="K101" s="17">
        <f>-_xlfn.XLOOKUP($C101,TB_UAE!$E:$E,TB_UAE!M:M)*K$2</f>
        <v>-636952.8746000001</v>
      </c>
      <c r="L101" s="17">
        <f>-_xlfn.XLOOKUP($C101,TB_UAE!$E:$E,TB_UAE!N:N)*L$2</f>
        <v>-522016.17350999994</v>
      </c>
      <c r="M101" s="17">
        <f>-_xlfn.XLOOKUP($C101,TB_UAE!$E:$E,TB_UAE!O:O)*M$2</f>
        <v>-492653.27117999998</v>
      </c>
      <c r="N101" s="17">
        <f>-_xlfn.XLOOKUP($C101,TB_UAE!$E:$E,TB_UAE!P:P)*N$2</f>
        <v>-417988.68799999997</v>
      </c>
      <c r="O101" s="17">
        <f>-_xlfn.XLOOKUP($C101,TB_UAE!$E:$E,TB_UAE!Q:Q)*O$2</f>
        <v>-562362.70959999994</v>
      </c>
      <c r="P101" s="17">
        <f>-_xlfn.XLOOKUP($C101,TB_UAE!$E:$E,TB_UAE!R:R)*P$2</f>
        <v>-16701.342000000001</v>
      </c>
      <c r="Q101" s="17">
        <f>-_xlfn.XLOOKUP($C101,TB_UAE!$E:$E,TB_UAE!S:S)*Q$2</f>
        <v>-16273.773599999999</v>
      </c>
      <c r="R101" s="17">
        <f>-_xlfn.XLOOKUP($C101,TB_UAE!$E:$E,TB_UAE!T:T)*R$2</f>
        <v>-16679.756099999999</v>
      </c>
      <c r="S101" s="17">
        <f>-_xlfn.XLOOKUP($C101,TB_UAE!$E:$E,TB_UAE!U:U)*S$2</f>
        <v>-61429.040030000004</v>
      </c>
      <c r="T101" s="17">
        <f>-_xlfn.XLOOKUP($C101,TB_UAE!$E:$E,TB_UAE!V:V)*T$2</f>
        <v>-517392.41005000006</v>
      </c>
      <c r="U101" s="17">
        <f>-_xlfn.XLOOKUP($C101,TB_UAE!$E:$E,TB_UAE!W:W)*U$2</f>
        <v>-421928.82997999998</v>
      </c>
      <c r="V101" s="17">
        <f>-_xlfn.XLOOKUP($C101,TB_UAE!$E:$E,TB_UAE!X:X)*V$2</f>
        <v>-256805.45707999996</v>
      </c>
      <c r="W101" s="17">
        <f>-_xlfn.XLOOKUP($C101,TB_UAE!$E:$E,TB_UAE!Y:Y)*W$2</f>
        <v>-23303.882699999998</v>
      </c>
      <c r="X101" s="17">
        <f>-_xlfn.XLOOKUP($C101,TB_UAE!$E:$E,TB_UAE!Z:Z)*X$2</f>
        <v>-22478.481899999999</v>
      </c>
      <c r="Y101" s="17">
        <f>-_xlfn.XLOOKUP($C101,TB_UAE!$E:$E,TB_UAE!AA:AA)*Y$2</f>
        <v>-21959.49</v>
      </c>
      <c r="Z101" s="17">
        <f>-_xlfn.XLOOKUP($C101,TB_UAE!$E:$E,TB_UAE!AB:AB)*Z$2</f>
        <v>-69123.80575</v>
      </c>
      <c r="AA101" s="17">
        <f>-_xlfn.XLOOKUP($C101,TB_UAE!$E:$E,TB_UAE!AC:AC)*AA$2</f>
        <v>-51579.055899999992</v>
      </c>
      <c r="AB101" s="17">
        <f>-_xlfn.XLOOKUP($C101,TB_UAE!$E:$E,TB_UAE!AD:AD)*AB$2</f>
        <v>-178504.83000000002</v>
      </c>
      <c r="AC101" s="17">
        <f>-_xlfn.XLOOKUP($C101,TB_UAE!$E:$E,TB_UAE!AE:AE)*AC$2</f>
        <v>-19396.387500000001</v>
      </c>
      <c r="AD101" s="17">
        <f>-_xlfn.XLOOKUP($C101,TB_UAE!$E:$E,TB_UAE!AF:AF)*AD$2</f>
        <v>-19762.4175</v>
      </c>
      <c r="AE101" s="17">
        <f>-_xlfn.XLOOKUP($C101,TB_UAE!$E:$E,TB_UAE!AG:AG)*AE$2</f>
        <v>-53532.479760000002</v>
      </c>
      <c r="AF101" s="17">
        <f>-_xlfn.XLOOKUP($C101,TB_UAE!$E:$E,TB_UAE!AH:AH)*AF$2</f>
        <v>0</v>
      </c>
      <c r="AG101" s="17">
        <f>-_xlfn.XLOOKUP($C101,TB_UAE!$E:$E,TB_UAE!AI:AI)*AG$2</f>
        <v>0</v>
      </c>
      <c r="AH101" s="17">
        <f>-_xlfn.XLOOKUP($C101,TB_UAE!$E:$E,TB_UAE!AJ:AJ)*AH$2</f>
        <v>0</v>
      </c>
      <c r="AI101" s="17">
        <f>-_xlfn.XLOOKUP($C101,TB_UAE!$E:$E,TB_UAE!AK:AK)*AI$2</f>
        <v>0</v>
      </c>
      <c r="AJ101" s="17">
        <f>-_xlfn.XLOOKUP($C101,TB_UAE!$E:$E,TB_UAE!AL:AL)*AJ$2</f>
        <v>0</v>
      </c>
      <c r="AK101" s="17">
        <f>-_xlfn.XLOOKUP($C101,TB_UAE!$E:$E,TB_UAE!AM:AM)*AK$2</f>
        <v>0</v>
      </c>
      <c r="AL101" s="17">
        <f>-_xlfn.XLOOKUP($C101,TB_UAE!$E:$E,TB_UAE!AN:AN)*AL$2</f>
        <v>0</v>
      </c>
      <c r="AM101" s="17">
        <f>-_xlfn.XLOOKUP($C101,TB_UAE!$E:$E,TB_UAE!AO:AO)*AM$2</f>
        <v>0</v>
      </c>
    </row>
    <row r="102" spans="2:46" x14ac:dyDescent="0.2">
      <c r="B102" s="21" t="s">
        <v>916</v>
      </c>
      <c r="C102" s="16" t="str">
        <f>_xlfn.XLOOKUP(B102,TB_UAE!A:A,TB_UAE!E:E)</f>
        <v>Bank Service Charges</v>
      </c>
      <c r="D102" s="17">
        <f>-_xlfn.XLOOKUP($C102,TB_UAE!$E:$E,TB_UAE!F:F)*D$2</f>
        <v>0</v>
      </c>
      <c r="E102" s="17">
        <f>-_xlfn.XLOOKUP($C102,TB_UAE!$E:$E,TB_UAE!G:G)*E$2</f>
        <v>0</v>
      </c>
      <c r="F102" s="17">
        <f>-_xlfn.XLOOKUP($C102,TB_UAE!$E:$E,TB_UAE!H:H)*F$2</f>
        <v>0</v>
      </c>
      <c r="G102" s="17">
        <f>-_xlfn.XLOOKUP($C102,TB_UAE!$E:$E,TB_UAE!I:I)*G$2</f>
        <v>0</v>
      </c>
      <c r="H102" s="17">
        <f>-_xlfn.XLOOKUP($C102,TB_UAE!$E:$E,TB_UAE!J:J)*H$2</f>
        <v>0</v>
      </c>
      <c r="I102" s="17">
        <f>-_xlfn.XLOOKUP($C102,TB_UAE!$E:$E,TB_UAE!K:K)*I$2</f>
        <v>0</v>
      </c>
      <c r="J102" s="17">
        <f>-_xlfn.XLOOKUP($C102,TB_UAE!$E:$E,TB_UAE!L:L)*J$2</f>
        <v>0</v>
      </c>
      <c r="K102" s="17">
        <f>-_xlfn.XLOOKUP($C102,TB_UAE!$E:$E,TB_UAE!M:M)*K$2</f>
        <v>0</v>
      </c>
      <c r="L102" s="17">
        <f>-_xlfn.XLOOKUP($C102,TB_UAE!$E:$E,TB_UAE!N:N)*L$2</f>
        <v>0</v>
      </c>
      <c r="M102" s="17">
        <f>-_xlfn.XLOOKUP($C102,TB_UAE!$E:$E,TB_UAE!O:O)*M$2</f>
        <v>0</v>
      </c>
      <c r="N102" s="17">
        <f>-_xlfn.XLOOKUP($C102,TB_UAE!$E:$E,TB_UAE!P:P)*N$2</f>
        <v>0</v>
      </c>
      <c r="O102" s="17">
        <f>-_xlfn.XLOOKUP($C102,TB_UAE!$E:$E,TB_UAE!Q:Q)*O$2</f>
        <v>0</v>
      </c>
      <c r="P102" s="17">
        <f>-_xlfn.XLOOKUP($C102,TB_UAE!$E:$E,TB_UAE!R:R)*P$2</f>
        <v>-391723.90720000007</v>
      </c>
      <c r="Q102" s="17">
        <f>-_xlfn.XLOOKUP($C102,TB_UAE!$E:$E,TB_UAE!S:S)*Q$2</f>
        <v>-355861.33999999997</v>
      </c>
      <c r="R102" s="17">
        <f>-_xlfn.XLOOKUP($C102,TB_UAE!$E:$E,TB_UAE!T:T)*R$2</f>
        <v>-167215.6</v>
      </c>
      <c r="S102" s="17">
        <f>-_xlfn.XLOOKUP($C102,TB_UAE!$E:$E,TB_UAE!U:U)*S$2</f>
        <v>-206042.60250000001</v>
      </c>
      <c r="T102" s="17">
        <f>-_xlfn.XLOOKUP($C102,TB_UAE!$E:$E,TB_UAE!V:V)*T$2</f>
        <v>0</v>
      </c>
      <c r="U102" s="17">
        <f>-_xlfn.XLOOKUP($C102,TB_UAE!$E:$E,TB_UAE!W:W)*U$2</f>
        <v>0</v>
      </c>
      <c r="V102" s="17">
        <f>-_xlfn.XLOOKUP($C102,TB_UAE!$E:$E,TB_UAE!X:X)*V$2</f>
        <v>0</v>
      </c>
      <c r="W102" s="17">
        <f>-_xlfn.XLOOKUP($C102,TB_UAE!$E:$E,TB_UAE!Y:Y)*W$2</f>
        <v>-46436.074619999999</v>
      </c>
      <c r="X102" s="17">
        <f>-_xlfn.XLOOKUP($C102,TB_UAE!$E:$E,TB_UAE!Z:Z)*X$2</f>
        <v>-381710.07</v>
      </c>
      <c r="Y102" s="17">
        <f>-_xlfn.XLOOKUP($C102,TB_UAE!$E:$E,TB_UAE!AA:AA)*Y$2</f>
        <v>0</v>
      </c>
      <c r="Z102" s="17">
        <f>-_xlfn.XLOOKUP($C102,TB_UAE!$E:$E,TB_UAE!AB:AB)*Z$2</f>
        <v>0</v>
      </c>
      <c r="AA102" s="17">
        <f>-_xlfn.XLOOKUP($C102,TB_UAE!$E:$E,TB_UAE!AC:AC)*AA$2</f>
        <v>0</v>
      </c>
      <c r="AB102" s="17">
        <f>-_xlfn.XLOOKUP($C102,TB_UAE!$E:$E,TB_UAE!AD:AD)*AB$2</f>
        <v>0</v>
      </c>
      <c r="AC102" s="17">
        <f>-_xlfn.XLOOKUP($C102,TB_UAE!$E:$E,TB_UAE!AE:AE)*AC$2</f>
        <v>0</v>
      </c>
      <c r="AD102" s="17">
        <f>-_xlfn.XLOOKUP($C102,TB_UAE!$E:$E,TB_UAE!AF:AF)*AD$2</f>
        <v>0</v>
      </c>
      <c r="AE102" s="17">
        <f>-_xlfn.XLOOKUP($C102,TB_UAE!$E:$E,TB_UAE!AG:AG)*AE$2</f>
        <v>0</v>
      </c>
      <c r="AF102" s="17">
        <f>-_xlfn.XLOOKUP($C102,TB_UAE!$E:$E,TB_UAE!AH:AH)*AF$2</f>
        <v>0</v>
      </c>
      <c r="AG102" s="17">
        <f>-_xlfn.XLOOKUP($C102,TB_UAE!$E:$E,TB_UAE!AI:AI)*AG$2</f>
        <v>0</v>
      </c>
      <c r="AH102" s="17">
        <f>-_xlfn.XLOOKUP($C102,TB_UAE!$E:$E,TB_UAE!AJ:AJ)*AH$2</f>
        <v>0</v>
      </c>
      <c r="AI102" s="17">
        <f>-_xlfn.XLOOKUP($C102,TB_UAE!$E:$E,TB_UAE!AK:AK)*AI$2</f>
        <v>0</v>
      </c>
      <c r="AJ102" s="17">
        <f>-_xlfn.XLOOKUP($C102,TB_UAE!$E:$E,TB_UAE!AL:AL)*AJ$2</f>
        <v>0</v>
      </c>
      <c r="AK102" s="17">
        <f>-_xlfn.XLOOKUP($C102,TB_UAE!$E:$E,TB_UAE!AM:AM)*AK$2</f>
        <v>0</v>
      </c>
      <c r="AL102" s="17">
        <f>-_xlfn.XLOOKUP($C102,TB_UAE!$E:$E,TB_UAE!AN:AN)*AL$2</f>
        <v>0</v>
      </c>
      <c r="AM102" s="17">
        <f>-_xlfn.XLOOKUP($C102,TB_UAE!$E:$E,TB_UAE!AO:AO)*AM$2</f>
        <v>0</v>
      </c>
    </row>
    <row r="103" spans="2:46" x14ac:dyDescent="0.2">
      <c r="B103" s="21"/>
      <c r="C103" s="22" t="s">
        <v>140</v>
      </c>
      <c r="D103" s="23">
        <f>SUM(D101:D102)</f>
        <v>-227516.30265</v>
      </c>
      <c r="E103" s="23">
        <f t="shared" ref="E103:AM103" si="14">SUM(E101:E102)</f>
        <v>-401766.81300000002</v>
      </c>
      <c r="F103" s="23">
        <f t="shared" si="14"/>
        <v>-352183.89149999997</v>
      </c>
      <c r="G103" s="23">
        <f t="shared" si="14"/>
        <v>-311432.02542000002</v>
      </c>
      <c r="H103" s="23">
        <f t="shared" si="14"/>
        <v>-295943.2746</v>
      </c>
      <c r="I103" s="23">
        <f t="shared" si="14"/>
        <v>-183217.55256000001</v>
      </c>
      <c r="J103" s="23">
        <f t="shared" si="14"/>
        <v>-838467.01743999997</v>
      </c>
      <c r="K103" s="23">
        <f t="shared" si="14"/>
        <v>-636952.8746000001</v>
      </c>
      <c r="L103" s="23">
        <f t="shared" si="14"/>
        <v>-522016.17350999994</v>
      </c>
      <c r="M103" s="23">
        <f t="shared" si="14"/>
        <v>-492653.27117999998</v>
      </c>
      <c r="N103" s="23">
        <f t="shared" si="14"/>
        <v>-417988.68799999997</v>
      </c>
      <c r="O103" s="23">
        <f t="shared" si="14"/>
        <v>-562362.70959999994</v>
      </c>
      <c r="P103" s="23">
        <f t="shared" si="14"/>
        <v>-408425.24920000008</v>
      </c>
      <c r="Q103" s="23">
        <f t="shared" si="14"/>
        <v>-372135.11359999998</v>
      </c>
      <c r="R103" s="23">
        <f t="shared" si="14"/>
        <v>-183895.3561</v>
      </c>
      <c r="S103" s="23">
        <f t="shared" si="14"/>
        <v>-267471.64253000001</v>
      </c>
      <c r="T103" s="23">
        <f t="shared" si="14"/>
        <v>-517392.41005000006</v>
      </c>
      <c r="U103" s="23">
        <f t="shared" si="14"/>
        <v>-421928.82997999998</v>
      </c>
      <c r="V103" s="23">
        <f t="shared" si="14"/>
        <v>-256805.45707999996</v>
      </c>
      <c r="W103" s="23">
        <f t="shared" si="14"/>
        <v>-69739.957320000001</v>
      </c>
      <c r="X103" s="23">
        <f t="shared" si="14"/>
        <v>-404188.55190000002</v>
      </c>
      <c r="Y103" s="23">
        <f t="shared" si="14"/>
        <v>-21959.49</v>
      </c>
      <c r="Z103" s="23">
        <f t="shared" si="14"/>
        <v>-69123.80575</v>
      </c>
      <c r="AA103" s="23">
        <f>SUM(AA101:AA102)</f>
        <v>-51579.055899999992</v>
      </c>
      <c r="AB103" s="23">
        <f t="shared" si="14"/>
        <v>-178504.83000000002</v>
      </c>
      <c r="AC103" s="23">
        <f t="shared" si="14"/>
        <v>-19396.387500000001</v>
      </c>
      <c r="AD103" s="23">
        <f t="shared" si="14"/>
        <v>-19762.4175</v>
      </c>
      <c r="AE103" s="23">
        <f t="shared" si="14"/>
        <v>-53532.479760000002</v>
      </c>
      <c r="AF103" s="23">
        <f t="shared" si="14"/>
        <v>0</v>
      </c>
      <c r="AG103" s="23">
        <f t="shared" si="14"/>
        <v>0</v>
      </c>
      <c r="AH103" s="23">
        <f t="shared" si="14"/>
        <v>0</v>
      </c>
      <c r="AI103" s="23">
        <f t="shared" si="14"/>
        <v>0</v>
      </c>
      <c r="AJ103" s="23">
        <f t="shared" si="14"/>
        <v>0</v>
      </c>
      <c r="AK103" s="23">
        <f t="shared" si="14"/>
        <v>0</v>
      </c>
      <c r="AL103" s="23">
        <f t="shared" si="14"/>
        <v>0</v>
      </c>
      <c r="AM103" s="23">
        <f t="shared" si="14"/>
        <v>0</v>
      </c>
      <c r="AS103" s="23">
        <f>SUM(D103:O103)</f>
        <v>-5242500.59406</v>
      </c>
      <c r="AT103" s="23">
        <f>SUM(P103:AA103)</f>
        <v>-3044644.9194100001</v>
      </c>
    </row>
    <row r="104" spans="2:46" x14ac:dyDescent="0.2">
      <c r="B104" s="21"/>
      <c r="C104" s="16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8"/>
    </row>
    <row r="105" spans="2:46" x14ac:dyDescent="0.2">
      <c r="B105" s="21"/>
      <c r="C105" s="20" t="s">
        <v>141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8"/>
    </row>
    <row r="106" spans="2:46" x14ac:dyDescent="0.2">
      <c r="B106" s="21" t="s">
        <v>917</v>
      </c>
      <c r="C106" s="16" t="str">
        <f>_xlfn.XLOOKUP(B106,TB_UAE!A:A,TB_UAE!E:E)</f>
        <v>Exchange Gain or Loss</v>
      </c>
      <c r="D106" s="17">
        <f>-_xlfn.XLOOKUP($C106,TB_UAE!$E:$E,TB_UAE!F:F)*D$2</f>
        <v>0</v>
      </c>
      <c r="E106" s="17">
        <f>-_xlfn.XLOOKUP($C106,TB_UAE!$E:$E,TB_UAE!G:G)*E$2</f>
        <v>0</v>
      </c>
      <c r="F106" s="17">
        <f>-_xlfn.XLOOKUP($C106,TB_UAE!$E:$E,TB_UAE!H:H)*F$2</f>
        <v>0</v>
      </c>
      <c r="G106" s="17">
        <f>-_xlfn.XLOOKUP($C106,TB_UAE!$E:$E,TB_UAE!I:I)*G$2</f>
        <v>0</v>
      </c>
      <c r="H106" s="17">
        <f>-_xlfn.XLOOKUP($C106,TB_UAE!$E:$E,TB_UAE!J:J)*H$2</f>
        <v>708221.2</v>
      </c>
      <c r="I106" s="17">
        <f>-_xlfn.XLOOKUP($C106,TB_UAE!$E:$E,TB_UAE!K:K)*I$2</f>
        <v>0</v>
      </c>
      <c r="J106" s="17">
        <f>-_xlfn.XLOOKUP($C106,TB_UAE!$E:$E,TB_UAE!L:L)*J$2</f>
        <v>0</v>
      </c>
      <c r="K106" s="17">
        <f>-_xlfn.XLOOKUP($C106,TB_UAE!$E:$E,TB_UAE!M:M)*K$2</f>
        <v>0</v>
      </c>
      <c r="L106" s="17">
        <f>-_xlfn.XLOOKUP($C106,TB_UAE!$E:$E,TB_UAE!N:N)*L$2</f>
        <v>0</v>
      </c>
      <c r="M106" s="17">
        <f>-_xlfn.XLOOKUP($C106,TB_UAE!$E:$E,TB_UAE!O:O)*M$2</f>
        <v>254461.54986</v>
      </c>
      <c r="N106" s="17">
        <f>-_xlfn.XLOOKUP($C106,TB_UAE!$E:$E,TB_UAE!P:P)*N$2</f>
        <v>0</v>
      </c>
      <c r="O106" s="17">
        <f>-_xlfn.XLOOKUP($C106,TB_UAE!$E:$E,TB_UAE!Q:Q)*O$2</f>
        <v>24081.107680000001</v>
      </c>
      <c r="P106" s="17">
        <f>-_xlfn.XLOOKUP($C106,TB_UAE!$E:$E,TB_UAE!R:R)*P$2</f>
        <v>-793301.18759999995</v>
      </c>
      <c r="Q106" s="17">
        <f>-_xlfn.XLOOKUP($C106,TB_UAE!$E:$E,TB_UAE!S:S)*Q$2</f>
        <v>0</v>
      </c>
      <c r="R106" s="17">
        <f>-_xlfn.XLOOKUP($C106,TB_UAE!$E:$E,TB_UAE!T:T)*R$2</f>
        <v>0</v>
      </c>
      <c r="S106" s="17">
        <f>-_xlfn.XLOOKUP($C106,TB_UAE!$E:$E,TB_UAE!U:U)*S$2</f>
        <v>0</v>
      </c>
      <c r="T106" s="17">
        <f>-_xlfn.XLOOKUP($C106,TB_UAE!$E:$E,TB_UAE!V:V)*T$2</f>
        <v>0</v>
      </c>
      <c r="U106" s="17">
        <f>-_xlfn.XLOOKUP($C106,TB_UAE!$E:$E,TB_UAE!W:W)*U$2</f>
        <v>0</v>
      </c>
      <c r="V106" s="17">
        <f>-_xlfn.XLOOKUP($C106,TB_UAE!$E:$E,TB_UAE!X:X)*V$2</f>
        <v>8787.4015799999997</v>
      </c>
      <c r="W106" s="17">
        <f>-_xlfn.XLOOKUP($C106,TB_UAE!$E:$E,TB_UAE!Y:Y)*W$2</f>
        <v>0</v>
      </c>
      <c r="X106" s="17">
        <f>-_xlfn.XLOOKUP($C106,TB_UAE!$E:$E,TB_UAE!Z:Z)*X$2</f>
        <v>-865645.73207999999</v>
      </c>
      <c r="Y106" s="17">
        <f>-_xlfn.XLOOKUP($C106,TB_UAE!$E:$E,TB_UAE!AA:AA)*Y$2</f>
        <v>3314.6400000000003</v>
      </c>
      <c r="Z106" s="17">
        <f>-_xlfn.XLOOKUP($C106,TB_UAE!$E:$E,TB_UAE!AB:AB)*Z$2</f>
        <v>3309.81</v>
      </c>
      <c r="AA106" s="17">
        <f>-_xlfn.XLOOKUP($C106,TB_UAE!$E:$E,TB_UAE!AC:AC)*AA$2</f>
        <v>1183.9110000000001</v>
      </c>
      <c r="AB106" s="17">
        <f>-_xlfn.XLOOKUP($C106,TB_UAE!$E:$E,TB_UAE!AD:AD)*AB$2</f>
        <v>6044.6080000000002</v>
      </c>
      <c r="AC106" s="17">
        <f>-_xlfn.XLOOKUP($C106,TB_UAE!$E:$E,TB_UAE!AE:AE)*AC$2</f>
        <v>0</v>
      </c>
      <c r="AD106" s="17">
        <f>-_xlfn.XLOOKUP($C106,TB_UAE!$E:$E,TB_UAE!AF:AF)*AD$2</f>
        <v>0</v>
      </c>
      <c r="AE106" s="17">
        <f>-_xlfn.XLOOKUP($C106,TB_UAE!$E:$E,TB_UAE!AG:AG)*AE$2</f>
        <v>4490.3520000000008</v>
      </c>
      <c r="AF106" s="17">
        <f>-_xlfn.XLOOKUP($C106,TB_UAE!$E:$E,TB_UAE!AH:AH)*AF$2</f>
        <v>0</v>
      </c>
      <c r="AG106" s="17">
        <f>-_xlfn.XLOOKUP($C106,TB_UAE!$E:$E,TB_UAE!AI:AI)*AG$2</f>
        <v>0</v>
      </c>
      <c r="AH106" s="17">
        <f>-_xlfn.XLOOKUP($C106,TB_UAE!$E:$E,TB_UAE!AJ:AJ)*AH$2</f>
        <v>0</v>
      </c>
      <c r="AI106" s="17">
        <f>-_xlfn.XLOOKUP($C106,TB_UAE!$E:$E,TB_UAE!AK:AK)*AI$2</f>
        <v>0</v>
      </c>
      <c r="AJ106" s="17">
        <f>-_xlfn.XLOOKUP($C106,TB_UAE!$E:$E,TB_UAE!AL:AL)*AJ$2</f>
        <v>0</v>
      </c>
      <c r="AK106" s="17">
        <f>-_xlfn.XLOOKUP($C106,TB_UAE!$E:$E,TB_UAE!AM:AM)*AK$2</f>
        <v>0</v>
      </c>
      <c r="AL106" s="17">
        <f>-_xlfn.XLOOKUP($C106,TB_UAE!$E:$E,TB_UAE!AN:AN)*AL$2</f>
        <v>0</v>
      </c>
      <c r="AM106" s="17">
        <f>-_xlfn.XLOOKUP($C106,TB_UAE!$E:$E,TB_UAE!AO:AO)*AM$2</f>
        <v>0</v>
      </c>
    </row>
    <row r="107" spans="2:46" x14ac:dyDescent="0.2">
      <c r="B107" s="21"/>
      <c r="C107" s="22" t="s">
        <v>142</v>
      </c>
      <c r="D107" s="23">
        <f>SUM(D106)</f>
        <v>0</v>
      </c>
      <c r="E107" s="23">
        <f t="shared" ref="E107:AM107" si="15">SUM(E106)</f>
        <v>0</v>
      </c>
      <c r="F107" s="23">
        <f t="shared" si="15"/>
        <v>0</v>
      </c>
      <c r="G107" s="23">
        <f t="shared" si="15"/>
        <v>0</v>
      </c>
      <c r="H107" s="23">
        <f t="shared" si="15"/>
        <v>708221.2</v>
      </c>
      <c r="I107" s="23">
        <f t="shared" si="15"/>
        <v>0</v>
      </c>
      <c r="J107" s="23">
        <f t="shared" si="15"/>
        <v>0</v>
      </c>
      <c r="K107" s="23">
        <f t="shared" si="15"/>
        <v>0</v>
      </c>
      <c r="L107" s="23">
        <f t="shared" si="15"/>
        <v>0</v>
      </c>
      <c r="M107" s="23">
        <f t="shared" si="15"/>
        <v>254461.54986</v>
      </c>
      <c r="N107" s="23">
        <f t="shared" si="15"/>
        <v>0</v>
      </c>
      <c r="O107" s="23">
        <f t="shared" si="15"/>
        <v>24081.107680000001</v>
      </c>
      <c r="P107" s="23">
        <f t="shared" si="15"/>
        <v>-793301.18759999995</v>
      </c>
      <c r="Q107" s="23">
        <f t="shared" si="15"/>
        <v>0</v>
      </c>
      <c r="R107" s="23">
        <f t="shared" si="15"/>
        <v>0</v>
      </c>
      <c r="S107" s="23">
        <f t="shared" si="15"/>
        <v>0</v>
      </c>
      <c r="T107" s="23">
        <f t="shared" si="15"/>
        <v>0</v>
      </c>
      <c r="U107" s="23">
        <f t="shared" si="15"/>
        <v>0</v>
      </c>
      <c r="V107" s="23">
        <f t="shared" si="15"/>
        <v>8787.4015799999997</v>
      </c>
      <c r="W107" s="23">
        <f t="shared" si="15"/>
        <v>0</v>
      </c>
      <c r="X107" s="23">
        <f t="shared" si="15"/>
        <v>-865645.73207999999</v>
      </c>
      <c r="Y107" s="23">
        <f t="shared" si="15"/>
        <v>3314.6400000000003</v>
      </c>
      <c r="Z107" s="23">
        <f t="shared" si="15"/>
        <v>3309.81</v>
      </c>
      <c r="AA107" s="23">
        <f>SUM(AA106)</f>
        <v>1183.9110000000001</v>
      </c>
      <c r="AB107" s="23">
        <f t="shared" si="15"/>
        <v>6044.6080000000002</v>
      </c>
      <c r="AC107" s="23">
        <f t="shared" si="15"/>
        <v>0</v>
      </c>
      <c r="AD107" s="23">
        <f t="shared" si="15"/>
        <v>0</v>
      </c>
      <c r="AE107" s="23">
        <f t="shared" si="15"/>
        <v>4490.3520000000008</v>
      </c>
      <c r="AF107" s="23">
        <f t="shared" si="15"/>
        <v>0</v>
      </c>
      <c r="AG107" s="23">
        <f t="shared" si="15"/>
        <v>0</v>
      </c>
      <c r="AH107" s="23">
        <f t="shared" si="15"/>
        <v>0</v>
      </c>
      <c r="AI107" s="23">
        <f t="shared" si="15"/>
        <v>0</v>
      </c>
      <c r="AJ107" s="23">
        <f t="shared" si="15"/>
        <v>0</v>
      </c>
      <c r="AK107" s="23">
        <f t="shared" si="15"/>
        <v>0</v>
      </c>
      <c r="AL107" s="23">
        <f t="shared" si="15"/>
        <v>0</v>
      </c>
      <c r="AM107" s="23">
        <f t="shared" si="15"/>
        <v>0</v>
      </c>
      <c r="AS107" s="23">
        <f>SUM(D107:O107)</f>
        <v>986763.85754</v>
      </c>
      <c r="AT107" s="23">
        <f>SUM(P107:AA107)</f>
        <v>-1642351.1571</v>
      </c>
    </row>
    <row r="108" spans="2:46" x14ac:dyDescent="0.2">
      <c r="B108" s="21"/>
      <c r="C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8"/>
    </row>
    <row r="109" spans="2:46" x14ac:dyDescent="0.2">
      <c r="B109" s="21"/>
      <c r="C109" s="20" t="s">
        <v>143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8"/>
    </row>
    <row r="110" spans="2:46" x14ac:dyDescent="0.2">
      <c r="B110" s="74" t="s">
        <v>918</v>
      </c>
      <c r="C110" s="16" t="str">
        <f>_xlfn.XLOOKUP(B110,TB_UAE!A:A,TB_UAE!E:E)</f>
        <v>Intercompany Transactions</v>
      </c>
      <c r="D110" s="17">
        <f>-_xlfn.XLOOKUP($C110,TB_UAE!$E:$E,TB_UAE!F:F)*D$2</f>
        <v>-1715730.5519900001</v>
      </c>
      <c r="E110" s="17">
        <f>-_xlfn.XLOOKUP($C110,TB_UAE!$E:$E,TB_UAE!G:G)*E$2</f>
        <v>-1676451.74288</v>
      </c>
      <c r="F110" s="17">
        <f>-_xlfn.XLOOKUP($C110,TB_UAE!$E:$E,TB_UAE!H:H)*F$2</f>
        <v>-1644821.0001600001</v>
      </c>
      <c r="G110" s="17">
        <f>-_xlfn.XLOOKUP($C110,TB_UAE!$E:$E,TB_UAE!I:I)*G$2</f>
        <v>-2421639.2966399998</v>
      </c>
      <c r="H110" s="17">
        <f>-_xlfn.XLOOKUP($C110,TB_UAE!$E:$E,TB_UAE!J:J)*H$2</f>
        <v>-2671380.5465600002</v>
      </c>
      <c r="I110" s="17">
        <f>-_xlfn.XLOOKUP($C110,TB_UAE!$E:$E,TB_UAE!K:K)*I$2</f>
        <v>-2784975.3258199999</v>
      </c>
      <c r="J110" s="17">
        <f>-_xlfn.XLOOKUP($C110,TB_UAE!$E:$E,TB_UAE!L:L)*J$2</f>
        <v>-2811036.9588799998</v>
      </c>
      <c r="K110" s="17">
        <f>-_xlfn.XLOOKUP($C110,TB_UAE!$E:$E,TB_UAE!M:M)*K$2</f>
        <v>-2795242.1930200001</v>
      </c>
      <c r="L110" s="17">
        <f>-_xlfn.XLOOKUP($C110,TB_UAE!$E:$E,TB_UAE!N:N)*L$2</f>
        <v>-2894885.4883499998</v>
      </c>
      <c r="M110" s="17">
        <f>-_xlfn.XLOOKUP($C110,TB_UAE!$E:$E,TB_UAE!O:O)*M$2</f>
        <v>-2793758.1520799999</v>
      </c>
      <c r="N110" s="17">
        <f>-_xlfn.XLOOKUP($C110,TB_UAE!$E:$E,TB_UAE!P:P)*N$2</f>
        <v>-2793963.9312</v>
      </c>
      <c r="O110" s="17">
        <f>-_xlfn.XLOOKUP($C110,TB_UAE!$E:$E,TB_UAE!Q:Q)*O$2</f>
        <v>272897268.48640001</v>
      </c>
      <c r="P110" s="17">
        <f>-_xlfn.XLOOKUP($C110,TB_UAE!$E:$E,TB_UAE!R:R)*P$2</f>
        <v>-3557184.9275999996</v>
      </c>
      <c r="Q110" s="17">
        <f>-_xlfn.XLOOKUP($C110,TB_UAE!$E:$E,TB_UAE!S:S)*Q$2</f>
        <v>-3703817.0626399997</v>
      </c>
      <c r="R110" s="17">
        <f>-_xlfn.XLOOKUP($C110,TB_UAE!$E:$E,TB_UAE!T:T)*R$2</f>
        <v>-3970350.4848399996</v>
      </c>
      <c r="S110" s="17">
        <f>-_xlfn.XLOOKUP($C110,TB_UAE!$E:$E,TB_UAE!U:U)*S$2</f>
        <v>-3818891.7102600005</v>
      </c>
      <c r="T110" s="17">
        <f>-_xlfn.XLOOKUP($C110,TB_UAE!$E:$E,TB_UAE!V:V)*T$2</f>
        <v>-3951002.8732400006</v>
      </c>
      <c r="U110" s="17">
        <f>-_xlfn.XLOOKUP($C110,TB_UAE!$E:$E,TB_UAE!W:W)*U$2</f>
        <v>-3943279.0765200001</v>
      </c>
      <c r="V110" s="17">
        <f>-_xlfn.XLOOKUP($C110,TB_UAE!$E:$E,TB_UAE!X:X)*V$2</f>
        <v>-3872085.7988200001</v>
      </c>
      <c r="W110" s="17">
        <f>-_xlfn.XLOOKUP($C110,TB_UAE!$E:$E,TB_UAE!Y:Y)*W$2</f>
        <v>-4107856.8519600001</v>
      </c>
      <c r="X110" s="17">
        <f>-_xlfn.XLOOKUP($C110,TB_UAE!$E:$E,TB_UAE!Z:Z)*X$2</f>
        <v>-4565502.871319999</v>
      </c>
      <c r="Y110" s="17">
        <f>-_xlfn.XLOOKUP($C110,TB_UAE!$E:$E,TB_UAE!AA:AA)*Y$2</f>
        <v>-3917813.7220000001</v>
      </c>
      <c r="Z110" s="17">
        <f>-_xlfn.XLOOKUP($C110,TB_UAE!$E:$E,TB_UAE!AB:AB)*Z$2</f>
        <v>-4028531.3012499996</v>
      </c>
      <c r="AA110" s="17">
        <f>-_xlfn.XLOOKUP($C110,TB_UAE!$E:$E,TB_UAE!AC:AC)*AA$2</f>
        <v>309121892.98803997</v>
      </c>
      <c r="AB110" s="17">
        <f>-_xlfn.XLOOKUP($C110,TB_UAE!$E:$E,TB_UAE!AD:AD)*AB$2</f>
        <v>-3690803.6438800003</v>
      </c>
      <c r="AC110" s="17">
        <f>-_xlfn.XLOOKUP($C110,TB_UAE!$E:$E,TB_UAE!AE:AE)*AC$2</f>
        <v>-4175528.6863000002</v>
      </c>
      <c r="AD110" s="17">
        <f>-_xlfn.XLOOKUP($C110,TB_UAE!$E:$E,TB_UAE!AF:AF)*AD$2</f>
        <v>-4227395.6666400004</v>
      </c>
      <c r="AE110" s="17">
        <f>-_xlfn.XLOOKUP($C110,TB_UAE!$E:$E,TB_UAE!AG:AG)*AE$2</f>
        <v>-4295302.335</v>
      </c>
      <c r="AF110" s="17">
        <f>-_xlfn.XLOOKUP($C110,TB_UAE!$E:$E,TB_UAE!AH:AH)*AF$2</f>
        <v>0</v>
      </c>
      <c r="AG110" s="17">
        <f>-_xlfn.XLOOKUP($C110,TB_UAE!$E:$E,TB_UAE!AI:AI)*AG$2</f>
        <v>0</v>
      </c>
      <c r="AH110" s="17">
        <f>-_xlfn.XLOOKUP($C110,TB_UAE!$E:$E,TB_UAE!AJ:AJ)*AH$2</f>
        <v>0</v>
      </c>
      <c r="AI110" s="17">
        <f>-_xlfn.XLOOKUP($C110,TB_UAE!$E:$E,TB_UAE!AK:AK)*AI$2</f>
        <v>0</v>
      </c>
      <c r="AJ110" s="17">
        <f>-_xlfn.XLOOKUP($C110,TB_UAE!$E:$E,TB_UAE!AL:AL)*AJ$2</f>
        <v>0</v>
      </c>
      <c r="AK110" s="17">
        <f>-_xlfn.XLOOKUP($C110,TB_UAE!$E:$E,TB_UAE!AM:AM)*AK$2</f>
        <v>0</v>
      </c>
      <c r="AL110" s="17">
        <f>-_xlfn.XLOOKUP($C110,TB_UAE!$E:$E,TB_UAE!AN:AN)*AL$2</f>
        <v>0</v>
      </c>
      <c r="AM110" s="17">
        <f>-_xlfn.XLOOKUP($C110,TB_UAE!$E:$E,TB_UAE!AO:AO)*AM$2</f>
        <v>0</v>
      </c>
    </row>
    <row r="111" spans="2:46" x14ac:dyDescent="0.2">
      <c r="B111" s="74" t="s">
        <v>919</v>
      </c>
      <c r="C111" s="16" t="str">
        <f>_xlfn.XLOOKUP(B111,TB_UAE!A:A,TB_UAE!E:E)</f>
        <v>Office Expense</v>
      </c>
      <c r="D111" s="17">
        <f>-_xlfn.XLOOKUP($C111,TB_UAE!$E:$E,TB_UAE!F:F)*D$2</f>
        <v>0</v>
      </c>
      <c r="E111" s="17">
        <f>-_xlfn.XLOOKUP($C111,TB_UAE!$E:$E,TB_UAE!G:G)*E$2</f>
        <v>-864712</v>
      </c>
      <c r="F111" s="17">
        <f>-_xlfn.XLOOKUP($C111,TB_UAE!$E:$E,TB_UAE!H:H)*F$2</f>
        <v>0</v>
      </c>
      <c r="G111" s="17">
        <f>-_xlfn.XLOOKUP($C111,TB_UAE!$E:$E,TB_UAE!I:I)*G$2</f>
        <v>0</v>
      </c>
      <c r="H111" s="17">
        <f>-_xlfn.XLOOKUP($C111,TB_UAE!$E:$E,TB_UAE!J:J)*H$2</f>
        <v>0</v>
      </c>
      <c r="I111" s="17">
        <f>-_xlfn.XLOOKUP($C111,TB_UAE!$E:$E,TB_UAE!K:K)*I$2</f>
        <v>0</v>
      </c>
      <c r="J111" s="17">
        <f>-_xlfn.XLOOKUP($C111,TB_UAE!$E:$E,TB_UAE!L:L)*J$2</f>
        <v>0</v>
      </c>
      <c r="K111" s="17">
        <f>-_xlfn.XLOOKUP($C111,TB_UAE!$E:$E,TB_UAE!M:M)*K$2</f>
        <v>0</v>
      </c>
      <c r="L111" s="17">
        <f>-_xlfn.XLOOKUP($C111,TB_UAE!$E:$E,TB_UAE!N:N)*L$2</f>
        <v>136226.70000000001</v>
      </c>
      <c r="M111" s="17">
        <f>-_xlfn.XLOOKUP($C111,TB_UAE!$E:$E,TB_UAE!O:O)*M$2</f>
        <v>0</v>
      </c>
      <c r="N111" s="17">
        <f>-_xlfn.XLOOKUP($C111,TB_UAE!$E:$E,TB_UAE!P:P)*N$2</f>
        <v>0</v>
      </c>
      <c r="O111" s="17">
        <f>-_xlfn.XLOOKUP($C111,TB_UAE!$E:$E,TB_UAE!Q:Q)*O$2</f>
        <v>0</v>
      </c>
      <c r="P111" s="17">
        <f>-_xlfn.XLOOKUP($C111,TB_UAE!$E:$E,TB_UAE!R:R)*P$2</f>
        <v>0</v>
      </c>
      <c r="Q111" s="17">
        <f>-_xlfn.XLOOKUP($C111,TB_UAE!$E:$E,TB_UAE!S:S)*Q$2</f>
        <v>0</v>
      </c>
      <c r="R111" s="17">
        <f>-_xlfn.XLOOKUP($C111,TB_UAE!$E:$E,TB_UAE!T:T)*R$2</f>
        <v>-155125.91211999999</v>
      </c>
      <c r="S111" s="17">
        <f>-_xlfn.XLOOKUP($C111,TB_UAE!$E:$E,TB_UAE!U:U)*S$2</f>
        <v>0</v>
      </c>
      <c r="T111" s="17">
        <f>-_xlfn.XLOOKUP($C111,TB_UAE!$E:$E,TB_UAE!V:V)*T$2</f>
        <v>0</v>
      </c>
      <c r="U111" s="17">
        <f>-_xlfn.XLOOKUP($C111,TB_UAE!$E:$E,TB_UAE!W:W)*U$2</f>
        <v>-4935.3309600000002</v>
      </c>
      <c r="V111" s="17">
        <f>-_xlfn.XLOOKUP($C111,TB_UAE!$E:$E,TB_UAE!X:X)*V$2</f>
        <v>0</v>
      </c>
      <c r="W111" s="17">
        <f>-_xlfn.XLOOKUP($C111,TB_UAE!$E:$E,TB_UAE!Y:Y)*W$2</f>
        <v>0</v>
      </c>
      <c r="X111" s="17">
        <f>-_xlfn.XLOOKUP($C111,TB_UAE!$E:$E,TB_UAE!Z:Z)*X$2</f>
        <v>0</v>
      </c>
      <c r="Y111" s="17">
        <f>-_xlfn.XLOOKUP($C111,TB_UAE!$E:$E,TB_UAE!AA:AA)*Y$2</f>
        <v>0</v>
      </c>
      <c r="Z111" s="17">
        <f>-_xlfn.XLOOKUP($C111,TB_UAE!$E:$E,TB_UAE!AB:AB)*Z$2</f>
        <v>0</v>
      </c>
      <c r="AA111" s="17">
        <f>-_xlfn.XLOOKUP($C111,TB_UAE!$E:$E,TB_UAE!AC:AC)*AA$2</f>
        <v>0</v>
      </c>
      <c r="AB111" s="17">
        <f>-_xlfn.XLOOKUP($C111,TB_UAE!$E:$E,TB_UAE!AD:AD)*AB$2</f>
        <v>0</v>
      </c>
      <c r="AC111" s="17">
        <f>-_xlfn.XLOOKUP($C111,TB_UAE!$E:$E,TB_UAE!AE:AE)*AC$2</f>
        <v>0</v>
      </c>
      <c r="AD111" s="17">
        <f>-_xlfn.XLOOKUP($C111,TB_UAE!$E:$E,TB_UAE!AF:AF)*AD$2</f>
        <v>0</v>
      </c>
      <c r="AE111" s="17">
        <f>-_xlfn.XLOOKUP($C111,TB_UAE!$E:$E,TB_UAE!AG:AG)*AE$2</f>
        <v>0</v>
      </c>
      <c r="AF111" s="17">
        <f>-_xlfn.XLOOKUP($C111,TB_UAE!$E:$E,TB_UAE!AH:AH)*AF$2</f>
        <v>0</v>
      </c>
      <c r="AG111" s="17">
        <f>-_xlfn.XLOOKUP($C111,TB_UAE!$E:$E,TB_UAE!AI:AI)*AG$2</f>
        <v>0</v>
      </c>
      <c r="AH111" s="17">
        <f>-_xlfn.XLOOKUP($C111,TB_UAE!$E:$E,TB_UAE!AJ:AJ)*AH$2</f>
        <v>0</v>
      </c>
      <c r="AI111" s="17">
        <f>-_xlfn.XLOOKUP($C111,TB_UAE!$E:$E,TB_UAE!AK:AK)*AI$2</f>
        <v>0</v>
      </c>
      <c r="AJ111" s="17">
        <f>-_xlfn.XLOOKUP($C111,TB_UAE!$E:$E,TB_UAE!AL:AL)*AJ$2</f>
        <v>0</v>
      </c>
      <c r="AK111" s="17">
        <f>-_xlfn.XLOOKUP($C111,TB_UAE!$E:$E,TB_UAE!AM:AM)*AK$2</f>
        <v>0</v>
      </c>
      <c r="AL111" s="17">
        <f>-_xlfn.XLOOKUP($C111,TB_UAE!$E:$E,TB_UAE!AN:AN)*AL$2</f>
        <v>0</v>
      </c>
      <c r="AM111" s="17">
        <f>-_xlfn.XLOOKUP($C111,TB_UAE!$E:$E,TB_UAE!AO:AO)*AM$2</f>
        <v>0</v>
      </c>
    </row>
    <row r="112" spans="2:46" x14ac:dyDescent="0.2">
      <c r="B112" s="21"/>
      <c r="C112" s="22" t="s">
        <v>144</v>
      </c>
      <c r="D112" s="23">
        <f>SUM(D110:D111)</f>
        <v>-1715730.5519900001</v>
      </c>
      <c r="E112" s="23">
        <f t="shared" ref="E112:AM112" si="16">SUM(E110:E111)</f>
        <v>-2541163.7428799998</v>
      </c>
      <c r="F112" s="23">
        <f t="shared" si="16"/>
        <v>-1644821.0001600001</v>
      </c>
      <c r="G112" s="23">
        <f t="shared" si="16"/>
        <v>-2421639.2966399998</v>
      </c>
      <c r="H112" s="23">
        <f t="shared" si="16"/>
        <v>-2671380.5465600002</v>
      </c>
      <c r="I112" s="23">
        <f t="shared" si="16"/>
        <v>-2784975.3258199999</v>
      </c>
      <c r="J112" s="23">
        <f t="shared" si="16"/>
        <v>-2811036.9588799998</v>
      </c>
      <c r="K112" s="23">
        <f t="shared" si="16"/>
        <v>-2795242.1930200001</v>
      </c>
      <c r="L112" s="23">
        <f t="shared" si="16"/>
        <v>-2758658.7883499996</v>
      </c>
      <c r="M112" s="23">
        <f t="shared" si="16"/>
        <v>-2793758.1520799999</v>
      </c>
      <c r="N112" s="23">
        <f t="shared" si="16"/>
        <v>-2793963.9312</v>
      </c>
      <c r="O112" s="23">
        <f t="shared" si="16"/>
        <v>272897268.48640001</v>
      </c>
      <c r="P112" s="23">
        <f t="shared" si="16"/>
        <v>-3557184.9275999996</v>
      </c>
      <c r="Q112" s="23">
        <f t="shared" si="16"/>
        <v>-3703817.0626399997</v>
      </c>
      <c r="R112" s="23">
        <f t="shared" si="16"/>
        <v>-4125476.3969599996</v>
      </c>
      <c r="S112" s="23">
        <f t="shared" si="16"/>
        <v>-3818891.7102600005</v>
      </c>
      <c r="T112" s="23">
        <f t="shared" si="16"/>
        <v>-3951002.8732400006</v>
      </c>
      <c r="U112" s="23">
        <f t="shared" si="16"/>
        <v>-3948214.4074800001</v>
      </c>
      <c r="V112" s="23">
        <f t="shared" si="16"/>
        <v>-3872085.7988200001</v>
      </c>
      <c r="W112" s="23">
        <f t="shared" si="16"/>
        <v>-4107856.8519600001</v>
      </c>
      <c r="X112" s="23">
        <f t="shared" si="16"/>
        <v>-4565502.871319999</v>
      </c>
      <c r="Y112" s="23">
        <f t="shared" si="16"/>
        <v>-3917813.7220000001</v>
      </c>
      <c r="Z112" s="23">
        <f t="shared" si="16"/>
        <v>-4028531.3012499996</v>
      </c>
      <c r="AA112" s="23">
        <f>SUM(AA110:AA111)</f>
        <v>309121892.98803997</v>
      </c>
      <c r="AB112" s="23">
        <f t="shared" si="16"/>
        <v>-3690803.6438800003</v>
      </c>
      <c r="AC112" s="23">
        <f t="shared" si="16"/>
        <v>-4175528.6863000002</v>
      </c>
      <c r="AD112" s="23">
        <f t="shared" si="16"/>
        <v>-4227395.6666400004</v>
      </c>
      <c r="AE112" s="23">
        <f t="shared" si="16"/>
        <v>-4295302.335</v>
      </c>
      <c r="AF112" s="23">
        <f t="shared" si="16"/>
        <v>0</v>
      </c>
      <c r="AG112" s="23">
        <f t="shared" si="16"/>
        <v>0</v>
      </c>
      <c r="AH112" s="23">
        <f t="shared" si="16"/>
        <v>0</v>
      </c>
      <c r="AI112" s="23">
        <f t="shared" si="16"/>
        <v>0</v>
      </c>
      <c r="AJ112" s="23">
        <f t="shared" si="16"/>
        <v>0</v>
      </c>
      <c r="AK112" s="23">
        <f t="shared" si="16"/>
        <v>0</v>
      </c>
      <c r="AL112" s="23">
        <f t="shared" si="16"/>
        <v>0</v>
      </c>
      <c r="AM112" s="23">
        <f t="shared" si="16"/>
        <v>0</v>
      </c>
      <c r="AS112" s="23">
        <f>SUM(D112:O112)</f>
        <v>245164897.99882001</v>
      </c>
      <c r="AT112" s="23">
        <f>SUM(P112:AA112)</f>
        <v>265525515.06450999</v>
      </c>
    </row>
    <row r="113" spans="2:46" x14ac:dyDescent="0.2">
      <c r="B113" s="21"/>
      <c r="C113" s="1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8"/>
    </row>
    <row r="114" spans="2:46" x14ac:dyDescent="0.2">
      <c r="B114" s="21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8"/>
    </row>
    <row r="115" spans="2:46" x14ac:dyDescent="0.2">
      <c r="B115" s="21"/>
      <c r="C115" s="22" t="s">
        <v>10</v>
      </c>
      <c r="D115" s="23">
        <f t="shared" ref="D115:AM115" si="17">D43+D48+D56+D70+D81+D88+D94+D98+D103+D107+D112</f>
        <v>-11991063.380010001</v>
      </c>
      <c r="E115" s="23">
        <f t="shared" si="17"/>
        <v>-24215243.523400001</v>
      </c>
      <c r="F115" s="23">
        <f t="shared" si="17"/>
        <v>-21737521.24952</v>
      </c>
      <c r="G115" s="23">
        <f t="shared" si="17"/>
        <v>-17627597.082540002</v>
      </c>
      <c r="H115" s="23">
        <f t="shared" si="17"/>
        <v>-75477995.988639995</v>
      </c>
      <c r="I115" s="23">
        <f t="shared" si="17"/>
        <v>-3397142.0731699998</v>
      </c>
      <c r="J115" s="23">
        <f t="shared" si="17"/>
        <v>-69637594.590079993</v>
      </c>
      <c r="K115" s="23">
        <f t="shared" si="17"/>
        <v>-30669609.90763</v>
      </c>
      <c r="L115" s="23">
        <f t="shared" si="17"/>
        <v>-21313066.81332</v>
      </c>
      <c r="M115" s="23">
        <f t="shared" si="17"/>
        <v>-41892424.157639995</v>
      </c>
      <c r="N115" s="23">
        <f t="shared" si="17"/>
        <v>-29711418.412</v>
      </c>
      <c r="O115" s="23">
        <f t="shared" si="17"/>
        <v>236778638.6848</v>
      </c>
      <c r="P115" s="23">
        <f t="shared" si="17"/>
        <v>-28969134.869600002</v>
      </c>
      <c r="Q115" s="23">
        <f t="shared" si="17"/>
        <v>-28787183.872400001</v>
      </c>
      <c r="R115" s="23">
        <f t="shared" si="17"/>
        <v>-27667300.878059998</v>
      </c>
      <c r="S115" s="23">
        <f t="shared" si="17"/>
        <v>-28451718.727790002</v>
      </c>
      <c r="T115" s="23">
        <f t="shared" si="17"/>
        <v>-29369755.625790004</v>
      </c>
      <c r="U115" s="23">
        <f t="shared" si="17"/>
        <v>-29217675.478530001</v>
      </c>
      <c r="V115" s="23">
        <f t="shared" si="17"/>
        <v>-27586649.3594</v>
      </c>
      <c r="W115" s="23">
        <f t="shared" si="17"/>
        <v>-29199321.139620002</v>
      </c>
      <c r="X115" s="23">
        <f t="shared" si="17"/>
        <v>-29526497.810279999</v>
      </c>
      <c r="Y115" s="23">
        <f t="shared" si="17"/>
        <v>-28413216.405999996</v>
      </c>
      <c r="Z115" s="23">
        <f t="shared" si="17"/>
        <v>-28448100.648000002</v>
      </c>
      <c r="AA115" s="23">
        <f>AA43+AA48+AA56+AA70+AA81+AA88+AA94+AA98+AA103+AA107+AA112</f>
        <v>275639930.94013</v>
      </c>
      <c r="AB115" s="23">
        <f t="shared" si="17"/>
        <v>-25469046.477119997</v>
      </c>
      <c r="AC115" s="23">
        <f t="shared" si="17"/>
        <v>-25950182.995949998</v>
      </c>
      <c r="AD115" s="23">
        <f t="shared" si="17"/>
        <v>-26052825.10441</v>
      </c>
      <c r="AE115" s="23">
        <f t="shared" si="17"/>
        <v>-26497241.601479996</v>
      </c>
      <c r="AF115" s="23">
        <f t="shared" si="17"/>
        <v>0</v>
      </c>
      <c r="AG115" s="23">
        <f t="shared" si="17"/>
        <v>0</v>
      </c>
      <c r="AH115" s="23">
        <f t="shared" si="17"/>
        <v>0</v>
      </c>
      <c r="AI115" s="23">
        <f t="shared" si="17"/>
        <v>0</v>
      </c>
      <c r="AJ115" s="23">
        <f t="shared" si="17"/>
        <v>0</v>
      </c>
      <c r="AK115" s="23">
        <f t="shared" si="17"/>
        <v>0</v>
      </c>
      <c r="AL115" s="23">
        <f t="shared" si="17"/>
        <v>0</v>
      </c>
      <c r="AM115" s="23">
        <f t="shared" si="17"/>
        <v>0</v>
      </c>
      <c r="AS115" s="23">
        <f>SUM(D115:O115)</f>
        <v>-110892038.49314997</v>
      </c>
      <c r="AT115" s="23">
        <f>SUM(P115:AA115)</f>
        <v>-39996623.875339985</v>
      </c>
    </row>
    <row r="116" spans="2:46" x14ac:dyDescent="0.2">
      <c r="B116" s="21"/>
      <c r="C116" s="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8"/>
    </row>
    <row r="117" spans="2:46" x14ac:dyDescent="0.2">
      <c r="B117" s="21"/>
      <c r="C117" s="1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8"/>
    </row>
    <row r="118" spans="2:46" s="27" customFormat="1" x14ac:dyDescent="0.2">
      <c r="B118" s="24"/>
      <c r="C118" s="25" t="s">
        <v>12</v>
      </c>
      <c r="D118" s="26">
        <f t="shared" ref="D118:AM118" si="18">D21+D29+D115</f>
        <v>-11991063.380010001</v>
      </c>
      <c r="E118" s="26">
        <f t="shared" si="18"/>
        <v>-24215243.523400001</v>
      </c>
      <c r="F118" s="26">
        <f t="shared" si="18"/>
        <v>-21737521.24952</v>
      </c>
      <c r="G118" s="26">
        <f t="shared" si="18"/>
        <v>-17627597.082540002</v>
      </c>
      <c r="H118" s="26">
        <f t="shared" si="18"/>
        <v>-75477995.988639995</v>
      </c>
      <c r="I118" s="26">
        <f t="shared" si="18"/>
        <v>-3397142.0731699998</v>
      </c>
      <c r="J118" s="26">
        <f t="shared" si="18"/>
        <v>-69637594.590079993</v>
      </c>
      <c r="K118" s="26">
        <f t="shared" si="18"/>
        <v>-30669609.90763</v>
      </c>
      <c r="L118" s="26">
        <f t="shared" si="18"/>
        <v>-21313066.81332</v>
      </c>
      <c r="M118" s="26">
        <f t="shared" si="18"/>
        <v>-41892424.157639995</v>
      </c>
      <c r="N118" s="26">
        <f t="shared" si="18"/>
        <v>-29711418.412</v>
      </c>
      <c r="O118" s="26">
        <f t="shared" si="18"/>
        <v>236778638.6848</v>
      </c>
      <c r="P118" s="26">
        <f t="shared" si="18"/>
        <v>-28969134.869600002</v>
      </c>
      <c r="Q118" s="26">
        <f t="shared" si="18"/>
        <v>-28787183.872400001</v>
      </c>
      <c r="R118" s="26">
        <f t="shared" si="18"/>
        <v>-27667300.878059998</v>
      </c>
      <c r="S118" s="26">
        <f t="shared" si="18"/>
        <v>-28451718.727790002</v>
      </c>
      <c r="T118" s="26">
        <f t="shared" si="18"/>
        <v>-29369755.625790004</v>
      </c>
      <c r="U118" s="26">
        <f t="shared" si="18"/>
        <v>-29217675.478530001</v>
      </c>
      <c r="V118" s="26">
        <f t="shared" si="18"/>
        <v>-27586649.3594</v>
      </c>
      <c r="W118" s="26">
        <f t="shared" si="18"/>
        <v>-29199321.139620002</v>
      </c>
      <c r="X118" s="26">
        <f t="shared" si="18"/>
        <v>-29526497.810279999</v>
      </c>
      <c r="Y118" s="26">
        <f t="shared" si="18"/>
        <v>-28413216.405999996</v>
      </c>
      <c r="Z118" s="26">
        <f t="shared" si="18"/>
        <v>-28448100.648000002</v>
      </c>
      <c r="AA118" s="26">
        <f>AA21+AA29+AA115</f>
        <v>291369040.99105</v>
      </c>
      <c r="AB118" s="26">
        <f t="shared" si="18"/>
        <v>-25469046.477119997</v>
      </c>
      <c r="AC118" s="26">
        <f t="shared" si="18"/>
        <v>-25950182.995949998</v>
      </c>
      <c r="AD118" s="26">
        <f t="shared" si="18"/>
        <v>-26052825.10441</v>
      </c>
      <c r="AE118" s="26">
        <f t="shared" si="18"/>
        <v>-26497241.601479996</v>
      </c>
      <c r="AF118" s="26">
        <f t="shared" si="18"/>
        <v>0</v>
      </c>
      <c r="AG118" s="26">
        <f t="shared" si="18"/>
        <v>0</v>
      </c>
      <c r="AH118" s="26">
        <f t="shared" si="18"/>
        <v>0</v>
      </c>
      <c r="AI118" s="26">
        <f t="shared" si="18"/>
        <v>0</v>
      </c>
      <c r="AJ118" s="26">
        <f t="shared" si="18"/>
        <v>0</v>
      </c>
      <c r="AK118" s="26">
        <f t="shared" si="18"/>
        <v>0</v>
      </c>
      <c r="AL118" s="26">
        <f t="shared" si="18"/>
        <v>0</v>
      </c>
      <c r="AM118" s="26">
        <f t="shared" si="18"/>
        <v>0</v>
      </c>
    </row>
    <row r="119" spans="2:46" s="31" customFormat="1" x14ac:dyDescent="0.2">
      <c r="B119" s="28"/>
      <c r="C119" s="29" t="s">
        <v>145</v>
      </c>
      <c r="D119" s="30" t="str">
        <f>IFERROR(D118/D11,"n/a")</f>
        <v>n/a</v>
      </c>
      <c r="E119" s="30" t="str">
        <f t="shared" ref="E119:AM119" si="19">IFERROR(E118/E11,"n/a")</f>
        <v>n/a</v>
      </c>
      <c r="F119" s="30" t="str">
        <f t="shared" si="19"/>
        <v>n/a</v>
      </c>
      <c r="G119" s="30" t="str">
        <f t="shared" si="19"/>
        <v>n/a</v>
      </c>
      <c r="H119" s="30" t="str">
        <f t="shared" si="19"/>
        <v>n/a</v>
      </c>
      <c r="I119" s="30" t="str">
        <f t="shared" si="19"/>
        <v>n/a</v>
      </c>
      <c r="J119" s="30" t="str">
        <f t="shared" si="19"/>
        <v>n/a</v>
      </c>
      <c r="K119" s="30" t="str">
        <f t="shared" si="19"/>
        <v>n/a</v>
      </c>
      <c r="L119" s="30" t="str">
        <f t="shared" si="19"/>
        <v>n/a</v>
      </c>
      <c r="M119" s="30" t="str">
        <f t="shared" si="19"/>
        <v>n/a</v>
      </c>
      <c r="N119" s="30" t="str">
        <f t="shared" si="19"/>
        <v>n/a</v>
      </c>
      <c r="O119" s="30" t="str">
        <f t="shared" si="19"/>
        <v>n/a</v>
      </c>
      <c r="P119" s="30" t="str">
        <f t="shared" si="19"/>
        <v>n/a</v>
      </c>
      <c r="Q119" s="30" t="str">
        <f t="shared" si="19"/>
        <v>n/a</v>
      </c>
      <c r="R119" s="30" t="str">
        <f t="shared" si="19"/>
        <v>n/a</v>
      </c>
      <c r="S119" s="30" t="str">
        <f t="shared" si="19"/>
        <v>n/a</v>
      </c>
      <c r="T119" s="30" t="str">
        <f t="shared" si="19"/>
        <v>n/a</v>
      </c>
      <c r="U119" s="30" t="str">
        <f t="shared" si="19"/>
        <v>n/a</v>
      </c>
      <c r="V119" s="30" t="str">
        <f t="shared" si="19"/>
        <v>n/a</v>
      </c>
      <c r="W119" s="30" t="str">
        <f t="shared" si="19"/>
        <v>n/a</v>
      </c>
      <c r="X119" s="30" t="str">
        <f t="shared" si="19"/>
        <v>n/a</v>
      </c>
      <c r="Y119" s="30" t="str">
        <f t="shared" si="19"/>
        <v>n/a</v>
      </c>
      <c r="Z119" s="30" t="str">
        <f t="shared" si="19"/>
        <v>n/a</v>
      </c>
      <c r="AA119" s="30" t="str">
        <f>IFERROR(AA118/AA11,"n/a")</f>
        <v>n/a</v>
      </c>
      <c r="AB119" s="30" t="str">
        <f t="shared" si="19"/>
        <v>n/a</v>
      </c>
      <c r="AC119" s="30" t="str">
        <f t="shared" si="19"/>
        <v>n/a</v>
      </c>
      <c r="AD119" s="30" t="str">
        <f t="shared" si="19"/>
        <v>n/a</v>
      </c>
      <c r="AE119" s="30" t="str">
        <f t="shared" si="19"/>
        <v>n/a</v>
      </c>
      <c r="AF119" s="30" t="str">
        <f t="shared" si="19"/>
        <v>n/a</v>
      </c>
      <c r="AG119" s="30" t="str">
        <f t="shared" si="19"/>
        <v>n/a</v>
      </c>
      <c r="AH119" s="30" t="str">
        <f t="shared" si="19"/>
        <v>n/a</v>
      </c>
      <c r="AI119" s="30" t="str">
        <f t="shared" si="19"/>
        <v>n/a</v>
      </c>
      <c r="AJ119" s="30" t="str">
        <f t="shared" si="19"/>
        <v>n/a</v>
      </c>
      <c r="AK119" s="30" t="str">
        <f t="shared" si="19"/>
        <v>n/a</v>
      </c>
      <c r="AL119" s="30" t="str">
        <f t="shared" si="19"/>
        <v>n/a</v>
      </c>
      <c r="AM119" s="30" t="str">
        <f t="shared" si="19"/>
        <v>n/a</v>
      </c>
    </row>
    <row r="120" spans="2:46" x14ac:dyDescent="0.2">
      <c r="B120" s="21"/>
      <c r="C120" s="16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8"/>
    </row>
    <row r="121" spans="2:46" x14ac:dyDescent="0.2">
      <c r="B121" s="21"/>
      <c r="C121" s="20" t="s">
        <v>146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8"/>
    </row>
    <row r="122" spans="2:46" x14ac:dyDescent="0.2">
      <c r="B122" s="74" t="s">
        <v>920</v>
      </c>
      <c r="C122" s="16" t="str">
        <f>_xlfn.XLOOKUP(B122,TB_UAE!A:A,TB_UAE!E:E)</f>
        <v>Amortisation expense</v>
      </c>
      <c r="D122" s="17">
        <f>-_xlfn.XLOOKUP($C122,TB_UAE!$E:$E,TB_UAE!F:F)*D$2</f>
        <v>0</v>
      </c>
      <c r="E122" s="17">
        <f>-_xlfn.XLOOKUP($C122,TB_UAE!$E:$E,TB_UAE!G:G)*E$2</f>
        <v>0</v>
      </c>
      <c r="F122" s="17">
        <f>-_xlfn.XLOOKUP($C122,TB_UAE!$E:$E,TB_UAE!H:H)*F$2</f>
        <v>0</v>
      </c>
      <c r="G122" s="17">
        <f>-_xlfn.XLOOKUP($C122,TB_UAE!$E:$E,TB_UAE!I:I)*G$2</f>
        <v>0</v>
      </c>
      <c r="H122" s="17">
        <f>-_xlfn.XLOOKUP($C122,TB_UAE!$E:$E,TB_UAE!J:J)*H$2</f>
        <v>0</v>
      </c>
      <c r="I122" s="17">
        <f>-_xlfn.XLOOKUP($C122,TB_UAE!$E:$E,TB_UAE!K:K)*I$2</f>
        <v>0</v>
      </c>
      <c r="J122" s="17">
        <f>-_xlfn.XLOOKUP($C122,TB_UAE!$E:$E,TB_UAE!L:L)*J$2</f>
        <v>0</v>
      </c>
      <c r="K122" s="17">
        <f>-_xlfn.XLOOKUP($C122,TB_UAE!$E:$E,TB_UAE!M:M)*K$2</f>
        <v>0</v>
      </c>
      <c r="L122" s="17">
        <f>-_xlfn.XLOOKUP($C122,TB_UAE!$E:$E,TB_UAE!N:N)*L$2</f>
        <v>0</v>
      </c>
      <c r="M122" s="17">
        <f>-_xlfn.XLOOKUP($C122,TB_UAE!$E:$E,TB_UAE!O:O)*M$2</f>
        <v>0</v>
      </c>
      <c r="N122" s="17">
        <f>-_xlfn.XLOOKUP($C122,TB_UAE!$E:$E,TB_UAE!P:P)*N$2</f>
        <v>0</v>
      </c>
      <c r="O122" s="17">
        <f>-_xlfn.XLOOKUP($C122,TB_UAE!$E:$E,TB_UAE!Q:Q)*O$2</f>
        <v>0</v>
      </c>
      <c r="P122" s="17">
        <f>-_xlfn.XLOOKUP($C122,TB_UAE!$E:$E,TB_UAE!R:R)*P$2</f>
        <v>0</v>
      </c>
      <c r="Q122" s="17">
        <f>-_xlfn.XLOOKUP($C122,TB_UAE!$E:$E,TB_UAE!S:S)*Q$2</f>
        <v>0</v>
      </c>
      <c r="R122" s="17">
        <f>-_xlfn.XLOOKUP($C122,TB_UAE!$E:$E,TB_UAE!T:T)*R$2</f>
        <v>0</v>
      </c>
      <c r="S122" s="17">
        <f>-_xlfn.XLOOKUP($C122,TB_UAE!$E:$E,TB_UAE!U:U)*S$2</f>
        <v>0</v>
      </c>
      <c r="T122" s="17">
        <f>-_xlfn.XLOOKUP($C122,TB_UAE!$E:$E,TB_UAE!V:V)*T$2</f>
        <v>0</v>
      </c>
      <c r="U122" s="17">
        <f>-_xlfn.XLOOKUP($C122,TB_UAE!$E:$E,TB_UAE!W:W)*U$2</f>
        <v>0</v>
      </c>
      <c r="V122" s="17">
        <f>-_xlfn.XLOOKUP($C122,TB_UAE!$E:$E,TB_UAE!X:X)*V$2</f>
        <v>0</v>
      </c>
      <c r="W122" s="17">
        <f>-_xlfn.XLOOKUP($C122,TB_UAE!$E:$E,TB_UAE!Y:Y)*W$2</f>
        <v>0</v>
      </c>
      <c r="X122" s="17">
        <f>-_xlfn.XLOOKUP($C122,TB_UAE!$E:$E,TB_UAE!Z:Z)*X$2</f>
        <v>0</v>
      </c>
      <c r="Y122" s="17">
        <f>-_xlfn.XLOOKUP($C122,TB_UAE!$E:$E,TB_UAE!AA:AA)*Y$2</f>
        <v>0</v>
      </c>
      <c r="Z122" s="17">
        <f>-_xlfn.XLOOKUP($C122,TB_UAE!$E:$E,TB_UAE!AB:AB)*Z$2</f>
        <v>0</v>
      </c>
      <c r="AA122" s="17">
        <f>-_xlfn.XLOOKUP($C122,TB_UAE!$E:$E,TB_UAE!AC:AC)*AA$2</f>
        <v>0</v>
      </c>
      <c r="AB122" s="17">
        <f>-_xlfn.XLOOKUP($C122,TB_UAE!$E:$E,TB_UAE!AD:AD)*AB$2</f>
        <v>0</v>
      </c>
      <c r="AC122" s="17">
        <f>-_xlfn.XLOOKUP($C122,TB_UAE!$E:$E,TB_UAE!AE:AE)*AC$2</f>
        <v>0</v>
      </c>
      <c r="AD122" s="17">
        <f>-_xlfn.XLOOKUP($C122,TB_UAE!$E:$E,TB_UAE!AF:AF)*AD$2</f>
        <v>0</v>
      </c>
      <c r="AE122" s="17">
        <f>-_xlfn.XLOOKUP($C122,TB_UAE!$E:$E,TB_UAE!AG:AG)*AE$2</f>
        <v>0</v>
      </c>
      <c r="AF122" s="17">
        <f>-_xlfn.XLOOKUP($C122,TB_UAE!$E:$E,TB_UAE!AH:AH)*AF$2</f>
        <v>0</v>
      </c>
      <c r="AG122" s="17">
        <f>-_xlfn.XLOOKUP($C122,TB_UAE!$E:$E,TB_UAE!AI:AI)*AG$2</f>
        <v>0</v>
      </c>
      <c r="AH122" s="17">
        <f>-_xlfn.XLOOKUP($C122,TB_UAE!$E:$E,TB_UAE!AJ:AJ)*AH$2</f>
        <v>0</v>
      </c>
      <c r="AI122" s="17">
        <f>-_xlfn.XLOOKUP($C122,TB_UAE!$E:$E,TB_UAE!AK:AK)*AI$2</f>
        <v>0</v>
      </c>
      <c r="AJ122" s="17">
        <f>-_xlfn.XLOOKUP($C122,TB_UAE!$E:$E,TB_UAE!AL:AL)*AJ$2</f>
        <v>0</v>
      </c>
      <c r="AK122" s="17">
        <f>-_xlfn.XLOOKUP($C122,TB_UAE!$E:$E,TB_UAE!AM:AM)*AK$2</f>
        <v>0</v>
      </c>
      <c r="AL122" s="17">
        <f>-_xlfn.XLOOKUP($C122,TB_UAE!$E:$E,TB_UAE!AN:AN)*AL$2</f>
        <v>0</v>
      </c>
      <c r="AM122" s="17">
        <f>-_xlfn.XLOOKUP($C122,TB_UAE!$E:$E,TB_UAE!AO:AO)*AM$2</f>
        <v>0</v>
      </c>
    </row>
    <row r="123" spans="2:46" x14ac:dyDescent="0.2">
      <c r="B123" s="74" t="s">
        <v>921</v>
      </c>
      <c r="C123" s="16" t="str">
        <f>_xlfn.XLOOKUP(B123,TB_UAE!A:A,TB_UAE!E:E)</f>
        <v>Depreciation Expense</v>
      </c>
      <c r="D123" s="17">
        <f>-_xlfn.XLOOKUP($C123,TB_UAE!$E:$E,TB_UAE!F:F)*D$2</f>
        <v>-8725.784599999999</v>
      </c>
      <c r="E123" s="17">
        <f>-_xlfn.XLOOKUP($C123,TB_UAE!$E:$E,TB_UAE!G:G)*E$2</f>
        <v>-15478.344799999999</v>
      </c>
      <c r="F123" s="17">
        <f>-_xlfn.XLOOKUP($C123,TB_UAE!$E:$E,TB_UAE!H:H)*F$2</f>
        <v>-13568.128399999998</v>
      </c>
      <c r="G123" s="17">
        <f>-_xlfn.XLOOKUP($C123,TB_UAE!$E:$E,TB_UAE!I:I)*G$2</f>
        <v>-13028.801399999998</v>
      </c>
      <c r="H123" s="17">
        <f>-_xlfn.XLOOKUP($C123,TB_UAE!$E:$E,TB_UAE!J:J)*H$2</f>
        <v>-13344.378399999998</v>
      </c>
      <c r="I123" s="17">
        <f>-_xlfn.XLOOKUP($C123,TB_UAE!$E:$E,TB_UAE!K:K)*I$2</f>
        <v>-14958.922599999998</v>
      </c>
      <c r="J123" s="17">
        <f>-_xlfn.XLOOKUP($C123,TB_UAE!$E:$E,TB_UAE!L:L)*J$2</f>
        <v>-15870.569599999999</v>
      </c>
      <c r="K123" s="17">
        <f>-_xlfn.XLOOKUP($C123,TB_UAE!$E:$E,TB_UAE!M:M)*K$2</f>
        <v>-15497.4262</v>
      </c>
      <c r="L123" s="17">
        <f>-_xlfn.XLOOKUP($C123,TB_UAE!$E:$E,TB_UAE!N:N)*L$2</f>
        <v>-16256.386199999999</v>
      </c>
      <c r="M123" s="17">
        <f>-_xlfn.XLOOKUP($C123,TB_UAE!$E:$E,TB_UAE!O:O)*M$2</f>
        <v>-16014.843599999998</v>
      </c>
      <c r="N123" s="17">
        <f>-_xlfn.XLOOKUP($C123,TB_UAE!$E:$E,TB_UAE!P:P)*N$2</f>
        <v>-16400.696</v>
      </c>
      <c r="O123" s="17">
        <f>-_xlfn.XLOOKUP($C123,TB_UAE!$E:$E,TB_UAE!Q:Q)*O$2</f>
        <v>-15074.3776</v>
      </c>
      <c r="P123" s="17">
        <f>-_xlfn.XLOOKUP($C123,TB_UAE!$E:$E,TB_UAE!R:R)*P$2</f>
        <v>-14985.163999999999</v>
      </c>
      <c r="Q123" s="17">
        <f>-_xlfn.XLOOKUP($C123,TB_UAE!$E:$E,TB_UAE!S:S)*Q$2</f>
        <v>-14601.531199999998</v>
      </c>
      <c r="R123" s="17">
        <f>-_xlfn.XLOOKUP($C123,TB_UAE!$E:$E,TB_UAE!T:T)*R$2</f>
        <v>-14965.796199999999</v>
      </c>
      <c r="S123" s="17">
        <f>-_xlfn.XLOOKUP($C123,TB_UAE!$E:$E,TB_UAE!U:U)*S$2</f>
        <v>-15611.270199999999</v>
      </c>
      <c r="T123" s="17">
        <f>-_xlfn.XLOOKUP($C123,TB_UAE!$E:$E,TB_UAE!V:V)*T$2</f>
        <v>-15474.8722</v>
      </c>
      <c r="U123" s="17">
        <f>-_xlfn.XLOOKUP($C123,TB_UAE!$E:$E,TB_UAE!W:W)*U$2</f>
        <v>-15024.221799999999</v>
      </c>
      <c r="V123" s="17">
        <f>-_xlfn.XLOOKUP($C123,TB_UAE!$E:$E,TB_UAE!X:X)*V$2</f>
        <v>-14916.499599999997</v>
      </c>
      <c r="W123" s="17">
        <f>-_xlfn.XLOOKUP($C123,TB_UAE!$E:$E,TB_UAE!Y:Y)*W$2</f>
        <v>-14991.536399999999</v>
      </c>
      <c r="X123" s="17">
        <f>-_xlfn.XLOOKUP($C123,TB_UAE!$E:$E,TB_UAE!Z:Z)*X$2</f>
        <v>-14460.550799999999</v>
      </c>
      <c r="Y123" s="17">
        <f>-_xlfn.XLOOKUP($C123,TB_UAE!$E:$E,TB_UAE!AA:AA)*Y$2</f>
        <v>-14126.68</v>
      </c>
      <c r="Z123" s="17">
        <f>-_xlfn.XLOOKUP($C123,TB_UAE!$E:$E,TB_UAE!AB:AB)*Z$2</f>
        <v>-14106.094999999998</v>
      </c>
      <c r="AA123" s="17">
        <f>-_xlfn.XLOOKUP($C123,TB_UAE!$E:$E,TB_UAE!AC:AC)*AA$2</f>
        <v>-14128.004599999998</v>
      </c>
      <c r="AB123" s="17">
        <f>-_xlfn.XLOOKUP($C123,TB_UAE!$E:$E,TB_UAE!AD:AD)*AB$2</f>
        <v>-13524.810399999998</v>
      </c>
      <c r="AC123" s="17">
        <f>-_xlfn.XLOOKUP($C123,TB_UAE!$E:$E,TB_UAE!AE:AE)*AC$2</f>
        <v>-13226.488999999998</v>
      </c>
      <c r="AD123" s="17">
        <f>-_xlfn.XLOOKUP($C123,TB_UAE!$E:$E,TB_UAE!AF:AF)*AD$2</f>
        <v>-13476.086600000001</v>
      </c>
      <c r="AE123" s="17">
        <f>-_xlfn.XLOOKUP($C123,TB_UAE!$E:$E,TB_UAE!AG:AG)*AE$2</f>
        <v>-13396.2168</v>
      </c>
      <c r="AF123" s="17">
        <f>-_xlfn.XLOOKUP($C123,TB_UAE!$E:$E,TB_UAE!AH:AH)*AF$2</f>
        <v>0</v>
      </c>
      <c r="AG123" s="17">
        <f>-_xlfn.XLOOKUP($C123,TB_UAE!$E:$E,TB_UAE!AI:AI)*AG$2</f>
        <v>0</v>
      </c>
      <c r="AH123" s="17">
        <f>-_xlfn.XLOOKUP($C123,TB_UAE!$E:$E,TB_UAE!AJ:AJ)*AH$2</f>
        <v>0</v>
      </c>
      <c r="AI123" s="17">
        <f>-_xlfn.XLOOKUP($C123,TB_UAE!$E:$E,TB_UAE!AK:AK)*AI$2</f>
        <v>0</v>
      </c>
      <c r="AJ123" s="17">
        <f>-_xlfn.XLOOKUP($C123,TB_UAE!$E:$E,TB_UAE!AL:AL)*AJ$2</f>
        <v>0</v>
      </c>
      <c r="AK123" s="17">
        <f>-_xlfn.XLOOKUP($C123,TB_UAE!$E:$E,TB_UAE!AM:AM)*AK$2</f>
        <v>0</v>
      </c>
      <c r="AL123" s="17">
        <f>-_xlfn.XLOOKUP($C123,TB_UAE!$E:$E,TB_UAE!AN:AN)*AL$2</f>
        <v>0</v>
      </c>
      <c r="AM123" s="17">
        <f>-_xlfn.XLOOKUP($C123,TB_UAE!$E:$E,TB_UAE!AO:AO)*AM$2</f>
        <v>0</v>
      </c>
    </row>
    <row r="124" spans="2:46" x14ac:dyDescent="0.2">
      <c r="B124" s="21"/>
      <c r="C124" s="22" t="s">
        <v>13</v>
      </c>
      <c r="D124" s="23">
        <f>SUM(D122:D123)</f>
        <v>-8725.784599999999</v>
      </c>
      <c r="E124" s="23">
        <f t="shared" ref="E124:AM124" si="20">SUM(E122:E123)</f>
        <v>-15478.344799999999</v>
      </c>
      <c r="F124" s="23">
        <f t="shared" si="20"/>
        <v>-13568.128399999998</v>
      </c>
      <c r="G124" s="23">
        <f t="shared" si="20"/>
        <v>-13028.801399999998</v>
      </c>
      <c r="H124" s="23">
        <f t="shared" si="20"/>
        <v>-13344.378399999998</v>
      </c>
      <c r="I124" s="23">
        <f t="shared" si="20"/>
        <v>-14958.922599999998</v>
      </c>
      <c r="J124" s="23">
        <f t="shared" si="20"/>
        <v>-15870.569599999999</v>
      </c>
      <c r="K124" s="23">
        <f t="shared" si="20"/>
        <v>-15497.4262</v>
      </c>
      <c r="L124" s="23">
        <f t="shared" si="20"/>
        <v>-16256.386199999999</v>
      </c>
      <c r="M124" s="23">
        <f t="shared" si="20"/>
        <v>-16014.843599999998</v>
      </c>
      <c r="N124" s="23">
        <f t="shared" si="20"/>
        <v>-16400.696</v>
      </c>
      <c r="O124" s="23">
        <f t="shared" si="20"/>
        <v>-15074.3776</v>
      </c>
      <c r="P124" s="23">
        <f t="shared" si="20"/>
        <v>-14985.163999999999</v>
      </c>
      <c r="Q124" s="23">
        <f t="shared" si="20"/>
        <v>-14601.531199999998</v>
      </c>
      <c r="R124" s="23">
        <f t="shared" si="20"/>
        <v>-14965.796199999999</v>
      </c>
      <c r="S124" s="23">
        <f t="shared" si="20"/>
        <v>-15611.270199999999</v>
      </c>
      <c r="T124" s="23">
        <f t="shared" si="20"/>
        <v>-15474.8722</v>
      </c>
      <c r="U124" s="23">
        <f t="shared" si="20"/>
        <v>-15024.221799999999</v>
      </c>
      <c r="V124" s="23">
        <f t="shared" si="20"/>
        <v>-14916.499599999997</v>
      </c>
      <c r="W124" s="23">
        <f t="shared" si="20"/>
        <v>-14991.536399999999</v>
      </c>
      <c r="X124" s="23">
        <f t="shared" si="20"/>
        <v>-14460.550799999999</v>
      </c>
      <c r="Y124" s="23">
        <f t="shared" si="20"/>
        <v>-14126.68</v>
      </c>
      <c r="Z124" s="23">
        <f t="shared" si="20"/>
        <v>-14106.094999999998</v>
      </c>
      <c r="AA124" s="23">
        <f>SUM(AA122:AA123)</f>
        <v>-14128.004599999998</v>
      </c>
      <c r="AB124" s="23">
        <f t="shared" si="20"/>
        <v>-13524.810399999998</v>
      </c>
      <c r="AC124" s="23">
        <f t="shared" si="20"/>
        <v>-13226.488999999998</v>
      </c>
      <c r="AD124" s="23">
        <f t="shared" si="20"/>
        <v>-13476.086600000001</v>
      </c>
      <c r="AE124" s="23">
        <f t="shared" si="20"/>
        <v>-13396.2168</v>
      </c>
      <c r="AF124" s="23">
        <f t="shared" si="20"/>
        <v>0</v>
      </c>
      <c r="AG124" s="23">
        <f t="shared" si="20"/>
        <v>0</v>
      </c>
      <c r="AH124" s="23">
        <f t="shared" si="20"/>
        <v>0</v>
      </c>
      <c r="AI124" s="23">
        <f t="shared" si="20"/>
        <v>0</v>
      </c>
      <c r="AJ124" s="23">
        <f t="shared" si="20"/>
        <v>0</v>
      </c>
      <c r="AK124" s="23">
        <f t="shared" si="20"/>
        <v>0</v>
      </c>
      <c r="AL124" s="23">
        <f t="shared" si="20"/>
        <v>0</v>
      </c>
      <c r="AM124" s="23">
        <f t="shared" si="20"/>
        <v>0</v>
      </c>
      <c r="AS124" s="23">
        <f>SUM(D124:O124)</f>
        <v>-174218.6594</v>
      </c>
      <c r="AT124" s="23">
        <f>SUM(P124:AA124)</f>
        <v>-177392.22199999998</v>
      </c>
    </row>
    <row r="125" spans="2:46" x14ac:dyDescent="0.2">
      <c r="B125" s="21"/>
      <c r="C125" s="16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32"/>
    </row>
    <row r="126" spans="2:46" x14ac:dyDescent="0.2">
      <c r="B126" s="21"/>
      <c r="C126" s="16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8"/>
    </row>
    <row r="127" spans="2:46" s="27" customFormat="1" x14ac:dyDescent="0.2">
      <c r="B127" s="24"/>
      <c r="C127" s="25" t="s">
        <v>15</v>
      </c>
      <c r="D127" s="26">
        <f>D118+D124</f>
        <v>-11999789.164610002</v>
      </c>
      <c r="E127" s="26">
        <f t="shared" ref="E127:AM127" si="21">E118+E124</f>
        <v>-24230721.8682</v>
      </c>
      <c r="F127" s="26">
        <f t="shared" si="21"/>
        <v>-21751089.377920002</v>
      </c>
      <c r="G127" s="26">
        <f t="shared" si="21"/>
        <v>-17640625.88394</v>
      </c>
      <c r="H127" s="26">
        <f t="shared" si="21"/>
        <v>-75491340.367039993</v>
      </c>
      <c r="I127" s="26">
        <f t="shared" si="21"/>
        <v>-3412100.9957699999</v>
      </c>
      <c r="J127" s="26">
        <f t="shared" si="21"/>
        <v>-69653465.159679994</v>
      </c>
      <c r="K127" s="26">
        <f t="shared" si="21"/>
        <v>-30685107.333829999</v>
      </c>
      <c r="L127" s="26">
        <f t="shared" si="21"/>
        <v>-21329323.199519999</v>
      </c>
      <c r="M127" s="26">
        <f t="shared" si="21"/>
        <v>-41908439.001239993</v>
      </c>
      <c r="N127" s="26">
        <f t="shared" si="21"/>
        <v>-29727819.107999999</v>
      </c>
      <c r="O127" s="26">
        <f t="shared" si="21"/>
        <v>236763564.30719998</v>
      </c>
      <c r="P127" s="26">
        <f t="shared" si="21"/>
        <v>-28984120.033600003</v>
      </c>
      <c r="Q127" s="26">
        <f t="shared" si="21"/>
        <v>-28801785.4036</v>
      </c>
      <c r="R127" s="26">
        <f t="shared" si="21"/>
        <v>-27682266.674259998</v>
      </c>
      <c r="S127" s="26">
        <f t="shared" si="21"/>
        <v>-28467329.997990001</v>
      </c>
      <c r="T127" s="26">
        <f t="shared" si="21"/>
        <v>-29385230.497990005</v>
      </c>
      <c r="U127" s="26">
        <f t="shared" si="21"/>
        <v>-29232699.70033</v>
      </c>
      <c r="V127" s="26">
        <f t="shared" si="21"/>
        <v>-27601565.859000001</v>
      </c>
      <c r="W127" s="26">
        <f t="shared" si="21"/>
        <v>-29214312.676020004</v>
      </c>
      <c r="X127" s="26">
        <f t="shared" si="21"/>
        <v>-29540958.361079998</v>
      </c>
      <c r="Y127" s="26">
        <f t="shared" si="21"/>
        <v>-28427343.085999995</v>
      </c>
      <c r="Z127" s="26">
        <f t="shared" si="21"/>
        <v>-28462206.743000001</v>
      </c>
      <c r="AA127" s="26">
        <f>AA118+AA124</f>
        <v>291354912.98645002</v>
      </c>
      <c r="AB127" s="26">
        <f t="shared" si="21"/>
        <v>-25482571.287519999</v>
      </c>
      <c r="AC127" s="26">
        <f t="shared" si="21"/>
        <v>-25963409.484949999</v>
      </c>
      <c r="AD127" s="26">
        <f t="shared" si="21"/>
        <v>-26066301.191009998</v>
      </c>
      <c r="AE127" s="26">
        <f t="shared" si="21"/>
        <v>-26510637.818279997</v>
      </c>
      <c r="AF127" s="26">
        <f t="shared" si="21"/>
        <v>0</v>
      </c>
      <c r="AG127" s="26">
        <f t="shared" si="21"/>
        <v>0</v>
      </c>
      <c r="AH127" s="26">
        <f t="shared" si="21"/>
        <v>0</v>
      </c>
      <c r="AI127" s="26">
        <f t="shared" si="21"/>
        <v>0</v>
      </c>
      <c r="AJ127" s="26">
        <f t="shared" si="21"/>
        <v>0</v>
      </c>
      <c r="AK127" s="26">
        <f t="shared" si="21"/>
        <v>0</v>
      </c>
      <c r="AL127" s="26">
        <f t="shared" si="21"/>
        <v>0</v>
      </c>
      <c r="AM127" s="26">
        <f t="shared" si="21"/>
        <v>0</v>
      </c>
    </row>
    <row r="128" spans="2:46" s="31" customFormat="1" x14ac:dyDescent="0.2">
      <c r="B128" s="28"/>
      <c r="C128" s="29" t="s">
        <v>147</v>
      </c>
      <c r="D128" s="30" t="str">
        <f>IFERROR(D127/D11,"n/a")</f>
        <v>n/a</v>
      </c>
      <c r="E128" s="30" t="str">
        <f t="shared" ref="E128:AM128" si="22">IFERROR(E127/E11,"n/a")</f>
        <v>n/a</v>
      </c>
      <c r="F128" s="30" t="str">
        <f t="shared" si="22"/>
        <v>n/a</v>
      </c>
      <c r="G128" s="30" t="str">
        <f t="shared" si="22"/>
        <v>n/a</v>
      </c>
      <c r="H128" s="30" t="str">
        <f t="shared" si="22"/>
        <v>n/a</v>
      </c>
      <c r="I128" s="30" t="str">
        <f t="shared" si="22"/>
        <v>n/a</v>
      </c>
      <c r="J128" s="30" t="str">
        <f t="shared" si="22"/>
        <v>n/a</v>
      </c>
      <c r="K128" s="30" t="str">
        <f t="shared" si="22"/>
        <v>n/a</v>
      </c>
      <c r="L128" s="30" t="str">
        <f t="shared" si="22"/>
        <v>n/a</v>
      </c>
      <c r="M128" s="30" t="str">
        <f t="shared" si="22"/>
        <v>n/a</v>
      </c>
      <c r="N128" s="30" t="str">
        <f t="shared" si="22"/>
        <v>n/a</v>
      </c>
      <c r="O128" s="30" t="str">
        <f t="shared" si="22"/>
        <v>n/a</v>
      </c>
      <c r="P128" s="30" t="str">
        <f t="shared" si="22"/>
        <v>n/a</v>
      </c>
      <c r="Q128" s="30" t="str">
        <f t="shared" si="22"/>
        <v>n/a</v>
      </c>
      <c r="R128" s="30" t="str">
        <f t="shared" si="22"/>
        <v>n/a</v>
      </c>
      <c r="S128" s="30" t="str">
        <f t="shared" si="22"/>
        <v>n/a</v>
      </c>
      <c r="T128" s="30" t="str">
        <f t="shared" si="22"/>
        <v>n/a</v>
      </c>
      <c r="U128" s="30" t="str">
        <f t="shared" si="22"/>
        <v>n/a</v>
      </c>
      <c r="V128" s="30" t="str">
        <f t="shared" si="22"/>
        <v>n/a</v>
      </c>
      <c r="W128" s="30" t="str">
        <f t="shared" si="22"/>
        <v>n/a</v>
      </c>
      <c r="X128" s="30" t="str">
        <f t="shared" si="22"/>
        <v>n/a</v>
      </c>
      <c r="Y128" s="30" t="str">
        <f t="shared" si="22"/>
        <v>n/a</v>
      </c>
      <c r="Z128" s="30" t="str">
        <f t="shared" si="22"/>
        <v>n/a</v>
      </c>
      <c r="AA128" s="30" t="str">
        <f>IFERROR(AA127/AA11,"n/a")</f>
        <v>n/a</v>
      </c>
      <c r="AB128" s="30" t="str">
        <f t="shared" si="22"/>
        <v>n/a</v>
      </c>
      <c r="AC128" s="30" t="str">
        <f t="shared" si="22"/>
        <v>n/a</v>
      </c>
      <c r="AD128" s="30" t="str">
        <f t="shared" si="22"/>
        <v>n/a</v>
      </c>
      <c r="AE128" s="30" t="str">
        <f t="shared" si="22"/>
        <v>n/a</v>
      </c>
      <c r="AF128" s="30" t="str">
        <f t="shared" si="22"/>
        <v>n/a</v>
      </c>
      <c r="AG128" s="30" t="str">
        <f t="shared" si="22"/>
        <v>n/a</v>
      </c>
      <c r="AH128" s="30" t="str">
        <f t="shared" si="22"/>
        <v>n/a</v>
      </c>
      <c r="AI128" s="30" t="str">
        <f t="shared" si="22"/>
        <v>n/a</v>
      </c>
      <c r="AJ128" s="30" t="str">
        <f t="shared" si="22"/>
        <v>n/a</v>
      </c>
      <c r="AK128" s="30" t="str">
        <f t="shared" si="22"/>
        <v>n/a</v>
      </c>
      <c r="AL128" s="30" t="str">
        <f t="shared" si="22"/>
        <v>n/a</v>
      </c>
      <c r="AM128" s="30" t="str">
        <f t="shared" si="22"/>
        <v>n/a</v>
      </c>
    </row>
    <row r="129" spans="2:46" x14ac:dyDescent="0.2">
      <c r="B129" s="21"/>
      <c r="C129" s="16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8"/>
    </row>
    <row r="130" spans="2:46" x14ac:dyDescent="0.2">
      <c r="B130" s="21"/>
      <c r="C130" s="20" t="s">
        <v>148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8"/>
    </row>
    <row r="131" spans="2:46" x14ac:dyDescent="0.2">
      <c r="B131" s="21"/>
      <c r="C131" s="16" t="s">
        <v>726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</row>
    <row r="132" spans="2:46" x14ac:dyDescent="0.2">
      <c r="B132" s="21"/>
      <c r="C132" s="22" t="s">
        <v>16</v>
      </c>
      <c r="D132" s="23">
        <f>SUM(D131)</f>
        <v>0</v>
      </c>
      <c r="E132" s="23">
        <f t="shared" ref="E132:AM132" si="23">SUM(E131)</f>
        <v>0</v>
      </c>
      <c r="F132" s="23">
        <f t="shared" si="23"/>
        <v>0</v>
      </c>
      <c r="G132" s="23">
        <f t="shared" si="23"/>
        <v>0</v>
      </c>
      <c r="H132" s="23">
        <f t="shared" si="23"/>
        <v>0</v>
      </c>
      <c r="I132" s="23">
        <f t="shared" si="23"/>
        <v>0</v>
      </c>
      <c r="J132" s="23">
        <f t="shared" si="23"/>
        <v>0</v>
      </c>
      <c r="K132" s="23">
        <f t="shared" si="23"/>
        <v>0</v>
      </c>
      <c r="L132" s="23">
        <f t="shared" si="23"/>
        <v>0</v>
      </c>
      <c r="M132" s="23">
        <f t="shared" si="23"/>
        <v>0</v>
      </c>
      <c r="N132" s="23">
        <f t="shared" si="23"/>
        <v>0</v>
      </c>
      <c r="O132" s="23">
        <f t="shared" si="23"/>
        <v>0</v>
      </c>
      <c r="P132" s="23">
        <f t="shared" si="23"/>
        <v>0</v>
      </c>
      <c r="Q132" s="23">
        <f t="shared" si="23"/>
        <v>0</v>
      </c>
      <c r="R132" s="23">
        <f t="shared" si="23"/>
        <v>0</v>
      </c>
      <c r="S132" s="23">
        <f t="shared" si="23"/>
        <v>0</v>
      </c>
      <c r="T132" s="23">
        <f t="shared" si="23"/>
        <v>0</v>
      </c>
      <c r="U132" s="23">
        <f t="shared" si="23"/>
        <v>0</v>
      </c>
      <c r="V132" s="23">
        <f t="shared" si="23"/>
        <v>0</v>
      </c>
      <c r="W132" s="23">
        <f t="shared" si="23"/>
        <v>0</v>
      </c>
      <c r="X132" s="23">
        <f t="shared" si="23"/>
        <v>0</v>
      </c>
      <c r="Y132" s="23">
        <f t="shared" si="23"/>
        <v>0</v>
      </c>
      <c r="Z132" s="23">
        <f t="shared" si="23"/>
        <v>0</v>
      </c>
      <c r="AA132" s="23">
        <f>SUM(AA131)</f>
        <v>0</v>
      </c>
      <c r="AB132" s="23">
        <f t="shared" si="23"/>
        <v>0</v>
      </c>
      <c r="AC132" s="23">
        <f t="shared" si="23"/>
        <v>0</v>
      </c>
      <c r="AD132" s="23">
        <f t="shared" si="23"/>
        <v>0</v>
      </c>
      <c r="AE132" s="23">
        <f t="shared" si="23"/>
        <v>0</v>
      </c>
      <c r="AF132" s="23">
        <f t="shared" si="23"/>
        <v>0</v>
      </c>
      <c r="AG132" s="23">
        <f t="shared" si="23"/>
        <v>0</v>
      </c>
      <c r="AH132" s="23">
        <f t="shared" si="23"/>
        <v>0</v>
      </c>
      <c r="AI132" s="23">
        <f t="shared" si="23"/>
        <v>0</v>
      </c>
      <c r="AJ132" s="23">
        <f t="shared" si="23"/>
        <v>0</v>
      </c>
      <c r="AK132" s="23">
        <f t="shared" si="23"/>
        <v>0</v>
      </c>
      <c r="AL132" s="23">
        <f t="shared" si="23"/>
        <v>0</v>
      </c>
      <c r="AM132" s="23">
        <f t="shared" si="23"/>
        <v>0</v>
      </c>
      <c r="AS132" s="23">
        <f>SUM(D132:O132)</f>
        <v>0</v>
      </c>
      <c r="AT132" s="23">
        <f>SUM(P132:AA132)</f>
        <v>0</v>
      </c>
    </row>
    <row r="133" spans="2:46" x14ac:dyDescent="0.2">
      <c r="B133" s="21"/>
      <c r="C133" s="16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8"/>
    </row>
    <row r="134" spans="2:46" x14ac:dyDescent="0.2">
      <c r="B134" s="21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8"/>
    </row>
    <row r="135" spans="2:46" s="27" customFormat="1" x14ac:dyDescent="0.2">
      <c r="B135" s="24"/>
      <c r="C135" s="25" t="s">
        <v>149</v>
      </c>
      <c r="D135" s="26">
        <f>D127+D132</f>
        <v>-11999789.164610002</v>
      </c>
      <c r="E135" s="26">
        <f t="shared" ref="E135:AM135" si="24">E127+E132</f>
        <v>-24230721.8682</v>
      </c>
      <c r="F135" s="26">
        <f t="shared" si="24"/>
        <v>-21751089.377920002</v>
      </c>
      <c r="G135" s="26">
        <f t="shared" si="24"/>
        <v>-17640625.88394</v>
      </c>
      <c r="H135" s="26">
        <f t="shared" si="24"/>
        <v>-75491340.367039993</v>
      </c>
      <c r="I135" s="26">
        <f t="shared" si="24"/>
        <v>-3412100.9957699999</v>
      </c>
      <c r="J135" s="26">
        <f t="shared" si="24"/>
        <v>-69653465.159679994</v>
      </c>
      <c r="K135" s="26">
        <f t="shared" si="24"/>
        <v>-30685107.333829999</v>
      </c>
      <c r="L135" s="26">
        <f t="shared" si="24"/>
        <v>-21329323.199519999</v>
      </c>
      <c r="M135" s="26">
        <f t="shared" si="24"/>
        <v>-41908439.001239993</v>
      </c>
      <c r="N135" s="26">
        <f t="shared" si="24"/>
        <v>-29727819.107999999</v>
      </c>
      <c r="O135" s="26">
        <f t="shared" si="24"/>
        <v>236763564.30719998</v>
      </c>
      <c r="P135" s="26">
        <f t="shared" si="24"/>
        <v>-28984120.033600003</v>
      </c>
      <c r="Q135" s="26">
        <f t="shared" si="24"/>
        <v>-28801785.4036</v>
      </c>
      <c r="R135" s="26">
        <f t="shared" si="24"/>
        <v>-27682266.674259998</v>
      </c>
      <c r="S135" s="26">
        <f t="shared" si="24"/>
        <v>-28467329.997990001</v>
      </c>
      <c r="T135" s="26">
        <f t="shared" si="24"/>
        <v>-29385230.497990005</v>
      </c>
      <c r="U135" s="26">
        <f t="shared" si="24"/>
        <v>-29232699.70033</v>
      </c>
      <c r="V135" s="26">
        <f t="shared" si="24"/>
        <v>-27601565.859000001</v>
      </c>
      <c r="W135" s="26">
        <f t="shared" si="24"/>
        <v>-29214312.676020004</v>
      </c>
      <c r="X135" s="26">
        <f t="shared" si="24"/>
        <v>-29540958.361079998</v>
      </c>
      <c r="Y135" s="26">
        <f t="shared" si="24"/>
        <v>-28427343.085999995</v>
      </c>
      <c r="Z135" s="26">
        <f t="shared" si="24"/>
        <v>-28462206.743000001</v>
      </c>
      <c r="AA135" s="26">
        <f>AA127+AA132</f>
        <v>291354912.98645002</v>
      </c>
      <c r="AB135" s="26">
        <f t="shared" si="24"/>
        <v>-25482571.287519999</v>
      </c>
      <c r="AC135" s="26">
        <f t="shared" si="24"/>
        <v>-25963409.484949999</v>
      </c>
      <c r="AD135" s="26">
        <f t="shared" si="24"/>
        <v>-26066301.191009998</v>
      </c>
      <c r="AE135" s="26">
        <f t="shared" si="24"/>
        <v>-26510637.818279997</v>
      </c>
      <c r="AF135" s="26">
        <f t="shared" si="24"/>
        <v>0</v>
      </c>
      <c r="AG135" s="26">
        <f t="shared" si="24"/>
        <v>0</v>
      </c>
      <c r="AH135" s="26">
        <f t="shared" si="24"/>
        <v>0</v>
      </c>
      <c r="AI135" s="26">
        <f t="shared" si="24"/>
        <v>0</v>
      </c>
      <c r="AJ135" s="26">
        <f t="shared" si="24"/>
        <v>0</v>
      </c>
      <c r="AK135" s="26">
        <f t="shared" si="24"/>
        <v>0</v>
      </c>
      <c r="AL135" s="26">
        <f t="shared" si="24"/>
        <v>0</v>
      </c>
      <c r="AM135" s="26">
        <f t="shared" si="24"/>
        <v>0</v>
      </c>
    </row>
    <row r="136" spans="2:46" s="31" customFormat="1" x14ac:dyDescent="0.2">
      <c r="B136" s="28"/>
      <c r="C136" s="29" t="s">
        <v>150</v>
      </c>
      <c r="D136" s="30" t="str">
        <f>IFERROR(D135/D11,"n/a")</f>
        <v>n/a</v>
      </c>
      <c r="E136" s="30" t="str">
        <f t="shared" ref="E136:AM136" si="25">IFERROR(E135/E11,"n/a")</f>
        <v>n/a</v>
      </c>
      <c r="F136" s="30" t="str">
        <f t="shared" si="25"/>
        <v>n/a</v>
      </c>
      <c r="G136" s="30" t="str">
        <f t="shared" si="25"/>
        <v>n/a</v>
      </c>
      <c r="H136" s="30" t="str">
        <f t="shared" si="25"/>
        <v>n/a</v>
      </c>
      <c r="I136" s="30" t="str">
        <f t="shared" si="25"/>
        <v>n/a</v>
      </c>
      <c r="J136" s="30" t="str">
        <f t="shared" si="25"/>
        <v>n/a</v>
      </c>
      <c r="K136" s="30" t="str">
        <f t="shared" si="25"/>
        <v>n/a</v>
      </c>
      <c r="L136" s="30" t="str">
        <f t="shared" si="25"/>
        <v>n/a</v>
      </c>
      <c r="M136" s="30" t="str">
        <f t="shared" si="25"/>
        <v>n/a</v>
      </c>
      <c r="N136" s="30" t="str">
        <f t="shared" si="25"/>
        <v>n/a</v>
      </c>
      <c r="O136" s="30" t="str">
        <f t="shared" si="25"/>
        <v>n/a</v>
      </c>
      <c r="P136" s="30" t="str">
        <f t="shared" si="25"/>
        <v>n/a</v>
      </c>
      <c r="Q136" s="30" t="str">
        <f t="shared" si="25"/>
        <v>n/a</v>
      </c>
      <c r="R136" s="30" t="str">
        <f t="shared" si="25"/>
        <v>n/a</v>
      </c>
      <c r="S136" s="30" t="str">
        <f t="shared" si="25"/>
        <v>n/a</v>
      </c>
      <c r="T136" s="30" t="str">
        <f t="shared" si="25"/>
        <v>n/a</v>
      </c>
      <c r="U136" s="30" t="str">
        <f t="shared" si="25"/>
        <v>n/a</v>
      </c>
      <c r="V136" s="30" t="str">
        <f t="shared" si="25"/>
        <v>n/a</v>
      </c>
      <c r="W136" s="30" t="str">
        <f t="shared" si="25"/>
        <v>n/a</v>
      </c>
      <c r="X136" s="30" t="str">
        <f t="shared" si="25"/>
        <v>n/a</v>
      </c>
      <c r="Y136" s="30" t="str">
        <f t="shared" si="25"/>
        <v>n/a</v>
      </c>
      <c r="Z136" s="30" t="str">
        <f t="shared" si="25"/>
        <v>n/a</v>
      </c>
      <c r="AA136" s="30" t="str">
        <f>IFERROR(AA135/AA11,"n/a")</f>
        <v>n/a</v>
      </c>
      <c r="AB136" s="30" t="str">
        <f t="shared" si="25"/>
        <v>n/a</v>
      </c>
      <c r="AC136" s="30" t="str">
        <f t="shared" si="25"/>
        <v>n/a</v>
      </c>
      <c r="AD136" s="30" t="str">
        <f t="shared" si="25"/>
        <v>n/a</v>
      </c>
      <c r="AE136" s="30" t="str">
        <f t="shared" si="25"/>
        <v>n/a</v>
      </c>
      <c r="AF136" s="30" t="str">
        <f t="shared" si="25"/>
        <v>n/a</v>
      </c>
      <c r="AG136" s="30" t="str">
        <f t="shared" si="25"/>
        <v>n/a</v>
      </c>
      <c r="AH136" s="30" t="str">
        <f t="shared" si="25"/>
        <v>n/a</v>
      </c>
      <c r="AI136" s="30" t="str">
        <f t="shared" si="25"/>
        <v>n/a</v>
      </c>
      <c r="AJ136" s="30" t="str">
        <f t="shared" si="25"/>
        <v>n/a</v>
      </c>
      <c r="AK136" s="30" t="str">
        <f t="shared" si="25"/>
        <v>n/a</v>
      </c>
      <c r="AL136" s="30" t="str">
        <f t="shared" si="25"/>
        <v>n/a</v>
      </c>
      <c r="AM136" s="30" t="str">
        <f t="shared" si="25"/>
        <v>n/a</v>
      </c>
    </row>
    <row r="137" spans="2:46" x14ac:dyDescent="0.2">
      <c r="B137" s="21"/>
      <c r="C137" s="16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8"/>
    </row>
    <row r="138" spans="2:46" x14ac:dyDescent="0.2">
      <c r="B138" s="21"/>
      <c r="C138" s="20" t="s">
        <v>151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8"/>
    </row>
    <row r="139" spans="2:46" x14ac:dyDescent="0.2">
      <c r="B139" s="21"/>
      <c r="C139" s="16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</row>
    <row r="140" spans="2:46" x14ac:dyDescent="0.2">
      <c r="B140" s="21"/>
      <c r="C140" s="22" t="s">
        <v>19</v>
      </c>
      <c r="D140" s="23">
        <f>SUM(D139)</f>
        <v>0</v>
      </c>
      <c r="E140" s="23">
        <f t="shared" ref="E140:AM140" si="26">SUM(E139)</f>
        <v>0</v>
      </c>
      <c r="F140" s="23">
        <f t="shared" si="26"/>
        <v>0</v>
      </c>
      <c r="G140" s="23">
        <f t="shared" si="26"/>
        <v>0</v>
      </c>
      <c r="H140" s="23">
        <f t="shared" si="26"/>
        <v>0</v>
      </c>
      <c r="I140" s="23">
        <f t="shared" si="26"/>
        <v>0</v>
      </c>
      <c r="J140" s="23">
        <f t="shared" si="26"/>
        <v>0</v>
      </c>
      <c r="K140" s="23">
        <f t="shared" si="26"/>
        <v>0</v>
      </c>
      <c r="L140" s="23">
        <f t="shared" si="26"/>
        <v>0</v>
      </c>
      <c r="M140" s="23">
        <f t="shared" si="26"/>
        <v>0</v>
      </c>
      <c r="N140" s="23">
        <f t="shared" si="26"/>
        <v>0</v>
      </c>
      <c r="O140" s="23">
        <f t="shared" si="26"/>
        <v>0</v>
      </c>
      <c r="P140" s="23">
        <f t="shared" si="26"/>
        <v>0</v>
      </c>
      <c r="Q140" s="23">
        <f t="shared" si="26"/>
        <v>0</v>
      </c>
      <c r="R140" s="23">
        <f t="shared" si="26"/>
        <v>0</v>
      </c>
      <c r="S140" s="23">
        <f t="shared" si="26"/>
        <v>0</v>
      </c>
      <c r="T140" s="23">
        <f t="shared" si="26"/>
        <v>0</v>
      </c>
      <c r="U140" s="23">
        <f t="shared" si="26"/>
        <v>0</v>
      </c>
      <c r="V140" s="23">
        <f t="shared" si="26"/>
        <v>0</v>
      </c>
      <c r="W140" s="23">
        <f t="shared" si="26"/>
        <v>0</v>
      </c>
      <c r="X140" s="23">
        <f t="shared" si="26"/>
        <v>0</v>
      </c>
      <c r="Y140" s="23">
        <f t="shared" si="26"/>
        <v>0</v>
      </c>
      <c r="Z140" s="23">
        <f t="shared" si="26"/>
        <v>0</v>
      </c>
      <c r="AA140" s="23">
        <f>SUM(AA139)</f>
        <v>0</v>
      </c>
      <c r="AB140" s="23">
        <f t="shared" si="26"/>
        <v>0</v>
      </c>
      <c r="AC140" s="23">
        <f t="shared" si="26"/>
        <v>0</v>
      </c>
      <c r="AD140" s="23">
        <f t="shared" si="26"/>
        <v>0</v>
      </c>
      <c r="AE140" s="23">
        <f t="shared" si="26"/>
        <v>0</v>
      </c>
      <c r="AF140" s="23">
        <f t="shared" si="26"/>
        <v>0</v>
      </c>
      <c r="AG140" s="23">
        <f t="shared" si="26"/>
        <v>0</v>
      </c>
      <c r="AH140" s="23">
        <f t="shared" si="26"/>
        <v>0</v>
      </c>
      <c r="AI140" s="23">
        <f t="shared" si="26"/>
        <v>0</v>
      </c>
      <c r="AJ140" s="23">
        <f t="shared" si="26"/>
        <v>0</v>
      </c>
      <c r="AK140" s="23">
        <f t="shared" si="26"/>
        <v>0</v>
      </c>
      <c r="AL140" s="23">
        <f t="shared" si="26"/>
        <v>0</v>
      </c>
      <c r="AM140" s="23">
        <f t="shared" si="26"/>
        <v>0</v>
      </c>
      <c r="AS140" s="23">
        <f>SUM(D140:O140)</f>
        <v>0</v>
      </c>
      <c r="AT140" s="23">
        <f>SUM(P140:AA140)</f>
        <v>0</v>
      </c>
    </row>
    <row r="141" spans="2:46" x14ac:dyDescent="0.2">
      <c r="B141" s="21"/>
      <c r="C141" s="16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8"/>
    </row>
    <row r="142" spans="2:46" s="27" customFormat="1" x14ac:dyDescent="0.2">
      <c r="B142" s="24"/>
      <c r="C142" s="25" t="s">
        <v>152</v>
      </c>
      <c r="D142" s="26">
        <f>D135+D140</f>
        <v>-11999789.164610002</v>
      </c>
      <c r="E142" s="26">
        <f t="shared" ref="E142:AM142" si="27">E135+E140</f>
        <v>-24230721.8682</v>
      </c>
      <c r="F142" s="26">
        <f t="shared" si="27"/>
        <v>-21751089.377920002</v>
      </c>
      <c r="G142" s="26">
        <f t="shared" si="27"/>
        <v>-17640625.88394</v>
      </c>
      <c r="H142" s="26">
        <f t="shared" si="27"/>
        <v>-75491340.367039993</v>
      </c>
      <c r="I142" s="26">
        <f t="shared" si="27"/>
        <v>-3412100.9957699999</v>
      </c>
      <c r="J142" s="26">
        <f t="shared" si="27"/>
        <v>-69653465.159679994</v>
      </c>
      <c r="K142" s="26">
        <f t="shared" si="27"/>
        <v>-30685107.333829999</v>
      </c>
      <c r="L142" s="26">
        <f t="shared" si="27"/>
        <v>-21329323.199519999</v>
      </c>
      <c r="M142" s="26">
        <f t="shared" si="27"/>
        <v>-41908439.001239993</v>
      </c>
      <c r="N142" s="26">
        <f t="shared" si="27"/>
        <v>-29727819.107999999</v>
      </c>
      <c r="O142" s="26">
        <f t="shared" si="27"/>
        <v>236763564.30719998</v>
      </c>
      <c r="P142" s="26">
        <f t="shared" si="27"/>
        <v>-28984120.033600003</v>
      </c>
      <c r="Q142" s="26">
        <f t="shared" si="27"/>
        <v>-28801785.4036</v>
      </c>
      <c r="R142" s="26">
        <f t="shared" si="27"/>
        <v>-27682266.674259998</v>
      </c>
      <c r="S142" s="26">
        <f t="shared" si="27"/>
        <v>-28467329.997990001</v>
      </c>
      <c r="T142" s="26">
        <f t="shared" si="27"/>
        <v>-29385230.497990005</v>
      </c>
      <c r="U142" s="26">
        <f t="shared" si="27"/>
        <v>-29232699.70033</v>
      </c>
      <c r="V142" s="26">
        <f t="shared" si="27"/>
        <v>-27601565.859000001</v>
      </c>
      <c r="W142" s="26">
        <f t="shared" si="27"/>
        <v>-29214312.676020004</v>
      </c>
      <c r="X142" s="26">
        <f t="shared" si="27"/>
        <v>-29540958.361079998</v>
      </c>
      <c r="Y142" s="26">
        <f t="shared" si="27"/>
        <v>-28427343.085999995</v>
      </c>
      <c r="Z142" s="26">
        <f t="shared" si="27"/>
        <v>-28462206.743000001</v>
      </c>
      <c r="AA142" s="26">
        <f>AA135+AA140</f>
        <v>291354912.98645002</v>
      </c>
      <c r="AB142" s="26">
        <f t="shared" si="27"/>
        <v>-25482571.287519999</v>
      </c>
      <c r="AC142" s="26">
        <f t="shared" si="27"/>
        <v>-25963409.484949999</v>
      </c>
      <c r="AD142" s="26">
        <f t="shared" si="27"/>
        <v>-26066301.191009998</v>
      </c>
      <c r="AE142" s="26">
        <f t="shared" si="27"/>
        <v>-26510637.818279997</v>
      </c>
      <c r="AF142" s="26">
        <f t="shared" si="27"/>
        <v>0</v>
      </c>
      <c r="AG142" s="26">
        <f t="shared" si="27"/>
        <v>0</v>
      </c>
      <c r="AH142" s="26">
        <f t="shared" si="27"/>
        <v>0</v>
      </c>
      <c r="AI142" s="26">
        <f t="shared" si="27"/>
        <v>0</v>
      </c>
      <c r="AJ142" s="26">
        <f t="shared" si="27"/>
        <v>0</v>
      </c>
      <c r="AK142" s="26">
        <f t="shared" si="27"/>
        <v>0</v>
      </c>
      <c r="AL142" s="26">
        <f t="shared" si="27"/>
        <v>0</v>
      </c>
      <c r="AM142" s="26">
        <f t="shared" si="27"/>
        <v>0</v>
      </c>
    </row>
    <row r="143" spans="2:46" s="31" customFormat="1" x14ac:dyDescent="0.2">
      <c r="B143" s="28"/>
      <c r="C143" s="29" t="s">
        <v>153</v>
      </c>
      <c r="D143" s="30" t="str">
        <f>IFERROR(D142/D11,"n/a")</f>
        <v>n/a</v>
      </c>
      <c r="E143" s="30" t="str">
        <f t="shared" ref="E143:AM143" si="28">IFERROR(E142/E11,"n/a")</f>
        <v>n/a</v>
      </c>
      <c r="F143" s="30" t="str">
        <f t="shared" si="28"/>
        <v>n/a</v>
      </c>
      <c r="G143" s="30" t="str">
        <f t="shared" si="28"/>
        <v>n/a</v>
      </c>
      <c r="H143" s="30" t="str">
        <f t="shared" si="28"/>
        <v>n/a</v>
      </c>
      <c r="I143" s="30" t="str">
        <f t="shared" si="28"/>
        <v>n/a</v>
      </c>
      <c r="J143" s="30" t="str">
        <f t="shared" si="28"/>
        <v>n/a</v>
      </c>
      <c r="K143" s="30" t="str">
        <f t="shared" si="28"/>
        <v>n/a</v>
      </c>
      <c r="L143" s="30" t="str">
        <f t="shared" si="28"/>
        <v>n/a</v>
      </c>
      <c r="M143" s="30" t="str">
        <f t="shared" si="28"/>
        <v>n/a</v>
      </c>
      <c r="N143" s="30" t="str">
        <f t="shared" si="28"/>
        <v>n/a</v>
      </c>
      <c r="O143" s="30" t="str">
        <f t="shared" si="28"/>
        <v>n/a</v>
      </c>
      <c r="P143" s="30" t="str">
        <f t="shared" si="28"/>
        <v>n/a</v>
      </c>
      <c r="Q143" s="30" t="str">
        <f t="shared" si="28"/>
        <v>n/a</v>
      </c>
      <c r="R143" s="30" t="str">
        <f t="shared" si="28"/>
        <v>n/a</v>
      </c>
      <c r="S143" s="30" t="str">
        <f t="shared" si="28"/>
        <v>n/a</v>
      </c>
      <c r="T143" s="30" t="str">
        <f t="shared" si="28"/>
        <v>n/a</v>
      </c>
      <c r="U143" s="30" t="str">
        <f t="shared" si="28"/>
        <v>n/a</v>
      </c>
      <c r="V143" s="30" t="str">
        <f t="shared" si="28"/>
        <v>n/a</v>
      </c>
      <c r="W143" s="30" t="str">
        <f t="shared" si="28"/>
        <v>n/a</v>
      </c>
      <c r="X143" s="30" t="str">
        <f t="shared" si="28"/>
        <v>n/a</v>
      </c>
      <c r="Y143" s="30" t="str">
        <f t="shared" si="28"/>
        <v>n/a</v>
      </c>
      <c r="Z143" s="30" t="str">
        <f t="shared" si="28"/>
        <v>n/a</v>
      </c>
      <c r="AA143" s="30" t="str">
        <f>IFERROR(AA142/AA11,"n/a")</f>
        <v>n/a</v>
      </c>
      <c r="AB143" s="30" t="str">
        <f t="shared" si="28"/>
        <v>n/a</v>
      </c>
      <c r="AC143" s="30" t="str">
        <f t="shared" si="28"/>
        <v>n/a</v>
      </c>
      <c r="AD143" s="30" t="str">
        <f t="shared" si="28"/>
        <v>n/a</v>
      </c>
      <c r="AE143" s="30" t="str">
        <f t="shared" si="28"/>
        <v>n/a</v>
      </c>
      <c r="AF143" s="30" t="str">
        <f t="shared" si="28"/>
        <v>n/a</v>
      </c>
      <c r="AG143" s="30" t="str">
        <f t="shared" si="28"/>
        <v>n/a</v>
      </c>
      <c r="AH143" s="30" t="str">
        <f t="shared" si="28"/>
        <v>n/a</v>
      </c>
      <c r="AI143" s="30" t="str">
        <f t="shared" si="28"/>
        <v>n/a</v>
      </c>
      <c r="AJ143" s="30" t="str">
        <f t="shared" si="28"/>
        <v>n/a</v>
      </c>
      <c r="AK143" s="30" t="str">
        <f t="shared" si="28"/>
        <v>n/a</v>
      </c>
      <c r="AL143" s="30" t="str">
        <f t="shared" si="28"/>
        <v>n/a</v>
      </c>
      <c r="AM143" s="30" t="str">
        <f t="shared" si="28"/>
        <v>n/a</v>
      </c>
    </row>
    <row r="144" spans="2:46" x14ac:dyDescent="0.2">
      <c r="B144" s="21"/>
      <c r="C144" s="16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8"/>
    </row>
    <row r="145" spans="2:39" x14ac:dyDescent="0.2">
      <c r="B145" s="33"/>
      <c r="AM145" s="34"/>
    </row>
    <row r="146" spans="2:39" x14ac:dyDescent="0.2">
      <c r="B146" s="35"/>
      <c r="C146" s="36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8"/>
    </row>
    <row r="148" spans="2:39" x14ac:dyDescent="0.2">
      <c r="P148" s="45">
        <f>P115+P124+P132+P140</f>
        <v>-28984120.033600003</v>
      </c>
      <c r="Q148" s="45">
        <f t="shared" ref="Q148:Z148" si="29">Q115+Q124+Q132+Q140</f>
        <v>-28801785.4036</v>
      </c>
      <c r="R148" s="45">
        <f t="shared" si="29"/>
        <v>-27682266.674259998</v>
      </c>
      <c r="S148" s="45">
        <f t="shared" si="29"/>
        <v>-28467329.997990001</v>
      </c>
      <c r="T148" s="45">
        <f t="shared" si="29"/>
        <v>-29385230.497990005</v>
      </c>
      <c r="U148" s="45">
        <f t="shared" si="29"/>
        <v>-29232699.70033</v>
      </c>
      <c r="V148" s="45">
        <f t="shared" si="29"/>
        <v>-27601565.859000001</v>
      </c>
      <c r="W148" s="45">
        <f t="shared" si="29"/>
        <v>-29214312.676020004</v>
      </c>
      <c r="X148" s="45">
        <f t="shared" si="29"/>
        <v>-29540958.361079998</v>
      </c>
      <c r="Y148" s="45">
        <f t="shared" si="29"/>
        <v>-28427343.085999995</v>
      </c>
      <c r="Z148" s="45">
        <f t="shared" si="29"/>
        <v>-28462206.743000001</v>
      </c>
      <c r="AA148" s="45">
        <f>AA115+AA124+AA132+AA140</f>
        <v>275625802.93553001</v>
      </c>
      <c r="AB148" s="45">
        <f>AB115+AB124+AB132+AB140</f>
        <v>-25482571.287519999</v>
      </c>
    </row>
  </sheetData>
  <conditionalFormatting sqref="B1 B3:B1048576">
    <cfRule type="duplicateValues" dxfId="3" priority="2"/>
  </conditionalFormatting>
  <conditionalFormatting sqref="B2">
    <cfRule type="duplicateValues" dxfId="2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C9A2F945-EF6A-479C-8671-FDA22D8D01BC}">
          <x14:formula1>
            <xm:f>'FX Rate'!$B$4:$B$8</xm:f>
          </x14:formula1>
          <xm:sqref>C2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22F-43B0-49F9-BD49-907EB81BF51E}">
  <sheetPr codeName="Sheet17">
    <tabColor theme="5"/>
  </sheetPr>
  <dimension ref="B1:AM147"/>
  <sheetViews>
    <sheetView showGridLines="0" zoomScale="140" zoomScaleNormal="140" workbookViewId="0">
      <pane xSplit="3" ySplit="3" topLeftCell="V4" activePane="bottomRight" state="frozen"/>
      <selection activeCell="C2" sqref="C2"/>
      <selection pane="topRight" activeCell="C2" sqref="C2"/>
      <selection pane="bottomLeft" activeCell="C2" sqref="C2"/>
      <selection pane="bottomRight" activeCell="C2" sqref="C2"/>
    </sheetView>
  </sheetViews>
  <sheetFormatPr baseColWidth="10" defaultColWidth="8.83203125" defaultRowHeight="15" outlineLevelRow="1" x14ac:dyDescent="0.2"/>
  <cols>
    <col min="2" max="2" width="8.83203125" style="10" customWidth="1"/>
    <col min="3" max="3" width="32.6640625" style="10" customWidth="1"/>
    <col min="4" max="8" width="11.6640625" customWidth="1"/>
    <col min="9" max="9" width="13" customWidth="1"/>
    <col min="10" max="10" width="13.33203125" customWidth="1"/>
    <col min="11" max="11" width="13" bestFit="1" customWidth="1"/>
    <col min="12" max="15" width="11.6640625" customWidth="1"/>
    <col min="16" max="22" width="14.5" customWidth="1"/>
    <col min="23" max="23" width="11.33203125" bestFit="1" customWidth="1"/>
    <col min="24" max="24" width="12.5" bestFit="1" customWidth="1"/>
    <col min="25" max="25" width="11.33203125" bestFit="1" customWidth="1"/>
    <col min="26" max="39" width="10.6640625" customWidth="1"/>
  </cols>
  <sheetData>
    <row r="1" spans="2:39" x14ac:dyDescent="0.2">
      <c r="U1" s="39"/>
      <c r="V1" s="40"/>
    </row>
    <row r="2" spans="2:39" x14ac:dyDescent="0.2">
      <c r="C2" s="63" t="s">
        <v>882</v>
      </c>
      <c r="D2" s="31">
        <f>_xlfn.IFNA(INDEX('FX Rate'!$B$3:$ZZ$10,MATCH(BS_UAE!$C$2,'FX Rate'!$B$3:$B$10,0),MATCH(BS_UAE!D$3,'FX Rate'!$B$3:$ZZ$3,0)),0)</f>
        <v>243.73699999999999</v>
      </c>
      <c r="E2" s="31">
        <f>_xlfn.IFNA(INDEX('FX Rate'!$B$3:$ZZ$10,MATCH(BS_UAE!$C$2,'FX Rate'!$B$3:$B$10,0),MATCH(BS_UAE!E$3,'FX Rate'!$B$3:$ZZ$3,0)),0)</f>
        <v>432.35599999999999</v>
      </c>
      <c r="F2" s="31">
        <f>_xlfn.IFNA(INDEX('FX Rate'!$B$3:$ZZ$10,MATCH(BS_UAE!$C$2,'FX Rate'!$B$3:$B$10,0),MATCH(BS_UAE!F$3,'FX Rate'!$B$3:$ZZ$3,0)),0)</f>
        <v>378.99799999999999</v>
      </c>
      <c r="G2" s="31">
        <f>_xlfn.IFNA(INDEX('FX Rate'!$B$3:$ZZ$10,MATCH(BS_UAE!$C$2,'FX Rate'!$B$3:$B$10,0),MATCH(BS_UAE!G$3,'FX Rate'!$B$3:$ZZ$3,0)),0)</f>
        <v>363.93299999999999</v>
      </c>
      <c r="H2" s="31">
        <f>_xlfn.IFNA(INDEX('FX Rate'!$B$3:$ZZ$10,MATCH(BS_UAE!$C$2,'FX Rate'!$B$3:$B$10,0),MATCH(BS_UAE!H$3,'FX Rate'!$B$3:$ZZ$3,0)),0)</f>
        <v>372.74799999999999</v>
      </c>
      <c r="I2" s="31">
        <f>_xlfn.IFNA(INDEX('FX Rate'!$B$3:$ZZ$10,MATCH(BS_UAE!$C$2,'FX Rate'!$B$3:$B$10,0),MATCH(BS_UAE!I$3,'FX Rate'!$B$3:$ZZ$3,0)),0)</f>
        <v>417.84699999999998</v>
      </c>
      <c r="J2" s="31">
        <f>_xlfn.IFNA(INDEX('FX Rate'!$B$3:$ZZ$10,MATCH(BS_UAE!$C$2,'FX Rate'!$B$3:$B$10,0),MATCH(BS_UAE!J$3,'FX Rate'!$B$3:$ZZ$3,0)),0)</f>
        <v>443.31200000000001</v>
      </c>
      <c r="K2" s="31">
        <f>_xlfn.IFNA(INDEX('FX Rate'!$B$3:$ZZ$10,MATCH(BS_UAE!$C$2,'FX Rate'!$B$3:$B$10,0),MATCH(BS_UAE!K$3,'FX Rate'!$B$3:$ZZ$3,0)),0)</f>
        <v>432.88900000000001</v>
      </c>
      <c r="L2" s="31">
        <f>_xlfn.IFNA(INDEX('FX Rate'!$B$3:$ZZ$10,MATCH(BS_UAE!$C$2,'FX Rate'!$B$3:$B$10,0),MATCH(BS_UAE!L$3,'FX Rate'!$B$3:$ZZ$3,0)),0)</f>
        <v>454.089</v>
      </c>
      <c r="M2" s="31">
        <f>_xlfn.IFNA(INDEX('FX Rate'!$B$3:$ZZ$10,MATCH(BS_UAE!$C$2,'FX Rate'!$B$3:$B$10,0),MATCH(BS_UAE!M$3,'FX Rate'!$B$3:$ZZ$3,0)),0)</f>
        <v>447.34199999999998</v>
      </c>
      <c r="N2" s="31">
        <f>_xlfn.IFNA(INDEX('FX Rate'!$B$3:$ZZ$10,MATCH(BS_UAE!$C$2,'FX Rate'!$B$3:$B$10,0),MATCH(BS_UAE!N$3,'FX Rate'!$B$3:$ZZ$3,0)),0)</f>
        <v>458.12</v>
      </c>
      <c r="O2" s="31">
        <f>_xlfn.IFNA(INDEX('FX Rate'!$B$3:$ZZ$10,MATCH(BS_UAE!$C$2,'FX Rate'!$B$3:$B$10,0),MATCH(BS_UAE!O$3,'FX Rate'!$B$3:$ZZ$3,0)),0)</f>
        <v>421.072</v>
      </c>
      <c r="P2" s="31">
        <f>_xlfn.IFNA(INDEX('FX Rate'!$B$3:$ZZ$10,MATCH(BS_UAE!$C$2,'FX Rate'!$B$3:$B$10,0),MATCH(BS_UAE!P$3,'FX Rate'!$B$3:$ZZ$3,0)),0)</f>
        <v>418.58</v>
      </c>
      <c r="Q2" s="31">
        <f>_xlfn.IFNA(INDEX('FX Rate'!$B$3:$ZZ$10,MATCH(BS_UAE!$C$2,'FX Rate'!$B$3:$B$10,0),MATCH(BS_UAE!Q$3,'FX Rate'!$B$3:$ZZ$3,0)),0)</f>
        <v>407.86399999999998</v>
      </c>
      <c r="R2" s="31">
        <f>_xlfn.IFNA(INDEX('FX Rate'!$B$3:$ZZ$10,MATCH(BS_UAE!$C$2,'FX Rate'!$B$3:$B$10,0),MATCH(BS_UAE!R$3,'FX Rate'!$B$3:$ZZ$3,0)),0)</f>
        <v>418.03899999999999</v>
      </c>
      <c r="S2" s="31">
        <f>_xlfn.IFNA(INDEX('FX Rate'!$B$3:$ZZ$10,MATCH(BS_UAE!$C$2,'FX Rate'!$B$3:$B$10,0),MATCH(BS_UAE!S$3,'FX Rate'!$B$3:$ZZ$3,0)),0)</f>
        <v>436.06900000000002</v>
      </c>
      <c r="T2" s="31">
        <f>_xlfn.IFNA(INDEX('FX Rate'!$B$3:$ZZ$10,MATCH(BS_UAE!$C$2,'FX Rate'!$B$3:$B$10,0),MATCH(BS_UAE!T$3,'FX Rate'!$B$3:$ZZ$3,0)),0)</f>
        <v>432.25900000000001</v>
      </c>
      <c r="U2" s="31">
        <f>_xlfn.IFNA(INDEX('FX Rate'!$B$3:$ZZ$10,MATCH(BS_UAE!$C$2,'FX Rate'!$B$3:$B$10,0),MATCH(BS_UAE!U$3,'FX Rate'!$B$3:$ZZ$3,0)),0)</f>
        <v>419.67099999999999</v>
      </c>
      <c r="V2" s="31">
        <f>_xlfn.IFNA(INDEX('FX Rate'!$B$3:$ZZ$10,MATCH(BS_UAE!$C$2,'FX Rate'!$B$3:$B$10,0),MATCH(BS_UAE!V$3,'FX Rate'!$B$3:$ZZ$3,0)),0)</f>
        <v>416.66199999999998</v>
      </c>
      <c r="W2" s="31">
        <f>_xlfn.IFNA(INDEX('FX Rate'!$B$3:$ZZ$10,MATCH(BS_UAE!$C$2,'FX Rate'!$B$3:$B$10,0),MATCH(BS_UAE!W$3,'FX Rate'!$B$3:$ZZ$3,0)),0)</f>
        <v>418.75799999999998</v>
      </c>
      <c r="X2" s="31">
        <f>_xlfn.IFNA(INDEX('FX Rate'!$B$3:$ZZ$10,MATCH(BS_UAE!$C$2,'FX Rate'!$B$3:$B$10,0),MATCH(BS_UAE!X$3,'FX Rate'!$B$3:$ZZ$3,0)),0)</f>
        <v>403.92599999999999</v>
      </c>
      <c r="Y2" s="31">
        <f>_xlfn.IFNA(INDEX('FX Rate'!$B$3:$ZZ$10,MATCH(BS_UAE!$C$2,'FX Rate'!$B$3:$B$10,0),MATCH(BS_UAE!Y$3,'FX Rate'!$B$3:$ZZ$3,0)),0)</f>
        <v>394.6</v>
      </c>
      <c r="Z2" s="31">
        <f>_xlfn.IFNA(INDEX('FX Rate'!$B$3:$ZZ$10,MATCH(BS_UAE!$C$2,'FX Rate'!$B$3:$B$10,0),MATCH(BS_UAE!Z$3,'FX Rate'!$B$3:$ZZ$3,0)),0)</f>
        <v>394.02499999999998</v>
      </c>
      <c r="AA2" s="31">
        <f>_xlfn.IFNA(INDEX('FX Rate'!$B$3:$ZZ$10,MATCH(BS_UAE!$C$2,'FX Rate'!$B$3:$B$10,0),MATCH(BS_UAE!AA$3,'FX Rate'!$B$3:$ZZ$3,0)),0)</f>
        <v>394.637</v>
      </c>
      <c r="AB2" s="31">
        <f>_xlfn.IFNA(INDEX('FX Rate'!$B$3:$ZZ$10,MATCH(BS_UAE!$C$2,'FX Rate'!$B$3:$B$10,0),MATCH(BS_UAE!AB$3,'FX Rate'!$B$3:$ZZ$3,0)),0)</f>
        <v>377.78800000000001</v>
      </c>
      <c r="AC2" s="31">
        <f>_xlfn.IFNA(INDEX('FX Rate'!$B$3:$ZZ$10,MATCH(BS_UAE!$C$2,'FX Rate'!$B$3:$B$10,0),MATCH(BS_UAE!AC$3,'FX Rate'!$B$3:$ZZ$3,0)),0)</f>
        <v>369.45499999999998</v>
      </c>
      <c r="AD2" s="31">
        <f>_xlfn.IFNA(INDEX('FX Rate'!$B$3:$ZZ$10,MATCH(BS_UAE!$C$2,'FX Rate'!$B$3:$B$10,0),MATCH(BS_UAE!AD$3,'FX Rate'!$B$3:$ZZ$3,0)),0)</f>
        <v>376.42700000000002</v>
      </c>
      <c r="AE2" s="31">
        <f>_xlfn.IFNA(INDEX('FX Rate'!$B$3:$ZZ$10,MATCH(BS_UAE!$C$2,'FX Rate'!$B$3:$B$10,0),MATCH(BS_UAE!AE$3,'FX Rate'!$B$3:$ZZ$3,0)),0)</f>
        <v>374.19600000000003</v>
      </c>
      <c r="AF2" s="31">
        <f>_xlfn.IFNA(INDEX('FX Rate'!$B$3:$ZZ$10,MATCH(BS_UAE!$C$2,'FX Rate'!$B$3:$B$10,0),MATCH(BS_UAE!AF$3,'FX Rate'!$B$3:$ZZ$3,0)),0)</f>
        <v>0</v>
      </c>
      <c r="AG2" s="31">
        <f>_xlfn.IFNA(INDEX('FX Rate'!$B$3:$ZZ$10,MATCH(BS_UAE!$C$2,'FX Rate'!$B$3:$B$10,0),MATCH(BS_UAE!AG$3,'FX Rate'!$B$3:$ZZ$3,0)),0)</f>
        <v>0</v>
      </c>
      <c r="AH2" s="31">
        <f>_xlfn.IFNA(INDEX('FX Rate'!$B$3:$ZZ$10,MATCH(BS_UAE!$C$2,'FX Rate'!$B$3:$B$10,0),MATCH(BS_UAE!AH$3,'FX Rate'!$B$3:$ZZ$3,0)),0)</f>
        <v>0</v>
      </c>
      <c r="AI2" s="31">
        <f>_xlfn.IFNA(INDEX('FX Rate'!$B$3:$ZZ$10,MATCH(BS_UAE!$C$2,'FX Rate'!$B$3:$B$10,0),MATCH(BS_UAE!AI$3,'FX Rate'!$B$3:$ZZ$3,0)),0)</f>
        <v>0</v>
      </c>
      <c r="AJ2" s="31">
        <f>_xlfn.IFNA(INDEX('FX Rate'!$B$3:$ZZ$10,MATCH(BS_UAE!$C$2,'FX Rate'!$B$3:$B$10,0),MATCH(BS_UAE!AJ$3,'FX Rate'!$B$3:$ZZ$3,0)),0)</f>
        <v>0</v>
      </c>
      <c r="AK2" s="31">
        <f>_xlfn.IFNA(INDEX('FX Rate'!$B$3:$ZZ$10,MATCH(BS_UAE!$C$2,'FX Rate'!$B$3:$B$10,0),MATCH(BS_UAE!AK$3,'FX Rate'!$B$3:$ZZ$3,0)),0)</f>
        <v>0</v>
      </c>
      <c r="AL2" s="31">
        <f>_xlfn.IFNA(INDEX('FX Rate'!$B$3:$ZZ$10,MATCH(BS_UAE!$C$2,'FX Rate'!$B$3:$B$10,0),MATCH(BS_UAE!AL$3,'FX Rate'!$B$3:$ZZ$3,0)),0)</f>
        <v>0</v>
      </c>
      <c r="AM2" s="31">
        <f>_xlfn.IFNA(INDEX('FX Rate'!$B$3:$ZZ$10,MATCH(BS_UAE!$C$2,'FX Rate'!$B$3:$B$10,0),MATCH(BS_UAE!AM$3,'FX Rate'!$B$3:$ZZ$3,0)),0)</f>
        <v>0</v>
      </c>
    </row>
    <row r="3" spans="2:39" x14ac:dyDescent="0.2">
      <c r="B3" s="12" t="s">
        <v>90</v>
      </c>
      <c r="C3" s="13" t="s">
        <v>91</v>
      </c>
      <c r="D3" s="14">
        <v>45322</v>
      </c>
      <c r="E3" s="14">
        <f t="shared" ref="E3:AM3" si="0">EOMONTH(D3,1)</f>
        <v>45351</v>
      </c>
      <c r="F3" s="14">
        <f t="shared" si="0"/>
        <v>45382</v>
      </c>
      <c r="G3" s="14">
        <f t="shared" si="0"/>
        <v>45412</v>
      </c>
      <c r="H3" s="14">
        <f t="shared" si="0"/>
        <v>45443</v>
      </c>
      <c r="I3" s="14">
        <f t="shared" si="0"/>
        <v>45473</v>
      </c>
      <c r="J3" s="14">
        <f t="shared" si="0"/>
        <v>45504</v>
      </c>
      <c r="K3" s="14">
        <f t="shared" si="0"/>
        <v>45535</v>
      </c>
      <c r="L3" s="14">
        <f t="shared" si="0"/>
        <v>45565</v>
      </c>
      <c r="M3" s="14">
        <f t="shared" si="0"/>
        <v>45596</v>
      </c>
      <c r="N3" s="14">
        <f t="shared" si="0"/>
        <v>45626</v>
      </c>
      <c r="O3" s="14">
        <f t="shared" si="0"/>
        <v>45657</v>
      </c>
      <c r="P3" s="14">
        <f t="shared" si="0"/>
        <v>45688</v>
      </c>
      <c r="Q3" s="14">
        <f t="shared" si="0"/>
        <v>45716</v>
      </c>
      <c r="R3" s="14">
        <f t="shared" si="0"/>
        <v>45747</v>
      </c>
      <c r="S3" s="14">
        <f t="shared" si="0"/>
        <v>45777</v>
      </c>
      <c r="T3" s="14">
        <f t="shared" si="0"/>
        <v>45808</v>
      </c>
      <c r="U3" s="14">
        <f t="shared" si="0"/>
        <v>45838</v>
      </c>
      <c r="V3" s="14">
        <f t="shared" si="0"/>
        <v>45869</v>
      </c>
      <c r="W3" s="14">
        <f t="shared" si="0"/>
        <v>45900</v>
      </c>
      <c r="X3" s="14">
        <f t="shared" si="0"/>
        <v>45930</v>
      </c>
      <c r="Y3" s="14">
        <f t="shared" si="0"/>
        <v>45961</v>
      </c>
      <c r="Z3" s="14">
        <f t="shared" si="0"/>
        <v>45991</v>
      </c>
      <c r="AA3" s="14">
        <f t="shared" si="0"/>
        <v>46022</v>
      </c>
      <c r="AB3" s="14">
        <f t="shared" si="0"/>
        <v>46053</v>
      </c>
      <c r="AC3" s="14">
        <f t="shared" si="0"/>
        <v>46081</v>
      </c>
      <c r="AD3" s="14">
        <f t="shared" si="0"/>
        <v>46112</v>
      </c>
      <c r="AE3" s="14">
        <f t="shared" si="0"/>
        <v>46142</v>
      </c>
      <c r="AF3" s="14">
        <f t="shared" si="0"/>
        <v>46173</v>
      </c>
      <c r="AG3" s="14">
        <f t="shared" si="0"/>
        <v>46203</v>
      </c>
      <c r="AH3" s="14">
        <f t="shared" si="0"/>
        <v>46234</v>
      </c>
      <c r="AI3" s="14">
        <f t="shared" si="0"/>
        <v>46265</v>
      </c>
      <c r="AJ3" s="14">
        <f t="shared" si="0"/>
        <v>46295</v>
      </c>
      <c r="AK3" s="14">
        <f t="shared" si="0"/>
        <v>46326</v>
      </c>
      <c r="AL3" s="14">
        <f t="shared" si="0"/>
        <v>46356</v>
      </c>
      <c r="AM3" s="14">
        <f t="shared" si="0"/>
        <v>46387</v>
      </c>
    </row>
    <row r="4" spans="2:39" x14ac:dyDescent="0.2">
      <c r="B4" s="15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8"/>
    </row>
    <row r="5" spans="2:39" outlineLevel="1" x14ac:dyDescent="0.2">
      <c r="B5" s="19"/>
      <c r="C5" s="20" t="s">
        <v>154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outlineLevel="1" x14ac:dyDescent="0.2">
      <c r="B6" s="21" t="s">
        <v>922</v>
      </c>
      <c r="C6" s="16" t="str">
        <f>_xlfn.XLOOKUP(B6,TB_UAE!A:A,TB_UAE!E:E)</f>
        <v>FAB - USD Account</v>
      </c>
      <c r="D6" s="17">
        <f>_xlfn.XLOOKUP($C6,TB_UAE!$E:$E,TB_UAE!F:F)*D$2</f>
        <v>444366.67418000003</v>
      </c>
      <c r="E6" s="17">
        <f>_xlfn.XLOOKUP($C6,TB_UAE!$E:$E,TB_UAE!G:G)*E$2</f>
        <v>715112.50043999997</v>
      </c>
      <c r="F6" s="17">
        <f>_xlfn.XLOOKUP($C6,TB_UAE!$E:$E,TB_UAE!H:H)*F$2</f>
        <v>560621.42156000005</v>
      </c>
      <c r="G6" s="17">
        <f>_xlfn.XLOOKUP($C6,TB_UAE!$E:$E,TB_UAE!I:I)*G$2</f>
        <v>977080.03974000004</v>
      </c>
      <c r="H6" s="17">
        <f>_xlfn.XLOOKUP($C6,TB_UAE!$E:$E,TB_UAE!J:J)*H$2</f>
        <v>29907215.858680002</v>
      </c>
      <c r="I6" s="17">
        <f>_xlfn.XLOOKUP($C6,TB_UAE!$E:$E,TB_UAE!K:K)*I$2</f>
        <v>33525707.515269998</v>
      </c>
      <c r="J6" s="17">
        <f>_xlfn.XLOOKUP($C6,TB_UAE!$E:$E,TB_UAE!L:L)*J$2</f>
        <v>10427753.322560001</v>
      </c>
      <c r="K6" s="17">
        <f>_xlfn.XLOOKUP($C6,TB_UAE!$E:$E,TB_UAE!M:M)*K$2</f>
        <v>18772092.960519999</v>
      </c>
      <c r="L6" s="17">
        <f>_xlfn.XLOOKUP($C6,TB_UAE!$E:$E,TB_UAE!N:N)*L$2</f>
        <v>19691424.176520001</v>
      </c>
      <c r="M6" s="17">
        <f>_xlfn.XLOOKUP($C6,TB_UAE!$E:$E,TB_UAE!O:O)*M$2</f>
        <v>12108129.86586</v>
      </c>
      <c r="N6" s="17">
        <f>_xlfn.XLOOKUP($C6,TB_UAE!$E:$E,TB_UAE!P:P)*N$2</f>
        <v>12399856.159600001</v>
      </c>
      <c r="O6" s="17">
        <f>_xlfn.XLOOKUP($C6,TB_UAE!$E:$E,TB_UAE!Q:Q)*O$2</f>
        <v>2167219.6875200002</v>
      </c>
      <c r="P6" s="17">
        <f>_xlfn.XLOOKUP($C6,TB_UAE!$E:$E,TB_UAE!R:R)*P$2</f>
        <v>2154393.5877999999</v>
      </c>
      <c r="Q6" s="17">
        <f>_xlfn.XLOOKUP($C6,TB_UAE!$E:$E,TB_UAE!S:S)*Q$2</f>
        <v>2099239.3002399998</v>
      </c>
      <c r="R6" s="17">
        <f>_xlfn.XLOOKUP($C6,TB_UAE!$E:$E,TB_UAE!T:T)*R$2</f>
        <v>2151609.1094899997</v>
      </c>
      <c r="S6" s="17">
        <f>_xlfn.XLOOKUP($C6,TB_UAE!$E:$E,TB_UAE!U:U)*S$2</f>
        <v>2244407.8967900001</v>
      </c>
      <c r="T6" s="17">
        <f>_xlfn.XLOOKUP($C6,TB_UAE!$E:$E,TB_UAE!V:V)*T$2</f>
        <v>2224798.1696899999</v>
      </c>
      <c r="U6" s="17">
        <f>_xlfn.XLOOKUP($C6,TB_UAE!$E:$E,TB_UAE!W:W)*U$2</f>
        <v>2160008.8666099999</v>
      </c>
      <c r="V6" s="17">
        <f>_xlfn.XLOOKUP($C6,TB_UAE!$E:$E,TB_UAE!X:X)*V$2</f>
        <v>2144521.8144199997</v>
      </c>
      <c r="W6" s="17">
        <f>_xlfn.XLOOKUP($C6,TB_UAE!$E:$E,TB_UAE!Y:Y)*W$2</f>
        <v>2155309.7377799996</v>
      </c>
      <c r="X6" s="17">
        <f>_xlfn.XLOOKUP($C6,TB_UAE!$E:$E,TB_UAE!Z:Z)*X$2</f>
        <v>0</v>
      </c>
      <c r="Y6" s="17">
        <f>_xlfn.XLOOKUP($C6,TB_UAE!$E:$E,TB_UAE!AA:AA)*Y$2</f>
        <v>0</v>
      </c>
      <c r="Z6" s="17">
        <f>_xlfn.XLOOKUP($C6,TB_UAE!$E:$E,TB_UAE!AB:AB)*Z$2</f>
        <v>0</v>
      </c>
      <c r="AA6" s="17">
        <f>_xlfn.XLOOKUP($C6,TB_UAE!$E:$E,TB_UAE!AC:AC)*AA$2</f>
        <v>0</v>
      </c>
      <c r="AB6" s="17">
        <f>_xlfn.XLOOKUP($C6,TB_UAE!$E:$E,TB_UAE!AD:AD)*AB$2</f>
        <v>0</v>
      </c>
      <c r="AC6" s="17">
        <f>_xlfn.XLOOKUP($C6,TB_UAE!$E:$E,TB_UAE!AE:AE)*AC$2</f>
        <v>0</v>
      </c>
      <c r="AD6" s="17">
        <f>_xlfn.XLOOKUP($C6,TB_UAE!$E:$E,TB_UAE!AF:AF)*AD$2</f>
        <v>0</v>
      </c>
      <c r="AE6" s="17">
        <f>_xlfn.XLOOKUP($C6,TB_UAE!$E:$E,TB_UAE!AG:AG)*AE$2</f>
        <v>0</v>
      </c>
      <c r="AF6" s="17">
        <f>_xlfn.XLOOKUP($C6,TB_UAE!$E:$E,TB_UAE!AH:AH)*AF$2</f>
        <v>0</v>
      </c>
      <c r="AG6" s="17">
        <f>_xlfn.XLOOKUP($C6,TB_UAE!$E:$E,TB_UAE!AI:AI)*AG$2</f>
        <v>0</v>
      </c>
      <c r="AH6" s="17">
        <f>_xlfn.XLOOKUP($C6,TB_UAE!$E:$E,TB_UAE!AJ:AJ)*AH$2</f>
        <v>0</v>
      </c>
      <c r="AI6" s="17">
        <f>_xlfn.XLOOKUP($C6,TB_UAE!$E:$E,TB_UAE!AK:AK)*AI$2</f>
        <v>0</v>
      </c>
      <c r="AJ6" s="17">
        <f>_xlfn.XLOOKUP($C6,TB_UAE!$E:$E,TB_UAE!AL:AL)*AJ$2</f>
        <v>0</v>
      </c>
      <c r="AK6" s="17">
        <f>_xlfn.XLOOKUP($C6,TB_UAE!$E:$E,TB_UAE!AM:AM)*AK$2</f>
        <v>0</v>
      </c>
      <c r="AL6" s="17">
        <f>_xlfn.XLOOKUP($C6,TB_UAE!$E:$E,TB_UAE!AN:AN)*AL$2</f>
        <v>0</v>
      </c>
      <c r="AM6" s="17">
        <f>_xlfn.XLOOKUP($C6,TB_UAE!$E:$E,TB_UAE!AO:AO)*AM$2</f>
        <v>0</v>
      </c>
    </row>
    <row r="7" spans="2:39" outlineLevel="1" x14ac:dyDescent="0.2">
      <c r="B7" s="21" t="s">
        <v>923</v>
      </c>
      <c r="C7" s="16" t="str">
        <f>_xlfn.XLOOKUP(B7,TB_UAE!A:A,TB_UAE!E:E)</f>
        <v>FAB Account - AED</v>
      </c>
      <c r="D7" s="17">
        <f>_xlfn.XLOOKUP($C7,TB_UAE!$E:$E,TB_UAE!F:F)*D$2</f>
        <v>10785006.39398</v>
      </c>
      <c r="E7" s="17">
        <f>_xlfn.XLOOKUP($C7,TB_UAE!$E:$E,TB_UAE!G:G)*E$2</f>
        <v>551331.72408000007</v>
      </c>
      <c r="F7" s="17">
        <f>_xlfn.XLOOKUP($C7,TB_UAE!$E:$E,TB_UAE!H:H)*F$2</f>
        <v>2827.3250800000001</v>
      </c>
      <c r="G7" s="17">
        <f>_xlfn.XLOOKUP($C7,TB_UAE!$E:$E,TB_UAE!I:I)*G$2</f>
        <v>29549321.575199999</v>
      </c>
      <c r="H7" s="17">
        <f>_xlfn.XLOOKUP($C7,TB_UAE!$E:$E,TB_UAE!J:J)*H$2</f>
        <v>38884773.161600001</v>
      </c>
      <c r="I7" s="17">
        <f>_xlfn.XLOOKUP($C7,TB_UAE!$E:$E,TB_UAE!K:K)*I$2</f>
        <v>43589464.762399994</v>
      </c>
      <c r="J7" s="17">
        <f>_xlfn.XLOOKUP($C7,TB_UAE!$E:$E,TB_UAE!L:L)*J$2</f>
        <v>11570088.5504</v>
      </c>
      <c r="K7" s="17">
        <f>_xlfn.XLOOKUP($C7,TB_UAE!$E:$E,TB_UAE!M:M)*K$2</f>
        <v>44751960.926639996</v>
      </c>
      <c r="L7" s="17">
        <f>_xlfn.XLOOKUP($C7,TB_UAE!$E:$E,TB_UAE!N:N)*L$2</f>
        <v>29093373.248640001</v>
      </c>
      <c r="M7" s="17">
        <f>_xlfn.XLOOKUP($C7,TB_UAE!$E:$E,TB_UAE!O:O)*M$2</f>
        <v>10958653.282919999</v>
      </c>
      <c r="N7" s="17">
        <f>_xlfn.XLOOKUP($C7,TB_UAE!$E:$E,TB_UAE!P:P)*N$2</f>
        <v>10822975.051199999</v>
      </c>
      <c r="O7" s="17">
        <f>_xlfn.XLOOKUP($C7,TB_UAE!$E:$E,TB_UAE!Q:Q)*O$2</f>
        <v>7204407.1769599998</v>
      </c>
      <c r="P7" s="17">
        <f>_xlfn.XLOOKUP($C7,TB_UAE!$E:$E,TB_UAE!R:R)*P$2</f>
        <v>6796558.8043999998</v>
      </c>
      <c r="Q7" s="17">
        <f>_xlfn.XLOOKUP($C7,TB_UAE!$E:$E,TB_UAE!S:S)*Q$2</f>
        <v>6266699.8435199996</v>
      </c>
      <c r="R7" s="17">
        <f>_xlfn.XLOOKUP($C7,TB_UAE!$E:$E,TB_UAE!T:T)*R$2</f>
        <v>6255819.86252</v>
      </c>
      <c r="S7" s="17">
        <f>_xlfn.XLOOKUP($C7,TB_UAE!$E:$E,TB_UAE!U:U)*S$2</f>
        <v>6319590.4404200008</v>
      </c>
      <c r="T7" s="17">
        <f>_xlfn.XLOOKUP($C7,TB_UAE!$E:$E,TB_UAE!V:V)*T$2</f>
        <v>5773761.2696200004</v>
      </c>
      <c r="U7" s="17">
        <f>_xlfn.XLOOKUP($C7,TB_UAE!$E:$E,TB_UAE!W:W)*U$2</f>
        <v>9436168.1402800009</v>
      </c>
      <c r="V7" s="17">
        <f>_xlfn.XLOOKUP($C7,TB_UAE!$E:$E,TB_UAE!X:X)*V$2</f>
        <v>9171638.9431599993</v>
      </c>
      <c r="W7" s="17">
        <f>_xlfn.XLOOKUP($C7,TB_UAE!$E:$E,TB_UAE!Y:Y)*W$2</f>
        <v>9217776.4724400006</v>
      </c>
      <c r="X7" s="17">
        <f>_xlfn.XLOOKUP($C7,TB_UAE!$E:$E,TB_UAE!Z:Z)*X$2</f>
        <v>0</v>
      </c>
      <c r="Y7" s="17">
        <f>_xlfn.XLOOKUP($C7,TB_UAE!$E:$E,TB_UAE!AA:AA)*Y$2</f>
        <v>0</v>
      </c>
      <c r="Z7" s="17">
        <f>_xlfn.XLOOKUP($C7,TB_UAE!$E:$E,TB_UAE!AB:AB)*Z$2</f>
        <v>0</v>
      </c>
      <c r="AA7" s="17">
        <f>_xlfn.XLOOKUP($C7,TB_UAE!$E:$E,TB_UAE!AC:AC)*AA$2</f>
        <v>0</v>
      </c>
      <c r="AB7" s="17">
        <f>_xlfn.XLOOKUP($C7,TB_UAE!$E:$E,TB_UAE!AD:AD)*AB$2</f>
        <v>0</v>
      </c>
      <c r="AC7" s="17">
        <f>_xlfn.XLOOKUP($C7,TB_UAE!$E:$E,TB_UAE!AE:AE)*AC$2</f>
        <v>0</v>
      </c>
      <c r="AD7" s="17">
        <f>_xlfn.XLOOKUP($C7,TB_UAE!$E:$E,TB_UAE!AF:AF)*AD$2</f>
        <v>0</v>
      </c>
      <c r="AE7" s="17">
        <f>_xlfn.XLOOKUP($C7,TB_UAE!$E:$E,TB_UAE!AG:AG)*AE$2</f>
        <v>0</v>
      </c>
      <c r="AF7" s="17">
        <f>_xlfn.XLOOKUP($C7,TB_UAE!$E:$E,TB_UAE!AH:AH)*AF$2</f>
        <v>0</v>
      </c>
      <c r="AG7" s="17">
        <f>_xlfn.XLOOKUP($C7,TB_UAE!$E:$E,TB_UAE!AI:AI)*AG$2</f>
        <v>0</v>
      </c>
      <c r="AH7" s="17">
        <f>_xlfn.XLOOKUP($C7,TB_UAE!$E:$E,TB_UAE!AJ:AJ)*AH$2</f>
        <v>0</v>
      </c>
      <c r="AI7" s="17">
        <f>_xlfn.XLOOKUP($C7,TB_UAE!$E:$E,TB_UAE!AK:AK)*AI$2</f>
        <v>0</v>
      </c>
      <c r="AJ7" s="17">
        <f>_xlfn.XLOOKUP($C7,TB_UAE!$E:$E,TB_UAE!AL:AL)*AJ$2</f>
        <v>0</v>
      </c>
      <c r="AK7" s="17">
        <f>_xlfn.XLOOKUP($C7,TB_UAE!$E:$E,TB_UAE!AM:AM)*AK$2</f>
        <v>0</v>
      </c>
      <c r="AL7" s="17">
        <f>_xlfn.XLOOKUP($C7,TB_UAE!$E:$E,TB_UAE!AN:AN)*AL$2</f>
        <v>0</v>
      </c>
      <c r="AM7" s="17">
        <f>_xlfn.XLOOKUP($C7,TB_UAE!$E:$E,TB_UAE!AO:AO)*AM$2</f>
        <v>0</v>
      </c>
    </row>
    <row r="8" spans="2:39" outlineLevel="1" x14ac:dyDescent="0.2">
      <c r="B8" s="21" t="s">
        <v>924</v>
      </c>
      <c r="C8" s="16" t="str">
        <f>_xlfn.XLOOKUP(B8,TB_UAE!A:A,TB_UAE!E:E)</f>
        <v>Mashreq Account - AED</v>
      </c>
      <c r="D8" s="17">
        <f>_xlfn.XLOOKUP($C8,TB_UAE!$E:$E,TB_UAE!F:F)*D$2</f>
        <v>699637.30902000004</v>
      </c>
      <c r="E8" s="17">
        <f>_xlfn.XLOOKUP($C8,TB_UAE!$E:$E,TB_UAE!G:G)*E$2</f>
        <v>575867.92708000005</v>
      </c>
      <c r="F8" s="17">
        <f>_xlfn.XLOOKUP($C8,TB_UAE!$E:$E,TB_UAE!H:H)*F$2</f>
        <v>276005.29349999997</v>
      </c>
      <c r="G8" s="17">
        <f>_xlfn.XLOOKUP($C8,TB_UAE!$E:$E,TB_UAE!I:I)*G$2</f>
        <v>59714.126640000002</v>
      </c>
      <c r="H8" s="17">
        <f>_xlfn.XLOOKUP($C8,TB_UAE!$E:$E,TB_UAE!J:J)*H$2</f>
        <v>100720.23707999999</v>
      </c>
      <c r="I8" s="17">
        <f>_xlfn.XLOOKUP($C8,TB_UAE!$E:$E,TB_UAE!K:K)*I$2</f>
        <v>0</v>
      </c>
      <c r="J8" s="17">
        <f>_xlfn.XLOOKUP($C8,TB_UAE!$E:$E,TB_UAE!L:L)*J$2</f>
        <v>369132.60304000002</v>
      </c>
      <c r="K8" s="17">
        <f>_xlfn.XLOOKUP($C8,TB_UAE!$E:$E,TB_UAE!M:M)*K$2</f>
        <v>3714.1876200000002</v>
      </c>
      <c r="L8" s="17">
        <f>_xlfn.XLOOKUP($C8,TB_UAE!$E:$E,TB_UAE!N:N)*L$2</f>
        <v>958.12778999999989</v>
      </c>
      <c r="M8" s="17">
        <f>_xlfn.XLOOKUP($C8,TB_UAE!$E:$E,TB_UAE!O:O)*M$2</f>
        <v>1807905.8524799999</v>
      </c>
      <c r="N8" s="17">
        <f>_xlfn.XLOOKUP($C8,TB_UAE!$E:$E,TB_UAE!P:P)*N$2</f>
        <v>9005539.7119999994</v>
      </c>
      <c r="O8" s="17">
        <f>_xlfn.XLOOKUP($C8,TB_UAE!$E:$E,TB_UAE!Q:Q)*O$2</f>
        <v>5066595.1579200001</v>
      </c>
      <c r="P8" s="17">
        <f>_xlfn.XLOOKUP($C8,TB_UAE!$E:$E,TB_UAE!R:R)*P$2</f>
        <v>34597215.046599999</v>
      </c>
      <c r="Q8" s="17">
        <f>_xlfn.XLOOKUP($C8,TB_UAE!$E:$E,TB_UAE!S:S)*Q$2</f>
        <v>9289889.7775199991</v>
      </c>
      <c r="R8" s="17">
        <f>_xlfn.XLOOKUP($C8,TB_UAE!$E:$E,TB_UAE!T:T)*R$2</f>
        <v>9193074.7470500004</v>
      </c>
      <c r="S8" s="17">
        <f>_xlfn.XLOOKUP($C8,TB_UAE!$E:$E,TB_UAE!U:U)*S$2</f>
        <v>33276556.210700002</v>
      </c>
      <c r="T8" s="17">
        <f>_xlfn.XLOOKUP($C8,TB_UAE!$E:$E,TB_UAE!V:V)*T$2</f>
        <v>38284643.628839999</v>
      </c>
      <c r="U8" s="17">
        <f>_xlfn.XLOOKUP($C8,TB_UAE!$E:$E,TB_UAE!W:W)*U$2</f>
        <v>8416896.3957399987</v>
      </c>
      <c r="V8" s="17">
        <f>_xlfn.XLOOKUP($C8,TB_UAE!$E:$E,TB_UAE!X:X)*V$2</f>
        <v>49059304.696299993</v>
      </c>
      <c r="W8" s="17">
        <f>_xlfn.XLOOKUP($C8,TB_UAE!$E:$E,TB_UAE!Y:Y)*W$2</f>
        <v>25055547.413999997</v>
      </c>
      <c r="X8" s="17">
        <f>_xlfn.XLOOKUP($C8,TB_UAE!$E:$E,TB_UAE!Z:Z)*X$2</f>
        <v>10965928.46136</v>
      </c>
      <c r="Y8" s="17">
        <f>_xlfn.XLOOKUP($C8,TB_UAE!$E:$E,TB_UAE!AA:AA)*Y$2</f>
        <v>16856917.400000002</v>
      </c>
      <c r="Z8" s="17">
        <f>_xlfn.XLOOKUP($C8,TB_UAE!$E:$E,TB_UAE!AB:AB)*Z$2</f>
        <v>23560070.793499999</v>
      </c>
      <c r="AA8" s="17">
        <f>_xlfn.XLOOKUP($C8,TB_UAE!$E:$E,TB_UAE!AC:AC)*AA$2</f>
        <v>1753427.4401800002</v>
      </c>
      <c r="AB8" s="17">
        <f>_xlfn.XLOOKUP($C8,TB_UAE!$E:$E,TB_UAE!AD:AD)*AB$2</f>
        <v>42663085.048320003</v>
      </c>
      <c r="AC8" s="17">
        <f>_xlfn.XLOOKUP($C8,TB_UAE!$E:$E,TB_UAE!AE:AE)*AC$2</f>
        <v>27595772.51145</v>
      </c>
      <c r="AD8" s="17">
        <f>_xlfn.XLOOKUP($C8,TB_UAE!$E:$E,TB_UAE!AF:AF)*AD$2</f>
        <v>13688733.976570003</v>
      </c>
      <c r="AE8" s="17">
        <f>_xlfn.XLOOKUP($C8,TB_UAE!$E:$E,TB_UAE!AG:AG)*AE$2</f>
        <v>13488463.597920001</v>
      </c>
      <c r="AF8" s="17">
        <f>_xlfn.XLOOKUP($C8,TB_UAE!$E:$E,TB_UAE!AH:AH)*AF$2</f>
        <v>0</v>
      </c>
      <c r="AG8" s="17">
        <f>_xlfn.XLOOKUP($C8,TB_UAE!$E:$E,TB_UAE!AI:AI)*AG$2</f>
        <v>0</v>
      </c>
      <c r="AH8" s="17">
        <f>_xlfn.XLOOKUP($C8,TB_UAE!$E:$E,TB_UAE!AJ:AJ)*AH$2</f>
        <v>0</v>
      </c>
      <c r="AI8" s="17">
        <f>_xlfn.XLOOKUP($C8,TB_UAE!$E:$E,TB_UAE!AK:AK)*AI$2</f>
        <v>0</v>
      </c>
      <c r="AJ8" s="17">
        <f>_xlfn.XLOOKUP($C8,TB_UAE!$E:$E,TB_UAE!AL:AL)*AJ$2</f>
        <v>0</v>
      </c>
      <c r="AK8" s="17">
        <f>_xlfn.XLOOKUP($C8,TB_UAE!$E:$E,TB_UAE!AM:AM)*AK$2</f>
        <v>0</v>
      </c>
      <c r="AL8" s="17">
        <f>_xlfn.XLOOKUP($C8,TB_UAE!$E:$E,TB_UAE!AN:AN)*AL$2</f>
        <v>0</v>
      </c>
      <c r="AM8" s="17">
        <f>_xlfn.XLOOKUP($C8,TB_UAE!$E:$E,TB_UAE!AO:AO)*AM$2</f>
        <v>0</v>
      </c>
    </row>
    <row r="9" spans="2:39" outlineLevel="1" x14ac:dyDescent="0.2">
      <c r="B9" s="21" t="s">
        <v>925</v>
      </c>
      <c r="C9" s="16" t="str">
        <f>_xlfn.XLOOKUP(B9,TB_UAE!A:A,TB_UAE!E:E)</f>
        <v>Mashreq USD Account</v>
      </c>
      <c r="D9" s="17">
        <f>_xlfn.XLOOKUP($C9,TB_UAE!$E:$E,TB_UAE!F:F)*D$2</f>
        <v>487171.76611999999</v>
      </c>
      <c r="E9" s="17">
        <f>_xlfn.XLOOKUP($C9,TB_UAE!$E:$E,TB_UAE!G:G)*E$2</f>
        <v>864175.87855999998</v>
      </c>
      <c r="F9" s="17">
        <f>_xlfn.XLOOKUP($C9,TB_UAE!$E:$E,TB_UAE!H:H)*F$2</f>
        <v>757526.04247999995</v>
      </c>
      <c r="G9" s="17">
        <f>_xlfn.XLOOKUP($C9,TB_UAE!$E:$E,TB_UAE!I:I)*G$2</f>
        <v>727414.72308000003</v>
      </c>
      <c r="H9" s="17">
        <f>_xlfn.XLOOKUP($C9,TB_UAE!$E:$E,TB_UAE!J:J)*H$2</f>
        <v>2991757.4525600001</v>
      </c>
      <c r="I9" s="17">
        <f>_xlfn.XLOOKUP($C9,TB_UAE!$E:$E,TB_UAE!K:K)*I$2</f>
        <v>3353731.9483400001</v>
      </c>
      <c r="J9" s="17">
        <f>_xlfn.XLOOKUP($C9,TB_UAE!$E:$E,TB_UAE!L:L)*J$2</f>
        <v>3558119.6406400003</v>
      </c>
      <c r="K9" s="17">
        <f>_xlfn.XLOOKUP($C9,TB_UAE!$E:$E,TB_UAE!M:M)*K$2</f>
        <v>107796984.17529</v>
      </c>
      <c r="L9" s="17">
        <f>_xlfn.XLOOKUP($C9,TB_UAE!$E:$E,TB_UAE!N:N)*L$2</f>
        <v>43377133.260179996</v>
      </c>
      <c r="M9" s="17">
        <f>_xlfn.XLOOKUP($C9,TB_UAE!$E:$E,TB_UAE!O:O)*M$2</f>
        <v>36469824.955200002</v>
      </c>
      <c r="N9" s="17">
        <f>_xlfn.XLOOKUP($C9,TB_UAE!$E:$E,TB_UAE!P:P)*N$2</f>
        <v>3905747.872</v>
      </c>
      <c r="O9" s="17">
        <f>_xlfn.XLOOKUP($C9,TB_UAE!$E:$E,TB_UAE!Q:Q)*O$2</f>
        <v>1405572.0217599999</v>
      </c>
      <c r="P9" s="17">
        <f>_xlfn.XLOOKUP($C9,TB_UAE!$E:$E,TB_UAE!R:R)*P$2</f>
        <v>33130406.081599999</v>
      </c>
      <c r="Q9" s="17">
        <f>_xlfn.XLOOKUP($C9,TB_UAE!$E:$E,TB_UAE!S:S)*Q$2</f>
        <v>32282239.82528</v>
      </c>
      <c r="R9" s="17">
        <f>_xlfn.XLOOKUP($C9,TB_UAE!$E:$E,TB_UAE!T:T)*R$2</f>
        <v>10199950.94128</v>
      </c>
      <c r="S9" s="17">
        <f>_xlfn.XLOOKUP($C9,TB_UAE!$E:$E,TB_UAE!U:U)*S$2</f>
        <v>38070698.796700001</v>
      </c>
      <c r="T9" s="17">
        <f>_xlfn.XLOOKUP($C9,TB_UAE!$E:$E,TB_UAE!V:V)*T$2</f>
        <v>7766501.1951600006</v>
      </c>
      <c r="U9" s="17">
        <f>_xlfn.XLOOKUP($C9,TB_UAE!$E:$E,TB_UAE!W:W)*U$2</f>
        <v>7507918.3867099993</v>
      </c>
      <c r="V9" s="17">
        <f>_xlfn.XLOOKUP($C9,TB_UAE!$E:$E,TB_UAE!X:X)*V$2</f>
        <v>34960341.773119994</v>
      </c>
      <c r="W9" s="17">
        <f>_xlfn.XLOOKUP($C9,TB_UAE!$E:$E,TB_UAE!Y:Y)*W$2</f>
        <v>35089772.171459995</v>
      </c>
      <c r="X9" s="17">
        <f>_xlfn.XLOOKUP($C9,TB_UAE!$E:$E,TB_UAE!Z:Z)*X$2</f>
        <v>33846926.659619994</v>
      </c>
      <c r="Y9" s="17">
        <f>_xlfn.XLOOKUP($C9,TB_UAE!$E:$E,TB_UAE!AA:AA)*Y$2</f>
        <v>2719926.5020000003</v>
      </c>
      <c r="Z9" s="17">
        <f>_xlfn.XLOOKUP($C9,TB_UAE!$E:$E,TB_UAE!AB:AB)*Z$2</f>
        <v>12489934.478250001</v>
      </c>
      <c r="AA9" s="17">
        <f>_xlfn.XLOOKUP($C9,TB_UAE!$E:$E,TB_UAE!AC:AC)*AA$2</f>
        <v>1670628.65121</v>
      </c>
      <c r="AB9" s="17">
        <f>_xlfn.XLOOKUP($C9,TB_UAE!$E:$E,TB_UAE!AD:AD)*AB$2</f>
        <v>8652603.2340400014</v>
      </c>
      <c r="AC9" s="17">
        <f>_xlfn.XLOOKUP($C9,TB_UAE!$E:$E,TB_UAE!AE:AE)*AC$2</f>
        <v>8461749.7851500008</v>
      </c>
      <c r="AD9" s="17">
        <f>_xlfn.XLOOKUP($C9,TB_UAE!$E:$E,TB_UAE!AF:AF)*AD$2</f>
        <v>8621431.8019100018</v>
      </c>
      <c r="AE9" s="17">
        <f>_xlfn.XLOOKUP($C9,TB_UAE!$E:$E,TB_UAE!AG:AG)*AE$2</f>
        <v>76645358.026920006</v>
      </c>
      <c r="AF9" s="17">
        <f>_xlfn.XLOOKUP($C9,TB_UAE!$E:$E,TB_UAE!AH:AH)*AF$2</f>
        <v>0</v>
      </c>
      <c r="AG9" s="17">
        <f>_xlfn.XLOOKUP($C9,TB_UAE!$E:$E,TB_UAE!AI:AI)*AG$2</f>
        <v>0</v>
      </c>
      <c r="AH9" s="17">
        <f>_xlfn.XLOOKUP($C9,TB_UAE!$E:$E,TB_UAE!AJ:AJ)*AH$2</f>
        <v>0</v>
      </c>
      <c r="AI9" s="17">
        <f>_xlfn.XLOOKUP($C9,TB_UAE!$E:$E,TB_UAE!AK:AK)*AI$2</f>
        <v>0</v>
      </c>
      <c r="AJ9" s="17">
        <f>_xlfn.XLOOKUP($C9,TB_UAE!$E:$E,TB_UAE!AL:AL)*AJ$2</f>
        <v>0</v>
      </c>
      <c r="AK9" s="17">
        <f>_xlfn.XLOOKUP($C9,TB_UAE!$E:$E,TB_UAE!AM:AM)*AK$2</f>
        <v>0</v>
      </c>
      <c r="AL9" s="17">
        <f>_xlfn.XLOOKUP($C9,TB_UAE!$E:$E,TB_UAE!AN:AN)*AL$2</f>
        <v>0</v>
      </c>
      <c r="AM9" s="17">
        <f>_xlfn.XLOOKUP($C9,TB_UAE!$E:$E,TB_UAE!AO:AO)*AM$2</f>
        <v>0</v>
      </c>
    </row>
    <row r="10" spans="2:39" outlineLevel="1" x14ac:dyDescent="0.2">
      <c r="B10" s="74" t="s">
        <v>948</v>
      </c>
      <c r="C10" s="16" t="str">
        <f>_xlfn.XLOOKUP(B10,TB_UAE!A:A,TB_UAE!E:E)</f>
        <v>Mashreq EUR account</v>
      </c>
      <c r="D10" s="17">
        <f>_xlfn.XLOOKUP($C10,TB_UAE!$E:$E,TB_UAE!F:F)*D$2</f>
        <v>0</v>
      </c>
      <c r="E10" s="17">
        <f>_xlfn.XLOOKUP($C10,TB_UAE!$E:$E,TB_UAE!G:G)*E$2</f>
        <v>0</v>
      </c>
      <c r="F10" s="17">
        <f>_xlfn.XLOOKUP($C10,TB_UAE!$E:$E,TB_UAE!H:H)*F$2</f>
        <v>0</v>
      </c>
      <c r="G10" s="17">
        <f>_xlfn.XLOOKUP($C10,TB_UAE!$E:$E,TB_UAE!I:I)*G$2</f>
        <v>0</v>
      </c>
      <c r="H10" s="17">
        <f>_xlfn.XLOOKUP($C10,TB_UAE!$E:$E,TB_UAE!J:J)*H$2</f>
        <v>0</v>
      </c>
      <c r="I10" s="17">
        <f>_xlfn.XLOOKUP($C10,TB_UAE!$E:$E,TB_UAE!K:K)*I$2</f>
        <v>0</v>
      </c>
      <c r="J10" s="17">
        <f>_xlfn.XLOOKUP($C10,TB_UAE!$E:$E,TB_UAE!L:L)*J$2</f>
        <v>0</v>
      </c>
      <c r="K10" s="17">
        <f>_xlfn.XLOOKUP($C10,TB_UAE!$E:$E,TB_UAE!M:M)*K$2</f>
        <v>0</v>
      </c>
      <c r="L10" s="17">
        <f>_xlfn.XLOOKUP($C10,TB_UAE!$E:$E,TB_UAE!N:N)*L$2</f>
        <v>0</v>
      </c>
      <c r="M10" s="17">
        <f>_xlfn.XLOOKUP($C10,TB_UAE!$E:$E,TB_UAE!O:O)*M$2</f>
        <v>0</v>
      </c>
      <c r="N10" s="17">
        <f>_xlfn.XLOOKUP($C10,TB_UAE!$E:$E,TB_UAE!P:P)*N$2</f>
        <v>0</v>
      </c>
      <c r="O10" s="17">
        <f>_xlfn.XLOOKUP($C10,TB_UAE!$E:$E,TB_UAE!Q:Q)*O$2</f>
        <v>0</v>
      </c>
      <c r="P10" s="17">
        <f>_xlfn.XLOOKUP($C10,TB_UAE!$E:$E,TB_UAE!R:R)*P$2</f>
        <v>0</v>
      </c>
      <c r="Q10" s="17">
        <f>_xlfn.XLOOKUP($C10,TB_UAE!$E:$E,TB_UAE!S:S)*Q$2</f>
        <v>0</v>
      </c>
      <c r="R10" s="17">
        <f>_xlfn.XLOOKUP($C10,TB_UAE!$E:$E,TB_UAE!T:T)*R$2</f>
        <v>0</v>
      </c>
      <c r="S10" s="17">
        <f>_xlfn.XLOOKUP($C10,TB_UAE!$E:$E,TB_UAE!U:U)*S$2</f>
        <v>0</v>
      </c>
      <c r="T10" s="17">
        <f>_xlfn.XLOOKUP($C10,TB_UAE!$E:$E,TB_UAE!V:V)*T$2</f>
        <v>0</v>
      </c>
      <c r="U10" s="17">
        <f>_xlfn.XLOOKUP($C10,TB_UAE!$E:$E,TB_UAE!W:W)*U$2</f>
        <v>0</v>
      </c>
      <c r="V10" s="17">
        <f>_xlfn.XLOOKUP($C10,TB_UAE!$E:$E,TB_UAE!X:X)*V$2</f>
        <v>9220.7300599999999</v>
      </c>
      <c r="W10" s="17">
        <f>_xlfn.XLOOKUP($C10,TB_UAE!$E:$E,TB_UAE!Y:Y)*W$2</f>
        <v>9267.1145399999987</v>
      </c>
      <c r="X10" s="17">
        <f>_xlfn.XLOOKUP($C10,TB_UAE!$E:$E,TB_UAE!Z:Z)*X$2</f>
        <v>8938.8823799999991</v>
      </c>
      <c r="Y10" s="17">
        <f>_xlfn.XLOOKUP($C10,TB_UAE!$E:$E,TB_UAE!AA:AA)*Y$2</f>
        <v>8732.4979999999996</v>
      </c>
      <c r="Z10" s="17">
        <f>_xlfn.XLOOKUP($C10,TB_UAE!$E:$E,TB_UAE!AB:AB)*Z$2</f>
        <v>8719.7732499999984</v>
      </c>
      <c r="AA10" s="17">
        <f>_xlfn.XLOOKUP($C10,TB_UAE!$E:$E,TB_UAE!AC:AC)*AA$2</f>
        <v>8733.3168100000003</v>
      </c>
      <c r="AB10" s="17">
        <f>_xlfn.XLOOKUP($C10,TB_UAE!$E:$E,TB_UAE!AD:AD)*AB$2</f>
        <v>8360.4484400000001</v>
      </c>
      <c r="AC10" s="17">
        <f>_xlfn.XLOOKUP($C10,TB_UAE!$E:$E,TB_UAE!AE:AE)*AC$2</f>
        <v>8176.0391499999996</v>
      </c>
      <c r="AD10" s="17">
        <f>_xlfn.XLOOKUP($C10,TB_UAE!$E:$E,TB_UAE!AF:AF)*AD$2</f>
        <v>8330.3295099999996</v>
      </c>
      <c r="AE10" s="17">
        <f>_xlfn.XLOOKUP($C10,TB_UAE!$E:$E,TB_UAE!AG:AG)*AE$2</f>
        <v>8280.9574800000009</v>
      </c>
      <c r="AF10" s="17">
        <f>_xlfn.XLOOKUP($C10,TB_UAE!$E:$E,TB_UAE!AH:AH)*AF$2</f>
        <v>0</v>
      </c>
      <c r="AG10" s="17">
        <f>_xlfn.XLOOKUP($C10,TB_UAE!$E:$E,TB_UAE!AI:AI)*AG$2</f>
        <v>0</v>
      </c>
      <c r="AH10" s="17">
        <f>_xlfn.XLOOKUP($C10,TB_UAE!$E:$E,TB_UAE!AJ:AJ)*AH$2</f>
        <v>0</v>
      </c>
      <c r="AI10" s="17">
        <f>_xlfn.XLOOKUP($C10,TB_UAE!$E:$E,TB_UAE!AK:AK)*AI$2</f>
        <v>0</v>
      </c>
      <c r="AJ10" s="17">
        <f>_xlfn.XLOOKUP($C10,TB_UAE!$E:$E,TB_UAE!AL:AL)*AJ$2</f>
        <v>0</v>
      </c>
      <c r="AK10" s="17">
        <f>_xlfn.XLOOKUP($C10,TB_UAE!$E:$E,TB_UAE!AM:AM)*AK$2</f>
        <v>0</v>
      </c>
      <c r="AL10" s="17">
        <f>_xlfn.XLOOKUP($C10,TB_UAE!$E:$E,TB_UAE!AN:AN)*AL$2</f>
        <v>0</v>
      </c>
      <c r="AM10" s="17">
        <f>_xlfn.XLOOKUP($C10,TB_UAE!$E:$E,TB_UAE!AO:AO)*AM$2</f>
        <v>0</v>
      </c>
    </row>
    <row r="11" spans="2:39" outlineLevel="1" x14ac:dyDescent="0.2">
      <c r="B11" s="21" t="s">
        <v>926</v>
      </c>
      <c r="C11" s="16" t="str">
        <f>_xlfn.XLOOKUP(B11,TB_UAE!A:A,TB_UAE!E:E)</f>
        <v>Cash in Transit</v>
      </c>
      <c r="D11" s="17">
        <f>_xlfn.XLOOKUP($C11,TB_UAE!$E:$E,TB_UAE!F:F)*D$2</f>
        <v>0</v>
      </c>
      <c r="E11" s="17">
        <f>_xlfn.XLOOKUP($C11,TB_UAE!$E:$E,TB_UAE!G:G)*E$2</f>
        <v>0</v>
      </c>
      <c r="F11" s="17">
        <f>_xlfn.XLOOKUP($C11,TB_UAE!$E:$E,TB_UAE!H:H)*F$2</f>
        <v>0</v>
      </c>
      <c r="G11" s="17">
        <f>_xlfn.XLOOKUP($C11,TB_UAE!$E:$E,TB_UAE!I:I)*G$2</f>
        <v>0</v>
      </c>
      <c r="H11" s="17">
        <f>_xlfn.XLOOKUP($C11,TB_UAE!$E:$E,TB_UAE!J:J)*H$2</f>
        <v>0</v>
      </c>
      <c r="I11" s="17">
        <f>_xlfn.XLOOKUP($C11,TB_UAE!$E:$E,TB_UAE!K:K)*I$2</f>
        <v>0</v>
      </c>
      <c r="J11" s="17">
        <f>_xlfn.XLOOKUP($C11,TB_UAE!$E:$E,TB_UAE!L:L)*J$2</f>
        <v>0</v>
      </c>
      <c r="K11" s="17">
        <f>_xlfn.XLOOKUP($C11,TB_UAE!$E:$E,TB_UAE!M:M)*K$2</f>
        <v>0</v>
      </c>
      <c r="L11" s="17">
        <f>_xlfn.XLOOKUP($C11,TB_UAE!$E:$E,TB_UAE!N:N)*L$2</f>
        <v>0</v>
      </c>
      <c r="M11" s="17">
        <f>_xlfn.XLOOKUP($C11,TB_UAE!$E:$E,TB_UAE!O:O)*M$2</f>
        <v>0</v>
      </c>
      <c r="N11" s="17">
        <f>_xlfn.XLOOKUP($C11,TB_UAE!$E:$E,TB_UAE!P:P)*N$2</f>
        <v>0</v>
      </c>
      <c r="O11" s="17">
        <f>_xlfn.XLOOKUP($C11,TB_UAE!$E:$E,TB_UAE!Q:Q)*O$2</f>
        <v>0</v>
      </c>
      <c r="P11" s="17">
        <f>_xlfn.XLOOKUP($C11,TB_UAE!$E:$E,TB_UAE!R:R)*P$2</f>
        <v>0</v>
      </c>
      <c r="Q11" s="17">
        <f>_xlfn.XLOOKUP($C11,TB_UAE!$E:$E,TB_UAE!S:S)*Q$2</f>
        <v>0</v>
      </c>
      <c r="R11" s="17">
        <f>_xlfn.XLOOKUP($C11,TB_UAE!$E:$E,TB_UAE!T:T)*R$2</f>
        <v>0</v>
      </c>
      <c r="S11" s="17">
        <f>_xlfn.XLOOKUP($C11,TB_UAE!$E:$E,TB_UAE!U:U)*S$2</f>
        <v>0</v>
      </c>
      <c r="T11" s="17">
        <f>_xlfn.XLOOKUP($C11,TB_UAE!$E:$E,TB_UAE!V:V)*T$2</f>
        <v>0</v>
      </c>
      <c r="U11" s="17">
        <f>_xlfn.XLOOKUP($C11,TB_UAE!$E:$E,TB_UAE!W:W)*U$2</f>
        <v>0</v>
      </c>
      <c r="V11" s="17">
        <f>_xlfn.XLOOKUP($C11,TB_UAE!$E:$E,TB_UAE!X:X)*V$2</f>
        <v>0</v>
      </c>
      <c r="W11" s="17">
        <f>_xlfn.XLOOKUP($C11,TB_UAE!$E:$E,TB_UAE!Y:Y)*W$2</f>
        <v>0</v>
      </c>
      <c r="X11" s="17">
        <f>_xlfn.XLOOKUP($C11,TB_UAE!$E:$E,TB_UAE!Z:Z)*X$2</f>
        <v>0</v>
      </c>
      <c r="Y11" s="17">
        <f>_xlfn.XLOOKUP($C11,TB_UAE!$E:$E,TB_UAE!AA:AA)*Y$2</f>
        <v>0</v>
      </c>
      <c r="Z11" s="17">
        <f>_xlfn.XLOOKUP($C11,TB_UAE!$E:$E,TB_UAE!AB:AB)*Z$2</f>
        <v>0</v>
      </c>
      <c r="AA11" s="17">
        <f>_xlfn.XLOOKUP($C11,TB_UAE!$E:$E,TB_UAE!AC:AC)*AA$2</f>
        <v>0</v>
      </c>
      <c r="AB11" s="17">
        <f>_xlfn.XLOOKUP($C11,TB_UAE!$E:$E,TB_UAE!AD:AD)*AB$2</f>
        <v>0</v>
      </c>
      <c r="AC11" s="17">
        <f>_xlfn.XLOOKUP($C11,TB_UAE!$E:$E,TB_UAE!AE:AE)*AC$2</f>
        <v>0</v>
      </c>
      <c r="AD11" s="17">
        <f>_xlfn.XLOOKUP($C11,TB_UAE!$E:$E,TB_UAE!AF:AF)*AD$2</f>
        <v>0</v>
      </c>
      <c r="AE11" s="17">
        <f>_xlfn.XLOOKUP($C11,TB_UAE!$E:$E,TB_UAE!AG:AG)*AE$2</f>
        <v>0</v>
      </c>
      <c r="AF11" s="17">
        <f>_xlfn.XLOOKUP($C11,TB_UAE!$E:$E,TB_UAE!AH:AH)*AF$2</f>
        <v>0</v>
      </c>
      <c r="AG11" s="17">
        <f>_xlfn.XLOOKUP($C11,TB_UAE!$E:$E,TB_UAE!AI:AI)*AG$2</f>
        <v>0</v>
      </c>
      <c r="AH11" s="17">
        <f>_xlfn.XLOOKUP($C11,TB_UAE!$E:$E,TB_UAE!AJ:AJ)*AH$2</f>
        <v>0</v>
      </c>
      <c r="AI11" s="17">
        <f>_xlfn.XLOOKUP($C11,TB_UAE!$E:$E,TB_UAE!AK:AK)*AI$2</f>
        <v>0</v>
      </c>
      <c r="AJ11" s="17">
        <f>_xlfn.XLOOKUP($C11,TB_UAE!$E:$E,TB_UAE!AL:AL)*AJ$2</f>
        <v>0</v>
      </c>
      <c r="AK11" s="17">
        <f>_xlfn.XLOOKUP($C11,TB_UAE!$E:$E,TB_UAE!AM:AM)*AK$2</f>
        <v>0</v>
      </c>
      <c r="AL11" s="17">
        <f>_xlfn.XLOOKUP($C11,TB_UAE!$E:$E,TB_UAE!AN:AN)*AL$2</f>
        <v>0</v>
      </c>
      <c r="AM11" s="17">
        <f>_xlfn.XLOOKUP($C11,TB_UAE!$E:$E,TB_UAE!AO:AO)*AM$2</f>
        <v>0</v>
      </c>
    </row>
    <row r="12" spans="2:39" outlineLevel="1" x14ac:dyDescent="0.2">
      <c r="B12" s="21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2:39" outlineLevel="1" x14ac:dyDescent="0.2">
      <c r="B13" s="21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2:39" x14ac:dyDescent="0.2">
      <c r="B14" s="15"/>
      <c r="C14" s="22" t="s">
        <v>31</v>
      </c>
      <c r="D14" s="23">
        <f t="shared" ref="D14:AM14" si="1">SUM(D6:D13)</f>
        <v>12416182.143299999</v>
      </c>
      <c r="E14" s="23">
        <f t="shared" si="1"/>
        <v>2706488.0301600001</v>
      </c>
      <c r="F14" s="23">
        <f t="shared" si="1"/>
        <v>1596980.08262</v>
      </c>
      <c r="G14" s="23">
        <f t="shared" si="1"/>
        <v>31313530.46466</v>
      </c>
      <c r="H14" s="23">
        <f t="shared" si="1"/>
        <v>71884466.709919989</v>
      </c>
      <c r="I14" s="23">
        <f t="shared" si="1"/>
        <v>80468904.226009995</v>
      </c>
      <c r="J14" s="23">
        <f t="shared" si="1"/>
        <v>25925094.116640002</v>
      </c>
      <c r="K14" s="23">
        <f t="shared" si="1"/>
        <v>171324752.25007001</v>
      </c>
      <c r="L14" s="23">
        <f t="shared" si="1"/>
        <v>92162888.813129991</v>
      </c>
      <c r="M14" s="23">
        <f t="shared" si="1"/>
        <v>61344513.956459999</v>
      </c>
      <c r="N14" s="23">
        <f t="shared" si="1"/>
        <v>36134118.794799998</v>
      </c>
      <c r="O14" s="23">
        <f t="shared" si="1"/>
        <v>15843794.044159999</v>
      </c>
      <c r="P14" s="23">
        <f t="shared" si="1"/>
        <v>76678573.520400003</v>
      </c>
      <c r="Q14" s="23">
        <f t="shared" si="1"/>
        <v>49938068.746559992</v>
      </c>
      <c r="R14" s="23">
        <f t="shared" si="1"/>
        <v>27800454.66034</v>
      </c>
      <c r="S14" s="23">
        <f t="shared" si="1"/>
        <v>79911253.344610006</v>
      </c>
      <c r="T14" s="23">
        <f t="shared" si="1"/>
        <v>54049704.26331</v>
      </c>
      <c r="U14" s="23">
        <f t="shared" si="1"/>
        <v>27520991.789340001</v>
      </c>
      <c r="V14" s="23">
        <f t="shared" si="1"/>
        <v>95345027.957059979</v>
      </c>
      <c r="W14" s="23">
        <f t="shared" si="1"/>
        <v>71527672.910219982</v>
      </c>
      <c r="X14" s="23">
        <f t="shared" si="1"/>
        <v>44821794.003359996</v>
      </c>
      <c r="Y14" s="23">
        <f t="shared" si="1"/>
        <v>19585576.400000002</v>
      </c>
      <c r="Z14" s="23">
        <f t="shared" si="1"/>
        <v>36058725.045000002</v>
      </c>
      <c r="AA14" s="23">
        <f t="shared" si="1"/>
        <v>3432789.4082000004</v>
      </c>
      <c r="AB14" s="23">
        <f t="shared" si="1"/>
        <v>51324048.730800003</v>
      </c>
      <c r="AC14" s="23">
        <f t="shared" si="1"/>
        <v>36065698.335749999</v>
      </c>
      <c r="AD14" s="23">
        <f t="shared" si="1"/>
        <v>22318496.107990004</v>
      </c>
      <c r="AE14" s="23">
        <f t="shared" si="1"/>
        <v>90142102.582320005</v>
      </c>
      <c r="AF14" s="23">
        <f t="shared" si="1"/>
        <v>0</v>
      </c>
      <c r="AG14" s="23">
        <f t="shared" si="1"/>
        <v>0</v>
      </c>
      <c r="AH14" s="23">
        <f t="shared" si="1"/>
        <v>0</v>
      </c>
      <c r="AI14" s="23">
        <f t="shared" si="1"/>
        <v>0</v>
      </c>
      <c r="AJ14" s="23">
        <f t="shared" si="1"/>
        <v>0</v>
      </c>
      <c r="AK14" s="23">
        <f t="shared" si="1"/>
        <v>0</v>
      </c>
      <c r="AL14" s="23">
        <f t="shared" si="1"/>
        <v>0</v>
      </c>
      <c r="AM14" s="23">
        <f t="shared" si="1"/>
        <v>0</v>
      </c>
    </row>
    <row r="15" spans="2:39" x14ac:dyDescent="0.2">
      <c r="B15" s="21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2:39" outlineLevel="1" x14ac:dyDescent="0.2">
      <c r="B16" s="21"/>
      <c r="C16" s="20" t="s">
        <v>194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spans="2:39" outlineLevel="1" x14ac:dyDescent="0.2">
      <c r="B17" s="21" t="s">
        <v>927</v>
      </c>
      <c r="C17" s="16" t="str">
        <f>_xlfn.XLOOKUP(B17,TB_UAE!A:A,TB_UAE!E:E)</f>
        <v>Accounts Receivable (A/R)</v>
      </c>
      <c r="D17" s="17">
        <f>_xlfn.XLOOKUP($C17,TB_UAE!$E:$E,TB_UAE!F:F)*D$2</f>
        <v>0</v>
      </c>
      <c r="E17" s="17">
        <f>_xlfn.XLOOKUP($C17,TB_UAE!$E:$E,TB_UAE!G:G)*E$2</f>
        <v>0</v>
      </c>
      <c r="F17" s="17">
        <f>_xlfn.XLOOKUP($C17,TB_UAE!$E:$E,TB_UAE!H:H)*F$2</f>
        <v>0</v>
      </c>
      <c r="G17" s="17">
        <f>_xlfn.XLOOKUP($C17,TB_UAE!$E:$E,TB_UAE!I:I)*G$2</f>
        <v>0</v>
      </c>
      <c r="H17" s="17">
        <f>_xlfn.XLOOKUP($C17,TB_UAE!$E:$E,TB_UAE!J:J)*H$2</f>
        <v>0</v>
      </c>
      <c r="I17" s="17">
        <f>_xlfn.XLOOKUP($C17,TB_UAE!$E:$E,TB_UAE!K:K)*I$2</f>
        <v>0</v>
      </c>
      <c r="J17" s="17">
        <f>_xlfn.XLOOKUP($C17,TB_UAE!$E:$E,TB_UAE!L:L)*J$2</f>
        <v>0</v>
      </c>
      <c r="K17" s="17">
        <f>_xlfn.XLOOKUP($C17,TB_UAE!$E:$E,TB_UAE!M:M)*K$2</f>
        <v>0</v>
      </c>
      <c r="L17" s="17">
        <f>_xlfn.XLOOKUP($C17,TB_UAE!$E:$E,TB_UAE!N:N)*L$2</f>
        <v>0</v>
      </c>
      <c r="M17" s="17">
        <f>_xlfn.XLOOKUP($C17,TB_UAE!$E:$E,TB_UAE!O:O)*M$2</f>
        <v>0</v>
      </c>
      <c r="N17" s="17">
        <f>_xlfn.XLOOKUP($C17,TB_UAE!$E:$E,TB_UAE!P:P)*N$2</f>
        <v>0</v>
      </c>
      <c r="O17" s="17">
        <f>_xlfn.XLOOKUP($C17,TB_UAE!$E:$E,TB_UAE!Q:Q)*O$2</f>
        <v>0</v>
      </c>
      <c r="P17" s="17">
        <f>_xlfn.XLOOKUP($C17,TB_UAE!$E:$E,TB_UAE!R:R)*P$2</f>
        <v>0</v>
      </c>
      <c r="Q17" s="17">
        <f>_xlfn.XLOOKUP($C17,TB_UAE!$E:$E,TB_UAE!S:S)*Q$2</f>
        <v>0</v>
      </c>
      <c r="R17" s="17">
        <f>_xlfn.XLOOKUP($C17,TB_UAE!$E:$E,TB_UAE!T:T)*R$2</f>
        <v>0</v>
      </c>
      <c r="S17" s="17">
        <f>_xlfn.XLOOKUP($C17,TB_UAE!$E:$E,TB_UAE!U:U)*S$2</f>
        <v>0</v>
      </c>
      <c r="T17" s="17">
        <f>_xlfn.XLOOKUP($C17,TB_UAE!$E:$E,TB_UAE!V:V)*T$2</f>
        <v>0</v>
      </c>
      <c r="U17" s="17">
        <f>_xlfn.XLOOKUP($C17,TB_UAE!$E:$E,TB_UAE!W:W)*U$2</f>
        <v>0</v>
      </c>
      <c r="V17" s="17">
        <f>_xlfn.XLOOKUP($C17,TB_UAE!$E:$E,TB_UAE!X:X)*V$2</f>
        <v>0</v>
      </c>
      <c r="W17" s="17">
        <f>_xlfn.XLOOKUP($C17,TB_UAE!$E:$E,TB_UAE!Y:Y)*W$2</f>
        <v>0</v>
      </c>
      <c r="X17" s="17">
        <f>_xlfn.XLOOKUP($C17,TB_UAE!$E:$E,TB_UAE!Z:Z)*X$2</f>
        <v>0</v>
      </c>
      <c r="Y17" s="17">
        <f>_xlfn.XLOOKUP($C17,TB_UAE!$E:$E,TB_UAE!AA:AA)*Y$2</f>
        <v>0</v>
      </c>
      <c r="Z17" s="17">
        <f>_xlfn.XLOOKUP($C17,TB_UAE!$E:$E,TB_UAE!AB:AB)*Z$2</f>
        <v>0</v>
      </c>
      <c r="AA17" s="17">
        <f>_xlfn.XLOOKUP($C17,TB_UAE!$E:$E,TB_UAE!AC:AC)*AA$2</f>
        <v>0</v>
      </c>
      <c r="AB17" s="17">
        <f>_xlfn.XLOOKUP($C17,TB_UAE!$E:$E,TB_UAE!AD:AD)*AB$2</f>
        <v>0</v>
      </c>
      <c r="AC17" s="17">
        <f>_xlfn.XLOOKUP($C17,TB_UAE!$E:$E,TB_UAE!AE:AE)*AC$2</f>
        <v>0</v>
      </c>
      <c r="AD17" s="17">
        <f>_xlfn.XLOOKUP($C17,TB_UAE!$E:$E,TB_UAE!AF:AF)*AD$2</f>
        <v>0</v>
      </c>
      <c r="AE17" s="17">
        <f>_xlfn.XLOOKUP($C17,TB_UAE!$E:$E,TB_UAE!AG:AG)*AE$2</f>
        <v>0</v>
      </c>
      <c r="AF17" s="17">
        <f>_xlfn.XLOOKUP($C17,TB_UAE!$E:$E,TB_UAE!AH:AH)*AF$2</f>
        <v>0</v>
      </c>
      <c r="AG17" s="17">
        <f>_xlfn.XLOOKUP($C17,TB_UAE!$E:$E,TB_UAE!AI:AI)*AG$2</f>
        <v>0</v>
      </c>
      <c r="AH17" s="17">
        <f>_xlfn.XLOOKUP($C17,TB_UAE!$E:$E,TB_UAE!AJ:AJ)*AH$2</f>
        <v>0</v>
      </c>
      <c r="AI17" s="17">
        <f>_xlfn.XLOOKUP($C17,TB_UAE!$E:$E,TB_UAE!AK:AK)*AI$2</f>
        <v>0</v>
      </c>
      <c r="AJ17" s="17">
        <f>_xlfn.XLOOKUP($C17,TB_UAE!$E:$E,TB_UAE!AL:AL)*AJ$2</f>
        <v>0</v>
      </c>
      <c r="AK17" s="17">
        <f>_xlfn.XLOOKUP($C17,TB_UAE!$E:$E,TB_UAE!AM:AM)*AK$2</f>
        <v>0</v>
      </c>
      <c r="AL17" s="17">
        <f>_xlfn.XLOOKUP($C17,TB_UAE!$E:$E,TB_UAE!AN:AN)*AL$2</f>
        <v>0</v>
      </c>
      <c r="AM17" s="17">
        <f>_xlfn.XLOOKUP($C17,TB_UAE!$E:$E,TB_UAE!AO:AO)*AM$2</f>
        <v>0</v>
      </c>
    </row>
    <row r="18" spans="2:39" outlineLevel="1" x14ac:dyDescent="0.2">
      <c r="B18" s="21" t="s">
        <v>928</v>
      </c>
      <c r="C18" s="16" t="str">
        <f>_xlfn.XLOOKUP(B18,TB_UAE!A:A,TB_UAE!E:E)</f>
        <v>Accounts Receivable (A/R) - USD</v>
      </c>
      <c r="D18" s="17">
        <f>_xlfn.XLOOKUP($C18,TB_UAE!$E:$E,TB_UAE!F:F)*D$2</f>
        <v>0</v>
      </c>
      <c r="E18" s="17">
        <f>_xlfn.XLOOKUP($C18,TB_UAE!$E:$E,TB_UAE!G:G)*E$2</f>
        <v>0</v>
      </c>
      <c r="F18" s="17">
        <f>_xlfn.XLOOKUP($C18,TB_UAE!$E:$E,TB_UAE!H:H)*F$2</f>
        <v>0</v>
      </c>
      <c r="G18" s="17">
        <f>_xlfn.XLOOKUP($C18,TB_UAE!$E:$E,TB_UAE!I:I)*G$2</f>
        <v>0</v>
      </c>
      <c r="H18" s="17">
        <f>_xlfn.XLOOKUP($C18,TB_UAE!$E:$E,TB_UAE!J:J)*H$2</f>
        <v>0</v>
      </c>
      <c r="I18" s="17">
        <f>_xlfn.XLOOKUP($C18,TB_UAE!$E:$E,TB_UAE!K:K)*I$2</f>
        <v>0</v>
      </c>
      <c r="J18" s="17">
        <f>_xlfn.XLOOKUP($C18,TB_UAE!$E:$E,TB_UAE!L:L)*J$2</f>
        <v>0</v>
      </c>
      <c r="K18" s="17">
        <f>_xlfn.XLOOKUP($C18,TB_UAE!$E:$E,TB_UAE!M:M)*K$2</f>
        <v>0</v>
      </c>
      <c r="L18" s="17">
        <f>_xlfn.XLOOKUP($C18,TB_UAE!$E:$E,TB_UAE!N:N)*L$2</f>
        <v>0</v>
      </c>
      <c r="M18" s="17">
        <f>_xlfn.XLOOKUP($C18,TB_UAE!$E:$E,TB_UAE!O:O)*M$2</f>
        <v>0</v>
      </c>
      <c r="N18" s="17">
        <f>_xlfn.XLOOKUP($C18,TB_UAE!$E:$E,TB_UAE!P:P)*N$2</f>
        <v>0</v>
      </c>
      <c r="O18" s="17">
        <f>_xlfn.XLOOKUP($C18,TB_UAE!$E:$E,TB_UAE!Q:Q)*O$2</f>
        <v>0</v>
      </c>
      <c r="P18" s="17">
        <f>_xlfn.XLOOKUP($C18,TB_UAE!$E:$E,TB_UAE!R:R)*P$2</f>
        <v>0</v>
      </c>
      <c r="Q18" s="17">
        <f>_xlfn.XLOOKUP($C18,TB_UAE!$E:$E,TB_UAE!S:S)*Q$2</f>
        <v>0</v>
      </c>
      <c r="R18" s="17">
        <f>_xlfn.XLOOKUP($C18,TB_UAE!$E:$E,TB_UAE!T:T)*R$2</f>
        <v>0</v>
      </c>
      <c r="S18" s="17">
        <f>_xlfn.XLOOKUP($C18,TB_UAE!$E:$E,TB_UAE!U:U)*S$2</f>
        <v>0</v>
      </c>
      <c r="T18" s="17">
        <f>_xlfn.XLOOKUP($C18,TB_UAE!$E:$E,TB_UAE!V:V)*T$2</f>
        <v>0</v>
      </c>
      <c r="U18" s="17">
        <f>_xlfn.XLOOKUP($C18,TB_UAE!$E:$E,TB_UAE!W:W)*U$2</f>
        <v>0</v>
      </c>
      <c r="V18" s="17">
        <f>_xlfn.XLOOKUP($C18,TB_UAE!$E:$E,TB_UAE!X:X)*V$2</f>
        <v>0</v>
      </c>
      <c r="W18" s="17">
        <f>_xlfn.XLOOKUP($C18,TB_UAE!$E:$E,TB_UAE!Y:Y)*W$2</f>
        <v>0</v>
      </c>
      <c r="X18" s="17">
        <f>_xlfn.XLOOKUP($C18,TB_UAE!$E:$E,TB_UAE!Z:Z)*X$2</f>
        <v>0</v>
      </c>
      <c r="Y18" s="17">
        <f>_xlfn.XLOOKUP($C18,TB_UAE!$E:$E,TB_UAE!AA:AA)*Y$2</f>
        <v>0</v>
      </c>
      <c r="Z18" s="17">
        <f>_xlfn.XLOOKUP($C18,TB_UAE!$E:$E,TB_UAE!AB:AB)*Z$2</f>
        <v>0</v>
      </c>
      <c r="AA18" s="17">
        <f>_xlfn.XLOOKUP($C18,TB_UAE!$E:$E,TB_UAE!AC:AC)*AA$2</f>
        <v>0</v>
      </c>
      <c r="AB18" s="17">
        <f>_xlfn.XLOOKUP($C18,TB_UAE!$E:$E,TB_UAE!AD:AD)*AB$2</f>
        <v>0</v>
      </c>
      <c r="AC18" s="17">
        <f>_xlfn.XLOOKUP($C18,TB_UAE!$E:$E,TB_UAE!AE:AE)*AC$2</f>
        <v>0</v>
      </c>
      <c r="AD18" s="17">
        <f>_xlfn.XLOOKUP($C18,TB_UAE!$E:$E,TB_UAE!AF:AF)*AD$2</f>
        <v>0</v>
      </c>
      <c r="AE18" s="17">
        <f>_xlfn.XLOOKUP($C18,TB_UAE!$E:$E,TB_UAE!AG:AG)*AE$2</f>
        <v>0</v>
      </c>
      <c r="AF18" s="17">
        <f>_xlfn.XLOOKUP($C18,TB_UAE!$E:$E,TB_UAE!AH:AH)*AF$2</f>
        <v>0</v>
      </c>
      <c r="AG18" s="17">
        <f>_xlfn.XLOOKUP($C18,TB_UAE!$E:$E,TB_UAE!AI:AI)*AG$2</f>
        <v>0</v>
      </c>
      <c r="AH18" s="17">
        <f>_xlfn.XLOOKUP($C18,TB_UAE!$E:$E,TB_UAE!AJ:AJ)*AH$2</f>
        <v>0</v>
      </c>
      <c r="AI18" s="17">
        <f>_xlfn.XLOOKUP($C18,TB_UAE!$E:$E,TB_UAE!AK:AK)*AI$2</f>
        <v>0</v>
      </c>
      <c r="AJ18" s="17">
        <f>_xlfn.XLOOKUP($C18,TB_UAE!$E:$E,TB_UAE!AL:AL)*AJ$2</f>
        <v>0</v>
      </c>
      <c r="AK18" s="17">
        <f>_xlfn.XLOOKUP($C18,TB_UAE!$E:$E,TB_UAE!AM:AM)*AK$2</f>
        <v>0</v>
      </c>
      <c r="AL18" s="17">
        <f>_xlfn.XLOOKUP($C18,TB_UAE!$E:$E,TB_UAE!AN:AN)*AL$2</f>
        <v>0</v>
      </c>
      <c r="AM18" s="17">
        <f>_xlfn.XLOOKUP($C18,TB_UAE!$E:$E,TB_UAE!AO:AO)*AM$2</f>
        <v>0</v>
      </c>
    </row>
    <row r="19" spans="2:39" outlineLevel="1" x14ac:dyDescent="0.2">
      <c r="B19" s="21" t="s">
        <v>929</v>
      </c>
      <c r="C19" s="16" t="str">
        <f>_xlfn.XLOOKUP(B19,TB_UAE!A:A,TB_UAE!E:E)</f>
        <v>Accrued Revenue</v>
      </c>
      <c r="D19" s="17">
        <f>_xlfn.XLOOKUP($C19,TB_UAE!$E:$E,TB_UAE!F:F)*D$2</f>
        <v>0</v>
      </c>
      <c r="E19" s="17">
        <f>_xlfn.XLOOKUP($C19,TB_UAE!$E:$E,TB_UAE!G:G)*E$2</f>
        <v>0</v>
      </c>
      <c r="F19" s="17">
        <f>_xlfn.XLOOKUP($C19,TB_UAE!$E:$E,TB_UAE!H:H)*F$2</f>
        <v>0</v>
      </c>
      <c r="G19" s="17">
        <f>_xlfn.XLOOKUP($C19,TB_UAE!$E:$E,TB_UAE!I:I)*G$2</f>
        <v>0</v>
      </c>
      <c r="H19" s="17">
        <f>_xlfn.XLOOKUP($C19,TB_UAE!$E:$E,TB_UAE!J:J)*H$2</f>
        <v>0</v>
      </c>
      <c r="I19" s="17">
        <f>_xlfn.XLOOKUP($C19,TB_UAE!$E:$E,TB_UAE!K:K)*I$2</f>
        <v>0</v>
      </c>
      <c r="J19" s="17">
        <f>_xlfn.XLOOKUP($C19,TB_UAE!$E:$E,TB_UAE!L:L)*J$2</f>
        <v>0</v>
      </c>
      <c r="K19" s="17">
        <f>_xlfn.XLOOKUP($C19,TB_UAE!$E:$E,TB_UAE!M:M)*K$2</f>
        <v>0</v>
      </c>
      <c r="L19" s="17">
        <f>_xlfn.XLOOKUP($C19,TB_UAE!$E:$E,TB_UAE!N:N)*L$2</f>
        <v>0</v>
      </c>
      <c r="M19" s="17">
        <f>_xlfn.XLOOKUP($C19,TB_UAE!$E:$E,TB_UAE!O:O)*M$2</f>
        <v>0</v>
      </c>
      <c r="N19" s="17">
        <f>_xlfn.XLOOKUP($C19,TB_UAE!$E:$E,TB_UAE!P:P)*N$2</f>
        <v>0</v>
      </c>
      <c r="O19" s="17">
        <f>_xlfn.XLOOKUP($C19,TB_UAE!$E:$E,TB_UAE!Q:Q)*O$2</f>
        <v>0</v>
      </c>
      <c r="P19" s="17">
        <f>_xlfn.XLOOKUP($C19,TB_UAE!$E:$E,TB_UAE!R:R)*P$2</f>
        <v>0</v>
      </c>
      <c r="Q19" s="17">
        <f>_xlfn.XLOOKUP($C19,TB_UAE!$E:$E,TB_UAE!S:S)*Q$2</f>
        <v>0</v>
      </c>
      <c r="R19" s="17">
        <f>_xlfn.XLOOKUP($C19,TB_UAE!$E:$E,TB_UAE!T:T)*R$2</f>
        <v>0</v>
      </c>
      <c r="S19" s="17">
        <f>_xlfn.XLOOKUP($C19,TB_UAE!$E:$E,TB_UAE!U:U)*S$2</f>
        <v>0</v>
      </c>
      <c r="T19" s="17">
        <f>_xlfn.XLOOKUP($C19,TB_UAE!$E:$E,TB_UAE!V:V)*T$2</f>
        <v>0</v>
      </c>
      <c r="U19" s="17">
        <f>_xlfn.XLOOKUP($C19,TB_UAE!$E:$E,TB_UAE!W:W)*U$2</f>
        <v>0</v>
      </c>
      <c r="V19" s="17">
        <f>_xlfn.XLOOKUP($C19,TB_UAE!$E:$E,TB_UAE!X:X)*V$2</f>
        <v>0</v>
      </c>
      <c r="W19" s="17">
        <f>_xlfn.XLOOKUP($C19,TB_UAE!$E:$E,TB_UAE!Y:Y)*W$2</f>
        <v>0</v>
      </c>
      <c r="X19" s="17">
        <f>_xlfn.XLOOKUP($C19,TB_UAE!$E:$E,TB_UAE!Z:Z)*X$2</f>
        <v>0</v>
      </c>
      <c r="Y19" s="17">
        <f>_xlfn.XLOOKUP($C19,TB_UAE!$E:$E,TB_UAE!AA:AA)*Y$2</f>
        <v>0</v>
      </c>
      <c r="Z19" s="17">
        <f>_xlfn.XLOOKUP($C19,TB_UAE!$E:$E,TB_UAE!AB:AB)*Z$2</f>
        <v>0</v>
      </c>
      <c r="AA19" s="17">
        <f>_xlfn.XLOOKUP($C19,TB_UAE!$E:$E,TB_UAE!AC:AC)*AA$2</f>
        <v>0</v>
      </c>
      <c r="AB19" s="17">
        <f>_xlfn.XLOOKUP($C19,TB_UAE!$E:$E,TB_UAE!AD:AD)*AB$2</f>
        <v>0</v>
      </c>
      <c r="AC19" s="17">
        <f>_xlfn.XLOOKUP($C19,TB_UAE!$E:$E,TB_UAE!AE:AE)*AC$2</f>
        <v>0</v>
      </c>
      <c r="AD19" s="17">
        <f>_xlfn.XLOOKUP($C19,TB_UAE!$E:$E,TB_UAE!AF:AF)*AD$2</f>
        <v>0</v>
      </c>
      <c r="AE19" s="17">
        <f>_xlfn.XLOOKUP($C19,TB_UAE!$E:$E,TB_UAE!AG:AG)*AE$2</f>
        <v>0</v>
      </c>
      <c r="AF19" s="17">
        <f>_xlfn.XLOOKUP($C19,TB_UAE!$E:$E,TB_UAE!AH:AH)*AF$2</f>
        <v>0</v>
      </c>
      <c r="AG19" s="17">
        <f>_xlfn.XLOOKUP($C19,TB_UAE!$E:$E,TB_UAE!AI:AI)*AG$2</f>
        <v>0</v>
      </c>
      <c r="AH19" s="17">
        <f>_xlfn.XLOOKUP($C19,TB_UAE!$E:$E,TB_UAE!AJ:AJ)*AH$2</f>
        <v>0</v>
      </c>
      <c r="AI19" s="17">
        <f>_xlfn.XLOOKUP($C19,TB_UAE!$E:$E,TB_UAE!AK:AK)*AI$2</f>
        <v>0</v>
      </c>
      <c r="AJ19" s="17">
        <f>_xlfn.XLOOKUP($C19,TB_UAE!$E:$E,TB_UAE!AL:AL)*AJ$2</f>
        <v>0</v>
      </c>
      <c r="AK19" s="17">
        <f>_xlfn.XLOOKUP($C19,TB_UAE!$E:$E,TB_UAE!AM:AM)*AK$2</f>
        <v>0</v>
      </c>
      <c r="AL19" s="17">
        <f>_xlfn.XLOOKUP($C19,TB_UAE!$E:$E,TB_UAE!AN:AN)*AL$2</f>
        <v>0</v>
      </c>
      <c r="AM19" s="17">
        <f>_xlfn.XLOOKUP($C19,TB_UAE!$E:$E,TB_UAE!AO:AO)*AM$2</f>
        <v>0</v>
      </c>
    </row>
    <row r="20" spans="2:39" outlineLevel="1" x14ac:dyDescent="0.2">
      <c r="B20" s="21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2:39" x14ac:dyDescent="0.2">
      <c r="B21" s="15"/>
      <c r="C21" s="22" t="s">
        <v>32</v>
      </c>
      <c r="D21" s="23">
        <f t="shared" ref="D21:AM21" si="2">SUM(D17:D20)</f>
        <v>0</v>
      </c>
      <c r="E21" s="23">
        <f t="shared" si="2"/>
        <v>0</v>
      </c>
      <c r="F21" s="23">
        <f t="shared" si="2"/>
        <v>0</v>
      </c>
      <c r="G21" s="23">
        <f t="shared" si="2"/>
        <v>0</v>
      </c>
      <c r="H21" s="23">
        <f t="shared" si="2"/>
        <v>0</v>
      </c>
      <c r="I21" s="23">
        <f t="shared" si="2"/>
        <v>0</v>
      </c>
      <c r="J21" s="23">
        <f t="shared" si="2"/>
        <v>0</v>
      </c>
      <c r="K21" s="23">
        <f t="shared" si="2"/>
        <v>0</v>
      </c>
      <c r="L21" s="23">
        <f t="shared" si="2"/>
        <v>0</v>
      </c>
      <c r="M21" s="23">
        <f t="shared" si="2"/>
        <v>0</v>
      </c>
      <c r="N21" s="23">
        <f t="shared" si="2"/>
        <v>0</v>
      </c>
      <c r="O21" s="23">
        <f t="shared" si="2"/>
        <v>0</v>
      </c>
      <c r="P21" s="23">
        <f t="shared" si="2"/>
        <v>0</v>
      </c>
      <c r="Q21" s="23">
        <f t="shared" si="2"/>
        <v>0</v>
      </c>
      <c r="R21" s="23">
        <f t="shared" si="2"/>
        <v>0</v>
      </c>
      <c r="S21" s="23">
        <f t="shared" si="2"/>
        <v>0</v>
      </c>
      <c r="T21" s="23">
        <f t="shared" si="2"/>
        <v>0</v>
      </c>
      <c r="U21" s="23">
        <f t="shared" si="2"/>
        <v>0</v>
      </c>
      <c r="V21" s="23">
        <f t="shared" si="2"/>
        <v>0</v>
      </c>
      <c r="W21" s="23">
        <f t="shared" si="2"/>
        <v>0</v>
      </c>
      <c r="X21" s="23">
        <f t="shared" si="2"/>
        <v>0</v>
      </c>
      <c r="Y21" s="23">
        <f t="shared" si="2"/>
        <v>0</v>
      </c>
      <c r="Z21" s="23">
        <f t="shared" si="2"/>
        <v>0</v>
      </c>
      <c r="AA21" s="23">
        <f t="shared" si="2"/>
        <v>0</v>
      </c>
      <c r="AB21" s="23">
        <f t="shared" si="2"/>
        <v>0</v>
      </c>
      <c r="AC21" s="23">
        <f t="shared" si="2"/>
        <v>0</v>
      </c>
      <c r="AD21" s="23">
        <f t="shared" si="2"/>
        <v>0</v>
      </c>
      <c r="AE21" s="23">
        <f t="shared" si="2"/>
        <v>0</v>
      </c>
      <c r="AF21" s="23">
        <f t="shared" si="2"/>
        <v>0</v>
      </c>
      <c r="AG21" s="23">
        <f t="shared" si="2"/>
        <v>0</v>
      </c>
      <c r="AH21" s="23">
        <f t="shared" si="2"/>
        <v>0</v>
      </c>
      <c r="AI21" s="23">
        <f t="shared" si="2"/>
        <v>0</v>
      </c>
      <c r="AJ21" s="23">
        <f t="shared" si="2"/>
        <v>0</v>
      </c>
      <c r="AK21" s="23">
        <f t="shared" si="2"/>
        <v>0</v>
      </c>
      <c r="AL21" s="23">
        <f t="shared" si="2"/>
        <v>0</v>
      </c>
      <c r="AM21" s="23">
        <f t="shared" si="2"/>
        <v>0</v>
      </c>
    </row>
    <row r="22" spans="2:39" x14ac:dyDescent="0.2">
      <c r="B22" s="21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2:39" outlineLevel="1" x14ac:dyDescent="0.2">
      <c r="B23" s="21"/>
      <c r="C23" s="20" t="s">
        <v>202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2:39" outlineLevel="1" x14ac:dyDescent="0.2">
      <c r="B24" s="21" t="s">
        <v>930</v>
      </c>
      <c r="C24" s="16" t="str">
        <f>_xlfn.XLOOKUP(B24,TB_UAE!A:A,TB_UAE!E:E)</f>
        <v>Inventory</v>
      </c>
      <c r="D24" s="17">
        <f>_xlfn.XLOOKUP($C24,TB_UAE!$E:$E,TB_UAE!F:F)*D$2</f>
        <v>0</v>
      </c>
      <c r="E24" s="17">
        <f>_xlfn.XLOOKUP($C24,TB_UAE!$E:$E,TB_UAE!G:G)*E$2</f>
        <v>0</v>
      </c>
      <c r="F24" s="17">
        <f>_xlfn.XLOOKUP($C24,TB_UAE!$E:$E,TB_UAE!H:H)*F$2</f>
        <v>0</v>
      </c>
      <c r="G24" s="17">
        <f>_xlfn.XLOOKUP($C24,TB_UAE!$E:$E,TB_UAE!I:I)*G$2</f>
        <v>0</v>
      </c>
      <c r="H24" s="17">
        <f>_xlfn.XLOOKUP($C24,TB_UAE!$E:$E,TB_UAE!J:J)*H$2</f>
        <v>0</v>
      </c>
      <c r="I24" s="17">
        <f>_xlfn.XLOOKUP($C24,TB_UAE!$E:$E,TB_UAE!K:K)*I$2</f>
        <v>0</v>
      </c>
      <c r="J24" s="17">
        <f>_xlfn.XLOOKUP($C24,TB_UAE!$E:$E,TB_UAE!L:L)*J$2</f>
        <v>0</v>
      </c>
      <c r="K24" s="17">
        <f>_xlfn.XLOOKUP($C24,TB_UAE!$E:$E,TB_UAE!M:M)*K$2</f>
        <v>0</v>
      </c>
      <c r="L24" s="17">
        <f>_xlfn.XLOOKUP($C24,TB_UAE!$E:$E,TB_UAE!N:N)*L$2</f>
        <v>0</v>
      </c>
      <c r="M24" s="17">
        <f>_xlfn.XLOOKUP($C24,TB_UAE!$E:$E,TB_UAE!O:O)*M$2</f>
        <v>0</v>
      </c>
      <c r="N24" s="17">
        <f>_xlfn.XLOOKUP($C24,TB_UAE!$E:$E,TB_UAE!P:P)*N$2</f>
        <v>0</v>
      </c>
      <c r="O24" s="17">
        <f>_xlfn.XLOOKUP($C24,TB_UAE!$E:$E,TB_UAE!Q:Q)*O$2</f>
        <v>0</v>
      </c>
      <c r="P24" s="17">
        <f>_xlfn.XLOOKUP($C24,TB_UAE!$E:$E,TB_UAE!R:R)*P$2</f>
        <v>0</v>
      </c>
      <c r="Q24" s="17">
        <f>_xlfn.XLOOKUP($C24,TB_UAE!$E:$E,TB_UAE!S:S)*Q$2</f>
        <v>0</v>
      </c>
      <c r="R24" s="17">
        <f>_xlfn.XLOOKUP($C24,TB_UAE!$E:$E,TB_UAE!T:T)*R$2</f>
        <v>0</v>
      </c>
      <c r="S24" s="17">
        <f>_xlfn.XLOOKUP($C24,TB_UAE!$E:$E,TB_UAE!U:U)*S$2</f>
        <v>0</v>
      </c>
      <c r="T24" s="17">
        <f>_xlfn.XLOOKUP($C24,TB_UAE!$E:$E,TB_UAE!V:V)*T$2</f>
        <v>0</v>
      </c>
      <c r="U24" s="17">
        <f>_xlfn.XLOOKUP($C24,TB_UAE!$E:$E,TB_UAE!W:W)*U$2</f>
        <v>0</v>
      </c>
      <c r="V24" s="17">
        <f>_xlfn.XLOOKUP($C24,TB_UAE!$E:$E,TB_UAE!X:X)*V$2</f>
        <v>0</v>
      </c>
      <c r="W24" s="17">
        <f>_xlfn.XLOOKUP($C24,TB_UAE!$E:$E,TB_UAE!Y:Y)*W$2</f>
        <v>0</v>
      </c>
      <c r="X24" s="17">
        <f>_xlfn.XLOOKUP($C24,TB_UAE!$E:$E,TB_UAE!Z:Z)*X$2</f>
        <v>0</v>
      </c>
      <c r="Y24" s="17">
        <f>_xlfn.XLOOKUP($C24,TB_UAE!$E:$E,TB_UAE!AA:AA)*Y$2</f>
        <v>0</v>
      </c>
      <c r="Z24" s="17">
        <f>_xlfn.XLOOKUP($C24,TB_UAE!$E:$E,TB_UAE!AB:AB)*Z$2</f>
        <v>0</v>
      </c>
      <c r="AA24" s="17">
        <f>_xlfn.XLOOKUP($C24,TB_UAE!$E:$E,TB_UAE!AC:AC)*AA$2</f>
        <v>0</v>
      </c>
      <c r="AB24" s="17">
        <f>_xlfn.XLOOKUP($C24,TB_UAE!$E:$E,TB_UAE!AD:AD)*AB$2</f>
        <v>0</v>
      </c>
      <c r="AC24" s="17">
        <f>_xlfn.XLOOKUP($C24,TB_UAE!$E:$E,TB_UAE!AE:AE)*AC$2</f>
        <v>0</v>
      </c>
      <c r="AD24" s="17">
        <f>_xlfn.XLOOKUP($C24,TB_UAE!$E:$E,TB_UAE!AF:AF)*AD$2</f>
        <v>0</v>
      </c>
      <c r="AE24" s="17">
        <f>_xlfn.XLOOKUP($C24,TB_UAE!$E:$E,TB_UAE!AG:AG)*AE$2</f>
        <v>0</v>
      </c>
      <c r="AF24" s="17">
        <f>_xlfn.XLOOKUP($C24,TB_UAE!$E:$E,TB_UAE!AH:AH)*AF$2</f>
        <v>0</v>
      </c>
      <c r="AG24" s="17">
        <f>_xlfn.XLOOKUP($C24,TB_UAE!$E:$E,TB_UAE!AI:AI)*AG$2</f>
        <v>0</v>
      </c>
      <c r="AH24" s="17">
        <f>_xlfn.XLOOKUP($C24,TB_UAE!$E:$E,TB_UAE!AJ:AJ)*AH$2</f>
        <v>0</v>
      </c>
      <c r="AI24" s="17">
        <f>_xlfn.XLOOKUP($C24,TB_UAE!$E:$E,TB_UAE!AK:AK)*AI$2</f>
        <v>0</v>
      </c>
      <c r="AJ24" s="17">
        <f>_xlfn.XLOOKUP($C24,TB_UAE!$E:$E,TB_UAE!AL:AL)*AJ$2</f>
        <v>0</v>
      </c>
      <c r="AK24" s="17">
        <f>_xlfn.XLOOKUP($C24,TB_UAE!$E:$E,TB_UAE!AM:AM)*AK$2</f>
        <v>0</v>
      </c>
      <c r="AL24" s="17">
        <f>_xlfn.XLOOKUP($C24,TB_UAE!$E:$E,TB_UAE!AN:AN)*AL$2</f>
        <v>0</v>
      </c>
      <c r="AM24" s="17">
        <f>_xlfn.XLOOKUP($C24,TB_UAE!$E:$E,TB_UAE!AO:AO)*AM$2</f>
        <v>0</v>
      </c>
    </row>
    <row r="25" spans="2:39" outlineLevel="1" x14ac:dyDescent="0.2">
      <c r="B25" s="21" t="s">
        <v>931</v>
      </c>
      <c r="C25" s="16" t="str">
        <f>_xlfn.XLOOKUP(B25,TB_UAE!A:A,TB_UAE!E:E)</f>
        <v>Work in Progress Inventory</v>
      </c>
      <c r="D25" s="17">
        <f>_xlfn.XLOOKUP($C25,TB_UAE!$E:$E,TB_UAE!F:F)*D$2</f>
        <v>0</v>
      </c>
      <c r="E25" s="17">
        <f>_xlfn.XLOOKUP($C25,TB_UAE!$E:$E,TB_UAE!G:G)*E$2</f>
        <v>0</v>
      </c>
      <c r="F25" s="17">
        <f>_xlfn.XLOOKUP($C25,TB_UAE!$E:$E,TB_UAE!H:H)*F$2</f>
        <v>0</v>
      </c>
      <c r="G25" s="17">
        <f>_xlfn.XLOOKUP($C25,TB_UAE!$E:$E,TB_UAE!I:I)*G$2</f>
        <v>0</v>
      </c>
      <c r="H25" s="17">
        <f>_xlfn.XLOOKUP($C25,TB_UAE!$E:$E,TB_UAE!J:J)*H$2</f>
        <v>0</v>
      </c>
      <c r="I25" s="17">
        <f>_xlfn.XLOOKUP($C25,TB_UAE!$E:$E,TB_UAE!K:K)*I$2</f>
        <v>0</v>
      </c>
      <c r="J25" s="17">
        <f>_xlfn.XLOOKUP($C25,TB_UAE!$E:$E,TB_UAE!L:L)*J$2</f>
        <v>0</v>
      </c>
      <c r="K25" s="17">
        <f>_xlfn.XLOOKUP($C25,TB_UAE!$E:$E,TB_UAE!M:M)*K$2</f>
        <v>0</v>
      </c>
      <c r="L25" s="17">
        <f>_xlfn.XLOOKUP($C25,TB_UAE!$E:$E,TB_UAE!N:N)*L$2</f>
        <v>0</v>
      </c>
      <c r="M25" s="17">
        <f>_xlfn.XLOOKUP($C25,TB_UAE!$E:$E,TB_UAE!O:O)*M$2</f>
        <v>0</v>
      </c>
      <c r="N25" s="17">
        <f>_xlfn.XLOOKUP($C25,TB_UAE!$E:$E,TB_UAE!P:P)*N$2</f>
        <v>0</v>
      </c>
      <c r="O25" s="17">
        <f>_xlfn.XLOOKUP($C25,TB_UAE!$E:$E,TB_UAE!Q:Q)*O$2</f>
        <v>0</v>
      </c>
      <c r="P25" s="17">
        <f>_xlfn.XLOOKUP($C25,TB_UAE!$E:$E,TB_UAE!R:R)*P$2</f>
        <v>0</v>
      </c>
      <c r="Q25" s="17">
        <f>_xlfn.XLOOKUP($C25,TB_UAE!$E:$E,TB_UAE!S:S)*Q$2</f>
        <v>0</v>
      </c>
      <c r="R25" s="17">
        <f>_xlfn.XLOOKUP($C25,TB_UAE!$E:$E,TB_UAE!T:T)*R$2</f>
        <v>0</v>
      </c>
      <c r="S25" s="17">
        <f>_xlfn.XLOOKUP($C25,TB_UAE!$E:$E,TB_UAE!U:U)*S$2</f>
        <v>0</v>
      </c>
      <c r="T25" s="17">
        <f>_xlfn.XLOOKUP($C25,TB_UAE!$E:$E,TB_UAE!V:V)*T$2</f>
        <v>0</v>
      </c>
      <c r="U25" s="17">
        <f>_xlfn.XLOOKUP($C25,TB_UAE!$E:$E,TB_UAE!W:W)*U$2</f>
        <v>0</v>
      </c>
      <c r="V25" s="17">
        <f>_xlfn.XLOOKUP($C25,TB_UAE!$E:$E,TB_UAE!X:X)*V$2</f>
        <v>0</v>
      </c>
      <c r="W25" s="17">
        <f>_xlfn.XLOOKUP($C25,TB_UAE!$E:$E,TB_UAE!Y:Y)*W$2</f>
        <v>0</v>
      </c>
      <c r="X25" s="17">
        <f>_xlfn.XLOOKUP($C25,TB_UAE!$E:$E,TB_UAE!Z:Z)*X$2</f>
        <v>0</v>
      </c>
      <c r="Y25" s="17">
        <f>_xlfn.XLOOKUP($C25,TB_UAE!$E:$E,TB_UAE!AA:AA)*Y$2</f>
        <v>0</v>
      </c>
      <c r="Z25" s="17">
        <f>_xlfn.XLOOKUP($C25,TB_UAE!$E:$E,TB_UAE!AB:AB)*Z$2</f>
        <v>0</v>
      </c>
      <c r="AA25" s="17">
        <f>_xlfn.XLOOKUP($C25,TB_UAE!$E:$E,TB_UAE!AC:AC)*AA$2</f>
        <v>0</v>
      </c>
      <c r="AB25" s="17">
        <f>_xlfn.XLOOKUP($C25,TB_UAE!$E:$E,TB_UAE!AD:AD)*AB$2</f>
        <v>0</v>
      </c>
      <c r="AC25" s="17">
        <f>_xlfn.XLOOKUP($C25,TB_UAE!$E:$E,TB_UAE!AE:AE)*AC$2</f>
        <v>0</v>
      </c>
      <c r="AD25" s="17">
        <f>_xlfn.XLOOKUP($C25,TB_UAE!$E:$E,TB_UAE!AF:AF)*AD$2</f>
        <v>0</v>
      </c>
      <c r="AE25" s="17">
        <f>_xlfn.XLOOKUP($C25,TB_UAE!$E:$E,TB_UAE!AG:AG)*AE$2</f>
        <v>0</v>
      </c>
      <c r="AF25" s="17">
        <f>_xlfn.XLOOKUP($C25,TB_UAE!$E:$E,TB_UAE!AH:AH)*AF$2</f>
        <v>0</v>
      </c>
      <c r="AG25" s="17">
        <f>_xlfn.XLOOKUP($C25,TB_UAE!$E:$E,TB_UAE!AI:AI)*AG$2</f>
        <v>0</v>
      </c>
      <c r="AH25" s="17">
        <f>_xlfn.XLOOKUP($C25,TB_UAE!$E:$E,TB_UAE!AJ:AJ)*AH$2</f>
        <v>0</v>
      </c>
      <c r="AI25" s="17">
        <f>_xlfn.XLOOKUP($C25,TB_UAE!$E:$E,TB_UAE!AK:AK)*AI$2</f>
        <v>0</v>
      </c>
      <c r="AJ25" s="17">
        <f>_xlfn.XLOOKUP($C25,TB_UAE!$E:$E,TB_UAE!AL:AL)*AJ$2</f>
        <v>0</v>
      </c>
      <c r="AK25" s="17">
        <f>_xlfn.XLOOKUP($C25,TB_UAE!$E:$E,TB_UAE!AM:AM)*AK$2</f>
        <v>0</v>
      </c>
      <c r="AL25" s="17">
        <f>_xlfn.XLOOKUP($C25,TB_UAE!$E:$E,TB_UAE!AN:AN)*AL$2</f>
        <v>0</v>
      </c>
      <c r="AM25" s="17">
        <f>_xlfn.XLOOKUP($C25,TB_UAE!$E:$E,TB_UAE!AO:AO)*AM$2</f>
        <v>0</v>
      </c>
    </row>
    <row r="26" spans="2:39" outlineLevel="1" x14ac:dyDescent="0.2">
      <c r="B26" s="21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  <row r="27" spans="2:39" x14ac:dyDescent="0.2">
      <c r="B27" s="15"/>
      <c r="C27" s="22" t="s">
        <v>34</v>
      </c>
      <c r="D27" s="23">
        <f t="shared" ref="D27:AM27" si="3">SUM(D24:D26)</f>
        <v>0</v>
      </c>
      <c r="E27" s="23">
        <f t="shared" si="3"/>
        <v>0</v>
      </c>
      <c r="F27" s="23">
        <f t="shared" si="3"/>
        <v>0</v>
      </c>
      <c r="G27" s="23">
        <f t="shared" si="3"/>
        <v>0</v>
      </c>
      <c r="H27" s="23">
        <f t="shared" si="3"/>
        <v>0</v>
      </c>
      <c r="I27" s="23">
        <f t="shared" si="3"/>
        <v>0</v>
      </c>
      <c r="J27" s="23">
        <f t="shared" si="3"/>
        <v>0</v>
      </c>
      <c r="K27" s="23">
        <f t="shared" si="3"/>
        <v>0</v>
      </c>
      <c r="L27" s="23">
        <f t="shared" si="3"/>
        <v>0</v>
      </c>
      <c r="M27" s="23">
        <f t="shared" si="3"/>
        <v>0</v>
      </c>
      <c r="N27" s="23">
        <f t="shared" si="3"/>
        <v>0</v>
      </c>
      <c r="O27" s="23">
        <f t="shared" si="3"/>
        <v>0</v>
      </c>
      <c r="P27" s="23">
        <f t="shared" si="3"/>
        <v>0</v>
      </c>
      <c r="Q27" s="23">
        <f t="shared" si="3"/>
        <v>0</v>
      </c>
      <c r="R27" s="23">
        <f t="shared" si="3"/>
        <v>0</v>
      </c>
      <c r="S27" s="23">
        <f t="shared" si="3"/>
        <v>0</v>
      </c>
      <c r="T27" s="23">
        <f t="shared" si="3"/>
        <v>0</v>
      </c>
      <c r="U27" s="23">
        <f t="shared" si="3"/>
        <v>0</v>
      </c>
      <c r="V27" s="23">
        <f t="shared" si="3"/>
        <v>0</v>
      </c>
      <c r="W27" s="23">
        <f t="shared" si="3"/>
        <v>0</v>
      </c>
      <c r="X27" s="23">
        <f t="shared" si="3"/>
        <v>0</v>
      </c>
      <c r="Y27" s="23">
        <f t="shared" si="3"/>
        <v>0</v>
      </c>
      <c r="Z27" s="23">
        <f t="shared" si="3"/>
        <v>0</v>
      </c>
      <c r="AA27" s="23">
        <f t="shared" si="3"/>
        <v>0</v>
      </c>
      <c r="AB27" s="23">
        <f t="shared" si="3"/>
        <v>0</v>
      </c>
      <c r="AC27" s="23">
        <f t="shared" si="3"/>
        <v>0</v>
      </c>
      <c r="AD27" s="23">
        <f t="shared" si="3"/>
        <v>0</v>
      </c>
      <c r="AE27" s="23">
        <f t="shared" si="3"/>
        <v>0</v>
      </c>
      <c r="AF27" s="23">
        <f t="shared" si="3"/>
        <v>0</v>
      </c>
      <c r="AG27" s="23">
        <f t="shared" si="3"/>
        <v>0</v>
      </c>
      <c r="AH27" s="23">
        <f t="shared" si="3"/>
        <v>0</v>
      </c>
      <c r="AI27" s="23">
        <f t="shared" si="3"/>
        <v>0</v>
      </c>
      <c r="AJ27" s="23">
        <f t="shared" si="3"/>
        <v>0</v>
      </c>
      <c r="AK27" s="23">
        <f t="shared" si="3"/>
        <v>0</v>
      </c>
      <c r="AL27" s="23">
        <f t="shared" si="3"/>
        <v>0</v>
      </c>
      <c r="AM27" s="23">
        <f t="shared" si="3"/>
        <v>0</v>
      </c>
    </row>
    <row r="28" spans="2:39" x14ac:dyDescent="0.2">
      <c r="B28" s="21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2:39" outlineLevel="1" x14ac:dyDescent="0.2">
      <c r="B29" s="21"/>
      <c r="C29" s="20" t="s">
        <v>207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</row>
    <row r="30" spans="2:39" outlineLevel="1" x14ac:dyDescent="0.2">
      <c r="B30" s="74" t="s">
        <v>932</v>
      </c>
      <c r="C30" s="16" t="str">
        <f>_xlfn.XLOOKUP(B30,TB_UAE!A:A,TB_UAE!E:E)</f>
        <v>Prepaid expenses</v>
      </c>
      <c r="D30" s="17">
        <f>_xlfn.XLOOKUP($C30,TB_UAE!$E:$E,TB_UAE!F:F)*D$2</f>
        <v>1344177.86919</v>
      </c>
      <c r="E30" s="17">
        <f>_xlfn.XLOOKUP($C30,TB_UAE!$E:$E,TB_UAE!G:G)*E$2</f>
        <v>1986991.4398799997</v>
      </c>
      <c r="F30" s="17">
        <f>_xlfn.XLOOKUP($C30,TB_UAE!$E:$E,TB_UAE!H:H)*F$2</f>
        <v>1393420.25682</v>
      </c>
      <c r="G30" s="17">
        <f>_xlfn.XLOOKUP($C30,TB_UAE!$E:$E,TB_UAE!I:I)*G$2</f>
        <v>1003527.0508499999</v>
      </c>
      <c r="H30" s="17">
        <f>_xlfn.XLOOKUP($C30,TB_UAE!$E:$E,TB_UAE!J:J)*H$2</f>
        <v>685226.37587999995</v>
      </c>
      <c r="I30" s="17">
        <f>_xlfn.XLOOKUP($C30,TB_UAE!$E:$E,TB_UAE!K:K)*I$2</f>
        <v>384072.42698999995</v>
      </c>
      <c r="J30" s="17">
        <f>_xlfn.XLOOKUP($C30,TB_UAE!$E:$E,TB_UAE!L:L)*J$2</f>
        <v>3989821.2993600005</v>
      </c>
      <c r="K30" s="17">
        <f>_xlfn.XLOOKUP($C30,TB_UAE!$E:$E,TB_UAE!M:M)*K$2</f>
        <v>3571347.2366700005</v>
      </c>
      <c r="L30" s="17">
        <f>_xlfn.XLOOKUP($C30,TB_UAE!$E:$E,TB_UAE!N:N)*L$2</f>
        <v>3405681.12267</v>
      </c>
      <c r="M30" s="17">
        <f>_xlfn.XLOOKUP($C30,TB_UAE!$E:$E,TB_UAE!O:O)*M$2</f>
        <v>3019571.9202599996</v>
      </c>
      <c r="N30" s="17">
        <f>_xlfn.XLOOKUP($C30,TB_UAE!$E:$E,TB_UAE!P:P)*N$2</f>
        <v>2748733.7435999997</v>
      </c>
      <c r="O30" s="17">
        <f>_xlfn.XLOOKUP($C30,TB_UAE!$E:$E,TB_UAE!Q:Q)*O$2</f>
        <v>2210640.63216</v>
      </c>
      <c r="P30" s="17">
        <f>_xlfn.XLOOKUP($C30,TB_UAE!$E:$E,TB_UAE!R:R)*P$2</f>
        <v>1883622.5573999998</v>
      </c>
      <c r="Q30" s="17">
        <f>_xlfn.XLOOKUP($C30,TB_UAE!$E:$E,TB_UAE!S:S)*Q$2</f>
        <v>1529502.2359199999</v>
      </c>
      <c r="R30" s="17">
        <f>_xlfn.XLOOKUP($C30,TB_UAE!$E:$E,TB_UAE!T:T)*R$2</f>
        <v>1254129.5411700001</v>
      </c>
      <c r="S30" s="17">
        <f>_xlfn.XLOOKUP($C30,TB_UAE!$E:$E,TB_UAE!U:U)*S$2</f>
        <v>981168.33207000012</v>
      </c>
      <c r="T30" s="17">
        <f>_xlfn.XLOOKUP($C30,TB_UAE!$E:$E,TB_UAE!V:V)*T$2</f>
        <v>648401.46776999999</v>
      </c>
      <c r="U30" s="17">
        <f>_xlfn.XLOOKUP($C30,TB_UAE!$E:$E,TB_UAE!W:W)*U$2</f>
        <v>314765.84012999997</v>
      </c>
      <c r="V30" s="17">
        <f>_xlfn.XLOOKUP($C30,TB_UAE!$E:$E,TB_UAE!X:X)*V$2</f>
        <v>16343666.948879998</v>
      </c>
      <c r="W30" s="17">
        <f>_xlfn.XLOOKUP($C30,TB_UAE!$E:$E,TB_UAE!Y:Y)*W$2</f>
        <v>15576964.271579999</v>
      </c>
      <c r="X30" s="17">
        <f>_xlfn.XLOOKUP($C30,TB_UAE!$E:$E,TB_UAE!Z:Z)*X$2</f>
        <v>14206392.482279999</v>
      </c>
      <c r="Y30" s="17">
        <f>_xlfn.XLOOKUP($C30,TB_UAE!$E:$E,TB_UAE!AA:AA)*Y$2</f>
        <v>13078444.830000002</v>
      </c>
      <c r="Z30" s="17">
        <f>_xlfn.XLOOKUP($C30,TB_UAE!$E:$E,TB_UAE!AB:AB)*Z$2</f>
        <v>12260607.988</v>
      </c>
      <c r="AA30" s="17">
        <f>_xlfn.XLOOKUP($C30,TB_UAE!$E:$E,TB_UAE!AC:AC)*AA$2</f>
        <v>11479631.21033</v>
      </c>
      <c r="AB30" s="17">
        <f>_xlfn.XLOOKUP($C30,TB_UAE!$E:$E,TB_UAE!AD:AD)*AB$2</f>
        <v>10223645.965680001</v>
      </c>
      <c r="AC30" s="17">
        <f>_xlfn.XLOOKUP($C30,TB_UAE!$E:$E,TB_UAE!AE:AE)*AC$2</f>
        <v>9249169.2266499996</v>
      </c>
      <c r="AD30" s="17">
        <f>_xlfn.XLOOKUP($C30,TB_UAE!$E:$E,TB_UAE!AF:AF)*AD$2</f>
        <v>8660606.5598000009</v>
      </c>
      <c r="AE30" s="17">
        <f>_xlfn.XLOOKUP($C30,TB_UAE!$E:$E,TB_UAE!AG:AG)*AE$2</f>
        <v>7850695.6933199996</v>
      </c>
      <c r="AF30" s="17">
        <f>_xlfn.XLOOKUP($C30,TB_UAE!$E:$E,TB_UAE!AH:AH)*AF$2</f>
        <v>0</v>
      </c>
      <c r="AG30" s="17">
        <f>_xlfn.XLOOKUP($C30,TB_UAE!$E:$E,TB_UAE!AI:AI)*AG$2</f>
        <v>0</v>
      </c>
      <c r="AH30" s="17">
        <f>_xlfn.XLOOKUP($C30,TB_UAE!$E:$E,TB_UAE!AJ:AJ)*AH$2</f>
        <v>0</v>
      </c>
      <c r="AI30" s="17">
        <f>_xlfn.XLOOKUP($C30,TB_UAE!$E:$E,TB_UAE!AK:AK)*AI$2</f>
        <v>0</v>
      </c>
      <c r="AJ30" s="17">
        <f>_xlfn.XLOOKUP($C30,TB_UAE!$E:$E,TB_UAE!AL:AL)*AJ$2</f>
        <v>0</v>
      </c>
      <c r="AK30" s="17">
        <f>_xlfn.XLOOKUP($C30,TB_UAE!$E:$E,TB_UAE!AM:AM)*AK$2</f>
        <v>0</v>
      </c>
      <c r="AL30" s="17">
        <f>_xlfn.XLOOKUP($C30,TB_UAE!$E:$E,TB_UAE!AN:AN)*AL$2</f>
        <v>0</v>
      </c>
      <c r="AM30" s="17">
        <f>_xlfn.XLOOKUP($C30,TB_UAE!$E:$E,TB_UAE!AO:AO)*AM$2</f>
        <v>0</v>
      </c>
    </row>
    <row r="31" spans="2:39" outlineLevel="1" x14ac:dyDescent="0.2">
      <c r="B31" s="21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2:39" outlineLevel="1" x14ac:dyDescent="0.2">
      <c r="B32" s="21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</row>
    <row r="33" spans="2:39" outlineLevel="1" x14ac:dyDescent="0.2">
      <c r="B33" s="21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</row>
    <row r="34" spans="2:39" outlineLevel="1" x14ac:dyDescent="0.2">
      <c r="B34" s="21"/>
      <c r="C34" s="1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</row>
    <row r="35" spans="2:39" x14ac:dyDescent="0.2">
      <c r="B35" s="15"/>
      <c r="C35" s="22" t="s">
        <v>36</v>
      </c>
      <c r="D35" s="23">
        <f>SUM(D30:D34)</f>
        <v>1344177.86919</v>
      </c>
      <c r="E35" s="23">
        <f t="shared" ref="E35:AM35" si="4">SUM(E30:E34)</f>
        <v>1986991.4398799997</v>
      </c>
      <c r="F35" s="23">
        <f t="shared" si="4"/>
        <v>1393420.25682</v>
      </c>
      <c r="G35" s="23">
        <f t="shared" si="4"/>
        <v>1003527.0508499999</v>
      </c>
      <c r="H35" s="23">
        <f t="shared" si="4"/>
        <v>685226.37587999995</v>
      </c>
      <c r="I35" s="23">
        <f t="shared" si="4"/>
        <v>384072.42698999995</v>
      </c>
      <c r="J35" s="23">
        <f t="shared" si="4"/>
        <v>3989821.2993600005</v>
      </c>
      <c r="K35" s="23">
        <f t="shared" si="4"/>
        <v>3571347.2366700005</v>
      </c>
      <c r="L35" s="23">
        <f t="shared" si="4"/>
        <v>3405681.12267</v>
      </c>
      <c r="M35" s="23">
        <f t="shared" si="4"/>
        <v>3019571.9202599996</v>
      </c>
      <c r="N35" s="23">
        <f t="shared" si="4"/>
        <v>2748733.7435999997</v>
      </c>
      <c r="O35" s="23">
        <f t="shared" si="4"/>
        <v>2210640.63216</v>
      </c>
      <c r="P35" s="23">
        <f t="shared" si="4"/>
        <v>1883622.5573999998</v>
      </c>
      <c r="Q35" s="23">
        <f t="shared" si="4"/>
        <v>1529502.2359199999</v>
      </c>
      <c r="R35" s="23">
        <f t="shared" si="4"/>
        <v>1254129.5411700001</v>
      </c>
      <c r="S35" s="23">
        <f t="shared" si="4"/>
        <v>981168.33207000012</v>
      </c>
      <c r="T35" s="23">
        <f t="shared" si="4"/>
        <v>648401.46776999999</v>
      </c>
      <c r="U35" s="23">
        <f t="shared" si="4"/>
        <v>314765.84012999997</v>
      </c>
      <c r="V35" s="23">
        <f t="shared" si="4"/>
        <v>16343666.948879998</v>
      </c>
      <c r="W35" s="23">
        <f t="shared" si="4"/>
        <v>15576964.271579999</v>
      </c>
      <c r="X35" s="23">
        <f t="shared" si="4"/>
        <v>14206392.482279999</v>
      </c>
      <c r="Y35" s="23">
        <f t="shared" si="4"/>
        <v>13078444.830000002</v>
      </c>
      <c r="Z35" s="23">
        <f t="shared" si="4"/>
        <v>12260607.988</v>
      </c>
      <c r="AA35" s="23">
        <f t="shared" si="4"/>
        <v>11479631.21033</v>
      </c>
      <c r="AB35" s="23">
        <f t="shared" si="4"/>
        <v>10223645.965680001</v>
      </c>
      <c r="AC35" s="23">
        <f t="shared" si="4"/>
        <v>9249169.2266499996</v>
      </c>
      <c r="AD35" s="23">
        <f t="shared" si="4"/>
        <v>8660606.5598000009</v>
      </c>
      <c r="AE35" s="23">
        <f t="shared" si="4"/>
        <v>7850695.6933199996</v>
      </c>
      <c r="AF35" s="23">
        <f t="shared" si="4"/>
        <v>0</v>
      </c>
      <c r="AG35" s="23">
        <f t="shared" si="4"/>
        <v>0</v>
      </c>
      <c r="AH35" s="23">
        <f t="shared" si="4"/>
        <v>0</v>
      </c>
      <c r="AI35" s="23">
        <f t="shared" si="4"/>
        <v>0</v>
      </c>
      <c r="AJ35" s="23">
        <f t="shared" si="4"/>
        <v>0</v>
      </c>
      <c r="AK35" s="23">
        <f t="shared" si="4"/>
        <v>0</v>
      </c>
      <c r="AL35" s="23">
        <f t="shared" si="4"/>
        <v>0</v>
      </c>
      <c r="AM35" s="23">
        <f t="shared" si="4"/>
        <v>0</v>
      </c>
    </row>
    <row r="36" spans="2:39" x14ac:dyDescent="0.2">
      <c r="B36" s="21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</row>
    <row r="37" spans="2:39" outlineLevel="1" x14ac:dyDescent="0.2">
      <c r="B37" s="21"/>
      <c r="C37" s="20" t="s">
        <v>212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spans="2:39" outlineLevel="1" x14ac:dyDescent="0.2">
      <c r="B38" s="74" t="s">
        <v>954</v>
      </c>
      <c r="C38" s="16" t="str">
        <f>_xlfn.XLOOKUP(B38,TB_UAE!A:A,TB_UAE!E:E)</f>
        <v>Employee Cash Advances</v>
      </c>
      <c r="D38" s="17">
        <f>_xlfn.XLOOKUP($C38,TB_UAE!$E:$E,TB_UAE!F:F)*D$2</f>
        <v>0</v>
      </c>
      <c r="E38" s="17">
        <f>_xlfn.XLOOKUP($C38,TB_UAE!$E:$E,TB_UAE!G:G)*E$2</f>
        <v>0</v>
      </c>
      <c r="F38" s="17">
        <f>_xlfn.XLOOKUP($C38,TB_UAE!$E:$E,TB_UAE!H:H)*F$2</f>
        <v>0</v>
      </c>
      <c r="G38" s="17">
        <f>_xlfn.XLOOKUP($C38,TB_UAE!$E:$E,TB_UAE!I:I)*G$2</f>
        <v>0</v>
      </c>
      <c r="H38" s="17">
        <f>_xlfn.XLOOKUP($C38,TB_UAE!$E:$E,TB_UAE!J:J)*H$2</f>
        <v>7760464.2607999993</v>
      </c>
      <c r="I38" s="17">
        <f>_xlfn.XLOOKUP($C38,TB_UAE!$E:$E,TB_UAE!K:K)*I$2</f>
        <v>8699407.4011999983</v>
      </c>
      <c r="J38" s="17">
        <f>_xlfn.XLOOKUP($C38,TB_UAE!$E:$E,TB_UAE!L:L)*J$2</f>
        <v>9229578.5152000003</v>
      </c>
      <c r="K38" s="17">
        <f>_xlfn.XLOOKUP($C38,TB_UAE!$E:$E,TB_UAE!M:M)*K$2</f>
        <v>9012575.8244000003</v>
      </c>
      <c r="L38" s="17">
        <f>_xlfn.XLOOKUP($C38,TB_UAE!$E:$E,TB_UAE!N:N)*L$2</f>
        <v>9453951.3443999998</v>
      </c>
      <c r="M38" s="17">
        <f>_xlfn.XLOOKUP($C38,TB_UAE!$E:$E,TB_UAE!O:O)*M$2</f>
        <v>0</v>
      </c>
      <c r="N38" s="17">
        <f>_xlfn.XLOOKUP($C38,TB_UAE!$E:$E,TB_UAE!P:P)*N$2</f>
        <v>0</v>
      </c>
      <c r="O38" s="17">
        <f>_xlfn.XLOOKUP($C38,TB_UAE!$E:$E,TB_UAE!Q:Q)*O$2</f>
        <v>0</v>
      </c>
      <c r="P38" s="17">
        <f>_xlfn.XLOOKUP($C38,TB_UAE!$E:$E,TB_UAE!R:R)*P$2</f>
        <v>0</v>
      </c>
      <c r="Q38" s="17">
        <f>_xlfn.XLOOKUP($C38,TB_UAE!$E:$E,TB_UAE!S:S)*Q$2</f>
        <v>0</v>
      </c>
      <c r="R38" s="17">
        <f>_xlfn.XLOOKUP($C38,TB_UAE!$E:$E,TB_UAE!T:T)*R$2</f>
        <v>0</v>
      </c>
      <c r="S38" s="17">
        <f>_xlfn.XLOOKUP($C38,TB_UAE!$E:$E,TB_UAE!U:U)*S$2</f>
        <v>0</v>
      </c>
      <c r="T38" s="17">
        <f>_xlfn.XLOOKUP($C38,TB_UAE!$E:$E,TB_UAE!V:V)*T$2</f>
        <v>0</v>
      </c>
      <c r="U38" s="17">
        <f>_xlfn.XLOOKUP($C38,TB_UAE!$E:$E,TB_UAE!W:W)*U$2</f>
        <v>0</v>
      </c>
      <c r="V38" s="17">
        <f>_xlfn.XLOOKUP($C38,TB_UAE!$E:$E,TB_UAE!X:X)*V$2</f>
        <v>0</v>
      </c>
      <c r="W38" s="17">
        <f>_xlfn.XLOOKUP($C38,TB_UAE!$E:$E,TB_UAE!Y:Y)*W$2</f>
        <v>0</v>
      </c>
      <c r="X38" s="17">
        <f>_xlfn.XLOOKUP($C38,TB_UAE!$E:$E,TB_UAE!Z:Z)*X$2</f>
        <v>0</v>
      </c>
      <c r="Y38" s="17">
        <f>_xlfn.XLOOKUP($C38,TB_UAE!$E:$E,TB_UAE!AA:AA)*Y$2</f>
        <v>0</v>
      </c>
      <c r="Z38" s="17">
        <f>_xlfn.XLOOKUP($C38,TB_UAE!$E:$E,TB_UAE!AB:AB)*Z$2</f>
        <v>0</v>
      </c>
      <c r="AA38" s="17">
        <f>_xlfn.XLOOKUP($C38,TB_UAE!$E:$E,TB_UAE!AC:AC)*AA$2</f>
        <v>0</v>
      </c>
      <c r="AB38" s="17">
        <f>_xlfn.XLOOKUP($C38,TB_UAE!$E:$E,TB_UAE!AD:AD)*AB$2</f>
        <v>0</v>
      </c>
      <c r="AC38" s="17">
        <f>_xlfn.XLOOKUP($C38,TB_UAE!$E:$E,TB_UAE!AE:AE)*AC$2</f>
        <v>0</v>
      </c>
      <c r="AD38" s="17">
        <f>_xlfn.XLOOKUP($C38,TB_UAE!$E:$E,TB_UAE!AF:AF)*AD$2</f>
        <v>0</v>
      </c>
      <c r="AE38" s="17">
        <f>_xlfn.XLOOKUP($C38,TB_UAE!$E:$E,TB_UAE!AG:AG)*AE$2</f>
        <v>0</v>
      </c>
      <c r="AF38" s="17">
        <f>_xlfn.XLOOKUP($C38,TB_UAE!$E:$E,TB_UAE!AH:AH)*AF$2</f>
        <v>0</v>
      </c>
      <c r="AG38" s="17">
        <f>_xlfn.XLOOKUP($C38,TB_UAE!$E:$E,TB_UAE!AI:AI)*AG$2</f>
        <v>0</v>
      </c>
      <c r="AH38" s="17">
        <f>_xlfn.XLOOKUP($C38,TB_UAE!$E:$E,TB_UAE!AJ:AJ)*AH$2</f>
        <v>0</v>
      </c>
      <c r="AI38" s="17">
        <f>_xlfn.XLOOKUP($C38,TB_UAE!$E:$E,TB_UAE!AK:AK)*AI$2</f>
        <v>0</v>
      </c>
      <c r="AJ38" s="17">
        <f>_xlfn.XLOOKUP($C38,TB_UAE!$E:$E,TB_UAE!AL:AL)*AJ$2</f>
        <v>0</v>
      </c>
      <c r="AK38" s="17">
        <f>_xlfn.XLOOKUP($C38,TB_UAE!$E:$E,TB_UAE!AM:AM)*AK$2</f>
        <v>0</v>
      </c>
      <c r="AL38" s="17">
        <f>_xlfn.XLOOKUP($C38,TB_UAE!$E:$E,TB_UAE!AN:AN)*AL$2</f>
        <v>0</v>
      </c>
      <c r="AM38" s="17">
        <f>_xlfn.XLOOKUP($C38,TB_UAE!$E:$E,TB_UAE!AO:AO)*AM$2</f>
        <v>0</v>
      </c>
    </row>
    <row r="39" spans="2:39" outlineLevel="1" x14ac:dyDescent="0.2">
      <c r="B39" s="15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8"/>
    </row>
    <row r="40" spans="2:39" x14ac:dyDescent="0.2">
      <c r="B40" s="15"/>
      <c r="C40" s="22" t="s">
        <v>38</v>
      </c>
      <c r="D40" s="23">
        <f t="shared" ref="D40:AM40" si="5">SUM(D38:D39)</f>
        <v>0</v>
      </c>
      <c r="E40" s="23">
        <f t="shared" si="5"/>
        <v>0</v>
      </c>
      <c r="F40" s="23">
        <f t="shared" si="5"/>
        <v>0</v>
      </c>
      <c r="G40" s="23">
        <f t="shared" si="5"/>
        <v>0</v>
      </c>
      <c r="H40" s="23">
        <f t="shared" si="5"/>
        <v>7760464.2607999993</v>
      </c>
      <c r="I40" s="23">
        <f t="shared" si="5"/>
        <v>8699407.4011999983</v>
      </c>
      <c r="J40" s="23">
        <f t="shared" si="5"/>
        <v>9229578.5152000003</v>
      </c>
      <c r="K40" s="23">
        <f t="shared" si="5"/>
        <v>9012575.8244000003</v>
      </c>
      <c r="L40" s="23">
        <f t="shared" si="5"/>
        <v>9453951.3443999998</v>
      </c>
      <c r="M40" s="23">
        <f t="shared" si="5"/>
        <v>0</v>
      </c>
      <c r="N40" s="23">
        <f t="shared" si="5"/>
        <v>0</v>
      </c>
      <c r="O40" s="23">
        <f t="shared" si="5"/>
        <v>0</v>
      </c>
      <c r="P40" s="23">
        <f t="shared" si="5"/>
        <v>0</v>
      </c>
      <c r="Q40" s="23">
        <f t="shared" si="5"/>
        <v>0</v>
      </c>
      <c r="R40" s="23">
        <f t="shared" si="5"/>
        <v>0</v>
      </c>
      <c r="S40" s="23">
        <f t="shared" si="5"/>
        <v>0</v>
      </c>
      <c r="T40" s="23">
        <f t="shared" si="5"/>
        <v>0</v>
      </c>
      <c r="U40" s="23">
        <f t="shared" si="5"/>
        <v>0</v>
      </c>
      <c r="V40" s="23">
        <f t="shared" si="5"/>
        <v>0</v>
      </c>
      <c r="W40" s="23">
        <f t="shared" si="5"/>
        <v>0</v>
      </c>
      <c r="X40" s="23">
        <f t="shared" si="5"/>
        <v>0</v>
      </c>
      <c r="Y40" s="23">
        <f t="shared" si="5"/>
        <v>0</v>
      </c>
      <c r="Z40" s="23">
        <f t="shared" si="5"/>
        <v>0</v>
      </c>
      <c r="AA40" s="23">
        <f t="shared" si="5"/>
        <v>0</v>
      </c>
      <c r="AB40" s="23">
        <f t="shared" si="5"/>
        <v>0</v>
      </c>
      <c r="AC40" s="23">
        <f t="shared" si="5"/>
        <v>0</v>
      </c>
      <c r="AD40" s="23">
        <f t="shared" si="5"/>
        <v>0</v>
      </c>
      <c r="AE40" s="23">
        <f t="shared" si="5"/>
        <v>0</v>
      </c>
      <c r="AF40" s="23">
        <f t="shared" si="5"/>
        <v>0</v>
      </c>
      <c r="AG40" s="23">
        <f t="shared" si="5"/>
        <v>0</v>
      </c>
      <c r="AH40" s="23">
        <f t="shared" si="5"/>
        <v>0</v>
      </c>
      <c r="AI40" s="23">
        <f t="shared" si="5"/>
        <v>0</v>
      </c>
      <c r="AJ40" s="23">
        <f t="shared" si="5"/>
        <v>0</v>
      </c>
      <c r="AK40" s="23">
        <f t="shared" si="5"/>
        <v>0</v>
      </c>
      <c r="AL40" s="23">
        <f t="shared" si="5"/>
        <v>0</v>
      </c>
      <c r="AM40" s="23">
        <f t="shared" si="5"/>
        <v>0</v>
      </c>
    </row>
    <row r="41" spans="2:39" x14ac:dyDescent="0.2">
      <c r="B41" s="15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8"/>
    </row>
    <row r="42" spans="2:39" outlineLevel="1" x14ac:dyDescent="0.2">
      <c r="B42" s="15"/>
      <c r="C42" s="20" t="s">
        <v>751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8"/>
    </row>
    <row r="43" spans="2:39" outlineLevel="1" x14ac:dyDescent="0.2">
      <c r="B43" s="74" t="s">
        <v>933</v>
      </c>
      <c r="C43" s="16" t="str">
        <f>_xlfn.XLOOKUP(B43,TB_UAE!A:A,TB_UAE!E:E)</f>
        <v>Tax Claimable</v>
      </c>
      <c r="D43" s="17">
        <f>_xlfn.XLOOKUP($C43,TB_UAE!$E:$E,TB_UAE!F:F)*D$2</f>
        <v>0</v>
      </c>
      <c r="E43" s="17">
        <f>_xlfn.XLOOKUP($C43,TB_UAE!$E:$E,TB_UAE!G:G)*E$2</f>
        <v>0</v>
      </c>
      <c r="F43" s="17">
        <f>_xlfn.XLOOKUP($C43,TB_UAE!$E:$E,TB_UAE!H:H)*F$2</f>
        <v>0</v>
      </c>
      <c r="G43" s="17">
        <f>_xlfn.XLOOKUP($C43,TB_UAE!$E:$E,TB_UAE!I:I)*G$2</f>
        <v>0</v>
      </c>
      <c r="H43" s="17">
        <f>_xlfn.XLOOKUP($C43,TB_UAE!$E:$E,TB_UAE!J:J)*H$2</f>
        <v>0</v>
      </c>
      <c r="I43" s="17">
        <f>_xlfn.XLOOKUP($C43,TB_UAE!$E:$E,TB_UAE!K:K)*I$2</f>
        <v>0</v>
      </c>
      <c r="J43" s="17">
        <f>_xlfn.XLOOKUP($C43,TB_UAE!$E:$E,TB_UAE!L:L)*J$2</f>
        <v>0</v>
      </c>
      <c r="K43" s="17">
        <f>_xlfn.XLOOKUP($C43,TB_UAE!$E:$E,TB_UAE!M:M)*K$2</f>
        <v>0</v>
      </c>
      <c r="L43" s="17">
        <f>_xlfn.XLOOKUP($C43,TB_UAE!$E:$E,TB_UAE!N:N)*L$2</f>
        <v>0</v>
      </c>
      <c r="M43" s="17">
        <f>_xlfn.XLOOKUP($C43,TB_UAE!$E:$E,TB_UAE!O:O)*M$2</f>
        <v>0</v>
      </c>
      <c r="N43" s="17">
        <f>_xlfn.XLOOKUP($C43,TB_UAE!$E:$E,TB_UAE!P:P)*N$2</f>
        <v>0</v>
      </c>
      <c r="O43" s="17">
        <f>_xlfn.XLOOKUP($C43,TB_UAE!$E:$E,TB_UAE!Q:Q)*O$2</f>
        <v>0</v>
      </c>
      <c r="P43" s="17">
        <f>_xlfn.XLOOKUP($C43,TB_UAE!$E:$E,TB_UAE!R:R)*P$2</f>
        <v>0</v>
      </c>
      <c r="Q43" s="17">
        <f>_xlfn.XLOOKUP($C43,TB_UAE!$E:$E,TB_UAE!S:S)*Q$2</f>
        <v>0</v>
      </c>
      <c r="R43" s="17">
        <f>_xlfn.XLOOKUP($C43,TB_UAE!$E:$E,TB_UAE!T:T)*R$2</f>
        <v>0</v>
      </c>
      <c r="S43" s="17">
        <f>_xlfn.XLOOKUP($C43,TB_UAE!$E:$E,TB_UAE!U:U)*S$2</f>
        <v>0</v>
      </c>
      <c r="T43" s="17">
        <f>_xlfn.XLOOKUP($C43,TB_UAE!$E:$E,TB_UAE!V:V)*T$2</f>
        <v>0</v>
      </c>
      <c r="U43" s="17">
        <f>_xlfn.XLOOKUP($C43,TB_UAE!$E:$E,TB_UAE!W:W)*U$2</f>
        <v>0</v>
      </c>
      <c r="V43" s="17">
        <f>_xlfn.XLOOKUP($C43,TB_UAE!$E:$E,TB_UAE!X:X)*V$2</f>
        <v>231147.41111999998</v>
      </c>
      <c r="W43" s="17">
        <f>_xlfn.XLOOKUP($C43,TB_UAE!$E:$E,TB_UAE!Y:Y)*W$2</f>
        <v>286748.72807999997</v>
      </c>
      <c r="X43" s="17">
        <f>_xlfn.XLOOKUP($C43,TB_UAE!$E:$E,TB_UAE!Z:Z)*X$2</f>
        <v>306886.81776000001</v>
      </c>
      <c r="Y43" s="17">
        <f>_xlfn.XLOOKUP($C43,TB_UAE!$E:$E,TB_UAE!AA:AA)*Y$2</f>
        <v>391545.79600000003</v>
      </c>
      <c r="Z43" s="17">
        <f>_xlfn.XLOOKUP($C43,TB_UAE!$E:$E,TB_UAE!AB:AB)*Z$2</f>
        <v>390975.24649999995</v>
      </c>
      <c r="AA43" s="17">
        <f>_xlfn.XLOOKUP($C43,TB_UAE!$E:$E,TB_UAE!AC:AC)*AA$2</f>
        <v>391582.50961999997</v>
      </c>
      <c r="AB43" s="17">
        <f>_xlfn.XLOOKUP($C43,TB_UAE!$E:$E,TB_UAE!AD:AD)*AB$2</f>
        <v>374863.92087999999</v>
      </c>
      <c r="AC43" s="17">
        <f>_xlfn.XLOOKUP($C43,TB_UAE!$E:$E,TB_UAE!AE:AE)*AC$2</f>
        <v>366595.41829999996</v>
      </c>
      <c r="AD43" s="17">
        <f>_xlfn.XLOOKUP($C43,TB_UAE!$E:$E,TB_UAE!AF:AF)*AD$2</f>
        <v>373513.45501999999</v>
      </c>
      <c r="AE43" s="17">
        <f>_xlfn.XLOOKUP($C43,TB_UAE!$E:$E,TB_UAE!AG:AG)*AE$2</f>
        <v>371299.72296000004</v>
      </c>
      <c r="AF43" s="17">
        <f>_xlfn.XLOOKUP($C43,TB_UAE!$E:$E,TB_UAE!AH:AH)*AF$2</f>
        <v>0</v>
      </c>
      <c r="AG43" s="17">
        <f>_xlfn.XLOOKUP($C43,TB_UAE!$E:$E,TB_UAE!AI:AI)*AG$2</f>
        <v>0</v>
      </c>
      <c r="AH43" s="17">
        <f>_xlfn.XLOOKUP($C43,TB_UAE!$E:$E,TB_UAE!AJ:AJ)*AH$2</f>
        <v>0</v>
      </c>
      <c r="AI43" s="17">
        <f>_xlfn.XLOOKUP($C43,TB_UAE!$E:$E,TB_UAE!AK:AK)*AI$2</f>
        <v>0</v>
      </c>
      <c r="AJ43" s="17">
        <f>_xlfn.XLOOKUP($C43,TB_UAE!$E:$E,TB_UAE!AL:AL)*AJ$2</f>
        <v>0</v>
      </c>
      <c r="AK43" s="17">
        <f>_xlfn.XLOOKUP($C43,TB_UAE!$E:$E,TB_UAE!AM:AM)*AK$2</f>
        <v>0</v>
      </c>
      <c r="AL43" s="17">
        <f>_xlfn.XLOOKUP($C43,TB_UAE!$E:$E,TB_UAE!AN:AN)*AL$2</f>
        <v>0</v>
      </c>
      <c r="AM43" s="17">
        <f>_xlfn.XLOOKUP($C43,TB_UAE!$E:$E,TB_UAE!AO:AO)*AM$2</f>
        <v>0</v>
      </c>
    </row>
    <row r="44" spans="2:39" outlineLevel="1" x14ac:dyDescent="0.2">
      <c r="B44" s="74" t="s">
        <v>962</v>
      </c>
      <c r="C44" s="16" t="str">
        <f>_xlfn.XLOOKUP(B44,TB_UAE!A:A,TB_UAE!E:E)</f>
        <v>Vendor Advances</v>
      </c>
      <c r="D44" s="17">
        <f>_xlfn.XLOOKUP($C44,TB_UAE!$E:$E,TB_UAE!F:F)*D$2</f>
        <v>0</v>
      </c>
      <c r="E44" s="17">
        <f>_xlfn.XLOOKUP($C44,TB_UAE!$E:$E,TB_UAE!G:G)*E$2</f>
        <v>0</v>
      </c>
      <c r="F44" s="17">
        <f>_xlfn.XLOOKUP($C44,TB_UAE!$E:$E,TB_UAE!H:H)*F$2</f>
        <v>0</v>
      </c>
      <c r="G44" s="17">
        <f>_xlfn.XLOOKUP($C44,TB_UAE!$E:$E,TB_UAE!I:I)*G$2</f>
        <v>0</v>
      </c>
      <c r="H44" s="17">
        <f>_xlfn.XLOOKUP($C44,TB_UAE!$E:$E,TB_UAE!J:J)*H$2</f>
        <v>0</v>
      </c>
      <c r="I44" s="17">
        <f>_xlfn.XLOOKUP($C44,TB_UAE!$E:$E,TB_UAE!K:K)*I$2</f>
        <v>0</v>
      </c>
      <c r="J44" s="17">
        <f>_xlfn.XLOOKUP($C44,TB_UAE!$E:$E,TB_UAE!L:L)*J$2</f>
        <v>0</v>
      </c>
      <c r="K44" s="17">
        <f>_xlfn.XLOOKUP($C44,TB_UAE!$E:$E,TB_UAE!M:M)*K$2</f>
        <v>0</v>
      </c>
      <c r="L44" s="17">
        <f>_xlfn.XLOOKUP($C44,TB_UAE!$E:$E,TB_UAE!N:N)*L$2</f>
        <v>0</v>
      </c>
      <c r="M44" s="17">
        <f>_xlfn.XLOOKUP($C44,TB_UAE!$E:$E,TB_UAE!O:O)*M$2</f>
        <v>0</v>
      </c>
      <c r="N44" s="17">
        <f>_xlfn.XLOOKUP($C44,TB_UAE!$E:$E,TB_UAE!P:P)*N$2</f>
        <v>0</v>
      </c>
      <c r="O44" s="17">
        <f>_xlfn.XLOOKUP($C44,TB_UAE!$E:$E,TB_UAE!Q:Q)*O$2</f>
        <v>0</v>
      </c>
      <c r="P44" s="17">
        <f>_xlfn.XLOOKUP($C44,TB_UAE!$E:$E,TB_UAE!R:R)*P$2</f>
        <v>0</v>
      </c>
      <c r="Q44" s="17">
        <f>_xlfn.XLOOKUP($C44,TB_UAE!$E:$E,TB_UAE!S:S)*Q$2</f>
        <v>0</v>
      </c>
      <c r="R44" s="17">
        <f>_xlfn.XLOOKUP($C44,TB_UAE!$E:$E,TB_UAE!T:T)*R$2</f>
        <v>0</v>
      </c>
      <c r="S44" s="17">
        <f>_xlfn.XLOOKUP($C44,TB_UAE!$E:$E,TB_UAE!U:U)*S$2</f>
        <v>0</v>
      </c>
      <c r="T44" s="17">
        <f>_xlfn.XLOOKUP($C44,TB_UAE!$E:$E,TB_UAE!V:V)*T$2</f>
        <v>0</v>
      </c>
      <c r="U44" s="17">
        <f>_xlfn.XLOOKUP($C44,TB_UAE!$E:$E,TB_UAE!W:W)*U$2</f>
        <v>0</v>
      </c>
      <c r="V44" s="17">
        <f>_xlfn.XLOOKUP($C44,TB_UAE!$E:$E,TB_UAE!X:X)*V$2</f>
        <v>0</v>
      </c>
      <c r="W44" s="17">
        <f>_xlfn.XLOOKUP($C44,TB_UAE!$E:$E,TB_UAE!Y:Y)*W$2</f>
        <v>0</v>
      </c>
      <c r="X44" s="17">
        <f>_xlfn.XLOOKUP($C44,TB_UAE!$E:$E,TB_UAE!Z:Z)*X$2</f>
        <v>0</v>
      </c>
      <c r="Y44" s="17">
        <f>_xlfn.XLOOKUP($C44,TB_UAE!$E:$E,TB_UAE!AA:AA)*Y$2</f>
        <v>414152.43</v>
      </c>
      <c r="Z44" s="17">
        <f>_xlfn.XLOOKUP($C44,TB_UAE!$E:$E,TB_UAE!AB:AB)*Z$2</f>
        <v>413548.93874999997</v>
      </c>
      <c r="AA44" s="17">
        <f>_xlfn.XLOOKUP($C44,TB_UAE!$E:$E,TB_UAE!AC:AC)*AA$2</f>
        <v>414191.26334999996</v>
      </c>
      <c r="AB44" s="17">
        <f>_xlfn.XLOOKUP($C44,TB_UAE!$E:$E,TB_UAE!AD:AD)*AB$2</f>
        <v>396507.39539999998</v>
      </c>
      <c r="AC44" s="17">
        <f>_xlfn.XLOOKUP($C44,TB_UAE!$E:$E,TB_UAE!AE:AE)*AC$2</f>
        <v>0</v>
      </c>
      <c r="AD44" s="17">
        <f>_xlfn.XLOOKUP($C44,TB_UAE!$E:$E,TB_UAE!AF:AF)*AD$2</f>
        <v>0</v>
      </c>
      <c r="AE44" s="17">
        <f>_xlfn.XLOOKUP($C44,TB_UAE!$E:$E,TB_UAE!AG:AG)*AE$2</f>
        <v>0</v>
      </c>
      <c r="AF44" s="17">
        <f>_xlfn.XLOOKUP($C44,TB_UAE!$E:$E,TB_UAE!AH:AH)*AF$2</f>
        <v>0</v>
      </c>
      <c r="AG44" s="17">
        <f>_xlfn.XLOOKUP($C44,TB_UAE!$E:$E,TB_UAE!AI:AI)*AG$2</f>
        <v>0</v>
      </c>
      <c r="AH44" s="17">
        <f>_xlfn.XLOOKUP($C44,TB_UAE!$E:$E,TB_UAE!AJ:AJ)*AH$2</f>
        <v>0</v>
      </c>
      <c r="AI44" s="17">
        <f>_xlfn.XLOOKUP($C44,TB_UAE!$E:$E,TB_UAE!AK:AK)*AI$2</f>
        <v>0</v>
      </c>
      <c r="AJ44" s="17">
        <f>_xlfn.XLOOKUP($C44,TB_UAE!$E:$E,TB_UAE!AL:AL)*AJ$2</f>
        <v>0</v>
      </c>
      <c r="AK44" s="17">
        <f>_xlfn.XLOOKUP($C44,TB_UAE!$E:$E,TB_UAE!AM:AM)*AK$2</f>
        <v>0</v>
      </c>
      <c r="AL44" s="17">
        <f>_xlfn.XLOOKUP($C44,TB_UAE!$E:$E,TB_UAE!AN:AN)*AL$2</f>
        <v>0</v>
      </c>
      <c r="AM44" s="17">
        <f>_xlfn.XLOOKUP($C44,TB_UAE!$E:$E,TB_UAE!AO:AO)*AM$2</f>
        <v>0</v>
      </c>
    </row>
    <row r="45" spans="2:39" outlineLevel="1" x14ac:dyDescent="0.2">
      <c r="B45" s="21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</row>
    <row r="46" spans="2:39" x14ac:dyDescent="0.2">
      <c r="B46" s="15"/>
      <c r="C46" s="22" t="s">
        <v>40</v>
      </c>
      <c r="D46" s="23">
        <f t="shared" ref="D46:AM46" si="6">SUM(D43:D45)</f>
        <v>0</v>
      </c>
      <c r="E46" s="23">
        <f t="shared" si="6"/>
        <v>0</v>
      </c>
      <c r="F46" s="23">
        <f t="shared" si="6"/>
        <v>0</v>
      </c>
      <c r="G46" s="23">
        <f t="shared" si="6"/>
        <v>0</v>
      </c>
      <c r="H46" s="23">
        <f t="shared" si="6"/>
        <v>0</v>
      </c>
      <c r="I46" s="23">
        <f t="shared" si="6"/>
        <v>0</v>
      </c>
      <c r="J46" s="23">
        <f t="shared" si="6"/>
        <v>0</v>
      </c>
      <c r="K46" s="23">
        <f t="shared" si="6"/>
        <v>0</v>
      </c>
      <c r="L46" s="23">
        <f t="shared" si="6"/>
        <v>0</v>
      </c>
      <c r="M46" s="23">
        <f t="shared" si="6"/>
        <v>0</v>
      </c>
      <c r="N46" s="23">
        <f t="shared" si="6"/>
        <v>0</v>
      </c>
      <c r="O46" s="23">
        <f t="shared" si="6"/>
        <v>0</v>
      </c>
      <c r="P46" s="23">
        <f t="shared" si="6"/>
        <v>0</v>
      </c>
      <c r="Q46" s="23">
        <f t="shared" si="6"/>
        <v>0</v>
      </c>
      <c r="R46" s="23">
        <f t="shared" si="6"/>
        <v>0</v>
      </c>
      <c r="S46" s="23">
        <f t="shared" si="6"/>
        <v>0</v>
      </c>
      <c r="T46" s="23">
        <f t="shared" si="6"/>
        <v>0</v>
      </c>
      <c r="U46" s="23">
        <f t="shared" si="6"/>
        <v>0</v>
      </c>
      <c r="V46" s="23">
        <f t="shared" si="6"/>
        <v>231147.41111999998</v>
      </c>
      <c r="W46" s="23">
        <f t="shared" si="6"/>
        <v>286748.72807999997</v>
      </c>
      <c r="X46" s="23">
        <f t="shared" si="6"/>
        <v>306886.81776000001</v>
      </c>
      <c r="Y46" s="23">
        <f t="shared" si="6"/>
        <v>805698.22600000002</v>
      </c>
      <c r="Z46" s="23">
        <f t="shared" si="6"/>
        <v>804524.18524999986</v>
      </c>
      <c r="AA46" s="23">
        <f t="shared" si="6"/>
        <v>805773.77296999993</v>
      </c>
      <c r="AB46" s="23">
        <f t="shared" si="6"/>
        <v>771371.31627999991</v>
      </c>
      <c r="AC46" s="23">
        <f t="shared" si="6"/>
        <v>366595.41829999996</v>
      </c>
      <c r="AD46" s="23">
        <f t="shared" si="6"/>
        <v>373513.45501999999</v>
      </c>
      <c r="AE46" s="23">
        <f t="shared" si="6"/>
        <v>371299.72296000004</v>
      </c>
      <c r="AF46" s="23">
        <f t="shared" si="6"/>
        <v>0</v>
      </c>
      <c r="AG46" s="23">
        <f t="shared" si="6"/>
        <v>0</v>
      </c>
      <c r="AH46" s="23">
        <f t="shared" si="6"/>
        <v>0</v>
      </c>
      <c r="AI46" s="23">
        <f t="shared" si="6"/>
        <v>0</v>
      </c>
      <c r="AJ46" s="23">
        <f t="shared" si="6"/>
        <v>0</v>
      </c>
      <c r="AK46" s="23">
        <f t="shared" si="6"/>
        <v>0</v>
      </c>
      <c r="AL46" s="23">
        <f t="shared" si="6"/>
        <v>0</v>
      </c>
      <c r="AM46" s="23">
        <f t="shared" si="6"/>
        <v>0</v>
      </c>
    </row>
    <row r="47" spans="2:39" x14ac:dyDescent="0.2">
      <c r="B47" s="21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 spans="2:39" outlineLevel="1" x14ac:dyDescent="0.2">
      <c r="B48" s="21"/>
      <c r="C48" s="20" t="s">
        <v>220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</row>
    <row r="49" spans="2:39" outlineLevel="1" x14ac:dyDescent="0.2">
      <c r="B49" s="21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</row>
    <row r="50" spans="2:39" outlineLevel="1" x14ac:dyDescent="0.2">
      <c r="B50" s="21"/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</row>
    <row r="51" spans="2:39" x14ac:dyDescent="0.2">
      <c r="B51" s="15"/>
      <c r="C51" s="22" t="s">
        <v>42</v>
      </c>
      <c r="D51" s="23">
        <f t="shared" ref="D51:AM51" si="7">SUM(D49:D50)</f>
        <v>0</v>
      </c>
      <c r="E51" s="23">
        <f t="shared" si="7"/>
        <v>0</v>
      </c>
      <c r="F51" s="23">
        <f t="shared" si="7"/>
        <v>0</v>
      </c>
      <c r="G51" s="23">
        <f t="shared" si="7"/>
        <v>0</v>
      </c>
      <c r="H51" s="23">
        <f t="shared" si="7"/>
        <v>0</v>
      </c>
      <c r="I51" s="23">
        <f t="shared" si="7"/>
        <v>0</v>
      </c>
      <c r="J51" s="23">
        <f t="shared" si="7"/>
        <v>0</v>
      </c>
      <c r="K51" s="23">
        <f t="shared" si="7"/>
        <v>0</v>
      </c>
      <c r="L51" s="23">
        <f t="shared" si="7"/>
        <v>0</v>
      </c>
      <c r="M51" s="23">
        <f t="shared" si="7"/>
        <v>0</v>
      </c>
      <c r="N51" s="23">
        <f t="shared" si="7"/>
        <v>0</v>
      </c>
      <c r="O51" s="23">
        <f t="shared" si="7"/>
        <v>0</v>
      </c>
      <c r="P51" s="23">
        <f t="shared" si="7"/>
        <v>0</v>
      </c>
      <c r="Q51" s="23">
        <f t="shared" si="7"/>
        <v>0</v>
      </c>
      <c r="R51" s="23">
        <f t="shared" si="7"/>
        <v>0</v>
      </c>
      <c r="S51" s="23">
        <f t="shared" si="7"/>
        <v>0</v>
      </c>
      <c r="T51" s="23">
        <f t="shared" si="7"/>
        <v>0</v>
      </c>
      <c r="U51" s="23">
        <f t="shared" si="7"/>
        <v>0</v>
      </c>
      <c r="V51" s="23">
        <f t="shared" si="7"/>
        <v>0</v>
      </c>
      <c r="W51" s="23">
        <f t="shared" si="7"/>
        <v>0</v>
      </c>
      <c r="X51" s="23">
        <f t="shared" si="7"/>
        <v>0</v>
      </c>
      <c r="Y51" s="23">
        <f t="shared" si="7"/>
        <v>0</v>
      </c>
      <c r="Z51" s="23">
        <f t="shared" si="7"/>
        <v>0</v>
      </c>
      <c r="AA51" s="23">
        <f t="shared" si="7"/>
        <v>0</v>
      </c>
      <c r="AB51" s="23">
        <f t="shared" si="7"/>
        <v>0</v>
      </c>
      <c r="AC51" s="23">
        <f t="shared" si="7"/>
        <v>0</v>
      </c>
      <c r="AD51" s="23">
        <f t="shared" si="7"/>
        <v>0</v>
      </c>
      <c r="AE51" s="23">
        <f t="shared" si="7"/>
        <v>0</v>
      </c>
      <c r="AF51" s="23">
        <f t="shared" si="7"/>
        <v>0</v>
      </c>
      <c r="AG51" s="23">
        <f t="shared" si="7"/>
        <v>0</v>
      </c>
      <c r="AH51" s="23">
        <f t="shared" si="7"/>
        <v>0</v>
      </c>
      <c r="AI51" s="23">
        <f t="shared" si="7"/>
        <v>0</v>
      </c>
      <c r="AJ51" s="23">
        <f t="shared" si="7"/>
        <v>0</v>
      </c>
      <c r="AK51" s="23">
        <f t="shared" si="7"/>
        <v>0</v>
      </c>
      <c r="AL51" s="23">
        <f t="shared" si="7"/>
        <v>0</v>
      </c>
      <c r="AM51" s="23">
        <f t="shared" si="7"/>
        <v>0</v>
      </c>
    </row>
    <row r="52" spans="2:39" x14ac:dyDescent="0.2">
      <c r="B52" s="15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8"/>
    </row>
    <row r="53" spans="2:39" s="27" customFormat="1" x14ac:dyDescent="0.2">
      <c r="B53" s="24"/>
      <c r="C53" s="25" t="s">
        <v>231</v>
      </c>
      <c r="D53" s="26">
        <f t="shared" ref="D53:AM53" si="8">D14+D21+D27+D35+D40+D46+D51</f>
        <v>13760360.012489999</v>
      </c>
      <c r="E53" s="26">
        <f t="shared" si="8"/>
        <v>4693479.47004</v>
      </c>
      <c r="F53" s="26">
        <f t="shared" si="8"/>
        <v>2990400.3394400002</v>
      </c>
      <c r="G53" s="26">
        <f t="shared" si="8"/>
        <v>32317057.51551</v>
      </c>
      <c r="H53" s="26">
        <f t="shared" si="8"/>
        <v>80330157.346599996</v>
      </c>
      <c r="I53" s="26">
        <f t="shared" si="8"/>
        <v>89552384.054199994</v>
      </c>
      <c r="J53" s="26">
        <f t="shared" si="8"/>
        <v>39144493.931199998</v>
      </c>
      <c r="K53" s="26">
        <f t="shared" si="8"/>
        <v>183908675.31114</v>
      </c>
      <c r="L53" s="26">
        <f t="shared" si="8"/>
        <v>105022521.28019999</v>
      </c>
      <c r="M53" s="26">
        <f t="shared" si="8"/>
        <v>64364085.876719996</v>
      </c>
      <c r="N53" s="26">
        <f t="shared" si="8"/>
        <v>38882852.538399994</v>
      </c>
      <c r="O53" s="26">
        <f t="shared" si="8"/>
        <v>18054434.676319998</v>
      </c>
      <c r="P53" s="26">
        <f t="shared" si="8"/>
        <v>78562196.077800006</v>
      </c>
      <c r="Q53" s="26">
        <f t="shared" si="8"/>
        <v>51467570.98247999</v>
      </c>
      <c r="R53" s="26">
        <f t="shared" si="8"/>
        <v>29054584.201510001</v>
      </c>
      <c r="S53" s="26">
        <f t="shared" si="8"/>
        <v>80892421.676679999</v>
      </c>
      <c r="T53" s="26">
        <f t="shared" si="8"/>
        <v>54698105.731080003</v>
      </c>
      <c r="U53" s="26">
        <f t="shared" si="8"/>
        <v>27835757.629470002</v>
      </c>
      <c r="V53" s="26">
        <f t="shared" si="8"/>
        <v>111919842.31705998</v>
      </c>
      <c r="W53" s="26">
        <f t="shared" si="8"/>
        <v>87391385.909879982</v>
      </c>
      <c r="X53" s="26">
        <f t="shared" si="8"/>
        <v>59335073.303399995</v>
      </c>
      <c r="Y53" s="26">
        <f t="shared" si="8"/>
        <v>33469719.456000004</v>
      </c>
      <c r="Z53" s="26">
        <f t="shared" si="8"/>
        <v>49123857.218249999</v>
      </c>
      <c r="AA53" s="26">
        <f t="shared" si="8"/>
        <v>15718194.391500002</v>
      </c>
      <c r="AB53" s="26">
        <f t="shared" si="8"/>
        <v>62319066.012760006</v>
      </c>
      <c r="AC53" s="26">
        <f t="shared" si="8"/>
        <v>45681462.980700001</v>
      </c>
      <c r="AD53" s="26">
        <f t="shared" si="8"/>
        <v>31352616.122810002</v>
      </c>
      <c r="AE53" s="26">
        <f t="shared" si="8"/>
        <v>98364097.998600006</v>
      </c>
      <c r="AF53" s="26">
        <f t="shared" si="8"/>
        <v>0</v>
      </c>
      <c r="AG53" s="26">
        <f t="shared" si="8"/>
        <v>0</v>
      </c>
      <c r="AH53" s="26">
        <f t="shared" si="8"/>
        <v>0</v>
      </c>
      <c r="AI53" s="26">
        <f t="shared" si="8"/>
        <v>0</v>
      </c>
      <c r="AJ53" s="26">
        <f t="shared" si="8"/>
        <v>0</v>
      </c>
      <c r="AK53" s="26">
        <f t="shared" si="8"/>
        <v>0</v>
      </c>
      <c r="AL53" s="26">
        <f t="shared" si="8"/>
        <v>0</v>
      </c>
      <c r="AM53" s="26">
        <f t="shared" si="8"/>
        <v>0</v>
      </c>
    </row>
    <row r="54" spans="2:39" s="31" customFormat="1" x14ac:dyDescent="0.2">
      <c r="B54" s="28"/>
      <c r="C54" s="29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</row>
    <row r="55" spans="2:39" x14ac:dyDescent="0.2">
      <c r="B55" s="15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8"/>
    </row>
    <row r="56" spans="2:39" outlineLevel="1" x14ac:dyDescent="0.2">
      <c r="B56" s="15"/>
      <c r="C56" s="20" t="s">
        <v>232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8"/>
    </row>
    <row r="57" spans="2:39" outlineLevel="1" x14ac:dyDescent="0.2">
      <c r="B57" s="74" t="s">
        <v>934</v>
      </c>
      <c r="C57" s="16" t="str">
        <f>_xlfn.XLOOKUP(B57,TB_UAE!A:A,TB_UAE!E:E)</f>
        <v>Property, plant and equipment</v>
      </c>
      <c r="D57" s="17">
        <f>_xlfn.XLOOKUP($C57,TB_UAE!$E:$E,TB_UAE!F:F)*D$2</f>
        <v>523544.63862999994</v>
      </c>
      <c r="E57" s="17">
        <f>_xlfn.XLOOKUP($C57,TB_UAE!$E:$E,TB_UAE!G:G)*E$2</f>
        <v>928696.36443999992</v>
      </c>
      <c r="F57" s="17">
        <f>_xlfn.XLOOKUP($C57,TB_UAE!$E:$E,TB_UAE!H:H)*F$2</f>
        <v>814083.91401999991</v>
      </c>
      <c r="G57" s="17">
        <f>_xlfn.XLOOKUP($C57,TB_UAE!$E:$E,TB_UAE!I:I)*G$2</f>
        <v>781724.44466999988</v>
      </c>
      <c r="H57" s="17">
        <f>_xlfn.XLOOKUP($C57,TB_UAE!$E:$E,TB_UAE!J:J)*H$2</f>
        <v>800658.97651999991</v>
      </c>
      <c r="I57" s="17">
        <f>_xlfn.XLOOKUP($C57,TB_UAE!$E:$E,TB_UAE!K:K)*I$2</f>
        <v>897531.17752999987</v>
      </c>
      <c r="J57" s="17">
        <f>_xlfn.XLOOKUP($C57,TB_UAE!$E:$E,TB_UAE!L:L)*J$2</f>
        <v>952229.74287999992</v>
      </c>
      <c r="K57" s="17">
        <f>_xlfn.XLOOKUP($C57,TB_UAE!$E:$E,TB_UAE!M:M)*K$2</f>
        <v>929841.24310999992</v>
      </c>
      <c r="L57" s="17">
        <f>_xlfn.XLOOKUP($C57,TB_UAE!$E:$E,TB_UAE!N:N)*L$2</f>
        <v>975378.63110999984</v>
      </c>
      <c r="M57" s="17">
        <f>_xlfn.XLOOKUP($C57,TB_UAE!$E:$E,TB_UAE!O:O)*M$2</f>
        <v>960886.14257999987</v>
      </c>
      <c r="N57" s="17">
        <f>_xlfn.XLOOKUP($C57,TB_UAE!$E:$E,TB_UAE!P:P)*N$2</f>
        <v>984037.17879999988</v>
      </c>
      <c r="O57" s="17">
        <f>_xlfn.XLOOKUP($C57,TB_UAE!$E:$E,TB_UAE!Q:Q)*O$2</f>
        <v>904458.44527999987</v>
      </c>
      <c r="P57" s="17">
        <f>_xlfn.XLOOKUP($C57,TB_UAE!$E:$E,TB_UAE!R:R)*P$2</f>
        <v>899105.65419999987</v>
      </c>
      <c r="Q57" s="17">
        <f>_xlfn.XLOOKUP($C57,TB_UAE!$E:$E,TB_UAE!S:S)*Q$2</f>
        <v>876087.79335999989</v>
      </c>
      <c r="R57" s="17">
        <f>_xlfn.XLOOKUP($C57,TB_UAE!$E:$E,TB_UAE!T:T)*R$2</f>
        <v>897943.59160999989</v>
      </c>
      <c r="S57" s="17">
        <f>_xlfn.XLOOKUP($C57,TB_UAE!$E:$E,TB_UAE!U:U)*S$2</f>
        <v>936671.85130999994</v>
      </c>
      <c r="T57" s="17">
        <f>_xlfn.XLOOKUP($C57,TB_UAE!$E:$E,TB_UAE!V:V)*T$2</f>
        <v>928488.00940999994</v>
      </c>
      <c r="U57" s="17">
        <f>_xlfn.XLOOKUP($C57,TB_UAE!$E:$E,TB_UAE!W:W)*U$2</f>
        <v>901449.11128999991</v>
      </c>
      <c r="V57" s="17">
        <f>_xlfn.XLOOKUP($C57,TB_UAE!$E:$E,TB_UAE!X:X)*V$2</f>
        <v>894985.80937999988</v>
      </c>
      <c r="W57" s="17">
        <f>_xlfn.XLOOKUP($C57,TB_UAE!$E:$E,TB_UAE!Y:Y)*W$2</f>
        <v>899487.99641999986</v>
      </c>
      <c r="X57" s="17">
        <f>_xlfn.XLOOKUP($C57,TB_UAE!$E:$E,TB_UAE!Z:Z)*X$2</f>
        <v>867629.00873999984</v>
      </c>
      <c r="Y57" s="17">
        <f>_xlfn.XLOOKUP($C57,TB_UAE!$E:$E,TB_UAE!AA:AA)*Y$2</f>
        <v>847596.85399999993</v>
      </c>
      <c r="Z57" s="17">
        <f>_xlfn.XLOOKUP($C57,TB_UAE!$E:$E,TB_UAE!AB:AB)*Z$2</f>
        <v>846361.75974999985</v>
      </c>
      <c r="AA57" s="17">
        <f>_xlfn.XLOOKUP($C57,TB_UAE!$E:$E,TB_UAE!AC:AC)*AA$2</f>
        <v>847676.32962999993</v>
      </c>
      <c r="AB57" s="17">
        <f>_xlfn.XLOOKUP($C57,TB_UAE!$E:$E,TB_UAE!AD:AD)*AB$2</f>
        <v>811484.84611999989</v>
      </c>
      <c r="AC57" s="17">
        <f>_xlfn.XLOOKUP($C57,TB_UAE!$E:$E,TB_UAE!AE:AE)*AC$2</f>
        <v>793585.64544999984</v>
      </c>
      <c r="AD57" s="17">
        <f>_xlfn.XLOOKUP($C57,TB_UAE!$E:$E,TB_UAE!AF:AF)*AD$2</f>
        <v>808561.43172999995</v>
      </c>
      <c r="AE57" s="17">
        <f>_xlfn.XLOOKUP($C57,TB_UAE!$E:$E,TB_UAE!AG:AG)*AE$2</f>
        <v>803769.26604000002</v>
      </c>
      <c r="AF57" s="17">
        <f>_xlfn.XLOOKUP($C57,TB_UAE!$E:$E,TB_UAE!AH:AH)*AF$2</f>
        <v>0</v>
      </c>
      <c r="AG57" s="17">
        <f>_xlfn.XLOOKUP($C57,TB_UAE!$E:$E,TB_UAE!AI:AI)*AG$2</f>
        <v>0</v>
      </c>
      <c r="AH57" s="17">
        <f>_xlfn.XLOOKUP($C57,TB_UAE!$E:$E,TB_UAE!AJ:AJ)*AH$2</f>
        <v>0</v>
      </c>
      <c r="AI57" s="17">
        <f>_xlfn.XLOOKUP($C57,TB_UAE!$E:$E,TB_UAE!AK:AK)*AI$2</f>
        <v>0</v>
      </c>
      <c r="AJ57" s="17">
        <f>_xlfn.XLOOKUP($C57,TB_UAE!$E:$E,TB_UAE!AL:AL)*AJ$2</f>
        <v>0</v>
      </c>
      <c r="AK57" s="17">
        <f>_xlfn.XLOOKUP($C57,TB_UAE!$E:$E,TB_UAE!AM:AM)*AK$2</f>
        <v>0</v>
      </c>
      <c r="AL57" s="17">
        <f>_xlfn.XLOOKUP($C57,TB_UAE!$E:$E,TB_UAE!AN:AN)*AL$2</f>
        <v>0</v>
      </c>
      <c r="AM57" s="17">
        <f>_xlfn.XLOOKUP($C57,TB_UAE!$E:$E,TB_UAE!AO:AO)*AM$2</f>
        <v>0</v>
      </c>
    </row>
    <row r="58" spans="2:39" outlineLevel="1" x14ac:dyDescent="0.2">
      <c r="B58" s="74" t="s">
        <v>935</v>
      </c>
      <c r="C58" s="16" t="str">
        <f>_xlfn.XLOOKUP(B58,TB_UAE!A:A,TB_UAE!E:E)</f>
        <v>Accumulated depreciation on property, plant and equipment</v>
      </c>
      <c r="D58" s="17">
        <f>_xlfn.XLOOKUP($C58,TB_UAE!$E:$E,TB_UAE!F:F)*D$2</f>
        <v>-165789.9074</v>
      </c>
      <c r="E58" s="17">
        <f>_xlfn.XLOOKUP($C58,TB_UAE!$E:$E,TB_UAE!G:G)*E$2</f>
        <v>-309566.89600000001</v>
      </c>
      <c r="F58" s="17">
        <f>_xlfn.XLOOKUP($C58,TB_UAE!$E:$E,TB_UAE!H:H)*F$2</f>
        <v>-284930.69639999996</v>
      </c>
      <c r="G58" s="17">
        <f>_xlfn.XLOOKUP($C58,TB_UAE!$E:$E,TB_UAE!I:I)*G$2</f>
        <v>-286633.63079999998</v>
      </c>
      <c r="H58" s="17">
        <f>_xlfn.XLOOKUP($C58,TB_UAE!$E:$E,TB_UAE!J:J)*H$2</f>
        <v>-306920.70319999999</v>
      </c>
      <c r="I58" s="17">
        <f>_xlfn.XLOOKUP($C58,TB_UAE!$E:$E,TB_UAE!K:K)*I$2</f>
        <v>-359014.14240000001</v>
      </c>
      <c r="J58" s="17">
        <f>_xlfn.XLOOKUP($C58,TB_UAE!$E:$E,TB_UAE!L:L)*J$2</f>
        <v>-396764.24</v>
      </c>
      <c r="K58" s="17">
        <f>_xlfn.XLOOKUP($C58,TB_UAE!$E:$E,TB_UAE!M:M)*K$2</f>
        <v>-402933.08120000002</v>
      </c>
      <c r="L58" s="17">
        <f>_xlfn.XLOOKUP($C58,TB_UAE!$E:$E,TB_UAE!N:N)*L$2</f>
        <v>-438922.42739999999</v>
      </c>
      <c r="M58" s="17">
        <f>_xlfn.XLOOKUP($C58,TB_UAE!$E:$E,TB_UAE!O:O)*M$2</f>
        <v>-448415.62079999998</v>
      </c>
      <c r="N58" s="17">
        <f>_xlfn.XLOOKUP($C58,TB_UAE!$E:$E,TB_UAE!P:P)*N$2</f>
        <v>-475620.18400000001</v>
      </c>
      <c r="O58" s="17">
        <f>_xlfn.XLOOKUP($C58,TB_UAE!$E:$E,TB_UAE!Q:Q)*O$2</f>
        <v>-452231.32799999998</v>
      </c>
      <c r="P58" s="17">
        <f>_xlfn.XLOOKUP($C58,TB_UAE!$E:$E,TB_UAE!R:R)*P$2</f>
        <v>-464540.08399999997</v>
      </c>
      <c r="Q58" s="17">
        <f>_xlfn.XLOOKUP($C58,TB_UAE!$E:$E,TB_UAE!S:S)*Q$2</f>
        <v>-467248.99839999992</v>
      </c>
      <c r="R58" s="17">
        <f>_xlfn.XLOOKUP($C58,TB_UAE!$E:$E,TB_UAE!T:T)*R$2</f>
        <v>-493871.2746</v>
      </c>
      <c r="S58" s="17">
        <f>_xlfn.XLOOKUP($C58,TB_UAE!$E:$E,TB_UAE!U:U)*S$2</f>
        <v>-530783.18680000002</v>
      </c>
      <c r="T58" s="17">
        <f>_xlfn.XLOOKUP($C58,TB_UAE!$E:$E,TB_UAE!V:V)*T$2</f>
        <v>-541620.527</v>
      </c>
      <c r="U58" s="17">
        <f>_xlfn.XLOOKUP($C58,TB_UAE!$E:$E,TB_UAE!W:W)*U$2</f>
        <v>-540871.98479999998</v>
      </c>
      <c r="V58" s="17">
        <f>_xlfn.XLOOKUP($C58,TB_UAE!$E:$E,TB_UAE!X:X)*V$2</f>
        <v>-551910.48519999988</v>
      </c>
      <c r="W58" s="17">
        <f>_xlfn.XLOOKUP($C58,TB_UAE!$E:$E,TB_UAE!Y:Y)*W$2</f>
        <v>-569678.38320000004</v>
      </c>
      <c r="X58" s="17">
        <f>_xlfn.XLOOKUP($C58,TB_UAE!$E:$E,TB_UAE!Z:Z)*X$2</f>
        <v>-563961.48120000004</v>
      </c>
      <c r="Y58" s="17">
        <f>_xlfn.XLOOKUP($C58,TB_UAE!$E:$E,TB_UAE!AA:AA)*Y$2</f>
        <v>-565067.20000000007</v>
      </c>
      <c r="Z58" s="17">
        <f>_xlfn.XLOOKUP($C58,TB_UAE!$E:$E,TB_UAE!AB:AB)*Z$2</f>
        <v>-578349.8949999999</v>
      </c>
      <c r="AA58" s="17">
        <f>_xlfn.XLOOKUP($C58,TB_UAE!$E:$E,TB_UAE!AC:AC)*AA$2</f>
        <v>-593376.19319999998</v>
      </c>
      <c r="AB58" s="17">
        <f>_xlfn.XLOOKUP($C58,TB_UAE!$E:$E,TB_UAE!AD:AD)*AB$2</f>
        <v>-581566.84720000008</v>
      </c>
      <c r="AC58" s="17">
        <f>_xlfn.XLOOKUP($C58,TB_UAE!$E:$E,TB_UAE!AE:AE)*AC$2</f>
        <v>-581965.51599999995</v>
      </c>
      <c r="AD58" s="17">
        <f>_xlfn.XLOOKUP($C58,TB_UAE!$E:$E,TB_UAE!AF:AF)*AD$2</f>
        <v>-606423.897</v>
      </c>
      <c r="AE58" s="17">
        <f>_xlfn.XLOOKUP($C58,TB_UAE!$E:$E,TB_UAE!AG:AG)*AE$2</f>
        <v>-616225.97279999999</v>
      </c>
      <c r="AF58" s="17">
        <f>_xlfn.XLOOKUP($C58,TB_UAE!$E:$E,TB_UAE!AH:AH)*AF$2</f>
        <v>0</v>
      </c>
      <c r="AG58" s="17">
        <f>_xlfn.XLOOKUP($C58,TB_UAE!$E:$E,TB_UAE!AI:AI)*AG$2</f>
        <v>0</v>
      </c>
      <c r="AH58" s="17">
        <f>_xlfn.XLOOKUP($C58,TB_UAE!$E:$E,TB_UAE!AJ:AJ)*AH$2</f>
        <v>0</v>
      </c>
      <c r="AI58" s="17">
        <f>_xlfn.XLOOKUP($C58,TB_UAE!$E:$E,TB_UAE!AK:AK)*AI$2</f>
        <v>0</v>
      </c>
      <c r="AJ58" s="17">
        <f>_xlfn.XLOOKUP($C58,TB_UAE!$E:$E,TB_UAE!AL:AL)*AJ$2</f>
        <v>0</v>
      </c>
      <c r="AK58" s="17">
        <f>_xlfn.XLOOKUP($C58,TB_UAE!$E:$E,TB_UAE!AM:AM)*AK$2</f>
        <v>0</v>
      </c>
      <c r="AL58" s="17">
        <f>_xlfn.XLOOKUP($C58,TB_UAE!$E:$E,TB_UAE!AN:AN)*AL$2</f>
        <v>0</v>
      </c>
      <c r="AM58" s="17">
        <f>_xlfn.XLOOKUP($C58,TB_UAE!$E:$E,TB_UAE!AO:AO)*AM$2</f>
        <v>0</v>
      </c>
    </row>
    <row r="59" spans="2:39" outlineLevel="1" x14ac:dyDescent="0.2">
      <c r="B59" s="21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</row>
    <row r="60" spans="2:39" outlineLevel="1" x14ac:dyDescent="0.2">
      <c r="B60" s="21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</row>
    <row r="61" spans="2:39" outlineLevel="1" x14ac:dyDescent="0.2">
      <c r="B61" s="21"/>
      <c r="C61" s="1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</row>
    <row r="62" spans="2:39" x14ac:dyDescent="0.2">
      <c r="B62" s="15"/>
      <c r="C62" s="22" t="s">
        <v>45</v>
      </c>
      <c r="D62" s="23">
        <f t="shared" ref="D62:AM62" si="9">SUM(D57:D61)</f>
        <v>357754.73122999992</v>
      </c>
      <c r="E62" s="23">
        <f t="shared" si="9"/>
        <v>619129.46843999997</v>
      </c>
      <c r="F62" s="23">
        <f t="shared" si="9"/>
        <v>529153.21762000001</v>
      </c>
      <c r="G62" s="23">
        <f t="shared" si="9"/>
        <v>495090.8138699999</v>
      </c>
      <c r="H62" s="23">
        <f t="shared" si="9"/>
        <v>493738.27331999992</v>
      </c>
      <c r="I62" s="23">
        <f t="shared" si="9"/>
        <v>538517.03512999986</v>
      </c>
      <c r="J62" s="23">
        <f t="shared" si="9"/>
        <v>555465.50287999993</v>
      </c>
      <c r="K62" s="23">
        <f t="shared" si="9"/>
        <v>526908.16190999991</v>
      </c>
      <c r="L62" s="23">
        <f t="shared" si="9"/>
        <v>536456.2037099998</v>
      </c>
      <c r="M62" s="23">
        <f t="shared" si="9"/>
        <v>512470.52177999989</v>
      </c>
      <c r="N62" s="23">
        <f t="shared" si="9"/>
        <v>508416.99479999987</v>
      </c>
      <c r="O62" s="23">
        <f t="shared" si="9"/>
        <v>452227.11727999989</v>
      </c>
      <c r="P62" s="23">
        <f t="shared" si="9"/>
        <v>434565.5701999999</v>
      </c>
      <c r="Q62" s="23">
        <f t="shared" si="9"/>
        <v>408838.79495999997</v>
      </c>
      <c r="R62" s="23">
        <f t="shared" si="9"/>
        <v>404072.31700999988</v>
      </c>
      <c r="S62" s="23">
        <f t="shared" si="9"/>
        <v>405888.66450999992</v>
      </c>
      <c r="T62" s="23">
        <f t="shared" si="9"/>
        <v>386867.48240999994</v>
      </c>
      <c r="U62" s="23">
        <f t="shared" si="9"/>
        <v>360577.12648999994</v>
      </c>
      <c r="V62" s="23">
        <f t="shared" si="9"/>
        <v>343075.32418</v>
      </c>
      <c r="W62" s="23">
        <f t="shared" si="9"/>
        <v>329809.61321999982</v>
      </c>
      <c r="X62" s="23">
        <f t="shared" si="9"/>
        <v>303667.52753999981</v>
      </c>
      <c r="Y62" s="23">
        <f t="shared" si="9"/>
        <v>282529.65399999986</v>
      </c>
      <c r="Z62" s="23">
        <f t="shared" si="9"/>
        <v>268011.86474999995</v>
      </c>
      <c r="AA62" s="23">
        <f t="shared" si="9"/>
        <v>254300.13642999995</v>
      </c>
      <c r="AB62" s="23">
        <f t="shared" si="9"/>
        <v>229917.99891999981</v>
      </c>
      <c r="AC62" s="23">
        <f t="shared" si="9"/>
        <v>211620.12944999989</v>
      </c>
      <c r="AD62" s="23">
        <f t="shared" si="9"/>
        <v>202137.53472999996</v>
      </c>
      <c r="AE62" s="23">
        <f t="shared" si="9"/>
        <v>187543.29324000003</v>
      </c>
      <c r="AF62" s="23">
        <f t="shared" si="9"/>
        <v>0</v>
      </c>
      <c r="AG62" s="23">
        <f t="shared" si="9"/>
        <v>0</v>
      </c>
      <c r="AH62" s="23">
        <f t="shared" si="9"/>
        <v>0</v>
      </c>
      <c r="AI62" s="23">
        <f t="shared" si="9"/>
        <v>0</v>
      </c>
      <c r="AJ62" s="23">
        <f t="shared" si="9"/>
        <v>0</v>
      </c>
      <c r="AK62" s="23">
        <f t="shared" si="9"/>
        <v>0</v>
      </c>
      <c r="AL62" s="23">
        <f t="shared" si="9"/>
        <v>0</v>
      </c>
      <c r="AM62" s="23">
        <f t="shared" si="9"/>
        <v>0</v>
      </c>
    </row>
    <row r="63" spans="2:39" x14ac:dyDescent="0.2">
      <c r="B63" s="15"/>
      <c r="C63" s="16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8"/>
    </row>
    <row r="64" spans="2:39" outlineLevel="1" x14ac:dyDescent="0.2">
      <c r="B64" s="15"/>
      <c r="C64" s="20" t="s">
        <v>247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8"/>
    </row>
    <row r="65" spans="2:39" outlineLevel="1" x14ac:dyDescent="0.2">
      <c r="B65" s="21"/>
      <c r="C65" s="16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</row>
    <row r="66" spans="2:39" outlineLevel="1" x14ac:dyDescent="0.2">
      <c r="B66" s="21"/>
      <c r="C66" s="1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 spans="2:39" outlineLevel="1" x14ac:dyDescent="0.2">
      <c r="B67" s="21"/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 spans="2:39" outlineLevel="1" x14ac:dyDescent="0.2">
      <c r="B68" s="21"/>
      <c r="C68" s="1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</row>
    <row r="69" spans="2:39" x14ac:dyDescent="0.2">
      <c r="B69" s="15"/>
      <c r="C69" s="22" t="s">
        <v>47</v>
      </c>
      <c r="D69" s="23">
        <f t="shared" ref="D69:AM69" si="10">SUM(D65:D68)</f>
        <v>0</v>
      </c>
      <c r="E69" s="23">
        <f t="shared" si="10"/>
        <v>0</v>
      </c>
      <c r="F69" s="23">
        <f t="shared" si="10"/>
        <v>0</v>
      </c>
      <c r="G69" s="23">
        <f t="shared" si="10"/>
        <v>0</v>
      </c>
      <c r="H69" s="23">
        <f t="shared" si="10"/>
        <v>0</v>
      </c>
      <c r="I69" s="23">
        <f t="shared" si="10"/>
        <v>0</v>
      </c>
      <c r="J69" s="23">
        <f t="shared" si="10"/>
        <v>0</v>
      </c>
      <c r="K69" s="23">
        <f t="shared" si="10"/>
        <v>0</v>
      </c>
      <c r="L69" s="23">
        <f t="shared" si="10"/>
        <v>0</v>
      </c>
      <c r="M69" s="23">
        <f t="shared" si="10"/>
        <v>0</v>
      </c>
      <c r="N69" s="23">
        <f t="shared" si="10"/>
        <v>0</v>
      </c>
      <c r="O69" s="23">
        <f t="shared" si="10"/>
        <v>0</v>
      </c>
      <c r="P69" s="23">
        <f t="shared" si="10"/>
        <v>0</v>
      </c>
      <c r="Q69" s="23">
        <f t="shared" si="10"/>
        <v>0</v>
      </c>
      <c r="R69" s="23">
        <f t="shared" si="10"/>
        <v>0</v>
      </c>
      <c r="S69" s="23">
        <f t="shared" si="10"/>
        <v>0</v>
      </c>
      <c r="T69" s="23">
        <f t="shared" si="10"/>
        <v>0</v>
      </c>
      <c r="U69" s="23">
        <f t="shared" si="10"/>
        <v>0</v>
      </c>
      <c r="V69" s="23">
        <f t="shared" si="10"/>
        <v>0</v>
      </c>
      <c r="W69" s="23">
        <f t="shared" si="10"/>
        <v>0</v>
      </c>
      <c r="X69" s="23">
        <f t="shared" si="10"/>
        <v>0</v>
      </c>
      <c r="Y69" s="23">
        <f t="shared" si="10"/>
        <v>0</v>
      </c>
      <c r="Z69" s="23">
        <f t="shared" si="10"/>
        <v>0</v>
      </c>
      <c r="AA69" s="23">
        <f t="shared" si="10"/>
        <v>0</v>
      </c>
      <c r="AB69" s="23">
        <f t="shared" si="10"/>
        <v>0</v>
      </c>
      <c r="AC69" s="23">
        <f t="shared" si="10"/>
        <v>0</v>
      </c>
      <c r="AD69" s="23">
        <f t="shared" si="10"/>
        <v>0</v>
      </c>
      <c r="AE69" s="23">
        <f t="shared" si="10"/>
        <v>0</v>
      </c>
      <c r="AF69" s="23">
        <f t="shared" si="10"/>
        <v>0</v>
      </c>
      <c r="AG69" s="23">
        <f t="shared" si="10"/>
        <v>0</v>
      </c>
      <c r="AH69" s="23">
        <f t="shared" si="10"/>
        <v>0</v>
      </c>
      <c r="AI69" s="23">
        <f t="shared" si="10"/>
        <v>0</v>
      </c>
      <c r="AJ69" s="23">
        <f t="shared" si="10"/>
        <v>0</v>
      </c>
      <c r="AK69" s="23">
        <f t="shared" si="10"/>
        <v>0</v>
      </c>
      <c r="AL69" s="23">
        <f t="shared" si="10"/>
        <v>0</v>
      </c>
      <c r="AM69" s="23">
        <f t="shared" si="10"/>
        <v>0</v>
      </c>
    </row>
    <row r="70" spans="2:39" x14ac:dyDescent="0.2">
      <c r="B70" s="15"/>
      <c r="C70" s="16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8"/>
    </row>
    <row r="71" spans="2:39" outlineLevel="1" x14ac:dyDescent="0.2">
      <c r="B71" s="15"/>
      <c r="C71" s="20" t="s">
        <v>256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8"/>
    </row>
    <row r="72" spans="2:39" outlineLevel="1" x14ac:dyDescent="0.2">
      <c r="B72" s="21"/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</row>
    <row r="73" spans="2:39" outlineLevel="1" x14ac:dyDescent="0.2">
      <c r="B73" s="21"/>
      <c r="C73" s="16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</row>
    <row r="74" spans="2:39" s="20" customFormat="1" ht="13.5" customHeight="1" x14ac:dyDescent="0.15">
      <c r="C74" s="22" t="s">
        <v>49</v>
      </c>
      <c r="D74" s="23">
        <f t="shared" ref="D74:AM74" si="11">SUM(D72:D73)</f>
        <v>0</v>
      </c>
      <c r="E74" s="23">
        <f t="shared" si="11"/>
        <v>0</v>
      </c>
      <c r="F74" s="23">
        <f t="shared" si="11"/>
        <v>0</v>
      </c>
      <c r="G74" s="23">
        <f t="shared" si="11"/>
        <v>0</v>
      </c>
      <c r="H74" s="23">
        <f t="shared" si="11"/>
        <v>0</v>
      </c>
      <c r="I74" s="23">
        <f t="shared" si="11"/>
        <v>0</v>
      </c>
      <c r="J74" s="23">
        <f t="shared" si="11"/>
        <v>0</v>
      </c>
      <c r="K74" s="23">
        <f t="shared" si="11"/>
        <v>0</v>
      </c>
      <c r="L74" s="23">
        <f t="shared" si="11"/>
        <v>0</v>
      </c>
      <c r="M74" s="23">
        <f t="shared" si="11"/>
        <v>0</v>
      </c>
      <c r="N74" s="23">
        <f t="shared" si="11"/>
        <v>0</v>
      </c>
      <c r="O74" s="23">
        <f t="shared" si="11"/>
        <v>0</v>
      </c>
      <c r="P74" s="23">
        <f t="shared" si="11"/>
        <v>0</v>
      </c>
      <c r="Q74" s="23">
        <f t="shared" si="11"/>
        <v>0</v>
      </c>
      <c r="R74" s="23">
        <f t="shared" si="11"/>
        <v>0</v>
      </c>
      <c r="S74" s="23">
        <f t="shared" si="11"/>
        <v>0</v>
      </c>
      <c r="T74" s="23">
        <f t="shared" si="11"/>
        <v>0</v>
      </c>
      <c r="U74" s="23">
        <f t="shared" si="11"/>
        <v>0</v>
      </c>
      <c r="V74" s="23">
        <f t="shared" si="11"/>
        <v>0</v>
      </c>
      <c r="W74" s="23">
        <f t="shared" si="11"/>
        <v>0</v>
      </c>
      <c r="X74" s="23">
        <f t="shared" si="11"/>
        <v>0</v>
      </c>
      <c r="Y74" s="23">
        <f t="shared" si="11"/>
        <v>0</v>
      </c>
      <c r="Z74" s="23">
        <f t="shared" si="11"/>
        <v>0</v>
      </c>
      <c r="AA74" s="23">
        <f t="shared" si="11"/>
        <v>0</v>
      </c>
      <c r="AB74" s="23">
        <f t="shared" si="11"/>
        <v>0</v>
      </c>
      <c r="AC74" s="23">
        <f t="shared" si="11"/>
        <v>0</v>
      </c>
      <c r="AD74" s="23">
        <f t="shared" si="11"/>
        <v>0</v>
      </c>
      <c r="AE74" s="23">
        <f t="shared" si="11"/>
        <v>0</v>
      </c>
      <c r="AF74" s="23">
        <f t="shared" si="11"/>
        <v>0</v>
      </c>
      <c r="AG74" s="23">
        <f t="shared" si="11"/>
        <v>0</v>
      </c>
      <c r="AH74" s="23">
        <f t="shared" si="11"/>
        <v>0</v>
      </c>
      <c r="AI74" s="23">
        <f t="shared" si="11"/>
        <v>0</v>
      </c>
      <c r="AJ74" s="23">
        <f t="shared" si="11"/>
        <v>0</v>
      </c>
      <c r="AK74" s="23">
        <f t="shared" si="11"/>
        <v>0</v>
      </c>
      <c r="AL74" s="23">
        <f t="shared" si="11"/>
        <v>0</v>
      </c>
      <c r="AM74" s="23">
        <f t="shared" si="11"/>
        <v>0</v>
      </c>
    </row>
    <row r="75" spans="2:39" x14ac:dyDescent="0.2">
      <c r="B75" s="21"/>
      <c r="C75" s="16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8"/>
    </row>
    <row r="76" spans="2:39" s="27" customFormat="1" x14ac:dyDescent="0.2">
      <c r="B76" s="24"/>
      <c r="C76" s="25" t="s">
        <v>264</v>
      </c>
      <c r="D76" s="26">
        <f t="shared" ref="D76:AM76" si="12">D62+D69+D74</f>
        <v>357754.73122999992</v>
      </c>
      <c r="E76" s="26">
        <f t="shared" si="12"/>
        <v>619129.46843999997</v>
      </c>
      <c r="F76" s="26">
        <f t="shared" si="12"/>
        <v>529153.21762000001</v>
      </c>
      <c r="G76" s="26">
        <f t="shared" si="12"/>
        <v>495090.8138699999</v>
      </c>
      <c r="H76" s="26">
        <f t="shared" si="12"/>
        <v>493738.27331999992</v>
      </c>
      <c r="I76" s="26">
        <f t="shared" si="12"/>
        <v>538517.03512999986</v>
      </c>
      <c r="J76" s="26">
        <f t="shared" si="12"/>
        <v>555465.50287999993</v>
      </c>
      <c r="K76" s="26">
        <f t="shared" si="12"/>
        <v>526908.16190999991</v>
      </c>
      <c r="L76" s="26">
        <f t="shared" si="12"/>
        <v>536456.2037099998</v>
      </c>
      <c r="M76" s="26">
        <f t="shared" si="12"/>
        <v>512470.52177999989</v>
      </c>
      <c r="N76" s="26">
        <f t="shared" si="12"/>
        <v>508416.99479999987</v>
      </c>
      <c r="O76" s="26">
        <f t="shared" si="12"/>
        <v>452227.11727999989</v>
      </c>
      <c r="P76" s="26">
        <f t="shared" si="12"/>
        <v>434565.5701999999</v>
      </c>
      <c r="Q76" s="26">
        <f t="shared" si="12"/>
        <v>408838.79495999997</v>
      </c>
      <c r="R76" s="26">
        <f t="shared" si="12"/>
        <v>404072.31700999988</v>
      </c>
      <c r="S76" s="26">
        <f t="shared" si="12"/>
        <v>405888.66450999992</v>
      </c>
      <c r="T76" s="26">
        <f t="shared" si="12"/>
        <v>386867.48240999994</v>
      </c>
      <c r="U76" s="26">
        <f t="shared" si="12"/>
        <v>360577.12648999994</v>
      </c>
      <c r="V76" s="26">
        <f t="shared" si="12"/>
        <v>343075.32418</v>
      </c>
      <c r="W76" s="26">
        <f t="shared" si="12"/>
        <v>329809.61321999982</v>
      </c>
      <c r="X76" s="26">
        <f t="shared" si="12"/>
        <v>303667.52753999981</v>
      </c>
      <c r="Y76" s="26">
        <f t="shared" si="12"/>
        <v>282529.65399999986</v>
      </c>
      <c r="Z76" s="26">
        <f t="shared" si="12"/>
        <v>268011.86474999995</v>
      </c>
      <c r="AA76" s="26">
        <f t="shared" si="12"/>
        <v>254300.13642999995</v>
      </c>
      <c r="AB76" s="26">
        <f t="shared" si="12"/>
        <v>229917.99891999981</v>
      </c>
      <c r="AC76" s="26">
        <f t="shared" si="12"/>
        <v>211620.12944999989</v>
      </c>
      <c r="AD76" s="26">
        <f t="shared" si="12"/>
        <v>202137.53472999996</v>
      </c>
      <c r="AE76" s="26">
        <f t="shared" si="12"/>
        <v>187543.29324000003</v>
      </c>
      <c r="AF76" s="26">
        <f t="shared" si="12"/>
        <v>0</v>
      </c>
      <c r="AG76" s="26">
        <f t="shared" si="12"/>
        <v>0</v>
      </c>
      <c r="AH76" s="26">
        <f t="shared" si="12"/>
        <v>0</v>
      </c>
      <c r="AI76" s="26">
        <f t="shared" si="12"/>
        <v>0</v>
      </c>
      <c r="AJ76" s="26">
        <f t="shared" si="12"/>
        <v>0</v>
      </c>
      <c r="AK76" s="26">
        <f t="shared" si="12"/>
        <v>0</v>
      </c>
      <c r="AL76" s="26">
        <f t="shared" si="12"/>
        <v>0</v>
      </c>
      <c r="AM76" s="26">
        <f t="shared" si="12"/>
        <v>0</v>
      </c>
    </row>
    <row r="77" spans="2:39" x14ac:dyDescent="0.2">
      <c r="B77" s="21"/>
      <c r="C77" s="1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8"/>
    </row>
    <row r="78" spans="2:39" s="27" customFormat="1" x14ac:dyDescent="0.2">
      <c r="B78" s="24"/>
      <c r="C78" s="42" t="s">
        <v>52</v>
      </c>
      <c r="D78" s="43">
        <f t="shared" ref="D78:AM78" si="13">D53+D76</f>
        <v>14118114.743719999</v>
      </c>
      <c r="E78" s="43">
        <f t="shared" si="13"/>
        <v>5312608.93848</v>
      </c>
      <c r="F78" s="43">
        <f t="shared" si="13"/>
        <v>3519553.5570600005</v>
      </c>
      <c r="G78" s="43">
        <f t="shared" si="13"/>
        <v>32812148.329380002</v>
      </c>
      <c r="H78" s="43">
        <f t="shared" si="13"/>
        <v>80823895.61992</v>
      </c>
      <c r="I78" s="43">
        <f t="shared" si="13"/>
        <v>90090901.089329988</v>
      </c>
      <c r="J78" s="43">
        <f t="shared" si="13"/>
        <v>39699959.434079997</v>
      </c>
      <c r="K78" s="43">
        <f t="shared" si="13"/>
        <v>184435583.47305</v>
      </c>
      <c r="L78" s="43">
        <f t="shared" si="13"/>
        <v>105558977.48390999</v>
      </c>
      <c r="M78" s="43">
        <f t="shared" si="13"/>
        <v>64876556.398499995</v>
      </c>
      <c r="N78" s="43">
        <f t="shared" si="13"/>
        <v>39391269.533199996</v>
      </c>
      <c r="O78" s="43">
        <f t="shared" si="13"/>
        <v>18506661.793599997</v>
      </c>
      <c r="P78" s="43">
        <f t="shared" si="13"/>
        <v>78996761.648000002</v>
      </c>
      <c r="Q78" s="43">
        <f t="shared" si="13"/>
        <v>51876409.777439989</v>
      </c>
      <c r="R78" s="43">
        <f t="shared" si="13"/>
        <v>29458656.518520001</v>
      </c>
      <c r="S78" s="43">
        <f t="shared" si="13"/>
        <v>81298310.341189995</v>
      </c>
      <c r="T78" s="43">
        <f t="shared" si="13"/>
        <v>55084973.213490002</v>
      </c>
      <c r="U78" s="43">
        <f t="shared" si="13"/>
        <v>28196334.755960003</v>
      </c>
      <c r="V78" s="43">
        <f t="shared" si="13"/>
        <v>112262917.64123999</v>
      </c>
      <c r="W78" s="43">
        <f t="shared" si="13"/>
        <v>87721195.523099989</v>
      </c>
      <c r="X78" s="43">
        <f t="shared" si="13"/>
        <v>59638740.830939993</v>
      </c>
      <c r="Y78" s="43">
        <f t="shared" si="13"/>
        <v>33752249.110000007</v>
      </c>
      <c r="Z78" s="43">
        <f t="shared" si="13"/>
        <v>49391869.082999997</v>
      </c>
      <c r="AA78" s="43">
        <f t="shared" si="13"/>
        <v>15972494.527930003</v>
      </c>
      <c r="AB78" s="43">
        <f t="shared" si="13"/>
        <v>62548984.011680007</v>
      </c>
      <c r="AC78" s="43">
        <f t="shared" si="13"/>
        <v>45893083.110150002</v>
      </c>
      <c r="AD78" s="43">
        <f t="shared" si="13"/>
        <v>31554753.657540001</v>
      </c>
      <c r="AE78" s="43">
        <f t="shared" si="13"/>
        <v>98551641.291840002</v>
      </c>
      <c r="AF78" s="43">
        <f t="shared" si="13"/>
        <v>0</v>
      </c>
      <c r="AG78" s="43">
        <f t="shared" si="13"/>
        <v>0</v>
      </c>
      <c r="AH78" s="43">
        <f t="shared" si="13"/>
        <v>0</v>
      </c>
      <c r="AI78" s="43">
        <f t="shared" si="13"/>
        <v>0</v>
      </c>
      <c r="AJ78" s="43">
        <f t="shared" si="13"/>
        <v>0</v>
      </c>
      <c r="AK78" s="43">
        <f t="shared" si="13"/>
        <v>0</v>
      </c>
      <c r="AL78" s="43">
        <f t="shared" si="13"/>
        <v>0</v>
      </c>
      <c r="AM78" s="43">
        <f t="shared" si="13"/>
        <v>0</v>
      </c>
    </row>
    <row r="79" spans="2:39" x14ac:dyDescent="0.2">
      <c r="B79" s="21"/>
      <c r="C79" s="16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8"/>
    </row>
    <row r="80" spans="2:39" outlineLevel="1" x14ac:dyDescent="0.2">
      <c r="B80" s="21"/>
      <c r="C80" s="20" t="s">
        <v>265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8"/>
    </row>
    <row r="81" spans="2:39" outlineLevel="1" x14ac:dyDescent="0.2">
      <c r="B81" s="21"/>
      <c r="C81" s="16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</row>
    <row r="82" spans="2:39" outlineLevel="1" x14ac:dyDescent="0.2">
      <c r="B82" s="21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</row>
    <row r="83" spans="2:39" s="20" customFormat="1" ht="13.5" customHeight="1" x14ac:dyDescent="0.15">
      <c r="C83" s="22" t="s">
        <v>53</v>
      </c>
      <c r="D83" s="23">
        <f t="shared" ref="D83:AM83" si="14">SUM(D81:D82)</f>
        <v>0</v>
      </c>
      <c r="E83" s="23">
        <f t="shared" si="14"/>
        <v>0</v>
      </c>
      <c r="F83" s="23">
        <f t="shared" si="14"/>
        <v>0</v>
      </c>
      <c r="G83" s="23">
        <f t="shared" si="14"/>
        <v>0</v>
      </c>
      <c r="H83" s="23">
        <f t="shared" si="14"/>
        <v>0</v>
      </c>
      <c r="I83" s="23">
        <f t="shared" si="14"/>
        <v>0</v>
      </c>
      <c r="J83" s="23">
        <f t="shared" si="14"/>
        <v>0</v>
      </c>
      <c r="K83" s="23">
        <f t="shared" si="14"/>
        <v>0</v>
      </c>
      <c r="L83" s="23">
        <f t="shared" si="14"/>
        <v>0</v>
      </c>
      <c r="M83" s="23">
        <f t="shared" si="14"/>
        <v>0</v>
      </c>
      <c r="N83" s="23">
        <f t="shared" si="14"/>
        <v>0</v>
      </c>
      <c r="O83" s="23">
        <f t="shared" si="14"/>
        <v>0</v>
      </c>
      <c r="P83" s="23">
        <f t="shared" si="14"/>
        <v>0</v>
      </c>
      <c r="Q83" s="23">
        <f t="shared" si="14"/>
        <v>0</v>
      </c>
      <c r="R83" s="23">
        <f t="shared" si="14"/>
        <v>0</v>
      </c>
      <c r="S83" s="23">
        <f t="shared" si="14"/>
        <v>0</v>
      </c>
      <c r="T83" s="23">
        <f t="shared" si="14"/>
        <v>0</v>
      </c>
      <c r="U83" s="23">
        <f t="shared" si="14"/>
        <v>0</v>
      </c>
      <c r="V83" s="23">
        <f t="shared" si="14"/>
        <v>0</v>
      </c>
      <c r="W83" s="23">
        <f t="shared" si="14"/>
        <v>0</v>
      </c>
      <c r="X83" s="23">
        <f t="shared" si="14"/>
        <v>0</v>
      </c>
      <c r="Y83" s="23">
        <f t="shared" si="14"/>
        <v>0</v>
      </c>
      <c r="Z83" s="23">
        <f t="shared" si="14"/>
        <v>0</v>
      </c>
      <c r="AA83" s="23">
        <f t="shared" si="14"/>
        <v>0</v>
      </c>
      <c r="AB83" s="23">
        <f t="shared" si="14"/>
        <v>0</v>
      </c>
      <c r="AC83" s="23">
        <f t="shared" si="14"/>
        <v>0</v>
      </c>
      <c r="AD83" s="23">
        <f t="shared" si="14"/>
        <v>0</v>
      </c>
      <c r="AE83" s="23">
        <f t="shared" si="14"/>
        <v>0</v>
      </c>
      <c r="AF83" s="23">
        <f t="shared" si="14"/>
        <v>0</v>
      </c>
      <c r="AG83" s="23">
        <f t="shared" si="14"/>
        <v>0</v>
      </c>
      <c r="AH83" s="23">
        <f t="shared" si="14"/>
        <v>0</v>
      </c>
      <c r="AI83" s="23">
        <f t="shared" si="14"/>
        <v>0</v>
      </c>
      <c r="AJ83" s="23">
        <f t="shared" si="14"/>
        <v>0</v>
      </c>
      <c r="AK83" s="23">
        <f t="shared" si="14"/>
        <v>0</v>
      </c>
      <c r="AL83" s="23">
        <f t="shared" si="14"/>
        <v>0</v>
      </c>
      <c r="AM83" s="23">
        <f t="shared" si="14"/>
        <v>0</v>
      </c>
    </row>
    <row r="84" spans="2:39" x14ac:dyDescent="0.2">
      <c r="B84" s="21"/>
      <c r="C84" s="16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8"/>
    </row>
    <row r="85" spans="2:39" s="27" customFormat="1" x14ac:dyDescent="0.2">
      <c r="B85" s="24"/>
      <c r="C85" s="25" t="s">
        <v>267</v>
      </c>
      <c r="D85" s="26">
        <f>D83</f>
        <v>0</v>
      </c>
      <c r="E85" s="26">
        <f t="shared" ref="E85:AM85" si="15">E83</f>
        <v>0</v>
      </c>
      <c r="F85" s="26">
        <f t="shared" si="15"/>
        <v>0</v>
      </c>
      <c r="G85" s="26">
        <f t="shared" si="15"/>
        <v>0</v>
      </c>
      <c r="H85" s="26">
        <f t="shared" si="15"/>
        <v>0</v>
      </c>
      <c r="I85" s="26">
        <f t="shared" si="15"/>
        <v>0</v>
      </c>
      <c r="J85" s="26">
        <f t="shared" si="15"/>
        <v>0</v>
      </c>
      <c r="K85" s="26">
        <f t="shared" si="15"/>
        <v>0</v>
      </c>
      <c r="L85" s="26">
        <f t="shared" si="15"/>
        <v>0</v>
      </c>
      <c r="M85" s="26">
        <f t="shared" si="15"/>
        <v>0</v>
      </c>
      <c r="N85" s="26">
        <f t="shared" si="15"/>
        <v>0</v>
      </c>
      <c r="O85" s="26">
        <f t="shared" si="15"/>
        <v>0</v>
      </c>
      <c r="P85" s="26">
        <f t="shared" si="15"/>
        <v>0</v>
      </c>
      <c r="Q85" s="26">
        <f t="shared" si="15"/>
        <v>0</v>
      </c>
      <c r="R85" s="26">
        <f t="shared" si="15"/>
        <v>0</v>
      </c>
      <c r="S85" s="26">
        <f t="shared" si="15"/>
        <v>0</v>
      </c>
      <c r="T85" s="26">
        <f t="shared" si="15"/>
        <v>0</v>
      </c>
      <c r="U85" s="26">
        <f t="shared" si="15"/>
        <v>0</v>
      </c>
      <c r="V85" s="26">
        <f t="shared" si="15"/>
        <v>0</v>
      </c>
      <c r="W85" s="26">
        <f t="shared" si="15"/>
        <v>0</v>
      </c>
      <c r="X85" s="26">
        <f t="shared" si="15"/>
        <v>0</v>
      </c>
      <c r="Y85" s="26">
        <f t="shared" si="15"/>
        <v>0</v>
      </c>
      <c r="Z85" s="26">
        <f t="shared" si="15"/>
        <v>0</v>
      </c>
      <c r="AA85" s="26">
        <f t="shared" si="15"/>
        <v>0</v>
      </c>
      <c r="AB85" s="26">
        <f t="shared" si="15"/>
        <v>0</v>
      </c>
      <c r="AC85" s="26">
        <f t="shared" si="15"/>
        <v>0</v>
      </c>
      <c r="AD85" s="26">
        <f t="shared" si="15"/>
        <v>0</v>
      </c>
      <c r="AE85" s="26">
        <f t="shared" si="15"/>
        <v>0</v>
      </c>
      <c r="AF85" s="26">
        <f t="shared" si="15"/>
        <v>0</v>
      </c>
      <c r="AG85" s="26">
        <f t="shared" si="15"/>
        <v>0</v>
      </c>
      <c r="AH85" s="26">
        <f t="shared" si="15"/>
        <v>0</v>
      </c>
      <c r="AI85" s="26">
        <f t="shared" si="15"/>
        <v>0</v>
      </c>
      <c r="AJ85" s="26">
        <f t="shared" si="15"/>
        <v>0</v>
      </c>
      <c r="AK85" s="26">
        <f t="shared" si="15"/>
        <v>0</v>
      </c>
      <c r="AL85" s="26">
        <f t="shared" si="15"/>
        <v>0</v>
      </c>
      <c r="AM85" s="26">
        <f t="shared" si="15"/>
        <v>0</v>
      </c>
    </row>
    <row r="86" spans="2:39" x14ac:dyDescent="0.2">
      <c r="B86" s="21"/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8"/>
    </row>
    <row r="87" spans="2:39" outlineLevel="1" x14ac:dyDescent="0.2">
      <c r="B87" s="21"/>
      <c r="C87" s="20" t="s">
        <v>268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8"/>
    </row>
    <row r="88" spans="2:39" outlineLevel="1" x14ac:dyDescent="0.2">
      <c r="B88" s="74" t="s">
        <v>936</v>
      </c>
      <c r="C88" s="16" t="str">
        <f>_xlfn.XLOOKUP(B88,TB_UAE!A:A,TB_UAE!E:E)</f>
        <v>Accounts Payable (A/P)</v>
      </c>
      <c r="D88" s="17">
        <f>-_xlfn.XLOOKUP($C88,TB_UAE!$E:$E,TB_UAE!F:F)*D$2</f>
        <v>0</v>
      </c>
      <c r="E88" s="17">
        <f>-_xlfn.XLOOKUP($C88,TB_UAE!$E:$E,TB_UAE!G:G)*E$2</f>
        <v>0</v>
      </c>
      <c r="F88" s="17">
        <f>-_xlfn.XLOOKUP($C88,TB_UAE!$E:$E,TB_UAE!H:H)*F$2</f>
        <v>0</v>
      </c>
      <c r="G88" s="17">
        <f>-_xlfn.XLOOKUP($C88,TB_UAE!$E:$E,TB_UAE!I:I)*G$2</f>
        <v>0</v>
      </c>
      <c r="H88" s="17">
        <f>-_xlfn.XLOOKUP($C88,TB_UAE!$E:$E,TB_UAE!J:J)*H$2</f>
        <v>0</v>
      </c>
      <c r="I88" s="17">
        <f>-_xlfn.XLOOKUP($C88,TB_UAE!$E:$E,TB_UAE!K:K)*I$2</f>
        <v>0</v>
      </c>
      <c r="J88" s="17">
        <f>-_xlfn.XLOOKUP($C88,TB_UAE!$E:$E,TB_UAE!L:L)*J$2</f>
        <v>0</v>
      </c>
      <c r="K88" s="17">
        <f>-_xlfn.XLOOKUP($C88,TB_UAE!$E:$E,TB_UAE!M:M)*K$2</f>
        <v>0</v>
      </c>
      <c r="L88" s="17">
        <f>-_xlfn.XLOOKUP($C88,TB_UAE!$E:$E,TB_UAE!N:N)*L$2</f>
        <v>0</v>
      </c>
      <c r="M88" s="17">
        <f>-_xlfn.XLOOKUP($C88,TB_UAE!$E:$E,TB_UAE!O:O)*M$2</f>
        <v>0</v>
      </c>
      <c r="N88" s="17">
        <f>-_xlfn.XLOOKUP($C88,TB_UAE!$E:$E,TB_UAE!P:P)*N$2</f>
        <v>0</v>
      </c>
      <c r="O88" s="17">
        <f>-_xlfn.XLOOKUP($C88,TB_UAE!$E:$E,TB_UAE!Q:Q)*O$2</f>
        <v>0</v>
      </c>
      <c r="P88" s="17">
        <f>-_xlfn.XLOOKUP($C88,TB_UAE!$E:$E,TB_UAE!R:R)*P$2</f>
        <v>0</v>
      </c>
      <c r="Q88" s="17">
        <f>-_xlfn.XLOOKUP($C88,TB_UAE!$E:$E,TB_UAE!S:S)*Q$2</f>
        <v>0</v>
      </c>
      <c r="R88" s="17">
        <f>-_xlfn.XLOOKUP($C88,TB_UAE!$E:$E,TB_UAE!T:T)*R$2</f>
        <v>0</v>
      </c>
      <c r="S88" s="17">
        <f>-_xlfn.XLOOKUP($C88,TB_UAE!$E:$E,TB_UAE!U:U)*S$2</f>
        <v>0</v>
      </c>
      <c r="T88" s="17">
        <f>-_xlfn.XLOOKUP($C88,TB_UAE!$E:$E,TB_UAE!V:V)*T$2</f>
        <v>0</v>
      </c>
      <c r="U88" s="17">
        <f>-_xlfn.XLOOKUP($C88,TB_UAE!$E:$E,TB_UAE!W:W)*U$2</f>
        <v>0</v>
      </c>
      <c r="V88" s="17">
        <f>-_xlfn.XLOOKUP($C88,TB_UAE!$E:$E,TB_UAE!X:X)*V$2</f>
        <v>0</v>
      </c>
      <c r="W88" s="17">
        <f>-_xlfn.XLOOKUP($C88,TB_UAE!$E:$E,TB_UAE!Y:Y)*W$2</f>
        <v>0</v>
      </c>
      <c r="X88" s="17">
        <f>-_xlfn.XLOOKUP($C88,TB_UAE!$E:$E,TB_UAE!Z:Z)*X$2</f>
        <v>0</v>
      </c>
      <c r="Y88" s="17">
        <f>-_xlfn.XLOOKUP($C88,TB_UAE!$E:$E,TB_UAE!AA:AA)*Y$2</f>
        <v>0</v>
      </c>
      <c r="Z88" s="17">
        <f>-_xlfn.XLOOKUP($C88,TB_UAE!$E:$E,TB_UAE!AB:AB)*Z$2</f>
        <v>0</v>
      </c>
      <c r="AA88" s="17">
        <f>-_xlfn.XLOOKUP($C88,TB_UAE!$E:$E,TB_UAE!AC:AC)*AA$2</f>
        <v>0</v>
      </c>
      <c r="AB88" s="17">
        <f>-_xlfn.XLOOKUP($C88,TB_UAE!$E:$E,TB_UAE!AD:AD)*AB$2</f>
        <v>0</v>
      </c>
      <c r="AC88" s="17">
        <f>-_xlfn.XLOOKUP($C88,TB_UAE!$E:$E,TB_UAE!AE:AE)*AC$2</f>
        <v>0</v>
      </c>
      <c r="AD88" s="17">
        <f>-_xlfn.XLOOKUP($C88,TB_UAE!$E:$E,TB_UAE!AF:AF)*AD$2</f>
        <v>0</v>
      </c>
      <c r="AE88" s="17">
        <f>-_xlfn.XLOOKUP($C88,TB_UAE!$E:$E,TB_UAE!AG:AG)*AE$2</f>
        <v>0</v>
      </c>
      <c r="AF88" s="17">
        <f>-_xlfn.XLOOKUP($C88,TB_UAE!$E:$E,TB_UAE!AH:AH)*AF$2</f>
        <v>0</v>
      </c>
      <c r="AG88" s="17">
        <f>-_xlfn.XLOOKUP($C88,TB_UAE!$E:$E,TB_UAE!AI:AI)*AG$2</f>
        <v>0</v>
      </c>
      <c r="AH88" s="17">
        <f>-_xlfn.XLOOKUP($C88,TB_UAE!$E:$E,TB_UAE!AJ:AJ)*AH$2</f>
        <v>0</v>
      </c>
      <c r="AI88" s="17">
        <f>-_xlfn.XLOOKUP($C88,TB_UAE!$E:$E,TB_UAE!AK:AK)*AI$2</f>
        <v>0</v>
      </c>
      <c r="AJ88" s="17">
        <f>-_xlfn.XLOOKUP($C88,TB_UAE!$E:$E,TB_UAE!AL:AL)*AJ$2</f>
        <v>0</v>
      </c>
      <c r="AK88" s="17">
        <f>-_xlfn.XLOOKUP($C88,TB_UAE!$E:$E,TB_UAE!AM:AM)*AK$2</f>
        <v>0</v>
      </c>
      <c r="AL88" s="17">
        <f>-_xlfn.XLOOKUP($C88,TB_UAE!$E:$E,TB_UAE!AN:AN)*AL$2</f>
        <v>0</v>
      </c>
      <c r="AM88" s="17">
        <f>-_xlfn.XLOOKUP($C88,TB_UAE!$E:$E,TB_UAE!AO:AO)*AM$2</f>
        <v>0</v>
      </c>
    </row>
    <row r="89" spans="2:39" outlineLevel="1" x14ac:dyDescent="0.2">
      <c r="B89" s="21"/>
      <c r="C89" s="16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</row>
    <row r="90" spans="2:39" outlineLevel="1" x14ac:dyDescent="0.2">
      <c r="B90" s="21"/>
      <c r="C90" s="16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</row>
    <row r="91" spans="2:39" s="20" customFormat="1" ht="13.5" customHeight="1" x14ac:dyDescent="0.15">
      <c r="C91" s="22" t="s">
        <v>54</v>
      </c>
      <c r="D91" s="23">
        <f t="shared" ref="D91:AM91" si="16">SUM(D88:D90)</f>
        <v>0</v>
      </c>
      <c r="E91" s="23">
        <f t="shared" si="16"/>
        <v>0</v>
      </c>
      <c r="F91" s="23">
        <f t="shared" si="16"/>
        <v>0</v>
      </c>
      <c r="G91" s="23">
        <f t="shared" si="16"/>
        <v>0</v>
      </c>
      <c r="H91" s="23">
        <f t="shared" si="16"/>
        <v>0</v>
      </c>
      <c r="I91" s="23">
        <f t="shared" si="16"/>
        <v>0</v>
      </c>
      <c r="J91" s="23">
        <f t="shared" si="16"/>
        <v>0</v>
      </c>
      <c r="K91" s="23">
        <f t="shared" si="16"/>
        <v>0</v>
      </c>
      <c r="L91" s="23">
        <f t="shared" si="16"/>
        <v>0</v>
      </c>
      <c r="M91" s="23">
        <f t="shared" si="16"/>
        <v>0</v>
      </c>
      <c r="N91" s="23">
        <f t="shared" si="16"/>
        <v>0</v>
      </c>
      <c r="O91" s="23">
        <f t="shared" si="16"/>
        <v>0</v>
      </c>
      <c r="P91" s="23">
        <f t="shared" si="16"/>
        <v>0</v>
      </c>
      <c r="Q91" s="23">
        <f t="shared" si="16"/>
        <v>0</v>
      </c>
      <c r="R91" s="23">
        <f t="shared" si="16"/>
        <v>0</v>
      </c>
      <c r="S91" s="23">
        <f t="shared" si="16"/>
        <v>0</v>
      </c>
      <c r="T91" s="23">
        <f t="shared" si="16"/>
        <v>0</v>
      </c>
      <c r="U91" s="23">
        <f t="shared" si="16"/>
        <v>0</v>
      </c>
      <c r="V91" s="23">
        <f t="shared" si="16"/>
        <v>0</v>
      </c>
      <c r="W91" s="23">
        <f t="shared" si="16"/>
        <v>0</v>
      </c>
      <c r="X91" s="23">
        <f t="shared" si="16"/>
        <v>0</v>
      </c>
      <c r="Y91" s="23">
        <f t="shared" si="16"/>
        <v>0</v>
      </c>
      <c r="Z91" s="23">
        <f t="shared" si="16"/>
        <v>0</v>
      </c>
      <c r="AA91" s="23">
        <f t="shared" si="16"/>
        <v>0</v>
      </c>
      <c r="AB91" s="23">
        <f t="shared" si="16"/>
        <v>0</v>
      </c>
      <c r="AC91" s="23">
        <f t="shared" si="16"/>
        <v>0</v>
      </c>
      <c r="AD91" s="23">
        <f t="shared" si="16"/>
        <v>0</v>
      </c>
      <c r="AE91" s="23">
        <f t="shared" si="16"/>
        <v>0</v>
      </c>
      <c r="AF91" s="23">
        <f t="shared" si="16"/>
        <v>0</v>
      </c>
      <c r="AG91" s="23">
        <f t="shared" si="16"/>
        <v>0</v>
      </c>
      <c r="AH91" s="23">
        <f t="shared" si="16"/>
        <v>0</v>
      </c>
      <c r="AI91" s="23">
        <f t="shared" si="16"/>
        <v>0</v>
      </c>
      <c r="AJ91" s="23">
        <f t="shared" si="16"/>
        <v>0</v>
      </c>
      <c r="AK91" s="23">
        <f t="shared" si="16"/>
        <v>0</v>
      </c>
      <c r="AL91" s="23">
        <f t="shared" si="16"/>
        <v>0</v>
      </c>
      <c r="AM91" s="23">
        <f t="shared" si="16"/>
        <v>0</v>
      </c>
    </row>
    <row r="92" spans="2:39" x14ac:dyDescent="0.2">
      <c r="B92" s="21"/>
      <c r="C92" s="16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8"/>
    </row>
    <row r="93" spans="2:39" outlineLevel="1" x14ac:dyDescent="0.2">
      <c r="B93" s="21"/>
      <c r="C93" s="20" t="s">
        <v>271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8"/>
    </row>
    <row r="94" spans="2:39" outlineLevel="1" x14ac:dyDescent="0.2">
      <c r="B94" s="74"/>
      <c r="C94" s="16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</row>
    <row r="95" spans="2:39" outlineLevel="1" x14ac:dyDescent="0.2">
      <c r="B95" s="74"/>
      <c r="C95" s="16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</row>
    <row r="96" spans="2:39" outlineLevel="1" x14ac:dyDescent="0.2">
      <c r="B96" s="74"/>
      <c r="C96" s="16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</row>
    <row r="97" spans="2:39" outlineLevel="1" x14ac:dyDescent="0.2">
      <c r="B97" s="21"/>
      <c r="C97" s="16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</row>
    <row r="98" spans="2:39" outlineLevel="1" x14ac:dyDescent="0.2">
      <c r="B98" s="21"/>
      <c r="C98" s="16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</row>
    <row r="99" spans="2:39" outlineLevel="1" x14ac:dyDescent="0.2">
      <c r="B99" s="21"/>
      <c r="C99" s="16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</row>
    <row r="100" spans="2:39" x14ac:dyDescent="0.2">
      <c r="B100" s="21"/>
      <c r="C100" s="22" t="s">
        <v>55</v>
      </c>
      <c r="D100" s="23">
        <f t="shared" ref="D100:AM100" si="17">SUM(D94:D99)</f>
        <v>0</v>
      </c>
      <c r="E100" s="23">
        <f t="shared" si="17"/>
        <v>0</v>
      </c>
      <c r="F100" s="23">
        <f t="shared" si="17"/>
        <v>0</v>
      </c>
      <c r="G100" s="23">
        <f t="shared" si="17"/>
        <v>0</v>
      </c>
      <c r="H100" s="23">
        <f t="shared" si="17"/>
        <v>0</v>
      </c>
      <c r="I100" s="23">
        <f t="shared" si="17"/>
        <v>0</v>
      </c>
      <c r="J100" s="23">
        <f t="shared" si="17"/>
        <v>0</v>
      </c>
      <c r="K100" s="23">
        <f t="shared" si="17"/>
        <v>0</v>
      </c>
      <c r="L100" s="23">
        <f t="shared" si="17"/>
        <v>0</v>
      </c>
      <c r="M100" s="23">
        <f t="shared" si="17"/>
        <v>0</v>
      </c>
      <c r="N100" s="23">
        <f t="shared" si="17"/>
        <v>0</v>
      </c>
      <c r="O100" s="23">
        <f t="shared" si="17"/>
        <v>0</v>
      </c>
      <c r="P100" s="23">
        <f t="shared" si="17"/>
        <v>0</v>
      </c>
      <c r="Q100" s="23">
        <f t="shared" si="17"/>
        <v>0</v>
      </c>
      <c r="R100" s="23">
        <f t="shared" si="17"/>
        <v>0</v>
      </c>
      <c r="S100" s="23">
        <f t="shared" si="17"/>
        <v>0</v>
      </c>
      <c r="T100" s="23">
        <f t="shared" si="17"/>
        <v>0</v>
      </c>
      <c r="U100" s="23">
        <f t="shared" si="17"/>
        <v>0</v>
      </c>
      <c r="V100" s="23">
        <f t="shared" si="17"/>
        <v>0</v>
      </c>
      <c r="W100" s="23">
        <f t="shared" si="17"/>
        <v>0</v>
      </c>
      <c r="X100" s="23">
        <f t="shared" si="17"/>
        <v>0</v>
      </c>
      <c r="Y100" s="23">
        <f t="shared" si="17"/>
        <v>0</v>
      </c>
      <c r="Z100" s="23">
        <f t="shared" si="17"/>
        <v>0</v>
      </c>
      <c r="AA100" s="23">
        <f t="shared" si="17"/>
        <v>0</v>
      </c>
      <c r="AB100" s="23">
        <f t="shared" si="17"/>
        <v>0</v>
      </c>
      <c r="AC100" s="23">
        <f t="shared" si="17"/>
        <v>0</v>
      </c>
      <c r="AD100" s="23">
        <f t="shared" si="17"/>
        <v>0</v>
      </c>
      <c r="AE100" s="23">
        <f t="shared" si="17"/>
        <v>0</v>
      </c>
      <c r="AF100" s="23">
        <f t="shared" si="17"/>
        <v>0</v>
      </c>
      <c r="AG100" s="23">
        <f t="shared" si="17"/>
        <v>0</v>
      </c>
      <c r="AH100" s="23">
        <f t="shared" si="17"/>
        <v>0</v>
      </c>
      <c r="AI100" s="23">
        <f t="shared" si="17"/>
        <v>0</v>
      </c>
      <c r="AJ100" s="23">
        <f t="shared" si="17"/>
        <v>0</v>
      </c>
      <c r="AK100" s="23">
        <f t="shared" si="17"/>
        <v>0</v>
      </c>
      <c r="AL100" s="23">
        <f t="shared" si="17"/>
        <v>0</v>
      </c>
      <c r="AM100" s="23">
        <f t="shared" si="17"/>
        <v>0</v>
      </c>
    </row>
    <row r="101" spans="2:39" x14ac:dyDescent="0.2">
      <c r="B101" s="21"/>
      <c r="C101" s="16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8"/>
    </row>
    <row r="102" spans="2:39" x14ac:dyDescent="0.2">
      <c r="B102" s="21"/>
      <c r="C102" s="1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8"/>
    </row>
    <row r="103" spans="2:39" outlineLevel="1" x14ac:dyDescent="0.2">
      <c r="B103" s="21"/>
      <c r="C103" s="20" t="s">
        <v>752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8"/>
    </row>
    <row r="104" spans="2:39" outlineLevel="1" x14ac:dyDescent="0.2">
      <c r="B104" s="74" t="s">
        <v>937</v>
      </c>
      <c r="C104" s="16" t="str">
        <f>_xlfn.XLOOKUP(B104,TB_UAE!A:A,TB_UAE!E:E)</f>
        <v>Other Creditors Seamfix UK</v>
      </c>
      <c r="D104" s="17">
        <f>-_xlfn.XLOOKUP($C104,TB_UAE!$E:$E,TB_UAE!F:F)*D$2</f>
        <v>-5798066.9407699993</v>
      </c>
      <c r="E104" s="17">
        <f>-_xlfn.XLOOKUP($C104,TB_UAE!$E:$E,TB_UAE!G:G)*E$2</f>
        <v>-10284975.322759999</v>
      </c>
      <c r="F104" s="17">
        <f>-_xlfn.XLOOKUP($C104,TB_UAE!$E:$E,TB_UAE!H:H)*F$2</f>
        <v>-9015684.01358</v>
      </c>
      <c r="G104" s="17">
        <f>-_xlfn.XLOOKUP($C104,TB_UAE!$E:$E,TB_UAE!I:I)*G$2</f>
        <v>-8657314.6299299989</v>
      </c>
      <c r="H104" s="17">
        <f>-_xlfn.XLOOKUP($C104,TB_UAE!$E:$E,TB_UAE!J:J)*H$2</f>
        <v>-8867007.70108</v>
      </c>
      <c r="I104" s="17">
        <f>-_xlfn.XLOOKUP($C104,TB_UAE!$E:$E,TB_UAE!K:K)*I$2</f>
        <v>-9939832.1838699989</v>
      </c>
      <c r="J104" s="17">
        <f>-_xlfn.XLOOKUP($C104,TB_UAE!$E:$E,TB_UAE!L:L)*J$2</f>
        <v>-10545598.95152</v>
      </c>
      <c r="K104" s="17">
        <f>-_xlfn.XLOOKUP($C104,TB_UAE!$E:$E,TB_UAE!M:M)*K$2</f>
        <v>49675086.314719997</v>
      </c>
      <c r="L104" s="17">
        <f>-_xlfn.XLOOKUP($C104,TB_UAE!$E:$E,TB_UAE!N:N)*L$2</f>
        <v>-17366738.245470002</v>
      </c>
      <c r="M104" s="17">
        <f>-_xlfn.XLOOKUP($C104,TB_UAE!$E:$E,TB_UAE!O:O)*M$2</f>
        <v>-17108697.678660002</v>
      </c>
      <c r="N104" s="17">
        <f>-_xlfn.XLOOKUP($C104,TB_UAE!$E:$E,TB_UAE!P:P)*N$2</f>
        <v>-17520904.7676</v>
      </c>
      <c r="O104" s="394">
        <f>-_xlfn.XLOOKUP($C104,TB_UAE!$E:$E,TB_UAE!Q:Q)*O$2</f>
        <v>-33403153.31648</v>
      </c>
      <c r="P104" s="17">
        <f>-_xlfn.XLOOKUP($C104,TB_UAE!$E:$E,TB_UAE!R:R)*P$2</f>
        <v>-33205465.847199999</v>
      </c>
      <c r="Q104" s="17">
        <f>-_xlfn.XLOOKUP($C104,TB_UAE!$E:$E,TB_UAE!S:S)*Q$2</f>
        <v>-32355377.997759998</v>
      </c>
      <c r="R104" s="17">
        <f>-_xlfn.XLOOKUP($C104,TB_UAE!$E:$E,TB_UAE!T:T)*R$2</f>
        <v>-33162548.944759998</v>
      </c>
      <c r="S104" s="17">
        <f>-_xlfn.XLOOKUP($C104,TB_UAE!$E:$E,TB_UAE!U:U)*S$2</f>
        <v>-34592847.929959998</v>
      </c>
      <c r="T104" s="17">
        <f>-_xlfn.XLOOKUP($C104,TB_UAE!$E:$E,TB_UAE!V:V)*T$2</f>
        <v>-34290605.049560003</v>
      </c>
      <c r="U104" s="17">
        <f>-_xlfn.XLOOKUP($C104,TB_UAE!$E:$E,TB_UAE!W:W)*U$2</f>
        <v>-33292013.611639999</v>
      </c>
      <c r="V104" s="17">
        <f>-_xlfn.XLOOKUP($C104,TB_UAE!$E:$E,TB_UAE!X:X)*V$2</f>
        <v>-33053313.132079996</v>
      </c>
      <c r="W104" s="17">
        <f>-_xlfn.XLOOKUP($C104,TB_UAE!$E:$E,TB_UAE!Y:Y)*W$2</f>
        <v>-33219586.380719997</v>
      </c>
      <c r="X104" s="17">
        <f>-_xlfn.XLOOKUP($C104,TB_UAE!$E:$E,TB_UAE!Z:Z)*X$2</f>
        <v>-32042981.025839999</v>
      </c>
      <c r="Y104" s="17">
        <f>-_xlfn.XLOOKUP($C104,TB_UAE!$E:$E,TB_UAE!AA:AA)*Y$2</f>
        <v>-31303160.263999999</v>
      </c>
      <c r="Z104" s="17">
        <f>-_xlfn.XLOOKUP($C104,TB_UAE!$E:$E,TB_UAE!AB:AB)*Z$2</f>
        <v>-31257546.180999998</v>
      </c>
      <c r="AA104" s="17">
        <f>-_xlfn.XLOOKUP($C104,TB_UAE!$E:$E,TB_UAE!AC:AC)*AA$2</f>
        <v>-36818096.962070003</v>
      </c>
      <c r="AB104" s="17">
        <f>-_xlfn.XLOOKUP($C104,TB_UAE!$E:$E,TB_UAE!AD:AD)*AB$2</f>
        <v>-35246150.804680005</v>
      </c>
      <c r="AC104" s="17">
        <f>-_xlfn.XLOOKUP($C104,TB_UAE!$E:$E,TB_UAE!AE:AE)*AC$2</f>
        <v>-34468714.320050001</v>
      </c>
      <c r="AD104" s="17">
        <f>-_xlfn.XLOOKUP($C104,TB_UAE!$E:$E,TB_UAE!AF:AF)*AD$2</f>
        <v>-35119174.798969999</v>
      </c>
      <c r="AE104" s="17">
        <f>-_xlfn.XLOOKUP($C104,TB_UAE!$E:$E,TB_UAE!AG:AG)*AE$2</f>
        <v>776939.41284</v>
      </c>
      <c r="AF104" s="17">
        <f>-_xlfn.XLOOKUP($C104,TB_UAE!$E:$E,TB_UAE!AH:AH)*AF$2</f>
        <v>0</v>
      </c>
      <c r="AG104" s="17">
        <f>-_xlfn.XLOOKUP($C104,TB_UAE!$E:$E,TB_UAE!AI:AI)*AG$2</f>
        <v>0</v>
      </c>
      <c r="AH104" s="17">
        <f>-_xlfn.XLOOKUP($C104,TB_UAE!$E:$E,TB_UAE!AJ:AJ)*AH$2</f>
        <v>0</v>
      </c>
      <c r="AI104" s="17">
        <f>-_xlfn.XLOOKUP($C104,TB_UAE!$E:$E,TB_UAE!AK:AK)*AI$2</f>
        <v>0</v>
      </c>
      <c r="AJ104" s="17">
        <f>-_xlfn.XLOOKUP($C104,TB_UAE!$E:$E,TB_UAE!AL:AL)*AJ$2</f>
        <v>0</v>
      </c>
      <c r="AK104" s="17">
        <f>-_xlfn.XLOOKUP($C104,TB_UAE!$E:$E,TB_UAE!AM:AM)*AK$2</f>
        <v>0</v>
      </c>
      <c r="AL104" s="17">
        <f>-_xlfn.XLOOKUP($C104,TB_UAE!$E:$E,TB_UAE!AN:AN)*AL$2</f>
        <v>0</v>
      </c>
      <c r="AM104" s="17">
        <f>-_xlfn.XLOOKUP($C104,TB_UAE!$E:$E,TB_UAE!AO:AO)*AM$2</f>
        <v>0</v>
      </c>
    </row>
    <row r="105" spans="2:39" outlineLevel="1" x14ac:dyDescent="0.2">
      <c r="B105" s="21"/>
      <c r="C105" s="16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</row>
    <row r="106" spans="2:39" outlineLevel="1" x14ac:dyDescent="0.2">
      <c r="B106" s="21"/>
      <c r="C106" s="16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8"/>
    </row>
    <row r="107" spans="2:39" s="20" customFormat="1" ht="13.5" customHeight="1" x14ac:dyDescent="0.15">
      <c r="C107" s="22" t="s">
        <v>753</v>
      </c>
      <c r="D107" s="23">
        <f>SUM(D104:D106)</f>
        <v>-5798066.9407699993</v>
      </c>
      <c r="E107" s="23">
        <f t="shared" ref="E107:AM107" si="18">SUM(E104:E106)</f>
        <v>-10284975.322759999</v>
      </c>
      <c r="F107" s="23">
        <f t="shared" si="18"/>
        <v>-9015684.01358</v>
      </c>
      <c r="G107" s="23">
        <f t="shared" si="18"/>
        <v>-8657314.6299299989</v>
      </c>
      <c r="H107" s="23">
        <f t="shared" si="18"/>
        <v>-8867007.70108</v>
      </c>
      <c r="I107" s="23">
        <f t="shared" si="18"/>
        <v>-9939832.1838699989</v>
      </c>
      <c r="J107" s="23">
        <f t="shared" si="18"/>
        <v>-10545598.95152</v>
      </c>
      <c r="K107" s="23">
        <f t="shared" si="18"/>
        <v>49675086.314719997</v>
      </c>
      <c r="L107" s="23">
        <f t="shared" si="18"/>
        <v>-17366738.245470002</v>
      </c>
      <c r="M107" s="23">
        <f t="shared" si="18"/>
        <v>-17108697.678660002</v>
      </c>
      <c r="N107" s="23">
        <f t="shared" si="18"/>
        <v>-17520904.7676</v>
      </c>
      <c r="O107" s="23">
        <f t="shared" si="18"/>
        <v>-33403153.31648</v>
      </c>
      <c r="P107" s="23">
        <f t="shared" si="18"/>
        <v>-33205465.847199999</v>
      </c>
      <c r="Q107" s="23">
        <f t="shared" si="18"/>
        <v>-32355377.997759998</v>
      </c>
      <c r="R107" s="23">
        <f t="shared" si="18"/>
        <v>-33162548.944759998</v>
      </c>
      <c r="S107" s="23">
        <f t="shared" si="18"/>
        <v>-34592847.929959998</v>
      </c>
      <c r="T107" s="23">
        <f t="shared" si="18"/>
        <v>-34290605.049560003</v>
      </c>
      <c r="U107" s="23">
        <f t="shared" si="18"/>
        <v>-33292013.611639999</v>
      </c>
      <c r="V107" s="23">
        <f t="shared" si="18"/>
        <v>-33053313.132079996</v>
      </c>
      <c r="W107" s="23">
        <f t="shared" si="18"/>
        <v>-33219586.380719997</v>
      </c>
      <c r="X107" s="23">
        <f t="shared" si="18"/>
        <v>-32042981.025839999</v>
      </c>
      <c r="Y107" s="23">
        <f t="shared" si="18"/>
        <v>-31303160.263999999</v>
      </c>
      <c r="Z107" s="23">
        <f t="shared" si="18"/>
        <v>-31257546.180999998</v>
      </c>
      <c r="AA107" s="23">
        <f t="shared" si="18"/>
        <v>-36818096.962070003</v>
      </c>
      <c r="AB107" s="23">
        <f t="shared" si="18"/>
        <v>-35246150.804680005</v>
      </c>
      <c r="AC107" s="23">
        <f t="shared" si="18"/>
        <v>-34468714.320050001</v>
      </c>
      <c r="AD107" s="23">
        <f t="shared" si="18"/>
        <v>-35119174.798969999</v>
      </c>
      <c r="AE107" s="23">
        <f t="shared" si="18"/>
        <v>776939.41284</v>
      </c>
      <c r="AF107" s="23">
        <f t="shared" si="18"/>
        <v>0</v>
      </c>
      <c r="AG107" s="23">
        <f t="shared" si="18"/>
        <v>0</v>
      </c>
      <c r="AH107" s="23">
        <f t="shared" si="18"/>
        <v>0</v>
      </c>
      <c r="AI107" s="23">
        <f t="shared" si="18"/>
        <v>0</v>
      </c>
      <c r="AJ107" s="23">
        <f t="shared" si="18"/>
        <v>0</v>
      </c>
      <c r="AK107" s="23">
        <f t="shared" si="18"/>
        <v>0</v>
      </c>
      <c r="AL107" s="23">
        <f t="shared" si="18"/>
        <v>0</v>
      </c>
      <c r="AM107" s="23">
        <f t="shared" si="18"/>
        <v>0</v>
      </c>
    </row>
    <row r="108" spans="2:39" x14ac:dyDescent="0.2">
      <c r="B108" s="21"/>
      <c r="C108" s="16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8"/>
    </row>
    <row r="109" spans="2:39" x14ac:dyDescent="0.2">
      <c r="B109" s="21"/>
      <c r="C109" s="16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8"/>
    </row>
    <row r="110" spans="2:39" outlineLevel="1" x14ac:dyDescent="0.2">
      <c r="B110" s="21"/>
      <c r="C110" s="20" t="s">
        <v>278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8"/>
    </row>
    <row r="111" spans="2:39" outlineLevel="1" x14ac:dyDescent="0.2">
      <c r="B111" s="21" t="s">
        <v>938</v>
      </c>
      <c r="C111" s="16" t="str">
        <f>_xlfn.XLOOKUP(B111,TB_UAE!A:A,TB_UAE!E:E)</f>
        <v>Accrued liabilities</v>
      </c>
      <c r="D111" s="17">
        <f>-_xlfn.XLOOKUP($C111,TB_UAE!$E:$E,TB_UAE!F:F)*D$2</f>
        <v>9760448.1649999991</v>
      </c>
      <c r="E111" s="17">
        <f>-_xlfn.XLOOKUP($C111,TB_UAE!$E:$E,TB_UAE!G:G)*E$2</f>
        <v>4256544.82</v>
      </c>
      <c r="F111" s="17">
        <f>-_xlfn.XLOOKUP($C111,TB_UAE!$E:$E,TB_UAE!H:H)*F$2</f>
        <v>8855288.2699999996</v>
      </c>
      <c r="G111" s="17">
        <f>-_xlfn.XLOOKUP($C111,TB_UAE!$E:$E,TB_UAE!I:I)*G$2</f>
        <v>926209.48499999999</v>
      </c>
      <c r="H111" s="17">
        <f>-_xlfn.XLOOKUP($C111,TB_UAE!$E:$E,TB_UAE!J:J)*H$2</f>
        <v>948643.66</v>
      </c>
      <c r="I111" s="17">
        <f>-_xlfn.XLOOKUP($C111,TB_UAE!$E:$E,TB_UAE!K:K)*I$2</f>
        <v>1063420.615</v>
      </c>
      <c r="J111" s="17">
        <f>-_xlfn.XLOOKUP($C111,TB_UAE!$E:$E,TB_UAE!L:L)*J$2</f>
        <v>1128229.04</v>
      </c>
      <c r="K111" s="17">
        <f>-_xlfn.XLOOKUP($C111,TB_UAE!$E:$E,TB_UAE!M:M)*K$2</f>
        <v>1101702.5050000001</v>
      </c>
      <c r="L111" s="17">
        <f>-_xlfn.XLOOKUP($C111,TB_UAE!$E:$E,TB_UAE!N:N)*L$2</f>
        <v>1155656.5049999999</v>
      </c>
      <c r="M111" s="17">
        <f>-_xlfn.XLOOKUP($C111,TB_UAE!$E:$E,TB_UAE!O:O)*M$2</f>
        <v>1138485.3899999999</v>
      </c>
      <c r="N111" s="17">
        <f>-_xlfn.XLOOKUP($C111,TB_UAE!$E:$E,TB_UAE!P:P)*N$2</f>
        <v>1165915.3999999999</v>
      </c>
      <c r="O111" s="394">
        <f>-_xlfn.XLOOKUP($C111,TB_UAE!$E:$E,TB_UAE!Q:Q)*O$2</f>
        <v>1071628.24</v>
      </c>
      <c r="P111" s="17">
        <f>-_xlfn.XLOOKUP($C111,TB_UAE!$E:$E,TB_UAE!R:R)*P$2</f>
        <v>1065286.0999999999</v>
      </c>
      <c r="Q111" s="17">
        <f>-_xlfn.XLOOKUP($C111,TB_UAE!$E:$E,TB_UAE!S:S)*Q$2</f>
        <v>1038013.8799999999</v>
      </c>
      <c r="R111" s="17">
        <f>-_xlfn.XLOOKUP($C111,TB_UAE!$E:$E,TB_UAE!T:T)*R$2</f>
        <v>1063909.2549999999</v>
      </c>
      <c r="S111" s="17">
        <f>-_xlfn.XLOOKUP($C111,TB_UAE!$E:$E,TB_UAE!U:U)*S$2</f>
        <v>1109795.605</v>
      </c>
      <c r="T111" s="17">
        <f>-_xlfn.XLOOKUP($C111,TB_UAE!$E:$E,TB_UAE!V:V)*T$2</f>
        <v>1100099.155</v>
      </c>
      <c r="U111" s="17">
        <f>-_xlfn.XLOOKUP($C111,TB_UAE!$E:$E,TB_UAE!W:W)*U$2</f>
        <v>1068062.6950000001</v>
      </c>
      <c r="V111" s="17">
        <f>-_xlfn.XLOOKUP($C111,TB_UAE!$E:$E,TB_UAE!X:X)*V$2</f>
        <v>1060404.79</v>
      </c>
      <c r="W111" s="17">
        <f>-_xlfn.XLOOKUP($C111,TB_UAE!$E:$E,TB_UAE!Y:Y)*W$2</f>
        <v>1065739.1099999999</v>
      </c>
      <c r="X111" s="17">
        <f>-_xlfn.XLOOKUP($C111,TB_UAE!$E:$E,TB_UAE!Z:Z)*X$2</f>
        <v>1027991.6699999999</v>
      </c>
      <c r="Y111" s="17">
        <f>-_xlfn.XLOOKUP($C111,TB_UAE!$E:$E,TB_UAE!AA:AA)*Y$2</f>
        <v>1004257</v>
      </c>
      <c r="Z111" s="17">
        <f>-_xlfn.XLOOKUP($C111,TB_UAE!$E:$E,TB_UAE!AB:AB)*Z$2</f>
        <v>1002793.625</v>
      </c>
      <c r="AA111" s="17">
        <f>-_xlfn.XLOOKUP($C111,TB_UAE!$E:$E,TB_UAE!AC:AC)*AA$2</f>
        <v>1004351.165</v>
      </c>
      <c r="AB111" s="17">
        <f>-_xlfn.XLOOKUP($C111,TB_UAE!$E:$E,TB_UAE!AD:AD)*AB$2</f>
        <v>961470.46000000008</v>
      </c>
      <c r="AC111" s="17">
        <f>-_xlfn.XLOOKUP($C111,TB_UAE!$E:$E,TB_UAE!AE:AE)*AC$2</f>
        <v>940262.97499999998</v>
      </c>
      <c r="AD111" s="17">
        <f>-_xlfn.XLOOKUP($C111,TB_UAE!$E:$E,TB_UAE!AF:AF)*AD$2</f>
        <v>958006.71500000008</v>
      </c>
      <c r="AE111" s="17">
        <f>-_xlfn.XLOOKUP($C111,TB_UAE!$E:$E,TB_UAE!AG:AG)*AE$2</f>
        <v>952328.82000000007</v>
      </c>
      <c r="AF111" s="17">
        <f>-_xlfn.XLOOKUP($C111,TB_UAE!$E:$E,TB_UAE!AH:AH)*AF$2</f>
        <v>0</v>
      </c>
      <c r="AG111" s="17">
        <f>-_xlfn.XLOOKUP($C111,TB_UAE!$E:$E,TB_UAE!AI:AI)*AG$2</f>
        <v>0</v>
      </c>
      <c r="AH111" s="17">
        <f>-_xlfn.XLOOKUP($C111,TB_UAE!$E:$E,TB_UAE!AJ:AJ)*AH$2</f>
        <v>0</v>
      </c>
      <c r="AI111" s="17">
        <f>-_xlfn.XLOOKUP($C111,TB_UAE!$E:$E,TB_UAE!AK:AK)*AI$2</f>
        <v>0</v>
      </c>
      <c r="AJ111" s="17">
        <f>-_xlfn.XLOOKUP($C111,TB_UAE!$E:$E,TB_UAE!AL:AL)*AJ$2</f>
        <v>0</v>
      </c>
      <c r="AK111" s="17">
        <f>-_xlfn.XLOOKUP($C111,TB_UAE!$E:$E,TB_UAE!AM:AM)*AK$2</f>
        <v>0</v>
      </c>
      <c r="AL111" s="17">
        <f>-_xlfn.XLOOKUP($C111,TB_UAE!$E:$E,TB_UAE!AN:AN)*AL$2</f>
        <v>0</v>
      </c>
      <c r="AM111" s="17">
        <f>-_xlfn.XLOOKUP($C111,TB_UAE!$E:$E,TB_UAE!AO:AO)*AM$2</f>
        <v>0</v>
      </c>
    </row>
    <row r="112" spans="2:39" outlineLevel="1" x14ac:dyDescent="0.2">
      <c r="B112" s="74" t="s">
        <v>988</v>
      </c>
      <c r="C112" s="16" t="str">
        <f>_xlfn.XLOOKUP(B112,[3]TB!A:A,[3]TB!E:E)</f>
        <v>Payroll liabilities</v>
      </c>
      <c r="D112" s="17">
        <f>-_xlfn.XLOOKUP($C112,TB_UAE!$E:$E,TB_UAE!F:F)*D$2</f>
        <v>0</v>
      </c>
      <c r="E112" s="17">
        <f>-_xlfn.XLOOKUP($C112,TB_UAE!$E:$E,TB_UAE!G:G)*E$2</f>
        <v>0</v>
      </c>
      <c r="F112" s="17">
        <f>-_xlfn.XLOOKUP($C112,TB_UAE!$E:$E,TB_UAE!H:H)*F$2</f>
        <v>0</v>
      </c>
      <c r="G112" s="17">
        <f>-_xlfn.XLOOKUP($C112,TB_UAE!$E:$E,TB_UAE!I:I)*G$2</f>
        <v>0</v>
      </c>
      <c r="H112" s="17">
        <f>-_xlfn.XLOOKUP($C112,TB_UAE!$E:$E,TB_UAE!J:J)*H$2</f>
        <v>0</v>
      </c>
      <c r="I112" s="17">
        <f>-_xlfn.XLOOKUP($C112,TB_UAE!$E:$E,TB_UAE!K:K)*I$2</f>
        <v>0</v>
      </c>
      <c r="J112" s="17">
        <f>-_xlfn.XLOOKUP($C112,TB_UAE!$E:$E,TB_UAE!L:L)*J$2</f>
        <v>0</v>
      </c>
      <c r="K112" s="17">
        <f>-_xlfn.XLOOKUP($C112,TB_UAE!$E:$E,TB_UAE!M:M)*K$2</f>
        <v>0</v>
      </c>
      <c r="L112" s="17">
        <f>-_xlfn.XLOOKUP($C112,TB_UAE!$E:$E,TB_UAE!N:N)*L$2</f>
        <v>0</v>
      </c>
      <c r="M112" s="17">
        <f>-_xlfn.XLOOKUP($C112,TB_UAE!$E:$E,TB_UAE!O:O)*M$2</f>
        <v>0</v>
      </c>
      <c r="N112" s="17">
        <f>-_xlfn.XLOOKUP($C112,TB_UAE!$E:$E,TB_UAE!P:P)*N$2</f>
        <v>0</v>
      </c>
      <c r="O112" s="394">
        <f>-_xlfn.XLOOKUP($C112,TB_UAE!$E:$E,TB_UAE!Q:Q)*O$2</f>
        <v>0</v>
      </c>
      <c r="P112" s="17">
        <f>-_xlfn.XLOOKUP($C112,TB_UAE!$E:$E,TB_UAE!R:R)*P$2</f>
        <v>0</v>
      </c>
      <c r="Q112" s="17">
        <f>-_xlfn.XLOOKUP($C112,TB_UAE!$E:$E,TB_UAE!S:S)*Q$2</f>
        <v>0</v>
      </c>
      <c r="R112" s="17">
        <f>-_xlfn.XLOOKUP($C112,TB_UAE!$E:$E,TB_UAE!T:T)*R$2</f>
        <v>0</v>
      </c>
      <c r="S112" s="17">
        <f>-_xlfn.XLOOKUP($C112,TB_UAE!$E:$E,TB_UAE!U:U)*S$2</f>
        <v>0</v>
      </c>
      <c r="T112" s="17">
        <f>-_xlfn.XLOOKUP($C112,TB_UAE!$E:$E,TB_UAE!V:V)*T$2</f>
        <v>0</v>
      </c>
      <c r="U112" s="17">
        <f>-_xlfn.XLOOKUP($C112,TB_UAE!$E:$E,TB_UAE!W:W)*U$2</f>
        <v>0</v>
      </c>
      <c r="V112" s="17">
        <f>-_xlfn.XLOOKUP($C112,TB_UAE!$E:$E,TB_UAE!X:X)*V$2</f>
        <v>0</v>
      </c>
      <c r="W112" s="17">
        <f>-_xlfn.XLOOKUP($C112,TB_UAE!$E:$E,TB_UAE!Y:Y)*W$2</f>
        <v>0</v>
      </c>
      <c r="X112" s="17">
        <f>-_xlfn.XLOOKUP($C112,TB_UAE!$E:$E,TB_UAE!Z:Z)*X$2</f>
        <v>0</v>
      </c>
      <c r="Y112" s="17">
        <f>-_xlfn.XLOOKUP($C112,TB_UAE!$E:$E,TB_UAE!AA:AA)*Y$2</f>
        <v>0</v>
      </c>
      <c r="Z112" s="17">
        <f>-_xlfn.XLOOKUP($C112,TB_UAE!$E:$E,TB_UAE!AB:AB)*Z$2</f>
        <v>0</v>
      </c>
      <c r="AA112" s="17">
        <f>-_xlfn.XLOOKUP($C112,TB_UAE!$E:$E,TB_UAE!AC:AC)*AA$2</f>
        <v>0</v>
      </c>
      <c r="AB112" s="17">
        <f>-_xlfn.XLOOKUP($C112,TB_UAE!$E:$E,TB_UAE!AD:AD)*AB$2</f>
        <v>6658513.5</v>
      </c>
      <c r="AC112" s="17">
        <f>-_xlfn.XLOOKUP($C112,TB_UAE!$E:$E,TB_UAE!AE:AE)*AC$2</f>
        <v>13023288.75</v>
      </c>
      <c r="AD112" s="17">
        <f>-_xlfn.XLOOKUP($C112,TB_UAE!$E:$E,TB_UAE!AF:AF)*AD$2</f>
        <v>19903577.625</v>
      </c>
      <c r="AE112" s="17">
        <f>-_xlfn.XLOOKUP($C112,TB_UAE!$E:$E,TB_UAE!AG:AG)*AE$2</f>
        <v>0</v>
      </c>
      <c r="AF112" s="17">
        <f>-_xlfn.XLOOKUP($C112,TB_UAE!$E:$E,TB_UAE!AH:AH)*AF$2</f>
        <v>0</v>
      </c>
      <c r="AG112" s="17">
        <f>-_xlfn.XLOOKUP($C112,TB_UAE!$E:$E,TB_UAE!AI:AI)*AG$2</f>
        <v>0</v>
      </c>
      <c r="AH112" s="17">
        <f>-_xlfn.XLOOKUP($C112,TB_UAE!$E:$E,TB_UAE!AJ:AJ)*AH$2</f>
        <v>0</v>
      </c>
      <c r="AI112" s="17">
        <f>-_xlfn.XLOOKUP($C112,TB_UAE!$E:$E,TB_UAE!AK:AK)*AI$2</f>
        <v>0</v>
      </c>
      <c r="AJ112" s="17">
        <f>-_xlfn.XLOOKUP($C112,TB_UAE!$E:$E,TB_UAE!AL:AL)*AJ$2</f>
        <v>0</v>
      </c>
      <c r="AK112" s="17">
        <f>-_xlfn.XLOOKUP($C112,TB_UAE!$E:$E,TB_UAE!AM:AM)*AK$2</f>
        <v>0</v>
      </c>
      <c r="AL112" s="17">
        <f>-_xlfn.XLOOKUP($C112,TB_UAE!$E:$E,TB_UAE!AN:AN)*AL$2</f>
        <v>0</v>
      </c>
      <c r="AM112" s="17">
        <f>-_xlfn.XLOOKUP($C112,TB_UAE!$E:$E,TB_UAE!AO:AO)*AM$2</f>
        <v>0</v>
      </c>
    </row>
    <row r="113" spans="2:39" outlineLevel="1" x14ac:dyDescent="0.2">
      <c r="B113" s="21"/>
      <c r="C113" s="16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</row>
    <row r="114" spans="2:39" outlineLevel="1" x14ac:dyDescent="0.2">
      <c r="B114" s="21"/>
      <c r="C114" s="16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</row>
    <row r="115" spans="2:39" outlineLevel="1" x14ac:dyDescent="0.2">
      <c r="B115" s="21"/>
      <c r="C115" s="16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</row>
    <row r="116" spans="2:39" outlineLevel="1" x14ac:dyDescent="0.2">
      <c r="B116" s="21"/>
      <c r="C116" s="16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</row>
    <row r="117" spans="2:39" outlineLevel="1" x14ac:dyDescent="0.2">
      <c r="B117" s="21"/>
      <c r="C117" s="16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</row>
    <row r="118" spans="2:39" x14ac:dyDescent="0.2">
      <c r="B118" s="21"/>
      <c r="C118" s="22" t="s">
        <v>57</v>
      </c>
      <c r="D118" s="23">
        <f t="shared" ref="D118:AM118" si="19">SUM(D111:D117)</f>
        <v>9760448.1649999991</v>
      </c>
      <c r="E118" s="23">
        <f t="shared" si="19"/>
        <v>4256544.82</v>
      </c>
      <c r="F118" s="23">
        <f t="shared" si="19"/>
        <v>8855288.2699999996</v>
      </c>
      <c r="G118" s="23">
        <f t="shared" si="19"/>
        <v>926209.48499999999</v>
      </c>
      <c r="H118" s="23">
        <f t="shared" si="19"/>
        <v>948643.66</v>
      </c>
      <c r="I118" s="23">
        <f t="shared" si="19"/>
        <v>1063420.615</v>
      </c>
      <c r="J118" s="23">
        <f t="shared" si="19"/>
        <v>1128229.04</v>
      </c>
      <c r="K118" s="23">
        <f t="shared" si="19"/>
        <v>1101702.5050000001</v>
      </c>
      <c r="L118" s="23">
        <f t="shared" si="19"/>
        <v>1155656.5049999999</v>
      </c>
      <c r="M118" s="23">
        <f t="shared" si="19"/>
        <v>1138485.3899999999</v>
      </c>
      <c r="N118" s="23">
        <f t="shared" si="19"/>
        <v>1165915.3999999999</v>
      </c>
      <c r="O118" s="23">
        <f t="shared" si="19"/>
        <v>1071628.24</v>
      </c>
      <c r="P118" s="23">
        <f t="shared" si="19"/>
        <v>1065286.0999999999</v>
      </c>
      <c r="Q118" s="23">
        <f t="shared" si="19"/>
        <v>1038013.8799999999</v>
      </c>
      <c r="R118" s="23">
        <f t="shared" si="19"/>
        <v>1063909.2549999999</v>
      </c>
      <c r="S118" s="23">
        <f t="shared" si="19"/>
        <v>1109795.605</v>
      </c>
      <c r="T118" s="23">
        <f t="shared" si="19"/>
        <v>1100099.155</v>
      </c>
      <c r="U118" s="23">
        <f t="shared" si="19"/>
        <v>1068062.6950000001</v>
      </c>
      <c r="V118" s="23">
        <f t="shared" si="19"/>
        <v>1060404.79</v>
      </c>
      <c r="W118" s="23">
        <f t="shared" si="19"/>
        <v>1065739.1099999999</v>
      </c>
      <c r="X118" s="23">
        <f t="shared" si="19"/>
        <v>1027991.6699999999</v>
      </c>
      <c r="Y118" s="23">
        <f t="shared" si="19"/>
        <v>1004257</v>
      </c>
      <c r="Z118" s="23">
        <f t="shared" si="19"/>
        <v>1002793.625</v>
      </c>
      <c r="AA118" s="23">
        <f t="shared" si="19"/>
        <v>1004351.165</v>
      </c>
      <c r="AB118" s="23">
        <f t="shared" si="19"/>
        <v>7619983.96</v>
      </c>
      <c r="AC118" s="23">
        <f t="shared" si="19"/>
        <v>13963551.725</v>
      </c>
      <c r="AD118" s="23">
        <f t="shared" si="19"/>
        <v>20861584.34</v>
      </c>
      <c r="AE118" s="23">
        <f t="shared" si="19"/>
        <v>952328.82000000007</v>
      </c>
      <c r="AF118" s="23">
        <f t="shared" si="19"/>
        <v>0</v>
      </c>
      <c r="AG118" s="23">
        <f t="shared" si="19"/>
        <v>0</v>
      </c>
      <c r="AH118" s="23">
        <f t="shared" si="19"/>
        <v>0</v>
      </c>
      <c r="AI118" s="23">
        <f t="shared" si="19"/>
        <v>0</v>
      </c>
      <c r="AJ118" s="23">
        <f t="shared" si="19"/>
        <v>0</v>
      </c>
      <c r="AK118" s="23">
        <f t="shared" si="19"/>
        <v>0</v>
      </c>
      <c r="AL118" s="23">
        <f t="shared" si="19"/>
        <v>0</v>
      </c>
      <c r="AM118" s="23">
        <f t="shared" si="19"/>
        <v>0</v>
      </c>
    </row>
    <row r="119" spans="2:39" x14ac:dyDescent="0.2">
      <c r="B119" s="21"/>
      <c r="C119" s="16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8"/>
    </row>
    <row r="120" spans="2:39" s="27" customFormat="1" x14ac:dyDescent="0.2">
      <c r="B120" s="24"/>
      <c r="C120" s="25" t="s">
        <v>286</v>
      </c>
      <c r="D120" s="26">
        <f>D118+D100+D107+D91</f>
        <v>3962381.2242299998</v>
      </c>
      <c r="E120" s="26">
        <f t="shared" ref="E120:AM120" si="20">E118+E100+E107+E91</f>
        <v>-6028430.5027599987</v>
      </c>
      <c r="F120" s="26">
        <f t="shared" si="20"/>
        <v>-160395.74358000048</v>
      </c>
      <c r="G120" s="26">
        <f t="shared" si="20"/>
        <v>-7731105.1449299986</v>
      </c>
      <c r="H120" s="26">
        <f t="shared" si="20"/>
        <v>-7918364.0410799999</v>
      </c>
      <c r="I120" s="26">
        <f t="shared" si="20"/>
        <v>-8876411.5688699987</v>
      </c>
      <c r="J120" s="26">
        <f t="shared" si="20"/>
        <v>-9417369.9115200005</v>
      </c>
      <c r="K120" s="26">
        <f t="shared" si="20"/>
        <v>50776788.81972</v>
      </c>
      <c r="L120" s="26">
        <f t="shared" si="20"/>
        <v>-16211081.740470003</v>
      </c>
      <c r="M120" s="26">
        <f t="shared" si="20"/>
        <v>-15970212.288660001</v>
      </c>
      <c r="N120" s="26">
        <f t="shared" si="20"/>
        <v>-16354989.3676</v>
      </c>
      <c r="O120" s="26">
        <f t="shared" si="20"/>
        <v>-32331525.076480001</v>
      </c>
      <c r="P120" s="26">
        <f t="shared" si="20"/>
        <v>-32140179.747199997</v>
      </c>
      <c r="Q120" s="26">
        <f t="shared" si="20"/>
        <v>-31317364.117759999</v>
      </c>
      <c r="R120" s="26">
        <f t="shared" si="20"/>
        <v>-32098639.68976</v>
      </c>
      <c r="S120" s="26">
        <f t="shared" si="20"/>
        <v>-33483052.324959997</v>
      </c>
      <c r="T120" s="26">
        <f t="shared" si="20"/>
        <v>-33190505.894560002</v>
      </c>
      <c r="U120" s="26">
        <f t="shared" si="20"/>
        <v>-32223950.916639999</v>
      </c>
      <c r="V120" s="26">
        <f t="shared" si="20"/>
        <v>-31992908.342079997</v>
      </c>
      <c r="W120" s="26">
        <f t="shared" si="20"/>
        <v>-32153847.270719998</v>
      </c>
      <c r="X120" s="26">
        <f t="shared" si="20"/>
        <v>-31014989.355839998</v>
      </c>
      <c r="Y120" s="26">
        <f t="shared" si="20"/>
        <v>-30298903.263999999</v>
      </c>
      <c r="Z120" s="26">
        <f t="shared" si="20"/>
        <v>-30254752.555999998</v>
      </c>
      <c r="AA120" s="26">
        <f t="shared" si="20"/>
        <v>-35813745.797070004</v>
      </c>
      <c r="AB120" s="26">
        <f t="shared" si="20"/>
        <v>-27626166.844680004</v>
      </c>
      <c r="AC120" s="26">
        <f t="shared" si="20"/>
        <v>-20505162.59505</v>
      </c>
      <c r="AD120" s="26">
        <f t="shared" si="20"/>
        <v>-14257590.458969999</v>
      </c>
      <c r="AE120" s="26">
        <f t="shared" si="20"/>
        <v>1729268.2328400002</v>
      </c>
      <c r="AF120" s="26">
        <f t="shared" si="20"/>
        <v>0</v>
      </c>
      <c r="AG120" s="26">
        <f t="shared" si="20"/>
        <v>0</v>
      </c>
      <c r="AH120" s="26">
        <f t="shared" si="20"/>
        <v>0</v>
      </c>
      <c r="AI120" s="26">
        <f t="shared" si="20"/>
        <v>0</v>
      </c>
      <c r="AJ120" s="26">
        <f t="shared" si="20"/>
        <v>0</v>
      </c>
      <c r="AK120" s="26">
        <f t="shared" si="20"/>
        <v>0</v>
      </c>
      <c r="AL120" s="26">
        <f t="shared" si="20"/>
        <v>0</v>
      </c>
      <c r="AM120" s="26">
        <f t="shared" si="20"/>
        <v>0</v>
      </c>
    </row>
    <row r="121" spans="2:39" x14ac:dyDescent="0.2">
      <c r="B121" s="21"/>
      <c r="C121" s="16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8"/>
    </row>
    <row r="122" spans="2:39" outlineLevel="1" x14ac:dyDescent="0.2">
      <c r="B122" s="21"/>
      <c r="C122" s="20" t="s">
        <v>287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8"/>
    </row>
    <row r="123" spans="2:39" outlineLevel="1" x14ac:dyDescent="0.2">
      <c r="B123" s="74" t="s">
        <v>1000</v>
      </c>
      <c r="C123" s="16" t="str">
        <f>_xlfn.XLOOKUP(B123,TB_UAE!A:A,TB_UAE!E:E)</f>
        <v>Opening Balance</v>
      </c>
      <c r="D123" s="17">
        <f>-_xlfn.XLOOKUP($C123,TB_UAE!$E:$E,TB_UAE!F:F)*D$2</f>
        <v>-4.8747400000000001</v>
      </c>
      <c r="E123" s="17">
        <f>-_xlfn.XLOOKUP($C123,TB_UAE!$E:$E,TB_UAE!G:G)*E$2</f>
        <v>-12.97068</v>
      </c>
      <c r="F123" s="17">
        <f>-_xlfn.XLOOKUP($C123,TB_UAE!$E:$E,TB_UAE!H:H)*F$2</f>
        <v>-7.5799599999999998</v>
      </c>
      <c r="G123" s="17">
        <f>-_xlfn.XLOOKUP($C123,TB_UAE!$E:$E,TB_UAE!I:I)*G$2</f>
        <v>-7.2786600000000004</v>
      </c>
      <c r="H123" s="17">
        <f>-_xlfn.XLOOKUP($C123,TB_UAE!$E:$E,TB_UAE!J:J)*H$2</f>
        <v>-9319661.6898400001</v>
      </c>
      <c r="I123" s="17">
        <f>-_xlfn.XLOOKUP($C123,TB_UAE!$E:$E,TB_UAE!K:K)*I$2</f>
        <v>-10332052.627359999</v>
      </c>
      <c r="J123" s="17">
        <f>-_xlfn.XLOOKUP($C123,TB_UAE!$E:$E,TB_UAE!L:L)*J$2</f>
        <v>-678.26736000000005</v>
      </c>
      <c r="K123" s="17">
        <f>-_xlfn.XLOOKUP($C123,TB_UAE!$E:$E,TB_UAE!M:M)*K$2</f>
        <v>-657.99128000000007</v>
      </c>
      <c r="L123" s="17">
        <f>-_xlfn.XLOOKUP($C123,TB_UAE!$E:$E,TB_UAE!N:N)*L$2</f>
        <v>-699.29705999999999</v>
      </c>
      <c r="M123" s="17">
        <f>-_xlfn.XLOOKUP($C123,TB_UAE!$E:$E,TB_UAE!O:O)*M$2</f>
        <v>0</v>
      </c>
      <c r="N123" s="17">
        <f>-_xlfn.XLOOKUP($C123,TB_UAE!$E:$E,TB_UAE!P:P)*N$2</f>
        <v>0</v>
      </c>
      <c r="O123" s="17">
        <f>-_xlfn.XLOOKUP($C123,TB_UAE!$E:$E,TB_UAE!Q:Q)*O$2</f>
        <v>0</v>
      </c>
      <c r="P123" s="17">
        <f>-_xlfn.XLOOKUP($C123,TB_UAE!$E:$E,TB_UAE!R:R)*P$2</f>
        <v>0</v>
      </c>
      <c r="Q123" s="17">
        <f>-_xlfn.XLOOKUP($C123,TB_UAE!$E:$E,TB_UAE!S:S)*Q$2</f>
        <v>0</v>
      </c>
      <c r="R123" s="17">
        <f>-_xlfn.XLOOKUP($C123,TB_UAE!$E:$E,TB_UAE!T:T)*R$2</f>
        <v>0</v>
      </c>
      <c r="S123" s="17">
        <f>-_xlfn.XLOOKUP($C123,TB_UAE!$E:$E,TB_UAE!U:U)*S$2</f>
        <v>0</v>
      </c>
      <c r="T123" s="17">
        <f>-_xlfn.XLOOKUP($C123,TB_UAE!$E:$E,TB_UAE!V:V)*T$2</f>
        <v>0</v>
      </c>
      <c r="U123" s="17">
        <f>-_xlfn.XLOOKUP($C123,TB_UAE!$E:$E,TB_UAE!W:W)*U$2</f>
        <v>0</v>
      </c>
      <c r="V123" s="17">
        <f>-_xlfn.XLOOKUP($C123,TB_UAE!$E:$E,TB_UAE!X:X)*V$2</f>
        <v>0</v>
      </c>
      <c r="W123" s="17">
        <f>-_xlfn.XLOOKUP($C123,TB_UAE!$E:$E,TB_UAE!Y:Y)*W$2</f>
        <v>0</v>
      </c>
      <c r="X123" s="17">
        <f>-_xlfn.XLOOKUP($C123,TB_UAE!$E:$E,TB_UAE!Z:Z)*X$2</f>
        <v>0</v>
      </c>
      <c r="Y123" s="17">
        <f>-_xlfn.XLOOKUP($C123,TB_UAE!$E:$E,TB_UAE!AA:AA)*Y$2</f>
        <v>0</v>
      </c>
      <c r="Z123" s="17">
        <f>-_xlfn.XLOOKUP($C123,TB_UAE!$E:$E,TB_UAE!AB:AB)*Z$2</f>
        <v>0</v>
      </c>
      <c r="AA123" s="17">
        <f>-_xlfn.XLOOKUP($C123,TB_UAE!$E:$E,TB_UAE!AC:AC)*AA$2</f>
        <v>0</v>
      </c>
      <c r="AB123" s="17">
        <f>-_xlfn.XLOOKUP($C123,TB_UAE!$E:$E,TB_UAE!AD:AD)*AB$2</f>
        <v>0</v>
      </c>
      <c r="AC123" s="17">
        <f>-_xlfn.XLOOKUP($C123,TB_UAE!$E:$E,TB_UAE!AE:AE)*AC$2</f>
        <v>0</v>
      </c>
      <c r="AD123" s="17">
        <f>-_xlfn.XLOOKUP($C123,TB_UAE!$E:$E,TB_UAE!AF:AF)*AD$2</f>
        <v>0</v>
      </c>
      <c r="AE123" s="17">
        <f>-_xlfn.XLOOKUP($C123,TB_UAE!$E:$E,TB_UAE!AG:AG)*AE$2</f>
        <v>0</v>
      </c>
      <c r="AF123" s="17">
        <f>-_xlfn.XLOOKUP($C123,TB_UAE!$E:$E,TB_UAE!AH:AH)*AF$2</f>
        <v>0</v>
      </c>
      <c r="AG123" s="17">
        <f>-_xlfn.XLOOKUP($C123,TB_UAE!$E:$E,TB_UAE!AI:AI)*AG$2</f>
        <v>0</v>
      </c>
      <c r="AH123" s="17">
        <f>-_xlfn.XLOOKUP($C123,TB_UAE!$E:$E,TB_UAE!AJ:AJ)*AH$2</f>
        <v>0</v>
      </c>
      <c r="AI123" s="17">
        <f>-_xlfn.XLOOKUP($C123,TB_UAE!$E:$E,TB_UAE!AK:AK)*AI$2</f>
        <v>0</v>
      </c>
      <c r="AJ123" s="17">
        <f>-_xlfn.XLOOKUP($C123,TB_UAE!$E:$E,TB_UAE!AL:AL)*AJ$2</f>
        <v>0</v>
      </c>
      <c r="AK123" s="17">
        <f>-_xlfn.XLOOKUP($C123,TB_UAE!$E:$E,TB_UAE!AM:AM)*AK$2</f>
        <v>0</v>
      </c>
      <c r="AL123" s="17">
        <f>-_xlfn.XLOOKUP($C123,TB_UAE!$E:$E,TB_UAE!AN:AN)*AL$2</f>
        <v>0</v>
      </c>
      <c r="AM123" s="17">
        <f>-_xlfn.XLOOKUP($C123,TB_UAE!$E:$E,TB_UAE!AO:AO)*AM$2</f>
        <v>0</v>
      </c>
    </row>
    <row r="124" spans="2:39" outlineLevel="1" x14ac:dyDescent="0.2">
      <c r="B124" s="74" t="s">
        <v>939</v>
      </c>
      <c r="C124" s="16" t="str">
        <f>_xlfn.XLOOKUP(B124,TB_UAE!A:A,TB_UAE!E:E)</f>
        <v>Shareholders Fund</v>
      </c>
      <c r="D124" s="17">
        <f>-_xlfn.XLOOKUP($C124,TB_UAE!$E:$E,TB_UAE!F:F)*D$2</f>
        <v>209905002.84442002</v>
      </c>
      <c r="E124" s="17">
        <f>-_xlfn.XLOOKUP($C124,TB_UAE!$E:$E,TB_UAE!G:G)*E$2</f>
        <v>389899566.04184002</v>
      </c>
      <c r="F124" s="17">
        <f>-_xlfn.XLOOKUP($C124,TB_UAE!$E:$E,TB_UAE!H:H)*F$2</f>
        <v>357270825.39587998</v>
      </c>
      <c r="G124" s="17">
        <f>-_xlfn.XLOOKUP($C124,TB_UAE!$E:$E,TB_UAE!I:I)*G$2</f>
        <v>397719677.19878995</v>
      </c>
      <c r="H124" s="17">
        <f>-_xlfn.XLOOKUP($C124,TB_UAE!$E:$E,TB_UAE!J:J)*H$2</f>
        <v>539381023.63380003</v>
      </c>
      <c r="I124" s="17">
        <f>-_xlfn.XLOOKUP($C124,TB_UAE!$E:$E,TB_UAE!K:K)*I$2</f>
        <v>607426026.60526991</v>
      </c>
      <c r="J124" s="17">
        <f>-_xlfn.XLOOKUP($C124,TB_UAE!$E:$E,TB_UAE!L:L)*J$2</f>
        <v>647255646.36479998</v>
      </c>
      <c r="K124" s="17">
        <f>-_xlfn.XLOOKUP($C124,TB_UAE!$E:$E,TB_UAE!M:M)*K$2</f>
        <v>760441682.43851995</v>
      </c>
      <c r="L124" s="17">
        <f>-_xlfn.XLOOKUP($C124,TB_UAE!$E:$E,TB_UAE!N:N)*L$2</f>
        <v>800577901.54287004</v>
      </c>
      <c r="M124" s="17">
        <f>-_xlfn.XLOOKUP($C124,TB_UAE!$E:$E,TB_UAE!O:O)*M$2</f>
        <v>791476416.46793997</v>
      </c>
      <c r="N124" s="17">
        <f>-_xlfn.XLOOKUP($C124,TB_UAE!$E:$E,TB_UAE!P:P)*N$2</f>
        <v>813339756.43959999</v>
      </c>
      <c r="O124" s="17">
        <f>-_xlfn.XLOOKUP($C124,TB_UAE!$E:$E,TB_UAE!Q:Q)*O$2</f>
        <v>510507078.03488004</v>
      </c>
      <c r="P124" s="17">
        <f>-_xlfn.XLOOKUP($C124,TB_UAE!$E:$E,TB_UAE!R:R)*P$2</f>
        <v>597069527.40079999</v>
      </c>
      <c r="Q124" s="17">
        <f>-_xlfn.XLOOKUP($C124,TB_UAE!$E:$E,TB_UAE!S:S)*Q$2</f>
        <v>585487862.46327996</v>
      </c>
      <c r="R124" s="17">
        <f>-_xlfn.XLOOKUP($C124,TB_UAE!$E:$E,TB_UAE!T:T)*R$2</f>
        <v>604064402.75786996</v>
      </c>
      <c r="S124" s="17">
        <f>-_xlfn.XLOOKUP($C124,TB_UAE!$E:$E,TB_UAE!U:U)*S$2</f>
        <v>709154102.07803011</v>
      </c>
      <c r="T124" s="17">
        <f>-_xlfn.XLOOKUP($C124,TB_UAE!$E:$E,TB_UAE!V:V)*T$2</f>
        <v>706840325.5967201</v>
      </c>
      <c r="U124" s="17">
        <f>-_xlfn.XLOOKUP($C124,TB_UAE!$E:$E,TB_UAE!W:W)*U$2</f>
        <v>690204339.28515995</v>
      </c>
      <c r="V124" s="17">
        <f>-_xlfn.XLOOKUP($C124,TB_UAE!$E:$E,TB_UAE!X:X)*V$2</f>
        <v>797125955.42263997</v>
      </c>
      <c r="W124" s="17">
        <f>-_xlfn.XLOOKUP($C124,TB_UAE!$E:$E,TB_UAE!Y:Y)*W$2</f>
        <v>805243719.59171999</v>
      </c>
      <c r="X124" s="17">
        <f>-_xlfn.XLOOKUP($C124,TB_UAE!$E:$E,TB_UAE!Z:Z)*X$2</f>
        <v>781288275.16415989</v>
      </c>
      <c r="Y124" s="17">
        <f>-_xlfn.XLOOKUP($C124,TB_UAE!$E:$E,TB_UAE!AA:AA)*Y$2</f>
        <v>767167402.45800006</v>
      </c>
      <c r="Z124" s="17">
        <f>-_xlfn.XLOOKUP($C124,TB_UAE!$E:$E,TB_UAE!AB:AB)*Z$2</f>
        <v>810200517.28049994</v>
      </c>
      <c r="AA124" s="17">
        <f>-_xlfn.XLOOKUP($C124,TB_UAE!$E:$E,TB_UAE!AC:AC)*AA$2</f>
        <v>492119919.97676998</v>
      </c>
      <c r="AB124" s="17">
        <f>-_xlfn.XLOOKUP($C124,TB_UAE!$E:$E,TB_UAE!AD:AD)*AB$2</f>
        <v>537191385.15136003</v>
      </c>
      <c r="AC124" s="17">
        <f>-_xlfn.XLOOKUP($C124,TB_UAE!$E:$E,TB_UAE!AE:AE)*AC$2</f>
        <v>529843754.09934998</v>
      </c>
      <c r="AD124" s="17">
        <f>-_xlfn.XLOOKUP($C124,TB_UAE!$E:$E,TB_UAE!AF:AF)*AD$2</f>
        <v>544069852.32403004</v>
      </c>
      <c r="AE124" s="17">
        <f>-_xlfn.XLOOKUP($C124,TB_UAE!$E:$E,TB_UAE!AG:AG)*AE$2</f>
        <v>618668327.64024007</v>
      </c>
      <c r="AF124" s="17">
        <f>-_xlfn.XLOOKUP($C124,TB_UAE!$E:$E,TB_UAE!AH:AH)*AF$2</f>
        <v>0</v>
      </c>
      <c r="AG124" s="17">
        <f>-_xlfn.XLOOKUP($C124,TB_UAE!$E:$E,TB_UAE!AI:AI)*AG$2</f>
        <v>0</v>
      </c>
      <c r="AH124" s="17">
        <f>-_xlfn.XLOOKUP($C124,TB_UAE!$E:$E,TB_UAE!AJ:AJ)*AH$2</f>
        <v>0</v>
      </c>
      <c r="AI124" s="17">
        <f>-_xlfn.XLOOKUP($C124,TB_UAE!$E:$E,TB_UAE!AK:AK)*AI$2</f>
        <v>0</v>
      </c>
      <c r="AJ124" s="17">
        <f>-_xlfn.XLOOKUP($C124,TB_UAE!$E:$E,TB_UAE!AL:AL)*AJ$2</f>
        <v>0</v>
      </c>
      <c r="AK124" s="17">
        <f>-_xlfn.XLOOKUP($C124,TB_UAE!$E:$E,TB_UAE!AM:AM)*AK$2</f>
        <v>0</v>
      </c>
      <c r="AL124" s="17">
        <f>-_xlfn.XLOOKUP($C124,TB_UAE!$E:$E,TB_UAE!AN:AN)*AL$2</f>
        <v>0</v>
      </c>
      <c r="AM124" s="17">
        <f>-_xlfn.XLOOKUP($C124,TB_UAE!$E:$E,TB_UAE!AO:AO)*AM$2</f>
        <v>0</v>
      </c>
    </row>
    <row r="125" spans="2:39" outlineLevel="1" x14ac:dyDescent="0.2">
      <c r="B125" s="74" t="s">
        <v>940</v>
      </c>
      <c r="C125" s="16" t="str">
        <f>_xlfn.XLOOKUP(B125,TB_UAE!A:A,TB_UAE!E:E)</f>
        <v>Share capital</v>
      </c>
      <c r="D125" s="17">
        <f>-_xlfn.XLOOKUP($C125,TB_UAE!$E:$E,TB_UAE!F:F)*D$2</f>
        <v>2437370</v>
      </c>
      <c r="E125" s="17">
        <f>-_xlfn.XLOOKUP($C125,TB_UAE!$E:$E,TB_UAE!G:G)*E$2</f>
        <v>4323560</v>
      </c>
      <c r="F125" s="17">
        <f>-_xlfn.XLOOKUP($C125,TB_UAE!$E:$E,TB_UAE!H:H)*F$2</f>
        <v>3789980</v>
      </c>
      <c r="G125" s="17">
        <f>-_xlfn.XLOOKUP($C125,TB_UAE!$E:$E,TB_UAE!I:I)*G$2</f>
        <v>3639330</v>
      </c>
      <c r="H125" s="17">
        <f>-_xlfn.XLOOKUP($C125,TB_UAE!$E:$E,TB_UAE!J:J)*H$2</f>
        <v>3727480</v>
      </c>
      <c r="I125" s="17">
        <f>-_xlfn.XLOOKUP($C125,TB_UAE!$E:$E,TB_UAE!K:K)*I$2</f>
        <v>4178470</v>
      </c>
      <c r="J125" s="17">
        <f>-_xlfn.XLOOKUP($C125,TB_UAE!$E:$E,TB_UAE!L:L)*J$2</f>
        <v>4433120</v>
      </c>
      <c r="K125" s="17">
        <f>-_xlfn.XLOOKUP($C125,TB_UAE!$E:$E,TB_UAE!M:M)*K$2</f>
        <v>4328890</v>
      </c>
      <c r="L125" s="17">
        <f>-_xlfn.XLOOKUP($C125,TB_UAE!$E:$E,TB_UAE!N:N)*L$2</f>
        <v>4540890</v>
      </c>
      <c r="M125" s="17">
        <f>-_xlfn.XLOOKUP($C125,TB_UAE!$E:$E,TB_UAE!O:O)*M$2</f>
        <v>4473420</v>
      </c>
      <c r="N125" s="17">
        <f>-_xlfn.XLOOKUP($C125,TB_UAE!$E:$E,TB_UAE!P:P)*N$2</f>
        <v>4581200</v>
      </c>
      <c r="O125" s="17">
        <f>-_xlfn.XLOOKUP($C125,TB_UAE!$E:$E,TB_UAE!Q:Q)*O$2</f>
        <v>4210720</v>
      </c>
      <c r="P125" s="17">
        <f>-_xlfn.XLOOKUP($C125,TB_UAE!$E:$E,TB_UAE!R:R)*P$2</f>
        <v>4185800</v>
      </c>
      <c r="Q125" s="17">
        <f>-_xlfn.XLOOKUP($C125,TB_UAE!$E:$E,TB_UAE!S:S)*Q$2</f>
        <v>4078639.9999999995</v>
      </c>
      <c r="R125" s="17">
        <f>-_xlfn.XLOOKUP($C125,TB_UAE!$E:$E,TB_UAE!T:T)*R$2</f>
        <v>4180390</v>
      </c>
      <c r="S125" s="17">
        <f>-_xlfn.XLOOKUP($C125,TB_UAE!$E:$E,TB_UAE!U:U)*S$2</f>
        <v>4360690</v>
      </c>
      <c r="T125" s="17">
        <f>-_xlfn.XLOOKUP($C125,TB_UAE!$E:$E,TB_UAE!V:V)*T$2</f>
        <v>4322590</v>
      </c>
      <c r="U125" s="17">
        <f>-_xlfn.XLOOKUP($C125,TB_UAE!$E:$E,TB_UAE!W:W)*U$2</f>
        <v>4196710</v>
      </c>
      <c r="V125" s="17">
        <f>-_xlfn.XLOOKUP($C125,TB_UAE!$E:$E,TB_UAE!X:X)*V$2</f>
        <v>4166620</v>
      </c>
      <c r="W125" s="17">
        <f>-_xlfn.XLOOKUP($C125,TB_UAE!$E:$E,TB_UAE!Y:Y)*W$2</f>
        <v>4187580</v>
      </c>
      <c r="X125" s="17">
        <f>-_xlfn.XLOOKUP($C125,TB_UAE!$E:$E,TB_UAE!Z:Z)*X$2</f>
        <v>4039260</v>
      </c>
      <c r="Y125" s="17">
        <f>-_xlfn.XLOOKUP($C125,TB_UAE!$E:$E,TB_UAE!AA:AA)*Y$2</f>
        <v>3946000</v>
      </c>
      <c r="Z125" s="17">
        <f>-_xlfn.XLOOKUP($C125,TB_UAE!$E:$E,TB_UAE!AB:AB)*Z$2</f>
        <v>3940250</v>
      </c>
      <c r="AA125" s="17">
        <f>-_xlfn.XLOOKUP($C125,TB_UAE!$E:$E,TB_UAE!AC:AC)*AA$2</f>
        <v>3946370</v>
      </c>
      <c r="AB125" s="17">
        <f>-_xlfn.XLOOKUP($C125,TB_UAE!$E:$E,TB_UAE!AD:AD)*AB$2</f>
        <v>3777880</v>
      </c>
      <c r="AC125" s="17">
        <f>-_xlfn.XLOOKUP($C125,TB_UAE!$E:$E,TB_UAE!AE:AE)*AC$2</f>
        <v>3694550</v>
      </c>
      <c r="AD125" s="17">
        <f>-_xlfn.XLOOKUP($C125,TB_UAE!$E:$E,TB_UAE!AF:AF)*AD$2</f>
        <v>3764270</v>
      </c>
      <c r="AE125" s="17">
        <f>-_xlfn.XLOOKUP($C125,TB_UAE!$E:$E,TB_UAE!AG:AG)*AE$2</f>
        <v>3741960.0000000005</v>
      </c>
      <c r="AF125" s="17">
        <f>-_xlfn.XLOOKUP($C125,TB_UAE!$E:$E,TB_UAE!AH:AH)*AF$2</f>
        <v>0</v>
      </c>
      <c r="AG125" s="17">
        <f>-_xlfn.XLOOKUP($C125,TB_UAE!$E:$E,TB_UAE!AI:AI)*AG$2</f>
        <v>0</v>
      </c>
      <c r="AH125" s="17">
        <f>-_xlfn.XLOOKUP($C125,TB_UAE!$E:$E,TB_UAE!AJ:AJ)*AH$2</f>
        <v>0</v>
      </c>
      <c r="AI125" s="17">
        <f>-_xlfn.XLOOKUP($C125,TB_UAE!$E:$E,TB_UAE!AK:AK)*AI$2</f>
        <v>0</v>
      </c>
      <c r="AJ125" s="17">
        <f>-_xlfn.XLOOKUP($C125,TB_UAE!$E:$E,TB_UAE!AL:AL)*AJ$2</f>
        <v>0</v>
      </c>
      <c r="AK125" s="17">
        <f>-_xlfn.XLOOKUP($C125,TB_UAE!$E:$E,TB_UAE!AM:AM)*AK$2</f>
        <v>0</v>
      </c>
      <c r="AL125" s="17">
        <f>-_xlfn.XLOOKUP($C125,TB_UAE!$E:$E,TB_UAE!AN:AN)*AL$2</f>
        <v>0</v>
      </c>
      <c r="AM125" s="17">
        <f>-_xlfn.XLOOKUP($C125,TB_UAE!$E:$E,TB_UAE!AO:AO)*AM$2</f>
        <v>0</v>
      </c>
    </row>
    <row r="126" spans="2:39" outlineLevel="1" x14ac:dyDescent="0.2">
      <c r="B126" s="21"/>
      <c r="C126" s="16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</row>
    <row r="127" spans="2:39" outlineLevel="1" x14ac:dyDescent="0.2">
      <c r="B127" s="21"/>
      <c r="C127" s="44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32"/>
    </row>
    <row r="128" spans="2:39" x14ac:dyDescent="0.2">
      <c r="B128" s="21"/>
      <c r="C128" s="22" t="s">
        <v>61</v>
      </c>
      <c r="D128" s="23">
        <f t="shared" ref="D128:I128" si="21">SUM(D123:D126)</f>
        <v>212342367.96968001</v>
      </c>
      <c r="E128" s="23">
        <f t="shared" si="21"/>
        <v>394223113.07116002</v>
      </c>
      <c r="F128" s="23">
        <f t="shared" si="21"/>
        <v>361060797.81592</v>
      </c>
      <c r="G128" s="23">
        <f t="shared" si="21"/>
        <v>401358999.92012995</v>
      </c>
      <c r="H128" s="23">
        <f t="shared" si="21"/>
        <v>533788841.94396001</v>
      </c>
      <c r="I128" s="23">
        <f t="shared" si="21"/>
        <v>601272443.97790992</v>
      </c>
      <c r="J128" s="23">
        <f>SUM(J123:J126)</f>
        <v>651688088.09744</v>
      </c>
      <c r="K128" s="23">
        <f t="shared" ref="K128:AM128" si="22">SUM(K123:K126)</f>
        <v>764769914.44724</v>
      </c>
      <c r="L128" s="23">
        <f t="shared" si="22"/>
        <v>805118092.24581003</v>
      </c>
      <c r="M128" s="23">
        <f t="shared" si="22"/>
        <v>795949836.46793997</v>
      </c>
      <c r="N128" s="23">
        <f t="shared" si="22"/>
        <v>817920956.43959999</v>
      </c>
      <c r="O128" s="393">
        <f t="shared" si="22"/>
        <v>514717798.03488004</v>
      </c>
      <c r="P128" s="23">
        <f t="shared" si="22"/>
        <v>601255327.40079999</v>
      </c>
      <c r="Q128" s="23">
        <f t="shared" si="22"/>
        <v>589566502.46327996</v>
      </c>
      <c r="R128" s="23">
        <f t="shared" si="22"/>
        <v>608244792.75786996</v>
      </c>
      <c r="S128" s="23">
        <f t="shared" si="22"/>
        <v>713514792.07803011</v>
      </c>
      <c r="T128" s="23">
        <f t="shared" si="22"/>
        <v>711162915.5967201</v>
      </c>
      <c r="U128" s="23">
        <f t="shared" si="22"/>
        <v>694401049.28515995</v>
      </c>
      <c r="V128" s="23">
        <f t="shared" si="22"/>
        <v>801292575.42263997</v>
      </c>
      <c r="W128" s="23">
        <f t="shared" si="22"/>
        <v>809431299.59171999</v>
      </c>
      <c r="X128" s="23">
        <f t="shared" si="22"/>
        <v>785327535.16415989</v>
      </c>
      <c r="Y128" s="23">
        <f t="shared" si="22"/>
        <v>771113402.45800006</v>
      </c>
      <c r="Z128" s="23">
        <f t="shared" si="22"/>
        <v>814140767.28049994</v>
      </c>
      <c r="AA128" s="23">
        <f t="shared" si="22"/>
        <v>496066289.97676998</v>
      </c>
      <c r="AB128" s="23">
        <f t="shared" si="22"/>
        <v>540969265.15136003</v>
      </c>
      <c r="AC128" s="23">
        <f t="shared" si="22"/>
        <v>533538304.09934998</v>
      </c>
      <c r="AD128" s="23">
        <f t="shared" si="22"/>
        <v>547834122.32403004</v>
      </c>
      <c r="AE128" s="23">
        <f t="shared" si="22"/>
        <v>622410287.64024007</v>
      </c>
      <c r="AF128" s="23">
        <f t="shared" si="22"/>
        <v>0</v>
      </c>
      <c r="AG128" s="23">
        <f t="shared" si="22"/>
        <v>0</v>
      </c>
      <c r="AH128" s="23">
        <f t="shared" si="22"/>
        <v>0</v>
      </c>
      <c r="AI128" s="23">
        <f t="shared" si="22"/>
        <v>0</v>
      </c>
      <c r="AJ128" s="23">
        <f t="shared" si="22"/>
        <v>0</v>
      </c>
      <c r="AK128" s="23">
        <f t="shared" si="22"/>
        <v>0</v>
      </c>
      <c r="AL128" s="23">
        <f t="shared" si="22"/>
        <v>0</v>
      </c>
      <c r="AM128" s="23">
        <f t="shared" si="22"/>
        <v>0</v>
      </c>
    </row>
    <row r="129" spans="2:39" x14ac:dyDescent="0.2">
      <c r="B129" s="21"/>
      <c r="C129" s="16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8"/>
    </row>
    <row r="130" spans="2:39" outlineLevel="1" x14ac:dyDescent="0.2">
      <c r="B130" s="21"/>
      <c r="C130" s="20" t="s">
        <v>293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8"/>
    </row>
    <row r="131" spans="2:39" outlineLevel="1" x14ac:dyDescent="0.2">
      <c r="B131" s="74" t="s">
        <v>941</v>
      </c>
      <c r="C131" s="16" t="str">
        <f>_xlfn.XLOOKUP(B131,TB_UAE!A:A,TB_UAE!E:E)</f>
        <v>Retained Earnings</v>
      </c>
      <c r="D131" s="17">
        <f>-_xlfn.XLOOKUP($C131,TB_UAE!$E:$E,TB_UAE!F:F)*D$2</f>
        <v>-190186845.28557998</v>
      </c>
      <c r="E131" s="17">
        <f>-_xlfn.XLOOKUP($C131,TB_UAE!$E:$E,TB_UAE!G:G)*E$2</f>
        <v>-337365372.02103996</v>
      </c>
      <c r="F131" s="17">
        <f>-_xlfn.XLOOKUP($C131,TB_UAE!$E:$E,TB_UAE!H:H)*F$2</f>
        <v>-295730373.26931995</v>
      </c>
      <c r="G131" s="17">
        <f>-_xlfn.XLOOKUP($C131,TB_UAE!$E:$E,TB_UAE!I:I)*G$2</f>
        <v>-283975223.97222</v>
      </c>
      <c r="H131" s="17">
        <f>-_xlfn.XLOOKUP($C131,TB_UAE!$E:$E,TB_UAE!J:J)*H$2</f>
        <v>-290853527.39431995</v>
      </c>
      <c r="I131" s="17">
        <f>-_xlfn.XLOOKUP($C131,TB_UAE!$E:$E,TB_UAE!K:K)*I$2</f>
        <v>-326044066.93297994</v>
      </c>
      <c r="J131" s="17">
        <f>-_xlfn.XLOOKUP($C131,TB_UAE!$E:$E,TB_UAE!L:L)*J$2</f>
        <v>-345914287.76608002</v>
      </c>
      <c r="K131" s="17">
        <f>-_xlfn.XLOOKUP($C131,TB_UAE!$E:$E,TB_UAE!M:M)*K$2</f>
        <v>-337781269.43725997</v>
      </c>
      <c r="L131" s="17">
        <f>-_xlfn.XLOOKUP($C131,TB_UAE!$E:$E,TB_UAE!N:N)*L$2</f>
        <v>-354323530.64525998</v>
      </c>
      <c r="M131" s="17">
        <f>-_xlfn.XLOOKUP($C131,TB_UAE!$E:$E,TB_UAE!O:O)*M$2</f>
        <v>-349058877.98627996</v>
      </c>
      <c r="N131" s="17">
        <f>-_xlfn.XLOOKUP($C131,TB_UAE!$E:$E,TB_UAE!P:P)*N$2</f>
        <v>-357468901.16079998</v>
      </c>
      <c r="O131" s="17">
        <f>-_xlfn.XLOOKUP($C131,TB_UAE!$E:$E,TB_UAE!Q:Q)*O$2</f>
        <v>-328560519.40447998</v>
      </c>
      <c r="P131" s="17">
        <f>-_xlfn.XLOOKUP($C131,TB_UAE!$E:$E,TB_UAE!R:R)*P$2</f>
        <v>-461134265.97199994</v>
      </c>
      <c r="Q131" s="17">
        <f>-_xlfn.XLOOKUP($C131,TB_UAE!$E:$E,TB_UAE!S:S)*Q$2</f>
        <v>-449328840.97759992</v>
      </c>
      <c r="R131" s="17">
        <f>-_xlfn.XLOOKUP($C131,TB_UAE!$E:$E,TB_UAE!T:T)*R$2</f>
        <v>-460538266.07259995</v>
      </c>
      <c r="S131" s="17">
        <f>-_xlfn.XLOOKUP($C131,TB_UAE!$E:$E,TB_UAE!U:U)*S$2</f>
        <v>-480401257.17460001</v>
      </c>
      <c r="T131" s="17">
        <f>-_xlfn.XLOOKUP($C131,TB_UAE!$E:$E,TB_UAE!V:V)*T$2</f>
        <v>-476203919.62059999</v>
      </c>
      <c r="U131" s="17">
        <f>-_xlfn.XLOOKUP($C131,TB_UAE!$E:$E,TB_UAE!W:W)*U$2</f>
        <v>-462336180.74139994</v>
      </c>
      <c r="V131" s="17">
        <f>-_xlfn.XLOOKUP($C131,TB_UAE!$E:$E,TB_UAE!X:X)*V$2</f>
        <v>-459021275.57079995</v>
      </c>
      <c r="W131" s="17">
        <f>-_xlfn.XLOOKUP($C131,TB_UAE!$E:$E,TB_UAE!Y:Y)*W$2</f>
        <v>-461330362.05719995</v>
      </c>
      <c r="X131" s="17">
        <f>-_xlfn.XLOOKUP($C131,TB_UAE!$E:$E,TB_UAE!Z:Z)*X$2</f>
        <v>-444990490.50839996</v>
      </c>
      <c r="Y131" s="17">
        <f>-_xlfn.XLOOKUP($C131,TB_UAE!$E:$E,TB_UAE!AA:AA)*Y$2</f>
        <v>-434716377.63999999</v>
      </c>
      <c r="Z131" s="17">
        <f>-_xlfn.XLOOKUP($C131,TB_UAE!$E:$E,TB_UAE!AB:AB)*Z$2</f>
        <v>-434082921.18499994</v>
      </c>
      <c r="AA131" s="17">
        <f>-_xlfn.XLOOKUP($C131,TB_UAE!$E:$E,TB_UAE!AC:AC)*AA$2</f>
        <v>-434757139.18579996</v>
      </c>
      <c r="AB131" s="17">
        <f>-_xlfn.XLOOKUP($C131,TB_UAE!$E:$E,TB_UAE!AD:AD)*AB$2</f>
        <v>-425311543.00748003</v>
      </c>
      <c r="AC131" s="17">
        <f>-_xlfn.XLOOKUP($C131,TB_UAE!$E:$E,TB_UAE!AE:AE)*AC$2</f>
        <v>-415930299.85554999</v>
      </c>
      <c r="AD131" s="17">
        <f>-_xlfn.XLOOKUP($C131,TB_UAE!$E:$E,TB_UAE!AF:AF)*AD$2</f>
        <v>-423779337.08767003</v>
      </c>
      <c r="AE131" s="17">
        <f>-_xlfn.XLOOKUP($C131,TB_UAE!$E:$E,TB_UAE!AG:AG)*AE$2</f>
        <v>-421267690.20516002</v>
      </c>
      <c r="AF131" s="17">
        <f>-_xlfn.XLOOKUP($C131,TB_UAE!$E:$E,TB_UAE!AH:AH)*AF$2</f>
        <v>0</v>
      </c>
      <c r="AG131" s="17">
        <f>-_xlfn.XLOOKUP($C131,TB_UAE!$E:$E,TB_UAE!AI:AI)*AG$2</f>
        <v>0</v>
      </c>
      <c r="AH131" s="17">
        <f>-_xlfn.XLOOKUP($C131,TB_UAE!$E:$E,TB_UAE!AJ:AJ)*AH$2</f>
        <v>0</v>
      </c>
      <c r="AI131" s="17">
        <f>-_xlfn.XLOOKUP($C131,TB_UAE!$E:$E,TB_UAE!AK:AK)*AI$2</f>
        <v>0</v>
      </c>
      <c r="AJ131" s="17">
        <f>-_xlfn.XLOOKUP($C131,TB_UAE!$E:$E,TB_UAE!AL:AL)*AJ$2</f>
        <v>0</v>
      </c>
      <c r="AK131" s="17">
        <f>-_xlfn.XLOOKUP($C131,TB_UAE!$E:$E,TB_UAE!AM:AM)*AK$2</f>
        <v>0</v>
      </c>
      <c r="AL131" s="17">
        <f>-_xlfn.XLOOKUP($C131,TB_UAE!$E:$E,TB_UAE!AN:AN)*AL$2</f>
        <v>0</v>
      </c>
      <c r="AM131" s="17">
        <f>-_xlfn.XLOOKUP($C131,TB_UAE!$E:$E,TB_UAE!AO:AO)*AM$2</f>
        <v>0</v>
      </c>
    </row>
    <row r="132" spans="2:39" outlineLevel="1" x14ac:dyDescent="0.2">
      <c r="B132" s="74" t="s">
        <v>942</v>
      </c>
      <c r="C132" s="16" t="str">
        <f>_xlfn.XLOOKUP(B132,TB_UAE!A:A,TB_UAE!E:E)</f>
        <v>Net Income</v>
      </c>
      <c r="D132" s="17">
        <f>-_xlfn.XLOOKUP($C132,TB_UAE!$E:$E,TB_UAE!F:F)*D$2</f>
        <v>0</v>
      </c>
      <c r="E132" s="17">
        <f>-_xlfn.XLOOKUP($C132,TB_UAE!$E:$E,TB_UAE!G:G)*E$2</f>
        <v>0</v>
      </c>
      <c r="F132" s="17">
        <f>-_xlfn.XLOOKUP($C132,TB_UAE!$E:$E,TB_UAE!H:H)*F$2</f>
        <v>0</v>
      </c>
      <c r="G132" s="17">
        <f>-_xlfn.XLOOKUP($C132,TB_UAE!$E:$E,TB_UAE!I:I)*G$2</f>
        <v>0</v>
      </c>
      <c r="H132" s="17">
        <f>-_xlfn.XLOOKUP($C132,TB_UAE!$E:$E,TB_UAE!J:J)*H$2</f>
        <v>0</v>
      </c>
      <c r="I132" s="17">
        <f>-_xlfn.XLOOKUP($C132,TB_UAE!$E:$E,TB_UAE!K:K)*I$2</f>
        <v>0</v>
      </c>
      <c r="J132" s="17">
        <f>-_xlfn.XLOOKUP($C132,TB_UAE!$E:$E,TB_UAE!L:L)*J$2</f>
        <v>0</v>
      </c>
      <c r="K132" s="17">
        <f>-_xlfn.XLOOKUP($C132,TB_UAE!$E:$E,TB_UAE!M:M)*K$2</f>
        <v>0</v>
      </c>
      <c r="L132" s="17">
        <f>-_xlfn.XLOOKUP($C132,TB_UAE!$E:$E,TB_UAE!N:N)*L$2</f>
        <v>0</v>
      </c>
      <c r="M132" s="17">
        <f>-_xlfn.XLOOKUP($C132,TB_UAE!$E:$E,TB_UAE!O:O)*M$2</f>
        <v>0</v>
      </c>
      <c r="N132" s="17">
        <f>-_xlfn.XLOOKUP($C132,TB_UAE!$E:$E,TB_UAE!P:P)*N$2</f>
        <v>0</v>
      </c>
      <c r="O132" s="17">
        <f>-_xlfn.XLOOKUP($C132,TB_UAE!$E:$E,TB_UAE!Q:Q)*O$2</f>
        <v>0</v>
      </c>
      <c r="P132" s="17">
        <f>-_xlfn.XLOOKUP($C132,TB_UAE!$E:$E,TB_UAE!R:R)*P$2</f>
        <v>0</v>
      </c>
      <c r="Q132" s="17">
        <f>-_xlfn.XLOOKUP($C132,TB_UAE!$E:$E,TB_UAE!S:S)*Q$2</f>
        <v>0</v>
      </c>
      <c r="R132" s="17">
        <f>-_xlfn.XLOOKUP($C132,TB_UAE!$E:$E,TB_UAE!T:T)*R$2</f>
        <v>0</v>
      </c>
      <c r="S132" s="17">
        <f>-_xlfn.XLOOKUP($C132,TB_UAE!$E:$E,TB_UAE!U:U)*S$2</f>
        <v>0</v>
      </c>
      <c r="T132" s="17">
        <f>-_xlfn.XLOOKUP($C132,TB_UAE!$E:$E,TB_UAE!V:V)*T$2</f>
        <v>0</v>
      </c>
      <c r="U132" s="17">
        <f>-_xlfn.XLOOKUP($C132,TB_UAE!$E:$E,TB_UAE!W:W)*U$2</f>
        <v>0</v>
      </c>
      <c r="V132" s="17">
        <f>-_xlfn.XLOOKUP($C132,TB_UAE!$E:$E,TB_UAE!X:X)*V$2</f>
        <v>0</v>
      </c>
      <c r="W132" s="17">
        <f>-_xlfn.XLOOKUP($C132,TB_UAE!$E:$E,TB_UAE!Y:Y)*W$2</f>
        <v>0</v>
      </c>
      <c r="X132" s="17">
        <f>-_xlfn.XLOOKUP($C132,TB_UAE!$E:$E,TB_UAE!Z:Z)*X$2</f>
        <v>0</v>
      </c>
      <c r="Y132" s="17">
        <f>-_xlfn.XLOOKUP($C132,TB_UAE!$E:$E,TB_UAE!AA:AA)*Y$2</f>
        <v>0</v>
      </c>
      <c r="Z132" s="17">
        <f>-_xlfn.XLOOKUP($C132,TB_UAE!$E:$E,TB_UAE!AB:AB)*Z$2</f>
        <v>0</v>
      </c>
      <c r="AA132" s="17">
        <f>-_xlfn.XLOOKUP($C132,TB_UAE!$E:$E,TB_UAE!AC:AC)*AA$2</f>
        <v>0</v>
      </c>
      <c r="AB132" s="17">
        <f>-_xlfn.XLOOKUP($C132,TB_UAE!$E:$E,TB_UAE!AD:AD)*AB$2</f>
        <v>0</v>
      </c>
      <c r="AC132" s="17">
        <f>-_xlfn.XLOOKUP($C132,TB_UAE!$E:$E,TB_UAE!AE:AE)*AC$2</f>
        <v>0</v>
      </c>
      <c r="AD132" s="17">
        <f>-_xlfn.XLOOKUP($C132,TB_UAE!$E:$E,TB_UAE!AF:AF)*AD$2</f>
        <v>0</v>
      </c>
      <c r="AE132" s="17">
        <f>-_xlfn.XLOOKUP($C132,TB_UAE!$E:$E,TB_UAE!AG:AG)*AE$2</f>
        <v>0</v>
      </c>
      <c r="AF132" s="17">
        <f>-_xlfn.XLOOKUP($C132,TB_UAE!$E:$E,TB_UAE!AH:AH)*AF$2</f>
        <v>0</v>
      </c>
      <c r="AG132" s="17">
        <f>-_xlfn.XLOOKUP($C132,TB_UAE!$E:$E,TB_UAE!AI:AI)*AG$2</f>
        <v>0</v>
      </c>
      <c r="AH132" s="17">
        <f>-_xlfn.XLOOKUP($C132,TB_UAE!$E:$E,TB_UAE!AJ:AJ)*AH$2</f>
        <v>0</v>
      </c>
      <c r="AI132" s="17">
        <f>-_xlfn.XLOOKUP($C132,TB_UAE!$E:$E,TB_UAE!AK:AK)*AI$2</f>
        <v>0</v>
      </c>
      <c r="AJ132" s="17">
        <f>-_xlfn.XLOOKUP($C132,TB_UAE!$E:$E,TB_UAE!AL:AL)*AJ$2</f>
        <v>0</v>
      </c>
      <c r="AK132" s="17">
        <f>-_xlfn.XLOOKUP($C132,TB_UAE!$E:$E,TB_UAE!AM:AM)*AK$2</f>
        <v>0</v>
      </c>
      <c r="AL132" s="17">
        <f>-_xlfn.XLOOKUP($C132,TB_UAE!$E:$E,TB_UAE!AN:AN)*AL$2</f>
        <v>0</v>
      </c>
      <c r="AM132" s="17">
        <f>-_xlfn.XLOOKUP($C132,TB_UAE!$E:$E,TB_UAE!AO:AO)*AM$2</f>
        <v>0</v>
      </c>
    </row>
    <row r="133" spans="2:39" outlineLevel="1" x14ac:dyDescent="0.2">
      <c r="B133" s="21"/>
      <c r="C133" s="16" t="s">
        <v>296</v>
      </c>
      <c r="D133" s="17">
        <f>TB_UAE!F289*D$2</f>
        <v>-11999789.164610006</v>
      </c>
      <c r="E133" s="17">
        <f>TB_UAE!G289*E$2</f>
        <v>-45516701.608880043</v>
      </c>
      <c r="F133" s="17">
        <f>TB_UAE!H289*F$2</f>
        <v>-61650475.245960049</v>
      </c>
      <c r="G133" s="17">
        <f>TB_UAE!I289*G$2</f>
        <v>-76840522.473599985</v>
      </c>
      <c r="H133" s="17">
        <f>TB_UAE!J289*H$2</f>
        <v>-154193054.88864002</v>
      </c>
      <c r="I133" s="17">
        <f>TB_UAE!K289*I$2</f>
        <v>-176261064.38672999</v>
      </c>
      <c r="J133" s="17">
        <f>TB_UAE!L289*J$2</f>
        <v>-256656470.98575994</v>
      </c>
      <c r="K133" s="17">
        <f>TB_UAE!M289*K$2</f>
        <v>-293329850.35664999</v>
      </c>
      <c r="L133" s="17">
        <f>TB_UAE!N289*L$2</f>
        <v>-329024502.37617004</v>
      </c>
      <c r="M133" s="17">
        <f>TB_UAE!O289*M$2</f>
        <v>-366044189.79450005</v>
      </c>
      <c r="N133" s="17">
        <f>TB_UAE!P289*N$2</f>
        <v>-404705796.37800002</v>
      </c>
      <c r="O133" s="17">
        <f>TB_UAE!Q289*O$2</f>
        <v>-135319091.76032007</v>
      </c>
      <c r="P133" s="17">
        <f>TB_UAE!R289*P$2</f>
        <v>-28984120.033600066</v>
      </c>
      <c r="Q133" s="17">
        <f>TB_UAE!S289*Q$2</f>
        <v>-57043887.590480022</v>
      </c>
      <c r="R133" s="17">
        <f>TB_UAE!T289*R$2</f>
        <v>-86149230.476990059</v>
      </c>
      <c r="S133" s="17">
        <f>TB_UAE!U289*S$2</f>
        <v>-118332172.23728006</v>
      </c>
      <c r="T133" s="17">
        <f>TB_UAE!V289*T$2</f>
        <v>-146683516.8680701</v>
      </c>
      <c r="U133" s="17">
        <f>TB_UAE!W289*U$2</f>
        <v>-171644582.87115997</v>
      </c>
      <c r="V133" s="17">
        <f>TB_UAE!X289*V$2</f>
        <v>-198015473.86851996</v>
      </c>
      <c r="W133" s="17">
        <f>TB_UAE!Y289*W$2</f>
        <v>-228225894.74070004</v>
      </c>
      <c r="X133" s="17">
        <f>TB_UAE!Z289*X$2</f>
        <v>-249683314.46897998</v>
      </c>
      <c r="Y133" s="17">
        <f>TB_UAE!AA289*Y$2</f>
        <v>-272345872.44400007</v>
      </c>
      <c r="Z133" s="17">
        <f>TB_UAE!AB289*Z$2</f>
        <v>-300411224.45650005</v>
      </c>
      <c r="AA133" s="17">
        <f>TB_UAE!AC289*AA$2</f>
        <v>-9522910.4659700226</v>
      </c>
      <c r="AB133" s="17">
        <f>TB_UAE!AD289*AB$2</f>
        <v>-25482571.287520014</v>
      </c>
      <c r="AC133" s="17">
        <f>TB_UAE!AE289*AC$2</f>
        <v>-51209758.538600057</v>
      </c>
      <c r="AD133" s="17">
        <f>TB_UAE!AF289*AD$2</f>
        <v>-78242441.119849935</v>
      </c>
      <c r="AE133" s="17">
        <f>TB_UAE!AG289*AE$2</f>
        <v>-104289353.20608</v>
      </c>
      <c r="AF133" s="17">
        <f>TB_UAE!AH289*AF$2</f>
        <v>0</v>
      </c>
      <c r="AG133" s="17">
        <f>TB_UAE!AI289*AG$2</f>
        <v>0</v>
      </c>
      <c r="AH133" s="17">
        <f>TB_UAE!AJ289*AH$2</f>
        <v>0</v>
      </c>
      <c r="AI133" s="17">
        <f>TB_UAE!AK289*AI$2</f>
        <v>0</v>
      </c>
      <c r="AJ133" s="17">
        <f>TB_UAE!AL289*AJ$2</f>
        <v>0</v>
      </c>
      <c r="AK133" s="17">
        <f>TB_UAE!AM289*AK$2</f>
        <v>0</v>
      </c>
      <c r="AL133" s="17">
        <f>TB_UAE!AN289*AL$2</f>
        <v>0</v>
      </c>
      <c r="AM133" s="17">
        <f>TB_UAE!AO289*AM$2</f>
        <v>0</v>
      </c>
    </row>
    <row r="134" spans="2:39" outlineLevel="1" x14ac:dyDescent="0.2">
      <c r="B134" s="21"/>
      <c r="C134" s="16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</row>
    <row r="135" spans="2:39" x14ac:dyDescent="0.2">
      <c r="B135" s="21"/>
      <c r="C135" s="22" t="s">
        <v>62</v>
      </c>
      <c r="D135" s="23">
        <f t="shared" ref="D135:AM135" si="23">SUM(D131:D134)</f>
        <v>-202186634.45018998</v>
      </c>
      <c r="E135" s="23">
        <f t="shared" si="23"/>
        <v>-382882073.62992001</v>
      </c>
      <c r="F135" s="23">
        <f t="shared" si="23"/>
        <v>-357380848.51528001</v>
      </c>
      <c r="G135" s="23">
        <f t="shared" si="23"/>
        <v>-360815746.44581997</v>
      </c>
      <c r="H135" s="23">
        <f t="shared" si="23"/>
        <v>-445046582.28295994</v>
      </c>
      <c r="I135" s="23">
        <f t="shared" si="23"/>
        <v>-502305131.3197099</v>
      </c>
      <c r="J135" s="23">
        <f t="shared" si="23"/>
        <v>-602570758.75184</v>
      </c>
      <c r="K135" s="23">
        <f t="shared" si="23"/>
        <v>-631111119.79391003</v>
      </c>
      <c r="L135" s="23">
        <f t="shared" si="23"/>
        <v>-683348033.02143002</v>
      </c>
      <c r="M135" s="23">
        <f t="shared" si="23"/>
        <v>-715103067.78078008</v>
      </c>
      <c r="N135" s="23">
        <f t="shared" si="23"/>
        <v>-762174697.5388</v>
      </c>
      <c r="O135" s="393">
        <f t="shared" si="23"/>
        <v>-463879611.16480005</v>
      </c>
      <c r="P135" s="23">
        <f t="shared" si="23"/>
        <v>-490118386.00560004</v>
      </c>
      <c r="Q135" s="23">
        <f t="shared" si="23"/>
        <v>-506372728.56807995</v>
      </c>
      <c r="R135" s="23">
        <f t="shared" si="23"/>
        <v>-546687496.54958999</v>
      </c>
      <c r="S135" s="23">
        <f t="shared" si="23"/>
        <v>-598733429.41188002</v>
      </c>
      <c r="T135" s="23">
        <f t="shared" si="23"/>
        <v>-622887436.48867011</v>
      </c>
      <c r="U135" s="23">
        <f t="shared" si="23"/>
        <v>-633980763.61255991</v>
      </c>
      <c r="V135" s="23">
        <f t="shared" si="23"/>
        <v>-657036749.43931985</v>
      </c>
      <c r="W135" s="23">
        <f t="shared" si="23"/>
        <v>-689556256.79789996</v>
      </c>
      <c r="X135" s="23">
        <f t="shared" si="23"/>
        <v>-694673804.97737992</v>
      </c>
      <c r="Y135" s="23">
        <f t="shared" si="23"/>
        <v>-707062250.08400011</v>
      </c>
      <c r="Z135" s="23">
        <f t="shared" si="23"/>
        <v>-734494145.6415</v>
      </c>
      <c r="AA135" s="23">
        <f t="shared" si="23"/>
        <v>-444280049.65177</v>
      </c>
      <c r="AB135" s="23">
        <f t="shared" si="23"/>
        <v>-450794114.29500002</v>
      </c>
      <c r="AC135" s="23">
        <f t="shared" si="23"/>
        <v>-467140058.39415002</v>
      </c>
      <c r="AD135" s="23">
        <f t="shared" si="23"/>
        <v>-502021778.20751995</v>
      </c>
      <c r="AE135" s="23">
        <f t="shared" si="23"/>
        <v>-525557043.41124004</v>
      </c>
      <c r="AF135" s="23">
        <f t="shared" si="23"/>
        <v>0</v>
      </c>
      <c r="AG135" s="23">
        <f t="shared" si="23"/>
        <v>0</v>
      </c>
      <c r="AH135" s="23">
        <f t="shared" si="23"/>
        <v>0</v>
      </c>
      <c r="AI135" s="23">
        <f t="shared" si="23"/>
        <v>0</v>
      </c>
      <c r="AJ135" s="23">
        <f t="shared" si="23"/>
        <v>0</v>
      </c>
      <c r="AK135" s="23">
        <f t="shared" si="23"/>
        <v>0</v>
      </c>
      <c r="AL135" s="23">
        <f t="shared" si="23"/>
        <v>0</v>
      </c>
      <c r="AM135" s="23">
        <f t="shared" si="23"/>
        <v>0</v>
      </c>
    </row>
    <row r="136" spans="2:39" x14ac:dyDescent="0.2">
      <c r="B136" s="21"/>
      <c r="C136" s="16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8"/>
    </row>
    <row r="137" spans="2:39" s="27" customFormat="1" x14ac:dyDescent="0.2">
      <c r="B137" s="24"/>
      <c r="C137" s="25" t="s">
        <v>297</v>
      </c>
      <c r="D137" s="26">
        <f t="shared" ref="D137:AM137" si="24">D128+D135</f>
        <v>10155733.519490033</v>
      </c>
      <c r="E137" s="26">
        <f t="shared" si="24"/>
        <v>11341039.441240013</v>
      </c>
      <c r="F137" s="26">
        <f t="shared" si="24"/>
        <v>3679949.300639987</v>
      </c>
      <c r="G137" s="26">
        <f t="shared" si="24"/>
        <v>40543253.474309981</v>
      </c>
      <c r="H137" s="26">
        <f t="shared" si="24"/>
        <v>88742259.661000073</v>
      </c>
      <c r="I137" s="26">
        <f t="shared" si="24"/>
        <v>98967312.658200026</v>
      </c>
      <c r="J137" s="26">
        <f t="shared" si="24"/>
        <v>49117329.345600009</v>
      </c>
      <c r="K137" s="26">
        <f t="shared" si="24"/>
        <v>133658794.65332997</v>
      </c>
      <c r="L137" s="26">
        <f t="shared" si="24"/>
        <v>121770059.22438002</v>
      </c>
      <c r="M137" s="26">
        <f t="shared" si="24"/>
        <v>80846768.687159896</v>
      </c>
      <c r="N137" s="26">
        <f t="shared" si="24"/>
        <v>55746258.90079999</v>
      </c>
      <c r="O137" s="26">
        <f t="shared" si="24"/>
        <v>50838186.870079994</v>
      </c>
      <c r="P137" s="26">
        <f t="shared" si="24"/>
        <v>111136941.39519995</v>
      </c>
      <c r="Q137" s="26">
        <f t="shared" si="24"/>
        <v>83193773.895200014</v>
      </c>
      <c r="R137" s="26">
        <f t="shared" si="24"/>
        <v>61557296.208279967</v>
      </c>
      <c r="S137" s="26">
        <f t="shared" si="24"/>
        <v>114781362.66615009</v>
      </c>
      <c r="T137" s="26">
        <f t="shared" si="24"/>
        <v>88275479.108049989</v>
      </c>
      <c r="U137" s="26">
        <f t="shared" si="24"/>
        <v>60420285.672600031</v>
      </c>
      <c r="V137" s="26">
        <f t="shared" si="24"/>
        <v>144255825.98332012</v>
      </c>
      <c r="W137" s="26">
        <f t="shared" si="24"/>
        <v>119875042.79382002</v>
      </c>
      <c r="X137" s="26">
        <f t="shared" si="24"/>
        <v>90653730.186779976</v>
      </c>
      <c r="Y137" s="26">
        <f t="shared" si="24"/>
        <v>64051152.373999953</v>
      </c>
      <c r="Z137" s="26">
        <f t="shared" si="24"/>
        <v>79646621.638999939</v>
      </c>
      <c r="AA137" s="26">
        <f t="shared" si="24"/>
        <v>51786240.324999988</v>
      </c>
      <c r="AB137" s="26">
        <f t="shared" si="24"/>
        <v>90175150.856360018</v>
      </c>
      <c r="AC137" s="26">
        <f t="shared" si="24"/>
        <v>66398245.705199957</v>
      </c>
      <c r="AD137" s="26">
        <f t="shared" si="24"/>
        <v>45812344.116510093</v>
      </c>
      <c r="AE137" s="26">
        <f t="shared" si="24"/>
        <v>96853244.229000032</v>
      </c>
      <c r="AF137" s="26">
        <f t="shared" si="24"/>
        <v>0</v>
      </c>
      <c r="AG137" s="26">
        <f t="shared" si="24"/>
        <v>0</v>
      </c>
      <c r="AH137" s="26">
        <f t="shared" si="24"/>
        <v>0</v>
      </c>
      <c r="AI137" s="26">
        <f t="shared" si="24"/>
        <v>0</v>
      </c>
      <c r="AJ137" s="26">
        <f t="shared" si="24"/>
        <v>0</v>
      </c>
      <c r="AK137" s="26">
        <f t="shared" si="24"/>
        <v>0</v>
      </c>
      <c r="AL137" s="26">
        <f t="shared" si="24"/>
        <v>0</v>
      </c>
      <c r="AM137" s="26">
        <f t="shared" si="24"/>
        <v>0</v>
      </c>
    </row>
    <row r="138" spans="2:39" x14ac:dyDescent="0.2">
      <c r="B138" s="21"/>
      <c r="C138" s="16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</row>
    <row r="139" spans="2:39" s="27" customFormat="1" x14ac:dyDescent="0.2">
      <c r="B139" s="24"/>
      <c r="C139" s="42" t="s">
        <v>298</v>
      </c>
      <c r="D139" s="43">
        <f t="shared" ref="D139:AM139" si="25">D85+D120+D137</f>
        <v>14118114.743720032</v>
      </c>
      <c r="E139" s="43">
        <f t="shared" si="25"/>
        <v>5312608.938480014</v>
      </c>
      <c r="F139" s="43">
        <f t="shared" si="25"/>
        <v>3519553.5570599865</v>
      </c>
      <c r="G139" s="43">
        <f t="shared" si="25"/>
        <v>32812148.329379983</v>
      </c>
      <c r="H139" s="43">
        <f t="shared" si="25"/>
        <v>80823895.619920075</v>
      </c>
      <c r="I139" s="43">
        <f t="shared" si="25"/>
        <v>90090901.089330032</v>
      </c>
      <c r="J139" s="43">
        <f t="shared" si="25"/>
        <v>39699959.434080005</v>
      </c>
      <c r="K139" s="43">
        <f t="shared" si="25"/>
        <v>184435583.47304997</v>
      </c>
      <c r="L139" s="43">
        <f t="shared" si="25"/>
        <v>105558977.48391001</v>
      </c>
      <c r="M139" s="43">
        <f t="shared" si="25"/>
        <v>64876556.398499891</v>
      </c>
      <c r="N139" s="43">
        <f t="shared" si="25"/>
        <v>39391269.533199988</v>
      </c>
      <c r="O139" s="43">
        <f t="shared" si="25"/>
        <v>18506661.793599993</v>
      </c>
      <c r="P139" s="43">
        <f t="shared" si="25"/>
        <v>78996761.647999957</v>
      </c>
      <c r="Q139" s="43">
        <f t="shared" si="25"/>
        <v>51876409.777440012</v>
      </c>
      <c r="R139" s="43">
        <f t="shared" si="25"/>
        <v>29458656.518519968</v>
      </c>
      <c r="S139" s="43">
        <f t="shared" si="25"/>
        <v>81298310.3411901</v>
      </c>
      <c r="T139" s="43">
        <f t="shared" si="25"/>
        <v>55084973.213489987</v>
      </c>
      <c r="U139" s="43">
        <f t="shared" si="25"/>
        <v>28196334.755960032</v>
      </c>
      <c r="V139" s="43">
        <f t="shared" si="25"/>
        <v>112262917.64124012</v>
      </c>
      <c r="W139" s="43">
        <f t="shared" si="25"/>
        <v>87721195.523100019</v>
      </c>
      <c r="X139" s="43">
        <f t="shared" si="25"/>
        <v>59638740.830939978</v>
      </c>
      <c r="Y139" s="43">
        <f t="shared" si="25"/>
        <v>33752249.109999955</v>
      </c>
      <c r="Z139" s="43">
        <f t="shared" si="25"/>
        <v>49391869.082999945</v>
      </c>
      <c r="AA139" s="43">
        <f t="shared" si="25"/>
        <v>15972494.527929984</v>
      </c>
      <c r="AB139" s="43">
        <f t="shared" si="25"/>
        <v>62548984.011680014</v>
      </c>
      <c r="AC139" s="43">
        <f t="shared" si="25"/>
        <v>45893083.110149957</v>
      </c>
      <c r="AD139" s="43">
        <f t="shared" si="25"/>
        <v>31554753.657540094</v>
      </c>
      <c r="AE139" s="43">
        <f t="shared" si="25"/>
        <v>98582512.461840034</v>
      </c>
      <c r="AF139" s="43">
        <f t="shared" si="25"/>
        <v>0</v>
      </c>
      <c r="AG139" s="43">
        <f t="shared" si="25"/>
        <v>0</v>
      </c>
      <c r="AH139" s="43">
        <f t="shared" si="25"/>
        <v>0</v>
      </c>
      <c r="AI139" s="43">
        <f t="shared" si="25"/>
        <v>0</v>
      </c>
      <c r="AJ139" s="43">
        <f t="shared" si="25"/>
        <v>0</v>
      </c>
      <c r="AK139" s="43">
        <f t="shared" si="25"/>
        <v>0</v>
      </c>
      <c r="AL139" s="43">
        <f t="shared" si="25"/>
        <v>0</v>
      </c>
      <c r="AM139" s="43">
        <f t="shared" si="25"/>
        <v>0</v>
      </c>
    </row>
    <row r="140" spans="2:39" x14ac:dyDescent="0.2">
      <c r="B140" s="21"/>
      <c r="C140" s="16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8"/>
    </row>
    <row r="141" spans="2:39" x14ac:dyDescent="0.2">
      <c r="B141" s="21"/>
      <c r="C141" s="20"/>
      <c r="D141" s="17">
        <f t="shared" ref="D141:AM141" si="26">D78-D139</f>
        <v>-3.3527612686157227E-8</v>
      </c>
      <c r="E141" s="17">
        <f t="shared" si="26"/>
        <v>-1.3969838619232178E-8</v>
      </c>
      <c r="F141" s="17">
        <f t="shared" si="26"/>
        <v>1.3969838619232178E-8</v>
      </c>
      <c r="G141" s="17">
        <f t="shared" si="26"/>
        <v>0</v>
      </c>
      <c r="H141" s="17">
        <f t="shared" si="26"/>
        <v>0</v>
      </c>
      <c r="I141" s="17">
        <f t="shared" si="26"/>
        <v>0</v>
      </c>
      <c r="J141" s="17">
        <f t="shared" si="26"/>
        <v>0</v>
      </c>
      <c r="K141" s="17">
        <f t="shared" si="26"/>
        <v>0</v>
      </c>
      <c r="L141" s="17">
        <f t="shared" si="26"/>
        <v>0</v>
      </c>
      <c r="M141" s="17">
        <f t="shared" si="26"/>
        <v>1.0430812835693359E-7</v>
      </c>
      <c r="N141" s="17">
        <f t="shared" si="26"/>
        <v>0</v>
      </c>
      <c r="O141" s="17">
        <f t="shared" si="26"/>
        <v>0</v>
      </c>
      <c r="P141" s="17">
        <f t="shared" si="26"/>
        <v>0</v>
      </c>
      <c r="Q141" s="17">
        <f t="shared" si="26"/>
        <v>0</v>
      </c>
      <c r="R141" s="17">
        <f t="shared" si="26"/>
        <v>3.3527612686157227E-8</v>
      </c>
      <c r="S141" s="17">
        <f t="shared" si="26"/>
        <v>0</v>
      </c>
      <c r="T141" s="17">
        <f t="shared" si="26"/>
        <v>0</v>
      </c>
      <c r="U141" s="17">
        <f t="shared" si="26"/>
        <v>-2.9802322387695312E-8</v>
      </c>
      <c r="V141" s="17">
        <f t="shared" si="26"/>
        <v>-1.3411045074462891E-7</v>
      </c>
      <c r="W141" s="17">
        <f t="shared" si="26"/>
        <v>0</v>
      </c>
      <c r="X141" s="17">
        <f>X78-X139</f>
        <v>0</v>
      </c>
      <c r="Y141" s="17">
        <f>Y78-Y139</f>
        <v>0</v>
      </c>
      <c r="Z141" s="17">
        <f t="shared" si="26"/>
        <v>0</v>
      </c>
      <c r="AA141" s="17">
        <f t="shared" si="26"/>
        <v>1.862645149230957E-8</v>
      </c>
      <c r="AB141" s="17">
        <f t="shared" si="26"/>
        <v>0</v>
      </c>
      <c r="AC141" s="17">
        <f t="shared" si="26"/>
        <v>0</v>
      </c>
      <c r="AD141" s="17">
        <f t="shared" si="26"/>
        <v>-9.3132257461547852E-8</v>
      </c>
      <c r="AE141" s="17">
        <f t="shared" si="26"/>
        <v>-30871.17000003159</v>
      </c>
      <c r="AF141" s="17">
        <f t="shared" si="26"/>
        <v>0</v>
      </c>
      <c r="AG141" s="17">
        <f t="shared" si="26"/>
        <v>0</v>
      </c>
      <c r="AH141" s="17">
        <f t="shared" si="26"/>
        <v>0</v>
      </c>
      <c r="AI141" s="17">
        <f t="shared" si="26"/>
        <v>0</v>
      </c>
      <c r="AJ141" s="17">
        <f t="shared" si="26"/>
        <v>0</v>
      </c>
      <c r="AK141" s="17">
        <f t="shared" si="26"/>
        <v>0</v>
      </c>
      <c r="AL141" s="17">
        <f t="shared" si="26"/>
        <v>0</v>
      </c>
      <c r="AM141" s="17">
        <f t="shared" si="26"/>
        <v>0</v>
      </c>
    </row>
    <row r="142" spans="2:39" x14ac:dyDescent="0.2">
      <c r="B142" s="21"/>
      <c r="C142" s="16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</row>
    <row r="143" spans="2:39" x14ac:dyDescent="0.2">
      <c r="B143" s="33"/>
      <c r="AM143" s="34"/>
    </row>
    <row r="144" spans="2:39" x14ac:dyDescent="0.2">
      <c r="B144" s="35"/>
      <c r="C144" s="36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8"/>
    </row>
    <row r="146" spans="4:24" x14ac:dyDescent="0.2">
      <c r="D146" s="45">
        <f>D133-SUM(PL_UAE!$D142:D142)</f>
        <v>0</v>
      </c>
      <c r="E146" s="45">
        <f>E133-SUM(PL_UAE!$D142:E142)</f>
        <v>-9286190.5760700405</v>
      </c>
      <c r="F146" s="45">
        <f>F133-SUM(PL_UAE!$D142:F142)</f>
        <v>-3668874.835230045</v>
      </c>
      <c r="G146" s="45">
        <f>G133-SUM(PL_UAE!$D142:G142)</f>
        <v>-1218296.1789299846</v>
      </c>
      <c r="H146" s="45">
        <f>H133-SUM(PL_UAE!$D142:H142)</f>
        <v>-3079488.2269300222</v>
      </c>
      <c r="I146" s="45">
        <f>I133-SUM(PL_UAE!$D142:I142)</f>
        <v>-21735396.729249984</v>
      </c>
      <c r="J146" s="45">
        <f>J133-SUM(PL_UAE!$D142:J142)</f>
        <v>-32477338.168599933</v>
      </c>
      <c r="P146" s="45">
        <f>P133-SUM(PL_UAE!$P142:P142)</f>
        <v>-6.3329935073852539E-8</v>
      </c>
      <c r="Q146" s="45">
        <f>Q133-SUM(PL_UAE!$P142:Q142)</f>
        <v>742017.84671998024</v>
      </c>
      <c r="R146" s="45">
        <f>R133-SUM(PL_UAE!$P142:R142)</f>
        <v>-681058.36553005874</v>
      </c>
      <c r="S146" s="45">
        <f>S133-SUM(PL_UAE!$P142:S142)</f>
        <v>-4396670.1278300583</v>
      </c>
      <c r="T146" s="45">
        <f>T133-SUM(PL_UAE!$P142:T142)</f>
        <v>-3362784.260630101</v>
      </c>
      <c r="U146" s="45">
        <f>U133-SUM(PL_UAE!$P142:U142)</f>
        <v>908849.43661001325</v>
      </c>
      <c r="V146" s="45">
        <f>V133-SUM(PL_UAE!$P142:V142)</f>
        <v>2139524.2982500196</v>
      </c>
      <c r="W146" s="45">
        <f>W133-SUM(PL_UAE!$P142:W142)</f>
        <v>1143416.1020899415</v>
      </c>
      <c r="X146" s="45">
        <f>X133-SUM(PL_UAE!$P142:X142)</f>
        <v>9226954.7348899841</v>
      </c>
    </row>
    <row r="147" spans="4:24" x14ac:dyDescent="0.2">
      <c r="P147">
        <f>SUM(PL_UAE!$P$142:P142)</f>
        <v>-28984120.033600003</v>
      </c>
      <c r="Q147">
        <f>SUM(PL_UAE!$P$142:Q142)</f>
        <v>-57785905.437200002</v>
      </c>
      <c r="R147">
        <f>SUM(PL_UAE!$P$142:R142)</f>
        <v>-85468172.11146</v>
      </c>
      <c r="S147">
        <f>SUM(PL_UAE!$P$142:S142)</f>
        <v>-113935502.10945</v>
      </c>
      <c r="T147">
        <f>SUM(PL_UAE!$P$142:T142)</f>
        <v>-143320732.60743999</v>
      </c>
      <c r="U147">
        <f>SUM(PL_UAE!$P$142:U142)</f>
        <v>-172553432.30776998</v>
      </c>
      <c r="V147">
        <f>SUM(PL_UAE!$P$142:V142)</f>
        <v>-200154998.16676998</v>
      </c>
      <c r="W147">
        <f>SUM(PL_UAE!$P$142:W142)</f>
        <v>-229369310.84278998</v>
      </c>
      <c r="X147">
        <f>SUM(PL_UAE!$P$142:X142)</f>
        <v>-258910269.20386997</v>
      </c>
    </row>
  </sheetData>
  <conditionalFormatting sqref="B1:B111 B113:B1048576">
    <cfRule type="duplicateValues" dxfId="1" priority="2"/>
  </conditionalFormatting>
  <conditionalFormatting sqref="B112">
    <cfRule type="duplicateValues" dxfId="0" priority="1"/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FX" xr:uid="{16B672A5-DCCC-43FE-8D3D-8D23483C5E13}">
          <x14:formula1>
            <xm:f>'FX Rate'!$B$4:$B$8</xm:f>
          </x14:formula1>
          <xm:sqref>C2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0893-81FD-4864-90B5-21E356EE41BD}">
  <sheetPr codeName="Sheet18">
    <tabColor theme="5"/>
  </sheetPr>
  <dimension ref="A1:AG729"/>
  <sheetViews>
    <sheetView showGridLines="0" zoomScale="140" zoomScaleNormal="140" workbookViewId="0">
      <pane xSplit="5" ySplit="3" topLeftCell="AB266" activePane="bottomRight" state="frozen"/>
      <selection activeCell="L13" sqref="L13"/>
      <selection pane="topRight" activeCell="L13" sqref="L13"/>
      <selection pane="bottomLeft" activeCell="L13" sqref="L13"/>
      <selection pane="bottomRight" activeCell="AG273" sqref="AG273"/>
    </sheetView>
  </sheetViews>
  <sheetFormatPr baseColWidth="10" defaultColWidth="8.83203125" defaultRowHeight="15" x14ac:dyDescent="0.2"/>
  <cols>
    <col min="3" max="3" width="14.83203125" style="79" customWidth="1"/>
    <col min="5" max="5" width="32.83203125" customWidth="1"/>
    <col min="6" max="33" width="13.83203125" customWidth="1"/>
  </cols>
  <sheetData>
    <row r="1" spans="1:33" x14ac:dyDescent="0.2">
      <c r="A1" s="46"/>
      <c r="B1" s="46"/>
      <c r="C1" s="75"/>
      <c r="D1" s="46"/>
      <c r="E1" s="47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</row>
    <row r="2" spans="1:33" x14ac:dyDescent="0.2">
      <c r="A2" s="48"/>
      <c r="B2" s="48"/>
      <c r="C2" s="76"/>
      <c r="D2" s="48"/>
      <c r="E2" s="49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</row>
    <row r="3" spans="1:33" x14ac:dyDescent="0.2">
      <c r="A3" s="51" t="s">
        <v>299</v>
      </c>
      <c r="B3" s="51" t="s">
        <v>299</v>
      </c>
      <c r="C3" s="77" t="s">
        <v>300</v>
      </c>
      <c r="D3" s="52" t="s">
        <v>301</v>
      </c>
      <c r="E3" s="53" t="s">
        <v>91</v>
      </c>
      <c r="F3" s="54">
        <v>45292</v>
      </c>
      <c r="G3" s="54">
        <f t="shared" ref="G3:W3" si="0">EOMONTH(F3,1)</f>
        <v>45351</v>
      </c>
      <c r="H3" s="54">
        <f t="shared" si="0"/>
        <v>45382</v>
      </c>
      <c r="I3" s="54">
        <f t="shared" si="0"/>
        <v>45412</v>
      </c>
      <c r="J3" s="54">
        <f t="shared" si="0"/>
        <v>45443</v>
      </c>
      <c r="K3" s="54">
        <f t="shared" si="0"/>
        <v>45473</v>
      </c>
      <c r="L3" s="54">
        <f t="shared" si="0"/>
        <v>45504</v>
      </c>
      <c r="M3" s="54">
        <f t="shared" si="0"/>
        <v>45535</v>
      </c>
      <c r="N3" s="54">
        <f t="shared" si="0"/>
        <v>45565</v>
      </c>
      <c r="O3" s="54">
        <f t="shared" si="0"/>
        <v>45596</v>
      </c>
      <c r="P3" s="54">
        <f t="shared" si="0"/>
        <v>45626</v>
      </c>
      <c r="Q3" s="54">
        <f t="shared" si="0"/>
        <v>45657</v>
      </c>
      <c r="R3" s="54">
        <f t="shared" si="0"/>
        <v>45688</v>
      </c>
      <c r="S3" s="54">
        <f t="shared" si="0"/>
        <v>45716</v>
      </c>
      <c r="T3" s="54">
        <f t="shared" si="0"/>
        <v>45747</v>
      </c>
      <c r="U3" s="54">
        <f t="shared" si="0"/>
        <v>45777</v>
      </c>
      <c r="V3" s="54">
        <f t="shared" si="0"/>
        <v>45808</v>
      </c>
      <c r="W3" s="54">
        <f t="shared" si="0"/>
        <v>45838</v>
      </c>
      <c r="X3" s="54">
        <f t="shared" ref="X3:AG3" si="1">EOMONTH(W3,1)</f>
        <v>45869</v>
      </c>
      <c r="Y3" s="54">
        <f t="shared" si="1"/>
        <v>45900</v>
      </c>
      <c r="Z3" s="54">
        <f t="shared" si="1"/>
        <v>45930</v>
      </c>
      <c r="AA3" s="54">
        <f t="shared" si="1"/>
        <v>45961</v>
      </c>
      <c r="AB3" s="54">
        <f t="shared" si="1"/>
        <v>45991</v>
      </c>
      <c r="AC3" s="54">
        <f t="shared" si="1"/>
        <v>46022</v>
      </c>
      <c r="AD3" s="54">
        <f t="shared" si="1"/>
        <v>46053</v>
      </c>
      <c r="AE3" s="54">
        <f t="shared" si="1"/>
        <v>46081</v>
      </c>
      <c r="AF3" s="54">
        <f t="shared" si="1"/>
        <v>46112</v>
      </c>
      <c r="AG3" s="54">
        <f t="shared" si="1"/>
        <v>46142</v>
      </c>
    </row>
    <row r="4" spans="1:33" x14ac:dyDescent="0.2">
      <c r="A4" s="55" t="s">
        <v>943</v>
      </c>
      <c r="B4" s="56" t="str">
        <f t="shared" ref="B4:B67" si="2">TEXT(A4,"00000")</f>
        <v>10104</v>
      </c>
      <c r="C4" s="78" t="s">
        <v>302</v>
      </c>
      <c r="D4" s="57" t="s">
        <v>303</v>
      </c>
      <c r="E4" s="44" t="s">
        <v>156</v>
      </c>
      <c r="F4" s="17">
        <f>_xlfn.XLOOKUP($B4,'[3]Jan-24'!$A:$A,'[3]Jan-24'!$H:$H,0)</f>
        <v>0</v>
      </c>
      <c r="G4" s="17">
        <f>_xlfn.XLOOKUP($B4,'[3]Feb-24'!$A:$A,'[3]Feb-24'!$H:$H,0)</f>
        <v>0</v>
      </c>
      <c r="H4" s="17">
        <f>_xlfn.XLOOKUP($B4,'[3]Mar-24'!$A:$A,'[3]Mar-24'!$H:$H,0)</f>
        <v>0</v>
      </c>
      <c r="I4" s="17">
        <f>_xlfn.XLOOKUP($B4,'[3]Apr-24'!$A:$A,'[3]Apr-24'!$H:$H,0)</f>
        <v>0</v>
      </c>
      <c r="J4" s="17">
        <f>_xlfn.XLOOKUP($B4,'[3]May-24'!$A:$A,'[3]May-24'!$H:$H,0)</f>
        <v>0</v>
      </c>
      <c r="K4" s="17">
        <f>_xlfn.XLOOKUP($B4,'[3]Jun-24'!$A:$A,'[3]Jun-24'!$H:$H,0)</f>
        <v>0</v>
      </c>
      <c r="L4" s="17">
        <f>_xlfn.XLOOKUP($B4,'[3]Jul-24'!$A:$A,'[3]Jul-24'!$H:$H,0)</f>
        <v>0</v>
      </c>
      <c r="M4" s="17">
        <f>_xlfn.XLOOKUP($B4,'[3]Aug-24'!$A:$A,'[3]Aug-24'!$H:$H,0)</f>
        <v>0</v>
      </c>
      <c r="N4" s="17">
        <f>_xlfn.XLOOKUP($B4,'[3]Sep-24'!$A:$A,'[3]Sep-24'!$H:$H,0)</f>
        <v>0</v>
      </c>
      <c r="O4" s="17">
        <f>_xlfn.XLOOKUP($B4,'[3]Oct-24'!$A:$A,'[3]Oct-24'!$H:$H,0)</f>
        <v>0</v>
      </c>
      <c r="P4" s="17">
        <f>_xlfn.XLOOKUP($B4,'[3]Nov-24'!$A:$A,'[3]Nov-24'!$H:$H,0)</f>
        <v>0</v>
      </c>
      <c r="Q4" s="17">
        <f>_xlfn.XLOOKUP($B4,'[3]Dec-24'!$A:$A,'[3]Dec-24'!$H:$H,0)</f>
        <v>0</v>
      </c>
      <c r="R4" s="17">
        <f>_xlfn.XLOOKUP($B4,'[3]Jan-25'!$A:$A,'[3]Jan-25'!$H:$H,0)</f>
        <v>0</v>
      </c>
      <c r="S4" s="17">
        <f>_xlfn.XLOOKUP($B4,'[3]Feb-25'!$A:$A,'[3]Feb-25'!$H:$H,0)</f>
        <v>0</v>
      </c>
      <c r="T4" s="17">
        <f>_xlfn.XLOOKUP($B4,'[3]Mar-25'!$A:$A,'[3]Mar-25'!$H:$H,0)</f>
        <v>0</v>
      </c>
      <c r="U4" s="17">
        <f>_xlfn.XLOOKUP($B4,'[3]Apr-25'!$A:$A,'[3]Apr-25'!$H:$H,0)</f>
        <v>0</v>
      </c>
      <c r="V4" s="17">
        <f>_xlfn.XLOOKUP($B4,'[3]May-25'!$A:$A,'[3]May-25'!$H:$H,0)</f>
        <v>0</v>
      </c>
      <c r="W4" s="17">
        <f>_xlfn.XLOOKUP($B4,'[3]Jun-25'!$A:$A,'[3]Jun-25'!$H:$H,0)</f>
        <v>0</v>
      </c>
      <c r="X4" s="17">
        <f>_xlfn.XLOOKUP($B4,'[3]Jul-25'!$A:$A,'[3]Jul-25'!$H:$H,0)</f>
        <v>0</v>
      </c>
      <c r="Y4" s="17">
        <f>_xlfn.XLOOKUP($B4,'[3]Aug-25'!$A:$A,'[3]Aug-25'!$H:$H,0)</f>
        <v>0</v>
      </c>
      <c r="Z4" s="17">
        <f>_xlfn.XLOOKUP($B4,'[3]Sep-25'!$A:$A,'[3]Sep-25'!$H:$H,0)</f>
        <v>0</v>
      </c>
      <c r="AA4" s="17">
        <f>_xlfn.XLOOKUP($B4,'[3]Oct-25'!$A:$A,'[3]Oct-25'!$H:$H,0)</f>
        <v>0</v>
      </c>
      <c r="AB4" s="17">
        <f>_xlfn.XLOOKUP($B4,'[3]Nov-25'!$A:$A,'[3]Nov-25'!$H:$H,0)</f>
        <v>0</v>
      </c>
      <c r="AC4" s="17">
        <f>_xlfn.XLOOKUP($B4,'[3]Dec-25'!$A:$A,'[3]Dec-25'!$H:$H,0)</f>
        <v>0</v>
      </c>
      <c r="AD4" s="17">
        <f>_xlfn.XLOOKUP($B4,'[3]Jan-26'!$A:$A,'[3]Jan-26'!$H:$H,0)</f>
        <v>0</v>
      </c>
      <c r="AE4" s="17">
        <f>_xlfn.XLOOKUP($B4,'[3]Feb-26'!$A:$A,'[3]Feb-26'!$H:$H,0)</f>
        <v>0</v>
      </c>
      <c r="AF4" s="17">
        <f>_xlfn.XLOOKUP($B4,'[3]Mar-26'!$A:$A,'[3]Mar-26'!$H:$H,0)</f>
        <v>0</v>
      </c>
      <c r="AG4" s="17">
        <f>_xlfn.XLOOKUP($B4,'[3]Apr-26'!$A:$A,'[3]Apr-26'!$H:$H,0)</f>
        <v>0</v>
      </c>
    </row>
    <row r="5" spans="1:33" x14ac:dyDescent="0.2">
      <c r="A5" s="58" t="s">
        <v>922</v>
      </c>
      <c r="B5" s="56" t="str">
        <f t="shared" si="2"/>
        <v>10130</v>
      </c>
      <c r="C5" s="78" t="s">
        <v>302</v>
      </c>
      <c r="D5" s="57" t="s">
        <v>303</v>
      </c>
      <c r="E5" s="44" t="s">
        <v>944</v>
      </c>
      <c r="F5" s="17">
        <f>_xlfn.XLOOKUP($B5,'[3]Jan-24'!$A:$A,'[3]Jan-24'!$H:$H,0)</f>
        <v>1823.14</v>
      </c>
      <c r="G5" s="17">
        <f>_xlfn.XLOOKUP($B5,'[3]Feb-24'!$A:$A,'[3]Feb-24'!$H:$H,0)</f>
        <v>1653.99</v>
      </c>
      <c r="H5" s="17">
        <f>_xlfn.XLOOKUP($B5,'[3]Mar-24'!$A:$A,'[3]Mar-24'!$H:$H,0)</f>
        <v>1479.22</v>
      </c>
      <c r="I5" s="17">
        <f>_xlfn.XLOOKUP($B5,'[3]Apr-24'!$A:$A,'[3]Apr-24'!$H:$H,0)</f>
        <v>2684.78</v>
      </c>
      <c r="J5" s="17">
        <f>_xlfn.XLOOKUP($B5,'[3]May-24'!$A:$A,'[3]May-24'!$H:$H,0)</f>
        <v>80234.41</v>
      </c>
      <c r="K5" s="17">
        <f>_xlfn.XLOOKUP($B5,'[3]Jun-24'!$A:$A,'[3]Jun-24'!$H:$H,0)</f>
        <v>80234.41</v>
      </c>
      <c r="L5" s="17">
        <f>_xlfn.XLOOKUP($B5,'[3]Jul-24'!$A:$A,'[3]Jul-24'!$H:$H,0)</f>
        <v>23522.38</v>
      </c>
      <c r="M5" s="17">
        <f>_xlfn.XLOOKUP($B5,'[3]Aug-24'!$A:$A,'[3]Aug-24'!$H:$H,0)</f>
        <v>43364.68</v>
      </c>
      <c r="N5" s="17">
        <f>_xlfn.XLOOKUP($B5,'[3]Sep-24'!$A:$A,'[3]Sep-24'!$H:$H,0)</f>
        <v>43364.68</v>
      </c>
      <c r="O5" s="17">
        <f>_xlfn.XLOOKUP($B5,'[3]Oct-24'!$A:$A,'[3]Oct-24'!$H:$H,0)</f>
        <v>27066.83</v>
      </c>
      <c r="P5" s="17">
        <f>_xlfn.XLOOKUP($B5,'[3]Nov-24'!$A:$A,'[3]Nov-24'!$H:$H,0)</f>
        <v>27066.83</v>
      </c>
      <c r="Q5" s="17">
        <f>_xlfn.XLOOKUP($B5,'[3]Dec-24'!$A:$A,'[3]Dec-24'!$H:$H,0)</f>
        <v>5146.91</v>
      </c>
      <c r="R5" s="17">
        <f>_xlfn.XLOOKUP($B5,'[3]Jan-25'!$A:$A,'[3]Jan-25'!$H:$H,0)</f>
        <v>5146.91</v>
      </c>
      <c r="S5" s="17">
        <f>_xlfn.XLOOKUP($B5,'[3]Feb-25'!$A:$A,'[3]Feb-25'!$H:$H,0)</f>
        <v>5146.91</v>
      </c>
      <c r="T5" s="17">
        <f>_xlfn.XLOOKUP($B5,'[3]Mar-25'!$A:$A,'[3]Mar-25'!$H:$H,0)</f>
        <v>5146.91</v>
      </c>
      <c r="U5" s="17">
        <f>_xlfn.XLOOKUP($B5,'[3]Apr-25'!$A:$A,'[3]Apr-25'!$H:$H,0)</f>
        <v>5146.91</v>
      </c>
      <c r="V5" s="17">
        <f>_xlfn.XLOOKUP($B5,'[3]May-25'!$A:$A,'[3]May-25'!$H:$H,0)</f>
        <v>5146.91</v>
      </c>
      <c r="W5" s="17">
        <f>_xlfn.XLOOKUP($B5,'[3]Jun-25'!$A:$A,'[3]Jun-25'!$H:$H,0)</f>
        <v>5146.91</v>
      </c>
      <c r="X5" s="17">
        <f>_xlfn.XLOOKUP($B5,'[3]Jul-25'!$A:$A,'[3]Jul-25'!$H:$H,0)</f>
        <v>5146.91</v>
      </c>
      <c r="Y5" s="17">
        <f>_xlfn.XLOOKUP($B5,'[3]Aug-25'!$A:$A,'[3]Aug-25'!$H:$H,0)</f>
        <v>5146.91</v>
      </c>
      <c r="Z5" s="17">
        <f>_xlfn.XLOOKUP($B5,'[3]Sep-25'!$A:$A,'[3]Sep-25'!$H:$H,0)</f>
        <v>0</v>
      </c>
      <c r="AA5" s="17">
        <f>_xlfn.XLOOKUP($B5,'[3]Oct-25'!$A:$A,'[3]Oct-25'!$H:$H,0)</f>
        <v>0</v>
      </c>
      <c r="AB5" s="17">
        <f>_xlfn.XLOOKUP($B5,'[3]Nov-25'!$A:$A,'[3]Nov-25'!$H:$H,0)</f>
        <v>0</v>
      </c>
      <c r="AC5" s="17">
        <f>_xlfn.XLOOKUP($B5,'[3]Dec-25'!$A:$A,'[3]Dec-25'!$H:$H,0)</f>
        <v>0</v>
      </c>
      <c r="AD5" s="17">
        <f>_xlfn.XLOOKUP($B5,'[3]Jan-26'!$A:$A,'[3]Jan-26'!$H:$H,0)</f>
        <v>0</v>
      </c>
      <c r="AE5" s="17">
        <f>_xlfn.XLOOKUP($B5,'[3]Feb-26'!$A:$A,'[3]Feb-26'!$H:$H,0)</f>
        <v>0</v>
      </c>
      <c r="AF5" s="17">
        <f>_xlfn.XLOOKUP($B5,'[3]Mar-26'!$A:$A,'[3]Mar-26'!$H:$H,0)</f>
        <v>0</v>
      </c>
      <c r="AG5" s="17">
        <f>_xlfn.XLOOKUP($B5,'[3]Apr-26'!$A:$A,'[3]Apr-26'!$H:$H,0)</f>
        <v>0</v>
      </c>
    </row>
    <row r="6" spans="1:33" x14ac:dyDescent="0.2">
      <c r="A6" s="58" t="s">
        <v>923</v>
      </c>
      <c r="B6" s="56" t="str">
        <f t="shared" si="2"/>
        <v>10131</v>
      </c>
      <c r="C6" s="78" t="s">
        <v>302</v>
      </c>
      <c r="D6" s="57" t="s">
        <v>303</v>
      </c>
      <c r="E6" s="44" t="s">
        <v>945</v>
      </c>
      <c r="F6" s="17">
        <f>_xlfn.XLOOKUP($B6,'[3]Jan-24'!$A:$A,'[3]Jan-24'!$H:$H,0)</f>
        <v>44248.54</v>
      </c>
      <c r="G6" s="17">
        <f>_xlfn.XLOOKUP($B6,'[3]Feb-24'!$A:$A,'[3]Feb-24'!$H:$H,0)</f>
        <v>1275.18</v>
      </c>
      <c r="H6" s="17">
        <f>_xlfn.XLOOKUP($B6,'[3]Mar-24'!$A:$A,'[3]Mar-24'!$H:$H,0)</f>
        <v>7.46</v>
      </c>
      <c r="I6" s="17">
        <f>_xlfn.XLOOKUP($B6,'[3]Apr-24'!$A:$A,'[3]Apr-24'!$H:$H,0)</f>
        <v>81194.399999999994</v>
      </c>
      <c r="J6" s="17">
        <f>_xlfn.XLOOKUP($B6,'[3]May-24'!$A:$A,'[3]May-24'!$H:$H,0)</f>
        <v>104319.2</v>
      </c>
      <c r="K6" s="17">
        <f>_xlfn.XLOOKUP($B6,'[3]Jun-24'!$A:$A,'[3]Jun-24'!$H:$H,0)</f>
        <v>104319.2</v>
      </c>
      <c r="L6" s="17">
        <f>_xlfn.XLOOKUP($B6,'[3]Jul-24'!$A:$A,'[3]Jul-24'!$H:$H,0)</f>
        <v>26099.200000000001</v>
      </c>
      <c r="M6" s="17">
        <f>_xlfn.XLOOKUP($B6,'[3]Aug-24'!$A:$A,'[3]Aug-24'!$H:$H,0)</f>
        <v>103379.76</v>
      </c>
      <c r="N6" s="17">
        <f>_xlfn.XLOOKUP($B6,'[3]Sep-24'!$A:$A,'[3]Sep-24'!$H:$H,0)</f>
        <v>64069.760000000002</v>
      </c>
      <c r="O6" s="17">
        <f>_xlfn.XLOOKUP($B6,'[3]Oct-24'!$A:$A,'[3]Oct-24'!$H:$H,0)</f>
        <v>24497.26</v>
      </c>
      <c r="P6" s="17">
        <f>_xlfn.XLOOKUP($B6,'[3]Nov-24'!$A:$A,'[3]Nov-24'!$H:$H,0)</f>
        <v>23624.76</v>
      </c>
      <c r="Q6" s="17">
        <f>_xlfn.XLOOKUP($B6,'[3]Dec-24'!$A:$A,'[3]Dec-24'!$H:$H,0)</f>
        <v>17109.68</v>
      </c>
      <c r="R6" s="17">
        <f>_xlfn.XLOOKUP($B6,'[3]Jan-25'!$A:$A,'[3]Jan-25'!$H:$H,0)</f>
        <v>16237.18</v>
      </c>
      <c r="S6" s="17">
        <f>_xlfn.XLOOKUP($B6,'[3]Feb-25'!$A:$A,'[3]Feb-25'!$H:$H,0)</f>
        <v>15364.68</v>
      </c>
      <c r="T6" s="17">
        <f>_xlfn.XLOOKUP($B6,'[3]Mar-25'!$A:$A,'[3]Mar-25'!$H:$H,0)</f>
        <v>14964.68</v>
      </c>
      <c r="U6" s="17">
        <f>_xlfn.XLOOKUP($B6,'[3]Apr-25'!$A:$A,'[3]Apr-25'!$H:$H,0)</f>
        <v>14492.18</v>
      </c>
      <c r="V6" s="17">
        <f>_xlfn.XLOOKUP($B6,'[3]May-25'!$A:$A,'[3]May-25'!$H:$H,0)</f>
        <v>13357.18</v>
      </c>
      <c r="W6" s="17">
        <f>_xlfn.XLOOKUP($B6,'[3]Jun-25'!$A:$A,'[3]Jun-25'!$H:$H,0)</f>
        <v>22484.68</v>
      </c>
      <c r="X6" s="17">
        <f>_xlfn.XLOOKUP($B6,'[3]Jul-25'!$A:$A,'[3]Jul-25'!$H:$H,0)</f>
        <v>22012.18</v>
      </c>
      <c r="Y6" s="17">
        <f>_xlfn.XLOOKUP($B6,'[3]Aug-25'!$A:$A,'[3]Aug-25'!$H:$H,0)</f>
        <v>22012.18</v>
      </c>
      <c r="Z6" s="17">
        <f>_xlfn.XLOOKUP($B6,'[3]Sep-25'!$A:$A,'[3]Sep-25'!$H:$H,0)</f>
        <v>0</v>
      </c>
      <c r="AA6" s="17">
        <f>_xlfn.XLOOKUP($B6,'[3]Oct-25'!$A:$A,'[3]Oct-25'!$H:$H,0)</f>
        <v>0</v>
      </c>
      <c r="AB6" s="17">
        <f>_xlfn.XLOOKUP($B6,'[3]Nov-25'!$A:$A,'[3]Nov-25'!$H:$H,0)</f>
        <v>0</v>
      </c>
      <c r="AC6" s="17">
        <f>_xlfn.XLOOKUP($B6,'[3]Dec-25'!$A:$A,'[3]Dec-25'!$H:$H,0)</f>
        <v>0</v>
      </c>
      <c r="AD6" s="17">
        <f>_xlfn.XLOOKUP($B6,'[3]Jan-26'!$A:$A,'[3]Jan-26'!$H:$H,0)</f>
        <v>0</v>
      </c>
      <c r="AE6" s="17">
        <f>_xlfn.XLOOKUP($B6,'[3]Feb-26'!$A:$A,'[3]Feb-26'!$H:$H,0)</f>
        <v>0</v>
      </c>
      <c r="AF6" s="17">
        <f>_xlfn.XLOOKUP($B6,'[3]Mar-26'!$A:$A,'[3]Mar-26'!$H:$H,0)</f>
        <v>0</v>
      </c>
      <c r="AG6" s="17">
        <f>_xlfn.XLOOKUP($B6,'[3]Apr-26'!$A:$A,'[3]Apr-26'!$H:$H,0)</f>
        <v>0</v>
      </c>
    </row>
    <row r="7" spans="1:33" x14ac:dyDescent="0.2">
      <c r="A7" s="58" t="s">
        <v>924</v>
      </c>
      <c r="B7" s="56" t="str">
        <f t="shared" si="2"/>
        <v>10132</v>
      </c>
      <c r="C7" s="78" t="s">
        <v>302</v>
      </c>
      <c r="D7" s="57" t="s">
        <v>303</v>
      </c>
      <c r="E7" s="44" t="s">
        <v>946</v>
      </c>
      <c r="F7" s="17">
        <f>_xlfn.XLOOKUP($B7,'[3]Jan-24'!$A:$A,'[3]Jan-24'!$H:$H,0)</f>
        <v>2870.46</v>
      </c>
      <c r="G7" s="17">
        <f>_xlfn.XLOOKUP($B7,'[3]Feb-24'!$A:$A,'[3]Feb-24'!$H:$H,0)</f>
        <v>1331.93</v>
      </c>
      <c r="H7" s="17">
        <f>_xlfn.XLOOKUP($B7,'[3]Mar-24'!$A:$A,'[3]Mar-24'!$H:$H,0)</f>
        <v>728.25</v>
      </c>
      <c r="I7" s="17">
        <f>_xlfn.XLOOKUP($B7,'[3]Apr-24'!$A:$A,'[3]Apr-24'!$H:$H,0)</f>
        <v>164.08</v>
      </c>
      <c r="J7" s="17">
        <f>_xlfn.XLOOKUP($B7,'[3]May-24'!$A:$A,'[3]May-24'!$H:$H,0)</f>
        <v>270.20999999999998</v>
      </c>
      <c r="K7" s="17">
        <f>_xlfn.XLOOKUP($B7,'[3]Jun-24'!$A:$A,'[3]Jun-24'!$H:$H,0)</f>
        <v>0</v>
      </c>
      <c r="L7" s="17">
        <f>_xlfn.XLOOKUP($B7,'[3]Jul-24'!$A:$A,'[3]Jul-24'!$H:$H,0)</f>
        <v>832.67</v>
      </c>
      <c r="M7" s="17">
        <f>_xlfn.XLOOKUP($B7,'[3]Aug-24'!$A:$A,'[3]Aug-24'!$H:$H,0)</f>
        <v>8.58</v>
      </c>
      <c r="N7" s="17">
        <f>_xlfn.XLOOKUP($B7,'[3]Sep-24'!$A:$A,'[3]Sep-24'!$H:$H,0)</f>
        <v>2.11</v>
      </c>
      <c r="O7" s="17">
        <f>_xlfn.XLOOKUP($B7,'[3]Oct-24'!$A:$A,'[3]Oct-24'!$H:$H,0)</f>
        <v>4041.44</v>
      </c>
      <c r="P7" s="17">
        <f>_xlfn.XLOOKUP($B7,'[3]Nov-24'!$A:$A,'[3]Nov-24'!$H:$H,0)</f>
        <v>19657.599999999999</v>
      </c>
      <c r="Q7" s="17">
        <f>_xlfn.XLOOKUP($B7,'[3]Dec-24'!$A:$A,'[3]Dec-24'!$H:$H,0)</f>
        <v>12032.61</v>
      </c>
      <c r="R7" s="17">
        <f>_xlfn.XLOOKUP($B7,'[3]Jan-25'!$A:$A,'[3]Jan-25'!$H:$H,0)</f>
        <v>82653.77</v>
      </c>
      <c r="S7" s="17">
        <f>_xlfn.XLOOKUP($B7,'[3]Feb-25'!$A:$A,'[3]Feb-25'!$H:$H,0)</f>
        <v>22776.93</v>
      </c>
      <c r="T7" s="17">
        <f>_xlfn.XLOOKUP($B7,'[3]Mar-25'!$A:$A,'[3]Mar-25'!$H:$H,0)</f>
        <v>21990.95</v>
      </c>
      <c r="U7" s="17">
        <f>_xlfn.XLOOKUP($B7,'[3]Apr-25'!$A:$A,'[3]Apr-25'!$H:$H,0)</f>
        <v>76310.3</v>
      </c>
      <c r="V7" s="17">
        <f>_xlfn.XLOOKUP($B7,'[3]May-25'!$A:$A,'[3]May-25'!$H:$H,0)</f>
        <v>88568.76</v>
      </c>
      <c r="W7" s="17">
        <f>_xlfn.XLOOKUP($B7,'[3]Jun-25'!$A:$A,'[3]Jun-25'!$H:$H,0)</f>
        <v>20055.939999999999</v>
      </c>
      <c r="X7" s="17">
        <f>_xlfn.XLOOKUP($B7,'[3]Jul-25'!$A:$A,'[3]Jul-25'!$H:$H,0)</f>
        <v>117743.65</v>
      </c>
      <c r="Y7" s="17">
        <f>_xlfn.XLOOKUP($B7,'[3]Aug-25'!$A:$A,'[3]Aug-25'!$H:$H,0)</f>
        <v>59833</v>
      </c>
      <c r="Z7" s="17">
        <f>_xlfn.XLOOKUP($B7,'[3]Sep-25'!$A:$A,'[3]Sep-25'!$H:$H,0)</f>
        <v>27148.36</v>
      </c>
      <c r="AA7" s="17">
        <f>_xlfn.XLOOKUP($B7,'[3]Oct-25'!$A:$A,'[3]Oct-25'!$H:$H,0)</f>
        <v>42719</v>
      </c>
      <c r="AB7" s="17">
        <f>_xlfn.XLOOKUP($B7,'[3]Nov-25'!$A:$A,'[3]Nov-25'!$H:$H,0)</f>
        <v>59793.34</v>
      </c>
      <c r="AC7" s="17">
        <f>_xlfn.XLOOKUP($B7,'[3]Dec-25'!$A:$A,'[3]Dec-25'!$H:$H,0)</f>
        <v>4443.1400000000003</v>
      </c>
      <c r="AD7" s="17">
        <f>_xlfn.XLOOKUP($B7,'[3]Jan-26'!$A:$A,'[3]Jan-26'!$H:$H,0)</f>
        <v>112928.64</v>
      </c>
      <c r="AE7" s="17">
        <f>_xlfn.XLOOKUP($B7,'[3]Feb-26'!$A:$A,'[3]Feb-26'!$H:$H,0)</f>
        <v>74693.19</v>
      </c>
      <c r="AF7" s="17">
        <f>_xlfn.XLOOKUP($B7,'[3]Mar-26'!$A:$A,'[3]Mar-26'!$H:$H,0)</f>
        <v>36364.910000000003</v>
      </c>
      <c r="AG7" s="17">
        <f>_xlfn.XLOOKUP($B7,'[3]Apr-26'!$A:$A,'[3]Apr-26'!$H:$H,0)</f>
        <v>36046.519999999997</v>
      </c>
    </row>
    <row r="8" spans="1:33" x14ac:dyDescent="0.2">
      <c r="A8" s="58" t="s">
        <v>925</v>
      </c>
      <c r="B8" s="56" t="str">
        <f t="shared" si="2"/>
        <v>10133</v>
      </c>
      <c r="C8" s="78" t="s">
        <v>302</v>
      </c>
      <c r="D8" s="57" t="s">
        <v>303</v>
      </c>
      <c r="E8" s="44" t="s">
        <v>947</v>
      </c>
      <c r="F8" s="17">
        <f>_xlfn.XLOOKUP($B8,'[3]Jan-24'!$A:$A,'[3]Jan-24'!$H:$H,0)</f>
        <v>1998.76</v>
      </c>
      <c r="G8" s="17">
        <f>_xlfn.XLOOKUP($B8,'[3]Feb-24'!$A:$A,'[3]Feb-24'!$H:$H,0)</f>
        <v>1998.76</v>
      </c>
      <c r="H8" s="17">
        <f>_xlfn.XLOOKUP($B8,'[3]Mar-24'!$A:$A,'[3]Mar-24'!$H:$H,0)</f>
        <v>1998.76</v>
      </c>
      <c r="I8" s="17">
        <f>_xlfn.XLOOKUP($B8,'[3]Apr-24'!$A:$A,'[3]Apr-24'!$H:$H,0)</f>
        <v>1998.76</v>
      </c>
      <c r="J8" s="17">
        <f>_xlfn.XLOOKUP($B8,'[3]May-24'!$A:$A,'[3]May-24'!$H:$H,0)</f>
        <v>8026.22</v>
      </c>
      <c r="K8" s="17">
        <f>_xlfn.XLOOKUP($B8,'[3]Jun-24'!$A:$A,'[3]Jun-24'!$H:$H,0)</f>
        <v>8026.22</v>
      </c>
      <c r="L8" s="17">
        <f>_xlfn.XLOOKUP($B8,'[3]Jul-24'!$A:$A,'[3]Jul-24'!$H:$H,0)</f>
        <v>8026.22</v>
      </c>
      <c r="M8" s="17">
        <f>_xlfn.XLOOKUP($B8,'[3]Aug-24'!$A:$A,'[3]Aug-24'!$H:$H,0)</f>
        <v>249017.61</v>
      </c>
      <c r="N8" s="17">
        <f>_xlfn.XLOOKUP($B8,'[3]Sep-24'!$A:$A,'[3]Sep-24'!$H:$H,0)</f>
        <v>95525.62</v>
      </c>
      <c r="O8" s="17">
        <f>_xlfn.XLOOKUP($B8,'[3]Oct-24'!$A:$A,'[3]Oct-24'!$H:$H,0)</f>
        <v>81525.600000000006</v>
      </c>
      <c r="P8" s="17">
        <f>_xlfn.XLOOKUP($B8,'[3]Nov-24'!$A:$A,'[3]Nov-24'!$H:$H,0)</f>
        <v>8525.6</v>
      </c>
      <c r="Q8" s="17">
        <f>_xlfn.XLOOKUP($B8,'[3]Dec-24'!$A:$A,'[3]Dec-24'!$H:$H,0)</f>
        <v>3338.08</v>
      </c>
      <c r="R8" s="17">
        <f>_xlfn.XLOOKUP($B8,'[3]Jan-25'!$A:$A,'[3]Jan-25'!$H:$H,0)</f>
        <v>79149.52</v>
      </c>
      <c r="S8" s="17">
        <f>_xlfn.XLOOKUP($B8,'[3]Feb-25'!$A:$A,'[3]Feb-25'!$H:$H,0)</f>
        <v>79149.52</v>
      </c>
      <c r="T8" s="17">
        <f>_xlfn.XLOOKUP($B8,'[3]Mar-25'!$A:$A,'[3]Mar-25'!$H:$H,0)</f>
        <v>24399.52</v>
      </c>
      <c r="U8" s="17">
        <f>_xlfn.XLOOKUP($B8,'[3]Apr-25'!$A:$A,'[3]Apr-25'!$H:$H,0)</f>
        <v>87304.3</v>
      </c>
      <c r="V8" s="17">
        <f>_xlfn.XLOOKUP($B8,'[3]May-25'!$A:$A,'[3]May-25'!$H:$H,0)</f>
        <v>17967.240000000002</v>
      </c>
      <c r="W8" s="17">
        <f>_xlfn.XLOOKUP($B8,'[3]Jun-25'!$A:$A,'[3]Jun-25'!$H:$H,0)</f>
        <v>17890.009999999998</v>
      </c>
      <c r="X8" s="17">
        <f>_xlfn.XLOOKUP($B8,'[3]Jul-25'!$A:$A,'[3]Jul-25'!$H:$H,0)</f>
        <v>83905.76</v>
      </c>
      <c r="Y8" s="17">
        <f>_xlfn.XLOOKUP($B8,'[3]Aug-25'!$A:$A,'[3]Aug-25'!$H:$H,0)</f>
        <v>83794.87</v>
      </c>
      <c r="Z8" s="17">
        <f>_xlfn.XLOOKUP($B8,'[3]Sep-25'!$A:$A,'[3]Sep-25'!$H:$H,0)</f>
        <v>83794.87</v>
      </c>
      <c r="AA8" s="17">
        <f>_xlfn.XLOOKUP($B8,'[3]Oct-25'!$A:$A,'[3]Oct-25'!$H:$H,0)</f>
        <v>6892.87</v>
      </c>
      <c r="AB8" s="17">
        <f>_xlfn.XLOOKUP($B8,'[3]Nov-25'!$A:$A,'[3]Nov-25'!$H:$H,0)</f>
        <v>31698.33</v>
      </c>
      <c r="AC8" s="17">
        <f>_xlfn.XLOOKUP($B8,'[3]Dec-25'!$A:$A,'[3]Dec-25'!$H:$H,0)</f>
        <v>4233.33</v>
      </c>
      <c r="AD8" s="17">
        <f>_xlfn.XLOOKUP($B8,'[3]Jan-26'!$A:$A,'[3]Jan-26'!$H:$H,0)</f>
        <v>22903.33</v>
      </c>
      <c r="AE8" s="17">
        <f>_xlfn.XLOOKUP($B8,'[3]Feb-26'!$A:$A,'[3]Feb-26'!$H:$H,0)</f>
        <v>22903.33</v>
      </c>
      <c r="AF8" s="17">
        <f>_xlfn.XLOOKUP($B8,'[3]Mar-26'!$A:$A,'[3]Mar-26'!$H:$H,0)</f>
        <v>22903.33</v>
      </c>
      <c r="AG8" s="17">
        <f>_xlfn.XLOOKUP($B8,'[3]Apr-26'!$A:$A,'[3]Apr-26'!$H:$H,0)</f>
        <v>204826.77</v>
      </c>
    </row>
    <row r="9" spans="1:33" x14ac:dyDescent="0.2">
      <c r="A9" s="58" t="s">
        <v>948</v>
      </c>
      <c r="B9" s="56" t="str">
        <f t="shared" si="2"/>
        <v>10134</v>
      </c>
      <c r="C9" s="78" t="s">
        <v>302</v>
      </c>
      <c r="D9" s="57" t="s">
        <v>303</v>
      </c>
      <c r="E9" s="44" t="s">
        <v>949</v>
      </c>
      <c r="F9" s="17">
        <f>_xlfn.XLOOKUP($B9,'[3]Jan-24'!$A:$A,'[3]Jan-24'!$H:$H,0)</f>
        <v>0</v>
      </c>
      <c r="G9" s="17">
        <f>_xlfn.XLOOKUP($B9,'[3]Feb-24'!$A:$A,'[3]Feb-24'!$H:$H,0)</f>
        <v>0</v>
      </c>
      <c r="H9" s="17">
        <f>_xlfn.XLOOKUP($B9,'[3]Mar-24'!$A:$A,'[3]Mar-24'!$H:$H,0)</f>
        <v>0</v>
      </c>
      <c r="I9" s="17">
        <f>_xlfn.XLOOKUP($B9,'[3]Apr-24'!$A:$A,'[3]Apr-24'!$H:$H,0)</f>
        <v>0</v>
      </c>
      <c r="J9" s="17">
        <f>_xlfn.XLOOKUP($B9,'[3]May-24'!$A:$A,'[3]May-24'!$H:$H,0)</f>
        <v>0</v>
      </c>
      <c r="K9" s="17">
        <f>_xlfn.XLOOKUP($B9,'[3]Jun-24'!$A:$A,'[3]Jun-24'!$H:$H,0)</f>
        <v>0</v>
      </c>
      <c r="L9" s="17">
        <f>_xlfn.XLOOKUP($B9,'[3]Jul-24'!$A:$A,'[3]Jul-24'!$H:$H,0)</f>
        <v>0</v>
      </c>
      <c r="M9" s="17">
        <f>_xlfn.XLOOKUP($B9,'[3]Aug-24'!$A:$A,'[3]Aug-24'!$H:$H,0)</f>
        <v>0</v>
      </c>
      <c r="N9" s="17">
        <f>_xlfn.XLOOKUP($B9,'[3]Sep-24'!$A:$A,'[3]Sep-24'!$H:$H,0)</f>
        <v>0</v>
      </c>
      <c r="O9" s="17">
        <f>_xlfn.XLOOKUP($B9,'[3]Oct-24'!$A:$A,'[3]Oct-24'!$H:$H,0)</f>
        <v>0</v>
      </c>
      <c r="P9" s="17">
        <f>_xlfn.XLOOKUP($B9,'[3]Nov-24'!$A:$A,'[3]Nov-24'!$H:$H,0)</f>
        <v>0</v>
      </c>
      <c r="Q9" s="17">
        <f>_xlfn.XLOOKUP($B9,'[3]Dec-24'!$A:$A,'[3]Dec-24'!$H:$H,0)</f>
        <v>0</v>
      </c>
      <c r="R9" s="17">
        <f>_xlfn.XLOOKUP($B9,'[3]Jan-25'!$A:$A,'[3]Jan-25'!$H:$H,0)</f>
        <v>0</v>
      </c>
      <c r="S9" s="17">
        <f>_xlfn.XLOOKUP($B9,'[3]Feb-25'!$A:$A,'[3]Feb-25'!$H:$H,0)</f>
        <v>0</v>
      </c>
      <c r="T9" s="17">
        <f>_xlfn.XLOOKUP($B9,'[3]Mar-25'!$A:$A,'[3]Mar-25'!$H:$H,0)</f>
        <v>0</v>
      </c>
      <c r="U9" s="17">
        <f>_xlfn.XLOOKUP($B9,'[3]Apr-25'!$A:$A,'[3]Apr-25'!$H:$H,0)</f>
        <v>0</v>
      </c>
      <c r="V9" s="17">
        <f>_xlfn.XLOOKUP($B9,'[3]May-25'!$A:$A,'[3]May-25'!$H:$H,0)</f>
        <v>0</v>
      </c>
      <c r="W9" s="17">
        <f>_xlfn.XLOOKUP($B9,'[3]Jun-25'!$A:$A,'[3]Jun-25'!$H:$H,0)</f>
        <v>0</v>
      </c>
      <c r="X9" s="17">
        <f>_xlfn.XLOOKUP($B9,'[3]Jul-25'!$A:$A,'[3]Jul-25'!$H:$H,0)</f>
        <v>22.13</v>
      </c>
      <c r="Y9" s="17">
        <f>_xlfn.XLOOKUP($B9,'[3]Aug-25'!$A:$A,'[3]Aug-25'!$H:$H,0)</f>
        <v>22.13</v>
      </c>
      <c r="Z9" s="17">
        <f>_xlfn.XLOOKUP($B9,'[3]Sep-25'!$A:$A,'[3]Sep-25'!$H:$H,0)</f>
        <v>22.13</v>
      </c>
      <c r="AA9" s="17">
        <f>_xlfn.XLOOKUP($B9,'[3]Oct-25'!$A:$A,'[3]Oct-25'!$H:$H,0)</f>
        <v>22.13</v>
      </c>
      <c r="AB9" s="17">
        <f>_xlfn.XLOOKUP($B9,'[3]Nov-25'!$A:$A,'[3]Nov-25'!$H:$H,0)</f>
        <v>22.13</v>
      </c>
      <c r="AC9" s="17">
        <f>_xlfn.XLOOKUP($B9,'[3]Dec-25'!$A:$A,'[3]Dec-25'!$H:$H,0)</f>
        <v>22.13</v>
      </c>
      <c r="AD9" s="17">
        <f>_xlfn.XLOOKUP($B9,'[3]Jan-26'!$A:$A,'[3]Jan-26'!$H:$H,0)</f>
        <v>22.13</v>
      </c>
      <c r="AE9" s="17">
        <f>_xlfn.XLOOKUP($B9,'[3]Feb-26'!$A:$A,'[3]Feb-26'!$H:$H,0)</f>
        <v>22.13</v>
      </c>
      <c r="AF9" s="17">
        <f>_xlfn.XLOOKUP($B9,'[3]Mar-26'!$A:$A,'[3]Mar-26'!$H:$H,0)</f>
        <v>22.13</v>
      </c>
      <c r="AG9" s="17">
        <f>_xlfn.XLOOKUP($B9,'[3]Apr-26'!$A:$A,'[3]Apr-26'!$H:$H,0)</f>
        <v>22.13</v>
      </c>
    </row>
    <row r="10" spans="1:33" x14ac:dyDescent="0.2">
      <c r="A10" s="58" t="s">
        <v>950</v>
      </c>
      <c r="B10" s="56" t="str">
        <f t="shared" si="2"/>
        <v>10400</v>
      </c>
      <c r="C10" s="78" t="s">
        <v>302</v>
      </c>
      <c r="D10" s="57" t="s">
        <v>303</v>
      </c>
      <c r="E10" s="44" t="s">
        <v>336</v>
      </c>
      <c r="F10" s="17">
        <f>_xlfn.XLOOKUP($B10,'[3]Jan-24'!$A:$A,'[3]Jan-24'!$H:$H,0)</f>
        <v>0</v>
      </c>
      <c r="G10" s="17">
        <f>_xlfn.XLOOKUP($B10,'[3]Feb-24'!$A:$A,'[3]Feb-24'!$H:$H,0)</f>
        <v>0</v>
      </c>
      <c r="H10" s="17">
        <f>_xlfn.XLOOKUP($B10,'[3]Mar-24'!$A:$A,'[3]Mar-24'!$H:$H,0)</f>
        <v>0</v>
      </c>
      <c r="I10" s="17">
        <f>_xlfn.XLOOKUP($B10,'[3]Apr-24'!$A:$A,'[3]Apr-24'!$H:$H,0)</f>
        <v>0</v>
      </c>
      <c r="J10" s="17">
        <f>_xlfn.XLOOKUP($B10,'[3]May-24'!$A:$A,'[3]May-24'!$H:$H,0)</f>
        <v>0</v>
      </c>
      <c r="K10" s="17">
        <f>_xlfn.XLOOKUP($B10,'[3]Jun-24'!$A:$A,'[3]Jun-24'!$H:$H,0)</f>
        <v>0</v>
      </c>
      <c r="L10" s="17">
        <f>_xlfn.XLOOKUP($B10,'[3]Jul-24'!$A:$A,'[3]Jul-24'!$H:$H,0)</f>
        <v>0</v>
      </c>
      <c r="M10" s="17">
        <f>_xlfn.XLOOKUP($B10,'[3]Aug-24'!$A:$A,'[3]Aug-24'!$H:$H,0)</f>
        <v>0</v>
      </c>
      <c r="N10" s="17">
        <f>_xlfn.XLOOKUP($B10,'[3]Sep-24'!$A:$A,'[3]Sep-24'!$H:$H,0)</f>
        <v>0</v>
      </c>
      <c r="O10" s="17">
        <f>_xlfn.XLOOKUP($B10,'[3]Oct-24'!$A:$A,'[3]Oct-24'!$H:$H,0)</f>
        <v>0</v>
      </c>
      <c r="P10" s="17">
        <f>_xlfn.XLOOKUP($B10,'[3]Nov-24'!$A:$A,'[3]Nov-24'!$H:$H,0)</f>
        <v>0</v>
      </c>
      <c r="Q10" s="17">
        <f>_xlfn.XLOOKUP($B10,'[3]Dec-24'!$A:$A,'[3]Dec-24'!$H:$H,0)</f>
        <v>0</v>
      </c>
      <c r="R10" s="17">
        <f>_xlfn.XLOOKUP($B10,'[3]Jan-25'!$A:$A,'[3]Jan-25'!$H:$H,0)</f>
        <v>0</v>
      </c>
      <c r="S10" s="17">
        <f>_xlfn.XLOOKUP($B10,'[3]Feb-25'!$A:$A,'[3]Feb-25'!$H:$H,0)</f>
        <v>0</v>
      </c>
      <c r="T10" s="17">
        <f>_xlfn.XLOOKUP($B10,'[3]Mar-25'!$A:$A,'[3]Mar-25'!$H:$H,0)</f>
        <v>0</v>
      </c>
      <c r="U10" s="17">
        <f>_xlfn.XLOOKUP($B10,'[3]Apr-25'!$A:$A,'[3]Apr-25'!$H:$H,0)</f>
        <v>0</v>
      </c>
      <c r="V10" s="17">
        <f>_xlfn.XLOOKUP($B10,'[3]May-25'!$A:$A,'[3]May-25'!$H:$H,0)</f>
        <v>0</v>
      </c>
      <c r="W10" s="17">
        <f>_xlfn.XLOOKUP($B10,'[3]Jun-25'!$A:$A,'[3]Jun-25'!$H:$H,0)</f>
        <v>0</v>
      </c>
      <c r="X10" s="17">
        <f>_xlfn.XLOOKUP($B10,'[3]Jul-25'!$A:$A,'[3]Jul-25'!$H:$H,0)</f>
        <v>0</v>
      </c>
      <c r="Y10" s="17">
        <f>_xlfn.XLOOKUP($B10,'[3]Aug-25'!$A:$A,'[3]Aug-25'!$H:$H,0)</f>
        <v>0</v>
      </c>
      <c r="Z10" s="17">
        <f>_xlfn.XLOOKUP($B10,'[3]Sep-25'!$A:$A,'[3]Sep-25'!$H:$H,0)</f>
        <v>0</v>
      </c>
      <c r="AA10" s="17">
        <f>_xlfn.XLOOKUP($B10,'[3]Oct-25'!$A:$A,'[3]Oct-25'!$H:$H,0)</f>
        <v>0</v>
      </c>
      <c r="AB10" s="17">
        <f>_xlfn.XLOOKUP($B10,'[3]Nov-25'!$A:$A,'[3]Nov-25'!$H:$H,0)</f>
        <v>0</v>
      </c>
      <c r="AC10" s="17">
        <f>_xlfn.XLOOKUP($B10,'[3]Dec-25'!$A:$A,'[3]Dec-25'!$H:$H,0)</f>
        <v>0</v>
      </c>
      <c r="AD10" s="17">
        <f>_xlfn.XLOOKUP($B10,'[3]Jan-26'!$A:$A,'[3]Jan-26'!$H:$H,0)</f>
        <v>0</v>
      </c>
      <c r="AE10" s="17">
        <f>_xlfn.XLOOKUP($B10,'[3]Feb-26'!$A:$A,'[3]Feb-26'!$H:$H,0)</f>
        <v>0</v>
      </c>
      <c r="AF10" s="17">
        <f>_xlfn.XLOOKUP($B10,'[3]Mar-26'!$A:$A,'[3]Mar-26'!$H:$H,0)</f>
        <v>0</v>
      </c>
      <c r="AG10" s="17">
        <f>_xlfn.XLOOKUP($B10,'[3]Apr-26'!$A:$A,'[3]Apr-26'!$H:$H,0)</f>
        <v>0</v>
      </c>
    </row>
    <row r="11" spans="1:33" x14ac:dyDescent="0.2">
      <c r="A11" s="58" t="s">
        <v>926</v>
      </c>
      <c r="B11" s="56" t="str">
        <f t="shared" si="2"/>
        <v>10500</v>
      </c>
      <c r="C11" s="78" t="s">
        <v>302</v>
      </c>
      <c r="D11" s="57" t="s">
        <v>303</v>
      </c>
      <c r="E11" s="44" t="s">
        <v>361</v>
      </c>
      <c r="F11" s="17">
        <f>_xlfn.XLOOKUP($B11,'[3]Jan-24'!$A:$A,'[3]Jan-24'!$H:$H,0)</f>
        <v>0</v>
      </c>
      <c r="G11" s="17">
        <f>_xlfn.XLOOKUP($B11,'[3]Feb-24'!$A:$A,'[3]Feb-24'!$H:$H,0)</f>
        <v>0</v>
      </c>
      <c r="H11" s="17">
        <f>_xlfn.XLOOKUP($B11,'[3]Mar-24'!$A:$A,'[3]Mar-24'!$H:$H,0)</f>
        <v>0</v>
      </c>
      <c r="I11" s="17">
        <f>_xlfn.XLOOKUP($B11,'[3]Apr-24'!$A:$A,'[3]Apr-24'!$H:$H,0)</f>
        <v>0</v>
      </c>
      <c r="J11" s="17">
        <f>_xlfn.XLOOKUP($B11,'[3]May-24'!$A:$A,'[3]May-24'!$H:$H,0)</f>
        <v>0</v>
      </c>
      <c r="K11" s="17">
        <f>_xlfn.XLOOKUP($B11,'[3]Jun-24'!$A:$A,'[3]Jun-24'!$H:$H,0)</f>
        <v>0</v>
      </c>
      <c r="L11" s="17">
        <f>_xlfn.XLOOKUP($B11,'[3]Jul-24'!$A:$A,'[3]Jul-24'!$H:$H,0)</f>
        <v>0</v>
      </c>
      <c r="M11" s="17">
        <f>_xlfn.XLOOKUP($B11,'[3]Aug-24'!$A:$A,'[3]Aug-24'!$H:$H,0)</f>
        <v>0</v>
      </c>
      <c r="N11" s="17">
        <f>_xlfn.XLOOKUP($B11,'[3]Sep-24'!$A:$A,'[3]Sep-24'!$H:$H,0)</f>
        <v>0</v>
      </c>
      <c r="O11" s="17">
        <f>_xlfn.XLOOKUP($B11,'[3]Oct-24'!$A:$A,'[3]Oct-24'!$H:$H,0)</f>
        <v>0</v>
      </c>
      <c r="P11" s="17">
        <f>_xlfn.XLOOKUP($B11,'[3]Nov-24'!$A:$A,'[3]Nov-24'!$H:$H,0)</f>
        <v>0</v>
      </c>
      <c r="Q11" s="17">
        <f>_xlfn.XLOOKUP($B11,'[3]Dec-24'!$A:$A,'[3]Dec-24'!$H:$H,0)</f>
        <v>0</v>
      </c>
      <c r="R11" s="17">
        <f>_xlfn.XLOOKUP($B11,'[3]Jan-25'!$A:$A,'[3]Jan-25'!$H:$H,0)</f>
        <v>0</v>
      </c>
      <c r="S11" s="17">
        <f>_xlfn.XLOOKUP($B11,'[3]Feb-25'!$A:$A,'[3]Feb-25'!$H:$H,0)</f>
        <v>0</v>
      </c>
      <c r="T11" s="17">
        <f>_xlfn.XLOOKUP($B11,'[3]Mar-25'!$A:$A,'[3]Mar-25'!$H:$H,0)</f>
        <v>0</v>
      </c>
      <c r="U11" s="17">
        <f>_xlfn.XLOOKUP($B11,'[3]Apr-25'!$A:$A,'[3]Apr-25'!$H:$H,0)</f>
        <v>0</v>
      </c>
      <c r="V11" s="17">
        <f>_xlfn.XLOOKUP($B11,'[3]May-25'!$A:$A,'[3]May-25'!$H:$H,0)</f>
        <v>0</v>
      </c>
      <c r="W11" s="17">
        <f>_xlfn.XLOOKUP($B11,'[3]Jun-25'!$A:$A,'[3]Jun-25'!$H:$H,0)</f>
        <v>0</v>
      </c>
      <c r="X11" s="17">
        <f>_xlfn.XLOOKUP($B11,'[3]Jul-25'!$A:$A,'[3]Jul-25'!$H:$H,0)</f>
        <v>0</v>
      </c>
      <c r="Y11" s="17">
        <f>_xlfn.XLOOKUP($B11,'[3]Aug-25'!$A:$A,'[3]Aug-25'!$H:$H,0)</f>
        <v>0</v>
      </c>
      <c r="Z11" s="17">
        <f>_xlfn.XLOOKUP($B11,'[3]Sep-25'!$A:$A,'[3]Sep-25'!$H:$H,0)</f>
        <v>0</v>
      </c>
      <c r="AA11" s="17">
        <f>_xlfn.XLOOKUP($B11,'[3]Oct-25'!$A:$A,'[3]Oct-25'!$H:$H,0)</f>
        <v>0</v>
      </c>
      <c r="AB11" s="17">
        <f>_xlfn.XLOOKUP($B11,'[3]Nov-25'!$A:$A,'[3]Nov-25'!$H:$H,0)</f>
        <v>0</v>
      </c>
      <c r="AC11" s="17">
        <f>_xlfn.XLOOKUP($B11,'[3]Dec-25'!$A:$A,'[3]Dec-25'!$H:$H,0)</f>
        <v>0</v>
      </c>
      <c r="AD11" s="17">
        <f>_xlfn.XLOOKUP($B11,'[3]Jan-26'!$A:$A,'[3]Jan-26'!$H:$H,0)</f>
        <v>0</v>
      </c>
      <c r="AE11" s="17">
        <f>_xlfn.XLOOKUP($B11,'[3]Feb-26'!$A:$A,'[3]Feb-26'!$H:$H,0)</f>
        <v>0</v>
      </c>
      <c r="AF11" s="17">
        <f>_xlfn.XLOOKUP($B11,'[3]Mar-26'!$A:$A,'[3]Mar-26'!$H:$H,0)</f>
        <v>0</v>
      </c>
      <c r="AG11" s="17">
        <f>_xlfn.XLOOKUP($B11,'[3]Apr-26'!$A:$A,'[3]Apr-26'!$H:$H,0)</f>
        <v>0</v>
      </c>
    </row>
    <row r="12" spans="1:33" x14ac:dyDescent="0.2">
      <c r="A12" s="58" t="s">
        <v>951</v>
      </c>
      <c r="B12" s="56" t="str">
        <f t="shared" si="2"/>
        <v>10600</v>
      </c>
      <c r="C12" s="78" t="s">
        <v>302</v>
      </c>
      <c r="D12" s="57" t="s">
        <v>303</v>
      </c>
      <c r="E12" s="44" t="s">
        <v>362</v>
      </c>
      <c r="F12" s="17">
        <f>_xlfn.XLOOKUP($B12,'[3]Jan-24'!$A:$A,'[3]Jan-24'!$H:$H,0)</f>
        <v>0</v>
      </c>
      <c r="G12" s="17">
        <f>_xlfn.XLOOKUP($B12,'[3]Feb-24'!$A:$A,'[3]Feb-24'!$H:$H,0)</f>
        <v>0</v>
      </c>
      <c r="H12" s="17">
        <f>_xlfn.XLOOKUP($B12,'[3]Mar-24'!$A:$A,'[3]Mar-24'!$H:$H,0)</f>
        <v>0</v>
      </c>
      <c r="I12" s="17">
        <f>_xlfn.XLOOKUP($B12,'[3]Apr-24'!$A:$A,'[3]Apr-24'!$H:$H,0)</f>
        <v>0</v>
      </c>
      <c r="J12" s="17">
        <f>_xlfn.XLOOKUP($B12,'[3]May-24'!$A:$A,'[3]May-24'!$H:$H,0)</f>
        <v>0</v>
      </c>
      <c r="K12" s="17">
        <f>_xlfn.XLOOKUP($B12,'[3]Jun-24'!$A:$A,'[3]Jun-24'!$H:$H,0)</f>
        <v>0</v>
      </c>
      <c r="L12" s="17">
        <f>_xlfn.XLOOKUP($B12,'[3]Jul-24'!$A:$A,'[3]Jul-24'!$H:$H,0)</f>
        <v>0</v>
      </c>
      <c r="M12" s="17">
        <f>_xlfn.XLOOKUP($B12,'[3]Aug-24'!$A:$A,'[3]Aug-24'!$H:$H,0)</f>
        <v>0</v>
      </c>
      <c r="N12" s="17">
        <f>_xlfn.XLOOKUP($B12,'[3]Sep-24'!$A:$A,'[3]Sep-24'!$H:$H,0)</f>
        <v>0</v>
      </c>
      <c r="O12" s="17">
        <f>_xlfn.XLOOKUP($B12,'[3]Oct-24'!$A:$A,'[3]Oct-24'!$H:$H,0)</f>
        <v>0</v>
      </c>
      <c r="P12" s="17">
        <f>_xlfn.XLOOKUP($B12,'[3]Nov-24'!$A:$A,'[3]Nov-24'!$H:$H,0)</f>
        <v>0</v>
      </c>
      <c r="Q12" s="17">
        <f>_xlfn.XLOOKUP($B12,'[3]Dec-24'!$A:$A,'[3]Dec-24'!$H:$H,0)</f>
        <v>0</v>
      </c>
      <c r="R12" s="17">
        <f>_xlfn.XLOOKUP($B12,'[3]Jan-25'!$A:$A,'[3]Jan-25'!$H:$H,0)</f>
        <v>0</v>
      </c>
      <c r="S12" s="17">
        <f>_xlfn.XLOOKUP($B12,'[3]Feb-25'!$A:$A,'[3]Feb-25'!$H:$H,0)</f>
        <v>0</v>
      </c>
      <c r="T12" s="17">
        <f>_xlfn.XLOOKUP($B12,'[3]Mar-25'!$A:$A,'[3]Mar-25'!$H:$H,0)</f>
        <v>0</v>
      </c>
      <c r="U12" s="17">
        <f>_xlfn.XLOOKUP($B12,'[3]Apr-25'!$A:$A,'[3]Apr-25'!$H:$H,0)</f>
        <v>0</v>
      </c>
      <c r="V12" s="17">
        <f>_xlfn.XLOOKUP($B12,'[3]May-25'!$A:$A,'[3]May-25'!$H:$H,0)</f>
        <v>0</v>
      </c>
      <c r="W12" s="17">
        <f>_xlfn.XLOOKUP($B12,'[3]Jun-25'!$A:$A,'[3]Jun-25'!$H:$H,0)</f>
        <v>0</v>
      </c>
      <c r="X12" s="17">
        <f>_xlfn.XLOOKUP($B12,'[3]Jul-25'!$A:$A,'[3]Jul-25'!$H:$H,0)</f>
        <v>0</v>
      </c>
      <c r="Y12" s="17">
        <f>_xlfn.XLOOKUP($B12,'[3]Aug-25'!$A:$A,'[3]Aug-25'!$H:$H,0)</f>
        <v>0</v>
      </c>
      <c r="Z12" s="17">
        <f>_xlfn.XLOOKUP($B12,'[3]Sep-25'!$A:$A,'[3]Sep-25'!$H:$H,0)</f>
        <v>0</v>
      </c>
      <c r="AA12" s="17">
        <f>_xlfn.XLOOKUP($B12,'[3]Oct-25'!$A:$A,'[3]Oct-25'!$H:$H,0)</f>
        <v>0</v>
      </c>
      <c r="AB12" s="17">
        <f>_xlfn.XLOOKUP($B12,'[3]Nov-25'!$A:$A,'[3]Nov-25'!$H:$H,0)</f>
        <v>0</v>
      </c>
      <c r="AC12" s="17">
        <f>_xlfn.XLOOKUP($B12,'[3]Dec-25'!$A:$A,'[3]Dec-25'!$H:$H,0)</f>
        <v>0</v>
      </c>
      <c r="AD12" s="17">
        <f>_xlfn.XLOOKUP($B12,'[3]Jan-26'!$A:$A,'[3]Jan-26'!$H:$H,0)</f>
        <v>0</v>
      </c>
      <c r="AE12" s="17">
        <f>_xlfn.XLOOKUP($B12,'[3]Feb-26'!$A:$A,'[3]Feb-26'!$H:$H,0)</f>
        <v>0</v>
      </c>
      <c r="AF12" s="17">
        <f>_xlfn.XLOOKUP($B12,'[3]Mar-26'!$A:$A,'[3]Mar-26'!$H:$H,0)</f>
        <v>0</v>
      </c>
      <c r="AG12" s="17">
        <f>_xlfn.XLOOKUP($B12,'[3]Apr-26'!$A:$A,'[3]Apr-26'!$H:$H,0)</f>
        <v>0</v>
      </c>
    </row>
    <row r="13" spans="1:33" x14ac:dyDescent="0.2">
      <c r="A13" s="58" t="s">
        <v>927</v>
      </c>
      <c r="B13" s="56" t="str">
        <f t="shared" si="2"/>
        <v>11000</v>
      </c>
      <c r="C13" s="78" t="s">
        <v>368</v>
      </c>
      <c r="D13" s="57" t="s">
        <v>303</v>
      </c>
      <c r="E13" s="44" t="s">
        <v>195</v>
      </c>
      <c r="F13" s="17">
        <f>_xlfn.XLOOKUP($B13,'[3]Jan-24'!$A:$A,'[3]Jan-24'!$H:$H,0)</f>
        <v>0</v>
      </c>
      <c r="G13" s="17">
        <f>_xlfn.XLOOKUP($B13,'[3]Feb-24'!$A:$A,'[3]Feb-24'!$H:$H,0)</f>
        <v>0</v>
      </c>
      <c r="H13" s="17">
        <f>_xlfn.XLOOKUP($B13,'[3]Mar-24'!$A:$A,'[3]Mar-24'!$H:$H,0)</f>
        <v>0</v>
      </c>
      <c r="I13" s="17">
        <f>_xlfn.XLOOKUP($B13,'[3]Apr-24'!$A:$A,'[3]Apr-24'!$H:$H,0)</f>
        <v>0</v>
      </c>
      <c r="J13" s="17">
        <f>_xlfn.XLOOKUP($B13,'[3]May-24'!$A:$A,'[3]May-24'!$H:$H,0)</f>
        <v>0</v>
      </c>
      <c r="K13" s="17">
        <f>_xlfn.XLOOKUP($B13,'[3]Jun-24'!$A:$A,'[3]Jun-24'!$H:$H,0)</f>
        <v>0</v>
      </c>
      <c r="L13" s="17">
        <f>_xlfn.XLOOKUP($B13,'[3]Jul-24'!$A:$A,'[3]Jul-24'!$H:$H,0)</f>
        <v>0</v>
      </c>
      <c r="M13" s="17">
        <f>_xlfn.XLOOKUP($B13,'[3]Aug-24'!$A:$A,'[3]Aug-24'!$H:$H,0)</f>
        <v>0</v>
      </c>
      <c r="N13" s="17">
        <f>_xlfn.XLOOKUP($B13,'[3]Sep-24'!$A:$A,'[3]Sep-24'!$H:$H,0)</f>
        <v>0</v>
      </c>
      <c r="O13" s="17">
        <f>_xlfn.XLOOKUP($B13,'[3]Oct-24'!$A:$A,'[3]Oct-24'!$H:$H,0)</f>
        <v>0</v>
      </c>
      <c r="P13" s="17">
        <f>_xlfn.XLOOKUP($B13,'[3]Nov-24'!$A:$A,'[3]Nov-24'!$H:$H,0)</f>
        <v>0</v>
      </c>
      <c r="Q13" s="17">
        <f>_xlfn.XLOOKUP($B13,'[3]Dec-24'!$A:$A,'[3]Dec-24'!$H:$H,0)</f>
        <v>0</v>
      </c>
      <c r="R13" s="17">
        <f>_xlfn.XLOOKUP($B13,'[3]Jan-25'!$A:$A,'[3]Jan-25'!$H:$H,0)</f>
        <v>0</v>
      </c>
      <c r="S13" s="17">
        <f>_xlfn.XLOOKUP($B13,'[3]Feb-25'!$A:$A,'[3]Feb-25'!$H:$H,0)</f>
        <v>0</v>
      </c>
      <c r="T13" s="17">
        <f>_xlfn.XLOOKUP($B13,'[3]Mar-25'!$A:$A,'[3]Mar-25'!$H:$H,0)</f>
        <v>0</v>
      </c>
      <c r="U13" s="17">
        <f>_xlfn.XLOOKUP($B13,'[3]Apr-25'!$A:$A,'[3]Apr-25'!$H:$H,0)</f>
        <v>0</v>
      </c>
      <c r="V13" s="17">
        <f>_xlfn.XLOOKUP($B13,'[3]May-25'!$A:$A,'[3]May-25'!$H:$H,0)</f>
        <v>0</v>
      </c>
      <c r="W13" s="17">
        <f>_xlfn.XLOOKUP($B13,'[3]Jun-25'!$A:$A,'[3]Jun-25'!$H:$H,0)</f>
        <v>0</v>
      </c>
      <c r="X13" s="17">
        <f>_xlfn.XLOOKUP($B13,'[3]Jul-25'!$A:$A,'[3]Jul-25'!$H:$H,0)</f>
        <v>0</v>
      </c>
      <c r="Y13" s="17">
        <f>_xlfn.XLOOKUP($B13,'[3]Aug-25'!$A:$A,'[3]Aug-25'!$H:$H,0)</f>
        <v>0</v>
      </c>
      <c r="Z13" s="17">
        <f>_xlfn.XLOOKUP($B13,'[3]Sep-25'!$A:$A,'[3]Sep-25'!$H:$H,0)</f>
        <v>0</v>
      </c>
      <c r="AA13" s="17">
        <f>_xlfn.XLOOKUP($B13,'[3]Oct-25'!$A:$A,'[3]Oct-25'!$H:$H,0)</f>
        <v>0</v>
      </c>
      <c r="AB13" s="17">
        <f>_xlfn.XLOOKUP($B13,'[3]Nov-25'!$A:$A,'[3]Nov-25'!$H:$H,0)</f>
        <v>0</v>
      </c>
      <c r="AC13" s="17">
        <f>_xlfn.XLOOKUP($B13,'[3]Dec-25'!$A:$A,'[3]Dec-25'!$H:$H,0)</f>
        <v>0</v>
      </c>
      <c r="AD13" s="17">
        <f>_xlfn.XLOOKUP($B13,'[3]Jan-26'!$A:$A,'[3]Jan-26'!$H:$H,0)</f>
        <v>0</v>
      </c>
      <c r="AE13" s="17">
        <f>_xlfn.XLOOKUP($B13,'[3]Feb-26'!$A:$A,'[3]Feb-26'!$H:$H,0)</f>
        <v>0</v>
      </c>
      <c r="AF13" s="17">
        <f>_xlfn.XLOOKUP($B13,'[3]Mar-26'!$A:$A,'[3]Mar-26'!$H:$H,0)</f>
        <v>0</v>
      </c>
      <c r="AG13" s="17">
        <f>_xlfn.XLOOKUP($B13,'[3]Apr-26'!$A:$A,'[3]Apr-26'!$H:$H,0)</f>
        <v>0</v>
      </c>
    </row>
    <row r="14" spans="1:33" x14ac:dyDescent="0.2">
      <c r="A14" s="58" t="s">
        <v>928</v>
      </c>
      <c r="B14" s="56" t="str">
        <f t="shared" si="2"/>
        <v>11005</v>
      </c>
      <c r="C14" s="78" t="s">
        <v>368</v>
      </c>
      <c r="D14" s="57" t="s">
        <v>303</v>
      </c>
      <c r="E14" s="44" t="s">
        <v>200</v>
      </c>
      <c r="F14" s="17">
        <f>_xlfn.XLOOKUP($B14,'[3]Jan-24'!$A:$A,'[3]Jan-24'!$H:$H,0)</f>
        <v>0</v>
      </c>
      <c r="G14" s="17">
        <f>_xlfn.XLOOKUP($B14,'[3]Feb-24'!$A:$A,'[3]Feb-24'!$H:$H,0)</f>
        <v>0</v>
      </c>
      <c r="H14" s="17">
        <f>_xlfn.XLOOKUP($B14,'[3]Mar-24'!$A:$A,'[3]Mar-24'!$H:$H,0)</f>
        <v>0</v>
      </c>
      <c r="I14" s="17">
        <f>_xlfn.XLOOKUP($B14,'[3]Apr-24'!$A:$A,'[3]Apr-24'!$H:$H,0)</f>
        <v>0</v>
      </c>
      <c r="J14" s="17">
        <f>_xlfn.XLOOKUP($B14,'[3]May-24'!$A:$A,'[3]May-24'!$H:$H,0)</f>
        <v>0</v>
      </c>
      <c r="K14" s="17">
        <f>_xlfn.XLOOKUP($B14,'[3]Jun-24'!$A:$A,'[3]Jun-24'!$H:$H,0)</f>
        <v>0</v>
      </c>
      <c r="L14" s="17">
        <f>_xlfn.XLOOKUP($B14,'[3]Jul-24'!$A:$A,'[3]Jul-24'!$H:$H,0)</f>
        <v>0</v>
      </c>
      <c r="M14" s="17">
        <f>_xlfn.XLOOKUP($B14,'[3]Aug-24'!$A:$A,'[3]Aug-24'!$H:$H,0)</f>
        <v>0</v>
      </c>
      <c r="N14" s="17">
        <f>_xlfn.XLOOKUP($B14,'[3]Sep-24'!$A:$A,'[3]Sep-24'!$H:$H,0)</f>
        <v>0</v>
      </c>
      <c r="O14" s="17">
        <f>_xlfn.XLOOKUP($B14,'[3]Oct-24'!$A:$A,'[3]Oct-24'!$H:$H,0)</f>
        <v>0</v>
      </c>
      <c r="P14" s="17">
        <f>_xlfn.XLOOKUP($B14,'[3]Nov-24'!$A:$A,'[3]Nov-24'!$H:$H,0)</f>
        <v>0</v>
      </c>
      <c r="Q14" s="17">
        <f>_xlfn.XLOOKUP($B14,'[3]Dec-24'!$A:$A,'[3]Dec-24'!$H:$H,0)</f>
        <v>0</v>
      </c>
      <c r="R14" s="17">
        <f>_xlfn.XLOOKUP($B14,'[3]Jan-25'!$A:$A,'[3]Jan-25'!$H:$H,0)</f>
        <v>0</v>
      </c>
      <c r="S14" s="17">
        <f>_xlfn.XLOOKUP($B14,'[3]Feb-25'!$A:$A,'[3]Feb-25'!$H:$H,0)</f>
        <v>0</v>
      </c>
      <c r="T14" s="17">
        <f>_xlfn.XLOOKUP($B14,'[3]Mar-25'!$A:$A,'[3]Mar-25'!$H:$H,0)</f>
        <v>0</v>
      </c>
      <c r="U14" s="17">
        <f>_xlfn.XLOOKUP($B14,'[3]Apr-25'!$A:$A,'[3]Apr-25'!$H:$H,0)</f>
        <v>0</v>
      </c>
      <c r="V14" s="17">
        <f>_xlfn.XLOOKUP($B14,'[3]May-25'!$A:$A,'[3]May-25'!$H:$H,0)</f>
        <v>0</v>
      </c>
      <c r="W14" s="17">
        <f>_xlfn.XLOOKUP($B14,'[3]Jun-25'!$A:$A,'[3]Jun-25'!$H:$H,0)</f>
        <v>0</v>
      </c>
      <c r="X14" s="17">
        <f>_xlfn.XLOOKUP($B14,'[3]Jul-25'!$A:$A,'[3]Jul-25'!$H:$H,0)</f>
        <v>0</v>
      </c>
      <c r="Y14" s="17">
        <f>_xlfn.XLOOKUP($B14,'[3]Aug-25'!$A:$A,'[3]Aug-25'!$H:$H,0)</f>
        <v>0</v>
      </c>
      <c r="Z14" s="17">
        <f>_xlfn.XLOOKUP($B14,'[3]Sep-25'!$A:$A,'[3]Sep-25'!$H:$H,0)</f>
        <v>0</v>
      </c>
      <c r="AA14" s="17">
        <f>_xlfn.XLOOKUP($B14,'[3]Oct-25'!$A:$A,'[3]Oct-25'!$H:$H,0)</f>
        <v>0</v>
      </c>
      <c r="AB14" s="17">
        <f>_xlfn.XLOOKUP($B14,'[3]Nov-25'!$A:$A,'[3]Nov-25'!$H:$H,0)</f>
        <v>0</v>
      </c>
      <c r="AC14" s="17">
        <f>_xlfn.XLOOKUP($B14,'[3]Dec-25'!$A:$A,'[3]Dec-25'!$H:$H,0)</f>
        <v>0</v>
      </c>
      <c r="AD14" s="17">
        <f>_xlfn.XLOOKUP($B14,'[3]Jan-26'!$A:$A,'[3]Jan-26'!$H:$H,0)</f>
        <v>0</v>
      </c>
      <c r="AE14" s="17">
        <f>_xlfn.XLOOKUP($B14,'[3]Feb-26'!$A:$A,'[3]Feb-26'!$H:$H,0)</f>
        <v>0</v>
      </c>
      <c r="AF14" s="17">
        <f>_xlfn.XLOOKUP($B14,'[3]Mar-26'!$A:$A,'[3]Mar-26'!$H:$H,0)</f>
        <v>0</v>
      </c>
      <c r="AG14" s="17">
        <f>_xlfn.XLOOKUP($B14,'[3]Apr-26'!$A:$A,'[3]Apr-26'!$H:$H,0)</f>
        <v>0</v>
      </c>
    </row>
    <row r="15" spans="1:33" x14ac:dyDescent="0.2">
      <c r="A15" s="58" t="s">
        <v>929</v>
      </c>
      <c r="B15" s="56" t="str">
        <f t="shared" si="2"/>
        <v>11020</v>
      </c>
      <c r="C15" s="78" t="s">
        <v>368</v>
      </c>
      <c r="D15" s="57" t="s">
        <v>303</v>
      </c>
      <c r="E15" s="44" t="s">
        <v>372</v>
      </c>
      <c r="F15" s="17">
        <f>_xlfn.XLOOKUP($B15,'[3]Jan-24'!$A:$A,'[3]Jan-24'!$H:$H,0)</f>
        <v>0</v>
      </c>
      <c r="G15" s="17">
        <f>_xlfn.XLOOKUP($B15,'[3]Feb-24'!$A:$A,'[3]Feb-24'!$H:$H,0)</f>
        <v>0</v>
      </c>
      <c r="H15" s="17">
        <f>_xlfn.XLOOKUP($B15,'[3]Mar-24'!$A:$A,'[3]Mar-24'!$H:$H,0)</f>
        <v>0</v>
      </c>
      <c r="I15" s="17">
        <f>_xlfn.XLOOKUP($B15,'[3]Apr-24'!$A:$A,'[3]Apr-24'!$H:$H,0)</f>
        <v>0</v>
      </c>
      <c r="J15" s="17">
        <f>_xlfn.XLOOKUP($B15,'[3]May-24'!$A:$A,'[3]May-24'!$H:$H,0)</f>
        <v>0</v>
      </c>
      <c r="K15" s="17">
        <f>_xlfn.XLOOKUP($B15,'[3]Jun-24'!$A:$A,'[3]Jun-24'!$H:$H,0)</f>
        <v>0</v>
      </c>
      <c r="L15" s="17">
        <f>_xlfn.XLOOKUP($B15,'[3]Jul-24'!$A:$A,'[3]Jul-24'!$H:$H,0)</f>
        <v>0</v>
      </c>
      <c r="M15" s="17">
        <f>_xlfn.XLOOKUP($B15,'[3]Aug-24'!$A:$A,'[3]Aug-24'!$H:$H,0)</f>
        <v>0</v>
      </c>
      <c r="N15" s="17">
        <f>_xlfn.XLOOKUP($B15,'[3]Sep-24'!$A:$A,'[3]Sep-24'!$H:$H,0)</f>
        <v>0</v>
      </c>
      <c r="O15" s="17">
        <f>_xlfn.XLOOKUP($B15,'[3]Oct-24'!$A:$A,'[3]Oct-24'!$H:$H,0)</f>
        <v>0</v>
      </c>
      <c r="P15" s="17">
        <f>_xlfn.XLOOKUP($B15,'[3]Nov-24'!$A:$A,'[3]Nov-24'!$H:$H,0)</f>
        <v>0</v>
      </c>
      <c r="Q15" s="17">
        <f>_xlfn.XLOOKUP($B15,'[3]Dec-24'!$A:$A,'[3]Dec-24'!$H:$H,0)</f>
        <v>0</v>
      </c>
      <c r="R15" s="17">
        <f>_xlfn.XLOOKUP($B15,'[3]Jan-25'!$A:$A,'[3]Jan-25'!$H:$H,0)</f>
        <v>0</v>
      </c>
      <c r="S15" s="17">
        <f>_xlfn.XLOOKUP($B15,'[3]Feb-25'!$A:$A,'[3]Feb-25'!$H:$H,0)</f>
        <v>0</v>
      </c>
      <c r="T15" s="17">
        <f>_xlfn.XLOOKUP($B15,'[3]Mar-25'!$A:$A,'[3]Mar-25'!$H:$H,0)</f>
        <v>0</v>
      </c>
      <c r="U15" s="17">
        <f>_xlfn.XLOOKUP($B15,'[3]Apr-25'!$A:$A,'[3]Apr-25'!$H:$H,0)</f>
        <v>0</v>
      </c>
      <c r="V15" s="17">
        <f>_xlfn.XLOOKUP($B15,'[3]May-25'!$A:$A,'[3]May-25'!$H:$H,0)</f>
        <v>0</v>
      </c>
      <c r="W15" s="17">
        <f>_xlfn.XLOOKUP($B15,'[3]Jun-25'!$A:$A,'[3]Jun-25'!$H:$H,0)</f>
        <v>0</v>
      </c>
      <c r="X15" s="17">
        <f>_xlfn.XLOOKUP($B15,'[3]Jul-25'!$A:$A,'[3]Jul-25'!$H:$H,0)</f>
        <v>0</v>
      </c>
      <c r="Y15" s="17">
        <f>_xlfn.XLOOKUP($B15,'[3]Aug-25'!$A:$A,'[3]Aug-25'!$H:$H,0)</f>
        <v>0</v>
      </c>
      <c r="Z15" s="17">
        <f>_xlfn.XLOOKUP($B15,'[3]Sep-25'!$A:$A,'[3]Sep-25'!$H:$H,0)</f>
        <v>0</v>
      </c>
      <c r="AA15" s="17">
        <f>_xlfn.XLOOKUP($B15,'[3]Oct-25'!$A:$A,'[3]Oct-25'!$H:$H,0)</f>
        <v>0</v>
      </c>
      <c r="AB15" s="17">
        <f>_xlfn.XLOOKUP($B15,'[3]Nov-25'!$A:$A,'[3]Nov-25'!$H:$H,0)</f>
        <v>0</v>
      </c>
      <c r="AC15" s="17">
        <f>_xlfn.XLOOKUP($B15,'[3]Dec-25'!$A:$A,'[3]Dec-25'!$H:$H,0)</f>
        <v>0</v>
      </c>
      <c r="AD15" s="17">
        <f>_xlfn.XLOOKUP($B15,'[3]Jan-26'!$A:$A,'[3]Jan-26'!$H:$H,0)</f>
        <v>0</v>
      </c>
      <c r="AE15" s="17">
        <f>_xlfn.XLOOKUP($B15,'[3]Feb-26'!$A:$A,'[3]Feb-26'!$H:$H,0)</f>
        <v>0</v>
      </c>
      <c r="AF15" s="17">
        <f>_xlfn.XLOOKUP($B15,'[3]Mar-26'!$A:$A,'[3]Mar-26'!$H:$H,0)</f>
        <v>0</v>
      </c>
      <c r="AG15" s="17">
        <f>_xlfn.XLOOKUP($B15,'[3]Apr-26'!$A:$A,'[3]Apr-26'!$H:$H,0)</f>
        <v>0</v>
      </c>
    </row>
    <row r="16" spans="1:33" x14ac:dyDescent="0.2">
      <c r="A16" s="58" t="s">
        <v>952</v>
      </c>
      <c r="B16" s="56" t="str">
        <f t="shared" si="2"/>
        <v>11501</v>
      </c>
      <c r="C16" s="78" t="s">
        <v>371</v>
      </c>
      <c r="D16" s="57" t="s">
        <v>303</v>
      </c>
      <c r="E16" s="44" t="s">
        <v>953</v>
      </c>
      <c r="F16" s="17">
        <f>_xlfn.XLOOKUP($B16,'[3]Jan-24'!$A:$A,'[3]Jan-24'!$H:$H,0)</f>
        <v>0</v>
      </c>
      <c r="G16" s="17">
        <f>_xlfn.XLOOKUP($B16,'[3]Feb-24'!$A:$A,'[3]Feb-24'!$H:$H,0)</f>
        <v>0</v>
      </c>
      <c r="H16" s="17">
        <f>_xlfn.XLOOKUP($B16,'[3]Mar-24'!$A:$A,'[3]Mar-24'!$H:$H,0)</f>
        <v>0</v>
      </c>
      <c r="I16" s="17">
        <f>_xlfn.XLOOKUP($B16,'[3]Apr-24'!$A:$A,'[3]Apr-24'!$H:$H,0)</f>
        <v>0</v>
      </c>
      <c r="J16" s="17">
        <f>_xlfn.XLOOKUP($B16,'[3]May-24'!$A:$A,'[3]May-24'!$H:$H,0)</f>
        <v>0</v>
      </c>
      <c r="K16" s="17">
        <f>_xlfn.XLOOKUP($B16,'[3]Jun-24'!$A:$A,'[3]Jun-24'!$H:$H,0)</f>
        <v>0</v>
      </c>
      <c r="L16" s="17">
        <f>_xlfn.XLOOKUP($B16,'[3]Jul-24'!$A:$A,'[3]Jul-24'!$H:$H,0)</f>
        <v>0</v>
      </c>
      <c r="M16" s="17">
        <f>_xlfn.XLOOKUP($B16,'[3]Aug-24'!$A:$A,'[3]Aug-24'!$H:$H,0)</f>
        <v>0</v>
      </c>
      <c r="N16" s="17">
        <f>_xlfn.XLOOKUP($B16,'[3]Sep-24'!$A:$A,'[3]Sep-24'!$H:$H,0)</f>
        <v>0</v>
      </c>
      <c r="O16" s="17">
        <f>_xlfn.XLOOKUP($B16,'[3]Oct-24'!$A:$A,'[3]Oct-24'!$H:$H,0)</f>
        <v>0</v>
      </c>
      <c r="P16" s="17">
        <f>_xlfn.XLOOKUP($B16,'[3]Nov-24'!$A:$A,'[3]Nov-24'!$H:$H,0)</f>
        <v>0</v>
      </c>
      <c r="Q16" s="17">
        <f>_xlfn.XLOOKUP($B16,'[3]Dec-24'!$A:$A,'[3]Dec-24'!$H:$H,0)</f>
        <v>0</v>
      </c>
      <c r="R16" s="17">
        <f>_xlfn.XLOOKUP($B16,'[3]Jan-25'!$A:$A,'[3]Jan-25'!$H:$H,0)</f>
        <v>0</v>
      </c>
      <c r="S16" s="17">
        <f>_xlfn.XLOOKUP($B16,'[3]Feb-25'!$A:$A,'[3]Feb-25'!$H:$H,0)</f>
        <v>0</v>
      </c>
      <c r="T16" s="17">
        <f>_xlfn.XLOOKUP($B16,'[3]Mar-25'!$A:$A,'[3]Mar-25'!$H:$H,0)</f>
        <v>0</v>
      </c>
      <c r="U16" s="17">
        <f>_xlfn.XLOOKUP($B16,'[3]Apr-25'!$A:$A,'[3]Apr-25'!$H:$H,0)</f>
        <v>0</v>
      </c>
      <c r="V16" s="17">
        <f>_xlfn.XLOOKUP($B16,'[3]May-25'!$A:$A,'[3]May-25'!$H:$H,0)</f>
        <v>0</v>
      </c>
      <c r="W16" s="17">
        <f>_xlfn.XLOOKUP($B16,'[3]Jun-25'!$A:$A,'[3]Jun-25'!$H:$H,0)</f>
        <v>0</v>
      </c>
      <c r="X16" s="17">
        <f>_xlfn.XLOOKUP($B16,'[3]Jul-25'!$A:$A,'[3]Jul-25'!$H:$H,0)</f>
        <v>0</v>
      </c>
      <c r="Y16" s="17">
        <f>_xlfn.XLOOKUP($B16,'[3]Aug-25'!$A:$A,'[3]Aug-25'!$H:$H,0)</f>
        <v>0</v>
      </c>
      <c r="Z16" s="17">
        <f>_xlfn.XLOOKUP($B16,'[3]Sep-25'!$A:$A,'[3]Sep-25'!$H:$H,0)</f>
        <v>0</v>
      </c>
      <c r="AA16" s="17">
        <f>_xlfn.XLOOKUP($B16,'[3]Oct-25'!$A:$A,'[3]Oct-25'!$H:$H,0)</f>
        <v>0</v>
      </c>
      <c r="AB16" s="17">
        <f>_xlfn.XLOOKUP($B16,'[3]Nov-25'!$A:$A,'[3]Nov-25'!$H:$H,0)</f>
        <v>0</v>
      </c>
      <c r="AC16" s="17">
        <f>_xlfn.XLOOKUP($B16,'[3]Dec-25'!$A:$A,'[3]Dec-25'!$H:$H,0)</f>
        <v>0</v>
      </c>
      <c r="AD16" s="17">
        <f>_xlfn.XLOOKUP($B16,'[3]Jan-26'!$A:$A,'[3]Jan-26'!$H:$H,0)</f>
        <v>0</v>
      </c>
      <c r="AE16" s="17">
        <f>_xlfn.XLOOKUP($B16,'[3]Feb-26'!$A:$A,'[3]Feb-26'!$H:$H,0)</f>
        <v>0</v>
      </c>
      <c r="AF16" s="17">
        <f>_xlfn.XLOOKUP($B16,'[3]Mar-26'!$A:$A,'[3]Mar-26'!$H:$H,0)</f>
        <v>0</v>
      </c>
      <c r="AG16" s="17">
        <f>_xlfn.XLOOKUP($B16,'[3]Apr-26'!$A:$A,'[3]Apr-26'!$H:$H,0)</f>
        <v>0</v>
      </c>
    </row>
    <row r="17" spans="1:33" x14ac:dyDescent="0.2">
      <c r="A17" s="58" t="s">
        <v>954</v>
      </c>
      <c r="B17" s="56" t="str">
        <f t="shared" si="2"/>
        <v>11510</v>
      </c>
      <c r="C17" s="78" t="s">
        <v>371</v>
      </c>
      <c r="D17" s="57" t="s">
        <v>303</v>
      </c>
      <c r="E17" s="44" t="s">
        <v>955</v>
      </c>
      <c r="F17" s="17">
        <f>_xlfn.XLOOKUP($B17,'[3]Jan-24'!$A:$A,'[3]Jan-24'!$H:$H,0)</f>
        <v>0</v>
      </c>
      <c r="G17" s="17">
        <f>_xlfn.XLOOKUP($B17,'[3]Feb-24'!$A:$A,'[3]Feb-24'!$H:$H,0)</f>
        <v>0</v>
      </c>
      <c r="H17" s="17">
        <f>_xlfn.XLOOKUP($B17,'[3]Mar-24'!$A:$A,'[3]Mar-24'!$H:$H,0)</f>
        <v>0</v>
      </c>
      <c r="I17" s="17">
        <f>_xlfn.XLOOKUP($B17,'[3]Apr-24'!$A:$A,'[3]Apr-24'!$H:$H,0)</f>
        <v>0</v>
      </c>
      <c r="J17" s="17">
        <f>_xlfn.XLOOKUP($B17,'[3]May-24'!$A:$A,'[3]May-24'!$H:$H,0)</f>
        <v>20819.599999999999</v>
      </c>
      <c r="K17" s="17">
        <f>_xlfn.XLOOKUP($B17,'[3]Jun-24'!$A:$A,'[3]Jun-24'!$H:$H,0)</f>
        <v>20819.599999999999</v>
      </c>
      <c r="L17" s="17">
        <f>_xlfn.XLOOKUP($B17,'[3]Jul-24'!$A:$A,'[3]Jul-24'!$H:$H,0)</f>
        <v>20819.599999999999</v>
      </c>
      <c r="M17" s="17">
        <f>_xlfn.XLOOKUP($B17,'[3]Aug-24'!$A:$A,'[3]Aug-24'!$H:$H,0)</f>
        <v>20819.599999999999</v>
      </c>
      <c r="N17" s="17">
        <f>_xlfn.XLOOKUP($B17,'[3]Sep-24'!$A:$A,'[3]Sep-24'!$H:$H,0)</f>
        <v>20819.599999999999</v>
      </c>
      <c r="O17" s="17">
        <f>_xlfn.XLOOKUP($B17,'[3]Oct-24'!$A:$A,'[3]Oct-24'!$H:$H,0)</f>
        <v>0</v>
      </c>
      <c r="P17" s="17">
        <f>_xlfn.XLOOKUP($B17,'[3]Nov-24'!$A:$A,'[3]Nov-24'!$H:$H,0)</f>
        <v>0</v>
      </c>
      <c r="Q17" s="17">
        <f>_xlfn.XLOOKUP($B17,'[3]Dec-24'!$A:$A,'[3]Dec-24'!$H:$H,0)</f>
        <v>0</v>
      </c>
      <c r="R17" s="17">
        <f>_xlfn.XLOOKUP($B17,'[3]Jan-25'!$A:$A,'[3]Jan-25'!$H:$H,0)</f>
        <v>0</v>
      </c>
      <c r="S17" s="17">
        <f>_xlfn.XLOOKUP($B17,'[3]Feb-25'!$A:$A,'[3]Feb-25'!$H:$H,0)</f>
        <v>0</v>
      </c>
      <c r="T17" s="17">
        <f>_xlfn.XLOOKUP($B17,'[3]Mar-25'!$A:$A,'[3]Mar-25'!$H:$H,0)</f>
        <v>0</v>
      </c>
      <c r="U17" s="17">
        <f>_xlfn.XLOOKUP($B17,'[3]Apr-25'!$A:$A,'[3]Apr-25'!$H:$H,0)</f>
        <v>0</v>
      </c>
      <c r="V17" s="17">
        <f>_xlfn.XLOOKUP($B17,'[3]May-25'!$A:$A,'[3]May-25'!$H:$H,0)</f>
        <v>0</v>
      </c>
      <c r="W17" s="17">
        <f>_xlfn.XLOOKUP($B17,'[3]Jun-25'!$A:$A,'[3]Jun-25'!$H:$H,0)</f>
        <v>0</v>
      </c>
      <c r="X17" s="17">
        <f>_xlfn.XLOOKUP($B17,'[3]Jul-25'!$A:$A,'[3]Jul-25'!$H:$H,0)</f>
        <v>0</v>
      </c>
      <c r="Y17" s="17">
        <f>_xlfn.XLOOKUP($B17,'[3]Aug-25'!$A:$A,'[3]Aug-25'!$H:$H,0)</f>
        <v>0</v>
      </c>
      <c r="Z17" s="17">
        <f>_xlfn.XLOOKUP($B17,'[3]Sep-25'!$A:$A,'[3]Sep-25'!$H:$H,0)</f>
        <v>0</v>
      </c>
      <c r="AA17" s="17">
        <f>_xlfn.XLOOKUP($B17,'[3]Oct-25'!$A:$A,'[3]Oct-25'!$H:$H,0)</f>
        <v>0</v>
      </c>
      <c r="AB17" s="17">
        <f>_xlfn.XLOOKUP($B17,'[3]Nov-25'!$A:$A,'[3]Nov-25'!$H:$H,0)</f>
        <v>0</v>
      </c>
      <c r="AC17" s="17">
        <f>_xlfn.XLOOKUP($B17,'[3]Dec-25'!$A:$A,'[3]Dec-25'!$H:$H,0)</f>
        <v>0</v>
      </c>
      <c r="AD17" s="17">
        <f>_xlfn.XLOOKUP($B17,'[3]Jan-26'!$A:$A,'[3]Jan-26'!$H:$H,0)</f>
        <v>0</v>
      </c>
      <c r="AE17" s="17">
        <f>_xlfn.XLOOKUP($B17,'[3]Feb-26'!$A:$A,'[3]Feb-26'!$H:$H,0)</f>
        <v>0</v>
      </c>
      <c r="AF17" s="17">
        <f>_xlfn.XLOOKUP($B17,'[3]Mar-26'!$A:$A,'[3]Mar-26'!$H:$H,0)</f>
        <v>0</v>
      </c>
      <c r="AG17" s="17">
        <f>_xlfn.XLOOKUP($B17,'[3]Apr-26'!$A:$A,'[3]Apr-26'!$H:$H,0)</f>
        <v>0</v>
      </c>
    </row>
    <row r="18" spans="1:33" x14ac:dyDescent="0.2">
      <c r="A18" s="58" t="s">
        <v>932</v>
      </c>
      <c r="B18" s="56" t="str">
        <f t="shared" si="2"/>
        <v>11530</v>
      </c>
      <c r="C18" s="78" t="s">
        <v>371</v>
      </c>
      <c r="D18" s="57" t="s">
        <v>303</v>
      </c>
      <c r="E18" s="44" t="s">
        <v>956</v>
      </c>
      <c r="F18" s="17">
        <f>_xlfn.XLOOKUP($B18,'[3]Jan-24'!$A:$A,'[3]Jan-24'!$H:$H,0)</f>
        <v>5514.87</v>
      </c>
      <c r="G18" s="17">
        <f>_xlfn.XLOOKUP($B18,'[3]Feb-24'!$A:$A,'[3]Feb-24'!$H:$H,0)</f>
        <v>4595.7299999999996</v>
      </c>
      <c r="H18" s="17">
        <f>_xlfn.XLOOKUP($B18,'[3]Mar-24'!$A:$A,'[3]Mar-24'!$H:$H,0)</f>
        <v>3676.59</v>
      </c>
      <c r="I18" s="17">
        <f>_xlfn.XLOOKUP($B18,'[3]Apr-24'!$A:$A,'[3]Apr-24'!$H:$H,0)</f>
        <v>2757.45</v>
      </c>
      <c r="J18" s="17">
        <f>_xlfn.XLOOKUP($B18,'[3]May-24'!$A:$A,'[3]May-24'!$H:$H,0)</f>
        <v>1838.31</v>
      </c>
      <c r="K18" s="17">
        <f>_xlfn.XLOOKUP($B18,'[3]Jun-24'!$A:$A,'[3]Jun-24'!$H:$H,0)</f>
        <v>919.17</v>
      </c>
      <c r="L18" s="17">
        <f>_xlfn.XLOOKUP($B18,'[3]Jul-24'!$A:$A,'[3]Jul-24'!$H:$H,0)</f>
        <v>9000.0300000000007</v>
      </c>
      <c r="M18" s="17">
        <f>_xlfn.XLOOKUP($B18,'[3]Aug-24'!$A:$A,'[3]Aug-24'!$H:$H,0)</f>
        <v>8250.0300000000007</v>
      </c>
      <c r="N18" s="17">
        <f>_xlfn.XLOOKUP($B18,'[3]Sep-24'!$A:$A,'[3]Sep-24'!$H:$H,0)</f>
        <v>7500.03</v>
      </c>
      <c r="O18" s="17">
        <f>_xlfn.XLOOKUP($B18,'[3]Oct-24'!$A:$A,'[3]Oct-24'!$H:$H,0)</f>
        <v>6750.03</v>
      </c>
      <c r="P18" s="17">
        <f>_xlfn.XLOOKUP($B18,'[3]Nov-24'!$A:$A,'[3]Nov-24'!$H:$H,0)</f>
        <v>6000.03</v>
      </c>
      <c r="Q18" s="17">
        <f>_xlfn.XLOOKUP($B18,'[3]Dec-24'!$A:$A,'[3]Dec-24'!$H:$H,0)</f>
        <v>5250.03</v>
      </c>
      <c r="R18" s="17">
        <f>_xlfn.XLOOKUP($B18,'[3]Jan-25'!$A:$A,'[3]Jan-25'!$H:$H,0)</f>
        <v>4500.03</v>
      </c>
      <c r="S18" s="17">
        <f>_xlfn.XLOOKUP($B18,'[3]Feb-25'!$A:$A,'[3]Feb-25'!$H:$H,0)</f>
        <v>3750.03</v>
      </c>
      <c r="T18" s="17">
        <f>_xlfn.XLOOKUP($B18,'[3]Mar-25'!$A:$A,'[3]Mar-25'!$H:$H,0)</f>
        <v>3000.03</v>
      </c>
      <c r="U18" s="17">
        <f>_xlfn.XLOOKUP($B18,'[3]Apr-25'!$A:$A,'[3]Apr-25'!$H:$H,0)</f>
        <v>2250.0300000000002</v>
      </c>
      <c r="V18" s="17">
        <f>_xlfn.XLOOKUP($B18,'[3]May-25'!$A:$A,'[3]May-25'!$H:$H,0)</f>
        <v>1500.03</v>
      </c>
      <c r="W18" s="17">
        <f>_xlfn.XLOOKUP($B18,'[3]Jun-25'!$A:$A,'[3]Jun-25'!$H:$H,0)</f>
        <v>750.03</v>
      </c>
      <c r="X18" s="17">
        <f>_xlfn.XLOOKUP($B18,'[3]Jul-25'!$A:$A,'[3]Jul-25'!$H:$H,0)</f>
        <v>39225.24</v>
      </c>
      <c r="Y18" s="17">
        <f>_xlfn.XLOOKUP($B18,'[3]Aug-25'!$A:$A,'[3]Aug-25'!$H:$H,0)</f>
        <v>37198.01</v>
      </c>
      <c r="Z18" s="17">
        <f>_xlfn.XLOOKUP($B18,'[3]Sep-25'!$A:$A,'[3]Sep-25'!$H:$H,0)</f>
        <v>35170.78</v>
      </c>
      <c r="AA18" s="17">
        <f>_xlfn.XLOOKUP($B18,'[3]Oct-25'!$A:$A,'[3]Oct-25'!$H:$H,0)</f>
        <v>33143.550000000003</v>
      </c>
      <c r="AB18" s="17">
        <f>_xlfn.XLOOKUP($B18,'[3]Nov-25'!$A:$A,'[3]Nov-25'!$H:$H,0)</f>
        <v>31116.32</v>
      </c>
      <c r="AC18" s="17">
        <f>_xlfn.XLOOKUP($B18,'[3]Dec-25'!$A:$A,'[3]Dec-25'!$H:$H,0)</f>
        <v>29089.09</v>
      </c>
      <c r="AD18" s="17">
        <f>_xlfn.XLOOKUP($B18,'[3]Jan-26'!$A:$A,'[3]Jan-26'!$H:$H,0)</f>
        <v>27061.86</v>
      </c>
      <c r="AE18" s="17">
        <f>_xlfn.XLOOKUP($B18,'[3]Feb-26'!$A:$A,'[3]Feb-26'!$H:$H,0)</f>
        <v>25034.63</v>
      </c>
      <c r="AF18" s="17">
        <f>_xlfn.XLOOKUP($B18,'[3]Mar-26'!$A:$A,'[3]Mar-26'!$H:$H,0)</f>
        <v>23007.4</v>
      </c>
      <c r="AG18" s="17">
        <f>_xlfn.XLOOKUP($B18,'[3]Apr-26'!$A:$A,'[3]Apr-26'!$H:$H,0)</f>
        <v>20980.17</v>
      </c>
    </row>
    <row r="19" spans="1:33" x14ac:dyDescent="0.2">
      <c r="A19" s="58" t="s">
        <v>930</v>
      </c>
      <c r="B19" s="56" t="str">
        <f t="shared" si="2"/>
        <v>12100</v>
      </c>
      <c r="C19" s="78" t="s">
        <v>375</v>
      </c>
      <c r="D19" s="57" t="s">
        <v>303</v>
      </c>
      <c r="E19" s="44" t="s">
        <v>203</v>
      </c>
      <c r="F19" s="17">
        <f>_xlfn.XLOOKUP($B19,'[3]Jan-24'!$A:$A,'[3]Jan-24'!$H:$H,0)</f>
        <v>0</v>
      </c>
      <c r="G19" s="17">
        <f>_xlfn.XLOOKUP($B19,'[3]Feb-24'!$A:$A,'[3]Feb-24'!$H:$H,0)</f>
        <v>0</v>
      </c>
      <c r="H19" s="17">
        <f>_xlfn.XLOOKUP($B19,'[3]Mar-24'!$A:$A,'[3]Mar-24'!$H:$H,0)</f>
        <v>0</v>
      </c>
      <c r="I19" s="17">
        <f>_xlfn.XLOOKUP($B19,'[3]Apr-24'!$A:$A,'[3]Apr-24'!$H:$H,0)</f>
        <v>0</v>
      </c>
      <c r="J19" s="17">
        <f>_xlfn.XLOOKUP($B19,'[3]May-24'!$A:$A,'[3]May-24'!$H:$H,0)</f>
        <v>0</v>
      </c>
      <c r="K19" s="17">
        <f>_xlfn.XLOOKUP($B19,'[3]Jun-24'!$A:$A,'[3]Jun-24'!$H:$H,0)</f>
        <v>0</v>
      </c>
      <c r="L19" s="17">
        <f>_xlfn.XLOOKUP($B19,'[3]Jul-24'!$A:$A,'[3]Jul-24'!$H:$H,0)</f>
        <v>0</v>
      </c>
      <c r="M19" s="17">
        <f>_xlfn.XLOOKUP($B19,'[3]Aug-24'!$A:$A,'[3]Aug-24'!$H:$H,0)</f>
        <v>0</v>
      </c>
      <c r="N19" s="17">
        <f>_xlfn.XLOOKUP($B19,'[3]Sep-24'!$A:$A,'[3]Sep-24'!$H:$H,0)</f>
        <v>0</v>
      </c>
      <c r="O19" s="17">
        <f>_xlfn.XLOOKUP($B19,'[3]Oct-24'!$A:$A,'[3]Oct-24'!$H:$H,0)</f>
        <v>0</v>
      </c>
      <c r="P19" s="17">
        <f>_xlfn.XLOOKUP($B19,'[3]Nov-24'!$A:$A,'[3]Nov-24'!$H:$H,0)</f>
        <v>0</v>
      </c>
      <c r="Q19" s="17">
        <f>_xlfn.XLOOKUP($B19,'[3]Dec-24'!$A:$A,'[3]Dec-24'!$H:$H,0)</f>
        <v>0</v>
      </c>
      <c r="R19" s="17">
        <f>_xlfn.XLOOKUP($B19,'[3]Jan-25'!$A:$A,'[3]Jan-25'!$H:$H,0)</f>
        <v>0</v>
      </c>
      <c r="S19" s="17">
        <f>_xlfn.XLOOKUP($B19,'[3]Feb-25'!$A:$A,'[3]Feb-25'!$H:$H,0)</f>
        <v>0</v>
      </c>
      <c r="T19" s="17">
        <f>_xlfn.XLOOKUP($B19,'[3]Mar-25'!$A:$A,'[3]Mar-25'!$H:$H,0)</f>
        <v>0</v>
      </c>
      <c r="U19" s="17">
        <f>_xlfn.XLOOKUP($B19,'[3]Apr-25'!$A:$A,'[3]Apr-25'!$H:$H,0)</f>
        <v>0</v>
      </c>
      <c r="V19" s="17">
        <f>_xlfn.XLOOKUP($B19,'[3]May-25'!$A:$A,'[3]May-25'!$H:$H,0)</f>
        <v>0</v>
      </c>
      <c r="W19" s="17">
        <f>_xlfn.XLOOKUP($B19,'[3]Jun-25'!$A:$A,'[3]Jun-25'!$H:$H,0)</f>
        <v>0</v>
      </c>
      <c r="X19" s="17">
        <f>_xlfn.XLOOKUP($B19,'[3]Jul-25'!$A:$A,'[3]Jul-25'!$H:$H,0)</f>
        <v>0</v>
      </c>
      <c r="Y19" s="17">
        <f>_xlfn.XLOOKUP($B19,'[3]Aug-25'!$A:$A,'[3]Aug-25'!$H:$H,0)</f>
        <v>0</v>
      </c>
      <c r="Z19" s="17">
        <f>_xlfn.XLOOKUP($B19,'[3]Sep-25'!$A:$A,'[3]Sep-25'!$H:$H,0)</f>
        <v>0</v>
      </c>
      <c r="AA19" s="17">
        <f>_xlfn.XLOOKUP($B19,'[3]Oct-25'!$A:$A,'[3]Oct-25'!$H:$H,0)</f>
        <v>0</v>
      </c>
      <c r="AB19" s="17">
        <f>_xlfn.XLOOKUP($B19,'[3]Nov-25'!$A:$A,'[3]Nov-25'!$H:$H,0)</f>
        <v>0</v>
      </c>
      <c r="AC19" s="17">
        <f>_xlfn.XLOOKUP($B19,'[3]Dec-25'!$A:$A,'[3]Dec-25'!$H:$H,0)</f>
        <v>0</v>
      </c>
      <c r="AD19" s="17">
        <f>_xlfn.XLOOKUP($B19,'[3]Jan-26'!$A:$A,'[3]Jan-26'!$H:$H,0)</f>
        <v>0</v>
      </c>
      <c r="AE19" s="17">
        <f>_xlfn.XLOOKUP($B19,'[3]Feb-26'!$A:$A,'[3]Feb-26'!$H:$H,0)</f>
        <v>0</v>
      </c>
      <c r="AF19" s="17">
        <f>_xlfn.XLOOKUP($B19,'[3]Mar-26'!$A:$A,'[3]Mar-26'!$H:$H,0)</f>
        <v>0</v>
      </c>
      <c r="AG19" s="17">
        <f>_xlfn.XLOOKUP($B19,'[3]Apr-26'!$A:$A,'[3]Apr-26'!$H:$H,0)</f>
        <v>0</v>
      </c>
    </row>
    <row r="20" spans="1:33" x14ac:dyDescent="0.2">
      <c r="A20" s="58" t="s">
        <v>931</v>
      </c>
      <c r="B20" s="56" t="str">
        <f t="shared" si="2"/>
        <v>12400</v>
      </c>
      <c r="C20" s="78" t="s">
        <v>378</v>
      </c>
      <c r="D20" s="57" t="s">
        <v>303</v>
      </c>
      <c r="E20" s="44" t="s">
        <v>379</v>
      </c>
      <c r="F20" s="17">
        <f>_xlfn.XLOOKUP($B20,'[3]Jan-24'!$A:$A,'[3]Jan-24'!$H:$H,0)</f>
        <v>0</v>
      </c>
      <c r="G20" s="17">
        <f>_xlfn.XLOOKUP($B20,'[3]Feb-24'!$A:$A,'[3]Feb-24'!$H:$H,0)</f>
        <v>0</v>
      </c>
      <c r="H20" s="17">
        <f>_xlfn.XLOOKUP($B20,'[3]Mar-24'!$A:$A,'[3]Mar-24'!$H:$H,0)</f>
        <v>0</v>
      </c>
      <c r="I20" s="17">
        <f>_xlfn.XLOOKUP($B20,'[3]Apr-24'!$A:$A,'[3]Apr-24'!$H:$H,0)</f>
        <v>0</v>
      </c>
      <c r="J20" s="17">
        <f>_xlfn.XLOOKUP($B20,'[3]May-24'!$A:$A,'[3]May-24'!$H:$H,0)</f>
        <v>0</v>
      </c>
      <c r="K20" s="17">
        <f>_xlfn.XLOOKUP($B20,'[3]Jun-24'!$A:$A,'[3]Jun-24'!$H:$H,0)</f>
        <v>0</v>
      </c>
      <c r="L20" s="17">
        <f>_xlfn.XLOOKUP($B20,'[3]Jul-24'!$A:$A,'[3]Jul-24'!$H:$H,0)</f>
        <v>0</v>
      </c>
      <c r="M20" s="17">
        <f>_xlfn.XLOOKUP($B20,'[3]Aug-24'!$A:$A,'[3]Aug-24'!$H:$H,0)</f>
        <v>0</v>
      </c>
      <c r="N20" s="17">
        <f>_xlfn.XLOOKUP($B20,'[3]Sep-24'!$A:$A,'[3]Sep-24'!$H:$H,0)</f>
        <v>0</v>
      </c>
      <c r="O20" s="17">
        <f>_xlfn.XLOOKUP($B20,'[3]Oct-24'!$A:$A,'[3]Oct-24'!$H:$H,0)</f>
        <v>0</v>
      </c>
      <c r="P20" s="17">
        <f>_xlfn.XLOOKUP($B20,'[3]Nov-24'!$A:$A,'[3]Nov-24'!$H:$H,0)</f>
        <v>0</v>
      </c>
      <c r="Q20" s="17">
        <f>_xlfn.XLOOKUP($B20,'[3]Dec-24'!$A:$A,'[3]Dec-24'!$H:$H,0)</f>
        <v>0</v>
      </c>
      <c r="R20" s="17">
        <f>_xlfn.XLOOKUP($B20,'[3]Jan-25'!$A:$A,'[3]Jan-25'!$H:$H,0)</f>
        <v>0</v>
      </c>
      <c r="S20" s="17">
        <f>_xlfn.XLOOKUP($B20,'[3]Feb-25'!$A:$A,'[3]Feb-25'!$H:$H,0)</f>
        <v>0</v>
      </c>
      <c r="T20" s="17">
        <f>_xlfn.XLOOKUP($B20,'[3]Mar-25'!$A:$A,'[3]Mar-25'!$H:$H,0)</f>
        <v>0</v>
      </c>
      <c r="U20" s="17">
        <f>_xlfn.XLOOKUP($B20,'[3]Apr-25'!$A:$A,'[3]Apr-25'!$H:$H,0)</f>
        <v>0</v>
      </c>
      <c r="V20" s="17">
        <f>_xlfn.XLOOKUP($B20,'[3]May-25'!$A:$A,'[3]May-25'!$H:$H,0)</f>
        <v>0</v>
      </c>
      <c r="W20" s="17">
        <f>_xlfn.XLOOKUP($B20,'[3]Jun-25'!$A:$A,'[3]Jun-25'!$H:$H,0)</f>
        <v>0</v>
      </c>
      <c r="X20" s="17">
        <f>_xlfn.XLOOKUP($B20,'[3]Jul-25'!$A:$A,'[3]Jul-25'!$H:$H,0)</f>
        <v>0</v>
      </c>
      <c r="Y20" s="17">
        <f>_xlfn.XLOOKUP($B20,'[3]Aug-25'!$A:$A,'[3]Aug-25'!$H:$H,0)</f>
        <v>0</v>
      </c>
      <c r="Z20" s="17">
        <f>_xlfn.XLOOKUP($B20,'[3]Sep-25'!$A:$A,'[3]Sep-25'!$H:$H,0)</f>
        <v>0</v>
      </c>
      <c r="AA20" s="17">
        <f>_xlfn.XLOOKUP($B20,'[3]Oct-25'!$A:$A,'[3]Oct-25'!$H:$H,0)</f>
        <v>0</v>
      </c>
      <c r="AB20" s="17">
        <f>_xlfn.XLOOKUP($B20,'[3]Nov-25'!$A:$A,'[3]Nov-25'!$H:$H,0)</f>
        <v>0</v>
      </c>
      <c r="AC20" s="17">
        <f>_xlfn.XLOOKUP($B20,'[3]Dec-25'!$A:$A,'[3]Dec-25'!$H:$H,0)</f>
        <v>0</v>
      </c>
      <c r="AD20" s="17">
        <f>_xlfn.XLOOKUP($B20,'[3]Jan-26'!$A:$A,'[3]Jan-26'!$H:$H,0)</f>
        <v>0</v>
      </c>
      <c r="AE20" s="17">
        <f>_xlfn.XLOOKUP($B20,'[3]Feb-26'!$A:$A,'[3]Feb-26'!$H:$H,0)</f>
        <v>0</v>
      </c>
      <c r="AF20" s="17">
        <f>_xlfn.XLOOKUP($B20,'[3]Mar-26'!$A:$A,'[3]Mar-26'!$H:$H,0)</f>
        <v>0</v>
      </c>
      <c r="AG20" s="17">
        <f>_xlfn.XLOOKUP($B20,'[3]Apr-26'!$A:$A,'[3]Apr-26'!$H:$H,0)</f>
        <v>0</v>
      </c>
    </row>
    <row r="21" spans="1:33" x14ac:dyDescent="0.2">
      <c r="A21" s="58" t="s">
        <v>957</v>
      </c>
      <c r="B21" s="56" t="str">
        <f t="shared" si="2"/>
        <v>13001</v>
      </c>
      <c r="C21" s="78" t="s">
        <v>371</v>
      </c>
      <c r="D21" s="57" t="s">
        <v>303</v>
      </c>
      <c r="E21" s="44" t="s">
        <v>381</v>
      </c>
      <c r="F21" s="17">
        <f>_xlfn.XLOOKUP($B21,'[3]Jan-24'!$A:$A,'[3]Jan-24'!$H:$H,0)</f>
        <v>0</v>
      </c>
      <c r="G21" s="17">
        <f>_xlfn.XLOOKUP($B21,'[3]Feb-24'!$A:$A,'[3]Feb-24'!$H:$H,0)</f>
        <v>0</v>
      </c>
      <c r="H21" s="17">
        <f>_xlfn.XLOOKUP($B21,'[3]Mar-24'!$A:$A,'[3]Mar-24'!$H:$H,0)</f>
        <v>0</v>
      </c>
      <c r="I21" s="17">
        <f>_xlfn.XLOOKUP($B21,'[3]Apr-24'!$A:$A,'[3]Apr-24'!$H:$H,0)</f>
        <v>0</v>
      </c>
      <c r="J21" s="17">
        <f>_xlfn.XLOOKUP($B21,'[3]May-24'!$A:$A,'[3]May-24'!$H:$H,0)</f>
        <v>0</v>
      </c>
      <c r="K21" s="17">
        <f>_xlfn.XLOOKUP($B21,'[3]Jun-24'!$A:$A,'[3]Jun-24'!$H:$H,0)</f>
        <v>0</v>
      </c>
      <c r="L21" s="17">
        <f>_xlfn.XLOOKUP($B21,'[3]Jul-24'!$A:$A,'[3]Jul-24'!$H:$H,0)</f>
        <v>0</v>
      </c>
      <c r="M21" s="17">
        <f>_xlfn.XLOOKUP($B21,'[3]Aug-24'!$A:$A,'[3]Aug-24'!$H:$H,0)</f>
        <v>0</v>
      </c>
      <c r="N21" s="17">
        <f>_xlfn.XLOOKUP($B21,'[3]Sep-24'!$A:$A,'[3]Sep-24'!$H:$H,0)</f>
        <v>0</v>
      </c>
      <c r="O21" s="17">
        <f>_xlfn.XLOOKUP($B21,'[3]Oct-24'!$A:$A,'[3]Oct-24'!$H:$H,0)</f>
        <v>0</v>
      </c>
      <c r="P21" s="17">
        <f>_xlfn.XLOOKUP($B21,'[3]Nov-24'!$A:$A,'[3]Nov-24'!$H:$H,0)</f>
        <v>0</v>
      </c>
      <c r="Q21" s="17">
        <f>_xlfn.XLOOKUP($B21,'[3]Dec-24'!$A:$A,'[3]Dec-24'!$H:$H,0)</f>
        <v>0</v>
      </c>
      <c r="R21" s="17">
        <f>_xlfn.XLOOKUP($B21,'[3]Jan-25'!$A:$A,'[3]Jan-25'!$H:$H,0)</f>
        <v>0</v>
      </c>
      <c r="S21" s="17">
        <f>_xlfn.XLOOKUP($B21,'[3]Feb-25'!$A:$A,'[3]Feb-25'!$H:$H,0)</f>
        <v>0</v>
      </c>
      <c r="T21" s="17">
        <f>_xlfn.XLOOKUP($B21,'[3]Mar-25'!$A:$A,'[3]Mar-25'!$H:$H,0)</f>
        <v>0</v>
      </c>
      <c r="U21" s="17">
        <f>_xlfn.XLOOKUP($B21,'[3]Apr-25'!$A:$A,'[3]Apr-25'!$H:$H,0)</f>
        <v>0</v>
      </c>
      <c r="V21" s="17">
        <f>_xlfn.XLOOKUP($B21,'[3]May-25'!$A:$A,'[3]May-25'!$H:$H,0)</f>
        <v>0</v>
      </c>
      <c r="W21" s="17">
        <f>_xlfn.XLOOKUP($B21,'[3]Jun-25'!$A:$A,'[3]Jun-25'!$H:$H,0)</f>
        <v>0</v>
      </c>
      <c r="X21" s="17">
        <f>_xlfn.XLOOKUP($B21,'[3]Jul-25'!$A:$A,'[3]Jul-25'!$H:$H,0)</f>
        <v>0</v>
      </c>
      <c r="Y21" s="17">
        <f>_xlfn.XLOOKUP($B21,'[3]Aug-25'!$A:$A,'[3]Aug-25'!$H:$H,0)</f>
        <v>0</v>
      </c>
      <c r="Z21" s="17">
        <f>_xlfn.XLOOKUP($B21,'[3]Sep-25'!$A:$A,'[3]Sep-25'!$H:$H,0)</f>
        <v>0</v>
      </c>
      <c r="AA21" s="17">
        <f>_xlfn.XLOOKUP($B21,'[3]Oct-25'!$A:$A,'[3]Oct-25'!$H:$H,0)</f>
        <v>0</v>
      </c>
      <c r="AB21" s="17">
        <f>_xlfn.XLOOKUP($B21,'[3]Nov-25'!$A:$A,'[3]Nov-25'!$H:$H,0)</f>
        <v>0</v>
      </c>
      <c r="AC21" s="17">
        <f>_xlfn.XLOOKUP($B21,'[3]Dec-25'!$A:$A,'[3]Dec-25'!$H:$H,0)</f>
        <v>0</v>
      </c>
      <c r="AD21" s="17">
        <f>_xlfn.XLOOKUP($B21,'[3]Jan-26'!$A:$A,'[3]Jan-26'!$H:$H,0)</f>
        <v>0</v>
      </c>
      <c r="AE21" s="17">
        <f>_xlfn.XLOOKUP($B21,'[3]Feb-26'!$A:$A,'[3]Feb-26'!$H:$H,0)</f>
        <v>0</v>
      </c>
      <c r="AF21" s="17">
        <f>_xlfn.XLOOKUP($B21,'[3]Mar-26'!$A:$A,'[3]Mar-26'!$H:$H,0)</f>
        <v>0</v>
      </c>
      <c r="AG21" s="17">
        <f>_xlfn.XLOOKUP($B21,'[3]Apr-26'!$A:$A,'[3]Apr-26'!$H:$H,0)</f>
        <v>0</v>
      </c>
    </row>
    <row r="22" spans="1:33" x14ac:dyDescent="0.2">
      <c r="A22" s="58" t="s">
        <v>958</v>
      </c>
      <c r="B22" s="56" t="str">
        <f t="shared" si="2"/>
        <v>13004</v>
      </c>
      <c r="C22" s="78" t="s">
        <v>382</v>
      </c>
      <c r="D22" s="57" t="s">
        <v>303</v>
      </c>
      <c r="E22" s="44" t="s">
        <v>39</v>
      </c>
      <c r="F22" s="17">
        <f>_xlfn.XLOOKUP($B22,'[3]Jan-24'!$A:$A,'[3]Jan-24'!$H:$H,0)</f>
        <v>0</v>
      </c>
      <c r="G22" s="17">
        <f>_xlfn.XLOOKUP($B22,'[3]Feb-24'!$A:$A,'[3]Feb-24'!$H:$H,0)</f>
        <v>0</v>
      </c>
      <c r="H22" s="17">
        <f>_xlfn.XLOOKUP($B22,'[3]Mar-24'!$A:$A,'[3]Mar-24'!$H:$H,0)</f>
        <v>0</v>
      </c>
      <c r="I22" s="17">
        <f>_xlfn.XLOOKUP($B22,'[3]Apr-24'!$A:$A,'[3]Apr-24'!$H:$H,0)</f>
        <v>0</v>
      </c>
      <c r="J22" s="17">
        <f>_xlfn.XLOOKUP($B22,'[3]May-24'!$A:$A,'[3]May-24'!$H:$H,0)</f>
        <v>0</v>
      </c>
      <c r="K22" s="17">
        <f>_xlfn.XLOOKUP($B22,'[3]Jun-24'!$A:$A,'[3]Jun-24'!$H:$H,0)</f>
        <v>0</v>
      </c>
      <c r="L22" s="17">
        <f>_xlfn.XLOOKUP($B22,'[3]Jul-24'!$A:$A,'[3]Jul-24'!$H:$H,0)</f>
        <v>0</v>
      </c>
      <c r="M22" s="17">
        <f>_xlfn.XLOOKUP($B22,'[3]Aug-24'!$A:$A,'[3]Aug-24'!$H:$H,0)</f>
        <v>0</v>
      </c>
      <c r="N22" s="17">
        <f>_xlfn.XLOOKUP($B22,'[3]Sep-24'!$A:$A,'[3]Sep-24'!$H:$H,0)</f>
        <v>0</v>
      </c>
      <c r="O22" s="17">
        <f>_xlfn.XLOOKUP($B22,'[3]Oct-24'!$A:$A,'[3]Oct-24'!$H:$H,0)</f>
        <v>0</v>
      </c>
      <c r="P22" s="17">
        <f>_xlfn.XLOOKUP($B22,'[3]Nov-24'!$A:$A,'[3]Nov-24'!$H:$H,0)</f>
        <v>0</v>
      </c>
      <c r="Q22" s="17">
        <f>_xlfn.XLOOKUP($B22,'[3]Dec-24'!$A:$A,'[3]Dec-24'!$H:$H,0)</f>
        <v>0</v>
      </c>
      <c r="R22" s="17">
        <f>_xlfn.XLOOKUP($B22,'[3]Jan-25'!$A:$A,'[3]Jan-25'!$H:$H,0)</f>
        <v>0</v>
      </c>
      <c r="S22" s="17">
        <f>_xlfn.XLOOKUP($B22,'[3]Feb-25'!$A:$A,'[3]Feb-25'!$H:$H,0)</f>
        <v>0</v>
      </c>
      <c r="T22" s="17">
        <f>_xlfn.XLOOKUP($B22,'[3]Mar-25'!$A:$A,'[3]Mar-25'!$H:$H,0)</f>
        <v>0</v>
      </c>
      <c r="U22" s="17">
        <f>_xlfn.XLOOKUP($B22,'[3]Apr-25'!$A:$A,'[3]Apr-25'!$H:$H,0)</f>
        <v>0</v>
      </c>
      <c r="V22" s="17">
        <f>_xlfn.XLOOKUP($B22,'[3]May-25'!$A:$A,'[3]May-25'!$H:$H,0)</f>
        <v>0</v>
      </c>
      <c r="W22" s="17">
        <f>_xlfn.XLOOKUP($B22,'[3]Jun-25'!$A:$A,'[3]Jun-25'!$H:$H,0)</f>
        <v>0</v>
      </c>
      <c r="X22" s="17">
        <f>_xlfn.XLOOKUP($B22,'[3]Jul-25'!$A:$A,'[3]Jul-25'!$H:$H,0)</f>
        <v>0</v>
      </c>
      <c r="Y22" s="17">
        <f>_xlfn.XLOOKUP($B22,'[3]Aug-25'!$A:$A,'[3]Aug-25'!$H:$H,0)</f>
        <v>0</v>
      </c>
      <c r="Z22" s="17">
        <f>_xlfn.XLOOKUP($B22,'[3]Sep-25'!$A:$A,'[3]Sep-25'!$H:$H,0)</f>
        <v>0</v>
      </c>
      <c r="AA22" s="17">
        <f>_xlfn.XLOOKUP($B22,'[3]Oct-25'!$A:$A,'[3]Oct-25'!$H:$H,0)</f>
        <v>0</v>
      </c>
      <c r="AB22" s="17">
        <f>_xlfn.XLOOKUP($B22,'[3]Nov-25'!$A:$A,'[3]Nov-25'!$H:$H,0)</f>
        <v>0</v>
      </c>
      <c r="AC22" s="17">
        <f>_xlfn.XLOOKUP($B22,'[3]Dec-25'!$A:$A,'[3]Dec-25'!$H:$H,0)</f>
        <v>0</v>
      </c>
      <c r="AD22" s="17">
        <f>_xlfn.XLOOKUP($B22,'[3]Jan-26'!$A:$A,'[3]Jan-26'!$H:$H,0)</f>
        <v>0</v>
      </c>
      <c r="AE22" s="17">
        <f>_xlfn.XLOOKUP($B22,'[3]Feb-26'!$A:$A,'[3]Feb-26'!$H:$H,0)</f>
        <v>0</v>
      </c>
      <c r="AF22" s="17">
        <f>_xlfn.XLOOKUP($B22,'[3]Mar-26'!$A:$A,'[3]Mar-26'!$H:$H,0)</f>
        <v>0</v>
      </c>
      <c r="AG22" s="17">
        <f>_xlfn.XLOOKUP($B22,'[3]Apr-26'!$A:$A,'[3]Apr-26'!$H:$H,0)</f>
        <v>0</v>
      </c>
    </row>
    <row r="23" spans="1:33" x14ac:dyDescent="0.2">
      <c r="A23" s="58" t="s">
        <v>959</v>
      </c>
      <c r="B23" s="56" t="str">
        <f t="shared" si="2"/>
        <v>13010</v>
      </c>
      <c r="C23" s="78" t="s">
        <v>371</v>
      </c>
      <c r="D23" s="57" t="s">
        <v>303</v>
      </c>
      <c r="E23" s="44" t="s">
        <v>216</v>
      </c>
      <c r="F23" s="17">
        <f>_xlfn.XLOOKUP($B23,'[3]Jan-24'!$A:$A,'[3]Jan-24'!$H:$H,0)</f>
        <v>0</v>
      </c>
      <c r="G23" s="17">
        <f>_xlfn.XLOOKUP($B23,'[3]Feb-24'!$A:$A,'[3]Feb-24'!$H:$H,0)</f>
        <v>0</v>
      </c>
      <c r="H23" s="17">
        <f>_xlfn.XLOOKUP($B23,'[3]Mar-24'!$A:$A,'[3]Mar-24'!$H:$H,0)</f>
        <v>0</v>
      </c>
      <c r="I23" s="17">
        <f>_xlfn.XLOOKUP($B23,'[3]Apr-24'!$A:$A,'[3]Apr-24'!$H:$H,0)</f>
        <v>0</v>
      </c>
      <c r="J23" s="17">
        <f>_xlfn.XLOOKUP($B23,'[3]May-24'!$A:$A,'[3]May-24'!$H:$H,0)</f>
        <v>0</v>
      </c>
      <c r="K23" s="17">
        <f>_xlfn.XLOOKUP($B23,'[3]Jun-24'!$A:$A,'[3]Jun-24'!$H:$H,0)</f>
        <v>0</v>
      </c>
      <c r="L23" s="17">
        <f>_xlfn.XLOOKUP($B23,'[3]Jul-24'!$A:$A,'[3]Jul-24'!$H:$H,0)</f>
        <v>0</v>
      </c>
      <c r="M23" s="17">
        <f>_xlfn.XLOOKUP($B23,'[3]Aug-24'!$A:$A,'[3]Aug-24'!$H:$H,0)</f>
        <v>0</v>
      </c>
      <c r="N23" s="17">
        <f>_xlfn.XLOOKUP($B23,'[3]Sep-24'!$A:$A,'[3]Sep-24'!$H:$H,0)</f>
        <v>0</v>
      </c>
      <c r="O23" s="17">
        <f>_xlfn.XLOOKUP($B23,'[3]Oct-24'!$A:$A,'[3]Oct-24'!$H:$H,0)</f>
        <v>0</v>
      </c>
      <c r="P23" s="17">
        <f>_xlfn.XLOOKUP($B23,'[3]Nov-24'!$A:$A,'[3]Nov-24'!$H:$H,0)</f>
        <v>0</v>
      </c>
      <c r="Q23" s="17">
        <f>_xlfn.XLOOKUP($B23,'[3]Dec-24'!$A:$A,'[3]Dec-24'!$H:$H,0)</f>
        <v>0</v>
      </c>
      <c r="R23" s="17">
        <f>_xlfn.XLOOKUP($B23,'[3]Jan-25'!$A:$A,'[3]Jan-25'!$H:$H,0)</f>
        <v>0</v>
      </c>
      <c r="S23" s="17">
        <f>_xlfn.XLOOKUP($B23,'[3]Feb-25'!$A:$A,'[3]Feb-25'!$H:$H,0)</f>
        <v>0</v>
      </c>
      <c r="T23" s="17">
        <f>_xlfn.XLOOKUP($B23,'[3]Mar-25'!$A:$A,'[3]Mar-25'!$H:$H,0)</f>
        <v>0</v>
      </c>
      <c r="U23" s="17">
        <f>_xlfn.XLOOKUP($B23,'[3]Apr-25'!$A:$A,'[3]Apr-25'!$H:$H,0)</f>
        <v>0</v>
      </c>
      <c r="V23" s="17">
        <f>_xlfn.XLOOKUP($B23,'[3]May-25'!$A:$A,'[3]May-25'!$H:$H,0)</f>
        <v>0</v>
      </c>
      <c r="W23" s="17">
        <f>_xlfn.XLOOKUP($B23,'[3]Jun-25'!$A:$A,'[3]Jun-25'!$H:$H,0)</f>
        <v>0</v>
      </c>
      <c r="X23" s="17">
        <f>_xlfn.XLOOKUP($B23,'[3]Jul-25'!$A:$A,'[3]Jul-25'!$H:$H,0)</f>
        <v>0</v>
      </c>
      <c r="Y23" s="17">
        <f>_xlfn.XLOOKUP($B23,'[3]Aug-25'!$A:$A,'[3]Aug-25'!$H:$H,0)</f>
        <v>0</v>
      </c>
      <c r="Z23" s="17">
        <f>_xlfn.XLOOKUP($B23,'[3]Sep-25'!$A:$A,'[3]Sep-25'!$H:$H,0)</f>
        <v>0</v>
      </c>
      <c r="AA23" s="17">
        <f>_xlfn.XLOOKUP($B23,'[3]Oct-25'!$A:$A,'[3]Oct-25'!$H:$H,0)</f>
        <v>0</v>
      </c>
      <c r="AB23" s="17">
        <f>_xlfn.XLOOKUP($B23,'[3]Nov-25'!$A:$A,'[3]Nov-25'!$H:$H,0)</f>
        <v>0</v>
      </c>
      <c r="AC23" s="17">
        <f>_xlfn.XLOOKUP($B23,'[3]Dec-25'!$A:$A,'[3]Dec-25'!$H:$H,0)</f>
        <v>0</v>
      </c>
      <c r="AD23" s="17">
        <f>_xlfn.XLOOKUP($B23,'[3]Jan-26'!$A:$A,'[3]Jan-26'!$H:$H,0)</f>
        <v>0</v>
      </c>
      <c r="AE23" s="17">
        <f>_xlfn.XLOOKUP($B23,'[3]Feb-26'!$A:$A,'[3]Feb-26'!$H:$H,0)</f>
        <v>0</v>
      </c>
      <c r="AF23" s="17">
        <f>_xlfn.XLOOKUP($B23,'[3]Mar-26'!$A:$A,'[3]Mar-26'!$H:$H,0)</f>
        <v>0</v>
      </c>
      <c r="AG23" s="17">
        <f>_xlfn.XLOOKUP($B23,'[3]Apr-26'!$A:$A,'[3]Apr-26'!$H:$H,0)</f>
        <v>0</v>
      </c>
    </row>
    <row r="24" spans="1:33" x14ac:dyDescent="0.2">
      <c r="A24" s="58" t="s">
        <v>960</v>
      </c>
      <c r="B24" s="56" t="str">
        <f t="shared" si="2"/>
        <v>13120</v>
      </c>
      <c r="C24" s="78" t="s">
        <v>401</v>
      </c>
      <c r="D24" s="57" t="s">
        <v>303</v>
      </c>
      <c r="E24" s="44" t="s">
        <v>209</v>
      </c>
      <c r="F24" s="17">
        <f>_xlfn.XLOOKUP($B24,'[3]Jan-24'!$A:$A,'[3]Jan-24'!$H:$H,0)</f>
        <v>0</v>
      </c>
      <c r="G24" s="17">
        <f>_xlfn.XLOOKUP($B24,'[3]Feb-24'!$A:$A,'[3]Feb-24'!$H:$H,0)</f>
        <v>0</v>
      </c>
      <c r="H24" s="17">
        <f>_xlfn.XLOOKUP($B24,'[3]Mar-24'!$A:$A,'[3]Mar-24'!$H:$H,0)</f>
        <v>0</v>
      </c>
      <c r="I24" s="17">
        <f>_xlfn.XLOOKUP($B24,'[3]Apr-24'!$A:$A,'[3]Apr-24'!$H:$H,0)</f>
        <v>0</v>
      </c>
      <c r="J24" s="17">
        <f>_xlfn.XLOOKUP($B24,'[3]May-24'!$A:$A,'[3]May-24'!$H:$H,0)</f>
        <v>0</v>
      </c>
      <c r="K24" s="17">
        <f>_xlfn.XLOOKUP($B24,'[3]Jun-24'!$A:$A,'[3]Jun-24'!$H:$H,0)</f>
        <v>0</v>
      </c>
      <c r="L24" s="17">
        <f>_xlfn.XLOOKUP($B24,'[3]Jul-24'!$A:$A,'[3]Jul-24'!$H:$H,0)</f>
        <v>0</v>
      </c>
      <c r="M24" s="17">
        <f>_xlfn.XLOOKUP($B24,'[3]Aug-24'!$A:$A,'[3]Aug-24'!$H:$H,0)</f>
        <v>0</v>
      </c>
      <c r="N24" s="17">
        <f>_xlfn.XLOOKUP($B24,'[3]Sep-24'!$A:$A,'[3]Sep-24'!$H:$H,0)</f>
        <v>0</v>
      </c>
      <c r="O24" s="17">
        <f>_xlfn.XLOOKUP($B24,'[3]Oct-24'!$A:$A,'[3]Oct-24'!$H:$H,0)</f>
        <v>0</v>
      </c>
      <c r="P24" s="17">
        <f>_xlfn.XLOOKUP($B24,'[3]Nov-24'!$A:$A,'[3]Nov-24'!$H:$H,0)</f>
        <v>0</v>
      </c>
      <c r="Q24" s="17">
        <f>_xlfn.XLOOKUP($B24,'[3]Dec-24'!$A:$A,'[3]Dec-24'!$H:$H,0)</f>
        <v>0</v>
      </c>
      <c r="R24" s="17">
        <f>_xlfn.XLOOKUP($B24,'[3]Jan-25'!$A:$A,'[3]Jan-25'!$H:$H,0)</f>
        <v>0</v>
      </c>
      <c r="S24" s="17">
        <f>_xlfn.XLOOKUP($B24,'[3]Feb-25'!$A:$A,'[3]Feb-25'!$H:$H,0)</f>
        <v>0</v>
      </c>
      <c r="T24" s="17">
        <f>_xlfn.XLOOKUP($B24,'[3]Mar-25'!$A:$A,'[3]Mar-25'!$H:$H,0)</f>
        <v>0</v>
      </c>
      <c r="U24" s="17">
        <f>_xlfn.XLOOKUP($B24,'[3]Apr-25'!$A:$A,'[3]Apr-25'!$H:$H,0)</f>
        <v>0</v>
      </c>
      <c r="V24" s="17">
        <f>_xlfn.XLOOKUP($B24,'[3]May-25'!$A:$A,'[3]May-25'!$H:$H,0)</f>
        <v>0</v>
      </c>
      <c r="W24" s="17">
        <f>_xlfn.XLOOKUP($B24,'[3]Jun-25'!$A:$A,'[3]Jun-25'!$H:$H,0)</f>
        <v>0</v>
      </c>
      <c r="X24" s="17">
        <f>_xlfn.XLOOKUP($B24,'[3]Jul-25'!$A:$A,'[3]Jul-25'!$H:$H,0)</f>
        <v>0</v>
      </c>
      <c r="Y24" s="17">
        <f>_xlfn.XLOOKUP($B24,'[3]Aug-25'!$A:$A,'[3]Aug-25'!$H:$H,0)</f>
        <v>0</v>
      </c>
      <c r="Z24" s="17">
        <f>_xlfn.XLOOKUP($B24,'[3]Sep-25'!$A:$A,'[3]Sep-25'!$H:$H,0)</f>
        <v>0</v>
      </c>
      <c r="AA24" s="17">
        <f>_xlfn.XLOOKUP($B24,'[3]Oct-25'!$A:$A,'[3]Oct-25'!$H:$H,0)</f>
        <v>0</v>
      </c>
      <c r="AB24" s="17">
        <f>_xlfn.XLOOKUP($B24,'[3]Nov-25'!$A:$A,'[3]Nov-25'!$H:$H,0)</f>
        <v>0</v>
      </c>
      <c r="AC24" s="17">
        <f>_xlfn.XLOOKUP($B24,'[3]Dec-25'!$A:$A,'[3]Dec-25'!$H:$H,0)</f>
        <v>0</v>
      </c>
      <c r="AD24" s="17">
        <f>_xlfn.XLOOKUP($B24,'[3]Jan-26'!$A:$A,'[3]Jan-26'!$H:$H,0)</f>
        <v>0</v>
      </c>
      <c r="AE24" s="17">
        <f>_xlfn.XLOOKUP($B24,'[3]Feb-26'!$A:$A,'[3]Feb-26'!$H:$H,0)</f>
        <v>0</v>
      </c>
      <c r="AF24" s="17">
        <f>_xlfn.XLOOKUP($B24,'[3]Mar-26'!$A:$A,'[3]Mar-26'!$H:$H,0)</f>
        <v>0</v>
      </c>
      <c r="AG24" s="17">
        <f>_xlfn.XLOOKUP($B24,'[3]Apr-26'!$A:$A,'[3]Apr-26'!$H:$H,0)</f>
        <v>0</v>
      </c>
    </row>
    <row r="25" spans="1:33" x14ac:dyDescent="0.2">
      <c r="A25" s="58" t="s">
        <v>961</v>
      </c>
      <c r="B25" s="56" t="str">
        <f t="shared" si="2"/>
        <v>13130</v>
      </c>
      <c r="C25" s="78" t="s">
        <v>401</v>
      </c>
      <c r="D25" s="57" t="s">
        <v>303</v>
      </c>
      <c r="E25" s="44" t="s">
        <v>210</v>
      </c>
      <c r="F25" s="17">
        <f>_xlfn.XLOOKUP($B25,'[3]Jan-24'!$A:$A,'[3]Jan-24'!$H:$H,0)</f>
        <v>0</v>
      </c>
      <c r="G25" s="17">
        <f>_xlfn.XLOOKUP($B25,'[3]Feb-24'!$A:$A,'[3]Feb-24'!$H:$H,0)</f>
        <v>0</v>
      </c>
      <c r="H25" s="17">
        <f>_xlfn.XLOOKUP($B25,'[3]Mar-24'!$A:$A,'[3]Mar-24'!$H:$H,0)</f>
        <v>0</v>
      </c>
      <c r="I25" s="17">
        <f>_xlfn.XLOOKUP($B25,'[3]Apr-24'!$A:$A,'[3]Apr-24'!$H:$H,0)</f>
        <v>0</v>
      </c>
      <c r="J25" s="17">
        <f>_xlfn.XLOOKUP($B25,'[3]May-24'!$A:$A,'[3]May-24'!$H:$H,0)</f>
        <v>0</v>
      </c>
      <c r="K25" s="17">
        <f>_xlfn.XLOOKUP($B25,'[3]Jun-24'!$A:$A,'[3]Jun-24'!$H:$H,0)</f>
        <v>0</v>
      </c>
      <c r="L25" s="17">
        <f>_xlfn.XLOOKUP($B25,'[3]Jul-24'!$A:$A,'[3]Jul-24'!$H:$H,0)</f>
        <v>0</v>
      </c>
      <c r="M25" s="17">
        <f>_xlfn.XLOOKUP($B25,'[3]Aug-24'!$A:$A,'[3]Aug-24'!$H:$H,0)</f>
        <v>0</v>
      </c>
      <c r="N25" s="17">
        <f>_xlfn.XLOOKUP($B25,'[3]Sep-24'!$A:$A,'[3]Sep-24'!$H:$H,0)</f>
        <v>0</v>
      </c>
      <c r="O25" s="17">
        <f>_xlfn.XLOOKUP($B25,'[3]Oct-24'!$A:$A,'[3]Oct-24'!$H:$H,0)</f>
        <v>0</v>
      </c>
      <c r="P25" s="17">
        <f>_xlfn.XLOOKUP($B25,'[3]Nov-24'!$A:$A,'[3]Nov-24'!$H:$H,0)</f>
        <v>0</v>
      </c>
      <c r="Q25" s="17">
        <f>_xlfn.XLOOKUP($B25,'[3]Dec-24'!$A:$A,'[3]Dec-24'!$H:$H,0)</f>
        <v>0</v>
      </c>
      <c r="R25" s="17">
        <f>_xlfn.XLOOKUP($B25,'[3]Jan-25'!$A:$A,'[3]Jan-25'!$H:$H,0)</f>
        <v>0</v>
      </c>
      <c r="S25" s="17">
        <f>_xlfn.XLOOKUP($B25,'[3]Feb-25'!$A:$A,'[3]Feb-25'!$H:$H,0)</f>
        <v>0</v>
      </c>
      <c r="T25" s="17">
        <f>_xlfn.XLOOKUP($B25,'[3]Mar-25'!$A:$A,'[3]Mar-25'!$H:$H,0)</f>
        <v>0</v>
      </c>
      <c r="U25" s="17">
        <f>_xlfn.XLOOKUP($B25,'[3]Apr-25'!$A:$A,'[3]Apr-25'!$H:$H,0)</f>
        <v>0</v>
      </c>
      <c r="V25" s="17">
        <f>_xlfn.XLOOKUP($B25,'[3]May-25'!$A:$A,'[3]May-25'!$H:$H,0)</f>
        <v>0</v>
      </c>
      <c r="W25" s="17">
        <f>_xlfn.XLOOKUP($B25,'[3]Jun-25'!$A:$A,'[3]Jun-25'!$H:$H,0)</f>
        <v>0</v>
      </c>
      <c r="X25" s="17">
        <f>_xlfn.XLOOKUP($B25,'[3]Jul-25'!$A:$A,'[3]Jul-25'!$H:$H,0)</f>
        <v>0</v>
      </c>
      <c r="Y25" s="17">
        <f>_xlfn.XLOOKUP($B25,'[3]Aug-25'!$A:$A,'[3]Aug-25'!$H:$H,0)</f>
        <v>0</v>
      </c>
      <c r="Z25" s="17">
        <f>_xlfn.XLOOKUP($B25,'[3]Sep-25'!$A:$A,'[3]Sep-25'!$H:$H,0)</f>
        <v>0</v>
      </c>
      <c r="AA25" s="17">
        <f>_xlfn.XLOOKUP($B25,'[3]Oct-25'!$A:$A,'[3]Oct-25'!$H:$H,0)</f>
        <v>0</v>
      </c>
      <c r="AB25" s="17">
        <f>_xlfn.XLOOKUP($B25,'[3]Nov-25'!$A:$A,'[3]Nov-25'!$H:$H,0)</f>
        <v>0</v>
      </c>
      <c r="AC25" s="17">
        <f>_xlfn.XLOOKUP($B25,'[3]Dec-25'!$A:$A,'[3]Dec-25'!$H:$H,0)</f>
        <v>0</v>
      </c>
      <c r="AD25" s="17">
        <f>_xlfn.XLOOKUP($B25,'[3]Jan-26'!$A:$A,'[3]Jan-26'!$H:$H,0)</f>
        <v>0</v>
      </c>
      <c r="AE25" s="17">
        <f>_xlfn.XLOOKUP($B25,'[3]Feb-26'!$A:$A,'[3]Feb-26'!$H:$H,0)</f>
        <v>0</v>
      </c>
      <c r="AF25" s="17">
        <f>_xlfn.XLOOKUP($B25,'[3]Mar-26'!$A:$A,'[3]Mar-26'!$H:$H,0)</f>
        <v>0</v>
      </c>
      <c r="AG25" s="17">
        <f>_xlfn.XLOOKUP($B25,'[3]Apr-26'!$A:$A,'[3]Apr-26'!$H:$H,0)</f>
        <v>0</v>
      </c>
    </row>
    <row r="26" spans="1:33" x14ac:dyDescent="0.2">
      <c r="A26" s="58" t="s">
        <v>962</v>
      </c>
      <c r="B26" s="56" t="str">
        <f t="shared" si="2"/>
        <v>13200</v>
      </c>
      <c r="C26" s="78" t="s">
        <v>371</v>
      </c>
      <c r="D26" s="57" t="s">
        <v>303</v>
      </c>
      <c r="E26" s="44" t="s">
        <v>217</v>
      </c>
      <c r="F26" s="17">
        <f>_xlfn.XLOOKUP($B26,'[3]Jan-24'!$A:$A,'[3]Jan-24'!$H:$H,0)</f>
        <v>0</v>
      </c>
      <c r="G26" s="17">
        <f>_xlfn.XLOOKUP($B26,'[3]Feb-24'!$A:$A,'[3]Feb-24'!$H:$H,0)</f>
        <v>0</v>
      </c>
      <c r="H26" s="17">
        <f>_xlfn.XLOOKUP($B26,'[3]Mar-24'!$A:$A,'[3]Mar-24'!$H:$H,0)</f>
        <v>0</v>
      </c>
      <c r="I26" s="17">
        <f>_xlfn.XLOOKUP($B26,'[3]Apr-24'!$A:$A,'[3]Apr-24'!$H:$H,0)</f>
        <v>0</v>
      </c>
      <c r="J26" s="17">
        <f>_xlfn.XLOOKUP($B26,'[3]May-24'!$A:$A,'[3]May-24'!$H:$H,0)</f>
        <v>0</v>
      </c>
      <c r="K26" s="17">
        <f>_xlfn.XLOOKUP($B26,'[3]Jun-24'!$A:$A,'[3]Jun-24'!$H:$H,0)</f>
        <v>0</v>
      </c>
      <c r="L26" s="17">
        <f>_xlfn.XLOOKUP($B26,'[3]Jul-24'!$A:$A,'[3]Jul-24'!$H:$H,0)</f>
        <v>0</v>
      </c>
      <c r="M26" s="17">
        <f>_xlfn.XLOOKUP($B26,'[3]Aug-24'!$A:$A,'[3]Aug-24'!$H:$H,0)</f>
        <v>0</v>
      </c>
      <c r="N26" s="17">
        <f>_xlfn.XLOOKUP($B26,'[3]Sep-24'!$A:$A,'[3]Sep-24'!$H:$H,0)</f>
        <v>0</v>
      </c>
      <c r="O26" s="17">
        <f>_xlfn.XLOOKUP($B26,'[3]Oct-24'!$A:$A,'[3]Oct-24'!$H:$H,0)</f>
        <v>0</v>
      </c>
      <c r="P26" s="17">
        <f>_xlfn.XLOOKUP($B26,'[3]Nov-24'!$A:$A,'[3]Nov-24'!$H:$H,0)</f>
        <v>0</v>
      </c>
      <c r="Q26" s="17">
        <f>_xlfn.XLOOKUP($B26,'[3]Dec-24'!$A:$A,'[3]Dec-24'!$H:$H,0)</f>
        <v>0</v>
      </c>
      <c r="R26" s="17">
        <f>_xlfn.XLOOKUP($B26,'[3]Jan-25'!$A:$A,'[3]Jan-25'!$H:$H,0)</f>
        <v>0</v>
      </c>
      <c r="S26" s="17">
        <f>_xlfn.XLOOKUP($B26,'[3]Feb-25'!$A:$A,'[3]Feb-25'!$H:$H,0)</f>
        <v>0</v>
      </c>
      <c r="T26" s="17">
        <f>_xlfn.XLOOKUP($B26,'[3]Mar-25'!$A:$A,'[3]Mar-25'!$H:$H,0)</f>
        <v>0</v>
      </c>
      <c r="U26" s="17">
        <f>_xlfn.XLOOKUP($B26,'[3]Apr-25'!$A:$A,'[3]Apr-25'!$H:$H,0)</f>
        <v>0</v>
      </c>
      <c r="V26" s="17">
        <f>_xlfn.XLOOKUP($B26,'[3]May-25'!$A:$A,'[3]May-25'!$H:$H,0)</f>
        <v>0</v>
      </c>
      <c r="W26" s="17">
        <f>_xlfn.XLOOKUP($B26,'[3]Jun-25'!$A:$A,'[3]Jun-25'!$H:$H,0)</f>
        <v>0</v>
      </c>
      <c r="X26" s="17">
        <f>_xlfn.XLOOKUP($B26,'[3]Jul-25'!$A:$A,'[3]Jul-25'!$H:$H,0)</f>
        <v>0</v>
      </c>
      <c r="Y26" s="17">
        <f>_xlfn.XLOOKUP($B26,'[3]Aug-25'!$A:$A,'[3]Aug-25'!$H:$H,0)</f>
        <v>0</v>
      </c>
      <c r="Z26" s="17">
        <f>_xlfn.XLOOKUP($B26,'[3]Sep-25'!$A:$A,'[3]Sep-25'!$H:$H,0)</f>
        <v>0</v>
      </c>
      <c r="AA26" s="17">
        <f>_xlfn.XLOOKUP($B26,'[3]Oct-25'!$A:$A,'[3]Oct-25'!$H:$H,0)</f>
        <v>1049.55</v>
      </c>
      <c r="AB26" s="17">
        <f>_xlfn.XLOOKUP($B26,'[3]Nov-25'!$A:$A,'[3]Nov-25'!$H:$H,0)</f>
        <v>1049.55</v>
      </c>
      <c r="AC26" s="17">
        <f>_xlfn.XLOOKUP($B26,'[3]Dec-25'!$A:$A,'[3]Dec-25'!$H:$H,0)</f>
        <v>1049.55</v>
      </c>
      <c r="AD26" s="17">
        <f>_xlfn.XLOOKUP($B26,'[3]Jan-26'!$A:$A,'[3]Jan-26'!$H:$H,0)</f>
        <v>1049.55</v>
      </c>
      <c r="AE26" s="17">
        <f>_xlfn.XLOOKUP($B26,'[3]Feb-26'!$A:$A,'[3]Feb-26'!$H:$H,0)</f>
        <v>0</v>
      </c>
      <c r="AF26" s="17">
        <f>_xlfn.XLOOKUP($B26,'[3]Mar-26'!$A:$A,'[3]Mar-26'!$H:$H,0)</f>
        <v>0</v>
      </c>
      <c r="AG26" s="17">
        <f>_xlfn.XLOOKUP($B26,'[3]Apr-26'!$A:$A,'[3]Apr-26'!$H:$H,0)</f>
        <v>0</v>
      </c>
    </row>
    <row r="27" spans="1:33" x14ac:dyDescent="0.2">
      <c r="A27" s="58" t="s">
        <v>963</v>
      </c>
      <c r="B27" s="56" t="str">
        <f t="shared" si="2"/>
        <v>13300</v>
      </c>
      <c r="C27" s="78" t="s">
        <v>371</v>
      </c>
      <c r="D27" s="57" t="s">
        <v>303</v>
      </c>
      <c r="E27" s="44" t="s">
        <v>408</v>
      </c>
      <c r="F27" s="17">
        <f>_xlfn.XLOOKUP($B27,'[3]Jan-24'!$A:$A,'[3]Jan-24'!$H:$H,0)</f>
        <v>0</v>
      </c>
      <c r="G27" s="17">
        <f>_xlfn.XLOOKUP($B27,'[3]Feb-24'!$A:$A,'[3]Feb-24'!$H:$H,0)</f>
        <v>0</v>
      </c>
      <c r="H27" s="17">
        <f>_xlfn.XLOOKUP($B27,'[3]Mar-24'!$A:$A,'[3]Mar-24'!$H:$H,0)</f>
        <v>0</v>
      </c>
      <c r="I27" s="17">
        <f>_xlfn.XLOOKUP($B27,'[3]Apr-24'!$A:$A,'[3]Apr-24'!$H:$H,0)</f>
        <v>0</v>
      </c>
      <c r="J27" s="17">
        <f>_xlfn.XLOOKUP($B27,'[3]May-24'!$A:$A,'[3]May-24'!$H:$H,0)</f>
        <v>0</v>
      </c>
      <c r="K27" s="17">
        <f>_xlfn.XLOOKUP($B27,'[3]Jun-24'!$A:$A,'[3]Jun-24'!$H:$H,0)</f>
        <v>0</v>
      </c>
      <c r="L27" s="17">
        <f>_xlfn.XLOOKUP($B27,'[3]Jul-24'!$A:$A,'[3]Jul-24'!$H:$H,0)</f>
        <v>0</v>
      </c>
      <c r="M27" s="17">
        <f>_xlfn.XLOOKUP($B27,'[3]Aug-24'!$A:$A,'[3]Aug-24'!$H:$H,0)</f>
        <v>0</v>
      </c>
      <c r="N27" s="17">
        <f>_xlfn.XLOOKUP($B27,'[3]Sep-24'!$A:$A,'[3]Sep-24'!$H:$H,0)</f>
        <v>0</v>
      </c>
      <c r="O27" s="17">
        <f>_xlfn.XLOOKUP($B27,'[3]Oct-24'!$A:$A,'[3]Oct-24'!$H:$H,0)</f>
        <v>0</v>
      </c>
      <c r="P27" s="17">
        <f>_xlfn.XLOOKUP($B27,'[3]Nov-24'!$A:$A,'[3]Nov-24'!$H:$H,0)</f>
        <v>0</v>
      </c>
      <c r="Q27" s="17">
        <f>_xlfn.XLOOKUP($B27,'[3]Dec-24'!$A:$A,'[3]Dec-24'!$H:$H,0)</f>
        <v>0</v>
      </c>
      <c r="R27" s="17">
        <f>_xlfn.XLOOKUP($B27,'[3]Jan-25'!$A:$A,'[3]Jan-25'!$H:$H,0)</f>
        <v>0</v>
      </c>
      <c r="S27" s="17">
        <f>_xlfn.XLOOKUP($B27,'[3]Feb-25'!$A:$A,'[3]Feb-25'!$H:$H,0)</f>
        <v>0</v>
      </c>
      <c r="T27" s="17">
        <f>_xlfn.XLOOKUP($B27,'[3]Mar-25'!$A:$A,'[3]Mar-25'!$H:$H,0)</f>
        <v>0</v>
      </c>
      <c r="U27" s="17">
        <f>_xlfn.XLOOKUP($B27,'[3]Apr-25'!$A:$A,'[3]Apr-25'!$H:$H,0)</f>
        <v>0</v>
      </c>
      <c r="V27" s="17">
        <f>_xlfn.XLOOKUP($B27,'[3]May-25'!$A:$A,'[3]May-25'!$H:$H,0)</f>
        <v>0</v>
      </c>
      <c r="W27" s="17">
        <f>_xlfn.XLOOKUP($B27,'[3]Jun-25'!$A:$A,'[3]Jun-25'!$H:$H,0)</f>
        <v>0</v>
      </c>
      <c r="X27" s="17">
        <f>_xlfn.XLOOKUP($B27,'[3]Jul-25'!$A:$A,'[3]Jul-25'!$H:$H,0)</f>
        <v>0</v>
      </c>
      <c r="Y27" s="17">
        <f>_xlfn.XLOOKUP($B27,'[3]Aug-25'!$A:$A,'[3]Aug-25'!$H:$H,0)</f>
        <v>0</v>
      </c>
      <c r="Z27" s="17">
        <f>_xlfn.XLOOKUP($B27,'[3]Sep-25'!$A:$A,'[3]Sep-25'!$H:$H,0)</f>
        <v>0</v>
      </c>
      <c r="AA27" s="17">
        <f>_xlfn.XLOOKUP($B27,'[3]Oct-25'!$A:$A,'[3]Oct-25'!$H:$H,0)</f>
        <v>0</v>
      </c>
      <c r="AB27" s="17">
        <f>_xlfn.XLOOKUP($B27,'[3]Nov-25'!$A:$A,'[3]Nov-25'!$H:$H,0)</f>
        <v>0</v>
      </c>
      <c r="AC27" s="17">
        <f>_xlfn.XLOOKUP($B27,'[3]Dec-25'!$A:$A,'[3]Dec-25'!$H:$H,0)</f>
        <v>0</v>
      </c>
      <c r="AD27" s="17">
        <f>_xlfn.XLOOKUP($B27,'[3]Jan-26'!$A:$A,'[3]Jan-26'!$H:$H,0)</f>
        <v>0</v>
      </c>
      <c r="AE27" s="17">
        <f>_xlfn.XLOOKUP($B27,'[3]Feb-26'!$A:$A,'[3]Feb-26'!$H:$H,0)</f>
        <v>0</v>
      </c>
      <c r="AF27" s="17">
        <f>_xlfn.XLOOKUP($B27,'[3]Mar-26'!$A:$A,'[3]Mar-26'!$H:$H,0)</f>
        <v>0</v>
      </c>
      <c r="AG27" s="17">
        <f>_xlfn.XLOOKUP($B27,'[3]Apr-26'!$A:$A,'[3]Apr-26'!$H:$H,0)</f>
        <v>0</v>
      </c>
    </row>
    <row r="28" spans="1:33" x14ac:dyDescent="0.2">
      <c r="A28" s="58" t="s">
        <v>964</v>
      </c>
      <c r="B28" s="56" t="str">
        <f t="shared" si="2"/>
        <v>14011</v>
      </c>
      <c r="C28" s="78" t="s">
        <v>371</v>
      </c>
      <c r="D28" s="57" t="s">
        <v>303</v>
      </c>
      <c r="E28" s="44" t="s">
        <v>412</v>
      </c>
      <c r="F28" s="17">
        <f>_xlfn.XLOOKUP($B28,'[3]Jan-24'!$A:$A,'[3]Jan-24'!$H:$H,0)</f>
        <v>0</v>
      </c>
      <c r="G28" s="17">
        <f>_xlfn.XLOOKUP($B28,'[3]Feb-24'!$A:$A,'[3]Feb-24'!$H:$H,0)</f>
        <v>0</v>
      </c>
      <c r="H28" s="17">
        <f>_xlfn.XLOOKUP($B28,'[3]Mar-24'!$A:$A,'[3]Mar-24'!$H:$H,0)</f>
        <v>0</v>
      </c>
      <c r="I28" s="17">
        <f>_xlfn.XLOOKUP($B28,'[3]Apr-24'!$A:$A,'[3]Apr-24'!$H:$H,0)</f>
        <v>0</v>
      </c>
      <c r="J28" s="17">
        <f>_xlfn.XLOOKUP($B28,'[3]May-24'!$A:$A,'[3]May-24'!$H:$H,0)</f>
        <v>0</v>
      </c>
      <c r="K28" s="17">
        <f>_xlfn.XLOOKUP($B28,'[3]Jun-24'!$A:$A,'[3]Jun-24'!$H:$H,0)</f>
        <v>0</v>
      </c>
      <c r="L28" s="17">
        <f>_xlfn.XLOOKUP($B28,'[3]Jul-24'!$A:$A,'[3]Jul-24'!$H:$H,0)</f>
        <v>0</v>
      </c>
      <c r="M28" s="17">
        <f>_xlfn.XLOOKUP($B28,'[3]Aug-24'!$A:$A,'[3]Aug-24'!$H:$H,0)</f>
        <v>0</v>
      </c>
      <c r="N28" s="17">
        <f>_xlfn.XLOOKUP($B28,'[3]Sep-24'!$A:$A,'[3]Sep-24'!$H:$H,0)</f>
        <v>0</v>
      </c>
      <c r="O28" s="17">
        <f>_xlfn.XLOOKUP($B28,'[3]Oct-24'!$A:$A,'[3]Oct-24'!$H:$H,0)</f>
        <v>0</v>
      </c>
      <c r="P28" s="17">
        <f>_xlfn.XLOOKUP($B28,'[3]Nov-24'!$A:$A,'[3]Nov-24'!$H:$H,0)</f>
        <v>0</v>
      </c>
      <c r="Q28" s="17">
        <f>_xlfn.XLOOKUP($B28,'[3]Dec-24'!$A:$A,'[3]Dec-24'!$H:$H,0)</f>
        <v>0</v>
      </c>
      <c r="R28" s="17">
        <f>_xlfn.XLOOKUP($B28,'[3]Jan-25'!$A:$A,'[3]Jan-25'!$H:$H,0)</f>
        <v>0</v>
      </c>
      <c r="S28" s="17">
        <f>_xlfn.XLOOKUP($B28,'[3]Feb-25'!$A:$A,'[3]Feb-25'!$H:$H,0)</f>
        <v>0</v>
      </c>
      <c r="T28" s="17">
        <f>_xlfn.XLOOKUP($B28,'[3]Mar-25'!$A:$A,'[3]Mar-25'!$H:$H,0)</f>
        <v>0</v>
      </c>
      <c r="U28" s="17">
        <f>_xlfn.XLOOKUP($B28,'[3]Apr-25'!$A:$A,'[3]Apr-25'!$H:$H,0)</f>
        <v>0</v>
      </c>
      <c r="V28" s="17">
        <f>_xlfn.XLOOKUP($B28,'[3]May-25'!$A:$A,'[3]May-25'!$H:$H,0)</f>
        <v>0</v>
      </c>
      <c r="W28" s="17">
        <f>_xlfn.XLOOKUP($B28,'[3]Jun-25'!$A:$A,'[3]Jun-25'!$H:$H,0)</f>
        <v>0</v>
      </c>
      <c r="X28" s="17">
        <f>_xlfn.XLOOKUP($B28,'[3]Jul-25'!$A:$A,'[3]Jul-25'!$H:$H,0)</f>
        <v>0</v>
      </c>
      <c r="Y28" s="17">
        <f>_xlfn.XLOOKUP($B28,'[3]Aug-25'!$A:$A,'[3]Aug-25'!$H:$H,0)</f>
        <v>0</v>
      </c>
      <c r="Z28" s="17">
        <f>_xlfn.XLOOKUP($B28,'[3]Sep-25'!$A:$A,'[3]Sep-25'!$H:$H,0)</f>
        <v>0</v>
      </c>
      <c r="AA28" s="17">
        <f>_xlfn.XLOOKUP($B28,'[3]Oct-25'!$A:$A,'[3]Oct-25'!$H:$H,0)</f>
        <v>0</v>
      </c>
      <c r="AB28" s="17">
        <f>_xlfn.XLOOKUP($B28,'[3]Nov-25'!$A:$A,'[3]Nov-25'!$H:$H,0)</f>
        <v>0</v>
      </c>
      <c r="AC28" s="17">
        <f>_xlfn.XLOOKUP($B28,'[3]Dec-25'!$A:$A,'[3]Dec-25'!$H:$H,0)</f>
        <v>0</v>
      </c>
      <c r="AD28" s="17">
        <f>_xlfn.XLOOKUP($B28,'[3]Jan-26'!$A:$A,'[3]Jan-26'!$H:$H,0)</f>
        <v>0</v>
      </c>
      <c r="AE28" s="17">
        <f>_xlfn.XLOOKUP($B28,'[3]Feb-26'!$A:$A,'[3]Feb-26'!$H:$H,0)</f>
        <v>0</v>
      </c>
      <c r="AF28" s="17">
        <f>_xlfn.XLOOKUP($B28,'[3]Mar-26'!$A:$A,'[3]Mar-26'!$H:$H,0)</f>
        <v>0</v>
      </c>
      <c r="AG28" s="17">
        <f>_xlfn.XLOOKUP($B28,'[3]Apr-26'!$A:$A,'[3]Apr-26'!$H:$H,0)</f>
        <v>0</v>
      </c>
    </row>
    <row r="29" spans="1:33" x14ac:dyDescent="0.2">
      <c r="A29" s="58" t="s">
        <v>965</v>
      </c>
      <c r="B29" s="56" t="str">
        <f t="shared" si="2"/>
        <v>14025</v>
      </c>
      <c r="C29" s="78" t="s">
        <v>966</v>
      </c>
      <c r="D29" s="57" t="s">
        <v>429</v>
      </c>
      <c r="E29" s="44" t="s">
        <v>967</v>
      </c>
      <c r="F29" s="17">
        <f>_xlfn.XLOOKUP($B29,'[3]Jan-24'!$A:$A,'[3]Jan-24'!$H:$H,0)</f>
        <v>0</v>
      </c>
      <c r="G29" s="17">
        <f>_xlfn.XLOOKUP($B29,'[3]Feb-24'!$A:$A,'[3]Feb-24'!$H:$H,0)</f>
        <v>0</v>
      </c>
      <c r="H29" s="17">
        <f>_xlfn.XLOOKUP($B29,'[3]Mar-24'!$A:$A,'[3]Mar-24'!$H:$H,0)</f>
        <v>0</v>
      </c>
      <c r="I29" s="17">
        <f>_xlfn.XLOOKUP($B29,'[3]Apr-24'!$A:$A,'[3]Apr-24'!$H:$H,0)</f>
        <v>0</v>
      </c>
      <c r="J29" s="17">
        <f>_xlfn.XLOOKUP($B29,'[3]May-24'!$A:$A,'[3]May-24'!$H:$H,0)</f>
        <v>0</v>
      </c>
      <c r="K29" s="17">
        <f>_xlfn.XLOOKUP($B29,'[3]Jun-24'!$A:$A,'[3]Jun-24'!$H:$H,0)</f>
        <v>0</v>
      </c>
      <c r="L29" s="17">
        <f>_xlfn.XLOOKUP($B29,'[3]Jul-24'!$A:$A,'[3]Jul-24'!$H:$H,0)</f>
        <v>0</v>
      </c>
      <c r="M29" s="17">
        <f>_xlfn.XLOOKUP($B29,'[3]Aug-24'!$A:$A,'[3]Aug-24'!$H:$H,0)</f>
        <v>0</v>
      </c>
      <c r="N29" s="17">
        <f>_xlfn.XLOOKUP($B29,'[3]Sep-24'!$A:$A,'[3]Sep-24'!$H:$H,0)</f>
        <v>0</v>
      </c>
      <c r="O29" s="17">
        <f>_xlfn.XLOOKUP($B29,'[3]Oct-24'!$A:$A,'[3]Oct-24'!$H:$H,0)</f>
        <v>0</v>
      </c>
      <c r="P29" s="17">
        <f>_xlfn.XLOOKUP($B29,'[3]Nov-24'!$A:$A,'[3]Nov-24'!$H:$H,0)</f>
        <v>0</v>
      </c>
      <c r="Q29" s="17">
        <f>_xlfn.XLOOKUP($B29,'[3]Dec-24'!$A:$A,'[3]Dec-24'!$H:$H,0)</f>
        <v>0</v>
      </c>
      <c r="R29" s="17">
        <f>_xlfn.XLOOKUP($B29,'[3]Jan-25'!$A:$A,'[3]Jan-25'!$H:$H,0)</f>
        <v>0</v>
      </c>
      <c r="S29" s="17">
        <f>_xlfn.XLOOKUP($B29,'[3]Feb-25'!$A:$A,'[3]Feb-25'!$H:$H,0)</f>
        <v>0</v>
      </c>
      <c r="T29" s="17">
        <f>_xlfn.XLOOKUP($B29,'[3]Mar-25'!$A:$A,'[3]Mar-25'!$H:$H,0)</f>
        <v>0</v>
      </c>
      <c r="U29" s="17">
        <f>_xlfn.XLOOKUP($B29,'[3]Apr-25'!$A:$A,'[3]Apr-25'!$H:$H,0)</f>
        <v>0</v>
      </c>
      <c r="V29" s="17">
        <f>_xlfn.XLOOKUP($B29,'[3]May-25'!$A:$A,'[3]May-25'!$H:$H,0)</f>
        <v>0</v>
      </c>
      <c r="W29" s="17">
        <f>_xlfn.XLOOKUP($B29,'[3]Jun-25'!$A:$A,'[3]Jun-25'!$H:$H,0)</f>
        <v>0</v>
      </c>
      <c r="X29" s="17">
        <f>_xlfn.XLOOKUP($B29,'[3]Jul-25'!$A:$A,'[3]Jul-25'!$H:$H,0)</f>
        <v>0</v>
      </c>
      <c r="Y29" s="17">
        <f>_xlfn.XLOOKUP($B29,'[3]Aug-25'!$A:$A,'[3]Aug-25'!$H:$H,0)</f>
        <v>0</v>
      </c>
      <c r="Z29" s="17">
        <f>_xlfn.XLOOKUP($B29,'[3]Sep-25'!$A:$A,'[3]Sep-25'!$H:$H,0)</f>
        <v>0</v>
      </c>
      <c r="AA29" s="17">
        <f>_xlfn.XLOOKUP($B29,'[3]Oct-25'!$A:$A,'[3]Oct-25'!$H:$H,0)</f>
        <v>0</v>
      </c>
      <c r="AB29" s="17">
        <f>_xlfn.XLOOKUP($B29,'[3]Nov-25'!$A:$A,'[3]Nov-25'!$H:$H,0)</f>
        <v>0</v>
      </c>
      <c r="AC29" s="17">
        <f>_xlfn.XLOOKUP($B29,'[3]Dec-25'!$A:$A,'[3]Dec-25'!$H:$H,0)</f>
        <v>0</v>
      </c>
      <c r="AD29" s="17">
        <f>_xlfn.XLOOKUP($B29,'[3]Jan-26'!$A:$A,'[3]Jan-26'!$H:$H,0)</f>
        <v>0</v>
      </c>
      <c r="AE29" s="17">
        <f>_xlfn.XLOOKUP($B29,'[3]Feb-26'!$A:$A,'[3]Feb-26'!$H:$H,0)</f>
        <v>0</v>
      </c>
      <c r="AF29" s="17">
        <f>_xlfn.XLOOKUP($B29,'[3]Mar-26'!$A:$A,'[3]Mar-26'!$H:$H,0)</f>
        <v>0</v>
      </c>
      <c r="AG29" s="17">
        <f>_xlfn.XLOOKUP($B29,'[3]Apr-26'!$A:$A,'[3]Apr-26'!$H:$H,0)</f>
        <v>0</v>
      </c>
    </row>
    <row r="30" spans="1:33" x14ac:dyDescent="0.2">
      <c r="A30" s="58" t="s">
        <v>934</v>
      </c>
      <c r="B30" s="56" t="str">
        <f t="shared" si="2"/>
        <v>15010</v>
      </c>
      <c r="C30" s="78" t="s">
        <v>416</v>
      </c>
      <c r="D30" s="57" t="s">
        <v>303</v>
      </c>
      <c r="E30" s="44" t="s">
        <v>968</v>
      </c>
      <c r="F30" s="17">
        <f>_xlfn.XLOOKUP($B30,'[3]Jan-24'!$A:$A,'[3]Jan-24'!$H:$H,0)</f>
        <v>2147.9899999999998</v>
      </c>
      <c r="G30" s="17">
        <f>_xlfn.XLOOKUP($B30,'[3]Feb-24'!$A:$A,'[3]Feb-24'!$H:$H,0)</f>
        <v>2147.9899999999998</v>
      </c>
      <c r="H30" s="17">
        <f>_xlfn.XLOOKUP($B30,'[3]Mar-24'!$A:$A,'[3]Mar-24'!$H:$H,0)</f>
        <v>2147.9899999999998</v>
      </c>
      <c r="I30" s="17">
        <f>_xlfn.XLOOKUP($B30,'[3]Apr-24'!$A:$A,'[3]Apr-24'!$H:$H,0)</f>
        <v>2147.9899999999998</v>
      </c>
      <c r="J30" s="17">
        <f>_xlfn.XLOOKUP($B30,'[3]May-24'!$A:$A,'[3]May-24'!$H:$H,0)</f>
        <v>2147.9899999999998</v>
      </c>
      <c r="K30" s="17">
        <f>_xlfn.XLOOKUP($B30,'[3]Jun-24'!$A:$A,'[3]Jun-24'!$H:$H,0)</f>
        <v>2147.9899999999998</v>
      </c>
      <c r="L30" s="17">
        <f>_xlfn.XLOOKUP($B30,'[3]Jul-24'!$A:$A,'[3]Jul-24'!$H:$H,0)</f>
        <v>2147.9899999999998</v>
      </c>
      <c r="M30" s="17">
        <f>_xlfn.XLOOKUP($B30,'[3]Aug-24'!$A:$A,'[3]Aug-24'!$H:$H,0)</f>
        <v>2147.9899999999998</v>
      </c>
      <c r="N30" s="17">
        <f>_xlfn.XLOOKUP($B30,'[3]Sep-24'!$A:$A,'[3]Sep-24'!$H:$H,0)</f>
        <v>2147.9899999999998</v>
      </c>
      <c r="O30" s="17">
        <f>_xlfn.XLOOKUP($B30,'[3]Oct-24'!$A:$A,'[3]Oct-24'!$H:$H,0)</f>
        <v>2147.9899999999998</v>
      </c>
      <c r="P30" s="17">
        <f>_xlfn.XLOOKUP($B30,'[3]Nov-24'!$A:$A,'[3]Nov-24'!$H:$H,0)</f>
        <v>2147.9899999999998</v>
      </c>
      <c r="Q30" s="17">
        <f>_xlfn.XLOOKUP($B30,'[3]Dec-24'!$A:$A,'[3]Dec-24'!$H:$H,0)</f>
        <v>2147.9899999999998</v>
      </c>
      <c r="R30" s="17">
        <f>_xlfn.XLOOKUP($B30,'[3]Jan-25'!$A:$A,'[3]Jan-25'!$H:$H,0)</f>
        <v>2147.9899999999998</v>
      </c>
      <c r="S30" s="17">
        <f>_xlfn.XLOOKUP($B30,'[3]Feb-25'!$A:$A,'[3]Feb-25'!$H:$H,0)</f>
        <v>2147.9899999999998</v>
      </c>
      <c r="T30" s="17">
        <f>_xlfn.XLOOKUP($B30,'[3]Mar-25'!$A:$A,'[3]Mar-25'!$H:$H,0)</f>
        <v>2147.9899999999998</v>
      </c>
      <c r="U30" s="17">
        <f>_xlfn.XLOOKUP($B30,'[3]Apr-25'!$A:$A,'[3]Apr-25'!$H:$H,0)</f>
        <v>2147.9899999999998</v>
      </c>
      <c r="V30" s="17">
        <f>_xlfn.XLOOKUP($B30,'[3]May-25'!$A:$A,'[3]May-25'!$H:$H,0)</f>
        <v>2147.9899999999998</v>
      </c>
      <c r="W30" s="17">
        <f>_xlfn.XLOOKUP($B30,'[3]Jun-25'!$A:$A,'[3]Jun-25'!$H:$H,0)</f>
        <v>2147.9899999999998</v>
      </c>
      <c r="X30" s="17">
        <f>_xlfn.XLOOKUP($B30,'[3]Jul-25'!$A:$A,'[3]Jul-25'!$H:$H,0)</f>
        <v>2147.9899999999998</v>
      </c>
      <c r="Y30" s="17">
        <f>_xlfn.XLOOKUP($B30,'[3]Aug-25'!$A:$A,'[3]Aug-25'!$H:$H,0)</f>
        <v>2147.9899999999998</v>
      </c>
      <c r="Z30" s="17">
        <f>_xlfn.XLOOKUP($B30,'[3]Sep-25'!$A:$A,'[3]Sep-25'!$H:$H,0)</f>
        <v>2147.9899999999998</v>
      </c>
      <c r="AA30" s="17">
        <f>_xlfn.XLOOKUP($B30,'[3]Oct-25'!$A:$A,'[3]Oct-25'!$H:$H,0)</f>
        <v>2147.9899999999998</v>
      </c>
      <c r="AB30" s="17">
        <f>_xlfn.XLOOKUP($B30,'[3]Nov-25'!$A:$A,'[3]Nov-25'!$H:$H,0)</f>
        <v>2147.9899999999998</v>
      </c>
      <c r="AC30" s="17">
        <f>_xlfn.XLOOKUP($B30,'[3]Dec-25'!$A:$A,'[3]Dec-25'!$H:$H,0)</f>
        <v>2147.9899999999998</v>
      </c>
      <c r="AD30" s="17">
        <f>_xlfn.XLOOKUP($B30,'[3]Jan-26'!$A:$A,'[3]Jan-26'!$H:$H,0)</f>
        <v>2147.9899999999998</v>
      </c>
      <c r="AE30" s="17">
        <f>_xlfn.XLOOKUP($B30,'[3]Feb-26'!$A:$A,'[3]Feb-26'!$H:$H,0)</f>
        <v>2147.9899999999998</v>
      </c>
      <c r="AF30" s="17">
        <f>_xlfn.XLOOKUP($B30,'[3]Mar-26'!$A:$A,'[3]Mar-26'!$H:$H,0)</f>
        <v>2147.9899999999998</v>
      </c>
      <c r="AG30" s="17">
        <f>_xlfn.XLOOKUP($B30,'[3]Apr-26'!$A:$A,'[3]Apr-26'!$H:$H,0)</f>
        <v>2147.9899999999998</v>
      </c>
    </row>
    <row r="31" spans="1:33" x14ac:dyDescent="0.2">
      <c r="A31" s="58" t="s">
        <v>969</v>
      </c>
      <c r="B31" s="56" t="str">
        <f t="shared" si="2"/>
        <v>15100</v>
      </c>
      <c r="C31" s="78" t="s">
        <v>416</v>
      </c>
      <c r="D31" s="57" t="s">
        <v>303</v>
      </c>
      <c r="E31" s="44" t="s">
        <v>234</v>
      </c>
      <c r="F31" s="17">
        <f>_xlfn.XLOOKUP($B31,'[3]Jan-24'!$A:$A,'[3]Jan-24'!$H:$H,0)</f>
        <v>0</v>
      </c>
      <c r="G31" s="17">
        <f>_xlfn.XLOOKUP($B31,'[3]Feb-24'!$A:$A,'[3]Feb-24'!$H:$H,0)</f>
        <v>0</v>
      </c>
      <c r="H31" s="17">
        <f>_xlfn.XLOOKUP($B31,'[3]Mar-24'!$A:$A,'[3]Mar-24'!$H:$H,0)</f>
        <v>0</v>
      </c>
      <c r="I31" s="17">
        <f>_xlfn.XLOOKUP($B31,'[3]Apr-24'!$A:$A,'[3]Apr-24'!$H:$H,0)</f>
        <v>0</v>
      </c>
      <c r="J31" s="17">
        <f>_xlfn.XLOOKUP($B31,'[3]May-24'!$A:$A,'[3]May-24'!$H:$H,0)</f>
        <v>0</v>
      </c>
      <c r="K31" s="17">
        <f>_xlfn.XLOOKUP($B31,'[3]Jun-24'!$A:$A,'[3]Jun-24'!$H:$H,0)</f>
        <v>0</v>
      </c>
      <c r="L31" s="17">
        <f>_xlfn.XLOOKUP($B31,'[3]Jul-24'!$A:$A,'[3]Jul-24'!$H:$H,0)</f>
        <v>0</v>
      </c>
      <c r="M31" s="17">
        <f>_xlfn.XLOOKUP($B31,'[3]Aug-24'!$A:$A,'[3]Aug-24'!$H:$H,0)</f>
        <v>0</v>
      </c>
      <c r="N31" s="17">
        <f>_xlfn.XLOOKUP($B31,'[3]Sep-24'!$A:$A,'[3]Sep-24'!$H:$H,0)</f>
        <v>0</v>
      </c>
      <c r="O31" s="17">
        <f>_xlfn.XLOOKUP($B31,'[3]Oct-24'!$A:$A,'[3]Oct-24'!$H:$H,0)</f>
        <v>0</v>
      </c>
      <c r="P31" s="17">
        <f>_xlfn.XLOOKUP($B31,'[3]Nov-24'!$A:$A,'[3]Nov-24'!$H:$H,0)</f>
        <v>0</v>
      </c>
      <c r="Q31" s="17">
        <f>_xlfn.XLOOKUP($B31,'[3]Dec-24'!$A:$A,'[3]Dec-24'!$H:$H,0)</f>
        <v>0</v>
      </c>
      <c r="R31" s="17">
        <f>_xlfn.XLOOKUP($B31,'[3]Jan-25'!$A:$A,'[3]Jan-25'!$H:$H,0)</f>
        <v>0</v>
      </c>
      <c r="S31" s="17">
        <f>_xlfn.XLOOKUP($B31,'[3]Feb-25'!$A:$A,'[3]Feb-25'!$H:$H,0)</f>
        <v>0</v>
      </c>
      <c r="T31" s="17">
        <f>_xlfn.XLOOKUP($B31,'[3]Mar-25'!$A:$A,'[3]Mar-25'!$H:$H,0)</f>
        <v>0</v>
      </c>
      <c r="U31" s="17">
        <f>_xlfn.XLOOKUP($B31,'[3]Apr-25'!$A:$A,'[3]Apr-25'!$H:$H,0)</f>
        <v>0</v>
      </c>
      <c r="V31" s="17">
        <f>_xlfn.XLOOKUP($B31,'[3]May-25'!$A:$A,'[3]May-25'!$H:$H,0)</f>
        <v>0</v>
      </c>
      <c r="W31" s="17">
        <f>_xlfn.XLOOKUP($B31,'[3]Jun-25'!$A:$A,'[3]Jun-25'!$H:$H,0)</f>
        <v>0</v>
      </c>
      <c r="X31" s="17">
        <f>_xlfn.XLOOKUP($B31,'[3]Jul-25'!$A:$A,'[3]Jul-25'!$H:$H,0)</f>
        <v>0</v>
      </c>
      <c r="Y31" s="17">
        <f>_xlfn.XLOOKUP($B31,'[3]Aug-25'!$A:$A,'[3]Aug-25'!$H:$H,0)</f>
        <v>0</v>
      </c>
      <c r="Z31" s="17">
        <f>_xlfn.XLOOKUP($B31,'[3]Sep-25'!$A:$A,'[3]Sep-25'!$H:$H,0)</f>
        <v>0</v>
      </c>
      <c r="AA31" s="17">
        <f>_xlfn.XLOOKUP($B31,'[3]Oct-25'!$A:$A,'[3]Oct-25'!$H:$H,0)</f>
        <v>0</v>
      </c>
      <c r="AB31" s="17">
        <f>_xlfn.XLOOKUP($B31,'[3]Nov-25'!$A:$A,'[3]Nov-25'!$H:$H,0)</f>
        <v>0</v>
      </c>
      <c r="AC31" s="17">
        <f>_xlfn.XLOOKUP($B31,'[3]Dec-25'!$A:$A,'[3]Dec-25'!$H:$H,0)</f>
        <v>0</v>
      </c>
      <c r="AD31" s="17">
        <f>_xlfn.XLOOKUP($B31,'[3]Jan-26'!$A:$A,'[3]Jan-26'!$H:$H,0)</f>
        <v>0</v>
      </c>
      <c r="AE31" s="17">
        <f>_xlfn.XLOOKUP($B31,'[3]Feb-26'!$A:$A,'[3]Feb-26'!$H:$H,0)</f>
        <v>0</v>
      </c>
      <c r="AF31" s="17">
        <f>_xlfn.XLOOKUP($B31,'[3]Mar-26'!$A:$A,'[3]Mar-26'!$H:$H,0)</f>
        <v>0</v>
      </c>
      <c r="AG31" s="17">
        <f>_xlfn.XLOOKUP($B31,'[3]Apr-26'!$A:$A,'[3]Apr-26'!$H:$H,0)</f>
        <v>0</v>
      </c>
    </row>
    <row r="32" spans="1:33" x14ac:dyDescent="0.2">
      <c r="A32" s="58" t="s">
        <v>970</v>
      </c>
      <c r="B32" s="56" t="str">
        <f t="shared" si="2"/>
        <v>15200</v>
      </c>
      <c r="C32" s="78" t="s">
        <v>416</v>
      </c>
      <c r="D32" s="57" t="s">
        <v>303</v>
      </c>
      <c r="E32" s="44" t="s">
        <v>235</v>
      </c>
      <c r="F32" s="17">
        <f>_xlfn.XLOOKUP($B32,'[3]Jan-24'!$A:$A,'[3]Jan-24'!$H:$H,0)</f>
        <v>0</v>
      </c>
      <c r="G32" s="17">
        <f>_xlfn.XLOOKUP($B32,'[3]Feb-24'!$A:$A,'[3]Feb-24'!$H:$H,0)</f>
        <v>0</v>
      </c>
      <c r="H32" s="17">
        <f>_xlfn.XLOOKUP($B32,'[3]Mar-24'!$A:$A,'[3]Mar-24'!$H:$H,0)</f>
        <v>0</v>
      </c>
      <c r="I32" s="17">
        <f>_xlfn.XLOOKUP($B32,'[3]Apr-24'!$A:$A,'[3]Apr-24'!$H:$H,0)</f>
        <v>0</v>
      </c>
      <c r="J32" s="17">
        <f>_xlfn.XLOOKUP($B32,'[3]May-24'!$A:$A,'[3]May-24'!$H:$H,0)</f>
        <v>0</v>
      </c>
      <c r="K32" s="17">
        <f>_xlfn.XLOOKUP($B32,'[3]Jun-24'!$A:$A,'[3]Jun-24'!$H:$H,0)</f>
        <v>0</v>
      </c>
      <c r="L32" s="17">
        <f>_xlfn.XLOOKUP($B32,'[3]Jul-24'!$A:$A,'[3]Jul-24'!$H:$H,0)</f>
        <v>0</v>
      </c>
      <c r="M32" s="17">
        <f>_xlfn.XLOOKUP($B32,'[3]Aug-24'!$A:$A,'[3]Aug-24'!$H:$H,0)</f>
        <v>0</v>
      </c>
      <c r="N32" s="17">
        <f>_xlfn.XLOOKUP($B32,'[3]Sep-24'!$A:$A,'[3]Sep-24'!$H:$H,0)</f>
        <v>0</v>
      </c>
      <c r="O32" s="17">
        <f>_xlfn.XLOOKUP($B32,'[3]Oct-24'!$A:$A,'[3]Oct-24'!$H:$H,0)</f>
        <v>0</v>
      </c>
      <c r="P32" s="17">
        <f>_xlfn.XLOOKUP($B32,'[3]Nov-24'!$A:$A,'[3]Nov-24'!$H:$H,0)</f>
        <v>0</v>
      </c>
      <c r="Q32" s="17">
        <f>_xlfn.XLOOKUP($B32,'[3]Dec-24'!$A:$A,'[3]Dec-24'!$H:$H,0)</f>
        <v>0</v>
      </c>
      <c r="R32" s="17">
        <f>_xlfn.XLOOKUP($B32,'[3]Jan-25'!$A:$A,'[3]Jan-25'!$H:$H,0)</f>
        <v>0</v>
      </c>
      <c r="S32" s="17">
        <f>_xlfn.XLOOKUP($B32,'[3]Feb-25'!$A:$A,'[3]Feb-25'!$H:$H,0)</f>
        <v>0</v>
      </c>
      <c r="T32" s="17">
        <f>_xlfn.XLOOKUP($B32,'[3]Mar-25'!$A:$A,'[3]Mar-25'!$H:$H,0)</f>
        <v>0</v>
      </c>
      <c r="U32" s="17">
        <f>_xlfn.XLOOKUP($B32,'[3]Apr-25'!$A:$A,'[3]Apr-25'!$H:$H,0)</f>
        <v>0</v>
      </c>
      <c r="V32" s="17">
        <f>_xlfn.XLOOKUP($B32,'[3]May-25'!$A:$A,'[3]May-25'!$H:$H,0)</f>
        <v>0</v>
      </c>
      <c r="W32" s="17">
        <f>_xlfn.XLOOKUP($B32,'[3]Jun-25'!$A:$A,'[3]Jun-25'!$H:$H,0)</f>
        <v>0</v>
      </c>
      <c r="X32" s="17">
        <f>_xlfn.XLOOKUP($B32,'[3]Jul-25'!$A:$A,'[3]Jul-25'!$H:$H,0)</f>
        <v>0</v>
      </c>
      <c r="Y32" s="17">
        <f>_xlfn.XLOOKUP($B32,'[3]Aug-25'!$A:$A,'[3]Aug-25'!$H:$H,0)</f>
        <v>0</v>
      </c>
      <c r="Z32" s="17">
        <f>_xlfn.XLOOKUP($B32,'[3]Sep-25'!$A:$A,'[3]Sep-25'!$H:$H,0)</f>
        <v>0</v>
      </c>
      <c r="AA32" s="17">
        <f>_xlfn.XLOOKUP($B32,'[3]Oct-25'!$A:$A,'[3]Oct-25'!$H:$H,0)</f>
        <v>0</v>
      </c>
      <c r="AB32" s="17">
        <f>_xlfn.XLOOKUP($B32,'[3]Nov-25'!$A:$A,'[3]Nov-25'!$H:$H,0)</f>
        <v>0</v>
      </c>
      <c r="AC32" s="17">
        <f>_xlfn.XLOOKUP($B32,'[3]Dec-25'!$A:$A,'[3]Dec-25'!$H:$H,0)</f>
        <v>0</v>
      </c>
      <c r="AD32" s="17">
        <f>_xlfn.XLOOKUP($B32,'[3]Jan-26'!$A:$A,'[3]Jan-26'!$H:$H,0)</f>
        <v>0</v>
      </c>
      <c r="AE32" s="17">
        <f>_xlfn.XLOOKUP($B32,'[3]Feb-26'!$A:$A,'[3]Feb-26'!$H:$H,0)</f>
        <v>0</v>
      </c>
      <c r="AF32" s="17">
        <f>_xlfn.XLOOKUP($B32,'[3]Mar-26'!$A:$A,'[3]Mar-26'!$H:$H,0)</f>
        <v>0</v>
      </c>
      <c r="AG32" s="17">
        <f>_xlfn.XLOOKUP($B32,'[3]Apr-26'!$A:$A,'[3]Apr-26'!$H:$H,0)</f>
        <v>0</v>
      </c>
    </row>
    <row r="33" spans="1:33" x14ac:dyDescent="0.2">
      <c r="A33" s="58" t="s">
        <v>971</v>
      </c>
      <c r="B33" s="56" t="str">
        <f t="shared" si="2"/>
        <v>15300</v>
      </c>
      <c r="C33" s="78" t="s">
        <v>416</v>
      </c>
      <c r="D33" s="57" t="s">
        <v>303</v>
      </c>
      <c r="E33" s="44" t="s">
        <v>236</v>
      </c>
      <c r="F33" s="17">
        <f>_xlfn.XLOOKUP($B33,'[3]Jan-24'!$A:$A,'[3]Jan-24'!$H:$H,0)</f>
        <v>0</v>
      </c>
      <c r="G33" s="17">
        <f>_xlfn.XLOOKUP($B33,'[3]Feb-24'!$A:$A,'[3]Feb-24'!$H:$H,0)</f>
        <v>0</v>
      </c>
      <c r="H33" s="17">
        <f>_xlfn.XLOOKUP($B33,'[3]Mar-24'!$A:$A,'[3]Mar-24'!$H:$H,0)</f>
        <v>0</v>
      </c>
      <c r="I33" s="17">
        <f>_xlfn.XLOOKUP($B33,'[3]Apr-24'!$A:$A,'[3]Apr-24'!$H:$H,0)</f>
        <v>0</v>
      </c>
      <c r="J33" s="17">
        <f>_xlfn.XLOOKUP($B33,'[3]May-24'!$A:$A,'[3]May-24'!$H:$H,0)</f>
        <v>0</v>
      </c>
      <c r="K33" s="17">
        <f>_xlfn.XLOOKUP($B33,'[3]Jun-24'!$A:$A,'[3]Jun-24'!$H:$H,0)</f>
        <v>0</v>
      </c>
      <c r="L33" s="17">
        <f>_xlfn.XLOOKUP($B33,'[3]Jul-24'!$A:$A,'[3]Jul-24'!$H:$H,0)</f>
        <v>0</v>
      </c>
      <c r="M33" s="17">
        <f>_xlfn.XLOOKUP($B33,'[3]Aug-24'!$A:$A,'[3]Aug-24'!$H:$H,0)</f>
        <v>0</v>
      </c>
      <c r="N33" s="17">
        <f>_xlfn.XLOOKUP($B33,'[3]Sep-24'!$A:$A,'[3]Sep-24'!$H:$H,0)</f>
        <v>0</v>
      </c>
      <c r="O33" s="17">
        <f>_xlfn.XLOOKUP($B33,'[3]Oct-24'!$A:$A,'[3]Oct-24'!$H:$H,0)</f>
        <v>0</v>
      </c>
      <c r="P33" s="17">
        <f>_xlfn.XLOOKUP($B33,'[3]Nov-24'!$A:$A,'[3]Nov-24'!$H:$H,0)</f>
        <v>0</v>
      </c>
      <c r="Q33" s="17">
        <f>_xlfn.XLOOKUP($B33,'[3]Dec-24'!$A:$A,'[3]Dec-24'!$H:$H,0)</f>
        <v>0</v>
      </c>
      <c r="R33" s="17">
        <f>_xlfn.XLOOKUP($B33,'[3]Jan-25'!$A:$A,'[3]Jan-25'!$H:$H,0)</f>
        <v>0</v>
      </c>
      <c r="S33" s="17">
        <f>_xlfn.XLOOKUP($B33,'[3]Feb-25'!$A:$A,'[3]Feb-25'!$H:$H,0)</f>
        <v>0</v>
      </c>
      <c r="T33" s="17">
        <f>_xlfn.XLOOKUP($B33,'[3]Mar-25'!$A:$A,'[3]Mar-25'!$H:$H,0)</f>
        <v>0</v>
      </c>
      <c r="U33" s="17">
        <f>_xlfn.XLOOKUP($B33,'[3]Apr-25'!$A:$A,'[3]Apr-25'!$H:$H,0)</f>
        <v>0</v>
      </c>
      <c r="V33" s="17">
        <f>_xlfn.XLOOKUP($B33,'[3]May-25'!$A:$A,'[3]May-25'!$H:$H,0)</f>
        <v>0</v>
      </c>
      <c r="W33" s="17">
        <f>_xlfn.XLOOKUP($B33,'[3]Jun-25'!$A:$A,'[3]Jun-25'!$H:$H,0)</f>
        <v>0</v>
      </c>
      <c r="X33" s="17">
        <f>_xlfn.XLOOKUP($B33,'[3]Jul-25'!$A:$A,'[3]Jul-25'!$H:$H,0)</f>
        <v>0</v>
      </c>
      <c r="Y33" s="17">
        <f>_xlfn.XLOOKUP($B33,'[3]Aug-25'!$A:$A,'[3]Aug-25'!$H:$H,0)</f>
        <v>0</v>
      </c>
      <c r="Z33" s="17">
        <f>_xlfn.XLOOKUP($B33,'[3]Sep-25'!$A:$A,'[3]Sep-25'!$H:$H,0)</f>
        <v>0</v>
      </c>
      <c r="AA33" s="17">
        <f>_xlfn.XLOOKUP($B33,'[3]Oct-25'!$A:$A,'[3]Oct-25'!$H:$H,0)</f>
        <v>0</v>
      </c>
      <c r="AB33" s="17">
        <f>_xlfn.XLOOKUP($B33,'[3]Nov-25'!$A:$A,'[3]Nov-25'!$H:$H,0)</f>
        <v>0</v>
      </c>
      <c r="AC33" s="17">
        <f>_xlfn.XLOOKUP($B33,'[3]Dec-25'!$A:$A,'[3]Dec-25'!$H:$H,0)</f>
        <v>0</v>
      </c>
      <c r="AD33" s="17">
        <f>_xlfn.XLOOKUP($B33,'[3]Jan-26'!$A:$A,'[3]Jan-26'!$H:$H,0)</f>
        <v>0</v>
      </c>
      <c r="AE33" s="17">
        <f>_xlfn.XLOOKUP($B33,'[3]Feb-26'!$A:$A,'[3]Feb-26'!$H:$H,0)</f>
        <v>0</v>
      </c>
      <c r="AF33" s="17">
        <f>_xlfn.XLOOKUP($B33,'[3]Mar-26'!$A:$A,'[3]Mar-26'!$H:$H,0)</f>
        <v>0</v>
      </c>
      <c r="AG33" s="17">
        <f>_xlfn.XLOOKUP($B33,'[3]Apr-26'!$A:$A,'[3]Apr-26'!$H:$H,0)</f>
        <v>0</v>
      </c>
    </row>
    <row r="34" spans="1:33" x14ac:dyDescent="0.2">
      <c r="A34" s="58" t="s">
        <v>972</v>
      </c>
      <c r="B34" s="56" t="str">
        <f t="shared" si="2"/>
        <v>15400</v>
      </c>
      <c r="C34" s="78" t="s">
        <v>416</v>
      </c>
      <c r="D34" s="57" t="s">
        <v>303</v>
      </c>
      <c r="E34" s="44" t="s">
        <v>237</v>
      </c>
      <c r="F34" s="17">
        <f>_xlfn.XLOOKUP($B34,'[3]Jan-24'!$A:$A,'[3]Jan-24'!$H:$H,0)</f>
        <v>0</v>
      </c>
      <c r="G34" s="17">
        <f>_xlfn.XLOOKUP($B34,'[3]Feb-24'!$A:$A,'[3]Feb-24'!$H:$H,0)</f>
        <v>0</v>
      </c>
      <c r="H34" s="17">
        <f>_xlfn.XLOOKUP($B34,'[3]Mar-24'!$A:$A,'[3]Mar-24'!$H:$H,0)</f>
        <v>0</v>
      </c>
      <c r="I34" s="17">
        <f>_xlfn.XLOOKUP($B34,'[3]Apr-24'!$A:$A,'[3]Apr-24'!$H:$H,0)</f>
        <v>0</v>
      </c>
      <c r="J34" s="17">
        <f>_xlfn.XLOOKUP($B34,'[3]May-24'!$A:$A,'[3]May-24'!$H:$H,0)</f>
        <v>0</v>
      </c>
      <c r="K34" s="17">
        <f>_xlfn.XLOOKUP($B34,'[3]Jun-24'!$A:$A,'[3]Jun-24'!$H:$H,0)</f>
        <v>0</v>
      </c>
      <c r="L34" s="17">
        <f>_xlfn.XLOOKUP($B34,'[3]Jul-24'!$A:$A,'[3]Jul-24'!$H:$H,0)</f>
        <v>0</v>
      </c>
      <c r="M34" s="17">
        <f>_xlfn.XLOOKUP($B34,'[3]Aug-24'!$A:$A,'[3]Aug-24'!$H:$H,0)</f>
        <v>0</v>
      </c>
      <c r="N34" s="17">
        <f>_xlfn.XLOOKUP($B34,'[3]Sep-24'!$A:$A,'[3]Sep-24'!$H:$H,0)</f>
        <v>0</v>
      </c>
      <c r="O34" s="17">
        <f>_xlfn.XLOOKUP($B34,'[3]Oct-24'!$A:$A,'[3]Oct-24'!$H:$H,0)</f>
        <v>0</v>
      </c>
      <c r="P34" s="17">
        <f>_xlfn.XLOOKUP($B34,'[3]Nov-24'!$A:$A,'[3]Nov-24'!$H:$H,0)</f>
        <v>0</v>
      </c>
      <c r="Q34" s="17">
        <f>_xlfn.XLOOKUP($B34,'[3]Dec-24'!$A:$A,'[3]Dec-24'!$H:$H,0)</f>
        <v>0</v>
      </c>
      <c r="R34" s="17">
        <f>_xlfn.XLOOKUP($B34,'[3]Jan-25'!$A:$A,'[3]Jan-25'!$H:$H,0)</f>
        <v>0</v>
      </c>
      <c r="S34" s="17">
        <f>_xlfn.XLOOKUP($B34,'[3]Feb-25'!$A:$A,'[3]Feb-25'!$H:$H,0)</f>
        <v>0</v>
      </c>
      <c r="T34" s="17">
        <f>_xlfn.XLOOKUP($B34,'[3]Mar-25'!$A:$A,'[3]Mar-25'!$H:$H,0)</f>
        <v>0</v>
      </c>
      <c r="U34" s="17">
        <f>_xlfn.XLOOKUP($B34,'[3]Apr-25'!$A:$A,'[3]Apr-25'!$H:$H,0)</f>
        <v>0</v>
      </c>
      <c r="V34" s="17">
        <f>_xlfn.XLOOKUP($B34,'[3]May-25'!$A:$A,'[3]May-25'!$H:$H,0)</f>
        <v>0</v>
      </c>
      <c r="W34" s="17">
        <f>_xlfn.XLOOKUP($B34,'[3]Jun-25'!$A:$A,'[3]Jun-25'!$H:$H,0)</f>
        <v>0</v>
      </c>
      <c r="X34" s="17">
        <f>_xlfn.XLOOKUP($B34,'[3]Jul-25'!$A:$A,'[3]Jul-25'!$H:$H,0)</f>
        <v>0</v>
      </c>
      <c r="Y34" s="17">
        <f>_xlfn.XLOOKUP($B34,'[3]Aug-25'!$A:$A,'[3]Aug-25'!$H:$H,0)</f>
        <v>0</v>
      </c>
      <c r="Z34" s="17">
        <f>_xlfn.XLOOKUP($B34,'[3]Sep-25'!$A:$A,'[3]Sep-25'!$H:$H,0)</f>
        <v>0</v>
      </c>
      <c r="AA34" s="17">
        <f>_xlfn.XLOOKUP($B34,'[3]Oct-25'!$A:$A,'[3]Oct-25'!$H:$H,0)</f>
        <v>0</v>
      </c>
      <c r="AB34" s="17">
        <f>_xlfn.XLOOKUP($B34,'[3]Nov-25'!$A:$A,'[3]Nov-25'!$H:$H,0)</f>
        <v>0</v>
      </c>
      <c r="AC34" s="17">
        <f>_xlfn.XLOOKUP($B34,'[3]Dec-25'!$A:$A,'[3]Dec-25'!$H:$H,0)</f>
        <v>0</v>
      </c>
      <c r="AD34" s="17">
        <f>_xlfn.XLOOKUP($B34,'[3]Jan-26'!$A:$A,'[3]Jan-26'!$H:$H,0)</f>
        <v>0</v>
      </c>
      <c r="AE34" s="17">
        <f>_xlfn.XLOOKUP($B34,'[3]Feb-26'!$A:$A,'[3]Feb-26'!$H:$H,0)</f>
        <v>0</v>
      </c>
      <c r="AF34" s="17">
        <f>_xlfn.XLOOKUP($B34,'[3]Mar-26'!$A:$A,'[3]Mar-26'!$H:$H,0)</f>
        <v>0</v>
      </c>
      <c r="AG34" s="17">
        <f>_xlfn.XLOOKUP($B34,'[3]Apr-26'!$A:$A,'[3]Apr-26'!$H:$H,0)</f>
        <v>0</v>
      </c>
    </row>
    <row r="35" spans="1:33" x14ac:dyDescent="0.2">
      <c r="A35" s="58" t="s">
        <v>973</v>
      </c>
      <c r="B35" s="56" t="str">
        <f t="shared" si="2"/>
        <v>15405</v>
      </c>
      <c r="C35" s="78" t="s">
        <v>416</v>
      </c>
      <c r="D35" s="57" t="s">
        <v>303</v>
      </c>
      <c r="E35" s="44" t="s">
        <v>238</v>
      </c>
      <c r="F35" s="17">
        <f>_xlfn.XLOOKUP($B35,'[3]Jan-24'!$A:$A,'[3]Jan-24'!$H:$H,0)</f>
        <v>0</v>
      </c>
      <c r="G35" s="17">
        <f>_xlfn.XLOOKUP($B35,'[3]Feb-24'!$A:$A,'[3]Feb-24'!$H:$H,0)</f>
        <v>0</v>
      </c>
      <c r="H35" s="17">
        <f>_xlfn.XLOOKUP($B35,'[3]Mar-24'!$A:$A,'[3]Mar-24'!$H:$H,0)</f>
        <v>0</v>
      </c>
      <c r="I35" s="17">
        <f>_xlfn.XLOOKUP($B35,'[3]Apr-24'!$A:$A,'[3]Apr-24'!$H:$H,0)</f>
        <v>0</v>
      </c>
      <c r="J35" s="17">
        <f>_xlfn.XLOOKUP($B35,'[3]May-24'!$A:$A,'[3]May-24'!$H:$H,0)</f>
        <v>0</v>
      </c>
      <c r="K35" s="17">
        <f>_xlfn.XLOOKUP($B35,'[3]Jun-24'!$A:$A,'[3]Jun-24'!$H:$H,0)</f>
        <v>0</v>
      </c>
      <c r="L35" s="17">
        <f>_xlfn.XLOOKUP($B35,'[3]Jul-24'!$A:$A,'[3]Jul-24'!$H:$H,0)</f>
        <v>0</v>
      </c>
      <c r="M35" s="17">
        <f>_xlfn.XLOOKUP($B35,'[3]Aug-24'!$A:$A,'[3]Aug-24'!$H:$H,0)</f>
        <v>0</v>
      </c>
      <c r="N35" s="17">
        <f>_xlfn.XLOOKUP($B35,'[3]Sep-24'!$A:$A,'[3]Sep-24'!$H:$H,0)</f>
        <v>0</v>
      </c>
      <c r="O35" s="17">
        <f>_xlfn.XLOOKUP($B35,'[3]Oct-24'!$A:$A,'[3]Oct-24'!$H:$H,0)</f>
        <v>0</v>
      </c>
      <c r="P35" s="17">
        <f>_xlfn.XLOOKUP($B35,'[3]Nov-24'!$A:$A,'[3]Nov-24'!$H:$H,0)</f>
        <v>0</v>
      </c>
      <c r="Q35" s="17">
        <f>_xlfn.XLOOKUP($B35,'[3]Dec-24'!$A:$A,'[3]Dec-24'!$H:$H,0)</f>
        <v>0</v>
      </c>
      <c r="R35" s="17">
        <f>_xlfn.XLOOKUP($B35,'[3]Jan-25'!$A:$A,'[3]Jan-25'!$H:$H,0)</f>
        <v>0</v>
      </c>
      <c r="S35" s="17">
        <f>_xlfn.XLOOKUP($B35,'[3]Feb-25'!$A:$A,'[3]Feb-25'!$H:$H,0)</f>
        <v>0</v>
      </c>
      <c r="T35" s="17">
        <f>_xlfn.XLOOKUP($B35,'[3]Mar-25'!$A:$A,'[3]Mar-25'!$H:$H,0)</f>
        <v>0</v>
      </c>
      <c r="U35" s="17">
        <f>_xlfn.XLOOKUP($B35,'[3]Apr-25'!$A:$A,'[3]Apr-25'!$H:$H,0)</f>
        <v>0</v>
      </c>
      <c r="V35" s="17">
        <f>_xlfn.XLOOKUP($B35,'[3]May-25'!$A:$A,'[3]May-25'!$H:$H,0)</f>
        <v>0</v>
      </c>
      <c r="W35" s="17">
        <f>_xlfn.XLOOKUP($B35,'[3]Jun-25'!$A:$A,'[3]Jun-25'!$H:$H,0)</f>
        <v>0</v>
      </c>
      <c r="X35" s="17">
        <f>_xlfn.XLOOKUP($B35,'[3]Jul-25'!$A:$A,'[3]Jul-25'!$H:$H,0)</f>
        <v>0</v>
      </c>
      <c r="Y35" s="17">
        <f>_xlfn.XLOOKUP($B35,'[3]Aug-25'!$A:$A,'[3]Aug-25'!$H:$H,0)</f>
        <v>0</v>
      </c>
      <c r="Z35" s="17">
        <f>_xlfn.XLOOKUP($B35,'[3]Sep-25'!$A:$A,'[3]Sep-25'!$H:$H,0)</f>
        <v>0</v>
      </c>
      <c r="AA35" s="17">
        <f>_xlfn.XLOOKUP($B35,'[3]Oct-25'!$A:$A,'[3]Oct-25'!$H:$H,0)</f>
        <v>0</v>
      </c>
      <c r="AB35" s="17">
        <f>_xlfn.XLOOKUP($B35,'[3]Nov-25'!$A:$A,'[3]Nov-25'!$H:$H,0)</f>
        <v>0</v>
      </c>
      <c r="AC35" s="17">
        <f>_xlfn.XLOOKUP($B35,'[3]Dec-25'!$A:$A,'[3]Dec-25'!$H:$H,0)</f>
        <v>0</v>
      </c>
      <c r="AD35" s="17">
        <f>_xlfn.XLOOKUP($B35,'[3]Jan-26'!$A:$A,'[3]Jan-26'!$H:$H,0)</f>
        <v>0</v>
      </c>
      <c r="AE35" s="17">
        <f>_xlfn.XLOOKUP($B35,'[3]Feb-26'!$A:$A,'[3]Feb-26'!$H:$H,0)</f>
        <v>0</v>
      </c>
      <c r="AF35" s="17">
        <f>_xlfn.XLOOKUP($B35,'[3]Mar-26'!$A:$A,'[3]Mar-26'!$H:$H,0)</f>
        <v>0</v>
      </c>
      <c r="AG35" s="17">
        <f>_xlfn.XLOOKUP($B35,'[3]Apr-26'!$A:$A,'[3]Apr-26'!$H:$H,0)</f>
        <v>0</v>
      </c>
    </row>
    <row r="36" spans="1:33" x14ac:dyDescent="0.2">
      <c r="A36" s="58" t="s">
        <v>974</v>
      </c>
      <c r="B36" s="56" t="str">
        <f t="shared" si="2"/>
        <v>15410</v>
      </c>
      <c r="C36" s="78" t="s">
        <v>416</v>
      </c>
      <c r="D36" s="57" t="s">
        <v>303</v>
      </c>
      <c r="E36" s="44" t="s">
        <v>239</v>
      </c>
      <c r="F36" s="17">
        <f>_xlfn.XLOOKUP($B36,'[3]Jan-24'!$A:$A,'[3]Jan-24'!$H:$H,0)</f>
        <v>0</v>
      </c>
      <c r="G36" s="17">
        <f>_xlfn.XLOOKUP($B36,'[3]Feb-24'!$A:$A,'[3]Feb-24'!$H:$H,0)</f>
        <v>0</v>
      </c>
      <c r="H36" s="17">
        <f>_xlfn.XLOOKUP($B36,'[3]Mar-24'!$A:$A,'[3]Mar-24'!$H:$H,0)</f>
        <v>0</v>
      </c>
      <c r="I36" s="17">
        <f>_xlfn.XLOOKUP($B36,'[3]Apr-24'!$A:$A,'[3]Apr-24'!$H:$H,0)</f>
        <v>0</v>
      </c>
      <c r="J36" s="17">
        <f>_xlfn.XLOOKUP($B36,'[3]May-24'!$A:$A,'[3]May-24'!$H:$H,0)</f>
        <v>0</v>
      </c>
      <c r="K36" s="17">
        <f>_xlfn.XLOOKUP($B36,'[3]Jun-24'!$A:$A,'[3]Jun-24'!$H:$H,0)</f>
        <v>0</v>
      </c>
      <c r="L36" s="17">
        <f>_xlfn.XLOOKUP($B36,'[3]Jul-24'!$A:$A,'[3]Jul-24'!$H:$H,0)</f>
        <v>0</v>
      </c>
      <c r="M36" s="17">
        <f>_xlfn.XLOOKUP($B36,'[3]Aug-24'!$A:$A,'[3]Aug-24'!$H:$H,0)</f>
        <v>0</v>
      </c>
      <c r="N36" s="17">
        <f>_xlfn.XLOOKUP($B36,'[3]Sep-24'!$A:$A,'[3]Sep-24'!$H:$H,0)</f>
        <v>0</v>
      </c>
      <c r="O36" s="17">
        <f>_xlfn.XLOOKUP($B36,'[3]Oct-24'!$A:$A,'[3]Oct-24'!$H:$H,0)</f>
        <v>0</v>
      </c>
      <c r="P36" s="17">
        <f>_xlfn.XLOOKUP($B36,'[3]Nov-24'!$A:$A,'[3]Nov-24'!$H:$H,0)</f>
        <v>0</v>
      </c>
      <c r="Q36" s="17">
        <f>_xlfn.XLOOKUP($B36,'[3]Dec-24'!$A:$A,'[3]Dec-24'!$H:$H,0)</f>
        <v>0</v>
      </c>
      <c r="R36" s="17">
        <f>_xlfn.XLOOKUP($B36,'[3]Jan-25'!$A:$A,'[3]Jan-25'!$H:$H,0)</f>
        <v>0</v>
      </c>
      <c r="S36" s="17">
        <f>_xlfn.XLOOKUP($B36,'[3]Feb-25'!$A:$A,'[3]Feb-25'!$H:$H,0)</f>
        <v>0</v>
      </c>
      <c r="T36" s="17">
        <f>_xlfn.XLOOKUP($B36,'[3]Mar-25'!$A:$A,'[3]Mar-25'!$H:$H,0)</f>
        <v>0</v>
      </c>
      <c r="U36" s="17">
        <f>_xlfn.XLOOKUP($B36,'[3]Apr-25'!$A:$A,'[3]Apr-25'!$H:$H,0)</f>
        <v>0</v>
      </c>
      <c r="V36" s="17">
        <f>_xlfn.XLOOKUP($B36,'[3]May-25'!$A:$A,'[3]May-25'!$H:$H,0)</f>
        <v>0</v>
      </c>
      <c r="W36" s="17">
        <f>_xlfn.XLOOKUP($B36,'[3]Jun-25'!$A:$A,'[3]Jun-25'!$H:$H,0)</f>
        <v>0</v>
      </c>
      <c r="X36" s="17">
        <f>_xlfn.XLOOKUP($B36,'[3]Jul-25'!$A:$A,'[3]Jul-25'!$H:$H,0)</f>
        <v>0</v>
      </c>
      <c r="Y36" s="17">
        <f>_xlfn.XLOOKUP($B36,'[3]Aug-25'!$A:$A,'[3]Aug-25'!$H:$H,0)</f>
        <v>0</v>
      </c>
      <c r="Z36" s="17">
        <f>_xlfn.XLOOKUP($B36,'[3]Sep-25'!$A:$A,'[3]Sep-25'!$H:$H,0)</f>
        <v>0</v>
      </c>
      <c r="AA36" s="17">
        <f>_xlfn.XLOOKUP($B36,'[3]Oct-25'!$A:$A,'[3]Oct-25'!$H:$H,0)</f>
        <v>0</v>
      </c>
      <c r="AB36" s="17">
        <f>_xlfn.XLOOKUP($B36,'[3]Nov-25'!$A:$A,'[3]Nov-25'!$H:$H,0)</f>
        <v>0</v>
      </c>
      <c r="AC36" s="17">
        <f>_xlfn.XLOOKUP($B36,'[3]Dec-25'!$A:$A,'[3]Dec-25'!$H:$H,0)</f>
        <v>0</v>
      </c>
      <c r="AD36" s="17">
        <f>_xlfn.XLOOKUP($B36,'[3]Jan-26'!$A:$A,'[3]Jan-26'!$H:$H,0)</f>
        <v>0</v>
      </c>
      <c r="AE36" s="17">
        <f>_xlfn.XLOOKUP($B36,'[3]Feb-26'!$A:$A,'[3]Feb-26'!$H:$H,0)</f>
        <v>0</v>
      </c>
      <c r="AF36" s="17">
        <f>_xlfn.XLOOKUP($B36,'[3]Mar-26'!$A:$A,'[3]Mar-26'!$H:$H,0)</f>
        <v>0</v>
      </c>
      <c r="AG36" s="17">
        <f>_xlfn.XLOOKUP($B36,'[3]Apr-26'!$A:$A,'[3]Apr-26'!$H:$H,0)</f>
        <v>0</v>
      </c>
    </row>
    <row r="37" spans="1:33" x14ac:dyDescent="0.2">
      <c r="A37" s="58" t="s">
        <v>975</v>
      </c>
      <c r="B37" s="56" t="str">
        <f t="shared" si="2"/>
        <v>15500</v>
      </c>
      <c r="C37" s="78" t="s">
        <v>416</v>
      </c>
      <c r="D37" s="57" t="s">
        <v>303</v>
      </c>
      <c r="E37" s="44" t="s">
        <v>249</v>
      </c>
      <c r="F37" s="17">
        <f>_xlfn.XLOOKUP($B37,'[3]Jan-24'!$A:$A,'[3]Jan-24'!$H:$H,0)</f>
        <v>0</v>
      </c>
      <c r="G37" s="17">
        <f>_xlfn.XLOOKUP($B37,'[3]Feb-24'!$A:$A,'[3]Feb-24'!$H:$H,0)</f>
        <v>0</v>
      </c>
      <c r="H37" s="17">
        <f>_xlfn.XLOOKUP($B37,'[3]Mar-24'!$A:$A,'[3]Mar-24'!$H:$H,0)</f>
        <v>0</v>
      </c>
      <c r="I37" s="17">
        <f>_xlfn.XLOOKUP($B37,'[3]Apr-24'!$A:$A,'[3]Apr-24'!$H:$H,0)</f>
        <v>0</v>
      </c>
      <c r="J37" s="17">
        <f>_xlfn.XLOOKUP($B37,'[3]May-24'!$A:$A,'[3]May-24'!$H:$H,0)</f>
        <v>0</v>
      </c>
      <c r="K37" s="17">
        <f>_xlfn.XLOOKUP($B37,'[3]Jun-24'!$A:$A,'[3]Jun-24'!$H:$H,0)</f>
        <v>0</v>
      </c>
      <c r="L37" s="17">
        <f>_xlfn.XLOOKUP($B37,'[3]Jul-24'!$A:$A,'[3]Jul-24'!$H:$H,0)</f>
        <v>0</v>
      </c>
      <c r="M37" s="17">
        <f>_xlfn.XLOOKUP($B37,'[3]Aug-24'!$A:$A,'[3]Aug-24'!$H:$H,0)</f>
        <v>0</v>
      </c>
      <c r="N37" s="17">
        <f>_xlfn.XLOOKUP($B37,'[3]Sep-24'!$A:$A,'[3]Sep-24'!$H:$H,0)</f>
        <v>0</v>
      </c>
      <c r="O37" s="17">
        <f>_xlfn.XLOOKUP($B37,'[3]Oct-24'!$A:$A,'[3]Oct-24'!$H:$H,0)</f>
        <v>0</v>
      </c>
      <c r="P37" s="17">
        <f>_xlfn.XLOOKUP($B37,'[3]Nov-24'!$A:$A,'[3]Nov-24'!$H:$H,0)</f>
        <v>0</v>
      </c>
      <c r="Q37" s="17">
        <f>_xlfn.XLOOKUP($B37,'[3]Dec-24'!$A:$A,'[3]Dec-24'!$H:$H,0)</f>
        <v>0</v>
      </c>
      <c r="R37" s="17">
        <f>_xlfn.XLOOKUP($B37,'[3]Jan-25'!$A:$A,'[3]Jan-25'!$H:$H,0)</f>
        <v>0</v>
      </c>
      <c r="S37" s="17">
        <f>_xlfn.XLOOKUP($B37,'[3]Feb-25'!$A:$A,'[3]Feb-25'!$H:$H,0)</f>
        <v>0</v>
      </c>
      <c r="T37" s="17">
        <f>_xlfn.XLOOKUP($B37,'[3]Mar-25'!$A:$A,'[3]Mar-25'!$H:$H,0)</f>
        <v>0</v>
      </c>
      <c r="U37" s="17">
        <f>_xlfn.XLOOKUP($B37,'[3]Apr-25'!$A:$A,'[3]Apr-25'!$H:$H,0)</f>
        <v>0</v>
      </c>
      <c r="V37" s="17">
        <f>_xlfn.XLOOKUP($B37,'[3]May-25'!$A:$A,'[3]May-25'!$H:$H,0)</f>
        <v>0</v>
      </c>
      <c r="W37" s="17">
        <f>_xlfn.XLOOKUP($B37,'[3]Jun-25'!$A:$A,'[3]Jun-25'!$H:$H,0)</f>
        <v>0</v>
      </c>
      <c r="X37" s="17">
        <f>_xlfn.XLOOKUP($B37,'[3]Jul-25'!$A:$A,'[3]Jul-25'!$H:$H,0)</f>
        <v>0</v>
      </c>
      <c r="Y37" s="17">
        <f>_xlfn.XLOOKUP($B37,'[3]Aug-25'!$A:$A,'[3]Aug-25'!$H:$H,0)</f>
        <v>0</v>
      </c>
      <c r="Z37" s="17">
        <f>_xlfn.XLOOKUP($B37,'[3]Sep-25'!$A:$A,'[3]Sep-25'!$H:$H,0)</f>
        <v>0</v>
      </c>
      <c r="AA37" s="17">
        <f>_xlfn.XLOOKUP($B37,'[3]Oct-25'!$A:$A,'[3]Oct-25'!$H:$H,0)</f>
        <v>0</v>
      </c>
      <c r="AB37" s="17">
        <f>_xlfn.XLOOKUP($B37,'[3]Nov-25'!$A:$A,'[3]Nov-25'!$H:$H,0)</f>
        <v>0</v>
      </c>
      <c r="AC37" s="17">
        <f>_xlfn.XLOOKUP($B37,'[3]Dec-25'!$A:$A,'[3]Dec-25'!$H:$H,0)</f>
        <v>0</v>
      </c>
      <c r="AD37" s="17">
        <f>_xlfn.XLOOKUP($B37,'[3]Jan-26'!$A:$A,'[3]Jan-26'!$H:$H,0)</f>
        <v>0</v>
      </c>
      <c r="AE37" s="17">
        <f>_xlfn.XLOOKUP($B37,'[3]Feb-26'!$A:$A,'[3]Feb-26'!$H:$H,0)</f>
        <v>0</v>
      </c>
      <c r="AF37" s="17">
        <f>_xlfn.XLOOKUP($B37,'[3]Mar-26'!$A:$A,'[3]Mar-26'!$H:$H,0)</f>
        <v>0</v>
      </c>
      <c r="AG37" s="17">
        <f>_xlfn.XLOOKUP($B37,'[3]Apr-26'!$A:$A,'[3]Apr-26'!$H:$H,0)</f>
        <v>0</v>
      </c>
    </row>
    <row r="38" spans="1:33" x14ac:dyDescent="0.2">
      <c r="A38" s="58" t="s">
        <v>976</v>
      </c>
      <c r="B38" s="56" t="str">
        <f t="shared" si="2"/>
        <v>15999</v>
      </c>
      <c r="C38" s="78" t="s">
        <v>416</v>
      </c>
      <c r="D38" s="57" t="s">
        <v>303</v>
      </c>
      <c r="E38" s="44" t="s">
        <v>241</v>
      </c>
      <c r="F38" s="17">
        <f>_xlfn.XLOOKUP($B38,'[3]Jan-24'!$A:$A,'[3]Jan-24'!$H:$H,0)</f>
        <v>0</v>
      </c>
      <c r="G38" s="17">
        <f>_xlfn.XLOOKUP($B38,'[3]Feb-24'!$A:$A,'[3]Feb-24'!$H:$H,0)</f>
        <v>0</v>
      </c>
      <c r="H38" s="17">
        <f>_xlfn.XLOOKUP($B38,'[3]Mar-24'!$A:$A,'[3]Mar-24'!$H:$H,0)</f>
        <v>0</v>
      </c>
      <c r="I38" s="17">
        <f>_xlfn.XLOOKUP($B38,'[3]Apr-24'!$A:$A,'[3]Apr-24'!$H:$H,0)</f>
        <v>0</v>
      </c>
      <c r="J38" s="17">
        <f>_xlfn.XLOOKUP($B38,'[3]May-24'!$A:$A,'[3]May-24'!$H:$H,0)</f>
        <v>0</v>
      </c>
      <c r="K38" s="17">
        <f>_xlfn.XLOOKUP($B38,'[3]Jun-24'!$A:$A,'[3]Jun-24'!$H:$H,0)</f>
        <v>0</v>
      </c>
      <c r="L38" s="17">
        <f>_xlfn.XLOOKUP($B38,'[3]Jul-24'!$A:$A,'[3]Jul-24'!$H:$H,0)</f>
        <v>0</v>
      </c>
      <c r="M38" s="17">
        <f>_xlfn.XLOOKUP($B38,'[3]Aug-24'!$A:$A,'[3]Aug-24'!$H:$H,0)</f>
        <v>0</v>
      </c>
      <c r="N38" s="17">
        <f>_xlfn.XLOOKUP($B38,'[3]Sep-24'!$A:$A,'[3]Sep-24'!$H:$H,0)</f>
        <v>0</v>
      </c>
      <c r="O38" s="17">
        <f>_xlfn.XLOOKUP($B38,'[3]Oct-24'!$A:$A,'[3]Oct-24'!$H:$H,0)</f>
        <v>0</v>
      </c>
      <c r="P38" s="17">
        <f>_xlfn.XLOOKUP($B38,'[3]Nov-24'!$A:$A,'[3]Nov-24'!$H:$H,0)</f>
        <v>0</v>
      </c>
      <c r="Q38" s="17">
        <f>_xlfn.XLOOKUP($B38,'[3]Dec-24'!$A:$A,'[3]Dec-24'!$H:$H,0)</f>
        <v>0</v>
      </c>
      <c r="R38" s="17">
        <f>_xlfn.XLOOKUP($B38,'[3]Jan-25'!$A:$A,'[3]Jan-25'!$H:$H,0)</f>
        <v>0</v>
      </c>
      <c r="S38" s="17">
        <f>_xlfn.XLOOKUP($B38,'[3]Feb-25'!$A:$A,'[3]Feb-25'!$H:$H,0)</f>
        <v>0</v>
      </c>
      <c r="T38" s="17">
        <f>_xlfn.XLOOKUP($B38,'[3]Mar-25'!$A:$A,'[3]Mar-25'!$H:$H,0)</f>
        <v>0</v>
      </c>
      <c r="U38" s="17">
        <f>_xlfn.XLOOKUP($B38,'[3]Apr-25'!$A:$A,'[3]Apr-25'!$H:$H,0)</f>
        <v>0</v>
      </c>
      <c r="V38" s="17">
        <f>_xlfn.XLOOKUP($B38,'[3]May-25'!$A:$A,'[3]May-25'!$H:$H,0)</f>
        <v>0</v>
      </c>
      <c r="W38" s="17">
        <f>_xlfn.XLOOKUP($B38,'[3]Jun-25'!$A:$A,'[3]Jun-25'!$H:$H,0)</f>
        <v>0</v>
      </c>
      <c r="X38" s="17">
        <f>_xlfn.XLOOKUP($B38,'[3]Jul-25'!$A:$A,'[3]Jul-25'!$H:$H,0)</f>
        <v>0</v>
      </c>
      <c r="Y38" s="17">
        <f>_xlfn.XLOOKUP($B38,'[3]Aug-25'!$A:$A,'[3]Aug-25'!$H:$H,0)</f>
        <v>0</v>
      </c>
      <c r="Z38" s="17">
        <f>_xlfn.XLOOKUP($B38,'[3]Sep-25'!$A:$A,'[3]Sep-25'!$H:$H,0)</f>
        <v>0</v>
      </c>
      <c r="AA38" s="17">
        <f>_xlfn.XLOOKUP($B38,'[3]Oct-25'!$A:$A,'[3]Oct-25'!$H:$H,0)</f>
        <v>0</v>
      </c>
      <c r="AB38" s="17">
        <f>_xlfn.XLOOKUP($B38,'[3]Nov-25'!$A:$A,'[3]Nov-25'!$H:$H,0)</f>
        <v>0</v>
      </c>
      <c r="AC38" s="17">
        <f>_xlfn.XLOOKUP($B38,'[3]Dec-25'!$A:$A,'[3]Dec-25'!$H:$H,0)</f>
        <v>0</v>
      </c>
      <c r="AD38" s="17">
        <f>_xlfn.XLOOKUP($B38,'[3]Jan-26'!$A:$A,'[3]Jan-26'!$H:$H,0)</f>
        <v>0</v>
      </c>
      <c r="AE38" s="17">
        <f>_xlfn.XLOOKUP($B38,'[3]Feb-26'!$A:$A,'[3]Feb-26'!$H:$H,0)</f>
        <v>0</v>
      </c>
      <c r="AF38" s="17">
        <f>_xlfn.XLOOKUP($B38,'[3]Mar-26'!$A:$A,'[3]Mar-26'!$H:$H,0)</f>
        <v>0</v>
      </c>
      <c r="AG38" s="17">
        <f>_xlfn.XLOOKUP($B38,'[3]Apr-26'!$A:$A,'[3]Apr-26'!$H:$H,0)</f>
        <v>0</v>
      </c>
    </row>
    <row r="39" spans="1:33" x14ac:dyDescent="0.2">
      <c r="A39" s="58" t="s">
        <v>935</v>
      </c>
      <c r="B39" s="56" t="str">
        <f t="shared" si="2"/>
        <v>16650</v>
      </c>
      <c r="C39" s="78" t="s">
        <v>416</v>
      </c>
      <c r="D39" s="57" t="s">
        <v>303</v>
      </c>
      <c r="E39" s="44" t="s">
        <v>977</v>
      </c>
      <c r="F39" s="17">
        <f>_xlfn.XLOOKUP($B39,'[3]Jan-24'!$A:$A,'[3]Jan-24'!$H:$H,0)</f>
        <v>-680.2</v>
      </c>
      <c r="G39" s="17">
        <f>_xlfn.XLOOKUP($B39,'[3]Feb-24'!$A:$A,'[3]Feb-24'!$H:$H,0)</f>
        <v>-716</v>
      </c>
      <c r="H39" s="17">
        <f>_xlfn.XLOOKUP($B39,'[3]Mar-24'!$A:$A,'[3]Mar-24'!$H:$H,0)</f>
        <v>-751.8</v>
      </c>
      <c r="I39" s="17">
        <f>_xlfn.XLOOKUP($B39,'[3]Apr-24'!$A:$A,'[3]Apr-24'!$H:$H,0)</f>
        <v>-787.6</v>
      </c>
      <c r="J39" s="17">
        <f>_xlfn.XLOOKUP($B39,'[3]May-24'!$A:$A,'[3]May-24'!$H:$H,0)</f>
        <v>-823.4</v>
      </c>
      <c r="K39" s="17">
        <f>_xlfn.XLOOKUP($B39,'[3]Jun-24'!$A:$A,'[3]Jun-24'!$H:$H,0)</f>
        <v>-859.2</v>
      </c>
      <c r="L39" s="17">
        <f>_xlfn.XLOOKUP($B39,'[3]Jul-24'!$A:$A,'[3]Jul-24'!$H:$H,0)</f>
        <v>-895</v>
      </c>
      <c r="M39" s="17">
        <f>_xlfn.XLOOKUP($B39,'[3]Aug-24'!$A:$A,'[3]Aug-24'!$H:$H,0)</f>
        <v>-930.8</v>
      </c>
      <c r="N39" s="17">
        <f>_xlfn.XLOOKUP($B39,'[3]Sep-24'!$A:$A,'[3]Sep-24'!$H:$H,0)</f>
        <v>-966.6</v>
      </c>
      <c r="O39" s="17">
        <f>_xlfn.XLOOKUP($B39,'[3]Oct-24'!$A:$A,'[3]Oct-24'!$H:$H,0)</f>
        <v>-1002.4</v>
      </c>
      <c r="P39" s="17">
        <f>_xlfn.XLOOKUP($B39,'[3]Nov-24'!$A:$A,'[3]Nov-24'!$H:$H,0)</f>
        <v>-1038.2</v>
      </c>
      <c r="Q39" s="17">
        <f>_xlfn.XLOOKUP($B39,'[3]Dec-24'!$A:$A,'[3]Dec-24'!$H:$H,0)</f>
        <v>-1074</v>
      </c>
      <c r="R39" s="17">
        <f>_xlfn.XLOOKUP($B39,'[3]Jan-25'!$A:$A,'[3]Jan-25'!$H:$H,0)</f>
        <v>-1109.8</v>
      </c>
      <c r="S39" s="17">
        <f>_xlfn.XLOOKUP($B39,'[3]Feb-25'!$A:$A,'[3]Feb-25'!$H:$H,0)</f>
        <v>-1145.5999999999999</v>
      </c>
      <c r="T39" s="17">
        <f>_xlfn.XLOOKUP($B39,'[3]Mar-25'!$A:$A,'[3]Mar-25'!$H:$H,0)</f>
        <v>-1181.4000000000001</v>
      </c>
      <c r="U39" s="17">
        <f>_xlfn.XLOOKUP($B39,'[3]Apr-25'!$A:$A,'[3]Apr-25'!$H:$H,0)</f>
        <v>-1217.2</v>
      </c>
      <c r="V39" s="17">
        <f>_xlfn.XLOOKUP($B39,'[3]May-25'!$A:$A,'[3]May-25'!$H:$H,0)</f>
        <v>-1253</v>
      </c>
      <c r="W39" s="17">
        <f>_xlfn.XLOOKUP($B39,'[3]Jun-25'!$A:$A,'[3]Jun-25'!$H:$H,0)</f>
        <v>-1288.8</v>
      </c>
      <c r="X39" s="17">
        <f>_xlfn.XLOOKUP($B39,'[3]Jul-25'!$A:$A,'[3]Jul-25'!$H:$H,0)</f>
        <v>-1324.6</v>
      </c>
      <c r="Y39" s="17">
        <f>_xlfn.XLOOKUP($B39,'[3]Aug-25'!$A:$A,'[3]Aug-25'!$H:$H,0)</f>
        <v>-1360.4</v>
      </c>
      <c r="Z39" s="17">
        <f>_xlfn.XLOOKUP($B39,'[3]Sep-25'!$A:$A,'[3]Sep-25'!$H:$H,0)</f>
        <v>-1396.2</v>
      </c>
      <c r="AA39" s="17">
        <f>_xlfn.XLOOKUP($B39,'[3]Oct-25'!$A:$A,'[3]Oct-25'!$H:$H,0)</f>
        <v>-1432</v>
      </c>
      <c r="AB39" s="17">
        <f>_xlfn.XLOOKUP($B39,'[3]Nov-25'!$A:$A,'[3]Nov-25'!$H:$H,0)</f>
        <v>-1467.8</v>
      </c>
      <c r="AC39" s="17">
        <f>_xlfn.XLOOKUP($B39,'[3]Dec-25'!$A:$A,'[3]Dec-25'!$H:$H,0)</f>
        <v>-1503.6</v>
      </c>
      <c r="AD39" s="17">
        <f>_xlfn.XLOOKUP($B39,'[3]Jan-26'!$A:$A,'[3]Jan-26'!$H:$H,0)</f>
        <v>-1539.4</v>
      </c>
      <c r="AE39" s="17">
        <f>_xlfn.XLOOKUP($B39,'[3]Feb-26'!$A:$A,'[3]Feb-26'!$H:$H,0)</f>
        <v>-1575.2</v>
      </c>
      <c r="AF39" s="17">
        <f>_xlfn.XLOOKUP($B39,'[3]Mar-26'!$A:$A,'[3]Mar-26'!$H:$H,0)</f>
        <v>-1611</v>
      </c>
      <c r="AG39" s="17">
        <f>_xlfn.XLOOKUP($B39,'[3]Apr-26'!$A:$A,'[3]Apr-26'!$H:$H,0)</f>
        <v>-1646.8</v>
      </c>
    </row>
    <row r="40" spans="1:33" x14ac:dyDescent="0.2">
      <c r="A40" s="58" t="s">
        <v>978</v>
      </c>
      <c r="B40" s="56" t="str">
        <f t="shared" si="2"/>
        <v>16929</v>
      </c>
      <c r="C40" s="78" t="s">
        <v>979</v>
      </c>
      <c r="D40" s="57" t="s">
        <v>303</v>
      </c>
      <c r="E40" s="44" t="s">
        <v>980</v>
      </c>
      <c r="F40" s="17">
        <f>_xlfn.XLOOKUP($B40,'[3]Jan-24'!$A:$A,'[3]Jan-24'!$H:$H,0)</f>
        <v>0</v>
      </c>
      <c r="G40" s="17">
        <f>_xlfn.XLOOKUP($B40,'[3]Feb-24'!$A:$A,'[3]Feb-24'!$H:$H,0)</f>
        <v>0</v>
      </c>
      <c r="H40" s="17">
        <f>_xlfn.XLOOKUP($B40,'[3]Mar-24'!$A:$A,'[3]Mar-24'!$H:$H,0)</f>
        <v>0</v>
      </c>
      <c r="I40" s="17">
        <f>_xlfn.XLOOKUP($B40,'[3]Apr-24'!$A:$A,'[3]Apr-24'!$H:$H,0)</f>
        <v>0</v>
      </c>
      <c r="J40" s="17">
        <f>_xlfn.XLOOKUP($B40,'[3]May-24'!$A:$A,'[3]May-24'!$H:$H,0)</f>
        <v>0</v>
      </c>
      <c r="K40" s="17">
        <f>_xlfn.XLOOKUP($B40,'[3]Jun-24'!$A:$A,'[3]Jun-24'!$H:$H,0)</f>
        <v>0</v>
      </c>
      <c r="L40" s="17">
        <f>_xlfn.XLOOKUP($B40,'[3]Jul-24'!$A:$A,'[3]Jul-24'!$H:$H,0)</f>
        <v>0</v>
      </c>
      <c r="M40" s="17">
        <f>_xlfn.XLOOKUP($B40,'[3]Aug-24'!$A:$A,'[3]Aug-24'!$H:$H,0)</f>
        <v>0</v>
      </c>
      <c r="N40" s="17">
        <f>_xlfn.XLOOKUP($B40,'[3]Sep-24'!$A:$A,'[3]Sep-24'!$H:$H,0)</f>
        <v>0</v>
      </c>
      <c r="O40" s="17">
        <f>_xlfn.XLOOKUP($B40,'[3]Oct-24'!$A:$A,'[3]Oct-24'!$H:$H,0)</f>
        <v>0</v>
      </c>
      <c r="P40" s="17">
        <f>_xlfn.XLOOKUP($B40,'[3]Nov-24'!$A:$A,'[3]Nov-24'!$H:$H,0)</f>
        <v>0</v>
      </c>
      <c r="Q40" s="17">
        <f>_xlfn.XLOOKUP($B40,'[3]Dec-24'!$A:$A,'[3]Dec-24'!$H:$H,0)</f>
        <v>0</v>
      </c>
      <c r="R40" s="17">
        <f>_xlfn.XLOOKUP($B40,'[3]Jan-25'!$A:$A,'[3]Jan-25'!$H:$H,0)</f>
        <v>0</v>
      </c>
      <c r="S40" s="17">
        <f>_xlfn.XLOOKUP($B40,'[3]Feb-25'!$A:$A,'[3]Feb-25'!$H:$H,0)</f>
        <v>0</v>
      </c>
      <c r="T40" s="17">
        <f>_xlfn.XLOOKUP($B40,'[3]Mar-25'!$A:$A,'[3]Mar-25'!$H:$H,0)</f>
        <v>0</v>
      </c>
      <c r="U40" s="17">
        <f>_xlfn.XLOOKUP($B40,'[3]Apr-25'!$A:$A,'[3]Apr-25'!$H:$H,0)</f>
        <v>0</v>
      </c>
      <c r="V40" s="17">
        <f>_xlfn.XLOOKUP($B40,'[3]May-25'!$A:$A,'[3]May-25'!$H:$H,0)</f>
        <v>0</v>
      </c>
      <c r="W40" s="17">
        <f>_xlfn.XLOOKUP($B40,'[3]Jun-25'!$A:$A,'[3]Jun-25'!$H:$H,0)</f>
        <v>0</v>
      </c>
      <c r="X40" s="17">
        <f>_xlfn.XLOOKUP($B40,'[3]Jul-25'!$A:$A,'[3]Jul-25'!$H:$H,0)</f>
        <v>0</v>
      </c>
      <c r="Y40" s="17">
        <f>_xlfn.XLOOKUP($B40,'[3]Aug-25'!$A:$A,'[3]Aug-25'!$H:$H,0)</f>
        <v>0</v>
      </c>
      <c r="Z40" s="17">
        <f>_xlfn.XLOOKUP($B40,'[3]Sep-25'!$A:$A,'[3]Sep-25'!$H:$H,0)</f>
        <v>0</v>
      </c>
      <c r="AA40" s="17">
        <f>_xlfn.XLOOKUP($B40,'[3]Oct-25'!$A:$A,'[3]Oct-25'!$H:$H,0)</f>
        <v>0</v>
      </c>
      <c r="AB40" s="17">
        <f>_xlfn.XLOOKUP($B40,'[3]Nov-25'!$A:$A,'[3]Nov-25'!$H:$H,0)</f>
        <v>0</v>
      </c>
      <c r="AC40" s="17">
        <f>_xlfn.XLOOKUP($B40,'[3]Dec-25'!$A:$A,'[3]Dec-25'!$H:$H,0)</f>
        <v>0</v>
      </c>
      <c r="AD40" s="17">
        <f>_xlfn.XLOOKUP($B40,'[3]Jan-26'!$A:$A,'[3]Jan-26'!$H:$H,0)</f>
        <v>0</v>
      </c>
      <c r="AE40" s="17">
        <f>_xlfn.XLOOKUP($B40,'[3]Feb-26'!$A:$A,'[3]Feb-26'!$H:$H,0)</f>
        <v>0</v>
      </c>
      <c r="AF40" s="17">
        <f>_xlfn.XLOOKUP($B40,'[3]Mar-26'!$A:$A,'[3]Mar-26'!$H:$H,0)</f>
        <v>0</v>
      </c>
      <c r="AG40" s="17">
        <f>_xlfn.XLOOKUP($B40,'[3]Apr-26'!$A:$A,'[3]Apr-26'!$H:$H,0)</f>
        <v>0</v>
      </c>
    </row>
    <row r="41" spans="1:33" x14ac:dyDescent="0.2">
      <c r="A41" s="58" t="s">
        <v>933</v>
      </c>
      <c r="B41" s="56" t="str">
        <f t="shared" si="2"/>
        <v>17000</v>
      </c>
      <c r="C41" s="78" t="s">
        <v>371</v>
      </c>
      <c r="D41" s="57" t="s">
        <v>303</v>
      </c>
      <c r="E41" s="44" t="s">
        <v>219</v>
      </c>
      <c r="F41" s="17">
        <f>_xlfn.XLOOKUP($B41,'[3]Jan-24'!$A:$A,'[3]Jan-24'!$H:$H,0)</f>
        <v>0</v>
      </c>
      <c r="G41" s="17">
        <f>_xlfn.XLOOKUP($B41,'[3]Feb-24'!$A:$A,'[3]Feb-24'!$H:$H,0)</f>
        <v>0</v>
      </c>
      <c r="H41" s="17">
        <f>_xlfn.XLOOKUP($B41,'[3]Mar-24'!$A:$A,'[3]Mar-24'!$H:$H,0)</f>
        <v>0</v>
      </c>
      <c r="I41" s="17">
        <f>_xlfn.XLOOKUP($B41,'[3]Apr-24'!$A:$A,'[3]Apr-24'!$H:$H,0)</f>
        <v>0</v>
      </c>
      <c r="J41" s="17">
        <f>_xlfn.XLOOKUP($B41,'[3]May-24'!$A:$A,'[3]May-24'!$H:$H,0)</f>
        <v>0</v>
      </c>
      <c r="K41" s="17">
        <f>_xlfn.XLOOKUP($B41,'[3]Jun-24'!$A:$A,'[3]Jun-24'!$H:$H,0)</f>
        <v>0</v>
      </c>
      <c r="L41" s="17">
        <f>_xlfn.XLOOKUP($B41,'[3]Jul-24'!$A:$A,'[3]Jul-24'!$H:$H,0)</f>
        <v>0</v>
      </c>
      <c r="M41" s="17">
        <f>_xlfn.XLOOKUP($B41,'[3]Aug-24'!$A:$A,'[3]Aug-24'!$H:$H,0)</f>
        <v>0</v>
      </c>
      <c r="N41" s="17">
        <f>_xlfn.XLOOKUP($B41,'[3]Sep-24'!$A:$A,'[3]Sep-24'!$H:$H,0)</f>
        <v>0</v>
      </c>
      <c r="O41" s="17">
        <f>_xlfn.XLOOKUP($B41,'[3]Oct-24'!$A:$A,'[3]Oct-24'!$H:$H,0)</f>
        <v>0</v>
      </c>
      <c r="P41" s="17">
        <f>_xlfn.XLOOKUP($B41,'[3]Nov-24'!$A:$A,'[3]Nov-24'!$H:$H,0)</f>
        <v>0</v>
      </c>
      <c r="Q41" s="17">
        <f>_xlfn.XLOOKUP($B41,'[3]Dec-24'!$A:$A,'[3]Dec-24'!$H:$H,0)</f>
        <v>0</v>
      </c>
      <c r="R41" s="17">
        <f>_xlfn.XLOOKUP($B41,'[3]Jan-25'!$A:$A,'[3]Jan-25'!$H:$H,0)</f>
        <v>0</v>
      </c>
      <c r="S41" s="17">
        <f>_xlfn.XLOOKUP($B41,'[3]Feb-25'!$A:$A,'[3]Feb-25'!$H:$H,0)</f>
        <v>0</v>
      </c>
      <c r="T41" s="17">
        <f>_xlfn.XLOOKUP($B41,'[3]Mar-25'!$A:$A,'[3]Mar-25'!$H:$H,0)</f>
        <v>0</v>
      </c>
      <c r="U41" s="17">
        <f>_xlfn.XLOOKUP($B41,'[3]Apr-25'!$A:$A,'[3]Apr-25'!$H:$H,0)</f>
        <v>0</v>
      </c>
      <c r="V41" s="17">
        <f>_xlfn.XLOOKUP($B41,'[3]May-25'!$A:$A,'[3]May-25'!$H:$H,0)</f>
        <v>0</v>
      </c>
      <c r="W41" s="17">
        <f>_xlfn.XLOOKUP($B41,'[3]Jun-25'!$A:$A,'[3]Jun-25'!$H:$H,0)</f>
        <v>0</v>
      </c>
      <c r="X41" s="17">
        <f>_xlfn.XLOOKUP($B41,'[3]Jul-25'!$A:$A,'[3]Jul-25'!$H:$H,0)</f>
        <v>554.76</v>
      </c>
      <c r="Y41" s="17">
        <f>_xlfn.XLOOKUP($B41,'[3]Aug-25'!$A:$A,'[3]Aug-25'!$H:$H,0)</f>
        <v>684.76</v>
      </c>
      <c r="Z41" s="17">
        <f>_xlfn.XLOOKUP($B41,'[3]Sep-25'!$A:$A,'[3]Sep-25'!$H:$H,0)</f>
        <v>759.76</v>
      </c>
      <c r="AA41" s="17">
        <f>_xlfn.XLOOKUP($B41,'[3]Oct-25'!$A:$A,'[3]Oct-25'!$H:$H,0)</f>
        <v>992.26</v>
      </c>
      <c r="AB41" s="17">
        <f>_xlfn.XLOOKUP($B41,'[3]Nov-25'!$A:$A,'[3]Nov-25'!$H:$H,0)</f>
        <v>992.26</v>
      </c>
      <c r="AC41" s="17">
        <f>_xlfn.XLOOKUP($B41,'[3]Dec-25'!$A:$A,'[3]Dec-25'!$H:$H,0)</f>
        <v>992.26</v>
      </c>
      <c r="AD41" s="17">
        <f>_xlfn.XLOOKUP($B41,'[3]Jan-26'!$A:$A,'[3]Jan-26'!$H:$H,0)</f>
        <v>992.26</v>
      </c>
      <c r="AE41" s="17">
        <f>_xlfn.XLOOKUP($B41,'[3]Feb-26'!$A:$A,'[3]Feb-26'!$H:$H,0)</f>
        <v>992.26</v>
      </c>
      <c r="AF41" s="17">
        <f>_xlfn.XLOOKUP($B41,'[3]Mar-26'!$A:$A,'[3]Mar-26'!$H:$H,0)</f>
        <v>992.26</v>
      </c>
      <c r="AG41" s="17">
        <f>_xlfn.XLOOKUP($B41,'[3]Apr-26'!$A:$A,'[3]Apr-26'!$H:$H,0)</f>
        <v>992.26</v>
      </c>
    </row>
    <row r="42" spans="1:33" x14ac:dyDescent="0.2">
      <c r="A42" s="58" t="s">
        <v>981</v>
      </c>
      <c r="B42" s="56" t="str">
        <f t="shared" si="2"/>
        <v>19020</v>
      </c>
      <c r="C42" s="78" t="s">
        <v>982</v>
      </c>
      <c r="D42" s="57" t="s">
        <v>303</v>
      </c>
      <c r="E42" s="44" t="s">
        <v>983</v>
      </c>
      <c r="F42" s="17">
        <f>_xlfn.XLOOKUP($B42,'[3]Jan-24'!$A:$A,'[3]Jan-24'!$H:$H,0)</f>
        <v>0</v>
      </c>
      <c r="G42" s="17">
        <f>_xlfn.XLOOKUP($B42,'[3]Feb-24'!$A:$A,'[3]Feb-24'!$H:$H,0)</f>
        <v>0</v>
      </c>
      <c r="H42" s="17">
        <f>_xlfn.XLOOKUP($B42,'[3]Mar-24'!$A:$A,'[3]Mar-24'!$H:$H,0)</f>
        <v>0</v>
      </c>
      <c r="I42" s="17">
        <f>_xlfn.XLOOKUP($B42,'[3]Apr-24'!$A:$A,'[3]Apr-24'!$H:$H,0)</f>
        <v>0</v>
      </c>
      <c r="J42" s="17">
        <f>_xlfn.XLOOKUP($B42,'[3]May-24'!$A:$A,'[3]May-24'!$H:$H,0)</f>
        <v>0</v>
      </c>
      <c r="K42" s="17">
        <f>_xlfn.XLOOKUP($B42,'[3]Jun-24'!$A:$A,'[3]Jun-24'!$H:$H,0)</f>
        <v>0</v>
      </c>
      <c r="L42" s="17">
        <f>_xlfn.XLOOKUP($B42,'[3]Jul-24'!$A:$A,'[3]Jul-24'!$H:$H,0)</f>
        <v>0</v>
      </c>
      <c r="M42" s="17">
        <f>_xlfn.XLOOKUP($B42,'[3]Aug-24'!$A:$A,'[3]Aug-24'!$H:$H,0)</f>
        <v>0</v>
      </c>
      <c r="N42" s="17">
        <f>_xlfn.XLOOKUP($B42,'[3]Sep-24'!$A:$A,'[3]Sep-24'!$H:$H,0)</f>
        <v>0</v>
      </c>
      <c r="O42" s="17">
        <f>_xlfn.XLOOKUP($B42,'[3]Oct-24'!$A:$A,'[3]Oct-24'!$H:$H,0)</f>
        <v>0</v>
      </c>
      <c r="P42" s="17">
        <f>_xlfn.XLOOKUP($B42,'[3]Nov-24'!$A:$A,'[3]Nov-24'!$H:$H,0)</f>
        <v>0</v>
      </c>
      <c r="Q42" s="17">
        <f>_xlfn.XLOOKUP($B42,'[3]Dec-24'!$A:$A,'[3]Dec-24'!$H:$H,0)</f>
        <v>0</v>
      </c>
      <c r="R42" s="17">
        <f>_xlfn.XLOOKUP($B42,'[3]Jan-25'!$A:$A,'[3]Jan-25'!$H:$H,0)</f>
        <v>0</v>
      </c>
      <c r="S42" s="17">
        <f>_xlfn.XLOOKUP($B42,'[3]Feb-25'!$A:$A,'[3]Feb-25'!$H:$H,0)</f>
        <v>0</v>
      </c>
      <c r="T42" s="17">
        <f>_xlfn.XLOOKUP($B42,'[3]Mar-25'!$A:$A,'[3]Mar-25'!$H:$H,0)</f>
        <v>0</v>
      </c>
      <c r="U42" s="17">
        <f>_xlfn.XLOOKUP($B42,'[3]Apr-25'!$A:$A,'[3]Apr-25'!$H:$H,0)</f>
        <v>0</v>
      </c>
      <c r="V42" s="17">
        <f>_xlfn.XLOOKUP($B42,'[3]May-25'!$A:$A,'[3]May-25'!$H:$H,0)</f>
        <v>0</v>
      </c>
      <c r="W42" s="17">
        <f>_xlfn.XLOOKUP($B42,'[3]Jun-25'!$A:$A,'[3]Jun-25'!$H:$H,0)</f>
        <v>0</v>
      </c>
      <c r="X42" s="17">
        <f>_xlfn.XLOOKUP($B42,'[3]Jul-25'!$A:$A,'[3]Jul-25'!$H:$H,0)</f>
        <v>0</v>
      </c>
      <c r="Y42" s="17">
        <f>_xlfn.XLOOKUP($B42,'[3]Aug-25'!$A:$A,'[3]Aug-25'!$H:$H,0)</f>
        <v>0</v>
      </c>
      <c r="Z42" s="17">
        <f>_xlfn.XLOOKUP($B42,'[3]Sep-25'!$A:$A,'[3]Sep-25'!$H:$H,0)</f>
        <v>0</v>
      </c>
      <c r="AA42" s="17">
        <f>_xlfn.XLOOKUP($B42,'[3]Oct-25'!$A:$A,'[3]Oct-25'!$H:$H,0)</f>
        <v>0</v>
      </c>
      <c r="AB42" s="17">
        <f>_xlfn.XLOOKUP($B42,'[3]Nov-25'!$A:$A,'[3]Nov-25'!$H:$H,0)</f>
        <v>0</v>
      </c>
      <c r="AC42" s="17">
        <f>_xlfn.XLOOKUP($B42,'[3]Dec-25'!$A:$A,'[3]Dec-25'!$H:$H,0)</f>
        <v>0</v>
      </c>
      <c r="AD42" s="17">
        <f>_xlfn.XLOOKUP($B42,'[3]Jan-26'!$A:$A,'[3]Jan-26'!$H:$H,0)</f>
        <v>0</v>
      </c>
      <c r="AE42" s="17">
        <f>_xlfn.XLOOKUP($B42,'[3]Feb-26'!$A:$A,'[3]Feb-26'!$H:$H,0)</f>
        <v>0</v>
      </c>
      <c r="AF42" s="17">
        <f>_xlfn.XLOOKUP($B42,'[3]Mar-26'!$A:$A,'[3]Mar-26'!$H:$H,0)</f>
        <v>0</v>
      </c>
      <c r="AG42" s="17">
        <f>_xlfn.XLOOKUP($B42,'[3]Apr-26'!$A:$A,'[3]Apr-26'!$H:$H,0)</f>
        <v>0</v>
      </c>
    </row>
    <row r="43" spans="1:33" x14ac:dyDescent="0.2">
      <c r="A43" s="58" t="s">
        <v>984</v>
      </c>
      <c r="B43" s="56" t="str">
        <f t="shared" si="2"/>
        <v>19030</v>
      </c>
      <c r="C43" s="78" t="s">
        <v>982</v>
      </c>
      <c r="D43" s="57" t="s">
        <v>303</v>
      </c>
      <c r="E43" s="44" t="s">
        <v>985</v>
      </c>
      <c r="F43" s="17">
        <f>_xlfn.XLOOKUP($B43,'[3]Jan-24'!$A:$A,'[3]Jan-24'!$H:$H,0)</f>
        <v>0</v>
      </c>
      <c r="G43" s="17">
        <f>_xlfn.XLOOKUP($B43,'[3]Feb-24'!$A:$A,'[3]Feb-24'!$H:$H,0)</f>
        <v>0</v>
      </c>
      <c r="H43" s="17">
        <f>_xlfn.XLOOKUP($B43,'[3]Mar-24'!$A:$A,'[3]Mar-24'!$H:$H,0)</f>
        <v>0</v>
      </c>
      <c r="I43" s="17">
        <f>_xlfn.XLOOKUP($B43,'[3]Apr-24'!$A:$A,'[3]Apr-24'!$H:$H,0)</f>
        <v>0</v>
      </c>
      <c r="J43" s="17">
        <f>_xlfn.XLOOKUP($B43,'[3]May-24'!$A:$A,'[3]May-24'!$H:$H,0)</f>
        <v>0</v>
      </c>
      <c r="K43" s="17">
        <f>_xlfn.XLOOKUP($B43,'[3]Jun-24'!$A:$A,'[3]Jun-24'!$H:$H,0)</f>
        <v>0</v>
      </c>
      <c r="L43" s="17">
        <f>_xlfn.XLOOKUP($B43,'[3]Jul-24'!$A:$A,'[3]Jul-24'!$H:$H,0)</f>
        <v>0</v>
      </c>
      <c r="M43" s="17">
        <f>_xlfn.XLOOKUP($B43,'[3]Aug-24'!$A:$A,'[3]Aug-24'!$H:$H,0)</f>
        <v>0</v>
      </c>
      <c r="N43" s="17">
        <f>_xlfn.XLOOKUP($B43,'[3]Sep-24'!$A:$A,'[3]Sep-24'!$H:$H,0)</f>
        <v>0</v>
      </c>
      <c r="O43" s="17">
        <f>_xlfn.XLOOKUP($B43,'[3]Oct-24'!$A:$A,'[3]Oct-24'!$H:$H,0)</f>
        <v>0</v>
      </c>
      <c r="P43" s="17">
        <f>_xlfn.XLOOKUP($B43,'[3]Nov-24'!$A:$A,'[3]Nov-24'!$H:$H,0)</f>
        <v>0</v>
      </c>
      <c r="Q43" s="17">
        <f>_xlfn.XLOOKUP($B43,'[3]Dec-24'!$A:$A,'[3]Dec-24'!$H:$H,0)</f>
        <v>0</v>
      </c>
      <c r="R43" s="17">
        <f>_xlfn.XLOOKUP($B43,'[3]Jan-25'!$A:$A,'[3]Jan-25'!$H:$H,0)</f>
        <v>0</v>
      </c>
      <c r="S43" s="17">
        <f>_xlfn.XLOOKUP($B43,'[3]Feb-25'!$A:$A,'[3]Feb-25'!$H:$H,0)</f>
        <v>0</v>
      </c>
      <c r="T43" s="17">
        <f>_xlfn.XLOOKUP($B43,'[3]Mar-25'!$A:$A,'[3]Mar-25'!$H:$H,0)</f>
        <v>0</v>
      </c>
      <c r="U43" s="17">
        <f>_xlfn.XLOOKUP($B43,'[3]Apr-25'!$A:$A,'[3]Apr-25'!$H:$H,0)</f>
        <v>0</v>
      </c>
      <c r="V43" s="17">
        <f>_xlfn.XLOOKUP($B43,'[3]May-25'!$A:$A,'[3]May-25'!$H:$H,0)</f>
        <v>0</v>
      </c>
      <c r="W43" s="17">
        <f>_xlfn.XLOOKUP($B43,'[3]Jun-25'!$A:$A,'[3]Jun-25'!$H:$H,0)</f>
        <v>0</v>
      </c>
      <c r="X43" s="17">
        <f>_xlfn.XLOOKUP($B43,'[3]Jul-25'!$A:$A,'[3]Jul-25'!$H:$H,0)</f>
        <v>0</v>
      </c>
      <c r="Y43" s="17">
        <f>_xlfn.XLOOKUP($B43,'[3]Aug-25'!$A:$A,'[3]Aug-25'!$H:$H,0)</f>
        <v>0</v>
      </c>
      <c r="Z43" s="17">
        <f>_xlfn.XLOOKUP($B43,'[3]Sep-25'!$A:$A,'[3]Sep-25'!$H:$H,0)</f>
        <v>0</v>
      </c>
      <c r="AA43" s="17">
        <f>_xlfn.XLOOKUP($B43,'[3]Oct-25'!$A:$A,'[3]Oct-25'!$H:$H,0)</f>
        <v>0</v>
      </c>
      <c r="AB43" s="17">
        <f>_xlfn.XLOOKUP($B43,'[3]Nov-25'!$A:$A,'[3]Nov-25'!$H:$H,0)</f>
        <v>0</v>
      </c>
      <c r="AC43" s="17">
        <f>_xlfn.XLOOKUP($B43,'[3]Dec-25'!$A:$A,'[3]Dec-25'!$H:$H,0)</f>
        <v>0</v>
      </c>
      <c r="AD43" s="17">
        <f>_xlfn.XLOOKUP($B43,'[3]Jan-26'!$A:$A,'[3]Jan-26'!$H:$H,0)</f>
        <v>0</v>
      </c>
      <c r="AE43" s="17">
        <f>_xlfn.XLOOKUP($B43,'[3]Feb-26'!$A:$A,'[3]Feb-26'!$H:$H,0)</f>
        <v>0</v>
      </c>
      <c r="AF43" s="17">
        <f>_xlfn.XLOOKUP($B43,'[3]Mar-26'!$A:$A,'[3]Mar-26'!$H:$H,0)</f>
        <v>0</v>
      </c>
      <c r="AG43" s="17">
        <f>_xlfn.XLOOKUP($B43,'[3]Apr-26'!$A:$A,'[3]Apr-26'!$H:$H,0)</f>
        <v>0</v>
      </c>
    </row>
    <row r="44" spans="1:33" x14ac:dyDescent="0.2">
      <c r="A44" s="58" t="s">
        <v>936</v>
      </c>
      <c r="B44" s="56" t="str">
        <f t="shared" si="2"/>
        <v>20000</v>
      </c>
      <c r="C44" s="78" t="s">
        <v>428</v>
      </c>
      <c r="D44" s="57" t="s">
        <v>429</v>
      </c>
      <c r="E44" s="44" t="s">
        <v>269</v>
      </c>
      <c r="F44" s="17">
        <f>_xlfn.XLOOKUP($B44,'[3]Jan-24'!$A:$A,'[3]Jan-24'!$H:$H,0)</f>
        <v>0</v>
      </c>
      <c r="G44" s="17">
        <f>_xlfn.XLOOKUP($B44,'[3]Feb-24'!$A:$A,'[3]Feb-24'!$H:$H,0)</f>
        <v>0</v>
      </c>
      <c r="H44" s="17">
        <f>_xlfn.XLOOKUP($B44,'[3]Mar-24'!$A:$A,'[3]Mar-24'!$H:$H,0)</f>
        <v>0</v>
      </c>
      <c r="I44" s="17">
        <f>_xlfn.XLOOKUP($B44,'[3]Apr-24'!$A:$A,'[3]Apr-24'!$H:$H,0)</f>
        <v>0</v>
      </c>
      <c r="J44" s="17">
        <f>_xlfn.XLOOKUP($B44,'[3]May-24'!$A:$A,'[3]May-24'!$H:$H,0)</f>
        <v>0</v>
      </c>
      <c r="K44" s="17">
        <f>_xlfn.XLOOKUP($B44,'[3]Jun-24'!$A:$A,'[3]Jun-24'!$H:$H,0)</f>
        <v>0</v>
      </c>
      <c r="L44" s="17">
        <f>_xlfn.XLOOKUP($B44,'[3]Jul-24'!$A:$A,'[3]Jul-24'!$H:$H,0)</f>
        <v>0</v>
      </c>
      <c r="M44" s="17">
        <f>_xlfn.XLOOKUP($B44,'[3]Aug-24'!$A:$A,'[3]Aug-24'!$H:$H,0)</f>
        <v>0</v>
      </c>
      <c r="N44" s="17">
        <f>_xlfn.XLOOKUP($B44,'[3]Sep-24'!$A:$A,'[3]Sep-24'!$H:$H,0)</f>
        <v>0</v>
      </c>
      <c r="O44" s="17">
        <f>_xlfn.XLOOKUP($B44,'[3]Oct-24'!$A:$A,'[3]Oct-24'!$H:$H,0)</f>
        <v>0</v>
      </c>
      <c r="P44" s="17">
        <f>_xlfn.XLOOKUP($B44,'[3]Nov-24'!$A:$A,'[3]Nov-24'!$H:$H,0)</f>
        <v>0</v>
      </c>
      <c r="Q44" s="17">
        <f>_xlfn.XLOOKUP($B44,'[3]Dec-24'!$A:$A,'[3]Dec-24'!$H:$H,0)</f>
        <v>0</v>
      </c>
      <c r="R44" s="17">
        <f>_xlfn.XLOOKUP($B44,'[3]Jan-25'!$A:$A,'[3]Jan-25'!$H:$H,0)</f>
        <v>0</v>
      </c>
      <c r="S44" s="17">
        <f>_xlfn.XLOOKUP($B44,'[3]Feb-25'!$A:$A,'[3]Feb-25'!$H:$H,0)</f>
        <v>0</v>
      </c>
      <c r="T44" s="17">
        <f>_xlfn.XLOOKUP($B44,'[3]Mar-25'!$A:$A,'[3]Mar-25'!$H:$H,0)</f>
        <v>0</v>
      </c>
      <c r="U44" s="17">
        <f>_xlfn.XLOOKUP($B44,'[3]Apr-25'!$A:$A,'[3]Apr-25'!$H:$H,0)</f>
        <v>0</v>
      </c>
      <c r="V44" s="17">
        <f>_xlfn.XLOOKUP($B44,'[3]May-25'!$A:$A,'[3]May-25'!$H:$H,0)</f>
        <v>0</v>
      </c>
      <c r="W44" s="17">
        <f>_xlfn.XLOOKUP($B44,'[3]Jun-25'!$A:$A,'[3]Jun-25'!$H:$H,0)</f>
        <v>0</v>
      </c>
      <c r="X44" s="17">
        <f>_xlfn.XLOOKUP($B44,'[3]Jul-25'!$A:$A,'[3]Jul-25'!$H:$H,0)</f>
        <v>0</v>
      </c>
      <c r="Y44" s="17">
        <f>_xlfn.XLOOKUP($B44,'[3]Aug-25'!$A:$A,'[3]Aug-25'!$H:$H,0)</f>
        <v>0</v>
      </c>
      <c r="Z44" s="17">
        <f>_xlfn.XLOOKUP($B44,'[3]Sep-25'!$A:$A,'[3]Sep-25'!$H:$H,0)</f>
        <v>0</v>
      </c>
      <c r="AA44" s="17">
        <f>_xlfn.XLOOKUP($B44,'[3]Oct-25'!$A:$A,'[3]Oct-25'!$H:$H,0)</f>
        <v>0</v>
      </c>
      <c r="AB44" s="17">
        <f>_xlfn.XLOOKUP($B44,'[3]Nov-25'!$A:$A,'[3]Nov-25'!$H:$H,0)</f>
        <v>0</v>
      </c>
      <c r="AC44" s="17">
        <f>_xlfn.XLOOKUP($B44,'[3]Dec-25'!$A:$A,'[3]Dec-25'!$H:$H,0)</f>
        <v>0</v>
      </c>
      <c r="AD44" s="17">
        <f>_xlfn.XLOOKUP($B44,'[3]Jan-26'!$A:$A,'[3]Jan-26'!$H:$H,0)</f>
        <v>0</v>
      </c>
      <c r="AE44" s="17">
        <f>_xlfn.XLOOKUP($B44,'[3]Feb-26'!$A:$A,'[3]Feb-26'!$H:$H,0)</f>
        <v>0</v>
      </c>
      <c r="AF44" s="17">
        <f>_xlfn.XLOOKUP($B44,'[3]Mar-26'!$A:$A,'[3]Mar-26'!$H:$H,0)</f>
        <v>0</v>
      </c>
      <c r="AG44" s="17">
        <f>_xlfn.XLOOKUP($B44,'[3]Apr-26'!$A:$A,'[3]Apr-26'!$H:$H,0)</f>
        <v>0</v>
      </c>
    </row>
    <row r="45" spans="1:33" x14ac:dyDescent="0.2">
      <c r="A45" s="58" t="s">
        <v>986</v>
      </c>
      <c r="B45" s="56" t="str">
        <f t="shared" si="2"/>
        <v>20005</v>
      </c>
      <c r="C45" s="78" t="s">
        <v>428</v>
      </c>
      <c r="D45" s="57" t="s">
        <v>303</v>
      </c>
      <c r="E45" s="44" t="s">
        <v>270</v>
      </c>
      <c r="F45" s="17">
        <f>_xlfn.XLOOKUP($B45,'[3]Jan-24'!$A:$A,'[3]Jan-24'!$H:$H,0)</f>
        <v>0</v>
      </c>
      <c r="G45" s="17">
        <f>_xlfn.XLOOKUP($B45,'[3]Feb-24'!$A:$A,'[3]Feb-24'!$H:$H,0)</f>
        <v>0</v>
      </c>
      <c r="H45" s="17">
        <f>_xlfn.XLOOKUP($B45,'[3]Mar-24'!$A:$A,'[3]Mar-24'!$H:$H,0)</f>
        <v>0</v>
      </c>
      <c r="I45" s="17">
        <f>_xlfn.XLOOKUP($B45,'[3]Apr-24'!$A:$A,'[3]Apr-24'!$H:$H,0)</f>
        <v>0</v>
      </c>
      <c r="J45" s="17">
        <f>_xlfn.XLOOKUP($B45,'[3]May-24'!$A:$A,'[3]May-24'!$H:$H,0)</f>
        <v>0</v>
      </c>
      <c r="K45" s="17">
        <f>_xlfn.XLOOKUP($B45,'[3]Jun-24'!$A:$A,'[3]Jun-24'!$H:$H,0)</f>
        <v>0</v>
      </c>
      <c r="L45" s="17">
        <f>_xlfn.XLOOKUP($B45,'[3]Jul-24'!$A:$A,'[3]Jul-24'!$H:$H,0)</f>
        <v>0</v>
      </c>
      <c r="M45" s="17">
        <f>_xlfn.XLOOKUP($B45,'[3]Aug-24'!$A:$A,'[3]Aug-24'!$H:$H,0)</f>
        <v>0</v>
      </c>
      <c r="N45" s="17">
        <f>_xlfn.XLOOKUP($B45,'[3]Sep-24'!$A:$A,'[3]Sep-24'!$H:$H,0)</f>
        <v>0</v>
      </c>
      <c r="O45" s="17">
        <f>_xlfn.XLOOKUP($B45,'[3]Oct-24'!$A:$A,'[3]Oct-24'!$H:$H,0)</f>
        <v>0</v>
      </c>
      <c r="P45" s="17">
        <f>_xlfn.XLOOKUP($B45,'[3]Nov-24'!$A:$A,'[3]Nov-24'!$H:$H,0)</f>
        <v>0</v>
      </c>
      <c r="Q45" s="17">
        <f>_xlfn.XLOOKUP($B45,'[3]Dec-24'!$A:$A,'[3]Dec-24'!$H:$H,0)</f>
        <v>0</v>
      </c>
      <c r="R45" s="17">
        <f>_xlfn.XLOOKUP($B45,'[3]Jan-25'!$A:$A,'[3]Jan-25'!$H:$H,0)</f>
        <v>0</v>
      </c>
      <c r="S45" s="17">
        <f>_xlfn.XLOOKUP($B45,'[3]Feb-25'!$A:$A,'[3]Feb-25'!$H:$H,0)</f>
        <v>0</v>
      </c>
      <c r="T45" s="17">
        <f>_xlfn.XLOOKUP($B45,'[3]Mar-25'!$A:$A,'[3]Mar-25'!$H:$H,0)</f>
        <v>0</v>
      </c>
      <c r="U45" s="17">
        <f>_xlfn.XLOOKUP($B45,'[3]Apr-25'!$A:$A,'[3]Apr-25'!$H:$H,0)</f>
        <v>0</v>
      </c>
      <c r="V45" s="17">
        <f>_xlfn.XLOOKUP($B45,'[3]May-25'!$A:$A,'[3]May-25'!$H:$H,0)</f>
        <v>0</v>
      </c>
      <c r="W45" s="17">
        <f>_xlfn.XLOOKUP($B45,'[3]Jun-25'!$A:$A,'[3]Jun-25'!$H:$H,0)</f>
        <v>0</v>
      </c>
      <c r="X45" s="17">
        <f>_xlfn.XLOOKUP($B45,'[3]Jul-25'!$A:$A,'[3]Jul-25'!$H:$H,0)</f>
        <v>0</v>
      </c>
      <c r="Y45" s="17">
        <f>_xlfn.XLOOKUP($B45,'[3]Aug-25'!$A:$A,'[3]Aug-25'!$H:$H,0)</f>
        <v>0</v>
      </c>
      <c r="Z45" s="17">
        <f>_xlfn.XLOOKUP($B45,'[3]Sep-25'!$A:$A,'[3]Sep-25'!$H:$H,0)</f>
        <v>0</v>
      </c>
      <c r="AA45" s="17">
        <f>_xlfn.XLOOKUP($B45,'[3]Oct-25'!$A:$A,'[3]Oct-25'!$H:$H,0)</f>
        <v>0</v>
      </c>
      <c r="AB45" s="17">
        <f>_xlfn.XLOOKUP($B45,'[3]Nov-25'!$A:$A,'[3]Nov-25'!$H:$H,0)</f>
        <v>0</v>
      </c>
      <c r="AC45" s="17">
        <f>_xlfn.XLOOKUP($B45,'[3]Dec-25'!$A:$A,'[3]Dec-25'!$H:$H,0)</f>
        <v>0</v>
      </c>
      <c r="AD45" s="17">
        <f>_xlfn.XLOOKUP($B45,'[3]Jan-26'!$A:$A,'[3]Jan-26'!$H:$H,0)</f>
        <v>0</v>
      </c>
      <c r="AE45" s="17">
        <f>_xlfn.XLOOKUP($B45,'[3]Feb-26'!$A:$A,'[3]Feb-26'!$H:$H,0)</f>
        <v>0</v>
      </c>
      <c r="AF45" s="17">
        <f>_xlfn.XLOOKUP($B45,'[3]Mar-26'!$A:$A,'[3]Mar-26'!$H:$H,0)</f>
        <v>0</v>
      </c>
      <c r="AG45" s="17">
        <f>_xlfn.XLOOKUP($B45,'[3]Apr-26'!$A:$A,'[3]Apr-26'!$H:$H,0)</f>
        <v>0</v>
      </c>
    </row>
    <row r="46" spans="1:33" x14ac:dyDescent="0.2">
      <c r="A46" s="58" t="s">
        <v>987</v>
      </c>
      <c r="B46" s="56" t="str">
        <f t="shared" si="2"/>
        <v>20020</v>
      </c>
      <c r="C46" s="78" t="s">
        <v>430</v>
      </c>
      <c r="D46" s="57" t="s">
        <v>429</v>
      </c>
      <c r="E46" s="44" t="s">
        <v>779</v>
      </c>
      <c r="F46" s="17">
        <f>_xlfn.XLOOKUP($B46,'[3]Jan-24'!$A:$A,'[3]Jan-24'!$H:$H,0)</f>
        <v>0</v>
      </c>
      <c r="G46" s="17">
        <f>_xlfn.XLOOKUP($B46,'[3]Feb-24'!$A:$A,'[3]Feb-24'!$H:$H,0)</f>
        <v>0</v>
      </c>
      <c r="H46" s="17">
        <f>_xlfn.XLOOKUP($B46,'[3]Mar-24'!$A:$A,'[3]Mar-24'!$H:$H,0)</f>
        <v>0</v>
      </c>
      <c r="I46" s="17">
        <f>_xlfn.XLOOKUP($B46,'[3]Apr-24'!$A:$A,'[3]Apr-24'!$H:$H,0)</f>
        <v>0</v>
      </c>
      <c r="J46" s="17">
        <f>_xlfn.XLOOKUP($B46,'[3]May-24'!$A:$A,'[3]May-24'!$H:$H,0)</f>
        <v>0</v>
      </c>
      <c r="K46" s="17">
        <f>_xlfn.XLOOKUP($B46,'[3]Jun-24'!$A:$A,'[3]Jun-24'!$H:$H,0)</f>
        <v>0</v>
      </c>
      <c r="L46" s="17">
        <f>_xlfn.XLOOKUP($B46,'[3]Jul-24'!$A:$A,'[3]Jul-24'!$H:$H,0)</f>
        <v>0</v>
      </c>
      <c r="M46" s="17">
        <f>_xlfn.XLOOKUP($B46,'[3]Aug-24'!$A:$A,'[3]Aug-24'!$H:$H,0)</f>
        <v>0</v>
      </c>
      <c r="N46" s="17">
        <f>_xlfn.XLOOKUP($B46,'[3]Sep-24'!$A:$A,'[3]Sep-24'!$H:$H,0)</f>
        <v>0</v>
      </c>
      <c r="O46" s="17">
        <f>_xlfn.XLOOKUP($B46,'[3]Oct-24'!$A:$A,'[3]Oct-24'!$H:$H,0)</f>
        <v>0</v>
      </c>
      <c r="P46" s="17">
        <f>_xlfn.XLOOKUP($B46,'[3]Nov-24'!$A:$A,'[3]Nov-24'!$H:$H,0)</f>
        <v>0</v>
      </c>
      <c r="Q46" s="17">
        <f>_xlfn.XLOOKUP($B46,'[3]Dec-24'!$A:$A,'[3]Dec-24'!$H:$H,0)</f>
        <v>0</v>
      </c>
      <c r="R46" s="17">
        <f>_xlfn.XLOOKUP($B46,'[3]Jan-25'!$A:$A,'[3]Jan-25'!$H:$H,0)</f>
        <v>0</v>
      </c>
      <c r="S46" s="17">
        <f>_xlfn.XLOOKUP($B46,'[3]Feb-25'!$A:$A,'[3]Feb-25'!$H:$H,0)</f>
        <v>0</v>
      </c>
      <c r="T46" s="17">
        <f>_xlfn.XLOOKUP($B46,'[3]Mar-25'!$A:$A,'[3]Mar-25'!$H:$H,0)</f>
        <v>0</v>
      </c>
      <c r="U46" s="17">
        <f>_xlfn.XLOOKUP($B46,'[3]Apr-25'!$A:$A,'[3]Apr-25'!$H:$H,0)</f>
        <v>0</v>
      </c>
      <c r="V46" s="17">
        <f>_xlfn.XLOOKUP($B46,'[3]May-25'!$A:$A,'[3]May-25'!$H:$H,0)</f>
        <v>0</v>
      </c>
      <c r="W46" s="17">
        <f>_xlfn.XLOOKUP($B46,'[3]Jun-25'!$A:$A,'[3]Jun-25'!$H:$H,0)</f>
        <v>0</v>
      </c>
      <c r="X46" s="17">
        <f>_xlfn.XLOOKUP($B46,'[3]Jul-25'!$A:$A,'[3]Jul-25'!$H:$H,0)</f>
        <v>0</v>
      </c>
      <c r="Y46" s="17">
        <f>_xlfn.XLOOKUP($B46,'[3]Aug-25'!$A:$A,'[3]Aug-25'!$H:$H,0)</f>
        <v>0</v>
      </c>
      <c r="Z46" s="17">
        <f>_xlfn.XLOOKUP($B46,'[3]Sep-25'!$A:$A,'[3]Sep-25'!$H:$H,0)</f>
        <v>0</v>
      </c>
      <c r="AA46" s="17">
        <f>_xlfn.XLOOKUP($B46,'[3]Oct-25'!$A:$A,'[3]Oct-25'!$H:$H,0)</f>
        <v>0</v>
      </c>
      <c r="AB46" s="17">
        <f>_xlfn.XLOOKUP($B46,'[3]Nov-25'!$A:$A,'[3]Nov-25'!$H:$H,0)</f>
        <v>0</v>
      </c>
      <c r="AC46" s="17">
        <f>_xlfn.XLOOKUP($B46,'[3]Dec-25'!$A:$A,'[3]Dec-25'!$H:$H,0)</f>
        <v>0</v>
      </c>
      <c r="AD46" s="17">
        <f>_xlfn.XLOOKUP($B46,'[3]Jan-26'!$A:$A,'[3]Jan-26'!$H:$H,0)</f>
        <v>0</v>
      </c>
      <c r="AE46" s="17">
        <f>_xlfn.XLOOKUP($B46,'[3]Feb-26'!$A:$A,'[3]Feb-26'!$H:$H,0)</f>
        <v>0</v>
      </c>
      <c r="AF46" s="17">
        <f>_xlfn.XLOOKUP($B46,'[3]Mar-26'!$A:$A,'[3]Mar-26'!$H:$H,0)</f>
        <v>0</v>
      </c>
      <c r="AG46" s="17">
        <f>_xlfn.XLOOKUP($B46,'[3]Apr-26'!$A:$A,'[3]Apr-26'!$H:$H,0)</f>
        <v>0</v>
      </c>
    </row>
    <row r="47" spans="1:33" x14ac:dyDescent="0.2">
      <c r="A47" s="58" t="s">
        <v>988</v>
      </c>
      <c r="B47" s="56" t="str">
        <f t="shared" si="2"/>
        <v>20065</v>
      </c>
      <c r="C47" s="78" t="s">
        <v>430</v>
      </c>
      <c r="D47" s="57" t="s">
        <v>429</v>
      </c>
      <c r="E47" s="44" t="s">
        <v>989</v>
      </c>
      <c r="F47" s="17">
        <f>_xlfn.XLOOKUP($B47,'[3]Jan-24'!$A:$A,'[3]Jan-24'!$H:$H,0)</f>
        <v>0</v>
      </c>
      <c r="G47" s="17">
        <f>_xlfn.XLOOKUP($B47,'[3]Feb-24'!$A:$A,'[3]Feb-24'!$H:$H,0)</f>
        <v>0</v>
      </c>
      <c r="H47" s="17">
        <f>_xlfn.XLOOKUP($B47,'[3]Mar-24'!$A:$A,'[3]Mar-24'!$H:$H,0)</f>
        <v>0</v>
      </c>
      <c r="I47" s="17">
        <f>_xlfn.XLOOKUP($B47,'[3]Apr-24'!$A:$A,'[3]Apr-24'!$H:$H,0)</f>
        <v>0</v>
      </c>
      <c r="J47" s="17">
        <f>_xlfn.XLOOKUP($B47,'[3]May-24'!$A:$A,'[3]May-24'!$H:$H,0)</f>
        <v>0</v>
      </c>
      <c r="K47" s="17">
        <f>_xlfn.XLOOKUP($B47,'[3]Jun-24'!$A:$A,'[3]Jun-24'!$H:$H,0)</f>
        <v>0</v>
      </c>
      <c r="L47" s="17">
        <f>_xlfn.XLOOKUP($B47,'[3]Jul-24'!$A:$A,'[3]Jul-24'!$H:$H,0)</f>
        <v>0</v>
      </c>
      <c r="M47" s="17">
        <f>_xlfn.XLOOKUP($B47,'[3]Aug-24'!$A:$A,'[3]Aug-24'!$H:$H,0)</f>
        <v>0</v>
      </c>
      <c r="N47" s="17">
        <f>_xlfn.XLOOKUP($B47,'[3]Sep-24'!$A:$A,'[3]Sep-24'!$H:$H,0)</f>
        <v>0</v>
      </c>
      <c r="O47" s="17">
        <f>_xlfn.XLOOKUP($B47,'[3]Oct-24'!$A:$A,'[3]Oct-24'!$H:$H,0)</f>
        <v>0</v>
      </c>
      <c r="P47" s="17">
        <f>_xlfn.XLOOKUP($B47,'[3]Nov-24'!$A:$A,'[3]Nov-24'!$H:$H,0)</f>
        <v>0</v>
      </c>
      <c r="Q47" s="17">
        <f>_xlfn.XLOOKUP($B47,'[3]Dec-24'!$A:$A,'[3]Dec-24'!$H:$H,0)</f>
        <v>0</v>
      </c>
      <c r="R47" s="17">
        <f>_xlfn.XLOOKUP($B47,'[3]Jan-25'!$A:$A,'[3]Jan-25'!$H:$H,0)</f>
        <v>0</v>
      </c>
      <c r="S47" s="17">
        <f>_xlfn.XLOOKUP($B47,'[3]Feb-25'!$A:$A,'[3]Feb-25'!$H:$H,0)</f>
        <v>0</v>
      </c>
      <c r="T47" s="17">
        <f>_xlfn.XLOOKUP($B47,'[3]Mar-25'!$A:$A,'[3]Mar-25'!$H:$H,0)</f>
        <v>0</v>
      </c>
      <c r="U47" s="17">
        <f>_xlfn.XLOOKUP($B47,'[3]Apr-25'!$A:$A,'[3]Apr-25'!$H:$H,0)</f>
        <v>0</v>
      </c>
      <c r="V47" s="17">
        <f>_xlfn.XLOOKUP($B47,'[3]May-25'!$A:$A,'[3]May-25'!$H:$H,0)</f>
        <v>0</v>
      </c>
      <c r="W47" s="17">
        <f>_xlfn.XLOOKUP($B47,'[3]Jun-25'!$A:$A,'[3]Jun-25'!$H:$H,0)</f>
        <v>0</v>
      </c>
      <c r="X47" s="17">
        <f>_xlfn.XLOOKUP($B47,'[3]Jul-25'!$A:$A,'[3]Jul-25'!$H:$H,0)</f>
        <v>0</v>
      </c>
      <c r="Y47" s="17">
        <f>_xlfn.XLOOKUP($B47,'[3]Aug-25'!$A:$A,'[3]Aug-25'!$H:$H,0)</f>
        <v>0</v>
      </c>
      <c r="Z47" s="17">
        <f>_xlfn.XLOOKUP($B47,'[3]Sep-25'!$A:$A,'[3]Sep-25'!$H:$H,0)</f>
        <v>0</v>
      </c>
      <c r="AA47" s="17">
        <f>_xlfn.XLOOKUP($B47,'[3]Oct-25'!$A:$A,'[3]Oct-25'!$H:$H,0)</f>
        <v>0</v>
      </c>
      <c r="AB47" s="17">
        <f>_xlfn.XLOOKUP($B47,'[3]Nov-25'!$A:$A,'[3]Nov-25'!$H:$H,0)</f>
        <v>0</v>
      </c>
      <c r="AC47" s="17">
        <f>_xlfn.XLOOKUP($B47,'[3]Dec-25'!$A:$A,'[3]Dec-25'!$H:$H,0)</f>
        <v>0</v>
      </c>
      <c r="AD47" s="17">
        <f>_xlfn.XLOOKUP($B47,'[3]Jan-26'!$A:$A,'[3]Jan-26'!$H:$H,0)</f>
        <v>-17625</v>
      </c>
      <c r="AE47" s="17">
        <f>_xlfn.XLOOKUP($B47,'[3]Feb-26'!$A:$A,'[3]Feb-26'!$H:$H,0)</f>
        <v>-35250</v>
      </c>
      <c r="AF47" s="17">
        <f>_xlfn.XLOOKUP($B47,'[3]Mar-26'!$A:$A,'[3]Mar-26'!$H:$H,0)</f>
        <v>-52875</v>
      </c>
      <c r="AG47" s="17">
        <f>_xlfn.XLOOKUP($B47,'[3]Apr-26'!$A:$A,'[3]Apr-26'!$H:$H,0)</f>
        <v>0</v>
      </c>
    </row>
    <row r="48" spans="1:33" x14ac:dyDescent="0.2">
      <c r="A48" s="58" t="s">
        <v>990</v>
      </c>
      <c r="B48" s="56" t="str">
        <f t="shared" si="2"/>
        <v>20070</v>
      </c>
      <c r="C48" s="78" t="s">
        <v>454</v>
      </c>
      <c r="D48" s="57" t="s">
        <v>429</v>
      </c>
      <c r="E48" s="44" t="s">
        <v>991</v>
      </c>
      <c r="F48" s="17">
        <f>_xlfn.XLOOKUP($B48,'[3]Jan-24'!$A:$A,'[3]Jan-24'!$H:$H,0)</f>
        <v>0</v>
      </c>
      <c r="G48" s="17">
        <f>_xlfn.XLOOKUP($B48,'[3]Feb-24'!$A:$A,'[3]Feb-24'!$H:$H,0)</f>
        <v>0</v>
      </c>
      <c r="H48" s="17">
        <f>_xlfn.XLOOKUP($B48,'[3]Mar-24'!$A:$A,'[3]Mar-24'!$H:$H,0)</f>
        <v>0</v>
      </c>
      <c r="I48" s="17">
        <f>_xlfn.XLOOKUP($B48,'[3]Apr-24'!$A:$A,'[3]Apr-24'!$H:$H,0)</f>
        <v>0</v>
      </c>
      <c r="J48" s="17">
        <f>_xlfn.XLOOKUP($B48,'[3]May-24'!$A:$A,'[3]May-24'!$H:$H,0)</f>
        <v>0</v>
      </c>
      <c r="K48" s="17">
        <f>_xlfn.XLOOKUP($B48,'[3]Jun-24'!$A:$A,'[3]Jun-24'!$H:$H,0)</f>
        <v>0</v>
      </c>
      <c r="L48" s="17">
        <f>_xlfn.XLOOKUP($B48,'[3]Jul-24'!$A:$A,'[3]Jul-24'!$H:$H,0)</f>
        <v>0</v>
      </c>
      <c r="M48" s="17">
        <f>_xlfn.XLOOKUP($B48,'[3]Aug-24'!$A:$A,'[3]Aug-24'!$H:$H,0)</f>
        <v>0</v>
      </c>
      <c r="N48" s="17">
        <f>_xlfn.XLOOKUP($B48,'[3]Sep-24'!$A:$A,'[3]Sep-24'!$H:$H,0)</f>
        <v>0</v>
      </c>
      <c r="O48" s="17">
        <f>_xlfn.XLOOKUP($B48,'[3]Oct-24'!$A:$A,'[3]Oct-24'!$H:$H,0)</f>
        <v>0</v>
      </c>
      <c r="P48" s="17">
        <f>_xlfn.XLOOKUP($B48,'[3]Nov-24'!$A:$A,'[3]Nov-24'!$H:$H,0)</f>
        <v>0</v>
      </c>
      <c r="Q48" s="17">
        <f>_xlfn.XLOOKUP($B48,'[3]Dec-24'!$A:$A,'[3]Dec-24'!$H:$H,0)</f>
        <v>0</v>
      </c>
      <c r="R48" s="17">
        <f>_xlfn.XLOOKUP($B48,'[3]Jan-25'!$A:$A,'[3]Jan-25'!$H:$H,0)</f>
        <v>0</v>
      </c>
      <c r="S48" s="17">
        <f>_xlfn.XLOOKUP($B48,'[3]Feb-25'!$A:$A,'[3]Feb-25'!$H:$H,0)</f>
        <v>0</v>
      </c>
      <c r="T48" s="17">
        <f>_xlfn.XLOOKUP($B48,'[3]Mar-25'!$A:$A,'[3]Mar-25'!$H:$H,0)</f>
        <v>0</v>
      </c>
      <c r="U48" s="17">
        <f>_xlfn.XLOOKUP($B48,'[3]Apr-25'!$A:$A,'[3]Apr-25'!$H:$H,0)</f>
        <v>0</v>
      </c>
      <c r="V48" s="17">
        <f>_xlfn.XLOOKUP($B48,'[3]May-25'!$A:$A,'[3]May-25'!$H:$H,0)</f>
        <v>0</v>
      </c>
      <c r="W48" s="17">
        <f>_xlfn.XLOOKUP($B48,'[3]Jun-25'!$A:$A,'[3]Jun-25'!$H:$H,0)</f>
        <v>0</v>
      </c>
      <c r="X48" s="17">
        <f>_xlfn.XLOOKUP($B48,'[3]Jul-25'!$A:$A,'[3]Jul-25'!$H:$H,0)</f>
        <v>0</v>
      </c>
      <c r="Y48" s="17">
        <f>_xlfn.XLOOKUP($B48,'[3]Aug-25'!$A:$A,'[3]Aug-25'!$H:$H,0)</f>
        <v>0</v>
      </c>
      <c r="Z48" s="17">
        <f>_xlfn.XLOOKUP($B48,'[3]Sep-25'!$A:$A,'[3]Sep-25'!$H:$H,0)</f>
        <v>0</v>
      </c>
      <c r="AA48" s="17">
        <f>_xlfn.XLOOKUP($B48,'[3]Oct-25'!$A:$A,'[3]Oct-25'!$H:$H,0)</f>
        <v>0</v>
      </c>
      <c r="AB48" s="17">
        <f>_xlfn.XLOOKUP($B48,'[3]Nov-25'!$A:$A,'[3]Nov-25'!$H:$H,0)</f>
        <v>0</v>
      </c>
      <c r="AC48" s="17">
        <f>_xlfn.XLOOKUP($B48,'[3]Dec-25'!$A:$A,'[3]Dec-25'!$H:$H,0)</f>
        <v>0</v>
      </c>
      <c r="AD48" s="17">
        <f>_xlfn.XLOOKUP($B48,'[3]Jan-26'!$A:$A,'[3]Jan-26'!$H:$H,0)</f>
        <v>0</v>
      </c>
      <c r="AE48" s="17">
        <f>_xlfn.XLOOKUP($B48,'[3]Feb-26'!$A:$A,'[3]Feb-26'!$H:$H,0)</f>
        <v>0</v>
      </c>
      <c r="AF48" s="17">
        <f>_xlfn.XLOOKUP($B48,'[3]Mar-26'!$A:$A,'[3]Mar-26'!$H:$H,0)</f>
        <v>0</v>
      </c>
      <c r="AG48" s="17">
        <f>_xlfn.XLOOKUP($B48,'[3]Apr-26'!$A:$A,'[3]Apr-26'!$H:$H,0)</f>
        <v>0</v>
      </c>
    </row>
    <row r="49" spans="1:33" x14ac:dyDescent="0.2">
      <c r="A49" s="58" t="s">
        <v>992</v>
      </c>
      <c r="B49" s="56" t="str">
        <f t="shared" si="2"/>
        <v>20080</v>
      </c>
      <c r="C49" s="78" t="s">
        <v>454</v>
      </c>
      <c r="D49" s="57" t="s">
        <v>429</v>
      </c>
      <c r="E49" s="44" t="s">
        <v>993</v>
      </c>
      <c r="F49" s="17">
        <f>_xlfn.XLOOKUP($B49,'[3]Jan-24'!$A:$A,'[3]Jan-24'!$H:$H,0)</f>
        <v>0</v>
      </c>
      <c r="G49" s="17">
        <f>_xlfn.XLOOKUP($B49,'[3]Feb-24'!$A:$A,'[3]Feb-24'!$H:$H,0)</f>
        <v>0</v>
      </c>
      <c r="H49" s="17">
        <f>_xlfn.XLOOKUP($B49,'[3]Mar-24'!$A:$A,'[3]Mar-24'!$H:$H,0)</f>
        <v>0</v>
      </c>
      <c r="I49" s="17">
        <f>_xlfn.XLOOKUP($B49,'[3]Apr-24'!$A:$A,'[3]Apr-24'!$H:$H,0)</f>
        <v>0</v>
      </c>
      <c r="J49" s="17">
        <f>_xlfn.XLOOKUP($B49,'[3]May-24'!$A:$A,'[3]May-24'!$H:$H,0)</f>
        <v>0</v>
      </c>
      <c r="K49" s="17">
        <f>_xlfn.XLOOKUP($B49,'[3]Jun-24'!$A:$A,'[3]Jun-24'!$H:$H,0)</f>
        <v>0</v>
      </c>
      <c r="L49" s="17">
        <f>_xlfn.XLOOKUP($B49,'[3]Jul-24'!$A:$A,'[3]Jul-24'!$H:$H,0)</f>
        <v>0</v>
      </c>
      <c r="M49" s="17">
        <f>_xlfn.XLOOKUP($B49,'[3]Aug-24'!$A:$A,'[3]Aug-24'!$H:$H,0)</f>
        <v>0</v>
      </c>
      <c r="N49" s="17">
        <f>_xlfn.XLOOKUP($B49,'[3]Sep-24'!$A:$A,'[3]Sep-24'!$H:$H,0)</f>
        <v>0</v>
      </c>
      <c r="O49" s="17">
        <f>_xlfn.XLOOKUP($B49,'[3]Oct-24'!$A:$A,'[3]Oct-24'!$H:$H,0)</f>
        <v>0</v>
      </c>
      <c r="P49" s="17">
        <f>_xlfn.XLOOKUP($B49,'[3]Nov-24'!$A:$A,'[3]Nov-24'!$H:$H,0)</f>
        <v>0</v>
      </c>
      <c r="Q49" s="17">
        <f>_xlfn.XLOOKUP($B49,'[3]Dec-24'!$A:$A,'[3]Dec-24'!$H:$H,0)</f>
        <v>0</v>
      </c>
      <c r="R49" s="17">
        <f>_xlfn.XLOOKUP($B49,'[3]Jan-25'!$A:$A,'[3]Jan-25'!$H:$H,0)</f>
        <v>0</v>
      </c>
      <c r="S49" s="17">
        <f>_xlfn.XLOOKUP($B49,'[3]Feb-25'!$A:$A,'[3]Feb-25'!$H:$H,0)</f>
        <v>0</v>
      </c>
      <c r="T49" s="17">
        <f>_xlfn.XLOOKUP($B49,'[3]Mar-25'!$A:$A,'[3]Mar-25'!$H:$H,0)</f>
        <v>0</v>
      </c>
      <c r="U49" s="17">
        <f>_xlfn.XLOOKUP($B49,'[3]Apr-25'!$A:$A,'[3]Apr-25'!$H:$H,0)</f>
        <v>0</v>
      </c>
      <c r="V49" s="17">
        <f>_xlfn.XLOOKUP($B49,'[3]May-25'!$A:$A,'[3]May-25'!$H:$H,0)</f>
        <v>0</v>
      </c>
      <c r="W49" s="17">
        <f>_xlfn.XLOOKUP($B49,'[3]Jun-25'!$A:$A,'[3]Jun-25'!$H:$H,0)</f>
        <v>0</v>
      </c>
      <c r="X49" s="17">
        <f>_xlfn.XLOOKUP($B49,'[3]Jul-25'!$A:$A,'[3]Jul-25'!$H:$H,0)</f>
        <v>0</v>
      </c>
      <c r="Y49" s="17">
        <f>_xlfn.XLOOKUP($B49,'[3]Aug-25'!$A:$A,'[3]Aug-25'!$H:$H,0)</f>
        <v>0</v>
      </c>
      <c r="Z49" s="17">
        <f>_xlfn.XLOOKUP($B49,'[3]Sep-25'!$A:$A,'[3]Sep-25'!$H:$H,0)</f>
        <v>0</v>
      </c>
      <c r="AA49" s="17">
        <f>_xlfn.XLOOKUP($B49,'[3]Oct-25'!$A:$A,'[3]Oct-25'!$H:$H,0)</f>
        <v>0</v>
      </c>
      <c r="AB49" s="17">
        <f>_xlfn.XLOOKUP($B49,'[3]Nov-25'!$A:$A,'[3]Nov-25'!$H:$H,0)</f>
        <v>0</v>
      </c>
      <c r="AC49" s="17">
        <f>_xlfn.XLOOKUP($B49,'[3]Dec-25'!$A:$A,'[3]Dec-25'!$H:$H,0)</f>
        <v>0</v>
      </c>
      <c r="AD49" s="17">
        <f>_xlfn.XLOOKUP($B49,'[3]Jan-26'!$A:$A,'[3]Jan-26'!$H:$H,0)</f>
        <v>0</v>
      </c>
      <c r="AE49" s="17">
        <f>_xlfn.XLOOKUP($B49,'[3]Feb-26'!$A:$A,'[3]Feb-26'!$H:$H,0)</f>
        <v>0</v>
      </c>
      <c r="AF49" s="17">
        <f>_xlfn.XLOOKUP($B49,'[3]Mar-26'!$A:$A,'[3]Mar-26'!$H:$H,0)</f>
        <v>0</v>
      </c>
      <c r="AG49" s="17">
        <f>_xlfn.XLOOKUP($B49,'[3]Apr-26'!$A:$A,'[3]Apr-26'!$H:$H,0)</f>
        <v>0</v>
      </c>
    </row>
    <row r="50" spans="1:33" x14ac:dyDescent="0.2">
      <c r="A50" s="58" t="s">
        <v>994</v>
      </c>
      <c r="B50" s="56" t="str">
        <f t="shared" si="2"/>
        <v>20109</v>
      </c>
      <c r="C50" s="78" t="s">
        <v>430</v>
      </c>
      <c r="D50" s="57" t="s">
        <v>429</v>
      </c>
      <c r="E50" s="44" t="s">
        <v>155</v>
      </c>
      <c r="F50" s="17">
        <f>_xlfn.XLOOKUP($B50,'[3]Jan-24'!$A:$A,'[3]Jan-24'!$H:$H,0)</f>
        <v>0</v>
      </c>
      <c r="G50" s="17">
        <f>_xlfn.XLOOKUP($B50,'[3]Feb-24'!$A:$A,'[3]Feb-24'!$H:$H,0)</f>
        <v>0</v>
      </c>
      <c r="H50" s="17">
        <f>_xlfn.XLOOKUP($B50,'[3]Mar-24'!$A:$A,'[3]Mar-24'!$H:$H,0)</f>
        <v>0</v>
      </c>
      <c r="I50" s="17">
        <f>_xlfn.XLOOKUP($B50,'[3]Apr-24'!$A:$A,'[3]Apr-24'!$H:$H,0)</f>
        <v>0</v>
      </c>
      <c r="J50" s="17">
        <f>_xlfn.XLOOKUP($B50,'[3]May-24'!$A:$A,'[3]May-24'!$H:$H,0)</f>
        <v>0</v>
      </c>
      <c r="K50" s="17">
        <f>_xlfn.XLOOKUP($B50,'[3]Jun-24'!$A:$A,'[3]Jun-24'!$H:$H,0)</f>
        <v>0</v>
      </c>
      <c r="L50" s="17">
        <f>_xlfn.XLOOKUP($B50,'[3]Jul-24'!$A:$A,'[3]Jul-24'!$H:$H,0)</f>
        <v>0</v>
      </c>
      <c r="M50" s="17">
        <f>_xlfn.XLOOKUP($B50,'[3]Aug-24'!$A:$A,'[3]Aug-24'!$H:$H,0)</f>
        <v>0</v>
      </c>
      <c r="N50" s="17">
        <f>_xlfn.XLOOKUP($B50,'[3]Sep-24'!$A:$A,'[3]Sep-24'!$H:$H,0)</f>
        <v>0</v>
      </c>
      <c r="O50" s="17">
        <f>_xlfn.XLOOKUP($B50,'[3]Oct-24'!$A:$A,'[3]Oct-24'!$H:$H,0)</f>
        <v>0</v>
      </c>
      <c r="P50" s="17">
        <f>_xlfn.XLOOKUP($B50,'[3]Nov-24'!$A:$A,'[3]Nov-24'!$H:$H,0)</f>
        <v>0</v>
      </c>
      <c r="Q50" s="17">
        <f>_xlfn.XLOOKUP($B50,'[3]Dec-24'!$A:$A,'[3]Dec-24'!$H:$H,0)</f>
        <v>0</v>
      </c>
      <c r="R50" s="17">
        <f>_xlfn.XLOOKUP($B50,'[3]Jan-25'!$A:$A,'[3]Jan-25'!$H:$H,0)</f>
        <v>0</v>
      </c>
      <c r="S50" s="17">
        <f>_xlfn.XLOOKUP($B50,'[3]Feb-25'!$A:$A,'[3]Feb-25'!$H:$H,0)</f>
        <v>0</v>
      </c>
      <c r="T50" s="17">
        <f>_xlfn.XLOOKUP($B50,'[3]Mar-25'!$A:$A,'[3]Mar-25'!$H:$H,0)</f>
        <v>0</v>
      </c>
      <c r="U50" s="17">
        <f>_xlfn.XLOOKUP($B50,'[3]Apr-25'!$A:$A,'[3]Apr-25'!$H:$H,0)</f>
        <v>0</v>
      </c>
      <c r="V50" s="17">
        <f>_xlfn.XLOOKUP($B50,'[3]May-25'!$A:$A,'[3]May-25'!$H:$H,0)</f>
        <v>0</v>
      </c>
      <c r="W50" s="17">
        <f>_xlfn.XLOOKUP($B50,'[3]Jun-25'!$A:$A,'[3]Jun-25'!$H:$H,0)</f>
        <v>0</v>
      </c>
      <c r="X50" s="17">
        <f>_xlfn.XLOOKUP($B50,'[3]Jul-25'!$A:$A,'[3]Jul-25'!$H:$H,0)</f>
        <v>0</v>
      </c>
      <c r="Y50" s="17">
        <f>_xlfn.XLOOKUP($B50,'[3]Aug-25'!$A:$A,'[3]Aug-25'!$H:$H,0)</f>
        <v>0</v>
      </c>
      <c r="Z50" s="17">
        <f>_xlfn.XLOOKUP($B50,'[3]Sep-25'!$A:$A,'[3]Sep-25'!$H:$H,0)</f>
        <v>0</v>
      </c>
      <c r="AA50" s="17">
        <f>_xlfn.XLOOKUP($B50,'[3]Oct-25'!$A:$A,'[3]Oct-25'!$H:$H,0)</f>
        <v>0</v>
      </c>
      <c r="AB50" s="17">
        <f>_xlfn.XLOOKUP($B50,'[3]Nov-25'!$A:$A,'[3]Nov-25'!$H:$H,0)</f>
        <v>0</v>
      </c>
      <c r="AC50" s="17">
        <f>_xlfn.XLOOKUP($B50,'[3]Dec-25'!$A:$A,'[3]Dec-25'!$H:$H,0)</f>
        <v>0</v>
      </c>
      <c r="AD50" s="17">
        <f>_xlfn.XLOOKUP($B50,'[3]Jan-26'!$A:$A,'[3]Jan-26'!$H:$H,0)</f>
        <v>0</v>
      </c>
      <c r="AE50" s="17">
        <f>_xlfn.XLOOKUP($B50,'[3]Feb-26'!$A:$A,'[3]Feb-26'!$H:$H,0)</f>
        <v>0</v>
      </c>
      <c r="AF50" s="17">
        <f>_xlfn.XLOOKUP($B50,'[3]Mar-26'!$A:$A,'[3]Mar-26'!$H:$H,0)</f>
        <v>0</v>
      </c>
      <c r="AG50" s="17">
        <f>_xlfn.XLOOKUP($B50,'[3]Apr-26'!$A:$A,'[3]Apr-26'!$H:$H,0)</f>
        <v>0</v>
      </c>
    </row>
    <row r="51" spans="1:33" x14ac:dyDescent="0.2">
      <c r="A51" s="58" t="s">
        <v>938</v>
      </c>
      <c r="B51" s="56" t="str">
        <f t="shared" si="2"/>
        <v>20130</v>
      </c>
      <c r="C51" s="78" t="s">
        <v>430</v>
      </c>
      <c r="D51" s="57" t="s">
        <v>429</v>
      </c>
      <c r="E51" s="44" t="s">
        <v>995</v>
      </c>
      <c r="F51" s="17">
        <f>_xlfn.XLOOKUP($B51,'[3]Jan-24'!$A:$A,'[3]Jan-24'!$H:$H,0)</f>
        <v>-40045</v>
      </c>
      <c r="G51" s="17">
        <f>_xlfn.XLOOKUP($B51,'[3]Feb-24'!$A:$A,'[3]Feb-24'!$H:$H,0)</f>
        <v>-9845</v>
      </c>
      <c r="H51" s="17">
        <f>_xlfn.XLOOKUP($B51,'[3]Mar-24'!$A:$A,'[3]Mar-24'!$H:$H,0)</f>
        <v>-23365</v>
      </c>
      <c r="I51" s="17">
        <f>_xlfn.XLOOKUP($B51,'[3]Apr-24'!$A:$A,'[3]Apr-24'!$H:$H,0)</f>
        <v>-2545</v>
      </c>
      <c r="J51" s="17">
        <f>_xlfn.XLOOKUP($B51,'[3]May-24'!$A:$A,'[3]May-24'!$H:$H,0)</f>
        <v>-2545</v>
      </c>
      <c r="K51" s="17">
        <f>_xlfn.XLOOKUP($B51,'[3]Jun-24'!$A:$A,'[3]Jun-24'!$H:$H,0)</f>
        <v>-2545</v>
      </c>
      <c r="L51" s="17">
        <f>_xlfn.XLOOKUP($B51,'[3]Jul-24'!$A:$A,'[3]Jul-24'!$H:$H,0)</f>
        <v>-2545</v>
      </c>
      <c r="M51" s="17">
        <f>_xlfn.XLOOKUP($B51,'[3]Aug-24'!$A:$A,'[3]Aug-24'!$H:$H,0)</f>
        <v>-2545</v>
      </c>
      <c r="N51" s="17">
        <f>_xlfn.XLOOKUP($B51,'[3]Sep-24'!$A:$A,'[3]Sep-24'!$H:$H,0)</f>
        <v>-2545</v>
      </c>
      <c r="O51" s="17">
        <f>_xlfn.XLOOKUP($B51,'[3]Oct-24'!$A:$A,'[3]Oct-24'!$H:$H,0)</f>
        <v>-2545</v>
      </c>
      <c r="P51" s="17">
        <f>_xlfn.XLOOKUP($B51,'[3]Nov-24'!$A:$A,'[3]Nov-24'!$H:$H,0)</f>
        <v>-2545</v>
      </c>
      <c r="Q51" s="17">
        <f>_xlfn.XLOOKUP($B51,'[3]Dec-24'!$A:$A,'[3]Dec-24'!$H:$H,0)</f>
        <v>-2545</v>
      </c>
      <c r="R51" s="17">
        <f>_xlfn.XLOOKUP($B51,'[3]Jan-25'!$A:$A,'[3]Jan-25'!$H:$H,0)</f>
        <v>-2545</v>
      </c>
      <c r="S51" s="17">
        <f>_xlfn.XLOOKUP($B51,'[3]Feb-25'!$A:$A,'[3]Feb-25'!$H:$H,0)</f>
        <v>-2545</v>
      </c>
      <c r="T51" s="17">
        <f>_xlfn.XLOOKUP($B51,'[3]Mar-25'!$A:$A,'[3]Mar-25'!$H:$H,0)</f>
        <v>-2545</v>
      </c>
      <c r="U51" s="17">
        <f>_xlfn.XLOOKUP($B51,'[3]Apr-25'!$A:$A,'[3]Apr-25'!$H:$H,0)</f>
        <v>-2545</v>
      </c>
      <c r="V51" s="17">
        <f>_xlfn.XLOOKUP($B51,'[3]May-25'!$A:$A,'[3]May-25'!$H:$H,0)</f>
        <v>-2545</v>
      </c>
      <c r="W51" s="17">
        <f>_xlfn.XLOOKUP($B51,'[3]Jun-25'!$A:$A,'[3]Jun-25'!$H:$H,0)</f>
        <v>-2545</v>
      </c>
      <c r="X51" s="17">
        <f>_xlfn.XLOOKUP($B51,'[3]Jul-25'!$A:$A,'[3]Jul-25'!$H:$H,0)</f>
        <v>-2545</v>
      </c>
      <c r="Y51" s="17">
        <f>_xlfn.XLOOKUP($B51,'[3]Aug-25'!$A:$A,'[3]Aug-25'!$H:$H,0)</f>
        <v>-2545</v>
      </c>
      <c r="Z51" s="17">
        <f>_xlfn.XLOOKUP($B51,'[3]Sep-25'!$A:$A,'[3]Sep-25'!$H:$H,0)</f>
        <v>-2545</v>
      </c>
      <c r="AA51" s="17">
        <f>_xlfn.XLOOKUP($B51,'[3]Oct-25'!$A:$A,'[3]Oct-25'!$H:$H,0)</f>
        <v>-2545</v>
      </c>
      <c r="AB51" s="17">
        <f>_xlfn.XLOOKUP($B51,'[3]Nov-25'!$A:$A,'[3]Nov-25'!$H:$H,0)</f>
        <v>-2545</v>
      </c>
      <c r="AC51" s="17">
        <f>_xlfn.XLOOKUP($B51,'[3]Dec-25'!$A:$A,'[3]Dec-25'!$H:$H,0)</f>
        <v>-2545</v>
      </c>
      <c r="AD51" s="17">
        <f>_xlfn.XLOOKUP($B51,'[3]Jan-26'!$A:$A,'[3]Jan-26'!$H:$H,0)</f>
        <v>-2545</v>
      </c>
      <c r="AE51" s="17">
        <f>_xlfn.XLOOKUP($B51,'[3]Feb-26'!$A:$A,'[3]Feb-26'!$H:$H,0)</f>
        <v>-2545</v>
      </c>
      <c r="AF51" s="17">
        <f>_xlfn.XLOOKUP($B51,'[3]Mar-26'!$A:$A,'[3]Mar-26'!$H:$H,0)</f>
        <v>-2545</v>
      </c>
      <c r="AG51" s="17">
        <f>_xlfn.XLOOKUP($B51,'[3]Apr-26'!$A:$A,'[3]Apr-26'!$H:$H,0)</f>
        <v>-2545</v>
      </c>
    </row>
    <row r="52" spans="1:33" x14ac:dyDescent="0.2">
      <c r="A52" s="58" t="s">
        <v>996</v>
      </c>
      <c r="B52" s="56" t="str">
        <f t="shared" si="2"/>
        <v>21010</v>
      </c>
      <c r="C52" s="78" t="s">
        <v>801</v>
      </c>
      <c r="D52" s="57" t="s">
        <v>429</v>
      </c>
      <c r="E52" s="44" t="s">
        <v>997</v>
      </c>
      <c r="F52" s="17">
        <f>_xlfn.XLOOKUP($B52,'[3]Jan-24'!$A:$A,'[3]Jan-24'!$H:$H,0)</f>
        <v>0</v>
      </c>
      <c r="G52" s="17">
        <f>_xlfn.XLOOKUP($B52,'[3]Feb-24'!$A:$A,'[3]Feb-24'!$H:$H,0)</f>
        <v>0</v>
      </c>
      <c r="H52" s="17">
        <f>_xlfn.XLOOKUP($B52,'[3]Mar-24'!$A:$A,'[3]Mar-24'!$H:$H,0)</f>
        <v>0</v>
      </c>
      <c r="I52" s="17">
        <f>_xlfn.XLOOKUP($B52,'[3]Apr-24'!$A:$A,'[3]Apr-24'!$H:$H,0)</f>
        <v>0</v>
      </c>
      <c r="J52" s="17">
        <f>_xlfn.XLOOKUP($B52,'[3]May-24'!$A:$A,'[3]May-24'!$H:$H,0)</f>
        <v>0</v>
      </c>
      <c r="K52" s="17">
        <f>_xlfn.XLOOKUP($B52,'[3]Jun-24'!$A:$A,'[3]Jun-24'!$H:$H,0)</f>
        <v>0</v>
      </c>
      <c r="L52" s="17">
        <f>_xlfn.XLOOKUP($B52,'[3]Jul-24'!$A:$A,'[3]Jul-24'!$H:$H,0)</f>
        <v>0</v>
      </c>
      <c r="M52" s="17">
        <f>_xlfn.XLOOKUP($B52,'[3]Aug-24'!$A:$A,'[3]Aug-24'!$H:$H,0)</f>
        <v>0</v>
      </c>
      <c r="N52" s="17">
        <f>_xlfn.XLOOKUP($B52,'[3]Sep-24'!$A:$A,'[3]Sep-24'!$H:$H,0)</f>
        <v>0</v>
      </c>
      <c r="O52" s="17">
        <f>_xlfn.XLOOKUP($B52,'[3]Oct-24'!$A:$A,'[3]Oct-24'!$H:$H,0)</f>
        <v>0</v>
      </c>
      <c r="P52" s="17">
        <f>_xlfn.XLOOKUP($B52,'[3]Nov-24'!$A:$A,'[3]Nov-24'!$H:$H,0)</f>
        <v>0</v>
      </c>
      <c r="Q52" s="17">
        <f>_xlfn.XLOOKUP($B52,'[3]Dec-24'!$A:$A,'[3]Dec-24'!$H:$H,0)</f>
        <v>0</v>
      </c>
      <c r="R52" s="17">
        <f>_xlfn.XLOOKUP($B52,'[3]Jan-25'!$A:$A,'[3]Jan-25'!$H:$H,0)</f>
        <v>0</v>
      </c>
      <c r="S52" s="17">
        <f>_xlfn.XLOOKUP($B52,'[3]Feb-25'!$A:$A,'[3]Feb-25'!$H:$H,0)</f>
        <v>0</v>
      </c>
      <c r="T52" s="17">
        <f>_xlfn.XLOOKUP($B52,'[3]Mar-25'!$A:$A,'[3]Mar-25'!$H:$H,0)</f>
        <v>0</v>
      </c>
      <c r="U52" s="17">
        <f>_xlfn.XLOOKUP($B52,'[3]Apr-25'!$A:$A,'[3]Apr-25'!$H:$H,0)</f>
        <v>0</v>
      </c>
      <c r="V52" s="17">
        <f>_xlfn.XLOOKUP($B52,'[3]May-25'!$A:$A,'[3]May-25'!$H:$H,0)</f>
        <v>0</v>
      </c>
      <c r="W52" s="17">
        <f>_xlfn.XLOOKUP($B52,'[3]Jun-25'!$A:$A,'[3]Jun-25'!$H:$H,0)</f>
        <v>0</v>
      </c>
      <c r="X52" s="17">
        <f>_xlfn.XLOOKUP($B52,'[3]Jul-25'!$A:$A,'[3]Jul-25'!$H:$H,0)</f>
        <v>0</v>
      </c>
      <c r="Y52" s="17">
        <f>_xlfn.XLOOKUP($B52,'[3]Aug-25'!$A:$A,'[3]Aug-25'!$H:$H,0)</f>
        <v>0</v>
      </c>
      <c r="Z52" s="17">
        <f>_xlfn.XLOOKUP($B52,'[3]Sep-25'!$A:$A,'[3]Sep-25'!$H:$H,0)</f>
        <v>0</v>
      </c>
      <c r="AA52" s="17">
        <f>_xlfn.XLOOKUP($B52,'[3]Oct-25'!$A:$A,'[3]Oct-25'!$H:$H,0)</f>
        <v>0</v>
      </c>
      <c r="AB52" s="17">
        <f>_xlfn.XLOOKUP($B52,'[3]Nov-25'!$A:$A,'[3]Nov-25'!$H:$H,0)</f>
        <v>0</v>
      </c>
      <c r="AC52" s="17">
        <f>_xlfn.XLOOKUP($B52,'[3]Dec-25'!$A:$A,'[3]Dec-25'!$H:$H,0)</f>
        <v>0</v>
      </c>
      <c r="AD52" s="17">
        <f>_xlfn.XLOOKUP($B52,'[3]Jan-26'!$A:$A,'[3]Jan-26'!$H:$H,0)</f>
        <v>0</v>
      </c>
      <c r="AE52" s="17">
        <f>_xlfn.XLOOKUP($B52,'[3]Feb-26'!$A:$A,'[3]Feb-26'!$H:$H,0)</f>
        <v>0</v>
      </c>
      <c r="AF52" s="17">
        <f>_xlfn.XLOOKUP($B52,'[3]Mar-26'!$A:$A,'[3]Mar-26'!$H:$H,0)</f>
        <v>0</v>
      </c>
      <c r="AG52" s="17">
        <f>_xlfn.XLOOKUP($B52,'[3]Apr-26'!$A:$A,'[3]Apr-26'!$H:$H,0)</f>
        <v>0</v>
      </c>
    </row>
    <row r="53" spans="1:33" x14ac:dyDescent="0.2">
      <c r="A53" s="58" t="s">
        <v>998</v>
      </c>
      <c r="B53" s="56" t="str">
        <f t="shared" si="2"/>
        <v>21020</v>
      </c>
      <c r="C53" s="78" t="s">
        <v>801</v>
      </c>
      <c r="D53" s="57" t="s">
        <v>429</v>
      </c>
      <c r="E53" s="44" t="s">
        <v>999</v>
      </c>
      <c r="F53" s="17">
        <f>_xlfn.XLOOKUP($B53,'[3]Jan-24'!$A:$A,'[3]Jan-24'!$H:$H,0)</f>
        <v>0</v>
      </c>
      <c r="G53" s="17">
        <f>_xlfn.XLOOKUP($B53,'[3]Feb-24'!$A:$A,'[3]Feb-24'!$H:$H,0)</f>
        <v>0</v>
      </c>
      <c r="H53" s="17">
        <f>_xlfn.XLOOKUP($B53,'[3]Mar-24'!$A:$A,'[3]Mar-24'!$H:$H,0)</f>
        <v>0</v>
      </c>
      <c r="I53" s="17">
        <f>_xlfn.XLOOKUP($B53,'[3]Apr-24'!$A:$A,'[3]Apr-24'!$H:$H,0)</f>
        <v>0</v>
      </c>
      <c r="J53" s="17">
        <f>_xlfn.XLOOKUP($B53,'[3]May-24'!$A:$A,'[3]May-24'!$H:$H,0)</f>
        <v>0</v>
      </c>
      <c r="K53" s="17">
        <f>_xlfn.XLOOKUP($B53,'[3]Jun-24'!$A:$A,'[3]Jun-24'!$H:$H,0)</f>
        <v>0</v>
      </c>
      <c r="L53" s="17">
        <f>_xlfn.XLOOKUP($B53,'[3]Jul-24'!$A:$A,'[3]Jul-24'!$H:$H,0)</f>
        <v>0</v>
      </c>
      <c r="M53" s="17">
        <f>_xlfn.XLOOKUP($B53,'[3]Aug-24'!$A:$A,'[3]Aug-24'!$H:$H,0)</f>
        <v>0</v>
      </c>
      <c r="N53" s="17">
        <f>_xlfn.XLOOKUP($B53,'[3]Sep-24'!$A:$A,'[3]Sep-24'!$H:$H,0)</f>
        <v>0</v>
      </c>
      <c r="O53" s="17">
        <f>_xlfn.XLOOKUP($B53,'[3]Oct-24'!$A:$A,'[3]Oct-24'!$H:$H,0)</f>
        <v>0</v>
      </c>
      <c r="P53" s="17">
        <f>_xlfn.XLOOKUP($B53,'[3]Nov-24'!$A:$A,'[3]Nov-24'!$H:$H,0)</f>
        <v>0</v>
      </c>
      <c r="Q53" s="17">
        <f>_xlfn.XLOOKUP($B53,'[3]Dec-24'!$A:$A,'[3]Dec-24'!$H:$H,0)</f>
        <v>0</v>
      </c>
      <c r="R53" s="17">
        <f>_xlfn.XLOOKUP($B53,'[3]Jan-25'!$A:$A,'[3]Jan-25'!$H:$H,0)</f>
        <v>0</v>
      </c>
      <c r="S53" s="17">
        <f>_xlfn.XLOOKUP($B53,'[3]Feb-25'!$A:$A,'[3]Feb-25'!$H:$H,0)</f>
        <v>0</v>
      </c>
      <c r="T53" s="17">
        <f>_xlfn.XLOOKUP($B53,'[3]Mar-25'!$A:$A,'[3]Mar-25'!$H:$H,0)</f>
        <v>0</v>
      </c>
      <c r="U53" s="17">
        <f>_xlfn.XLOOKUP($B53,'[3]Apr-25'!$A:$A,'[3]Apr-25'!$H:$H,0)</f>
        <v>0</v>
      </c>
      <c r="V53" s="17">
        <f>_xlfn.XLOOKUP($B53,'[3]May-25'!$A:$A,'[3]May-25'!$H:$H,0)</f>
        <v>0</v>
      </c>
      <c r="W53" s="17">
        <f>_xlfn.XLOOKUP($B53,'[3]Jun-25'!$A:$A,'[3]Jun-25'!$H:$H,0)</f>
        <v>0</v>
      </c>
      <c r="X53" s="17">
        <f>_xlfn.XLOOKUP($B53,'[3]Jul-25'!$A:$A,'[3]Jul-25'!$H:$H,0)</f>
        <v>0</v>
      </c>
      <c r="Y53" s="17">
        <f>_xlfn.XLOOKUP($B53,'[3]Aug-25'!$A:$A,'[3]Aug-25'!$H:$H,0)</f>
        <v>0</v>
      </c>
      <c r="Z53" s="17">
        <f>_xlfn.XLOOKUP($B53,'[3]Sep-25'!$A:$A,'[3]Sep-25'!$H:$H,0)</f>
        <v>0</v>
      </c>
      <c r="AA53" s="17">
        <f>_xlfn.XLOOKUP($B53,'[3]Oct-25'!$A:$A,'[3]Oct-25'!$H:$H,0)</f>
        <v>0</v>
      </c>
      <c r="AB53" s="17">
        <f>_xlfn.XLOOKUP($B53,'[3]Nov-25'!$A:$A,'[3]Nov-25'!$H:$H,0)</f>
        <v>0</v>
      </c>
      <c r="AC53" s="17">
        <f>_xlfn.XLOOKUP($B53,'[3]Dec-25'!$A:$A,'[3]Dec-25'!$H:$H,0)</f>
        <v>0</v>
      </c>
      <c r="AD53" s="17">
        <f>_xlfn.XLOOKUP($B53,'[3]Jan-26'!$A:$A,'[3]Jan-26'!$H:$H,0)</f>
        <v>0</v>
      </c>
      <c r="AE53" s="17">
        <f>_xlfn.XLOOKUP($B53,'[3]Feb-26'!$A:$A,'[3]Feb-26'!$H:$H,0)</f>
        <v>0</v>
      </c>
      <c r="AF53" s="17">
        <f>_xlfn.XLOOKUP($B53,'[3]Mar-26'!$A:$A,'[3]Mar-26'!$H:$H,0)</f>
        <v>0</v>
      </c>
      <c r="AG53" s="17">
        <f>_xlfn.XLOOKUP($B53,'[3]Apr-26'!$A:$A,'[3]Apr-26'!$H:$H,0)</f>
        <v>0</v>
      </c>
    </row>
    <row r="54" spans="1:33" x14ac:dyDescent="0.2">
      <c r="A54" s="58" t="s">
        <v>1000</v>
      </c>
      <c r="B54" s="56" t="str">
        <f t="shared" si="2"/>
        <v>21030</v>
      </c>
      <c r="C54" s="78" t="s">
        <v>287</v>
      </c>
      <c r="D54" s="57" t="s">
        <v>429</v>
      </c>
      <c r="E54" s="44" t="s">
        <v>1001</v>
      </c>
      <c r="F54" s="17">
        <f>_xlfn.XLOOKUP($B54,'[3]Jan-24'!$A:$A,'[3]Jan-24'!$H:$H,0)</f>
        <v>0.02</v>
      </c>
      <c r="G54" s="17">
        <f>_xlfn.XLOOKUP($B54,'[3]Feb-24'!$A:$A,'[3]Feb-24'!$H:$H,0)</f>
        <v>0.03</v>
      </c>
      <c r="H54" s="17">
        <f>_xlfn.XLOOKUP($B54,'[3]Mar-24'!$A:$A,'[3]Mar-24'!$H:$H,0)</f>
        <v>0.02</v>
      </c>
      <c r="I54" s="17">
        <f>_xlfn.XLOOKUP($B54,'[3]Apr-24'!$A:$A,'[3]Apr-24'!$H:$H,0)</f>
        <v>0.02</v>
      </c>
      <c r="J54" s="17">
        <f>_xlfn.XLOOKUP($B54,'[3]May-24'!$A:$A,'[3]May-24'!$H:$H,0)</f>
        <v>25002.58</v>
      </c>
      <c r="K54" s="17">
        <f>_xlfn.XLOOKUP($B54,'[3]Jun-24'!$A:$A,'[3]Jun-24'!$H:$H,0)</f>
        <v>24726.880000000001</v>
      </c>
      <c r="L54" s="17">
        <f>_xlfn.XLOOKUP($B54,'[3]Jul-24'!$A:$A,'[3]Jul-24'!$H:$H,0)</f>
        <v>1.53</v>
      </c>
      <c r="M54" s="17">
        <f>_xlfn.XLOOKUP($B54,'[3]Aug-24'!$A:$A,'[3]Aug-24'!$H:$H,0)</f>
        <v>1.52</v>
      </c>
      <c r="N54" s="17">
        <f>_xlfn.XLOOKUP($B54,'[3]Sep-24'!$A:$A,'[3]Sep-24'!$H:$H,0)</f>
        <v>1.54</v>
      </c>
      <c r="O54" s="17">
        <f>_xlfn.XLOOKUP($B54,'[3]Oct-24'!$A:$A,'[3]Oct-24'!$H:$H,0)</f>
        <v>0</v>
      </c>
      <c r="P54" s="17">
        <f>_xlfn.XLOOKUP($B54,'[3]Nov-24'!$A:$A,'[3]Nov-24'!$H:$H,0)</f>
        <v>0</v>
      </c>
      <c r="Q54" s="17">
        <f>_xlfn.XLOOKUP($B54,'[3]Dec-24'!$A:$A,'[3]Dec-24'!$H:$H,0)</f>
        <v>0</v>
      </c>
      <c r="R54" s="17">
        <f>_xlfn.XLOOKUP($B54,'[3]Jan-25'!$A:$A,'[3]Jan-25'!$H:$H,0)</f>
        <v>0</v>
      </c>
      <c r="S54" s="17">
        <f>_xlfn.XLOOKUP($B54,'[3]Feb-25'!$A:$A,'[3]Feb-25'!$H:$H,0)</f>
        <v>0</v>
      </c>
      <c r="T54" s="17">
        <f>_xlfn.XLOOKUP($B54,'[3]Mar-25'!$A:$A,'[3]Mar-25'!$H:$H,0)</f>
        <v>0</v>
      </c>
      <c r="U54" s="17">
        <f>_xlfn.XLOOKUP($B54,'[3]Apr-25'!$A:$A,'[3]Apr-25'!$H:$H,0)</f>
        <v>0</v>
      </c>
      <c r="V54" s="17">
        <f>_xlfn.XLOOKUP($B54,'[3]May-25'!$A:$A,'[3]May-25'!$H:$H,0)</f>
        <v>0</v>
      </c>
      <c r="W54" s="17">
        <f>_xlfn.XLOOKUP($B54,'[3]Jun-25'!$A:$A,'[3]Jun-25'!$H:$H,0)</f>
        <v>0</v>
      </c>
      <c r="X54" s="17">
        <f>_xlfn.XLOOKUP($B54,'[3]Jul-25'!$A:$A,'[3]Jul-25'!$H:$H,0)</f>
        <v>0</v>
      </c>
      <c r="Y54" s="17">
        <f>_xlfn.XLOOKUP($B54,'[3]Aug-25'!$A:$A,'[3]Aug-25'!$H:$H,0)</f>
        <v>0</v>
      </c>
      <c r="Z54" s="17">
        <f>_xlfn.XLOOKUP($B54,'[3]Sep-25'!$A:$A,'[3]Sep-25'!$H:$H,0)</f>
        <v>0</v>
      </c>
      <c r="AA54" s="17">
        <f>_xlfn.XLOOKUP($B54,'[3]Oct-25'!$A:$A,'[3]Oct-25'!$H:$H,0)</f>
        <v>0</v>
      </c>
      <c r="AB54" s="17">
        <f>_xlfn.XLOOKUP($B54,'[3]Nov-25'!$A:$A,'[3]Nov-25'!$H:$H,0)</f>
        <v>0</v>
      </c>
      <c r="AC54" s="17">
        <f>_xlfn.XLOOKUP($B54,'[3]Dec-25'!$A:$A,'[3]Dec-25'!$H:$H,0)</f>
        <v>0</v>
      </c>
      <c r="AD54" s="17">
        <f>_xlfn.XLOOKUP($B54,'[3]Jan-26'!$A:$A,'[3]Jan-26'!$H:$H,0)</f>
        <v>0</v>
      </c>
      <c r="AE54" s="17">
        <f>_xlfn.XLOOKUP($B54,'[3]Feb-26'!$A:$A,'[3]Feb-26'!$H:$H,0)</f>
        <v>0</v>
      </c>
      <c r="AF54" s="17">
        <f>_xlfn.XLOOKUP($B54,'[3]Mar-26'!$A:$A,'[3]Mar-26'!$H:$H,0)</f>
        <v>0</v>
      </c>
      <c r="AG54" s="17">
        <f>_xlfn.XLOOKUP($B54,'[3]Apr-26'!$A:$A,'[3]Apr-26'!$H:$H,0)</f>
        <v>0</v>
      </c>
    </row>
    <row r="55" spans="1:33" x14ac:dyDescent="0.2">
      <c r="A55" s="58" t="s">
        <v>1002</v>
      </c>
      <c r="B55" s="56" t="str">
        <f t="shared" si="2"/>
        <v>21040</v>
      </c>
      <c r="C55" s="78" t="s">
        <v>287</v>
      </c>
      <c r="D55" s="57" t="s">
        <v>429</v>
      </c>
      <c r="E55" s="44" t="s">
        <v>1003</v>
      </c>
      <c r="F55" s="17">
        <f>_xlfn.XLOOKUP($B55,'[3]Jan-24'!$A:$A,'[3]Jan-24'!$H:$H,0)</f>
        <v>0</v>
      </c>
      <c r="G55" s="17">
        <f>_xlfn.XLOOKUP($B55,'[3]Feb-24'!$A:$A,'[3]Feb-24'!$H:$H,0)</f>
        <v>0</v>
      </c>
      <c r="H55" s="17">
        <f>_xlfn.XLOOKUP($B55,'[3]Mar-24'!$A:$A,'[3]Mar-24'!$H:$H,0)</f>
        <v>0</v>
      </c>
      <c r="I55" s="17">
        <f>_xlfn.XLOOKUP($B55,'[3]Apr-24'!$A:$A,'[3]Apr-24'!$H:$H,0)</f>
        <v>0</v>
      </c>
      <c r="J55" s="17">
        <f>_xlfn.XLOOKUP($B55,'[3]May-24'!$A:$A,'[3]May-24'!$H:$H,0)</f>
        <v>0</v>
      </c>
      <c r="K55" s="17">
        <f>_xlfn.XLOOKUP($B55,'[3]Jun-24'!$A:$A,'[3]Jun-24'!$H:$H,0)</f>
        <v>0</v>
      </c>
      <c r="L55" s="17">
        <f>_xlfn.XLOOKUP($B55,'[3]Jul-24'!$A:$A,'[3]Jul-24'!$H:$H,0)</f>
        <v>0</v>
      </c>
      <c r="M55" s="17">
        <f>_xlfn.XLOOKUP($B55,'[3]Aug-24'!$A:$A,'[3]Aug-24'!$H:$H,0)</f>
        <v>0</v>
      </c>
      <c r="N55" s="17">
        <f>_xlfn.XLOOKUP($B55,'[3]Sep-24'!$A:$A,'[3]Sep-24'!$H:$H,0)</f>
        <v>0</v>
      </c>
      <c r="O55" s="17">
        <f>_xlfn.XLOOKUP($B55,'[3]Oct-24'!$A:$A,'[3]Oct-24'!$H:$H,0)</f>
        <v>0</v>
      </c>
      <c r="P55" s="17">
        <f>_xlfn.XLOOKUP($B55,'[3]Nov-24'!$A:$A,'[3]Nov-24'!$H:$H,0)</f>
        <v>0</v>
      </c>
      <c r="Q55" s="17">
        <f>_xlfn.XLOOKUP($B55,'[3]Dec-24'!$A:$A,'[3]Dec-24'!$H:$H,0)</f>
        <v>0</v>
      </c>
      <c r="R55" s="17">
        <f>_xlfn.XLOOKUP($B55,'[3]Jan-25'!$A:$A,'[3]Jan-25'!$H:$H,0)</f>
        <v>0</v>
      </c>
      <c r="S55" s="17">
        <f>_xlfn.XLOOKUP($B55,'[3]Feb-25'!$A:$A,'[3]Feb-25'!$H:$H,0)</f>
        <v>0</v>
      </c>
      <c r="T55" s="17">
        <f>_xlfn.XLOOKUP($B55,'[3]Mar-25'!$A:$A,'[3]Mar-25'!$H:$H,0)</f>
        <v>0</v>
      </c>
      <c r="U55" s="17">
        <f>_xlfn.XLOOKUP($B55,'[3]Apr-25'!$A:$A,'[3]Apr-25'!$H:$H,0)</f>
        <v>0</v>
      </c>
      <c r="V55" s="17">
        <f>_xlfn.XLOOKUP($B55,'[3]May-25'!$A:$A,'[3]May-25'!$H:$H,0)</f>
        <v>0</v>
      </c>
      <c r="W55" s="17">
        <f>_xlfn.XLOOKUP($B55,'[3]Jun-25'!$A:$A,'[3]Jun-25'!$H:$H,0)</f>
        <v>0</v>
      </c>
      <c r="X55" s="17">
        <f>_xlfn.XLOOKUP($B55,'[3]Jul-25'!$A:$A,'[3]Jul-25'!$H:$H,0)</f>
        <v>0</v>
      </c>
      <c r="Y55" s="17">
        <f>_xlfn.XLOOKUP($B55,'[3]Aug-25'!$A:$A,'[3]Aug-25'!$H:$H,0)</f>
        <v>0</v>
      </c>
      <c r="Z55" s="17">
        <f>_xlfn.XLOOKUP($B55,'[3]Sep-25'!$A:$A,'[3]Sep-25'!$H:$H,0)</f>
        <v>0</v>
      </c>
      <c r="AA55" s="17">
        <f>_xlfn.XLOOKUP($B55,'[3]Oct-25'!$A:$A,'[3]Oct-25'!$H:$H,0)</f>
        <v>0</v>
      </c>
      <c r="AB55" s="17">
        <f>_xlfn.XLOOKUP($B55,'[3]Nov-25'!$A:$A,'[3]Nov-25'!$H:$H,0)</f>
        <v>0</v>
      </c>
      <c r="AC55" s="17">
        <f>_xlfn.XLOOKUP($B55,'[3]Dec-25'!$A:$A,'[3]Dec-25'!$H:$H,0)</f>
        <v>0</v>
      </c>
      <c r="AD55" s="17">
        <f>_xlfn.XLOOKUP($B55,'[3]Jan-26'!$A:$A,'[3]Jan-26'!$H:$H,0)</f>
        <v>0</v>
      </c>
      <c r="AE55" s="17">
        <f>_xlfn.XLOOKUP($B55,'[3]Feb-26'!$A:$A,'[3]Feb-26'!$H:$H,0)</f>
        <v>0</v>
      </c>
      <c r="AF55" s="17">
        <f>_xlfn.XLOOKUP($B55,'[3]Mar-26'!$A:$A,'[3]Mar-26'!$H:$H,0)</f>
        <v>0</v>
      </c>
      <c r="AG55" s="17">
        <f>_xlfn.XLOOKUP($B55,'[3]Apr-26'!$A:$A,'[3]Apr-26'!$H:$H,0)</f>
        <v>0</v>
      </c>
    </row>
    <row r="56" spans="1:33" x14ac:dyDescent="0.2">
      <c r="A56" s="58" t="s">
        <v>1004</v>
      </c>
      <c r="B56" s="56" t="str">
        <f t="shared" si="2"/>
        <v>22200</v>
      </c>
      <c r="C56" s="78" t="s">
        <v>430</v>
      </c>
      <c r="D56" s="57" t="s">
        <v>429</v>
      </c>
      <c r="E56" s="44" t="s">
        <v>437</v>
      </c>
      <c r="F56" s="17">
        <f>_xlfn.XLOOKUP($B56,'[3]Jan-24'!$A:$A,'[3]Jan-24'!$H:$H,0)</f>
        <v>0</v>
      </c>
      <c r="G56" s="17">
        <f>_xlfn.XLOOKUP($B56,'[3]Feb-24'!$A:$A,'[3]Feb-24'!$H:$H,0)</f>
        <v>0</v>
      </c>
      <c r="H56" s="17">
        <f>_xlfn.XLOOKUP($B56,'[3]Mar-24'!$A:$A,'[3]Mar-24'!$H:$H,0)</f>
        <v>0</v>
      </c>
      <c r="I56" s="17">
        <f>_xlfn.XLOOKUP($B56,'[3]Apr-24'!$A:$A,'[3]Apr-24'!$H:$H,0)</f>
        <v>0</v>
      </c>
      <c r="J56" s="17">
        <f>_xlfn.XLOOKUP($B56,'[3]May-24'!$A:$A,'[3]May-24'!$H:$H,0)</f>
        <v>0</v>
      </c>
      <c r="K56" s="17">
        <f>_xlfn.XLOOKUP($B56,'[3]Jun-24'!$A:$A,'[3]Jun-24'!$H:$H,0)</f>
        <v>0</v>
      </c>
      <c r="L56" s="17">
        <f>_xlfn.XLOOKUP($B56,'[3]Jul-24'!$A:$A,'[3]Jul-24'!$H:$H,0)</f>
        <v>0</v>
      </c>
      <c r="M56" s="17">
        <f>_xlfn.XLOOKUP($B56,'[3]Aug-24'!$A:$A,'[3]Aug-24'!$H:$H,0)</f>
        <v>0</v>
      </c>
      <c r="N56" s="17">
        <f>_xlfn.XLOOKUP($B56,'[3]Sep-24'!$A:$A,'[3]Sep-24'!$H:$H,0)</f>
        <v>0</v>
      </c>
      <c r="O56" s="17">
        <f>_xlfn.XLOOKUP($B56,'[3]Oct-24'!$A:$A,'[3]Oct-24'!$H:$H,0)</f>
        <v>0</v>
      </c>
      <c r="P56" s="17">
        <f>_xlfn.XLOOKUP($B56,'[3]Nov-24'!$A:$A,'[3]Nov-24'!$H:$H,0)</f>
        <v>0</v>
      </c>
      <c r="Q56" s="17">
        <f>_xlfn.XLOOKUP($B56,'[3]Dec-24'!$A:$A,'[3]Dec-24'!$H:$H,0)</f>
        <v>0</v>
      </c>
      <c r="R56" s="17">
        <f>_xlfn.XLOOKUP($B56,'[3]Jan-25'!$A:$A,'[3]Jan-25'!$H:$H,0)</f>
        <v>0</v>
      </c>
      <c r="S56" s="17">
        <f>_xlfn.XLOOKUP($B56,'[3]Feb-25'!$A:$A,'[3]Feb-25'!$H:$H,0)</f>
        <v>0</v>
      </c>
      <c r="T56" s="17">
        <f>_xlfn.XLOOKUP($B56,'[3]Mar-25'!$A:$A,'[3]Mar-25'!$H:$H,0)</f>
        <v>0</v>
      </c>
      <c r="U56" s="17">
        <f>_xlfn.XLOOKUP($B56,'[3]Apr-25'!$A:$A,'[3]Apr-25'!$H:$H,0)</f>
        <v>0</v>
      </c>
      <c r="V56" s="17">
        <f>_xlfn.XLOOKUP($B56,'[3]May-25'!$A:$A,'[3]May-25'!$H:$H,0)</f>
        <v>0</v>
      </c>
      <c r="W56" s="17">
        <f>_xlfn.XLOOKUP($B56,'[3]Jun-25'!$A:$A,'[3]Jun-25'!$H:$H,0)</f>
        <v>0</v>
      </c>
      <c r="X56" s="17">
        <f>_xlfn.XLOOKUP($B56,'[3]Jul-25'!$A:$A,'[3]Jul-25'!$H:$H,0)</f>
        <v>0</v>
      </c>
      <c r="Y56" s="17">
        <f>_xlfn.XLOOKUP($B56,'[3]Aug-25'!$A:$A,'[3]Aug-25'!$H:$H,0)</f>
        <v>0</v>
      </c>
      <c r="Z56" s="17">
        <f>_xlfn.XLOOKUP($B56,'[3]Sep-25'!$A:$A,'[3]Sep-25'!$H:$H,0)</f>
        <v>0</v>
      </c>
      <c r="AA56" s="17">
        <f>_xlfn.XLOOKUP($B56,'[3]Oct-25'!$A:$A,'[3]Oct-25'!$H:$H,0)</f>
        <v>0</v>
      </c>
      <c r="AB56" s="17">
        <f>_xlfn.XLOOKUP($B56,'[3]Nov-25'!$A:$A,'[3]Nov-25'!$H:$H,0)</f>
        <v>0</v>
      </c>
      <c r="AC56" s="17">
        <f>_xlfn.XLOOKUP($B56,'[3]Dec-25'!$A:$A,'[3]Dec-25'!$H:$H,0)</f>
        <v>0</v>
      </c>
      <c r="AD56" s="17">
        <f>_xlfn.XLOOKUP($B56,'[3]Jan-26'!$A:$A,'[3]Jan-26'!$H:$H,0)</f>
        <v>0</v>
      </c>
      <c r="AE56" s="17">
        <f>_xlfn.XLOOKUP($B56,'[3]Feb-26'!$A:$A,'[3]Feb-26'!$H:$H,0)</f>
        <v>0</v>
      </c>
      <c r="AF56" s="17">
        <f>_xlfn.XLOOKUP($B56,'[3]Mar-26'!$A:$A,'[3]Mar-26'!$H:$H,0)</f>
        <v>0</v>
      </c>
      <c r="AG56" s="17">
        <f>_xlfn.XLOOKUP($B56,'[3]Apr-26'!$A:$A,'[3]Apr-26'!$H:$H,0)</f>
        <v>0</v>
      </c>
    </row>
    <row r="57" spans="1:33" x14ac:dyDescent="0.2">
      <c r="A57" s="58" t="s">
        <v>1005</v>
      </c>
      <c r="B57" s="56" t="str">
        <f t="shared" si="2"/>
        <v>23005</v>
      </c>
      <c r="C57" s="78" t="s">
        <v>430</v>
      </c>
      <c r="D57" s="57" t="s">
        <v>429</v>
      </c>
      <c r="E57" s="44" t="s">
        <v>438</v>
      </c>
      <c r="F57" s="17">
        <f>_xlfn.XLOOKUP($B57,'[3]Jan-24'!$A:$A,'[3]Jan-24'!$H:$H,0)</f>
        <v>0</v>
      </c>
      <c r="G57" s="17">
        <f>_xlfn.XLOOKUP($B57,'[3]Feb-24'!$A:$A,'[3]Feb-24'!$H:$H,0)</f>
        <v>0</v>
      </c>
      <c r="H57" s="17">
        <f>_xlfn.XLOOKUP($B57,'[3]Mar-24'!$A:$A,'[3]Mar-24'!$H:$H,0)</f>
        <v>0</v>
      </c>
      <c r="I57" s="17">
        <f>_xlfn.XLOOKUP($B57,'[3]Apr-24'!$A:$A,'[3]Apr-24'!$H:$H,0)</f>
        <v>0</v>
      </c>
      <c r="J57" s="17">
        <f>_xlfn.XLOOKUP($B57,'[3]May-24'!$A:$A,'[3]May-24'!$H:$H,0)</f>
        <v>0</v>
      </c>
      <c r="K57" s="17">
        <f>_xlfn.XLOOKUP($B57,'[3]Jun-24'!$A:$A,'[3]Jun-24'!$H:$H,0)</f>
        <v>0</v>
      </c>
      <c r="L57" s="17">
        <f>_xlfn.XLOOKUP($B57,'[3]Jul-24'!$A:$A,'[3]Jul-24'!$H:$H,0)</f>
        <v>0</v>
      </c>
      <c r="M57" s="17">
        <f>_xlfn.XLOOKUP($B57,'[3]Aug-24'!$A:$A,'[3]Aug-24'!$H:$H,0)</f>
        <v>0</v>
      </c>
      <c r="N57" s="17">
        <f>_xlfn.XLOOKUP($B57,'[3]Sep-24'!$A:$A,'[3]Sep-24'!$H:$H,0)</f>
        <v>0</v>
      </c>
      <c r="O57" s="17">
        <f>_xlfn.XLOOKUP($B57,'[3]Oct-24'!$A:$A,'[3]Oct-24'!$H:$H,0)</f>
        <v>0</v>
      </c>
      <c r="P57" s="17">
        <f>_xlfn.XLOOKUP($B57,'[3]Nov-24'!$A:$A,'[3]Nov-24'!$H:$H,0)</f>
        <v>0</v>
      </c>
      <c r="Q57" s="17">
        <f>_xlfn.XLOOKUP($B57,'[3]Dec-24'!$A:$A,'[3]Dec-24'!$H:$H,0)</f>
        <v>0</v>
      </c>
      <c r="R57" s="17">
        <f>_xlfn.XLOOKUP($B57,'[3]Jan-25'!$A:$A,'[3]Jan-25'!$H:$H,0)</f>
        <v>0</v>
      </c>
      <c r="S57" s="17">
        <f>_xlfn.XLOOKUP($B57,'[3]Feb-25'!$A:$A,'[3]Feb-25'!$H:$H,0)</f>
        <v>0</v>
      </c>
      <c r="T57" s="17">
        <f>_xlfn.XLOOKUP($B57,'[3]Mar-25'!$A:$A,'[3]Mar-25'!$H:$H,0)</f>
        <v>0</v>
      </c>
      <c r="U57" s="17">
        <f>_xlfn.XLOOKUP($B57,'[3]Apr-25'!$A:$A,'[3]Apr-25'!$H:$H,0)</f>
        <v>0</v>
      </c>
      <c r="V57" s="17">
        <f>_xlfn.XLOOKUP($B57,'[3]May-25'!$A:$A,'[3]May-25'!$H:$H,0)</f>
        <v>0</v>
      </c>
      <c r="W57" s="17">
        <f>_xlfn.XLOOKUP($B57,'[3]Jun-25'!$A:$A,'[3]Jun-25'!$H:$H,0)</f>
        <v>0</v>
      </c>
      <c r="X57" s="17">
        <f>_xlfn.XLOOKUP($B57,'[3]Jul-25'!$A:$A,'[3]Jul-25'!$H:$H,0)</f>
        <v>0</v>
      </c>
      <c r="Y57" s="17">
        <f>_xlfn.XLOOKUP($B57,'[3]Aug-25'!$A:$A,'[3]Aug-25'!$H:$H,0)</f>
        <v>0</v>
      </c>
      <c r="Z57" s="17">
        <f>_xlfn.XLOOKUP($B57,'[3]Sep-25'!$A:$A,'[3]Sep-25'!$H:$H,0)</f>
        <v>0</v>
      </c>
      <c r="AA57" s="17">
        <f>_xlfn.XLOOKUP($B57,'[3]Oct-25'!$A:$A,'[3]Oct-25'!$H:$H,0)</f>
        <v>0</v>
      </c>
      <c r="AB57" s="17">
        <f>_xlfn.XLOOKUP($B57,'[3]Nov-25'!$A:$A,'[3]Nov-25'!$H:$H,0)</f>
        <v>0</v>
      </c>
      <c r="AC57" s="17">
        <f>_xlfn.XLOOKUP($B57,'[3]Dec-25'!$A:$A,'[3]Dec-25'!$H:$H,0)</f>
        <v>0</v>
      </c>
      <c r="AD57" s="17">
        <f>_xlfn.XLOOKUP($B57,'[3]Jan-26'!$A:$A,'[3]Jan-26'!$H:$H,0)</f>
        <v>0</v>
      </c>
      <c r="AE57" s="17">
        <f>_xlfn.XLOOKUP($B57,'[3]Feb-26'!$A:$A,'[3]Feb-26'!$H:$H,0)</f>
        <v>0</v>
      </c>
      <c r="AF57" s="17">
        <f>_xlfn.XLOOKUP($B57,'[3]Mar-26'!$A:$A,'[3]Mar-26'!$H:$H,0)</f>
        <v>0</v>
      </c>
      <c r="AG57" s="17">
        <f>_xlfn.XLOOKUP($B57,'[3]Apr-26'!$A:$A,'[3]Apr-26'!$H:$H,0)</f>
        <v>0</v>
      </c>
    </row>
    <row r="58" spans="1:33" x14ac:dyDescent="0.2">
      <c r="A58" s="58" t="s">
        <v>1006</v>
      </c>
      <c r="B58" s="56" t="str">
        <f t="shared" si="2"/>
        <v>23010</v>
      </c>
      <c r="C58" s="78" t="s">
        <v>430</v>
      </c>
      <c r="D58" s="57" t="s">
        <v>429</v>
      </c>
      <c r="E58" s="44" t="s">
        <v>282</v>
      </c>
      <c r="F58" s="17">
        <f>_xlfn.XLOOKUP($B58,'[3]Jan-24'!$A:$A,'[3]Jan-24'!$H:$H,0)</f>
        <v>0</v>
      </c>
      <c r="G58" s="17">
        <f>_xlfn.XLOOKUP($B58,'[3]Feb-24'!$A:$A,'[3]Feb-24'!$H:$H,0)</f>
        <v>0</v>
      </c>
      <c r="H58" s="17">
        <f>_xlfn.XLOOKUP($B58,'[3]Mar-24'!$A:$A,'[3]Mar-24'!$H:$H,0)</f>
        <v>0</v>
      </c>
      <c r="I58" s="17">
        <f>_xlfn.XLOOKUP($B58,'[3]Apr-24'!$A:$A,'[3]Apr-24'!$H:$H,0)</f>
        <v>0</v>
      </c>
      <c r="J58" s="17">
        <f>_xlfn.XLOOKUP($B58,'[3]May-24'!$A:$A,'[3]May-24'!$H:$H,0)</f>
        <v>0</v>
      </c>
      <c r="K58" s="17">
        <f>_xlfn.XLOOKUP($B58,'[3]Jun-24'!$A:$A,'[3]Jun-24'!$H:$H,0)</f>
        <v>0</v>
      </c>
      <c r="L58" s="17">
        <f>_xlfn.XLOOKUP($B58,'[3]Jul-24'!$A:$A,'[3]Jul-24'!$H:$H,0)</f>
        <v>0</v>
      </c>
      <c r="M58" s="17">
        <f>_xlfn.XLOOKUP($B58,'[3]Aug-24'!$A:$A,'[3]Aug-24'!$H:$H,0)</f>
        <v>0</v>
      </c>
      <c r="N58" s="17">
        <f>_xlfn.XLOOKUP($B58,'[3]Sep-24'!$A:$A,'[3]Sep-24'!$H:$H,0)</f>
        <v>0</v>
      </c>
      <c r="O58" s="17">
        <f>_xlfn.XLOOKUP($B58,'[3]Oct-24'!$A:$A,'[3]Oct-24'!$H:$H,0)</f>
        <v>0</v>
      </c>
      <c r="P58" s="17">
        <f>_xlfn.XLOOKUP($B58,'[3]Nov-24'!$A:$A,'[3]Nov-24'!$H:$H,0)</f>
        <v>0</v>
      </c>
      <c r="Q58" s="17">
        <f>_xlfn.XLOOKUP($B58,'[3]Dec-24'!$A:$A,'[3]Dec-24'!$H:$H,0)</f>
        <v>0</v>
      </c>
      <c r="R58" s="17">
        <f>_xlfn.XLOOKUP($B58,'[3]Jan-25'!$A:$A,'[3]Jan-25'!$H:$H,0)</f>
        <v>0</v>
      </c>
      <c r="S58" s="17">
        <f>_xlfn.XLOOKUP($B58,'[3]Feb-25'!$A:$A,'[3]Feb-25'!$H:$H,0)</f>
        <v>0</v>
      </c>
      <c r="T58" s="17">
        <f>_xlfn.XLOOKUP($B58,'[3]Mar-25'!$A:$A,'[3]Mar-25'!$H:$H,0)</f>
        <v>0</v>
      </c>
      <c r="U58" s="17">
        <f>_xlfn.XLOOKUP($B58,'[3]Apr-25'!$A:$A,'[3]Apr-25'!$H:$H,0)</f>
        <v>0</v>
      </c>
      <c r="V58" s="17">
        <f>_xlfn.XLOOKUP($B58,'[3]May-25'!$A:$A,'[3]May-25'!$H:$H,0)</f>
        <v>0</v>
      </c>
      <c r="W58" s="17">
        <f>_xlfn.XLOOKUP($B58,'[3]Jun-25'!$A:$A,'[3]Jun-25'!$H:$H,0)</f>
        <v>0</v>
      </c>
      <c r="X58" s="17">
        <f>_xlfn.XLOOKUP($B58,'[3]Jul-25'!$A:$A,'[3]Jul-25'!$H:$H,0)</f>
        <v>0</v>
      </c>
      <c r="Y58" s="17">
        <f>_xlfn.XLOOKUP($B58,'[3]Aug-25'!$A:$A,'[3]Aug-25'!$H:$H,0)</f>
        <v>0</v>
      </c>
      <c r="Z58" s="17">
        <f>_xlfn.XLOOKUP($B58,'[3]Sep-25'!$A:$A,'[3]Sep-25'!$H:$H,0)</f>
        <v>0</v>
      </c>
      <c r="AA58" s="17">
        <f>_xlfn.XLOOKUP($B58,'[3]Oct-25'!$A:$A,'[3]Oct-25'!$H:$H,0)</f>
        <v>0</v>
      </c>
      <c r="AB58" s="17">
        <f>_xlfn.XLOOKUP($B58,'[3]Nov-25'!$A:$A,'[3]Nov-25'!$H:$H,0)</f>
        <v>0</v>
      </c>
      <c r="AC58" s="17">
        <f>_xlfn.XLOOKUP($B58,'[3]Dec-25'!$A:$A,'[3]Dec-25'!$H:$H,0)</f>
        <v>0</v>
      </c>
      <c r="AD58" s="17">
        <f>_xlfn.XLOOKUP($B58,'[3]Jan-26'!$A:$A,'[3]Jan-26'!$H:$H,0)</f>
        <v>0</v>
      </c>
      <c r="AE58" s="17">
        <f>_xlfn.XLOOKUP($B58,'[3]Feb-26'!$A:$A,'[3]Feb-26'!$H:$H,0)</f>
        <v>0</v>
      </c>
      <c r="AF58" s="17">
        <f>_xlfn.XLOOKUP($B58,'[3]Mar-26'!$A:$A,'[3]Mar-26'!$H:$H,0)</f>
        <v>0</v>
      </c>
      <c r="AG58" s="17">
        <f>_xlfn.XLOOKUP($B58,'[3]Apr-26'!$A:$A,'[3]Apr-26'!$H:$H,0)</f>
        <v>0</v>
      </c>
    </row>
    <row r="59" spans="1:33" x14ac:dyDescent="0.2">
      <c r="A59" s="58" t="s">
        <v>1007</v>
      </c>
      <c r="B59" s="56" t="str">
        <f t="shared" si="2"/>
        <v>23030</v>
      </c>
      <c r="C59" s="78" t="s">
        <v>441</v>
      </c>
      <c r="D59" s="57" t="s">
        <v>429</v>
      </c>
      <c r="E59" s="44" t="s">
        <v>791</v>
      </c>
      <c r="F59" s="17">
        <f>_xlfn.XLOOKUP($B59,'[3]Jan-24'!$A:$A,'[3]Jan-24'!$H:$H,0)</f>
        <v>0</v>
      </c>
      <c r="G59" s="17">
        <f>_xlfn.XLOOKUP($B59,'[3]Feb-24'!$A:$A,'[3]Feb-24'!$H:$H,0)</f>
        <v>0</v>
      </c>
      <c r="H59" s="17">
        <f>_xlfn.XLOOKUP($B59,'[3]Mar-24'!$A:$A,'[3]Mar-24'!$H:$H,0)</f>
        <v>0</v>
      </c>
      <c r="I59" s="17">
        <f>_xlfn.XLOOKUP($B59,'[3]Apr-24'!$A:$A,'[3]Apr-24'!$H:$H,0)</f>
        <v>0</v>
      </c>
      <c r="J59" s="17">
        <f>_xlfn.XLOOKUP($B59,'[3]May-24'!$A:$A,'[3]May-24'!$H:$H,0)</f>
        <v>0</v>
      </c>
      <c r="K59" s="17">
        <f>_xlfn.XLOOKUP($B59,'[3]Jun-24'!$A:$A,'[3]Jun-24'!$H:$H,0)</f>
        <v>0</v>
      </c>
      <c r="L59" s="17">
        <f>_xlfn.XLOOKUP($B59,'[3]Jul-24'!$A:$A,'[3]Jul-24'!$H:$H,0)</f>
        <v>0</v>
      </c>
      <c r="M59" s="17">
        <f>_xlfn.XLOOKUP($B59,'[3]Aug-24'!$A:$A,'[3]Aug-24'!$H:$H,0)</f>
        <v>0</v>
      </c>
      <c r="N59" s="17">
        <f>_xlfn.XLOOKUP($B59,'[3]Sep-24'!$A:$A,'[3]Sep-24'!$H:$H,0)</f>
        <v>0</v>
      </c>
      <c r="O59" s="17">
        <f>_xlfn.XLOOKUP($B59,'[3]Oct-24'!$A:$A,'[3]Oct-24'!$H:$H,0)</f>
        <v>0</v>
      </c>
      <c r="P59" s="17">
        <f>_xlfn.XLOOKUP($B59,'[3]Nov-24'!$A:$A,'[3]Nov-24'!$H:$H,0)</f>
        <v>0</v>
      </c>
      <c r="Q59" s="17">
        <f>_xlfn.XLOOKUP($B59,'[3]Dec-24'!$A:$A,'[3]Dec-24'!$H:$H,0)</f>
        <v>0</v>
      </c>
      <c r="R59" s="17">
        <f>_xlfn.XLOOKUP($B59,'[3]Jan-25'!$A:$A,'[3]Jan-25'!$H:$H,0)</f>
        <v>0</v>
      </c>
      <c r="S59" s="17">
        <f>_xlfn.XLOOKUP($B59,'[3]Feb-25'!$A:$A,'[3]Feb-25'!$H:$H,0)</f>
        <v>0</v>
      </c>
      <c r="T59" s="17">
        <f>_xlfn.XLOOKUP($B59,'[3]Mar-25'!$A:$A,'[3]Mar-25'!$H:$H,0)</f>
        <v>0</v>
      </c>
      <c r="U59" s="17">
        <f>_xlfn.XLOOKUP($B59,'[3]Apr-25'!$A:$A,'[3]Apr-25'!$H:$H,0)</f>
        <v>0</v>
      </c>
      <c r="V59" s="17">
        <f>_xlfn.XLOOKUP($B59,'[3]May-25'!$A:$A,'[3]May-25'!$H:$H,0)</f>
        <v>0</v>
      </c>
      <c r="W59" s="17">
        <f>_xlfn.XLOOKUP($B59,'[3]Jun-25'!$A:$A,'[3]Jun-25'!$H:$H,0)</f>
        <v>0</v>
      </c>
      <c r="X59" s="17">
        <f>_xlfn.XLOOKUP($B59,'[3]Jul-25'!$A:$A,'[3]Jul-25'!$H:$H,0)</f>
        <v>0</v>
      </c>
      <c r="Y59" s="17">
        <f>_xlfn.XLOOKUP($B59,'[3]Aug-25'!$A:$A,'[3]Aug-25'!$H:$H,0)</f>
        <v>0</v>
      </c>
      <c r="Z59" s="17">
        <f>_xlfn.XLOOKUP($B59,'[3]Sep-25'!$A:$A,'[3]Sep-25'!$H:$H,0)</f>
        <v>0</v>
      </c>
      <c r="AA59" s="17">
        <f>_xlfn.XLOOKUP($B59,'[3]Oct-25'!$A:$A,'[3]Oct-25'!$H:$H,0)</f>
        <v>0</v>
      </c>
      <c r="AB59" s="17">
        <f>_xlfn.XLOOKUP($B59,'[3]Nov-25'!$A:$A,'[3]Nov-25'!$H:$H,0)</f>
        <v>0</v>
      </c>
      <c r="AC59" s="17">
        <f>_xlfn.XLOOKUP($B59,'[3]Dec-25'!$A:$A,'[3]Dec-25'!$H:$H,0)</f>
        <v>0</v>
      </c>
      <c r="AD59" s="17">
        <f>_xlfn.XLOOKUP($B59,'[3]Jan-26'!$A:$A,'[3]Jan-26'!$H:$H,0)</f>
        <v>0</v>
      </c>
      <c r="AE59" s="17">
        <f>_xlfn.XLOOKUP($B59,'[3]Feb-26'!$A:$A,'[3]Feb-26'!$H:$H,0)</f>
        <v>0</v>
      </c>
      <c r="AF59" s="17">
        <f>_xlfn.XLOOKUP($B59,'[3]Mar-26'!$A:$A,'[3]Mar-26'!$H:$H,0)</f>
        <v>0</v>
      </c>
      <c r="AG59" s="17">
        <f>_xlfn.XLOOKUP($B59,'[3]Apr-26'!$A:$A,'[3]Apr-26'!$H:$H,0)</f>
        <v>0</v>
      </c>
    </row>
    <row r="60" spans="1:33" x14ac:dyDescent="0.2">
      <c r="A60" s="58" t="s">
        <v>1008</v>
      </c>
      <c r="B60" s="56" t="str">
        <f t="shared" si="2"/>
        <v>23040</v>
      </c>
      <c r="C60" s="78" t="s">
        <v>430</v>
      </c>
      <c r="D60" s="57" t="s">
        <v>429</v>
      </c>
      <c r="E60" s="44" t="s">
        <v>284</v>
      </c>
      <c r="F60" s="17">
        <f>_xlfn.XLOOKUP($B60,'[3]Jan-24'!$A:$A,'[3]Jan-24'!$H:$H,0)</f>
        <v>0</v>
      </c>
      <c r="G60" s="17">
        <f>_xlfn.XLOOKUP($B60,'[3]Feb-24'!$A:$A,'[3]Feb-24'!$H:$H,0)</f>
        <v>0</v>
      </c>
      <c r="H60" s="17">
        <f>_xlfn.XLOOKUP($B60,'[3]Mar-24'!$A:$A,'[3]Mar-24'!$H:$H,0)</f>
        <v>0</v>
      </c>
      <c r="I60" s="17">
        <f>_xlfn.XLOOKUP($B60,'[3]Apr-24'!$A:$A,'[3]Apr-24'!$H:$H,0)</f>
        <v>0</v>
      </c>
      <c r="J60" s="17">
        <f>_xlfn.XLOOKUP($B60,'[3]May-24'!$A:$A,'[3]May-24'!$H:$H,0)</f>
        <v>0</v>
      </c>
      <c r="K60" s="17">
        <f>_xlfn.XLOOKUP($B60,'[3]Jun-24'!$A:$A,'[3]Jun-24'!$H:$H,0)</f>
        <v>0</v>
      </c>
      <c r="L60" s="17">
        <f>_xlfn.XLOOKUP($B60,'[3]Jul-24'!$A:$A,'[3]Jul-24'!$H:$H,0)</f>
        <v>0</v>
      </c>
      <c r="M60" s="17">
        <f>_xlfn.XLOOKUP($B60,'[3]Aug-24'!$A:$A,'[3]Aug-24'!$H:$H,0)</f>
        <v>0</v>
      </c>
      <c r="N60" s="17">
        <f>_xlfn.XLOOKUP($B60,'[3]Sep-24'!$A:$A,'[3]Sep-24'!$H:$H,0)</f>
        <v>0</v>
      </c>
      <c r="O60" s="17">
        <f>_xlfn.XLOOKUP($B60,'[3]Oct-24'!$A:$A,'[3]Oct-24'!$H:$H,0)</f>
        <v>0</v>
      </c>
      <c r="P60" s="17">
        <f>_xlfn.XLOOKUP($B60,'[3]Nov-24'!$A:$A,'[3]Nov-24'!$H:$H,0)</f>
        <v>0</v>
      </c>
      <c r="Q60" s="17">
        <f>_xlfn.XLOOKUP($B60,'[3]Dec-24'!$A:$A,'[3]Dec-24'!$H:$H,0)</f>
        <v>0</v>
      </c>
      <c r="R60" s="17">
        <f>_xlfn.XLOOKUP($B60,'[3]Jan-25'!$A:$A,'[3]Jan-25'!$H:$H,0)</f>
        <v>0</v>
      </c>
      <c r="S60" s="17">
        <f>_xlfn.XLOOKUP($B60,'[3]Feb-25'!$A:$A,'[3]Feb-25'!$H:$H,0)</f>
        <v>0</v>
      </c>
      <c r="T60" s="17">
        <f>_xlfn.XLOOKUP($B60,'[3]Mar-25'!$A:$A,'[3]Mar-25'!$H:$H,0)</f>
        <v>0</v>
      </c>
      <c r="U60" s="17">
        <f>_xlfn.XLOOKUP($B60,'[3]Apr-25'!$A:$A,'[3]Apr-25'!$H:$H,0)</f>
        <v>0</v>
      </c>
      <c r="V60" s="17">
        <f>_xlfn.XLOOKUP($B60,'[3]May-25'!$A:$A,'[3]May-25'!$H:$H,0)</f>
        <v>0</v>
      </c>
      <c r="W60" s="17">
        <f>_xlfn.XLOOKUP($B60,'[3]Jun-25'!$A:$A,'[3]Jun-25'!$H:$H,0)</f>
        <v>0</v>
      </c>
      <c r="X60" s="17">
        <f>_xlfn.XLOOKUP($B60,'[3]Jul-25'!$A:$A,'[3]Jul-25'!$H:$H,0)</f>
        <v>0</v>
      </c>
      <c r="Y60" s="17">
        <f>_xlfn.XLOOKUP($B60,'[3]Aug-25'!$A:$A,'[3]Aug-25'!$H:$H,0)</f>
        <v>0</v>
      </c>
      <c r="Z60" s="17">
        <f>_xlfn.XLOOKUP($B60,'[3]Sep-25'!$A:$A,'[3]Sep-25'!$H:$H,0)</f>
        <v>0</v>
      </c>
      <c r="AA60" s="17">
        <f>_xlfn.XLOOKUP($B60,'[3]Oct-25'!$A:$A,'[3]Oct-25'!$H:$H,0)</f>
        <v>0</v>
      </c>
      <c r="AB60" s="17">
        <f>_xlfn.XLOOKUP($B60,'[3]Nov-25'!$A:$A,'[3]Nov-25'!$H:$H,0)</f>
        <v>0</v>
      </c>
      <c r="AC60" s="17">
        <f>_xlfn.XLOOKUP($B60,'[3]Dec-25'!$A:$A,'[3]Dec-25'!$H:$H,0)</f>
        <v>0</v>
      </c>
      <c r="AD60" s="17">
        <f>_xlfn.XLOOKUP($B60,'[3]Jan-26'!$A:$A,'[3]Jan-26'!$H:$H,0)</f>
        <v>0</v>
      </c>
      <c r="AE60" s="17">
        <f>_xlfn.XLOOKUP($B60,'[3]Feb-26'!$A:$A,'[3]Feb-26'!$H:$H,0)</f>
        <v>0</v>
      </c>
      <c r="AF60" s="17">
        <f>_xlfn.XLOOKUP($B60,'[3]Mar-26'!$A:$A,'[3]Mar-26'!$H:$H,0)</f>
        <v>0</v>
      </c>
      <c r="AG60" s="17">
        <f>_xlfn.XLOOKUP($B60,'[3]Apr-26'!$A:$A,'[3]Apr-26'!$H:$H,0)</f>
        <v>0</v>
      </c>
    </row>
    <row r="61" spans="1:33" x14ac:dyDescent="0.2">
      <c r="A61" s="58" t="s">
        <v>1009</v>
      </c>
      <c r="B61" s="56" t="str">
        <f t="shared" si="2"/>
        <v>23400</v>
      </c>
      <c r="C61" s="78" t="s">
        <v>441</v>
      </c>
      <c r="D61" s="57" t="s">
        <v>429</v>
      </c>
      <c r="E61" s="44" t="s">
        <v>273</v>
      </c>
      <c r="F61" s="17">
        <f>_xlfn.XLOOKUP($B61,'[3]Jan-24'!$A:$A,'[3]Jan-24'!$H:$H,0)</f>
        <v>0</v>
      </c>
      <c r="G61" s="17">
        <f>_xlfn.XLOOKUP($B61,'[3]Feb-24'!$A:$A,'[3]Feb-24'!$H:$H,0)</f>
        <v>0</v>
      </c>
      <c r="H61" s="17">
        <f>_xlfn.XLOOKUP($B61,'[3]Mar-24'!$A:$A,'[3]Mar-24'!$H:$H,0)</f>
        <v>0</v>
      </c>
      <c r="I61" s="17">
        <f>_xlfn.XLOOKUP($B61,'[3]Apr-24'!$A:$A,'[3]Apr-24'!$H:$H,0)</f>
        <v>0</v>
      </c>
      <c r="J61" s="17">
        <f>_xlfn.XLOOKUP($B61,'[3]May-24'!$A:$A,'[3]May-24'!$H:$H,0)</f>
        <v>0</v>
      </c>
      <c r="K61" s="17">
        <f>_xlfn.XLOOKUP($B61,'[3]Jun-24'!$A:$A,'[3]Jun-24'!$H:$H,0)</f>
        <v>0</v>
      </c>
      <c r="L61" s="17">
        <f>_xlfn.XLOOKUP($B61,'[3]Jul-24'!$A:$A,'[3]Jul-24'!$H:$H,0)</f>
        <v>0</v>
      </c>
      <c r="M61" s="17">
        <f>_xlfn.XLOOKUP($B61,'[3]Aug-24'!$A:$A,'[3]Aug-24'!$H:$H,0)</f>
        <v>0</v>
      </c>
      <c r="N61" s="17">
        <f>_xlfn.XLOOKUP($B61,'[3]Sep-24'!$A:$A,'[3]Sep-24'!$H:$H,0)</f>
        <v>0</v>
      </c>
      <c r="O61" s="17">
        <f>_xlfn.XLOOKUP($B61,'[3]Oct-24'!$A:$A,'[3]Oct-24'!$H:$H,0)</f>
        <v>0</v>
      </c>
      <c r="P61" s="17">
        <f>_xlfn.XLOOKUP($B61,'[3]Nov-24'!$A:$A,'[3]Nov-24'!$H:$H,0)</f>
        <v>0</v>
      </c>
      <c r="Q61" s="17">
        <f>_xlfn.XLOOKUP($B61,'[3]Dec-24'!$A:$A,'[3]Dec-24'!$H:$H,0)</f>
        <v>0</v>
      </c>
      <c r="R61" s="17">
        <f>_xlfn.XLOOKUP($B61,'[3]Jan-25'!$A:$A,'[3]Jan-25'!$H:$H,0)</f>
        <v>0</v>
      </c>
      <c r="S61" s="17">
        <f>_xlfn.XLOOKUP($B61,'[3]Feb-25'!$A:$A,'[3]Feb-25'!$H:$H,0)</f>
        <v>0</v>
      </c>
      <c r="T61" s="17">
        <f>_xlfn.XLOOKUP($B61,'[3]Mar-25'!$A:$A,'[3]Mar-25'!$H:$H,0)</f>
        <v>0</v>
      </c>
      <c r="U61" s="17">
        <f>_xlfn.XLOOKUP($B61,'[3]Apr-25'!$A:$A,'[3]Apr-25'!$H:$H,0)</f>
        <v>0</v>
      </c>
      <c r="V61" s="17">
        <f>_xlfn.XLOOKUP($B61,'[3]May-25'!$A:$A,'[3]May-25'!$H:$H,0)</f>
        <v>0</v>
      </c>
      <c r="W61" s="17">
        <f>_xlfn.XLOOKUP($B61,'[3]Jun-25'!$A:$A,'[3]Jun-25'!$H:$H,0)</f>
        <v>0</v>
      </c>
      <c r="X61" s="17">
        <f>_xlfn.XLOOKUP($B61,'[3]Jul-25'!$A:$A,'[3]Jul-25'!$H:$H,0)</f>
        <v>0</v>
      </c>
      <c r="Y61" s="17">
        <f>_xlfn.XLOOKUP($B61,'[3]Aug-25'!$A:$A,'[3]Aug-25'!$H:$H,0)</f>
        <v>0</v>
      </c>
      <c r="Z61" s="17">
        <f>_xlfn.XLOOKUP($B61,'[3]Sep-25'!$A:$A,'[3]Sep-25'!$H:$H,0)</f>
        <v>0</v>
      </c>
      <c r="AA61" s="17">
        <f>_xlfn.XLOOKUP($B61,'[3]Oct-25'!$A:$A,'[3]Oct-25'!$H:$H,0)</f>
        <v>0</v>
      </c>
      <c r="AB61" s="17">
        <f>_xlfn.XLOOKUP($B61,'[3]Nov-25'!$A:$A,'[3]Nov-25'!$H:$H,0)</f>
        <v>0</v>
      </c>
      <c r="AC61" s="17">
        <f>_xlfn.XLOOKUP($B61,'[3]Dec-25'!$A:$A,'[3]Dec-25'!$H:$H,0)</f>
        <v>0</v>
      </c>
      <c r="AD61" s="17">
        <f>_xlfn.XLOOKUP($B61,'[3]Jan-26'!$A:$A,'[3]Jan-26'!$H:$H,0)</f>
        <v>0</v>
      </c>
      <c r="AE61" s="17">
        <f>_xlfn.XLOOKUP($B61,'[3]Feb-26'!$A:$A,'[3]Feb-26'!$H:$H,0)</f>
        <v>0</v>
      </c>
      <c r="AF61" s="17">
        <f>_xlfn.XLOOKUP($B61,'[3]Mar-26'!$A:$A,'[3]Mar-26'!$H:$H,0)</f>
        <v>0</v>
      </c>
      <c r="AG61" s="17">
        <f>_xlfn.XLOOKUP($B61,'[3]Apr-26'!$A:$A,'[3]Apr-26'!$H:$H,0)</f>
        <v>0</v>
      </c>
    </row>
    <row r="62" spans="1:33" x14ac:dyDescent="0.2">
      <c r="A62" s="58" t="s">
        <v>1010</v>
      </c>
      <c r="B62" s="56" t="str">
        <f t="shared" si="2"/>
        <v>23405</v>
      </c>
      <c r="C62" s="78" t="s">
        <v>441</v>
      </c>
      <c r="D62" s="57" t="s">
        <v>429</v>
      </c>
      <c r="E62" s="44" t="s">
        <v>274</v>
      </c>
      <c r="F62" s="17">
        <f>_xlfn.XLOOKUP($B62,'[3]Jan-24'!$A:$A,'[3]Jan-24'!$H:$H,0)</f>
        <v>0</v>
      </c>
      <c r="G62" s="17">
        <f>_xlfn.XLOOKUP($B62,'[3]Feb-24'!$A:$A,'[3]Feb-24'!$H:$H,0)</f>
        <v>0</v>
      </c>
      <c r="H62" s="17">
        <f>_xlfn.XLOOKUP($B62,'[3]Mar-24'!$A:$A,'[3]Mar-24'!$H:$H,0)</f>
        <v>0</v>
      </c>
      <c r="I62" s="17">
        <f>_xlfn.XLOOKUP($B62,'[3]Apr-24'!$A:$A,'[3]Apr-24'!$H:$H,0)</f>
        <v>0</v>
      </c>
      <c r="J62" s="17">
        <f>_xlfn.XLOOKUP($B62,'[3]May-24'!$A:$A,'[3]May-24'!$H:$H,0)</f>
        <v>0</v>
      </c>
      <c r="K62" s="17">
        <f>_xlfn.XLOOKUP($B62,'[3]Jun-24'!$A:$A,'[3]Jun-24'!$H:$H,0)</f>
        <v>0</v>
      </c>
      <c r="L62" s="17">
        <f>_xlfn.XLOOKUP($B62,'[3]Jul-24'!$A:$A,'[3]Jul-24'!$H:$H,0)</f>
        <v>0</v>
      </c>
      <c r="M62" s="17">
        <f>_xlfn.XLOOKUP($B62,'[3]Aug-24'!$A:$A,'[3]Aug-24'!$H:$H,0)</f>
        <v>0</v>
      </c>
      <c r="N62" s="17">
        <f>_xlfn.XLOOKUP($B62,'[3]Sep-24'!$A:$A,'[3]Sep-24'!$H:$H,0)</f>
        <v>0</v>
      </c>
      <c r="O62" s="17">
        <f>_xlfn.XLOOKUP($B62,'[3]Oct-24'!$A:$A,'[3]Oct-24'!$H:$H,0)</f>
        <v>0</v>
      </c>
      <c r="P62" s="17">
        <f>_xlfn.XLOOKUP($B62,'[3]Nov-24'!$A:$A,'[3]Nov-24'!$H:$H,0)</f>
        <v>0</v>
      </c>
      <c r="Q62" s="17">
        <f>_xlfn.XLOOKUP($B62,'[3]Dec-24'!$A:$A,'[3]Dec-24'!$H:$H,0)</f>
        <v>0</v>
      </c>
      <c r="R62" s="17">
        <f>_xlfn.XLOOKUP($B62,'[3]Jan-25'!$A:$A,'[3]Jan-25'!$H:$H,0)</f>
        <v>0</v>
      </c>
      <c r="S62" s="17">
        <f>_xlfn.XLOOKUP($B62,'[3]Feb-25'!$A:$A,'[3]Feb-25'!$H:$H,0)</f>
        <v>0</v>
      </c>
      <c r="T62" s="17">
        <f>_xlfn.XLOOKUP($B62,'[3]Mar-25'!$A:$A,'[3]Mar-25'!$H:$H,0)</f>
        <v>0</v>
      </c>
      <c r="U62" s="17">
        <f>_xlfn.XLOOKUP($B62,'[3]Apr-25'!$A:$A,'[3]Apr-25'!$H:$H,0)</f>
        <v>0</v>
      </c>
      <c r="V62" s="17">
        <f>_xlfn.XLOOKUP($B62,'[3]May-25'!$A:$A,'[3]May-25'!$H:$H,0)</f>
        <v>0</v>
      </c>
      <c r="W62" s="17">
        <f>_xlfn.XLOOKUP($B62,'[3]Jun-25'!$A:$A,'[3]Jun-25'!$H:$H,0)</f>
        <v>0</v>
      </c>
      <c r="X62" s="17">
        <f>_xlfn.XLOOKUP($B62,'[3]Jul-25'!$A:$A,'[3]Jul-25'!$H:$H,0)</f>
        <v>0</v>
      </c>
      <c r="Y62" s="17">
        <f>_xlfn.XLOOKUP($B62,'[3]Aug-25'!$A:$A,'[3]Aug-25'!$H:$H,0)</f>
        <v>0</v>
      </c>
      <c r="Z62" s="17">
        <f>_xlfn.XLOOKUP($B62,'[3]Sep-25'!$A:$A,'[3]Sep-25'!$H:$H,0)</f>
        <v>0</v>
      </c>
      <c r="AA62" s="17">
        <f>_xlfn.XLOOKUP($B62,'[3]Oct-25'!$A:$A,'[3]Oct-25'!$H:$H,0)</f>
        <v>0</v>
      </c>
      <c r="AB62" s="17">
        <f>_xlfn.XLOOKUP($B62,'[3]Nov-25'!$A:$A,'[3]Nov-25'!$H:$H,0)</f>
        <v>0</v>
      </c>
      <c r="AC62" s="17">
        <f>_xlfn.XLOOKUP($B62,'[3]Dec-25'!$A:$A,'[3]Dec-25'!$H:$H,0)</f>
        <v>0</v>
      </c>
      <c r="AD62" s="17">
        <f>_xlfn.XLOOKUP($B62,'[3]Jan-26'!$A:$A,'[3]Jan-26'!$H:$H,0)</f>
        <v>0</v>
      </c>
      <c r="AE62" s="17">
        <f>_xlfn.XLOOKUP($B62,'[3]Feb-26'!$A:$A,'[3]Feb-26'!$H:$H,0)</f>
        <v>0</v>
      </c>
      <c r="AF62" s="17">
        <f>_xlfn.XLOOKUP($B62,'[3]Mar-26'!$A:$A,'[3]Mar-26'!$H:$H,0)</f>
        <v>0</v>
      </c>
      <c r="AG62" s="17">
        <f>_xlfn.XLOOKUP($B62,'[3]Apr-26'!$A:$A,'[3]Apr-26'!$H:$H,0)</f>
        <v>82.5</v>
      </c>
    </row>
    <row r="63" spans="1:33" x14ac:dyDescent="0.2">
      <c r="A63" s="58" t="s">
        <v>1011</v>
      </c>
      <c r="B63" s="56" t="str">
        <f t="shared" si="2"/>
        <v>23420</v>
      </c>
      <c r="C63" s="78" t="s">
        <v>441</v>
      </c>
      <c r="D63" s="57" t="s">
        <v>429</v>
      </c>
      <c r="E63" s="44" t="s">
        <v>276</v>
      </c>
      <c r="F63" s="17">
        <f>_xlfn.XLOOKUP($B63,'[3]Jan-24'!$A:$A,'[3]Jan-24'!$H:$H,0)</f>
        <v>0</v>
      </c>
      <c r="G63" s="17">
        <f>_xlfn.XLOOKUP($B63,'[3]Feb-24'!$A:$A,'[3]Feb-24'!$H:$H,0)</f>
        <v>0</v>
      </c>
      <c r="H63" s="17">
        <f>_xlfn.XLOOKUP($B63,'[3]Mar-24'!$A:$A,'[3]Mar-24'!$H:$H,0)</f>
        <v>0</v>
      </c>
      <c r="I63" s="17">
        <f>_xlfn.XLOOKUP($B63,'[3]Apr-24'!$A:$A,'[3]Apr-24'!$H:$H,0)</f>
        <v>0</v>
      </c>
      <c r="J63" s="17">
        <f>_xlfn.XLOOKUP($B63,'[3]May-24'!$A:$A,'[3]May-24'!$H:$H,0)</f>
        <v>0</v>
      </c>
      <c r="K63" s="17">
        <f>_xlfn.XLOOKUP($B63,'[3]Jun-24'!$A:$A,'[3]Jun-24'!$H:$H,0)</f>
        <v>0</v>
      </c>
      <c r="L63" s="17">
        <f>_xlfn.XLOOKUP($B63,'[3]Jul-24'!$A:$A,'[3]Jul-24'!$H:$H,0)</f>
        <v>0</v>
      </c>
      <c r="M63" s="17">
        <f>_xlfn.XLOOKUP($B63,'[3]Aug-24'!$A:$A,'[3]Aug-24'!$H:$H,0)</f>
        <v>0</v>
      </c>
      <c r="N63" s="17">
        <f>_xlfn.XLOOKUP($B63,'[3]Sep-24'!$A:$A,'[3]Sep-24'!$H:$H,0)</f>
        <v>0</v>
      </c>
      <c r="O63" s="17">
        <f>_xlfn.XLOOKUP($B63,'[3]Oct-24'!$A:$A,'[3]Oct-24'!$H:$H,0)</f>
        <v>0</v>
      </c>
      <c r="P63" s="17">
        <f>_xlfn.XLOOKUP($B63,'[3]Nov-24'!$A:$A,'[3]Nov-24'!$H:$H,0)</f>
        <v>0</v>
      </c>
      <c r="Q63" s="17">
        <f>_xlfn.XLOOKUP($B63,'[3]Dec-24'!$A:$A,'[3]Dec-24'!$H:$H,0)</f>
        <v>0</v>
      </c>
      <c r="R63" s="17">
        <f>_xlfn.XLOOKUP($B63,'[3]Jan-25'!$A:$A,'[3]Jan-25'!$H:$H,0)</f>
        <v>0</v>
      </c>
      <c r="S63" s="17">
        <f>_xlfn.XLOOKUP($B63,'[3]Feb-25'!$A:$A,'[3]Feb-25'!$H:$H,0)</f>
        <v>0</v>
      </c>
      <c r="T63" s="17">
        <f>_xlfn.XLOOKUP($B63,'[3]Mar-25'!$A:$A,'[3]Mar-25'!$H:$H,0)</f>
        <v>0</v>
      </c>
      <c r="U63" s="17">
        <f>_xlfn.XLOOKUP($B63,'[3]Apr-25'!$A:$A,'[3]Apr-25'!$H:$H,0)</f>
        <v>0</v>
      </c>
      <c r="V63" s="17">
        <f>_xlfn.XLOOKUP($B63,'[3]May-25'!$A:$A,'[3]May-25'!$H:$H,0)</f>
        <v>0</v>
      </c>
      <c r="W63" s="17">
        <f>_xlfn.XLOOKUP($B63,'[3]Jun-25'!$A:$A,'[3]Jun-25'!$H:$H,0)</f>
        <v>0</v>
      </c>
      <c r="X63" s="17">
        <f>_xlfn.XLOOKUP($B63,'[3]Jul-25'!$A:$A,'[3]Jul-25'!$H:$H,0)</f>
        <v>0</v>
      </c>
      <c r="Y63" s="17">
        <f>_xlfn.XLOOKUP($B63,'[3]Aug-25'!$A:$A,'[3]Aug-25'!$H:$H,0)</f>
        <v>0</v>
      </c>
      <c r="Z63" s="17">
        <f>_xlfn.XLOOKUP($B63,'[3]Sep-25'!$A:$A,'[3]Sep-25'!$H:$H,0)</f>
        <v>0</v>
      </c>
      <c r="AA63" s="17">
        <f>_xlfn.XLOOKUP($B63,'[3]Oct-25'!$A:$A,'[3]Oct-25'!$H:$H,0)</f>
        <v>0</v>
      </c>
      <c r="AB63" s="17">
        <f>_xlfn.XLOOKUP($B63,'[3]Nov-25'!$A:$A,'[3]Nov-25'!$H:$H,0)</f>
        <v>0</v>
      </c>
      <c r="AC63" s="17">
        <f>_xlfn.XLOOKUP($B63,'[3]Dec-25'!$A:$A,'[3]Dec-25'!$H:$H,0)</f>
        <v>0</v>
      </c>
      <c r="AD63" s="17">
        <f>_xlfn.XLOOKUP($B63,'[3]Jan-26'!$A:$A,'[3]Jan-26'!$H:$H,0)</f>
        <v>0</v>
      </c>
      <c r="AE63" s="17">
        <f>_xlfn.XLOOKUP($B63,'[3]Feb-26'!$A:$A,'[3]Feb-26'!$H:$H,0)</f>
        <v>0</v>
      </c>
      <c r="AF63" s="17">
        <f>_xlfn.XLOOKUP($B63,'[3]Mar-26'!$A:$A,'[3]Mar-26'!$H:$H,0)</f>
        <v>0</v>
      </c>
      <c r="AG63" s="17">
        <f>_xlfn.XLOOKUP($B63,'[3]Apr-26'!$A:$A,'[3]Apr-26'!$H:$H,0)</f>
        <v>0</v>
      </c>
    </row>
    <row r="64" spans="1:33" x14ac:dyDescent="0.2">
      <c r="A64" s="58" t="s">
        <v>1012</v>
      </c>
      <c r="B64" s="56" t="str">
        <f t="shared" si="2"/>
        <v>24010</v>
      </c>
      <c r="C64" s="78" t="s">
        <v>430</v>
      </c>
      <c r="D64" s="57" t="s">
        <v>429</v>
      </c>
      <c r="E64" s="44" t="s">
        <v>285</v>
      </c>
      <c r="F64" s="17">
        <f>_xlfn.XLOOKUP($B64,'[3]Jan-24'!$A:$A,'[3]Jan-24'!$H:$H,0)</f>
        <v>0</v>
      </c>
      <c r="G64" s="17">
        <f>_xlfn.XLOOKUP($B64,'[3]Feb-24'!$A:$A,'[3]Feb-24'!$H:$H,0)</f>
        <v>0</v>
      </c>
      <c r="H64" s="17">
        <f>_xlfn.XLOOKUP($B64,'[3]Mar-24'!$A:$A,'[3]Mar-24'!$H:$H,0)</f>
        <v>0</v>
      </c>
      <c r="I64" s="17">
        <f>_xlfn.XLOOKUP($B64,'[3]Apr-24'!$A:$A,'[3]Apr-24'!$H:$H,0)</f>
        <v>0</v>
      </c>
      <c r="J64" s="17">
        <f>_xlfn.XLOOKUP($B64,'[3]May-24'!$A:$A,'[3]May-24'!$H:$H,0)</f>
        <v>0</v>
      </c>
      <c r="K64" s="17">
        <f>_xlfn.XLOOKUP($B64,'[3]Jun-24'!$A:$A,'[3]Jun-24'!$H:$H,0)</f>
        <v>0</v>
      </c>
      <c r="L64" s="17">
        <f>_xlfn.XLOOKUP($B64,'[3]Jul-24'!$A:$A,'[3]Jul-24'!$H:$H,0)</f>
        <v>0</v>
      </c>
      <c r="M64" s="17">
        <f>_xlfn.XLOOKUP($B64,'[3]Aug-24'!$A:$A,'[3]Aug-24'!$H:$H,0)</f>
        <v>0</v>
      </c>
      <c r="N64" s="17">
        <f>_xlfn.XLOOKUP($B64,'[3]Sep-24'!$A:$A,'[3]Sep-24'!$H:$H,0)</f>
        <v>0</v>
      </c>
      <c r="O64" s="17">
        <f>_xlfn.XLOOKUP($B64,'[3]Oct-24'!$A:$A,'[3]Oct-24'!$H:$H,0)</f>
        <v>0</v>
      </c>
      <c r="P64" s="17">
        <f>_xlfn.XLOOKUP($B64,'[3]Nov-24'!$A:$A,'[3]Nov-24'!$H:$H,0)</f>
        <v>0</v>
      </c>
      <c r="Q64" s="17">
        <f>_xlfn.XLOOKUP($B64,'[3]Dec-24'!$A:$A,'[3]Dec-24'!$H:$H,0)</f>
        <v>0</v>
      </c>
      <c r="R64" s="17">
        <f>_xlfn.XLOOKUP($B64,'[3]Jan-25'!$A:$A,'[3]Jan-25'!$H:$H,0)</f>
        <v>0</v>
      </c>
      <c r="S64" s="17">
        <f>_xlfn.XLOOKUP($B64,'[3]Feb-25'!$A:$A,'[3]Feb-25'!$H:$H,0)</f>
        <v>0</v>
      </c>
      <c r="T64" s="17">
        <f>_xlfn.XLOOKUP($B64,'[3]Mar-25'!$A:$A,'[3]Mar-25'!$H:$H,0)</f>
        <v>0</v>
      </c>
      <c r="U64" s="17">
        <f>_xlfn.XLOOKUP($B64,'[3]Apr-25'!$A:$A,'[3]Apr-25'!$H:$H,0)</f>
        <v>0</v>
      </c>
      <c r="V64" s="17">
        <f>_xlfn.XLOOKUP($B64,'[3]May-25'!$A:$A,'[3]May-25'!$H:$H,0)</f>
        <v>0</v>
      </c>
      <c r="W64" s="17">
        <f>_xlfn.XLOOKUP($B64,'[3]Jun-25'!$A:$A,'[3]Jun-25'!$H:$H,0)</f>
        <v>0</v>
      </c>
      <c r="X64" s="17">
        <f>_xlfn.XLOOKUP($B64,'[3]Jul-25'!$A:$A,'[3]Jul-25'!$H:$H,0)</f>
        <v>0</v>
      </c>
      <c r="Y64" s="17">
        <f>_xlfn.XLOOKUP($B64,'[3]Aug-25'!$A:$A,'[3]Aug-25'!$H:$H,0)</f>
        <v>0</v>
      </c>
      <c r="Z64" s="17">
        <f>_xlfn.XLOOKUP($B64,'[3]Sep-25'!$A:$A,'[3]Sep-25'!$H:$H,0)</f>
        <v>0</v>
      </c>
      <c r="AA64" s="17">
        <f>_xlfn.XLOOKUP($B64,'[3]Oct-25'!$A:$A,'[3]Oct-25'!$H:$H,0)</f>
        <v>0</v>
      </c>
      <c r="AB64" s="17">
        <f>_xlfn.XLOOKUP($B64,'[3]Nov-25'!$A:$A,'[3]Nov-25'!$H:$H,0)</f>
        <v>0</v>
      </c>
      <c r="AC64" s="17">
        <f>_xlfn.XLOOKUP($B64,'[3]Dec-25'!$A:$A,'[3]Dec-25'!$H:$H,0)</f>
        <v>0</v>
      </c>
      <c r="AD64" s="17">
        <f>_xlfn.XLOOKUP($B64,'[3]Jan-26'!$A:$A,'[3]Jan-26'!$H:$H,0)</f>
        <v>0</v>
      </c>
      <c r="AE64" s="17">
        <f>_xlfn.XLOOKUP($B64,'[3]Feb-26'!$A:$A,'[3]Feb-26'!$H:$H,0)</f>
        <v>0</v>
      </c>
      <c r="AF64" s="17">
        <f>_xlfn.XLOOKUP($B64,'[3]Mar-26'!$A:$A,'[3]Mar-26'!$H:$H,0)</f>
        <v>0</v>
      </c>
      <c r="AG64" s="17">
        <f>_xlfn.XLOOKUP($B64,'[3]Apr-26'!$A:$A,'[3]Apr-26'!$H:$H,0)</f>
        <v>0</v>
      </c>
    </row>
    <row r="65" spans="1:33" x14ac:dyDescent="0.2">
      <c r="A65" s="58" t="s">
        <v>1013</v>
      </c>
      <c r="B65" s="56" t="str">
        <f t="shared" si="2"/>
        <v>24100</v>
      </c>
      <c r="C65" s="78" t="s">
        <v>441</v>
      </c>
      <c r="D65" s="57" t="s">
        <v>429</v>
      </c>
      <c r="E65" s="44" t="s">
        <v>1014</v>
      </c>
      <c r="F65" s="17">
        <f>_xlfn.XLOOKUP($B65,'[3]Jan-24'!$A:$A,'[3]Jan-24'!$H:$H,0)</f>
        <v>0</v>
      </c>
      <c r="G65" s="17">
        <f>_xlfn.XLOOKUP($B65,'[3]Feb-24'!$A:$A,'[3]Feb-24'!$H:$H,0)</f>
        <v>0</v>
      </c>
      <c r="H65" s="17">
        <f>_xlfn.XLOOKUP($B65,'[3]Mar-24'!$A:$A,'[3]Mar-24'!$H:$H,0)</f>
        <v>0</v>
      </c>
      <c r="I65" s="17">
        <f>_xlfn.XLOOKUP($B65,'[3]Apr-24'!$A:$A,'[3]Apr-24'!$H:$H,0)</f>
        <v>0</v>
      </c>
      <c r="J65" s="17">
        <f>_xlfn.XLOOKUP($B65,'[3]May-24'!$A:$A,'[3]May-24'!$H:$H,0)</f>
        <v>0</v>
      </c>
      <c r="K65" s="17">
        <f>_xlfn.XLOOKUP($B65,'[3]Jun-24'!$A:$A,'[3]Jun-24'!$H:$H,0)</f>
        <v>0</v>
      </c>
      <c r="L65" s="17">
        <f>_xlfn.XLOOKUP($B65,'[3]Jul-24'!$A:$A,'[3]Jul-24'!$H:$H,0)</f>
        <v>0</v>
      </c>
      <c r="M65" s="17">
        <f>_xlfn.XLOOKUP($B65,'[3]Aug-24'!$A:$A,'[3]Aug-24'!$H:$H,0)</f>
        <v>0</v>
      </c>
      <c r="N65" s="17">
        <f>_xlfn.XLOOKUP($B65,'[3]Sep-24'!$A:$A,'[3]Sep-24'!$H:$H,0)</f>
        <v>0</v>
      </c>
      <c r="O65" s="17">
        <f>_xlfn.XLOOKUP($B65,'[3]Oct-24'!$A:$A,'[3]Oct-24'!$H:$H,0)</f>
        <v>0</v>
      </c>
      <c r="P65" s="17">
        <f>_xlfn.XLOOKUP($B65,'[3]Nov-24'!$A:$A,'[3]Nov-24'!$H:$H,0)</f>
        <v>0</v>
      </c>
      <c r="Q65" s="17">
        <f>_xlfn.XLOOKUP($B65,'[3]Dec-24'!$A:$A,'[3]Dec-24'!$H:$H,0)</f>
        <v>0</v>
      </c>
      <c r="R65" s="17">
        <f>_xlfn.XLOOKUP($B65,'[3]Jan-25'!$A:$A,'[3]Jan-25'!$H:$H,0)</f>
        <v>0</v>
      </c>
      <c r="S65" s="17">
        <f>_xlfn.XLOOKUP($B65,'[3]Feb-25'!$A:$A,'[3]Feb-25'!$H:$H,0)</f>
        <v>0</v>
      </c>
      <c r="T65" s="17">
        <f>_xlfn.XLOOKUP($B65,'[3]Mar-25'!$A:$A,'[3]Mar-25'!$H:$H,0)</f>
        <v>0</v>
      </c>
      <c r="U65" s="17">
        <f>_xlfn.XLOOKUP($B65,'[3]Apr-25'!$A:$A,'[3]Apr-25'!$H:$H,0)</f>
        <v>0</v>
      </c>
      <c r="V65" s="17">
        <f>_xlfn.XLOOKUP($B65,'[3]May-25'!$A:$A,'[3]May-25'!$H:$H,0)</f>
        <v>0</v>
      </c>
      <c r="W65" s="17">
        <f>_xlfn.XLOOKUP($B65,'[3]Jun-25'!$A:$A,'[3]Jun-25'!$H:$H,0)</f>
        <v>0</v>
      </c>
      <c r="X65" s="17">
        <f>_xlfn.XLOOKUP($B65,'[3]Jul-25'!$A:$A,'[3]Jul-25'!$H:$H,0)</f>
        <v>0</v>
      </c>
      <c r="Y65" s="17">
        <f>_xlfn.XLOOKUP($B65,'[3]Aug-25'!$A:$A,'[3]Aug-25'!$H:$H,0)</f>
        <v>0</v>
      </c>
      <c r="Z65" s="17">
        <f>_xlfn.XLOOKUP($B65,'[3]Sep-25'!$A:$A,'[3]Sep-25'!$H:$H,0)</f>
        <v>0</v>
      </c>
      <c r="AA65" s="17">
        <f>_xlfn.XLOOKUP($B65,'[3]Oct-25'!$A:$A,'[3]Oct-25'!$H:$H,0)</f>
        <v>0</v>
      </c>
      <c r="AB65" s="17">
        <f>_xlfn.XLOOKUP($B65,'[3]Nov-25'!$A:$A,'[3]Nov-25'!$H:$H,0)</f>
        <v>0</v>
      </c>
      <c r="AC65" s="17">
        <f>_xlfn.XLOOKUP($B65,'[3]Dec-25'!$A:$A,'[3]Dec-25'!$H:$H,0)</f>
        <v>0</v>
      </c>
      <c r="AD65" s="17">
        <f>_xlfn.XLOOKUP($B65,'[3]Jan-26'!$A:$A,'[3]Jan-26'!$H:$H,0)</f>
        <v>0</v>
      </c>
      <c r="AE65" s="17">
        <f>_xlfn.XLOOKUP($B65,'[3]Feb-26'!$A:$A,'[3]Feb-26'!$H:$H,0)</f>
        <v>0</v>
      </c>
      <c r="AF65" s="17">
        <f>_xlfn.XLOOKUP($B65,'[3]Mar-26'!$A:$A,'[3]Mar-26'!$H:$H,0)</f>
        <v>0</v>
      </c>
      <c r="AG65" s="17">
        <f>_xlfn.XLOOKUP($B65,'[3]Apr-26'!$A:$A,'[3]Apr-26'!$H:$H,0)</f>
        <v>0</v>
      </c>
    </row>
    <row r="66" spans="1:33" x14ac:dyDescent="0.2">
      <c r="A66" s="58" t="s">
        <v>937</v>
      </c>
      <c r="B66" s="56" t="str">
        <f t="shared" si="2"/>
        <v>24550</v>
      </c>
      <c r="C66" s="78" t="s">
        <v>457</v>
      </c>
      <c r="D66" s="57" t="s">
        <v>429</v>
      </c>
      <c r="E66" s="44" t="s">
        <v>1015</v>
      </c>
      <c r="F66" s="17">
        <f>_xlfn.XLOOKUP($B66,'[3]Jan-24'!$A:$A,'[3]Jan-24'!$H:$H,0)</f>
        <v>23788.21</v>
      </c>
      <c r="G66" s="17">
        <f>_xlfn.XLOOKUP($B66,'[3]Feb-24'!$A:$A,'[3]Feb-24'!$H:$H,0)</f>
        <v>23788.21</v>
      </c>
      <c r="H66" s="17">
        <f>_xlfn.XLOOKUP($B66,'[3]Mar-24'!$A:$A,'[3]Mar-24'!$H:$H,0)</f>
        <v>23788.21</v>
      </c>
      <c r="I66" s="17">
        <f>_xlfn.XLOOKUP($B66,'[3]Apr-24'!$A:$A,'[3]Apr-24'!$H:$H,0)</f>
        <v>23788.21</v>
      </c>
      <c r="J66" s="17">
        <f>_xlfn.XLOOKUP($B66,'[3]May-24'!$A:$A,'[3]May-24'!$H:$H,0)</f>
        <v>23788.21</v>
      </c>
      <c r="K66" s="17">
        <f>_xlfn.XLOOKUP($B66,'[3]Jun-24'!$A:$A,'[3]Jun-24'!$H:$H,0)</f>
        <v>23788.21</v>
      </c>
      <c r="L66" s="17">
        <f>_xlfn.XLOOKUP($B66,'[3]Jul-24'!$A:$A,'[3]Jul-24'!$H:$H,0)</f>
        <v>23788.21</v>
      </c>
      <c r="M66" s="17">
        <f>_xlfn.XLOOKUP($B66,'[3]Aug-24'!$A:$A,'[3]Aug-24'!$H:$H,0)</f>
        <v>-114752.48</v>
      </c>
      <c r="N66" s="17">
        <f>_xlfn.XLOOKUP($B66,'[3]Sep-24'!$A:$A,'[3]Sep-24'!$H:$H,0)</f>
        <v>38245.230000000003</v>
      </c>
      <c r="O66" s="17">
        <f>_xlfn.XLOOKUP($B66,'[3]Oct-24'!$A:$A,'[3]Oct-24'!$H:$H,0)</f>
        <v>38245.230000000003</v>
      </c>
      <c r="P66" s="17">
        <f>_xlfn.XLOOKUP($B66,'[3]Nov-24'!$A:$A,'[3]Nov-24'!$H:$H,0)</f>
        <v>38245.230000000003</v>
      </c>
      <c r="Q66" s="17">
        <f>_xlfn.XLOOKUP($B66,'[3]Dec-24'!$A:$A,'[3]Dec-24'!$H:$H,0)</f>
        <v>79328.84</v>
      </c>
      <c r="R66" s="17">
        <f>_xlfn.XLOOKUP($B66,'[3]Jan-25'!$A:$A,'[3]Jan-25'!$H:$H,0)</f>
        <v>79328.84</v>
      </c>
      <c r="S66" s="17">
        <f>_xlfn.XLOOKUP($B66,'[3]Feb-25'!$A:$A,'[3]Feb-25'!$H:$H,0)</f>
        <v>79328.84</v>
      </c>
      <c r="T66" s="17">
        <f>_xlfn.XLOOKUP($B66,'[3]Mar-25'!$A:$A,'[3]Mar-25'!$H:$H,0)</f>
        <v>79328.84</v>
      </c>
      <c r="U66" s="17">
        <f>_xlfn.XLOOKUP($B66,'[3]Apr-25'!$A:$A,'[3]Apr-25'!$H:$H,0)</f>
        <v>79328.84</v>
      </c>
      <c r="V66" s="17">
        <f>_xlfn.XLOOKUP($B66,'[3]May-25'!$A:$A,'[3]May-25'!$H:$H,0)</f>
        <v>79328.84</v>
      </c>
      <c r="W66" s="17">
        <f>_xlfn.XLOOKUP($B66,'[3]Jun-25'!$A:$A,'[3]Jun-25'!$H:$H,0)</f>
        <v>79328.84</v>
      </c>
      <c r="X66" s="17">
        <f>_xlfn.XLOOKUP($B66,'[3]Jul-25'!$A:$A,'[3]Jul-25'!$H:$H,0)</f>
        <v>79328.84</v>
      </c>
      <c r="Y66" s="17">
        <f>_xlfn.XLOOKUP($B66,'[3]Aug-25'!$A:$A,'[3]Aug-25'!$H:$H,0)</f>
        <v>79328.84</v>
      </c>
      <c r="Z66" s="17">
        <f>_xlfn.XLOOKUP($B66,'[3]Sep-25'!$A:$A,'[3]Sep-25'!$H:$H,0)</f>
        <v>79328.84</v>
      </c>
      <c r="AA66" s="17">
        <f>_xlfn.XLOOKUP($B66,'[3]Oct-25'!$A:$A,'[3]Oct-25'!$H:$H,0)</f>
        <v>79328.84</v>
      </c>
      <c r="AB66" s="17">
        <f>_xlfn.XLOOKUP($B66,'[3]Nov-25'!$A:$A,'[3]Nov-25'!$H:$H,0)</f>
        <v>79328.84</v>
      </c>
      <c r="AC66" s="17">
        <f>_xlfn.XLOOKUP($B66,'[3]Dec-25'!$A:$A,'[3]Dec-25'!$H:$H,0)</f>
        <v>93296.11</v>
      </c>
      <c r="AD66" s="17">
        <f>_xlfn.XLOOKUP($B66,'[3]Jan-26'!$A:$A,'[3]Jan-26'!$H:$H,0)</f>
        <v>93296.11</v>
      </c>
      <c r="AE66" s="17">
        <f>_xlfn.XLOOKUP($B66,'[3]Feb-26'!$A:$A,'[3]Feb-26'!$H:$H,0)</f>
        <v>93296.11</v>
      </c>
      <c r="AF66" s="17">
        <f>_xlfn.XLOOKUP($B66,'[3]Mar-26'!$A:$A,'[3]Mar-26'!$H:$H,0)</f>
        <v>93296.11</v>
      </c>
      <c r="AG66" s="17">
        <f>_xlfn.XLOOKUP($B66,'[3]Apr-26'!$A:$A,'[3]Apr-26'!$H:$H,0)</f>
        <v>-2076.29</v>
      </c>
    </row>
    <row r="67" spans="1:33" x14ac:dyDescent="0.2">
      <c r="A67" s="58" t="s">
        <v>1016</v>
      </c>
      <c r="B67" s="56" t="str">
        <f t="shared" si="2"/>
        <v>26100</v>
      </c>
      <c r="C67" s="78" t="s">
        <v>1017</v>
      </c>
      <c r="D67" s="57" t="s">
        <v>303</v>
      </c>
      <c r="E67" s="44" t="s">
        <v>1018</v>
      </c>
      <c r="F67" s="17">
        <f>_xlfn.XLOOKUP($B67,'[3]Jan-24'!$A:$A,'[3]Jan-24'!$H:$H,0)</f>
        <v>0</v>
      </c>
      <c r="G67" s="17">
        <f>_xlfn.XLOOKUP($B67,'[3]Feb-24'!$A:$A,'[3]Feb-24'!$H:$H,0)</f>
        <v>0</v>
      </c>
      <c r="H67" s="17">
        <f>_xlfn.XLOOKUP($B67,'[3]Mar-24'!$A:$A,'[3]Mar-24'!$H:$H,0)</f>
        <v>0</v>
      </c>
      <c r="I67" s="17">
        <f>_xlfn.XLOOKUP($B67,'[3]Apr-24'!$A:$A,'[3]Apr-24'!$H:$H,0)</f>
        <v>0</v>
      </c>
      <c r="J67" s="17">
        <f>_xlfn.XLOOKUP($B67,'[3]May-24'!$A:$A,'[3]May-24'!$H:$H,0)</f>
        <v>0</v>
      </c>
      <c r="K67" s="17">
        <f>_xlfn.XLOOKUP($B67,'[3]Jun-24'!$A:$A,'[3]Jun-24'!$H:$H,0)</f>
        <v>0</v>
      </c>
      <c r="L67" s="17">
        <f>_xlfn.XLOOKUP($B67,'[3]Jul-24'!$A:$A,'[3]Jul-24'!$H:$H,0)</f>
        <v>0</v>
      </c>
      <c r="M67" s="17">
        <f>_xlfn.XLOOKUP($B67,'[3]Aug-24'!$A:$A,'[3]Aug-24'!$H:$H,0)</f>
        <v>0</v>
      </c>
      <c r="N67" s="17">
        <f>_xlfn.XLOOKUP($B67,'[3]Sep-24'!$A:$A,'[3]Sep-24'!$H:$H,0)</f>
        <v>0</v>
      </c>
      <c r="O67" s="17">
        <f>_xlfn.XLOOKUP($B67,'[3]Oct-24'!$A:$A,'[3]Oct-24'!$H:$H,0)</f>
        <v>0</v>
      </c>
      <c r="P67" s="17">
        <f>_xlfn.XLOOKUP($B67,'[3]Nov-24'!$A:$A,'[3]Nov-24'!$H:$H,0)</f>
        <v>0</v>
      </c>
      <c r="Q67" s="17">
        <f>_xlfn.XLOOKUP($B67,'[3]Dec-24'!$A:$A,'[3]Dec-24'!$H:$H,0)</f>
        <v>0</v>
      </c>
      <c r="R67" s="17">
        <f>_xlfn.XLOOKUP($B67,'[3]Jan-25'!$A:$A,'[3]Jan-25'!$H:$H,0)</f>
        <v>0</v>
      </c>
      <c r="S67" s="17">
        <f>_xlfn.XLOOKUP($B67,'[3]Feb-25'!$A:$A,'[3]Feb-25'!$H:$H,0)</f>
        <v>0</v>
      </c>
      <c r="T67" s="17">
        <f>_xlfn.XLOOKUP($B67,'[3]Mar-25'!$A:$A,'[3]Mar-25'!$H:$H,0)</f>
        <v>0</v>
      </c>
      <c r="U67" s="17">
        <f>_xlfn.XLOOKUP($B67,'[3]Apr-25'!$A:$A,'[3]Apr-25'!$H:$H,0)</f>
        <v>0</v>
      </c>
      <c r="V67" s="17">
        <f>_xlfn.XLOOKUP($B67,'[3]May-25'!$A:$A,'[3]May-25'!$H:$H,0)</f>
        <v>0</v>
      </c>
      <c r="W67" s="17">
        <f>_xlfn.XLOOKUP($B67,'[3]Jun-25'!$A:$A,'[3]Jun-25'!$H:$H,0)</f>
        <v>0</v>
      </c>
      <c r="X67" s="17">
        <f>_xlfn.XLOOKUP($B67,'[3]Jul-25'!$A:$A,'[3]Jul-25'!$H:$H,0)</f>
        <v>0</v>
      </c>
      <c r="Y67" s="17">
        <f>_xlfn.XLOOKUP($B67,'[3]Aug-25'!$A:$A,'[3]Aug-25'!$H:$H,0)</f>
        <v>0</v>
      </c>
      <c r="Z67" s="17">
        <f>_xlfn.XLOOKUP($B67,'[3]Sep-25'!$A:$A,'[3]Sep-25'!$H:$H,0)</f>
        <v>0</v>
      </c>
      <c r="AA67" s="17">
        <f>_xlfn.XLOOKUP($B67,'[3]Oct-25'!$A:$A,'[3]Oct-25'!$H:$H,0)</f>
        <v>0</v>
      </c>
      <c r="AB67" s="17">
        <f>_xlfn.XLOOKUP($B67,'[3]Nov-25'!$A:$A,'[3]Nov-25'!$H:$H,0)</f>
        <v>0</v>
      </c>
      <c r="AC67" s="17">
        <f>_xlfn.XLOOKUP($B67,'[3]Dec-25'!$A:$A,'[3]Dec-25'!$H:$H,0)</f>
        <v>0</v>
      </c>
      <c r="AD67" s="17">
        <f>_xlfn.XLOOKUP($B67,'[3]Jan-26'!$A:$A,'[3]Jan-26'!$H:$H,0)</f>
        <v>0</v>
      </c>
      <c r="AE67" s="17">
        <f>_xlfn.XLOOKUP($B67,'[3]Feb-26'!$A:$A,'[3]Feb-26'!$H:$H,0)</f>
        <v>0</v>
      </c>
      <c r="AF67" s="17">
        <f>_xlfn.XLOOKUP($B67,'[3]Mar-26'!$A:$A,'[3]Mar-26'!$H:$H,0)</f>
        <v>0</v>
      </c>
      <c r="AG67" s="17">
        <f>_xlfn.XLOOKUP($B67,'[3]Apr-26'!$A:$A,'[3]Apr-26'!$H:$H,0)</f>
        <v>0</v>
      </c>
    </row>
    <row r="68" spans="1:33" x14ac:dyDescent="0.2">
      <c r="A68" s="58" t="s">
        <v>1019</v>
      </c>
      <c r="B68" s="56" t="str">
        <f t="shared" ref="B68:B131" si="3">TEXT(A68,"00000")</f>
        <v>27001</v>
      </c>
      <c r="C68" s="78" t="s">
        <v>430</v>
      </c>
      <c r="D68" s="57" t="s">
        <v>429</v>
      </c>
      <c r="E68" s="44" t="s">
        <v>461</v>
      </c>
      <c r="F68" s="17">
        <f>_xlfn.XLOOKUP($B68,'[3]Jan-24'!$A:$A,'[3]Jan-24'!$H:$H,0)</f>
        <v>0</v>
      </c>
      <c r="G68" s="17">
        <f>_xlfn.XLOOKUP($B68,'[3]Feb-24'!$A:$A,'[3]Feb-24'!$H:$H,0)</f>
        <v>0</v>
      </c>
      <c r="H68" s="17">
        <f>_xlfn.XLOOKUP($B68,'[3]Mar-24'!$A:$A,'[3]Mar-24'!$H:$H,0)</f>
        <v>0</v>
      </c>
      <c r="I68" s="17">
        <f>_xlfn.XLOOKUP($B68,'[3]Apr-24'!$A:$A,'[3]Apr-24'!$H:$H,0)</f>
        <v>0</v>
      </c>
      <c r="J68" s="17">
        <f>_xlfn.XLOOKUP($B68,'[3]May-24'!$A:$A,'[3]May-24'!$H:$H,0)</f>
        <v>0</v>
      </c>
      <c r="K68" s="17">
        <f>_xlfn.XLOOKUP($B68,'[3]Jun-24'!$A:$A,'[3]Jun-24'!$H:$H,0)</f>
        <v>0</v>
      </c>
      <c r="L68" s="17">
        <f>_xlfn.XLOOKUP($B68,'[3]Jul-24'!$A:$A,'[3]Jul-24'!$H:$H,0)</f>
        <v>0</v>
      </c>
      <c r="M68" s="17">
        <f>_xlfn.XLOOKUP($B68,'[3]Aug-24'!$A:$A,'[3]Aug-24'!$H:$H,0)</f>
        <v>0</v>
      </c>
      <c r="N68" s="17">
        <f>_xlfn.XLOOKUP($B68,'[3]Sep-24'!$A:$A,'[3]Sep-24'!$H:$H,0)</f>
        <v>0</v>
      </c>
      <c r="O68" s="17">
        <f>_xlfn.XLOOKUP($B68,'[3]Oct-24'!$A:$A,'[3]Oct-24'!$H:$H,0)</f>
        <v>0</v>
      </c>
      <c r="P68" s="17">
        <f>_xlfn.XLOOKUP($B68,'[3]Nov-24'!$A:$A,'[3]Nov-24'!$H:$H,0)</f>
        <v>0</v>
      </c>
      <c r="Q68" s="17">
        <f>_xlfn.XLOOKUP($B68,'[3]Dec-24'!$A:$A,'[3]Dec-24'!$H:$H,0)</f>
        <v>0</v>
      </c>
      <c r="R68" s="17">
        <f>_xlfn.XLOOKUP($B68,'[3]Jan-25'!$A:$A,'[3]Jan-25'!$H:$H,0)</f>
        <v>0</v>
      </c>
      <c r="S68" s="17">
        <f>_xlfn.XLOOKUP($B68,'[3]Feb-25'!$A:$A,'[3]Feb-25'!$H:$H,0)</f>
        <v>0</v>
      </c>
      <c r="T68" s="17">
        <f>_xlfn.XLOOKUP($B68,'[3]Mar-25'!$A:$A,'[3]Mar-25'!$H:$H,0)</f>
        <v>0</v>
      </c>
      <c r="U68" s="17">
        <f>_xlfn.XLOOKUP($B68,'[3]Apr-25'!$A:$A,'[3]Apr-25'!$H:$H,0)</f>
        <v>0</v>
      </c>
      <c r="V68" s="17">
        <f>_xlfn.XLOOKUP($B68,'[3]May-25'!$A:$A,'[3]May-25'!$H:$H,0)</f>
        <v>0</v>
      </c>
      <c r="W68" s="17">
        <f>_xlfn.XLOOKUP($B68,'[3]Jun-25'!$A:$A,'[3]Jun-25'!$H:$H,0)</f>
        <v>0</v>
      </c>
      <c r="X68" s="17">
        <f>_xlfn.XLOOKUP($B68,'[3]Jul-25'!$A:$A,'[3]Jul-25'!$H:$H,0)</f>
        <v>0</v>
      </c>
      <c r="Y68" s="17">
        <f>_xlfn.XLOOKUP($B68,'[3]Aug-25'!$A:$A,'[3]Aug-25'!$H:$H,0)</f>
        <v>0</v>
      </c>
      <c r="Z68" s="17">
        <f>_xlfn.XLOOKUP($B68,'[3]Sep-25'!$A:$A,'[3]Sep-25'!$H:$H,0)</f>
        <v>0</v>
      </c>
      <c r="AA68" s="17">
        <f>_xlfn.XLOOKUP($B68,'[3]Oct-25'!$A:$A,'[3]Oct-25'!$H:$H,0)</f>
        <v>0</v>
      </c>
      <c r="AB68" s="17">
        <f>_xlfn.XLOOKUP($B68,'[3]Nov-25'!$A:$A,'[3]Nov-25'!$H:$H,0)</f>
        <v>0</v>
      </c>
      <c r="AC68" s="17">
        <f>_xlfn.XLOOKUP($B68,'[3]Dec-25'!$A:$A,'[3]Dec-25'!$H:$H,0)</f>
        <v>0</v>
      </c>
      <c r="AD68" s="17">
        <f>_xlfn.XLOOKUP($B68,'[3]Jan-26'!$A:$A,'[3]Jan-26'!$H:$H,0)</f>
        <v>0</v>
      </c>
      <c r="AE68" s="17">
        <f>_xlfn.XLOOKUP($B68,'[3]Feb-26'!$A:$A,'[3]Feb-26'!$H:$H,0)</f>
        <v>0</v>
      </c>
      <c r="AF68" s="17">
        <f>_xlfn.XLOOKUP($B68,'[3]Mar-26'!$A:$A,'[3]Mar-26'!$H:$H,0)</f>
        <v>0</v>
      </c>
      <c r="AG68" s="17">
        <f>_xlfn.XLOOKUP($B68,'[3]Apr-26'!$A:$A,'[3]Apr-26'!$H:$H,0)</f>
        <v>0</v>
      </c>
    </row>
    <row r="69" spans="1:33" x14ac:dyDescent="0.2">
      <c r="A69" s="58" t="s">
        <v>1020</v>
      </c>
      <c r="B69" s="56" t="str">
        <f t="shared" si="3"/>
        <v>30005</v>
      </c>
      <c r="C69" s="78" t="s">
        <v>287</v>
      </c>
      <c r="D69" s="57" t="s">
        <v>429</v>
      </c>
      <c r="E69" s="44" t="s">
        <v>288</v>
      </c>
      <c r="F69" s="17">
        <f>_xlfn.XLOOKUP($B69,'[3]Jan-24'!$A:$A,'[3]Jan-24'!$H:$H,0)</f>
        <v>0</v>
      </c>
      <c r="G69" s="17">
        <f>_xlfn.XLOOKUP($B69,'[3]Feb-24'!$A:$A,'[3]Feb-24'!$H:$H,0)</f>
        <v>0</v>
      </c>
      <c r="H69" s="17">
        <f>_xlfn.XLOOKUP($B69,'[3]Mar-24'!$A:$A,'[3]Mar-24'!$H:$H,0)</f>
        <v>0</v>
      </c>
      <c r="I69" s="17">
        <f>_xlfn.XLOOKUP($B69,'[3]Apr-24'!$A:$A,'[3]Apr-24'!$H:$H,0)</f>
        <v>0</v>
      </c>
      <c r="J69" s="17">
        <f>_xlfn.XLOOKUP($B69,'[3]May-24'!$A:$A,'[3]May-24'!$H:$H,0)</f>
        <v>0</v>
      </c>
      <c r="K69" s="17">
        <f>_xlfn.XLOOKUP($B69,'[3]Jun-24'!$A:$A,'[3]Jun-24'!$H:$H,0)</f>
        <v>0</v>
      </c>
      <c r="L69" s="17">
        <f>_xlfn.XLOOKUP($B69,'[3]Jul-24'!$A:$A,'[3]Jul-24'!$H:$H,0)</f>
        <v>0</v>
      </c>
      <c r="M69" s="17">
        <f>_xlfn.XLOOKUP($B69,'[3]Aug-24'!$A:$A,'[3]Aug-24'!$H:$H,0)</f>
        <v>0</v>
      </c>
      <c r="N69" s="17">
        <f>_xlfn.XLOOKUP($B69,'[3]Sep-24'!$A:$A,'[3]Sep-24'!$H:$H,0)</f>
        <v>0</v>
      </c>
      <c r="O69" s="17">
        <f>_xlfn.XLOOKUP($B69,'[3]Oct-24'!$A:$A,'[3]Oct-24'!$H:$H,0)</f>
        <v>0</v>
      </c>
      <c r="P69" s="17">
        <f>_xlfn.XLOOKUP($B69,'[3]Nov-24'!$A:$A,'[3]Nov-24'!$H:$H,0)</f>
        <v>0</v>
      </c>
      <c r="Q69" s="17">
        <f>_xlfn.XLOOKUP($B69,'[3]Dec-24'!$A:$A,'[3]Dec-24'!$H:$H,0)</f>
        <v>0</v>
      </c>
      <c r="R69" s="17">
        <f>_xlfn.XLOOKUP($B69,'[3]Jan-25'!$A:$A,'[3]Jan-25'!$H:$H,0)</f>
        <v>0</v>
      </c>
      <c r="S69" s="17">
        <f>_xlfn.XLOOKUP($B69,'[3]Feb-25'!$A:$A,'[3]Feb-25'!$H:$H,0)</f>
        <v>0</v>
      </c>
      <c r="T69" s="17">
        <f>_xlfn.XLOOKUP($B69,'[3]Mar-25'!$A:$A,'[3]Mar-25'!$H:$H,0)</f>
        <v>0</v>
      </c>
      <c r="U69" s="17">
        <f>_xlfn.XLOOKUP($B69,'[3]Apr-25'!$A:$A,'[3]Apr-25'!$H:$H,0)</f>
        <v>0</v>
      </c>
      <c r="V69" s="17">
        <f>_xlfn.XLOOKUP($B69,'[3]May-25'!$A:$A,'[3]May-25'!$H:$H,0)</f>
        <v>0</v>
      </c>
      <c r="W69" s="17">
        <f>_xlfn.XLOOKUP($B69,'[3]Jun-25'!$A:$A,'[3]Jun-25'!$H:$H,0)</f>
        <v>0</v>
      </c>
      <c r="X69" s="17">
        <f>_xlfn.XLOOKUP($B69,'[3]Jul-25'!$A:$A,'[3]Jul-25'!$H:$H,0)</f>
        <v>0</v>
      </c>
      <c r="Y69" s="17">
        <f>_xlfn.XLOOKUP($B69,'[3]Aug-25'!$A:$A,'[3]Aug-25'!$H:$H,0)</f>
        <v>0</v>
      </c>
      <c r="Z69" s="17">
        <f>_xlfn.XLOOKUP($B69,'[3]Sep-25'!$A:$A,'[3]Sep-25'!$H:$H,0)</f>
        <v>0</v>
      </c>
      <c r="AA69" s="17">
        <f>_xlfn.XLOOKUP($B69,'[3]Oct-25'!$A:$A,'[3]Oct-25'!$H:$H,0)</f>
        <v>0</v>
      </c>
      <c r="AB69" s="17">
        <f>_xlfn.XLOOKUP($B69,'[3]Nov-25'!$A:$A,'[3]Nov-25'!$H:$H,0)</f>
        <v>0</v>
      </c>
      <c r="AC69" s="17">
        <f>_xlfn.XLOOKUP($B69,'[3]Dec-25'!$A:$A,'[3]Dec-25'!$H:$H,0)</f>
        <v>0</v>
      </c>
      <c r="AD69" s="17">
        <f>_xlfn.XLOOKUP($B69,'[3]Jan-26'!$A:$A,'[3]Jan-26'!$H:$H,0)</f>
        <v>0</v>
      </c>
      <c r="AE69" s="17">
        <f>_xlfn.XLOOKUP($B69,'[3]Feb-26'!$A:$A,'[3]Feb-26'!$H:$H,0)</f>
        <v>0</v>
      </c>
      <c r="AF69" s="17">
        <f>_xlfn.XLOOKUP($B69,'[3]Mar-26'!$A:$A,'[3]Mar-26'!$H:$H,0)</f>
        <v>0</v>
      </c>
      <c r="AG69" s="17">
        <f>_xlfn.XLOOKUP($B69,'[3]Apr-26'!$A:$A,'[3]Apr-26'!$H:$H,0)</f>
        <v>0</v>
      </c>
    </row>
    <row r="70" spans="1:33" x14ac:dyDescent="0.2">
      <c r="A70" s="58" t="s">
        <v>939</v>
      </c>
      <c r="B70" s="56" t="str">
        <f t="shared" si="3"/>
        <v>30022</v>
      </c>
      <c r="C70" s="78" t="s">
        <v>287</v>
      </c>
      <c r="D70" s="57" t="s">
        <v>429</v>
      </c>
      <c r="E70" s="44" t="s">
        <v>799</v>
      </c>
      <c r="F70" s="17">
        <f>_xlfn.XLOOKUP($B70,'[3]Jan-24'!$A:$A,'[3]Jan-24'!$H:$H,0)</f>
        <v>-861194.66</v>
      </c>
      <c r="G70" s="17">
        <f>_xlfn.XLOOKUP($B70,'[3]Feb-24'!$A:$A,'[3]Feb-24'!$H:$H,0)</f>
        <v>-901802.14</v>
      </c>
      <c r="H70" s="17">
        <f>_xlfn.XLOOKUP($B70,'[3]Mar-24'!$A:$A,'[3]Mar-24'!$H:$H,0)</f>
        <v>-942672.06</v>
      </c>
      <c r="I70" s="17">
        <f>_xlfn.XLOOKUP($B70,'[3]Apr-24'!$A:$A,'[3]Apr-24'!$H:$H,0)</f>
        <v>-1092837.6299999999</v>
      </c>
      <c r="J70" s="17">
        <f>_xlfn.XLOOKUP($B70,'[3]May-24'!$A:$A,'[3]May-24'!$H:$H,0)</f>
        <v>-1447039.35</v>
      </c>
      <c r="K70" s="17">
        <f>_xlfn.XLOOKUP($B70,'[3]Jun-24'!$A:$A,'[3]Jun-24'!$H:$H,0)</f>
        <v>-1453704.41</v>
      </c>
      <c r="L70" s="17">
        <f>_xlfn.XLOOKUP($B70,'[3]Jul-24'!$A:$A,'[3]Jul-24'!$H:$H,0)</f>
        <v>-1460045.4</v>
      </c>
      <c r="M70" s="17">
        <f>_xlfn.XLOOKUP($B70,'[3]Aug-24'!$A:$A,'[3]Aug-24'!$H:$H,0)</f>
        <v>-1756666.68</v>
      </c>
      <c r="N70" s="17">
        <f>_xlfn.XLOOKUP($B70,'[3]Sep-24'!$A:$A,'[3]Sep-24'!$H:$H,0)</f>
        <v>-1763041.83</v>
      </c>
      <c r="O70" s="17">
        <f>_xlfn.XLOOKUP($B70,'[3]Oct-24'!$A:$A,'[3]Oct-24'!$H:$H,0)</f>
        <v>-1769287.07</v>
      </c>
      <c r="P70" s="17">
        <f>_xlfn.XLOOKUP($B70,'[3]Nov-24'!$A:$A,'[3]Nov-24'!$H:$H,0)</f>
        <v>-1775385.83</v>
      </c>
      <c r="Q70" s="17">
        <f>_xlfn.XLOOKUP($B70,'[3]Dec-24'!$A:$A,'[3]Dec-24'!$H:$H,0)</f>
        <v>-1212398.54</v>
      </c>
      <c r="R70" s="17">
        <f>_xlfn.XLOOKUP($B70,'[3]Jan-25'!$A:$A,'[3]Jan-25'!$H:$H,0)</f>
        <v>-1426416.76</v>
      </c>
      <c r="S70" s="17">
        <f>_xlfn.XLOOKUP($B70,'[3]Feb-25'!$A:$A,'[3]Feb-25'!$H:$H,0)</f>
        <v>-1435497.77</v>
      </c>
      <c r="T70" s="17">
        <f>_xlfn.XLOOKUP($B70,'[3]Mar-25'!$A:$A,'[3]Mar-25'!$H:$H,0)</f>
        <v>-1444995.33</v>
      </c>
      <c r="U70" s="17">
        <f>_xlfn.XLOOKUP($B70,'[3]Apr-25'!$A:$A,'[3]Apr-25'!$H:$H,0)</f>
        <v>-1626242.87</v>
      </c>
      <c r="V70" s="17">
        <f>_xlfn.XLOOKUP($B70,'[3]May-25'!$A:$A,'[3]May-25'!$H:$H,0)</f>
        <v>-1635224.08</v>
      </c>
      <c r="W70" s="17">
        <f>_xlfn.XLOOKUP($B70,'[3]Jun-25'!$A:$A,'[3]Jun-25'!$H:$H,0)</f>
        <v>-1644631.96</v>
      </c>
      <c r="X70" s="17">
        <f>_xlfn.XLOOKUP($B70,'[3]Jul-25'!$A:$A,'[3]Jul-25'!$H:$H,0)</f>
        <v>-1913123.72</v>
      </c>
      <c r="Y70" s="17">
        <f>_xlfn.XLOOKUP($B70,'[3]Aug-25'!$A:$A,'[3]Aug-25'!$H:$H,0)</f>
        <v>-1922933.34</v>
      </c>
      <c r="Z70" s="17">
        <f>_xlfn.XLOOKUP($B70,'[3]Sep-25'!$A:$A,'[3]Sep-25'!$H:$H,0)</f>
        <v>-1934236.16</v>
      </c>
      <c r="AA70" s="17">
        <f>_xlfn.XLOOKUP($B70,'[3]Oct-25'!$A:$A,'[3]Oct-25'!$H:$H,0)</f>
        <v>-1944164.73</v>
      </c>
      <c r="AB70" s="17">
        <f>_xlfn.XLOOKUP($B70,'[3]Nov-25'!$A:$A,'[3]Nov-25'!$H:$H,0)</f>
        <v>-2056216.02</v>
      </c>
      <c r="AC70" s="17">
        <f>_xlfn.XLOOKUP($B70,'[3]Dec-25'!$A:$A,'[3]Dec-25'!$H:$H,0)</f>
        <v>-1247019.21</v>
      </c>
      <c r="AD70" s="17">
        <f>_xlfn.XLOOKUP($B70,'[3]Jan-26'!$A:$A,'[3]Jan-26'!$H:$H,0)</f>
        <v>-1421938.72</v>
      </c>
      <c r="AE70" s="17">
        <f>_xlfn.XLOOKUP($B70,'[3]Feb-26'!$A:$A,'[3]Feb-26'!$H:$H,0)</f>
        <v>-1434122.57</v>
      </c>
      <c r="AF70" s="17">
        <f>_xlfn.XLOOKUP($B70,'[3]Mar-26'!$A:$A,'[3]Mar-26'!$H:$H,0)</f>
        <v>-1445352.89</v>
      </c>
      <c r="AG70" s="17">
        <f>_xlfn.XLOOKUP($B70,'[3]Apr-26'!$A:$A,'[3]Apr-26'!$H:$H,0)</f>
        <v>-1653326.94</v>
      </c>
    </row>
    <row r="71" spans="1:33" x14ac:dyDescent="0.2">
      <c r="A71" s="58" t="s">
        <v>940</v>
      </c>
      <c r="B71" s="56" t="str">
        <f t="shared" si="3"/>
        <v>30040</v>
      </c>
      <c r="C71" s="78" t="s">
        <v>287</v>
      </c>
      <c r="D71" s="57" t="s">
        <v>429</v>
      </c>
      <c r="E71" s="44" t="s">
        <v>1021</v>
      </c>
      <c r="F71" s="17">
        <f>_xlfn.XLOOKUP($B71,'[3]Jan-24'!$A:$A,'[3]Jan-24'!$H:$H,0)</f>
        <v>-10000</v>
      </c>
      <c r="G71" s="17">
        <f>_xlfn.XLOOKUP($B71,'[3]Feb-24'!$A:$A,'[3]Feb-24'!$H:$H,0)</f>
        <v>-10000</v>
      </c>
      <c r="H71" s="17">
        <f>_xlfn.XLOOKUP($B71,'[3]Mar-24'!$A:$A,'[3]Mar-24'!$H:$H,0)</f>
        <v>-10000</v>
      </c>
      <c r="I71" s="17">
        <f>_xlfn.XLOOKUP($B71,'[3]Apr-24'!$A:$A,'[3]Apr-24'!$H:$H,0)</f>
        <v>-10000</v>
      </c>
      <c r="J71" s="17">
        <f>_xlfn.XLOOKUP($B71,'[3]May-24'!$A:$A,'[3]May-24'!$H:$H,0)</f>
        <v>-10000</v>
      </c>
      <c r="K71" s="17">
        <f>_xlfn.XLOOKUP($B71,'[3]Jun-24'!$A:$A,'[3]Jun-24'!$H:$H,0)</f>
        <v>-10000</v>
      </c>
      <c r="L71" s="17">
        <f>_xlfn.XLOOKUP($B71,'[3]Jul-24'!$A:$A,'[3]Jul-24'!$H:$H,0)</f>
        <v>-10000</v>
      </c>
      <c r="M71" s="17">
        <f>_xlfn.XLOOKUP($B71,'[3]Aug-24'!$A:$A,'[3]Aug-24'!$H:$H,0)</f>
        <v>-10000</v>
      </c>
      <c r="N71" s="17">
        <f>_xlfn.XLOOKUP($B71,'[3]Sep-24'!$A:$A,'[3]Sep-24'!$H:$H,0)</f>
        <v>-10000</v>
      </c>
      <c r="O71" s="17">
        <f>_xlfn.XLOOKUP($B71,'[3]Oct-24'!$A:$A,'[3]Oct-24'!$H:$H,0)</f>
        <v>-10000</v>
      </c>
      <c r="P71" s="17">
        <f>_xlfn.XLOOKUP($B71,'[3]Nov-24'!$A:$A,'[3]Nov-24'!$H:$H,0)</f>
        <v>-10000</v>
      </c>
      <c r="Q71" s="17">
        <f>_xlfn.XLOOKUP($B71,'[3]Dec-24'!$A:$A,'[3]Dec-24'!$H:$H,0)</f>
        <v>-10000</v>
      </c>
      <c r="R71" s="17">
        <f>_xlfn.XLOOKUP($B71,'[3]Jan-25'!$A:$A,'[3]Jan-25'!$H:$H,0)</f>
        <v>-10000</v>
      </c>
      <c r="S71" s="17">
        <f>_xlfn.XLOOKUP($B71,'[3]Feb-25'!$A:$A,'[3]Feb-25'!$H:$H,0)</f>
        <v>-10000</v>
      </c>
      <c r="T71" s="17">
        <f>_xlfn.XLOOKUP($B71,'[3]Mar-25'!$A:$A,'[3]Mar-25'!$H:$H,0)</f>
        <v>-10000</v>
      </c>
      <c r="U71" s="17">
        <f>_xlfn.XLOOKUP($B71,'[3]Apr-25'!$A:$A,'[3]Apr-25'!$H:$H,0)</f>
        <v>-10000</v>
      </c>
      <c r="V71" s="17">
        <f>_xlfn.XLOOKUP($B71,'[3]May-25'!$A:$A,'[3]May-25'!$H:$H,0)</f>
        <v>-10000</v>
      </c>
      <c r="W71" s="17">
        <f>_xlfn.XLOOKUP($B71,'[3]Jun-25'!$A:$A,'[3]Jun-25'!$H:$H,0)</f>
        <v>-10000</v>
      </c>
      <c r="X71" s="17">
        <f>_xlfn.XLOOKUP($B71,'[3]Jul-25'!$A:$A,'[3]Jul-25'!$H:$H,0)</f>
        <v>-10000</v>
      </c>
      <c r="Y71" s="17">
        <f>_xlfn.XLOOKUP($B71,'[3]Aug-25'!$A:$A,'[3]Aug-25'!$H:$H,0)</f>
        <v>-10000</v>
      </c>
      <c r="Z71" s="17">
        <f>_xlfn.XLOOKUP($B71,'[3]Sep-25'!$A:$A,'[3]Sep-25'!$H:$H,0)</f>
        <v>-10000</v>
      </c>
      <c r="AA71" s="17">
        <f>_xlfn.XLOOKUP($B71,'[3]Oct-25'!$A:$A,'[3]Oct-25'!$H:$H,0)</f>
        <v>-10000</v>
      </c>
      <c r="AB71" s="17">
        <f>_xlfn.XLOOKUP($B71,'[3]Nov-25'!$A:$A,'[3]Nov-25'!$H:$H,0)</f>
        <v>-10000</v>
      </c>
      <c r="AC71" s="17">
        <f>_xlfn.XLOOKUP($B71,'[3]Dec-25'!$A:$A,'[3]Dec-25'!$H:$H,0)</f>
        <v>-10000</v>
      </c>
      <c r="AD71" s="17">
        <f>_xlfn.XLOOKUP($B71,'[3]Jan-26'!$A:$A,'[3]Jan-26'!$H:$H,0)</f>
        <v>-10000</v>
      </c>
      <c r="AE71" s="17">
        <f>_xlfn.XLOOKUP($B71,'[3]Feb-26'!$A:$A,'[3]Feb-26'!$H:$H,0)</f>
        <v>-10000</v>
      </c>
      <c r="AF71" s="17">
        <f>_xlfn.XLOOKUP($B71,'[3]Mar-26'!$A:$A,'[3]Mar-26'!$H:$H,0)</f>
        <v>-10000</v>
      </c>
      <c r="AG71" s="17">
        <f>_xlfn.XLOOKUP($B71,'[3]Apr-26'!$A:$A,'[3]Apr-26'!$H:$H,0)</f>
        <v>-10000</v>
      </c>
    </row>
    <row r="72" spans="1:33" x14ac:dyDescent="0.2">
      <c r="A72" s="58" t="s">
        <v>941</v>
      </c>
      <c r="B72" s="56" t="str">
        <f t="shared" si="3"/>
        <v>32000</v>
      </c>
      <c r="C72" s="78" t="s">
        <v>462</v>
      </c>
      <c r="D72" s="57" t="s">
        <v>429</v>
      </c>
      <c r="E72" s="44" t="s">
        <v>63</v>
      </c>
      <c r="F72" s="17">
        <f>_xlfn.XLOOKUP($B72,'[3]Jan-24'!$A:$A,'[3]Jan-24'!$H:$H,0)</f>
        <v>780295.34</v>
      </c>
      <c r="G72" s="17">
        <f>_xlfn.XLOOKUP($B72,'[3]Feb-24'!$A:$A,'[3]Feb-24'!$H:$H,0)</f>
        <v>780295.34</v>
      </c>
      <c r="H72" s="17">
        <f>_xlfn.XLOOKUP($B72,'[3]Mar-24'!$A:$A,'[3]Mar-24'!$H:$H,0)</f>
        <v>780295.34</v>
      </c>
      <c r="I72" s="17">
        <f>_xlfn.XLOOKUP($B72,'[3]Apr-24'!$A:$A,'[3]Apr-24'!$H:$H,0)</f>
        <v>780295.34</v>
      </c>
      <c r="J72" s="17">
        <f>_xlfn.XLOOKUP($B72,'[3]May-24'!$A:$A,'[3]May-24'!$H:$H,0)</f>
        <v>780295.34</v>
      </c>
      <c r="K72" s="17">
        <f>_xlfn.XLOOKUP($B72,'[3]Jun-24'!$A:$A,'[3]Jun-24'!$H:$H,0)</f>
        <v>780295.34</v>
      </c>
      <c r="L72" s="17">
        <f>_xlfn.XLOOKUP($B72,'[3]Jul-24'!$A:$A,'[3]Jul-24'!$H:$H,0)</f>
        <v>780295.34</v>
      </c>
      <c r="M72" s="17">
        <f>_xlfn.XLOOKUP($B72,'[3]Aug-24'!$A:$A,'[3]Aug-24'!$H:$H,0)</f>
        <v>780295.34</v>
      </c>
      <c r="N72" s="17">
        <f>_xlfn.XLOOKUP($B72,'[3]Sep-24'!$A:$A,'[3]Sep-24'!$H:$H,0)</f>
        <v>780295.34</v>
      </c>
      <c r="O72" s="17">
        <f>_xlfn.XLOOKUP($B72,'[3]Oct-24'!$A:$A,'[3]Oct-24'!$H:$H,0)</f>
        <v>780295.34</v>
      </c>
      <c r="P72" s="17">
        <f>_xlfn.XLOOKUP($B72,'[3]Nov-24'!$A:$A,'[3]Nov-24'!$H:$H,0)</f>
        <v>780295.34</v>
      </c>
      <c r="Q72" s="17">
        <f>_xlfn.XLOOKUP($B72,'[3]Dec-24'!$A:$A,'[3]Dec-24'!$H:$H,0)</f>
        <v>780295.34</v>
      </c>
      <c r="R72" s="17">
        <f>_xlfn.XLOOKUP($B72,'[3]Jan-25'!$A:$A,'[3]Jan-25'!$H:$H,0)</f>
        <v>1101663.3999999999</v>
      </c>
      <c r="S72" s="17">
        <f>_xlfn.XLOOKUP($B72,'[3]Feb-25'!$A:$A,'[3]Feb-25'!$H:$H,0)</f>
        <v>1101663.3999999999</v>
      </c>
      <c r="T72" s="17">
        <f>_xlfn.XLOOKUP($B72,'[3]Mar-25'!$A:$A,'[3]Mar-25'!$H:$H,0)</f>
        <v>1101663.3999999999</v>
      </c>
      <c r="U72" s="17">
        <f>_xlfn.XLOOKUP($B72,'[3]Apr-25'!$A:$A,'[3]Apr-25'!$H:$H,0)</f>
        <v>1101663.3999999999</v>
      </c>
      <c r="V72" s="17">
        <f>_xlfn.XLOOKUP($B72,'[3]May-25'!$A:$A,'[3]May-25'!$H:$H,0)</f>
        <v>1101663.3999999999</v>
      </c>
      <c r="W72" s="17">
        <f>_xlfn.XLOOKUP($B72,'[3]Jun-25'!$A:$A,'[3]Jun-25'!$H:$H,0)</f>
        <v>1101663.3999999999</v>
      </c>
      <c r="X72" s="17">
        <f>_xlfn.XLOOKUP($B72,'[3]Jul-25'!$A:$A,'[3]Jul-25'!$H:$H,0)</f>
        <v>1101663.3999999999</v>
      </c>
      <c r="Y72" s="17">
        <f>_xlfn.XLOOKUP($B72,'[3]Aug-25'!$A:$A,'[3]Aug-25'!$H:$H,0)</f>
        <v>1101663.3999999999</v>
      </c>
      <c r="Z72" s="17">
        <f>_xlfn.XLOOKUP($B72,'[3]Sep-25'!$A:$A,'[3]Sep-25'!$H:$H,0)</f>
        <v>1101663.3999999999</v>
      </c>
      <c r="AA72" s="17">
        <f>_xlfn.XLOOKUP($B72,'[3]Oct-25'!$A:$A,'[3]Oct-25'!$H:$H,0)</f>
        <v>1101663.3999999999</v>
      </c>
      <c r="AB72" s="17">
        <f>_xlfn.XLOOKUP($B72,'[3]Nov-25'!$A:$A,'[3]Nov-25'!$H:$H,0)</f>
        <v>1101663.3999999999</v>
      </c>
      <c r="AC72" s="17">
        <f>_xlfn.XLOOKUP($B72,'[3]Dec-25'!$A:$A,'[3]Dec-25'!$H:$H,0)</f>
        <v>1101663.3999999999</v>
      </c>
      <c r="AD72" s="17">
        <f>_xlfn.XLOOKUP($B72,'[3]Jan-26'!$A:$A,'[3]Jan-26'!$H:$H,0)</f>
        <v>1125794.21</v>
      </c>
      <c r="AE72" s="17">
        <f>_xlfn.XLOOKUP($B72,'[3]Feb-26'!$A:$A,'[3]Feb-26'!$H:$H,0)</f>
        <v>1125794.21</v>
      </c>
      <c r="AF72" s="17">
        <f>_xlfn.XLOOKUP($B72,'[3]Mar-26'!$A:$A,'[3]Mar-26'!$H:$H,0)</f>
        <v>1125794.21</v>
      </c>
      <c r="AG72" s="17">
        <f>_xlfn.XLOOKUP($B72,'[3]Apr-26'!$A:$A,'[3]Apr-26'!$H:$H,0)</f>
        <v>1125794.21</v>
      </c>
    </row>
    <row r="73" spans="1:33" x14ac:dyDescent="0.2">
      <c r="A73" s="58" t="s">
        <v>942</v>
      </c>
      <c r="B73" s="56" t="str">
        <f t="shared" si="3"/>
        <v>33000</v>
      </c>
      <c r="C73" s="78" t="s">
        <v>470</v>
      </c>
      <c r="D73" s="57" t="s">
        <v>429</v>
      </c>
      <c r="E73" s="44" t="s">
        <v>295</v>
      </c>
      <c r="F73" s="17">
        <f>_xlfn.XLOOKUP($B73,'[3]Jan-24'!$A:$A,'[3]Jan-24'!$H:$H,0)</f>
        <v>0</v>
      </c>
      <c r="G73" s="17">
        <f>_xlfn.XLOOKUP($B73,'[3]Feb-24'!$A:$A,'[3]Feb-24'!$H:$H,0)</f>
        <v>0</v>
      </c>
      <c r="H73" s="17">
        <f>_xlfn.XLOOKUP($B73,'[3]Mar-24'!$A:$A,'[3]Mar-24'!$H:$H,0)</f>
        <v>0</v>
      </c>
      <c r="I73" s="17">
        <f>_xlfn.XLOOKUP($B73,'[3]Apr-24'!$A:$A,'[3]Apr-24'!$H:$H,0)</f>
        <v>0</v>
      </c>
      <c r="J73" s="17">
        <f>_xlfn.XLOOKUP($B73,'[3]May-24'!$A:$A,'[3]May-24'!$H:$H,0)</f>
        <v>0</v>
      </c>
      <c r="K73" s="17">
        <f>_xlfn.XLOOKUP($B73,'[3]Jun-24'!$A:$A,'[3]Jun-24'!$H:$H,0)</f>
        <v>0</v>
      </c>
      <c r="L73" s="17">
        <f>_xlfn.XLOOKUP($B73,'[3]Jul-24'!$A:$A,'[3]Jul-24'!$H:$H,0)</f>
        <v>0</v>
      </c>
      <c r="M73" s="17">
        <f>_xlfn.XLOOKUP($B73,'[3]Aug-24'!$A:$A,'[3]Aug-24'!$H:$H,0)</f>
        <v>0</v>
      </c>
      <c r="N73" s="17">
        <f>_xlfn.XLOOKUP($B73,'[3]Sep-24'!$A:$A,'[3]Sep-24'!$H:$H,0)</f>
        <v>0</v>
      </c>
      <c r="O73" s="17">
        <f>_xlfn.XLOOKUP($B73,'[3]Oct-24'!$A:$A,'[3]Oct-24'!$H:$H,0)</f>
        <v>0</v>
      </c>
      <c r="P73" s="17">
        <f>_xlfn.XLOOKUP($B73,'[3]Nov-24'!$A:$A,'[3]Nov-24'!$H:$H,0)</f>
        <v>0</v>
      </c>
      <c r="Q73" s="17">
        <f>_xlfn.XLOOKUP($B73,'[3]Dec-24'!$A:$A,'[3]Dec-24'!$H:$H,0)</f>
        <v>0</v>
      </c>
      <c r="R73" s="17">
        <f>_xlfn.XLOOKUP($B73,'[3]Jan-25'!$A:$A,'[3]Jan-25'!$H:$H,0)</f>
        <v>0</v>
      </c>
      <c r="S73" s="17">
        <f>_xlfn.XLOOKUP($B73,'[3]Feb-25'!$A:$A,'[3]Feb-25'!$H:$H,0)</f>
        <v>0</v>
      </c>
      <c r="T73" s="17">
        <f>_xlfn.XLOOKUP($B73,'[3]Mar-25'!$A:$A,'[3]Mar-25'!$H:$H,0)</f>
        <v>0</v>
      </c>
      <c r="U73" s="17">
        <f>_xlfn.XLOOKUP($B73,'[3]Apr-25'!$A:$A,'[3]Apr-25'!$H:$H,0)</f>
        <v>0</v>
      </c>
      <c r="V73" s="17">
        <f>_xlfn.XLOOKUP($B73,'[3]May-25'!$A:$A,'[3]May-25'!$H:$H,0)</f>
        <v>0</v>
      </c>
      <c r="W73" s="17">
        <f>_xlfn.XLOOKUP($B73,'[3]Jun-25'!$A:$A,'[3]Jun-25'!$H:$H,0)</f>
        <v>0</v>
      </c>
      <c r="X73" s="17">
        <f>_xlfn.XLOOKUP($B73,'[3]Jul-25'!$A:$A,'[3]Jul-25'!$H:$H,0)</f>
        <v>0</v>
      </c>
      <c r="Y73" s="17">
        <f>_xlfn.XLOOKUP($B73,'[3]Aug-25'!$A:$A,'[3]Aug-25'!$H:$H,0)</f>
        <v>0</v>
      </c>
      <c r="Z73" s="17">
        <f>_xlfn.XLOOKUP($B73,'[3]Sep-25'!$A:$A,'[3]Sep-25'!$H:$H,0)</f>
        <v>0</v>
      </c>
      <c r="AA73" s="17">
        <f>_xlfn.XLOOKUP($B73,'[3]Oct-25'!$A:$A,'[3]Oct-25'!$H:$H,0)</f>
        <v>0</v>
      </c>
      <c r="AB73" s="17">
        <f>_xlfn.XLOOKUP($B73,'[3]Nov-25'!$A:$A,'[3]Nov-25'!$H:$H,0)</f>
        <v>0</v>
      </c>
      <c r="AC73" s="17">
        <f>_xlfn.XLOOKUP($B73,'[3]Dec-25'!$A:$A,'[3]Dec-25'!$H:$H,0)</f>
        <v>0</v>
      </c>
      <c r="AD73" s="17">
        <f>_xlfn.XLOOKUP($B73,'[3]Jan-26'!$A:$A,'[3]Jan-26'!$H:$H,0)</f>
        <v>0</v>
      </c>
      <c r="AE73" s="17">
        <f>_xlfn.XLOOKUP($B73,'[3]Feb-26'!$A:$A,'[3]Feb-26'!$H:$H,0)</f>
        <v>0</v>
      </c>
      <c r="AF73" s="17">
        <f>_xlfn.XLOOKUP($B73,'[3]Mar-26'!$A:$A,'[3]Mar-26'!$H:$H,0)</f>
        <v>0</v>
      </c>
      <c r="AG73" s="17">
        <f>_xlfn.XLOOKUP($B73,'[3]Apr-26'!$A:$A,'[3]Apr-26'!$H:$H,0)</f>
        <v>0</v>
      </c>
    </row>
    <row r="74" spans="1:33" x14ac:dyDescent="0.2">
      <c r="A74" s="58" t="s">
        <v>1022</v>
      </c>
      <c r="B74" s="56" t="str">
        <f t="shared" si="3"/>
        <v>40000</v>
      </c>
      <c r="C74" s="78" t="s">
        <v>471</v>
      </c>
      <c r="D74" s="57" t="s">
        <v>369</v>
      </c>
      <c r="E74" s="44" t="s">
        <v>472</v>
      </c>
      <c r="F74" s="17">
        <f>_xlfn.XLOOKUP($B74,'[3]Jan-24'!$A:$A,'[3]Jan-24'!$H:$H,0)</f>
        <v>0</v>
      </c>
      <c r="G74" s="17">
        <f>_xlfn.XLOOKUP($B74,'[3]Feb-24'!$A:$A,'[3]Feb-24'!$H:$H,0)</f>
        <v>0</v>
      </c>
      <c r="H74" s="17">
        <f>_xlfn.XLOOKUP($B74,'[3]Mar-24'!$A:$A,'[3]Mar-24'!$H:$H,0)</f>
        <v>0</v>
      </c>
      <c r="I74" s="17">
        <f>_xlfn.XLOOKUP($B74,'[3]Apr-24'!$A:$A,'[3]Apr-24'!$H:$H,0)</f>
        <v>0</v>
      </c>
      <c r="J74" s="17">
        <f>_xlfn.XLOOKUP($B74,'[3]May-24'!$A:$A,'[3]May-24'!$H:$H,0)</f>
        <v>0</v>
      </c>
      <c r="K74" s="17">
        <f>_xlfn.XLOOKUP($B74,'[3]Jun-24'!$A:$A,'[3]Jun-24'!$H:$H,0)</f>
        <v>0</v>
      </c>
      <c r="L74" s="17">
        <f>_xlfn.XLOOKUP($B74,'[3]Jul-24'!$A:$A,'[3]Jul-24'!$H:$H,0)</f>
        <v>0</v>
      </c>
      <c r="M74" s="17">
        <f>_xlfn.XLOOKUP($B74,'[3]Aug-24'!$A:$A,'[3]Aug-24'!$H:$H,0)</f>
        <v>0</v>
      </c>
      <c r="N74" s="17">
        <f>_xlfn.XLOOKUP($B74,'[3]Sep-24'!$A:$A,'[3]Sep-24'!$H:$H,0)</f>
        <v>0</v>
      </c>
      <c r="O74" s="17">
        <f>_xlfn.XLOOKUP($B74,'[3]Oct-24'!$A:$A,'[3]Oct-24'!$H:$H,0)</f>
        <v>0</v>
      </c>
      <c r="P74" s="17">
        <f>_xlfn.XLOOKUP($B74,'[3]Nov-24'!$A:$A,'[3]Nov-24'!$H:$H,0)</f>
        <v>0</v>
      </c>
      <c r="Q74" s="17">
        <f>_xlfn.XLOOKUP($B74,'[3]Dec-24'!$A:$A,'[3]Dec-24'!$H:$H,0)</f>
        <v>0</v>
      </c>
      <c r="R74" s="17">
        <f>_xlfn.XLOOKUP($B74,'[3]Jan-25'!$A:$A,'[3]Jan-25'!$H:$H,0)</f>
        <v>0</v>
      </c>
      <c r="S74" s="17">
        <f>_xlfn.XLOOKUP($B74,'[3]Feb-25'!$A:$A,'[3]Feb-25'!$H:$H,0)</f>
        <v>0</v>
      </c>
      <c r="T74" s="17">
        <f>_xlfn.XLOOKUP($B74,'[3]Mar-25'!$A:$A,'[3]Mar-25'!$H:$H,0)</f>
        <v>0</v>
      </c>
      <c r="U74" s="17">
        <f>_xlfn.XLOOKUP($B74,'[3]Apr-25'!$A:$A,'[3]Apr-25'!$H:$H,0)</f>
        <v>0</v>
      </c>
      <c r="V74" s="17">
        <f>_xlfn.XLOOKUP($B74,'[3]May-25'!$A:$A,'[3]May-25'!$H:$H,0)</f>
        <v>0</v>
      </c>
      <c r="W74" s="17">
        <f>_xlfn.XLOOKUP($B74,'[3]Jun-25'!$A:$A,'[3]Jun-25'!$H:$H,0)</f>
        <v>0</v>
      </c>
      <c r="X74" s="17">
        <f>_xlfn.XLOOKUP($B74,'[3]Jul-25'!$A:$A,'[3]Jul-25'!$H:$H,0)</f>
        <v>0</v>
      </c>
      <c r="Y74" s="17">
        <f>_xlfn.XLOOKUP($B74,'[3]Aug-25'!$A:$A,'[3]Aug-25'!$H:$H,0)</f>
        <v>0</v>
      </c>
      <c r="Z74" s="17">
        <f>_xlfn.XLOOKUP($B74,'[3]Sep-25'!$A:$A,'[3]Sep-25'!$H:$H,0)</f>
        <v>0</v>
      </c>
      <c r="AA74" s="17">
        <f>_xlfn.XLOOKUP($B74,'[3]Oct-25'!$A:$A,'[3]Oct-25'!$H:$H,0)</f>
        <v>0</v>
      </c>
      <c r="AB74" s="17">
        <f>_xlfn.XLOOKUP($B74,'[3]Nov-25'!$A:$A,'[3]Nov-25'!$H:$H,0)</f>
        <v>0</v>
      </c>
      <c r="AC74" s="17">
        <f>_xlfn.XLOOKUP($B74,'[3]Dec-25'!$A:$A,'[3]Dec-25'!$H:$H,0)</f>
        <v>0</v>
      </c>
      <c r="AD74" s="17">
        <f>_xlfn.XLOOKUP($B74,'[3]Jan-26'!$A:$A,'[3]Jan-26'!$H:$H,0)</f>
        <v>0</v>
      </c>
      <c r="AE74" s="17">
        <f>_xlfn.XLOOKUP($B74,'[3]Feb-26'!$A:$A,'[3]Feb-26'!$H:$H,0)</f>
        <v>0</v>
      </c>
      <c r="AF74" s="17">
        <f>_xlfn.XLOOKUP($B74,'[3]Mar-26'!$A:$A,'[3]Mar-26'!$H:$H,0)</f>
        <v>0</v>
      </c>
      <c r="AG74" s="17">
        <f>_xlfn.XLOOKUP($B74,'[3]Apr-26'!$A:$A,'[3]Apr-26'!$H:$H,0)</f>
        <v>0</v>
      </c>
    </row>
    <row r="75" spans="1:33" x14ac:dyDescent="0.2">
      <c r="A75" s="58" t="s">
        <v>1023</v>
      </c>
      <c r="B75" s="56" t="str">
        <f t="shared" si="3"/>
        <v>40005</v>
      </c>
      <c r="C75" s="78" t="s">
        <v>471</v>
      </c>
      <c r="D75" s="57" t="s">
        <v>369</v>
      </c>
      <c r="E75" s="44" t="s">
        <v>473</v>
      </c>
      <c r="F75" s="17">
        <f>_xlfn.XLOOKUP($B75,'[3]Jan-24'!$A:$A,'[3]Jan-24'!$H:$H,0)</f>
        <v>0</v>
      </c>
      <c r="G75" s="17">
        <f>_xlfn.XLOOKUP($B75,'[3]Feb-24'!$A:$A,'[3]Feb-24'!$H:$H,0)</f>
        <v>0</v>
      </c>
      <c r="H75" s="17">
        <f>_xlfn.XLOOKUP($B75,'[3]Mar-24'!$A:$A,'[3]Mar-24'!$H:$H,0)</f>
        <v>0</v>
      </c>
      <c r="I75" s="17">
        <f>_xlfn.XLOOKUP($B75,'[3]Apr-24'!$A:$A,'[3]Apr-24'!$H:$H,0)</f>
        <v>0</v>
      </c>
      <c r="J75" s="17">
        <f>_xlfn.XLOOKUP($B75,'[3]May-24'!$A:$A,'[3]May-24'!$H:$H,0)</f>
        <v>0</v>
      </c>
      <c r="K75" s="17">
        <f>_xlfn.XLOOKUP($B75,'[3]Jun-24'!$A:$A,'[3]Jun-24'!$H:$H,0)</f>
        <v>0</v>
      </c>
      <c r="L75" s="17">
        <f>_xlfn.XLOOKUP($B75,'[3]Jul-24'!$A:$A,'[3]Jul-24'!$H:$H,0)</f>
        <v>0</v>
      </c>
      <c r="M75" s="17">
        <f>_xlfn.XLOOKUP($B75,'[3]Aug-24'!$A:$A,'[3]Aug-24'!$H:$H,0)</f>
        <v>0</v>
      </c>
      <c r="N75" s="17">
        <f>_xlfn.XLOOKUP($B75,'[3]Sep-24'!$A:$A,'[3]Sep-24'!$H:$H,0)</f>
        <v>0</v>
      </c>
      <c r="O75" s="17">
        <f>_xlfn.XLOOKUP($B75,'[3]Oct-24'!$A:$A,'[3]Oct-24'!$H:$H,0)</f>
        <v>0</v>
      </c>
      <c r="P75" s="17">
        <f>_xlfn.XLOOKUP($B75,'[3]Nov-24'!$A:$A,'[3]Nov-24'!$H:$H,0)</f>
        <v>0</v>
      </c>
      <c r="Q75" s="17">
        <f>_xlfn.XLOOKUP($B75,'[3]Dec-24'!$A:$A,'[3]Dec-24'!$H:$H,0)</f>
        <v>0</v>
      </c>
      <c r="R75" s="17">
        <f>_xlfn.XLOOKUP($B75,'[3]Jan-25'!$A:$A,'[3]Jan-25'!$H:$H,0)</f>
        <v>0</v>
      </c>
      <c r="S75" s="17">
        <f>_xlfn.XLOOKUP($B75,'[3]Feb-25'!$A:$A,'[3]Feb-25'!$H:$H,0)</f>
        <v>0</v>
      </c>
      <c r="T75" s="17">
        <f>_xlfn.XLOOKUP($B75,'[3]Mar-25'!$A:$A,'[3]Mar-25'!$H:$H,0)</f>
        <v>0</v>
      </c>
      <c r="U75" s="17">
        <f>_xlfn.XLOOKUP($B75,'[3]Apr-25'!$A:$A,'[3]Apr-25'!$H:$H,0)</f>
        <v>0</v>
      </c>
      <c r="V75" s="17">
        <f>_xlfn.XLOOKUP($B75,'[3]May-25'!$A:$A,'[3]May-25'!$H:$H,0)</f>
        <v>0</v>
      </c>
      <c r="W75" s="17">
        <f>_xlfn.XLOOKUP($B75,'[3]Jun-25'!$A:$A,'[3]Jun-25'!$H:$H,0)</f>
        <v>0</v>
      </c>
      <c r="X75" s="17">
        <f>_xlfn.XLOOKUP($B75,'[3]Jul-25'!$A:$A,'[3]Jul-25'!$H:$H,0)</f>
        <v>0</v>
      </c>
      <c r="Y75" s="17">
        <f>_xlfn.XLOOKUP($B75,'[3]Aug-25'!$A:$A,'[3]Aug-25'!$H:$H,0)</f>
        <v>0</v>
      </c>
      <c r="Z75" s="17">
        <f>_xlfn.XLOOKUP($B75,'[3]Sep-25'!$A:$A,'[3]Sep-25'!$H:$H,0)</f>
        <v>0</v>
      </c>
      <c r="AA75" s="17">
        <f>_xlfn.XLOOKUP($B75,'[3]Oct-25'!$A:$A,'[3]Oct-25'!$H:$H,0)</f>
        <v>0</v>
      </c>
      <c r="AB75" s="17">
        <f>_xlfn.XLOOKUP($B75,'[3]Nov-25'!$A:$A,'[3]Nov-25'!$H:$H,0)</f>
        <v>0</v>
      </c>
      <c r="AC75" s="17">
        <f>_xlfn.XLOOKUP($B75,'[3]Dec-25'!$A:$A,'[3]Dec-25'!$H:$H,0)</f>
        <v>0</v>
      </c>
      <c r="AD75" s="17">
        <f>_xlfn.XLOOKUP($B75,'[3]Jan-26'!$A:$A,'[3]Jan-26'!$H:$H,0)</f>
        <v>0</v>
      </c>
      <c r="AE75" s="17">
        <f>_xlfn.XLOOKUP($B75,'[3]Feb-26'!$A:$A,'[3]Feb-26'!$H:$H,0)</f>
        <v>0</v>
      </c>
      <c r="AF75" s="17">
        <f>_xlfn.XLOOKUP($B75,'[3]Mar-26'!$A:$A,'[3]Mar-26'!$H:$H,0)</f>
        <v>0</v>
      </c>
      <c r="AG75" s="17">
        <f>_xlfn.XLOOKUP($B75,'[3]Apr-26'!$A:$A,'[3]Apr-26'!$H:$H,0)</f>
        <v>0</v>
      </c>
    </row>
    <row r="76" spans="1:33" x14ac:dyDescent="0.2">
      <c r="A76" s="58" t="s">
        <v>1024</v>
      </c>
      <c r="B76" s="56" t="str">
        <f t="shared" si="3"/>
        <v>40010</v>
      </c>
      <c r="C76" s="78" t="s">
        <v>471</v>
      </c>
      <c r="D76" s="57" t="s">
        <v>369</v>
      </c>
      <c r="E76" s="44" t="s">
        <v>474</v>
      </c>
      <c r="F76" s="17">
        <f>_xlfn.XLOOKUP($B76,'[3]Jan-24'!$A:$A,'[3]Jan-24'!$H:$H,0)</f>
        <v>0</v>
      </c>
      <c r="G76" s="17">
        <f>_xlfn.XLOOKUP($B76,'[3]Feb-24'!$A:$A,'[3]Feb-24'!$H:$H,0)</f>
        <v>0</v>
      </c>
      <c r="H76" s="17">
        <f>_xlfn.XLOOKUP($B76,'[3]Mar-24'!$A:$A,'[3]Mar-24'!$H:$H,0)</f>
        <v>0</v>
      </c>
      <c r="I76" s="17">
        <f>_xlfn.XLOOKUP($B76,'[3]Apr-24'!$A:$A,'[3]Apr-24'!$H:$H,0)</f>
        <v>0</v>
      </c>
      <c r="J76" s="17">
        <f>_xlfn.XLOOKUP($B76,'[3]May-24'!$A:$A,'[3]May-24'!$H:$H,0)</f>
        <v>0</v>
      </c>
      <c r="K76" s="17">
        <f>_xlfn.XLOOKUP($B76,'[3]Jun-24'!$A:$A,'[3]Jun-24'!$H:$H,0)</f>
        <v>0</v>
      </c>
      <c r="L76" s="17">
        <f>_xlfn.XLOOKUP($B76,'[3]Jul-24'!$A:$A,'[3]Jul-24'!$H:$H,0)</f>
        <v>0</v>
      </c>
      <c r="M76" s="17">
        <f>_xlfn.XLOOKUP($B76,'[3]Aug-24'!$A:$A,'[3]Aug-24'!$H:$H,0)</f>
        <v>0</v>
      </c>
      <c r="N76" s="17">
        <f>_xlfn.XLOOKUP($B76,'[3]Sep-24'!$A:$A,'[3]Sep-24'!$H:$H,0)</f>
        <v>0</v>
      </c>
      <c r="O76" s="17">
        <f>_xlfn.XLOOKUP($B76,'[3]Oct-24'!$A:$A,'[3]Oct-24'!$H:$H,0)</f>
        <v>0</v>
      </c>
      <c r="P76" s="17">
        <f>_xlfn.XLOOKUP($B76,'[3]Nov-24'!$A:$A,'[3]Nov-24'!$H:$H,0)</f>
        <v>0</v>
      </c>
      <c r="Q76" s="17">
        <f>_xlfn.XLOOKUP($B76,'[3]Dec-24'!$A:$A,'[3]Dec-24'!$H:$H,0)</f>
        <v>0</v>
      </c>
      <c r="R76" s="17">
        <f>_xlfn.XLOOKUP($B76,'[3]Jan-25'!$A:$A,'[3]Jan-25'!$H:$H,0)</f>
        <v>0</v>
      </c>
      <c r="S76" s="17">
        <f>_xlfn.XLOOKUP($B76,'[3]Feb-25'!$A:$A,'[3]Feb-25'!$H:$H,0)</f>
        <v>0</v>
      </c>
      <c r="T76" s="17">
        <f>_xlfn.XLOOKUP($B76,'[3]Mar-25'!$A:$A,'[3]Mar-25'!$H:$H,0)</f>
        <v>0</v>
      </c>
      <c r="U76" s="17">
        <f>_xlfn.XLOOKUP($B76,'[3]Apr-25'!$A:$A,'[3]Apr-25'!$H:$H,0)</f>
        <v>0</v>
      </c>
      <c r="V76" s="17">
        <f>_xlfn.XLOOKUP($B76,'[3]May-25'!$A:$A,'[3]May-25'!$H:$H,0)</f>
        <v>0</v>
      </c>
      <c r="W76" s="17">
        <f>_xlfn.XLOOKUP($B76,'[3]Jun-25'!$A:$A,'[3]Jun-25'!$H:$H,0)</f>
        <v>0</v>
      </c>
      <c r="X76" s="17">
        <f>_xlfn.XLOOKUP($B76,'[3]Jul-25'!$A:$A,'[3]Jul-25'!$H:$H,0)</f>
        <v>0</v>
      </c>
      <c r="Y76" s="17">
        <f>_xlfn.XLOOKUP($B76,'[3]Aug-25'!$A:$A,'[3]Aug-25'!$H:$H,0)</f>
        <v>0</v>
      </c>
      <c r="Z76" s="17">
        <f>_xlfn.XLOOKUP($B76,'[3]Sep-25'!$A:$A,'[3]Sep-25'!$H:$H,0)</f>
        <v>0</v>
      </c>
      <c r="AA76" s="17">
        <f>_xlfn.XLOOKUP($B76,'[3]Oct-25'!$A:$A,'[3]Oct-25'!$H:$H,0)</f>
        <v>0</v>
      </c>
      <c r="AB76" s="17">
        <f>_xlfn.XLOOKUP($B76,'[3]Nov-25'!$A:$A,'[3]Nov-25'!$H:$H,0)</f>
        <v>0</v>
      </c>
      <c r="AC76" s="17">
        <f>_xlfn.XLOOKUP($B76,'[3]Dec-25'!$A:$A,'[3]Dec-25'!$H:$H,0)</f>
        <v>0</v>
      </c>
      <c r="AD76" s="17">
        <f>_xlfn.XLOOKUP($B76,'[3]Jan-26'!$A:$A,'[3]Jan-26'!$H:$H,0)</f>
        <v>0</v>
      </c>
      <c r="AE76" s="17">
        <f>_xlfn.XLOOKUP($B76,'[3]Feb-26'!$A:$A,'[3]Feb-26'!$H:$H,0)</f>
        <v>0</v>
      </c>
      <c r="AF76" s="17">
        <f>_xlfn.XLOOKUP($B76,'[3]Mar-26'!$A:$A,'[3]Mar-26'!$H:$H,0)</f>
        <v>0</v>
      </c>
      <c r="AG76" s="17">
        <f>_xlfn.XLOOKUP($B76,'[3]Apr-26'!$A:$A,'[3]Apr-26'!$H:$H,0)</f>
        <v>0</v>
      </c>
    </row>
    <row r="77" spans="1:33" x14ac:dyDescent="0.2">
      <c r="A77" s="58" t="s">
        <v>883</v>
      </c>
      <c r="B77" s="56" t="str">
        <f t="shared" si="3"/>
        <v>40015</v>
      </c>
      <c r="C77" s="78" t="s">
        <v>471</v>
      </c>
      <c r="D77" s="57" t="s">
        <v>369</v>
      </c>
      <c r="E77" s="44" t="s">
        <v>93</v>
      </c>
      <c r="F77" s="17">
        <f>_xlfn.XLOOKUP($B77,'[3]Jan-24'!$A:$A,'[3]Jan-24'!$H:$H,0)</f>
        <v>0</v>
      </c>
      <c r="G77" s="17">
        <f>_xlfn.XLOOKUP($B77,'[3]Feb-24'!$A:$A,'[3]Feb-24'!$H:$H,0)</f>
        <v>0</v>
      </c>
      <c r="H77" s="17">
        <f>_xlfn.XLOOKUP($B77,'[3]Mar-24'!$A:$A,'[3]Mar-24'!$H:$H,0)</f>
        <v>0</v>
      </c>
      <c r="I77" s="17">
        <f>_xlfn.XLOOKUP($B77,'[3]Apr-24'!$A:$A,'[3]Apr-24'!$H:$H,0)</f>
        <v>0</v>
      </c>
      <c r="J77" s="17">
        <f>_xlfn.XLOOKUP($B77,'[3]May-24'!$A:$A,'[3]May-24'!$H:$H,0)</f>
        <v>0</v>
      </c>
      <c r="K77" s="17">
        <f>_xlfn.XLOOKUP($B77,'[3]Jun-24'!$A:$A,'[3]Jun-24'!$H:$H,0)</f>
        <v>0</v>
      </c>
      <c r="L77" s="17">
        <f>_xlfn.XLOOKUP($B77,'[3]Jul-24'!$A:$A,'[3]Jul-24'!$H:$H,0)</f>
        <v>0</v>
      </c>
      <c r="M77" s="17">
        <f>_xlfn.XLOOKUP($B77,'[3]Aug-24'!$A:$A,'[3]Aug-24'!$H:$H,0)</f>
        <v>0</v>
      </c>
      <c r="N77" s="17">
        <f>_xlfn.XLOOKUP($B77,'[3]Sep-24'!$A:$A,'[3]Sep-24'!$H:$H,0)</f>
        <v>0</v>
      </c>
      <c r="O77" s="17">
        <f>_xlfn.XLOOKUP($B77,'[3]Oct-24'!$A:$A,'[3]Oct-24'!$H:$H,0)</f>
        <v>0</v>
      </c>
      <c r="P77" s="17">
        <f>_xlfn.XLOOKUP($B77,'[3]Nov-24'!$A:$A,'[3]Nov-24'!$H:$H,0)</f>
        <v>0</v>
      </c>
      <c r="Q77" s="17">
        <f>_xlfn.XLOOKUP($B77,'[3]Dec-24'!$A:$A,'[3]Dec-24'!$H:$H,0)</f>
        <v>0</v>
      </c>
      <c r="R77" s="17">
        <f>_xlfn.XLOOKUP($B77,'[3]Jan-25'!$A:$A,'[3]Jan-25'!$H:$H,0)</f>
        <v>0</v>
      </c>
      <c r="S77" s="17">
        <f>_xlfn.XLOOKUP($B77,'[3]Feb-25'!$A:$A,'[3]Feb-25'!$H:$H,0)</f>
        <v>0</v>
      </c>
      <c r="T77" s="17">
        <f>_xlfn.XLOOKUP($B77,'[3]Mar-25'!$A:$A,'[3]Mar-25'!$H:$H,0)</f>
        <v>0</v>
      </c>
      <c r="U77" s="17">
        <f>_xlfn.XLOOKUP($B77,'[3]Apr-25'!$A:$A,'[3]Apr-25'!$H:$H,0)</f>
        <v>0</v>
      </c>
      <c r="V77" s="17">
        <f>_xlfn.XLOOKUP($B77,'[3]May-25'!$A:$A,'[3]May-25'!$H:$H,0)</f>
        <v>0</v>
      </c>
      <c r="W77" s="17">
        <f>_xlfn.XLOOKUP($B77,'[3]Jun-25'!$A:$A,'[3]Jun-25'!$H:$H,0)</f>
        <v>0</v>
      </c>
      <c r="X77" s="17">
        <f>_xlfn.XLOOKUP($B77,'[3]Jul-25'!$A:$A,'[3]Jul-25'!$H:$H,0)</f>
        <v>0</v>
      </c>
      <c r="Y77" s="17">
        <f>_xlfn.XLOOKUP($B77,'[3]Aug-25'!$A:$A,'[3]Aug-25'!$H:$H,0)</f>
        <v>0</v>
      </c>
      <c r="Z77" s="17">
        <f>_xlfn.XLOOKUP($B77,'[3]Sep-25'!$A:$A,'[3]Sep-25'!$H:$H,0)</f>
        <v>0</v>
      </c>
      <c r="AA77" s="17">
        <f>_xlfn.XLOOKUP($B77,'[3]Oct-25'!$A:$A,'[3]Oct-25'!$H:$H,0)</f>
        <v>0</v>
      </c>
      <c r="AB77" s="17">
        <f>_xlfn.XLOOKUP($B77,'[3]Nov-25'!$A:$A,'[3]Nov-25'!$H:$H,0)</f>
        <v>0</v>
      </c>
      <c r="AC77" s="17">
        <f>_xlfn.XLOOKUP($B77,'[3]Dec-25'!$A:$A,'[3]Dec-25'!$H:$H,0)</f>
        <v>0</v>
      </c>
      <c r="AD77" s="17">
        <f>_xlfn.XLOOKUP($B77,'[3]Jan-26'!$A:$A,'[3]Jan-26'!$H:$H,0)</f>
        <v>0</v>
      </c>
      <c r="AE77" s="17">
        <f>_xlfn.XLOOKUP($B77,'[3]Feb-26'!$A:$A,'[3]Feb-26'!$H:$H,0)</f>
        <v>0</v>
      </c>
      <c r="AF77" s="17">
        <f>_xlfn.XLOOKUP($B77,'[3]Mar-26'!$A:$A,'[3]Mar-26'!$H:$H,0)</f>
        <v>0</v>
      </c>
      <c r="AG77" s="17">
        <f>_xlfn.XLOOKUP($B77,'[3]Apr-26'!$A:$A,'[3]Apr-26'!$H:$H,0)</f>
        <v>0</v>
      </c>
    </row>
    <row r="78" spans="1:33" x14ac:dyDescent="0.2">
      <c r="A78" s="58" t="s">
        <v>884</v>
      </c>
      <c r="B78" s="56" t="str">
        <f t="shared" si="3"/>
        <v>40020</v>
      </c>
      <c r="C78" s="78" t="s">
        <v>471</v>
      </c>
      <c r="D78" s="57" t="s">
        <v>369</v>
      </c>
      <c r="E78" s="44" t="s">
        <v>94</v>
      </c>
      <c r="F78" s="17">
        <f>_xlfn.XLOOKUP($B78,'[3]Jan-24'!$A:$A,'[3]Jan-24'!$H:$H,0)</f>
        <v>0</v>
      </c>
      <c r="G78" s="17">
        <f>_xlfn.XLOOKUP($B78,'[3]Feb-24'!$A:$A,'[3]Feb-24'!$H:$H,0)</f>
        <v>0</v>
      </c>
      <c r="H78" s="17">
        <f>_xlfn.XLOOKUP($B78,'[3]Mar-24'!$A:$A,'[3]Mar-24'!$H:$H,0)</f>
        <v>0</v>
      </c>
      <c r="I78" s="17">
        <f>_xlfn.XLOOKUP($B78,'[3]Apr-24'!$A:$A,'[3]Apr-24'!$H:$H,0)</f>
        <v>0</v>
      </c>
      <c r="J78" s="17">
        <f>_xlfn.XLOOKUP($B78,'[3]May-24'!$A:$A,'[3]May-24'!$H:$H,0)</f>
        <v>0</v>
      </c>
      <c r="K78" s="17">
        <f>_xlfn.XLOOKUP($B78,'[3]Jun-24'!$A:$A,'[3]Jun-24'!$H:$H,0)</f>
        <v>0</v>
      </c>
      <c r="L78" s="17">
        <f>_xlfn.XLOOKUP($B78,'[3]Jul-24'!$A:$A,'[3]Jul-24'!$H:$H,0)</f>
        <v>0</v>
      </c>
      <c r="M78" s="17">
        <f>_xlfn.XLOOKUP($B78,'[3]Aug-24'!$A:$A,'[3]Aug-24'!$H:$H,0)</f>
        <v>0</v>
      </c>
      <c r="N78" s="17">
        <f>_xlfn.XLOOKUP($B78,'[3]Sep-24'!$A:$A,'[3]Sep-24'!$H:$H,0)</f>
        <v>0</v>
      </c>
      <c r="O78" s="17">
        <f>_xlfn.XLOOKUP($B78,'[3]Oct-24'!$A:$A,'[3]Oct-24'!$H:$H,0)</f>
        <v>0</v>
      </c>
      <c r="P78" s="17">
        <f>_xlfn.XLOOKUP($B78,'[3]Nov-24'!$A:$A,'[3]Nov-24'!$H:$H,0)</f>
        <v>0</v>
      </c>
      <c r="Q78" s="17">
        <f>_xlfn.XLOOKUP($B78,'[3]Dec-24'!$A:$A,'[3]Dec-24'!$H:$H,0)</f>
        <v>0</v>
      </c>
      <c r="R78" s="17">
        <f>_xlfn.XLOOKUP($B78,'[3]Jan-25'!$A:$A,'[3]Jan-25'!$H:$H,0)</f>
        <v>0</v>
      </c>
      <c r="S78" s="17">
        <f>_xlfn.XLOOKUP($B78,'[3]Feb-25'!$A:$A,'[3]Feb-25'!$H:$H,0)</f>
        <v>0</v>
      </c>
      <c r="T78" s="17">
        <f>_xlfn.XLOOKUP($B78,'[3]Mar-25'!$A:$A,'[3]Mar-25'!$H:$H,0)</f>
        <v>0</v>
      </c>
      <c r="U78" s="17">
        <f>_xlfn.XLOOKUP($B78,'[3]Apr-25'!$A:$A,'[3]Apr-25'!$H:$H,0)</f>
        <v>0</v>
      </c>
      <c r="V78" s="17">
        <f>_xlfn.XLOOKUP($B78,'[3]May-25'!$A:$A,'[3]May-25'!$H:$H,0)</f>
        <v>0</v>
      </c>
      <c r="W78" s="17">
        <f>_xlfn.XLOOKUP($B78,'[3]Jun-25'!$A:$A,'[3]Jun-25'!$H:$H,0)</f>
        <v>0</v>
      </c>
      <c r="X78" s="17">
        <f>_xlfn.XLOOKUP($B78,'[3]Jul-25'!$A:$A,'[3]Jul-25'!$H:$H,0)</f>
        <v>0</v>
      </c>
      <c r="Y78" s="17">
        <f>_xlfn.XLOOKUP($B78,'[3]Aug-25'!$A:$A,'[3]Aug-25'!$H:$H,0)</f>
        <v>0</v>
      </c>
      <c r="Z78" s="17">
        <f>_xlfn.XLOOKUP($B78,'[3]Sep-25'!$A:$A,'[3]Sep-25'!$H:$H,0)</f>
        <v>0</v>
      </c>
      <c r="AA78" s="17">
        <f>_xlfn.XLOOKUP($B78,'[3]Oct-25'!$A:$A,'[3]Oct-25'!$H:$H,0)</f>
        <v>0</v>
      </c>
      <c r="AB78" s="17">
        <f>_xlfn.XLOOKUP($B78,'[3]Nov-25'!$A:$A,'[3]Nov-25'!$H:$H,0)</f>
        <v>0</v>
      </c>
      <c r="AC78" s="17">
        <f>_xlfn.XLOOKUP($B78,'[3]Dec-25'!$A:$A,'[3]Dec-25'!$H:$H,0)</f>
        <v>0</v>
      </c>
      <c r="AD78" s="17">
        <f>_xlfn.XLOOKUP($B78,'[3]Jan-26'!$A:$A,'[3]Jan-26'!$H:$H,0)</f>
        <v>0</v>
      </c>
      <c r="AE78" s="17">
        <f>_xlfn.XLOOKUP($B78,'[3]Feb-26'!$A:$A,'[3]Feb-26'!$H:$H,0)</f>
        <v>0</v>
      </c>
      <c r="AF78" s="17">
        <f>_xlfn.XLOOKUP($B78,'[3]Mar-26'!$A:$A,'[3]Mar-26'!$H:$H,0)</f>
        <v>0</v>
      </c>
      <c r="AG78" s="17">
        <f>_xlfn.XLOOKUP($B78,'[3]Apr-26'!$A:$A,'[3]Apr-26'!$H:$H,0)</f>
        <v>0</v>
      </c>
    </row>
    <row r="79" spans="1:33" x14ac:dyDescent="0.2">
      <c r="A79" s="58" t="s">
        <v>885</v>
      </c>
      <c r="B79" s="56" t="str">
        <f t="shared" si="3"/>
        <v>40025</v>
      </c>
      <c r="C79" s="78" t="s">
        <v>471</v>
      </c>
      <c r="D79" s="57" t="s">
        <v>369</v>
      </c>
      <c r="E79" s="44" t="s">
        <v>95</v>
      </c>
      <c r="F79" s="17">
        <f>_xlfn.XLOOKUP($B79,'[3]Jan-24'!$A:$A,'[3]Jan-24'!$H:$H,0)</f>
        <v>0</v>
      </c>
      <c r="G79" s="17">
        <f>_xlfn.XLOOKUP($B79,'[3]Feb-24'!$A:$A,'[3]Feb-24'!$H:$H,0)</f>
        <v>0</v>
      </c>
      <c r="H79" s="17">
        <f>_xlfn.XLOOKUP($B79,'[3]Mar-24'!$A:$A,'[3]Mar-24'!$H:$H,0)</f>
        <v>0</v>
      </c>
      <c r="I79" s="17">
        <f>_xlfn.XLOOKUP($B79,'[3]Apr-24'!$A:$A,'[3]Apr-24'!$H:$H,0)</f>
        <v>0</v>
      </c>
      <c r="J79" s="17">
        <f>_xlfn.XLOOKUP($B79,'[3]May-24'!$A:$A,'[3]May-24'!$H:$H,0)</f>
        <v>0</v>
      </c>
      <c r="K79" s="17">
        <f>_xlfn.XLOOKUP($B79,'[3]Jun-24'!$A:$A,'[3]Jun-24'!$H:$H,0)</f>
        <v>0</v>
      </c>
      <c r="L79" s="17">
        <f>_xlfn.XLOOKUP($B79,'[3]Jul-24'!$A:$A,'[3]Jul-24'!$H:$H,0)</f>
        <v>0</v>
      </c>
      <c r="M79" s="17">
        <f>_xlfn.XLOOKUP($B79,'[3]Aug-24'!$A:$A,'[3]Aug-24'!$H:$H,0)</f>
        <v>0</v>
      </c>
      <c r="N79" s="17">
        <f>_xlfn.XLOOKUP($B79,'[3]Sep-24'!$A:$A,'[3]Sep-24'!$H:$H,0)</f>
        <v>0</v>
      </c>
      <c r="O79" s="17">
        <f>_xlfn.XLOOKUP($B79,'[3]Oct-24'!$A:$A,'[3]Oct-24'!$H:$H,0)</f>
        <v>0</v>
      </c>
      <c r="P79" s="17">
        <f>_xlfn.XLOOKUP($B79,'[3]Nov-24'!$A:$A,'[3]Nov-24'!$H:$H,0)</f>
        <v>0</v>
      </c>
      <c r="Q79" s="17">
        <f>_xlfn.XLOOKUP($B79,'[3]Dec-24'!$A:$A,'[3]Dec-24'!$H:$H,0)</f>
        <v>0</v>
      </c>
      <c r="R79" s="17">
        <f>_xlfn.XLOOKUP($B79,'[3]Jan-25'!$A:$A,'[3]Jan-25'!$H:$H,0)</f>
        <v>0</v>
      </c>
      <c r="S79" s="17">
        <f>_xlfn.XLOOKUP($B79,'[3]Feb-25'!$A:$A,'[3]Feb-25'!$H:$H,0)</f>
        <v>0</v>
      </c>
      <c r="T79" s="17">
        <f>_xlfn.XLOOKUP($B79,'[3]Mar-25'!$A:$A,'[3]Mar-25'!$H:$H,0)</f>
        <v>0</v>
      </c>
      <c r="U79" s="17">
        <f>_xlfn.XLOOKUP($B79,'[3]Apr-25'!$A:$A,'[3]Apr-25'!$H:$H,0)</f>
        <v>0</v>
      </c>
      <c r="V79" s="17">
        <f>_xlfn.XLOOKUP($B79,'[3]May-25'!$A:$A,'[3]May-25'!$H:$H,0)</f>
        <v>0</v>
      </c>
      <c r="W79" s="17">
        <f>_xlfn.XLOOKUP($B79,'[3]Jun-25'!$A:$A,'[3]Jun-25'!$H:$H,0)</f>
        <v>0</v>
      </c>
      <c r="X79" s="17">
        <f>_xlfn.XLOOKUP($B79,'[3]Jul-25'!$A:$A,'[3]Jul-25'!$H:$H,0)</f>
        <v>0</v>
      </c>
      <c r="Y79" s="17">
        <f>_xlfn.XLOOKUP($B79,'[3]Aug-25'!$A:$A,'[3]Aug-25'!$H:$H,0)</f>
        <v>0</v>
      </c>
      <c r="Z79" s="17">
        <f>_xlfn.XLOOKUP($B79,'[3]Sep-25'!$A:$A,'[3]Sep-25'!$H:$H,0)</f>
        <v>0</v>
      </c>
      <c r="AA79" s="17">
        <f>_xlfn.XLOOKUP($B79,'[3]Oct-25'!$A:$A,'[3]Oct-25'!$H:$H,0)</f>
        <v>0</v>
      </c>
      <c r="AB79" s="17">
        <f>_xlfn.XLOOKUP($B79,'[3]Nov-25'!$A:$A,'[3]Nov-25'!$H:$H,0)</f>
        <v>0</v>
      </c>
      <c r="AC79" s="17">
        <f>_xlfn.XLOOKUP($B79,'[3]Dec-25'!$A:$A,'[3]Dec-25'!$H:$H,0)</f>
        <v>0</v>
      </c>
      <c r="AD79" s="17">
        <f>_xlfn.XLOOKUP($B79,'[3]Jan-26'!$A:$A,'[3]Jan-26'!$H:$H,0)</f>
        <v>0</v>
      </c>
      <c r="AE79" s="17">
        <f>_xlfn.XLOOKUP($B79,'[3]Feb-26'!$A:$A,'[3]Feb-26'!$H:$H,0)</f>
        <v>0</v>
      </c>
      <c r="AF79" s="17">
        <f>_xlfn.XLOOKUP($B79,'[3]Mar-26'!$A:$A,'[3]Mar-26'!$H:$H,0)</f>
        <v>0</v>
      </c>
      <c r="AG79" s="17">
        <f>_xlfn.XLOOKUP($B79,'[3]Apr-26'!$A:$A,'[3]Apr-26'!$H:$H,0)</f>
        <v>0</v>
      </c>
    </row>
    <row r="80" spans="1:33" x14ac:dyDescent="0.2">
      <c r="A80" s="58" t="s">
        <v>886</v>
      </c>
      <c r="B80" s="56" t="str">
        <f t="shared" si="3"/>
        <v>40030</v>
      </c>
      <c r="C80" s="78" t="s">
        <v>471</v>
      </c>
      <c r="D80" s="57" t="s">
        <v>369</v>
      </c>
      <c r="E80" s="44" t="s">
        <v>475</v>
      </c>
      <c r="F80" s="17">
        <f>_xlfn.XLOOKUP($B80,'[3]Jan-24'!$A:$A,'[3]Jan-24'!$H:$H,0)</f>
        <v>0</v>
      </c>
      <c r="G80" s="17">
        <f>_xlfn.XLOOKUP($B80,'[3]Feb-24'!$A:$A,'[3]Feb-24'!$H:$H,0)</f>
        <v>0</v>
      </c>
      <c r="H80" s="17">
        <f>_xlfn.XLOOKUP($B80,'[3]Mar-24'!$A:$A,'[3]Mar-24'!$H:$H,0)</f>
        <v>0</v>
      </c>
      <c r="I80" s="17">
        <f>_xlfn.XLOOKUP($B80,'[3]Apr-24'!$A:$A,'[3]Apr-24'!$H:$H,0)</f>
        <v>0</v>
      </c>
      <c r="J80" s="17">
        <f>_xlfn.XLOOKUP($B80,'[3]May-24'!$A:$A,'[3]May-24'!$H:$H,0)</f>
        <v>0</v>
      </c>
      <c r="K80" s="17">
        <f>_xlfn.XLOOKUP($B80,'[3]Jun-24'!$A:$A,'[3]Jun-24'!$H:$H,0)</f>
        <v>0</v>
      </c>
      <c r="L80" s="17">
        <f>_xlfn.XLOOKUP($B80,'[3]Jul-24'!$A:$A,'[3]Jul-24'!$H:$H,0)</f>
        <v>0</v>
      </c>
      <c r="M80" s="17">
        <f>_xlfn.XLOOKUP($B80,'[3]Aug-24'!$A:$A,'[3]Aug-24'!$H:$H,0)</f>
        <v>0</v>
      </c>
      <c r="N80" s="17">
        <f>_xlfn.XLOOKUP($B80,'[3]Sep-24'!$A:$A,'[3]Sep-24'!$H:$H,0)</f>
        <v>0</v>
      </c>
      <c r="O80" s="17">
        <f>_xlfn.XLOOKUP($B80,'[3]Oct-24'!$A:$A,'[3]Oct-24'!$H:$H,0)</f>
        <v>0</v>
      </c>
      <c r="P80" s="17">
        <f>_xlfn.XLOOKUP($B80,'[3]Nov-24'!$A:$A,'[3]Nov-24'!$H:$H,0)</f>
        <v>0</v>
      </c>
      <c r="Q80" s="17">
        <f>_xlfn.XLOOKUP($B80,'[3]Dec-24'!$A:$A,'[3]Dec-24'!$H:$H,0)</f>
        <v>0</v>
      </c>
      <c r="R80" s="17">
        <f>_xlfn.XLOOKUP($B80,'[3]Jan-25'!$A:$A,'[3]Jan-25'!$H:$H,0)</f>
        <v>0</v>
      </c>
      <c r="S80" s="17">
        <f>_xlfn.XLOOKUP($B80,'[3]Feb-25'!$A:$A,'[3]Feb-25'!$H:$H,0)</f>
        <v>0</v>
      </c>
      <c r="T80" s="17">
        <f>_xlfn.XLOOKUP($B80,'[3]Mar-25'!$A:$A,'[3]Mar-25'!$H:$H,0)</f>
        <v>0</v>
      </c>
      <c r="U80" s="17">
        <f>_xlfn.XLOOKUP($B80,'[3]Apr-25'!$A:$A,'[3]Apr-25'!$H:$H,0)</f>
        <v>0</v>
      </c>
      <c r="V80" s="17">
        <f>_xlfn.XLOOKUP($B80,'[3]May-25'!$A:$A,'[3]May-25'!$H:$H,0)</f>
        <v>0</v>
      </c>
      <c r="W80" s="17">
        <f>_xlfn.XLOOKUP($B80,'[3]Jun-25'!$A:$A,'[3]Jun-25'!$H:$H,0)</f>
        <v>0</v>
      </c>
      <c r="X80" s="17">
        <f>_xlfn.XLOOKUP($B80,'[3]Jul-25'!$A:$A,'[3]Jul-25'!$H:$H,0)</f>
        <v>0</v>
      </c>
      <c r="Y80" s="17">
        <f>_xlfn.XLOOKUP($B80,'[3]Aug-25'!$A:$A,'[3]Aug-25'!$H:$H,0)</f>
        <v>0</v>
      </c>
      <c r="Z80" s="17">
        <f>_xlfn.XLOOKUP($B80,'[3]Sep-25'!$A:$A,'[3]Sep-25'!$H:$H,0)</f>
        <v>0</v>
      </c>
      <c r="AA80" s="17">
        <f>_xlfn.XLOOKUP($B80,'[3]Oct-25'!$A:$A,'[3]Oct-25'!$H:$H,0)</f>
        <v>0</v>
      </c>
      <c r="AB80" s="17">
        <f>_xlfn.XLOOKUP($B80,'[3]Nov-25'!$A:$A,'[3]Nov-25'!$H:$H,0)</f>
        <v>0</v>
      </c>
      <c r="AC80" s="17">
        <f>_xlfn.XLOOKUP($B80,'[3]Dec-25'!$A:$A,'[3]Dec-25'!$H:$H,0)</f>
        <v>0</v>
      </c>
      <c r="AD80" s="17">
        <f>_xlfn.XLOOKUP($B80,'[3]Jan-26'!$A:$A,'[3]Jan-26'!$H:$H,0)</f>
        <v>0</v>
      </c>
      <c r="AE80" s="17">
        <f>_xlfn.XLOOKUP($B80,'[3]Feb-26'!$A:$A,'[3]Feb-26'!$H:$H,0)</f>
        <v>0</v>
      </c>
      <c r="AF80" s="17">
        <f>_xlfn.XLOOKUP($B80,'[3]Mar-26'!$A:$A,'[3]Mar-26'!$H:$H,0)</f>
        <v>0</v>
      </c>
      <c r="AG80" s="17">
        <f>_xlfn.XLOOKUP($B80,'[3]Apr-26'!$A:$A,'[3]Apr-26'!$H:$H,0)</f>
        <v>0</v>
      </c>
    </row>
    <row r="81" spans="1:33" x14ac:dyDescent="0.2">
      <c r="A81" s="58" t="s">
        <v>1025</v>
      </c>
      <c r="B81" s="56" t="str">
        <f t="shared" si="3"/>
        <v>40045</v>
      </c>
      <c r="C81" s="78" t="s">
        <v>471</v>
      </c>
      <c r="D81" s="57" t="s">
        <v>369</v>
      </c>
      <c r="E81" s="44" t="s">
        <v>479</v>
      </c>
      <c r="F81" s="17">
        <f>_xlfn.XLOOKUP($B81,'[3]Jan-24'!$A:$A,'[3]Jan-24'!$H:$H,0)</f>
        <v>0</v>
      </c>
      <c r="G81" s="17">
        <f>_xlfn.XLOOKUP($B81,'[3]Feb-24'!$A:$A,'[3]Feb-24'!$H:$H,0)</f>
        <v>0</v>
      </c>
      <c r="H81" s="17">
        <f>_xlfn.XLOOKUP($B81,'[3]Mar-24'!$A:$A,'[3]Mar-24'!$H:$H,0)</f>
        <v>0</v>
      </c>
      <c r="I81" s="17">
        <f>_xlfn.XLOOKUP($B81,'[3]Apr-24'!$A:$A,'[3]Apr-24'!$H:$H,0)</f>
        <v>0</v>
      </c>
      <c r="J81" s="17">
        <f>_xlfn.XLOOKUP($B81,'[3]May-24'!$A:$A,'[3]May-24'!$H:$H,0)</f>
        <v>0</v>
      </c>
      <c r="K81" s="17">
        <f>_xlfn.XLOOKUP($B81,'[3]Jun-24'!$A:$A,'[3]Jun-24'!$H:$H,0)</f>
        <v>0</v>
      </c>
      <c r="L81" s="17">
        <f>_xlfn.XLOOKUP($B81,'[3]Jul-24'!$A:$A,'[3]Jul-24'!$H:$H,0)</f>
        <v>0</v>
      </c>
      <c r="M81" s="17">
        <f>_xlfn.XLOOKUP($B81,'[3]Aug-24'!$A:$A,'[3]Aug-24'!$H:$H,0)</f>
        <v>0</v>
      </c>
      <c r="N81" s="17">
        <f>_xlfn.XLOOKUP($B81,'[3]Sep-24'!$A:$A,'[3]Sep-24'!$H:$H,0)</f>
        <v>0</v>
      </c>
      <c r="O81" s="17">
        <f>_xlfn.XLOOKUP($B81,'[3]Oct-24'!$A:$A,'[3]Oct-24'!$H:$H,0)</f>
        <v>0</v>
      </c>
      <c r="P81" s="17">
        <f>_xlfn.XLOOKUP($B81,'[3]Nov-24'!$A:$A,'[3]Nov-24'!$H:$H,0)</f>
        <v>0</v>
      </c>
      <c r="Q81" s="17">
        <f>_xlfn.XLOOKUP($B81,'[3]Dec-24'!$A:$A,'[3]Dec-24'!$H:$H,0)</f>
        <v>0</v>
      </c>
      <c r="R81" s="17">
        <f>_xlfn.XLOOKUP($B81,'[3]Jan-25'!$A:$A,'[3]Jan-25'!$H:$H,0)</f>
        <v>0</v>
      </c>
      <c r="S81" s="17">
        <f>_xlfn.XLOOKUP($B81,'[3]Feb-25'!$A:$A,'[3]Feb-25'!$H:$H,0)</f>
        <v>0</v>
      </c>
      <c r="T81" s="17">
        <f>_xlfn.XLOOKUP($B81,'[3]Mar-25'!$A:$A,'[3]Mar-25'!$H:$H,0)</f>
        <v>0</v>
      </c>
      <c r="U81" s="17">
        <f>_xlfn.XLOOKUP($B81,'[3]Apr-25'!$A:$A,'[3]Apr-25'!$H:$H,0)</f>
        <v>0</v>
      </c>
      <c r="V81" s="17">
        <f>_xlfn.XLOOKUP($B81,'[3]May-25'!$A:$A,'[3]May-25'!$H:$H,0)</f>
        <v>0</v>
      </c>
      <c r="W81" s="17">
        <f>_xlfn.XLOOKUP($B81,'[3]Jun-25'!$A:$A,'[3]Jun-25'!$H:$H,0)</f>
        <v>0</v>
      </c>
      <c r="X81" s="17">
        <f>_xlfn.XLOOKUP($B81,'[3]Jul-25'!$A:$A,'[3]Jul-25'!$H:$H,0)</f>
        <v>0</v>
      </c>
      <c r="Y81" s="17">
        <f>_xlfn.XLOOKUP($B81,'[3]Aug-25'!$A:$A,'[3]Aug-25'!$H:$H,0)</f>
        <v>0</v>
      </c>
      <c r="Z81" s="17">
        <f>_xlfn.XLOOKUP($B81,'[3]Sep-25'!$A:$A,'[3]Sep-25'!$H:$H,0)</f>
        <v>0</v>
      </c>
      <c r="AA81" s="17">
        <f>_xlfn.XLOOKUP($B81,'[3]Oct-25'!$A:$A,'[3]Oct-25'!$H:$H,0)</f>
        <v>0</v>
      </c>
      <c r="AB81" s="17">
        <f>_xlfn.XLOOKUP($B81,'[3]Nov-25'!$A:$A,'[3]Nov-25'!$H:$H,0)</f>
        <v>0</v>
      </c>
      <c r="AC81" s="17">
        <f>_xlfn.XLOOKUP($B81,'[3]Dec-25'!$A:$A,'[3]Dec-25'!$H:$H,0)</f>
        <v>0</v>
      </c>
      <c r="AD81" s="17">
        <f>_xlfn.XLOOKUP($B81,'[3]Jan-26'!$A:$A,'[3]Jan-26'!$H:$H,0)</f>
        <v>0</v>
      </c>
      <c r="AE81" s="17">
        <f>_xlfn.XLOOKUP($B81,'[3]Feb-26'!$A:$A,'[3]Feb-26'!$H:$H,0)</f>
        <v>0</v>
      </c>
      <c r="AF81" s="17">
        <f>_xlfn.XLOOKUP($B81,'[3]Mar-26'!$A:$A,'[3]Mar-26'!$H:$H,0)</f>
        <v>0</v>
      </c>
      <c r="AG81" s="17">
        <f>_xlfn.XLOOKUP($B81,'[3]Apr-26'!$A:$A,'[3]Apr-26'!$H:$H,0)</f>
        <v>0</v>
      </c>
    </row>
    <row r="82" spans="1:33" x14ac:dyDescent="0.2">
      <c r="A82" s="58" t="s">
        <v>1026</v>
      </c>
      <c r="B82" s="56" t="str">
        <f t="shared" si="3"/>
        <v>40050</v>
      </c>
      <c r="C82" s="78" t="s">
        <v>471</v>
      </c>
      <c r="D82" s="57" t="s">
        <v>369</v>
      </c>
      <c r="E82" s="44" t="s">
        <v>480</v>
      </c>
      <c r="F82" s="17">
        <f>_xlfn.XLOOKUP($B82,'[3]Jan-24'!$A:$A,'[3]Jan-24'!$H:$H,0)</f>
        <v>0</v>
      </c>
      <c r="G82" s="17">
        <f>_xlfn.XLOOKUP($B82,'[3]Feb-24'!$A:$A,'[3]Feb-24'!$H:$H,0)</f>
        <v>0</v>
      </c>
      <c r="H82" s="17">
        <f>_xlfn.XLOOKUP($B82,'[3]Mar-24'!$A:$A,'[3]Mar-24'!$H:$H,0)</f>
        <v>0</v>
      </c>
      <c r="I82" s="17">
        <f>_xlfn.XLOOKUP($B82,'[3]Apr-24'!$A:$A,'[3]Apr-24'!$H:$H,0)</f>
        <v>0</v>
      </c>
      <c r="J82" s="17">
        <f>_xlfn.XLOOKUP($B82,'[3]May-24'!$A:$A,'[3]May-24'!$H:$H,0)</f>
        <v>0</v>
      </c>
      <c r="K82" s="17">
        <f>_xlfn.XLOOKUP($B82,'[3]Jun-24'!$A:$A,'[3]Jun-24'!$H:$H,0)</f>
        <v>0</v>
      </c>
      <c r="L82" s="17">
        <f>_xlfn.XLOOKUP($B82,'[3]Jul-24'!$A:$A,'[3]Jul-24'!$H:$H,0)</f>
        <v>0</v>
      </c>
      <c r="M82" s="17">
        <f>_xlfn.XLOOKUP($B82,'[3]Aug-24'!$A:$A,'[3]Aug-24'!$H:$H,0)</f>
        <v>0</v>
      </c>
      <c r="N82" s="17">
        <f>_xlfn.XLOOKUP($B82,'[3]Sep-24'!$A:$A,'[3]Sep-24'!$H:$H,0)</f>
        <v>0</v>
      </c>
      <c r="O82" s="17">
        <f>_xlfn.XLOOKUP($B82,'[3]Oct-24'!$A:$A,'[3]Oct-24'!$H:$H,0)</f>
        <v>0</v>
      </c>
      <c r="P82" s="17">
        <f>_xlfn.XLOOKUP($B82,'[3]Nov-24'!$A:$A,'[3]Nov-24'!$H:$H,0)</f>
        <v>0</v>
      </c>
      <c r="Q82" s="17">
        <f>_xlfn.XLOOKUP($B82,'[3]Dec-24'!$A:$A,'[3]Dec-24'!$H:$H,0)</f>
        <v>0</v>
      </c>
      <c r="R82" s="17">
        <f>_xlfn.XLOOKUP($B82,'[3]Jan-25'!$A:$A,'[3]Jan-25'!$H:$H,0)</f>
        <v>0</v>
      </c>
      <c r="S82" s="17">
        <f>_xlfn.XLOOKUP($B82,'[3]Feb-25'!$A:$A,'[3]Feb-25'!$H:$H,0)</f>
        <v>0</v>
      </c>
      <c r="T82" s="17">
        <f>_xlfn.XLOOKUP($B82,'[3]Mar-25'!$A:$A,'[3]Mar-25'!$H:$H,0)</f>
        <v>0</v>
      </c>
      <c r="U82" s="17">
        <f>_xlfn.XLOOKUP($B82,'[3]Apr-25'!$A:$A,'[3]Apr-25'!$H:$H,0)</f>
        <v>0</v>
      </c>
      <c r="V82" s="17">
        <f>_xlfn.XLOOKUP($B82,'[3]May-25'!$A:$A,'[3]May-25'!$H:$H,0)</f>
        <v>0</v>
      </c>
      <c r="W82" s="17">
        <f>_xlfn.XLOOKUP($B82,'[3]Jun-25'!$A:$A,'[3]Jun-25'!$H:$H,0)</f>
        <v>0</v>
      </c>
      <c r="X82" s="17">
        <f>_xlfn.XLOOKUP($B82,'[3]Jul-25'!$A:$A,'[3]Jul-25'!$H:$H,0)</f>
        <v>0</v>
      </c>
      <c r="Y82" s="17">
        <f>_xlfn.XLOOKUP($B82,'[3]Aug-25'!$A:$A,'[3]Aug-25'!$H:$H,0)</f>
        <v>0</v>
      </c>
      <c r="Z82" s="17">
        <f>_xlfn.XLOOKUP($B82,'[3]Sep-25'!$A:$A,'[3]Sep-25'!$H:$H,0)</f>
        <v>0</v>
      </c>
      <c r="AA82" s="17">
        <f>_xlfn.XLOOKUP($B82,'[3]Oct-25'!$A:$A,'[3]Oct-25'!$H:$H,0)</f>
        <v>0</v>
      </c>
      <c r="AB82" s="17">
        <f>_xlfn.XLOOKUP($B82,'[3]Nov-25'!$A:$A,'[3]Nov-25'!$H:$H,0)</f>
        <v>0</v>
      </c>
      <c r="AC82" s="17">
        <f>_xlfn.XLOOKUP($B82,'[3]Dec-25'!$A:$A,'[3]Dec-25'!$H:$H,0)</f>
        <v>0</v>
      </c>
      <c r="AD82" s="17">
        <f>_xlfn.XLOOKUP($B82,'[3]Jan-26'!$A:$A,'[3]Jan-26'!$H:$H,0)</f>
        <v>0</v>
      </c>
      <c r="AE82" s="17">
        <f>_xlfn.XLOOKUP($B82,'[3]Feb-26'!$A:$A,'[3]Feb-26'!$H:$H,0)</f>
        <v>0</v>
      </c>
      <c r="AF82" s="17">
        <f>_xlfn.XLOOKUP($B82,'[3]Mar-26'!$A:$A,'[3]Mar-26'!$H:$H,0)</f>
        <v>0</v>
      </c>
      <c r="AG82" s="17">
        <f>_xlfn.XLOOKUP($B82,'[3]Apr-26'!$A:$A,'[3]Apr-26'!$H:$H,0)</f>
        <v>0</v>
      </c>
    </row>
    <row r="83" spans="1:33" x14ac:dyDescent="0.2">
      <c r="A83" s="58" t="s">
        <v>1027</v>
      </c>
      <c r="B83" s="56" t="str">
        <f t="shared" si="3"/>
        <v>40051</v>
      </c>
      <c r="C83" s="78" t="s">
        <v>471</v>
      </c>
      <c r="D83" s="57" t="s">
        <v>369</v>
      </c>
      <c r="E83" s="44" t="s">
        <v>481</v>
      </c>
      <c r="F83" s="17">
        <f>_xlfn.XLOOKUP($B83,'[3]Jan-24'!$A:$A,'[3]Jan-24'!$H:$H,0)</f>
        <v>0</v>
      </c>
      <c r="G83" s="17">
        <f>_xlfn.XLOOKUP($B83,'[3]Feb-24'!$A:$A,'[3]Feb-24'!$H:$H,0)</f>
        <v>0</v>
      </c>
      <c r="H83" s="17">
        <f>_xlfn.XLOOKUP($B83,'[3]Mar-24'!$A:$A,'[3]Mar-24'!$H:$H,0)</f>
        <v>0</v>
      </c>
      <c r="I83" s="17">
        <f>_xlfn.XLOOKUP($B83,'[3]Apr-24'!$A:$A,'[3]Apr-24'!$H:$H,0)</f>
        <v>0</v>
      </c>
      <c r="J83" s="17">
        <f>_xlfn.XLOOKUP($B83,'[3]May-24'!$A:$A,'[3]May-24'!$H:$H,0)</f>
        <v>0</v>
      </c>
      <c r="K83" s="17">
        <f>_xlfn.XLOOKUP($B83,'[3]Jun-24'!$A:$A,'[3]Jun-24'!$H:$H,0)</f>
        <v>0</v>
      </c>
      <c r="L83" s="17">
        <f>_xlfn.XLOOKUP($B83,'[3]Jul-24'!$A:$A,'[3]Jul-24'!$H:$H,0)</f>
        <v>0</v>
      </c>
      <c r="M83" s="17">
        <f>_xlfn.XLOOKUP($B83,'[3]Aug-24'!$A:$A,'[3]Aug-24'!$H:$H,0)</f>
        <v>0</v>
      </c>
      <c r="N83" s="17">
        <f>_xlfn.XLOOKUP($B83,'[3]Sep-24'!$A:$A,'[3]Sep-24'!$H:$H,0)</f>
        <v>0</v>
      </c>
      <c r="O83" s="17">
        <f>_xlfn.XLOOKUP($B83,'[3]Oct-24'!$A:$A,'[3]Oct-24'!$H:$H,0)</f>
        <v>0</v>
      </c>
      <c r="P83" s="17">
        <f>_xlfn.XLOOKUP($B83,'[3]Nov-24'!$A:$A,'[3]Nov-24'!$H:$H,0)</f>
        <v>0</v>
      </c>
      <c r="Q83" s="17">
        <f>_xlfn.XLOOKUP($B83,'[3]Dec-24'!$A:$A,'[3]Dec-24'!$H:$H,0)</f>
        <v>0</v>
      </c>
      <c r="R83" s="17">
        <f>_xlfn.XLOOKUP($B83,'[3]Jan-25'!$A:$A,'[3]Jan-25'!$H:$H,0)</f>
        <v>0</v>
      </c>
      <c r="S83" s="17">
        <f>_xlfn.XLOOKUP($B83,'[3]Feb-25'!$A:$A,'[3]Feb-25'!$H:$H,0)</f>
        <v>0</v>
      </c>
      <c r="T83" s="17">
        <f>_xlfn.XLOOKUP($B83,'[3]Mar-25'!$A:$A,'[3]Mar-25'!$H:$H,0)</f>
        <v>0</v>
      </c>
      <c r="U83" s="17">
        <f>_xlfn.XLOOKUP($B83,'[3]Apr-25'!$A:$A,'[3]Apr-25'!$H:$H,0)</f>
        <v>0</v>
      </c>
      <c r="V83" s="17">
        <f>_xlfn.XLOOKUP($B83,'[3]May-25'!$A:$A,'[3]May-25'!$H:$H,0)</f>
        <v>0</v>
      </c>
      <c r="W83" s="17">
        <f>_xlfn.XLOOKUP($B83,'[3]Jun-25'!$A:$A,'[3]Jun-25'!$H:$H,0)</f>
        <v>0</v>
      </c>
      <c r="X83" s="17">
        <f>_xlfn.XLOOKUP($B83,'[3]Jul-25'!$A:$A,'[3]Jul-25'!$H:$H,0)</f>
        <v>0</v>
      </c>
      <c r="Y83" s="17">
        <f>_xlfn.XLOOKUP($B83,'[3]Aug-25'!$A:$A,'[3]Aug-25'!$H:$H,0)</f>
        <v>0</v>
      </c>
      <c r="Z83" s="17">
        <f>_xlfn.XLOOKUP($B83,'[3]Sep-25'!$A:$A,'[3]Sep-25'!$H:$H,0)</f>
        <v>0</v>
      </c>
      <c r="AA83" s="17">
        <f>_xlfn.XLOOKUP($B83,'[3]Oct-25'!$A:$A,'[3]Oct-25'!$H:$H,0)</f>
        <v>0</v>
      </c>
      <c r="AB83" s="17">
        <f>_xlfn.XLOOKUP($B83,'[3]Nov-25'!$A:$A,'[3]Nov-25'!$H:$H,0)</f>
        <v>0</v>
      </c>
      <c r="AC83" s="17">
        <f>_xlfn.XLOOKUP($B83,'[3]Dec-25'!$A:$A,'[3]Dec-25'!$H:$H,0)</f>
        <v>0</v>
      </c>
      <c r="AD83" s="17">
        <f>_xlfn.XLOOKUP($B83,'[3]Jan-26'!$A:$A,'[3]Jan-26'!$H:$H,0)</f>
        <v>0</v>
      </c>
      <c r="AE83" s="17">
        <f>_xlfn.XLOOKUP($B83,'[3]Feb-26'!$A:$A,'[3]Feb-26'!$H:$H,0)</f>
        <v>0</v>
      </c>
      <c r="AF83" s="17">
        <f>_xlfn.XLOOKUP($B83,'[3]Mar-26'!$A:$A,'[3]Mar-26'!$H:$H,0)</f>
        <v>0</v>
      </c>
      <c r="AG83" s="17">
        <f>_xlfn.XLOOKUP($B83,'[3]Apr-26'!$A:$A,'[3]Apr-26'!$H:$H,0)</f>
        <v>0</v>
      </c>
    </row>
    <row r="84" spans="1:33" x14ac:dyDescent="0.2">
      <c r="A84" s="58" t="s">
        <v>1028</v>
      </c>
      <c r="B84" s="56" t="str">
        <f t="shared" si="3"/>
        <v>40055</v>
      </c>
      <c r="C84" s="78" t="s">
        <v>471</v>
      </c>
      <c r="D84" s="57" t="s">
        <v>369</v>
      </c>
      <c r="E84" s="44" t="s">
        <v>96</v>
      </c>
      <c r="F84" s="17">
        <f>_xlfn.XLOOKUP($B84,'[3]Jan-24'!$A:$A,'[3]Jan-24'!$H:$H,0)</f>
        <v>0</v>
      </c>
      <c r="G84" s="17">
        <f>_xlfn.XLOOKUP($B84,'[3]Feb-24'!$A:$A,'[3]Feb-24'!$H:$H,0)</f>
        <v>0</v>
      </c>
      <c r="H84" s="17">
        <f>_xlfn.XLOOKUP($B84,'[3]Mar-24'!$A:$A,'[3]Mar-24'!$H:$H,0)</f>
        <v>0</v>
      </c>
      <c r="I84" s="17">
        <f>_xlfn.XLOOKUP($B84,'[3]Apr-24'!$A:$A,'[3]Apr-24'!$H:$H,0)</f>
        <v>0</v>
      </c>
      <c r="J84" s="17">
        <f>_xlfn.XLOOKUP($B84,'[3]May-24'!$A:$A,'[3]May-24'!$H:$H,0)</f>
        <v>0</v>
      </c>
      <c r="K84" s="17">
        <f>_xlfn.XLOOKUP($B84,'[3]Jun-24'!$A:$A,'[3]Jun-24'!$H:$H,0)</f>
        <v>0</v>
      </c>
      <c r="L84" s="17">
        <f>_xlfn.XLOOKUP($B84,'[3]Jul-24'!$A:$A,'[3]Jul-24'!$H:$H,0)</f>
        <v>0</v>
      </c>
      <c r="M84" s="17">
        <f>_xlfn.XLOOKUP($B84,'[3]Aug-24'!$A:$A,'[3]Aug-24'!$H:$H,0)</f>
        <v>0</v>
      </c>
      <c r="N84" s="17">
        <f>_xlfn.XLOOKUP($B84,'[3]Sep-24'!$A:$A,'[3]Sep-24'!$H:$H,0)</f>
        <v>0</v>
      </c>
      <c r="O84" s="17">
        <f>_xlfn.XLOOKUP($B84,'[3]Oct-24'!$A:$A,'[3]Oct-24'!$H:$H,0)</f>
        <v>0</v>
      </c>
      <c r="P84" s="17">
        <f>_xlfn.XLOOKUP($B84,'[3]Nov-24'!$A:$A,'[3]Nov-24'!$H:$H,0)</f>
        <v>0</v>
      </c>
      <c r="Q84" s="17">
        <f>_xlfn.XLOOKUP($B84,'[3]Dec-24'!$A:$A,'[3]Dec-24'!$H:$H,0)</f>
        <v>0</v>
      </c>
      <c r="R84" s="17">
        <f>_xlfn.XLOOKUP($B84,'[3]Jan-25'!$A:$A,'[3]Jan-25'!$H:$H,0)</f>
        <v>0</v>
      </c>
      <c r="S84" s="17">
        <f>_xlfn.XLOOKUP($B84,'[3]Feb-25'!$A:$A,'[3]Feb-25'!$H:$H,0)</f>
        <v>0</v>
      </c>
      <c r="T84" s="17">
        <f>_xlfn.XLOOKUP($B84,'[3]Mar-25'!$A:$A,'[3]Mar-25'!$H:$H,0)</f>
        <v>0</v>
      </c>
      <c r="U84" s="17">
        <f>_xlfn.XLOOKUP($B84,'[3]Apr-25'!$A:$A,'[3]Apr-25'!$H:$H,0)</f>
        <v>0</v>
      </c>
      <c r="V84" s="17">
        <f>_xlfn.XLOOKUP($B84,'[3]May-25'!$A:$A,'[3]May-25'!$H:$H,0)</f>
        <v>0</v>
      </c>
      <c r="W84" s="17">
        <f>_xlfn.XLOOKUP($B84,'[3]Jun-25'!$A:$A,'[3]Jun-25'!$H:$H,0)</f>
        <v>0</v>
      </c>
      <c r="X84" s="17">
        <f>_xlfn.XLOOKUP($B84,'[3]Jul-25'!$A:$A,'[3]Jul-25'!$H:$H,0)</f>
        <v>0</v>
      </c>
      <c r="Y84" s="17">
        <f>_xlfn.XLOOKUP($B84,'[3]Aug-25'!$A:$A,'[3]Aug-25'!$H:$H,0)</f>
        <v>0</v>
      </c>
      <c r="Z84" s="17">
        <f>_xlfn.XLOOKUP($B84,'[3]Sep-25'!$A:$A,'[3]Sep-25'!$H:$H,0)</f>
        <v>0</v>
      </c>
      <c r="AA84" s="17">
        <f>_xlfn.XLOOKUP($B84,'[3]Oct-25'!$A:$A,'[3]Oct-25'!$H:$H,0)</f>
        <v>0</v>
      </c>
      <c r="AB84" s="17">
        <f>_xlfn.XLOOKUP($B84,'[3]Nov-25'!$A:$A,'[3]Nov-25'!$H:$H,0)</f>
        <v>0</v>
      </c>
      <c r="AC84" s="17">
        <f>_xlfn.XLOOKUP($B84,'[3]Dec-25'!$A:$A,'[3]Dec-25'!$H:$H,0)</f>
        <v>0</v>
      </c>
      <c r="AD84" s="17">
        <f>_xlfn.XLOOKUP($B84,'[3]Jan-26'!$A:$A,'[3]Jan-26'!$H:$H,0)</f>
        <v>0</v>
      </c>
      <c r="AE84" s="17">
        <f>_xlfn.XLOOKUP($B84,'[3]Feb-26'!$A:$A,'[3]Feb-26'!$H:$H,0)</f>
        <v>0</v>
      </c>
      <c r="AF84" s="17">
        <f>_xlfn.XLOOKUP($B84,'[3]Mar-26'!$A:$A,'[3]Mar-26'!$H:$H,0)</f>
        <v>0</v>
      </c>
      <c r="AG84" s="17">
        <f>_xlfn.XLOOKUP($B84,'[3]Apr-26'!$A:$A,'[3]Apr-26'!$H:$H,0)</f>
        <v>0</v>
      </c>
    </row>
    <row r="85" spans="1:33" x14ac:dyDescent="0.2">
      <c r="A85" s="58" t="s">
        <v>1029</v>
      </c>
      <c r="B85" s="56" t="str">
        <f t="shared" si="3"/>
        <v>40056</v>
      </c>
      <c r="C85" s="78" t="s">
        <v>471</v>
      </c>
      <c r="D85" s="57" t="s">
        <v>369</v>
      </c>
      <c r="E85" s="44" t="s">
        <v>97</v>
      </c>
      <c r="F85" s="17">
        <f>_xlfn.XLOOKUP($B85,'[3]Jan-24'!$A:$A,'[3]Jan-24'!$H:$H,0)</f>
        <v>0</v>
      </c>
      <c r="G85" s="17">
        <f>_xlfn.XLOOKUP($B85,'[3]Feb-24'!$A:$A,'[3]Feb-24'!$H:$H,0)</f>
        <v>0</v>
      </c>
      <c r="H85" s="17">
        <f>_xlfn.XLOOKUP($B85,'[3]Mar-24'!$A:$A,'[3]Mar-24'!$H:$H,0)</f>
        <v>0</v>
      </c>
      <c r="I85" s="17">
        <f>_xlfn.XLOOKUP($B85,'[3]Apr-24'!$A:$A,'[3]Apr-24'!$H:$H,0)</f>
        <v>0</v>
      </c>
      <c r="J85" s="17">
        <f>_xlfn.XLOOKUP($B85,'[3]May-24'!$A:$A,'[3]May-24'!$H:$H,0)</f>
        <v>0</v>
      </c>
      <c r="K85" s="17">
        <f>_xlfn.XLOOKUP($B85,'[3]Jun-24'!$A:$A,'[3]Jun-24'!$H:$H,0)</f>
        <v>0</v>
      </c>
      <c r="L85" s="17">
        <f>_xlfn.XLOOKUP($B85,'[3]Jul-24'!$A:$A,'[3]Jul-24'!$H:$H,0)</f>
        <v>0</v>
      </c>
      <c r="M85" s="17">
        <f>_xlfn.XLOOKUP($B85,'[3]Aug-24'!$A:$A,'[3]Aug-24'!$H:$H,0)</f>
        <v>0</v>
      </c>
      <c r="N85" s="17">
        <f>_xlfn.XLOOKUP($B85,'[3]Sep-24'!$A:$A,'[3]Sep-24'!$H:$H,0)</f>
        <v>0</v>
      </c>
      <c r="O85" s="17">
        <f>_xlfn.XLOOKUP($B85,'[3]Oct-24'!$A:$A,'[3]Oct-24'!$H:$H,0)</f>
        <v>0</v>
      </c>
      <c r="P85" s="17">
        <f>_xlfn.XLOOKUP($B85,'[3]Nov-24'!$A:$A,'[3]Nov-24'!$H:$H,0)</f>
        <v>0</v>
      </c>
      <c r="Q85" s="17">
        <f>_xlfn.XLOOKUP($B85,'[3]Dec-24'!$A:$A,'[3]Dec-24'!$H:$H,0)</f>
        <v>0</v>
      </c>
      <c r="R85" s="17">
        <f>_xlfn.XLOOKUP($B85,'[3]Jan-25'!$A:$A,'[3]Jan-25'!$H:$H,0)</f>
        <v>0</v>
      </c>
      <c r="S85" s="17">
        <f>_xlfn.XLOOKUP($B85,'[3]Feb-25'!$A:$A,'[3]Feb-25'!$H:$H,0)</f>
        <v>0</v>
      </c>
      <c r="T85" s="17">
        <f>_xlfn.XLOOKUP($B85,'[3]Mar-25'!$A:$A,'[3]Mar-25'!$H:$H,0)</f>
        <v>0</v>
      </c>
      <c r="U85" s="17">
        <f>_xlfn.XLOOKUP($B85,'[3]Apr-25'!$A:$A,'[3]Apr-25'!$H:$H,0)</f>
        <v>0</v>
      </c>
      <c r="V85" s="17">
        <f>_xlfn.XLOOKUP($B85,'[3]May-25'!$A:$A,'[3]May-25'!$H:$H,0)</f>
        <v>0</v>
      </c>
      <c r="W85" s="17">
        <f>_xlfn.XLOOKUP($B85,'[3]Jun-25'!$A:$A,'[3]Jun-25'!$H:$H,0)</f>
        <v>0</v>
      </c>
      <c r="X85" s="17">
        <f>_xlfn.XLOOKUP($B85,'[3]Jul-25'!$A:$A,'[3]Jul-25'!$H:$H,0)</f>
        <v>0</v>
      </c>
      <c r="Y85" s="17">
        <f>_xlfn.XLOOKUP($B85,'[3]Aug-25'!$A:$A,'[3]Aug-25'!$H:$H,0)</f>
        <v>0</v>
      </c>
      <c r="Z85" s="17">
        <f>_xlfn.XLOOKUP($B85,'[3]Sep-25'!$A:$A,'[3]Sep-25'!$H:$H,0)</f>
        <v>0</v>
      </c>
      <c r="AA85" s="17">
        <f>_xlfn.XLOOKUP($B85,'[3]Oct-25'!$A:$A,'[3]Oct-25'!$H:$H,0)</f>
        <v>0</v>
      </c>
      <c r="AB85" s="17">
        <f>_xlfn.XLOOKUP($B85,'[3]Nov-25'!$A:$A,'[3]Nov-25'!$H:$H,0)</f>
        <v>0</v>
      </c>
      <c r="AC85" s="17">
        <f>_xlfn.XLOOKUP($B85,'[3]Dec-25'!$A:$A,'[3]Dec-25'!$H:$H,0)</f>
        <v>0</v>
      </c>
      <c r="AD85" s="17">
        <f>_xlfn.XLOOKUP($B85,'[3]Jan-26'!$A:$A,'[3]Jan-26'!$H:$H,0)</f>
        <v>0</v>
      </c>
      <c r="AE85" s="17">
        <f>_xlfn.XLOOKUP($B85,'[3]Feb-26'!$A:$A,'[3]Feb-26'!$H:$H,0)</f>
        <v>0</v>
      </c>
      <c r="AF85" s="17">
        <f>_xlfn.XLOOKUP($B85,'[3]Mar-26'!$A:$A,'[3]Mar-26'!$H:$H,0)</f>
        <v>0</v>
      </c>
      <c r="AG85" s="17">
        <f>_xlfn.XLOOKUP($B85,'[3]Apr-26'!$A:$A,'[3]Apr-26'!$H:$H,0)</f>
        <v>0</v>
      </c>
    </row>
    <row r="86" spans="1:33" x14ac:dyDescent="0.2">
      <c r="A86" s="58" t="s">
        <v>1030</v>
      </c>
      <c r="B86" s="56" t="str">
        <f t="shared" si="3"/>
        <v>40060</v>
      </c>
      <c r="C86" s="78" t="s">
        <v>471</v>
      </c>
      <c r="D86" s="57" t="s">
        <v>369</v>
      </c>
      <c r="E86" s="44" t="s">
        <v>482</v>
      </c>
      <c r="F86" s="17">
        <f>_xlfn.XLOOKUP($B86,'[3]Jan-24'!$A:$A,'[3]Jan-24'!$H:$H,0)</f>
        <v>0</v>
      </c>
      <c r="G86" s="17">
        <f>_xlfn.XLOOKUP($B86,'[3]Feb-24'!$A:$A,'[3]Feb-24'!$H:$H,0)</f>
        <v>0</v>
      </c>
      <c r="H86" s="17">
        <f>_xlfn.XLOOKUP($B86,'[3]Mar-24'!$A:$A,'[3]Mar-24'!$H:$H,0)</f>
        <v>0</v>
      </c>
      <c r="I86" s="17">
        <f>_xlfn.XLOOKUP($B86,'[3]Apr-24'!$A:$A,'[3]Apr-24'!$H:$H,0)</f>
        <v>0</v>
      </c>
      <c r="J86" s="17">
        <f>_xlfn.XLOOKUP($B86,'[3]May-24'!$A:$A,'[3]May-24'!$H:$H,0)</f>
        <v>0</v>
      </c>
      <c r="K86" s="17">
        <f>_xlfn.XLOOKUP($B86,'[3]Jun-24'!$A:$A,'[3]Jun-24'!$H:$H,0)</f>
        <v>0</v>
      </c>
      <c r="L86" s="17">
        <f>_xlfn.XLOOKUP($B86,'[3]Jul-24'!$A:$A,'[3]Jul-24'!$H:$H,0)</f>
        <v>0</v>
      </c>
      <c r="M86" s="17">
        <f>_xlfn.XLOOKUP($B86,'[3]Aug-24'!$A:$A,'[3]Aug-24'!$H:$H,0)</f>
        <v>0</v>
      </c>
      <c r="N86" s="17">
        <f>_xlfn.XLOOKUP($B86,'[3]Sep-24'!$A:$A,'[3]Sep-24'!$H:$H,0)</f>
        <v>0</v>
      </c>
      <c r="O86" s="17">
        <f>_xlfn.XLOOKUP($B86,'[3]Oct-24'!$A:$A,'[3]Oct-24'!$H:$H,0)</f>
        <v>0</v>
      </c>
      <c r="P86" s="17">
        <f>_xlfn.XLOOKUP($B86,'[3]Nov-24'!$A:$A,'[3]Nov-24'!$H:$H,0)</f>
        <v>0</v>
      </c>
      <c r="Q86" s="17">
        <f>_xlfn.XLOOKUP($B86,'[3]Dec-24'!$A:$A,'[3]Dec-24'!$H:$H,0)</f>
        <v>0</v>
      </c>
      <c r="R86" s="17">
        <f>_xlfn.XLOOKUP($B86,'[3]Jan-25'!$A:$A,'[3]Jan-25'!$H:$H,0)</f>
        <v>0</v>
      </c>
      <c r="S86" s="17">
        <f>_xlfn.XLOOKUP($B86,'[3]Feb-25'!$A:$A,'[3]Feb-25'!$H:$H,0)</f>
        <v>0</v>
      </c>
      <c r="T86" s="17">
        <f>_xlfn.XLOOKUP($B86,'[3]Mar-25'!$A:$A,'[3]Mar-25'!$H:$H,0)</f>
        <v>0</v>
      </c>
      <c r="U86" s="17">
        <f>_xlfn.XLOOKUP($B86,'[3]Apr-25'!$A:$A,'[3]Apr-25'!$H:$H,0)</f>
        <v>0</v>
      </c>
      <c r="V86" s="17">
        <f>_xlfn.XLOOKUP($B86,'[3]May-25'!$A:$A,'[3]May-25'!$H:$H,0)</f>
        <v>0</v>
      </c>
      <c r="W86" s="17">
        <f>_xlfn.XLOOKUP($B86,'[3]Jun-25'!$A:$A,'[3]Jun-25'!$H:$H,0)</f>
        <v>0</v>
      </c>
      <c r="X86" s="17">
        <f>_xlfn.XLOOKUP($B86,'[3]Jul-25'!$A:$A,'[3]Jul-25'!$H:$H,0)</f>
        <v>0</v>
      </c>
      <c r="Y86" s="17">
        <f>_xlfn.XLOOKUP($B86,'[3]Aug-25'!$A:$A,'[3]Aug-25'!$H:$H,0)</f>
        <v>0</v>
      </c>
      <c r="Z86" s="17">
        <f>_xlfn.XLOOKUP($B86,'[3]Sep-25'!$A:$A,'[3]Sep-25'!$H:$H,0)</f>
        <v>0</v>
      </c>
      <c r="AA86" s="17">
        <f>_xlfn.XLOOKUP($B86,'[3]Oct-25'!$A:$A,'[3]Oct-25'!$H:$H,0)</f>
        <v>0</v>
      </c>
      <c r="AB86" s="17">
        <f>_xlfn.XLOOKUP($B86,'[3]Nov-25'!$A:$A,'[3]Nov-25'!$H:$H,0)</f>
        <v>0</v>
      </c>
      <c r="AC86" s="17">
        <f>_xlfn.XLOOKUP($B86,'[3]Dec-25'!$A:$A,'[3]Dec-25'!$H:$H,0)</f>
        <v>0</v>
      </c>
      <c r="AD86" s="17">
        <f>_xlfn.XLOOKUP($B86,'[3]Jan-26'!$A:$A,'[3]Jan-26'!$H:$H,0)</f>
        <v>0</v>
      </c>
      <c r="AE86" s="17">
        <f>_xlfn.XLOOKUP($B86,'[3]Feb-26'!$A:$A,'[3]Feb-26'!$H:$H,0)</f>
        <v>0</v>
      </c>
      <c r="AF86" s="17">
        <f>_xlfn.XLOOKUP($B86,'[3]Mar-26'!$A:$A,'[3]Mar-26'!$H:$H,0)</f>
        <v>0</v>
      </c>
      <c r="AG86" s="17">
        <f>_xlfn.XLOOKUP($B86,'[3]Apr-26'!$A:$A,'[3]Apr-26'!$H:$H,0)</f>
        <v>0</v>
      </c>
    </row>
    <row r="87" spans="1:33" x14ac:dyDescent="0.2">
      <c r="A87" s="58" t="s">
        <v>1031</v>
      </c>
      <c r="B87" s="56" t="str">
        <f t="shared" si="3"/>
        <v>40062</v>
      </c>
      <c r="C87" s="78" t="s">
        <v>471</v>
      </c>
      <c r="D87" s="57" t="s">
        <v>369</v>
      </c>
      <c r="E87" s="44" t="s">
        <v>483</v>
      </c>
      <c r="F87" s="17">
        <f>_xlfn.XLOOKUP($B87,'[3]Jan-24'!$A:$A,'[3]Jan-24'!$H:$H,0)</f>
        <v>0</v>
      </c>
      <c r="G87" s="17">
        <f>_xlfn.XLOOKUP($B87,'[3]Feb-24'!$A:$A,'[3]Feb-24'!$H:$H,0)</f>
        <v>0</v>
      </c>
      <c r="H87" s="17">
        <f>_xlfn.XLOOKUP($B87,'[3]Mar-24'!$A:$A,'[3]Mar-24'!$H:$H,0)</f>
        <v>0</v>
      </c>
      <c r="I87" s="17">
        <f>_xlfn.XLOOKUP($B87,'[3]Apr-24'!$A:$A,'[3]Apr-24'!$H:$H,0)</f>
        <v>0</v>
      </c>
      <c r="J87" s="17">
        <f>_xlfn.XLOOKUP($B87,'[3]May-24'!$A:$A,'[3]May-24'!$H:$H,0)</f>
        <v>0</v>
      </c>
      <c r="K87" s="17">
        <f>_xlfn.XLOOKUP($B87,'[3]Jun-24'!$A:$A,'[3]Jun-24'!$H:$H,0)</f>
        <v>0</v>
      </c>
      <c r="L87" s="17">
        <f>_xlfn.XLOOKUP($B87,'[3]Jul-24'!$A:$A,'[3]Jul-24'!$H:$H,0)</f>
        <v>0</v>
      </c>
      <c r="M87" s="17">
        <f>_xlfn.XLOOKUP($B87,'[3]Aug-24'!$A:$A,'[3]Aug-24'!$H:$H,0)</f>
        <v>0</v>
      </c>
      <c r="N87" s="17">
        <f>_xlfn.XLOOKUP($B87,'[3]Sep-24'!$A:$A,'[3]Sep-24'!$H:$H,0)</f>
        <v>0</v>
      </c>
      <c r="O87" s="17">
        <f>_xlfn.XLOOKUP($B87,'[3]Oct-24'!$A:$A,'[3]Oct-24'!$H:$H,0)</f>
        <v>0</v>
      </c>
      <c r="P87" s="17">
        <f>_xlfn.XLOOKUP($B87,'[3]Nov-24'!$A:$A,'[3]Nov-24'!$H:$H,0)</f>
        <v>0</v>
      </c>
      <c r="Q87" s="17">
        <f>_xlfn.XLOOKUP($B87,'[3]Dec-24'!$A:$A,'[3]Dec-24'!$H:$H,0)</f>
        <v>0</v>
      </c>
      <c r="R87" s="17">
        <f>_xlfn.XLOOKUP($B87,'[3]Jan-25'!$A:$A,'[3]Jan-25'!$H:$H,0)</f>
        <v>0</v>
      </c>
      <c r="S87" s="17">
        <f>_xlfn.XLOOKUP($B87,'[3]Feb-25'!$A:$A,'[3]Feb-25'!$H:$H,0)</f>
        <v>0</v>
      </c>
      <c r="T87" s="17">
        <f>_xlfn.XLOOKUP($B87,'[3]Mar-25'!$A:$A,'[3]Mar-25'!$H:$H,0)</f>
        <v>0</v>
      </c>
      <c r="U87" s="17">
        <f>_xlfn.XLOOKUP($B87,'[3]Apr-25'!$A:$A,'[3]Apr-25'!$H:$H,0)</f>
        <v>0</v>
      </c>
      <c r="V87" s="17">
        <f>_xlfn.XLOOKUP($B87,'[3]May-25'!$A:$A,'[3]May-25'!$H:$H,0)</f>
        <v>0</v>
      </c>
      <c r="W87" s="17">
        <f>_xlfn.XLOOKUP($B87,'[3]Jun-25'!$A:$A,'[3]Jun-25'!$H:$H,0)</f>
        <v>0</v>
      </c>
      <c r="X87" s="17">
        <f>_xlfn.XLOOKUP($B87,'[3]Jul-25'!$A:$A,'[3]Jul-25'!$H:$H,0)</f>
        <v>0</v>
      </c>
      <c r="Y87" s="17">
        <f>_xlfn.XLOOKUP($B87,'[3]Aug-25'!$A:$A,'[3]Aug-25'!$H:$H,0)</f>
        <v>0</v>
      </c>
      <c r="Z87" s="17">
        <f>_xlfn.XLOOKUP($B87,'[3]Sep-25'!$A:$A,'[3]Sep-25'!$H:$H,0)</f>
        <v>0</v>
      </c>
      <c r="AA87" s="17">
        <f>_xlfn.XLOOKUP($B87,'[3]Oct-25'!$A:$A,'[3]Oct-25'!$H:$H,0)</f>
        <v>0</v>
      </c>
      <c r="AB87" s="17">
        <f>_xlfn.XLOOKUP($B87,'[3]Nov-25'!$A:$A,'[3]Nov-25'!$H:$H,0)</f>
        <v>0</v>
      </c>
      <c r="AC87" s="17">
        <f>_xlfn.XLOOKUP($B87,'[3]Dec-25'!$A:$A,'[3]Dec-25'!$H:$H,0)</f>
        <v>0</v>
      </c>
      <c r="AD87" s="17">
        <f>_xlfn.XLOOKUP($B87,'[3]Jan-26'!$A:$A,'[3]Jan-26'!$H:$H,0)</f>
        <v>0</v>
      </c>
      <c r="AE87" s="17">
        <f>_xlfn.XLOOKUP($B87,'[3]Feb-26'!$A:$A,'[3]Feb-26'!$H:$H,0)</f>
        <v>0</v>
      </c>
      <c r="AF87" s="17">
        <f>_xlfn.XLOOKUP($B87,'[3]Mar-26'!$A:$A,'[3]Mar-26'!$H:$H,0)</f>
        <v>0</v>
      </c>
      <c r="AG87" s="17">
        <f>_xlfn.XLOOKUP($B87,'[3]Apr-26'!$A:$A,'[3]Apr-26'!$H:$H,0)</f>
        <v>0</v>
      </c>
    </row>
    <row r="88" spans="1:33" x14ac:dyDescent="0.2">
      <c r="A88" s="58" t="s">
        <v>1032</v>
      </c>
      <c r="B88" s="56" t="str">
        <f t="shared" si="3"/>
        <v>40065</v>
      </c>
      <c r="C88" s="78" t="s">
        <v>471</v>
      </c>
      <c r="D88" s="57" t="s">
        <v>369</v>
      </c>
      <c r="E88" s="44" t="s">
        <v>484</v>
      </c>
      <c r="F88" s="17">
        <f>_xlfn.XLOOKUP($B88,'[3]Jan-24'!$A:$A,'[3]Jan-24'!$H:$H,0)</f>
        <v>0</v>
      </c>
      <c r="G88" s="17">
        <f>_xlfn.XLOOKUP($B88,'[3]Feb-24'!$A:$A,'[3]Feb-24'!$H:$H,0)</f>
        <v>0</v>
      </c>
      <c r="H88" s="17">
        <f>_xlfn.XLOOKUP($B88,'[3]Mar-24'!$A:$A,'[3]Mar-24'!$H:$H,0)</f>
        <v>0</v>
      </c>
      <c r="I88" s="17">
        <f>_xlfn.XLOOKUP($B88,'[3]Apr-24'!$A:$A,'[3]Apr-24'!$H:$H,0)</f>
        <v>0</v>
      </c>
      <c r="J88" s="17">
        <f>_xlfn.XLOOKUP($B88,'[3]May-24'!$A:$A,'[3]May-24'!$H:$H,0)</f>
        <v>0</v>
      </c>
      <c r="K88" s="17">
        <f>_xlfn.XLOOKUP($B88,'[3]Jun-24'!$A:$A,'[3]Jun-24'!$H:$H,0)</f>
        <v>0</v>
      </c>
      <c r="L88" s="17">
        <f>_xlfn.XLOOKUP($B88,'[3]Jul-24'!$A:$A,'[3]Jul-24'!$H:$H,0)</f>
        <v>0</v>
      </c>
      <c r="M88" s="17">
        <f>_xlfn.XLOOKUP($B88,'[3]Aug-24'!$A:$A,'[3]Aug-24'!$H:$H,0)</f>
        <v>0</v>
      </c>
      <c r="N88" s="17">
        <f>_xlfn.XLOOKUP($B88,'[3]Sep-24'!$A:$A,'[3]Sep-24'!$H:$H,0)</f>
        <v>0</v>
      </c>
      <c r="O88" s="17">
        <f>_xlfn.XLOOKUP($B88,'[3]Oct-24'!$A:$A,'[3]Oct-24'!$H:$H,0)</f>
        <v>0</v>
      </c>
      <c r="P88" s="17">
        <f>_xlfn.XLOOKUP($B88,'[3]Nov-24'!$A:$A,'[3]Nov-24'!$H:$H,0)</f>
        <v>0</v>
      </c>
      <c r="Q88" s="17">
        <f>_xlfn.XLOOKUP($B88,'[3]Dec-24'!$A:$A,'[3]Dec-24'!$H:$H,0)</f>
        <v>0</v>
      </c>
      <c r="R88" s="17">
        <f>_xlfn.XLOOKUP($B88,'[3]Jan-25'!$A:$A,'[3]Jan-25'!$H:$H,0)</f>
        <v>0</v>
      </c>
      <c r="S88" s="17">
        <f>_xlfn.XLOOKUP($B88,'[3]Feb-25'!$A:$A,'[3]Feb-25'!$H:$H,0)</f>
        <v>0</v>
      </c>
      <c r="T88" s="17">
        <f>_xlfn.XLOOKUP($B88,'[3]Mar-25'!$A:$A,'[3]Mar-25'!$H:$H,0)</f>
        <v>0</v>
      </c>
      <c r="U88" s="17">
        <f>_xlfn.XLOOKUP($B88,'[3]Apr-25'!$A:$A,'[3]Apr-25'!$H:$H,0)</f>
        <v>0</v>
      </c>
      <c r="V88" s="17">
        <f>_xlfn.XLOOKUP($B88,'[3]May-25'!$A:$A,'[3]May-25'!$H:$H,0)</f>
        <v>0</v>
      </c>
      <c r="W88" s="17">
        <f>_xlfn.XLOOKUP($B88,'[3]Jun-25'!$A:$A,'[3]Jun-25'!$H:$H,0)</f>
        <v>0</v>
      </c>
      <c r="X88" s="17">
        <f>_xlfn.XLOOKUP($B88,'[3]Jul-25'!$A:$A,'[3]Jul-25'!$H:$H,0)</f>
        <v>0</v>
      </c>
      <c r="Y88" s="17">
        <f>_xlfn.XLOOKUP($B88,'[3]Aug-25'!$A:$A,'[3]Aug-25'!$H:$H,0)</f>
        <v>0</v>
      </c>
      <c r="Z88" s="17">
        <f>_xlfn.XLOOKUP($B88,'[3]Sep-25'!$A:$A,'[3]Sep-25'!$H:$H,0)</f>
        <v>0</v>
      </c>
      <c r="AA88" s="17">
        <f>_xlfn.XLOOKUP($B88,'[3]Oct-25'!$A:$A,'[3]Oct-25'!$H:$H,0)</f>
        <v>0</v>
      </c>
      <c r="AB88" s="17">
        <f>_xlfn.XLOOKUP($B88,'[3]Nov-25'!$A:$A,'[3]Nov-25'!$H:$H,0)</f>
        <v>0</v>
      </c>
      <c r="AC88" s="17">
        <f>_xlfn.XLOOKUP($B88,'[3]Dec-25'!$A:$A,'[3]Dec-25'!$H:$H,0)</f>
        <v>0</v>
      </c>
      <c r="AD88" s="17">
        <f>_xlfn.XLOOKUP($B88,'[3]Jan-26'!$A:$A,'[3]Jan-26'!$H:$H,0)</f>
        <v>0</v>
      </c>
      <c r="AE88" s="17">
        <f>_xlfn.XLOOKUP($B88,'[3]Feb-26'!$A:$A,'[3]Feb-26'!$H:$H,0)</f>
        <v>0</v>
      </c>
      <c r="AF88" s="17">
        <f>_xlfn.XLOOKUP($B88,'[3]Mar-26'!$A:$A,'[3]Mar-26'!$H:$H,0)</f>
        <v>0</v>
      </c>
      <c r="AG88" s="17">
        <f>_xlfn.XLOOKUP($B88,'[3]Apr-26'!$A:$A,'[3]Apr-26'!$H:$H,0)</f>
        <v>0</v>
      </c>
    </row>
    <row r="89" spans="1:33" x14ac:dyDescent="0.2">
      <c r="A89" s="58" t="s">
        <v>1033</v>
      </c>
      <c r="B89" s="56" t="str">
        <f t="shared" si="3"/>
        <v>40070</v>
      </c>
      <c r="C89" s="78" t="s">
        <v>471</v>
      </c>
      <c r="D89" s="57" t="s">
        <v>369</v>
      </c>
      <c r="E89" s="44" t="s">
        <v>485</v>
      </c>
      <c r="F89" s="17">
        <f>_xlfn.XLOOKUP($B89,'[3]Jan-24'!$A:$A,'[3]Jan-24'!$H:$H,0)</f>
        <v>0</v>
      </c>
      <c r="G89" s="17">
        <f>_xlfn.XLOOKUP($B89,'[3]Feb-24'!$A:$A,'[3]Feb-24'!$H:$H,0)</f>
        <v>0</v>
      </c>
      <c r="H89" s="17">
        <f>_xlfn.XLOOKUP($B89,'[3]Mar-24'!$A:$A,'[3]Mar-24'!$H:$H,0)</f>
        <v>0</v>
      </c>
      <c r="I89" s="17">
        <f>_xlfn.XLOOKUP($B89,'[3]Apr-24'!$A:$A,'[3]Apr-24'!$H:$H,0)</f>
        <v>0</v>
      </c>
      <c r="J89" s="17">
        <f>_xlfn.XLOOKUP($B89,'[3]May-24'!$A:$A,'[3]May-24'!$H:$H,0)</f>
        <v>0</v>
      </c>
      <c r="K89" s="17">
        <f>_xlfn.XLOOKUP($B89,'[3]Jun-24'!$A:$A,'[3]Jun-24'!$H:$H,0)</f>
        <v>0</v>
      </c>
      <c r="L89" s="17">
        <f>_xlfn.XLOOKUP($B89,'[3]Jul-24'!$A:$A,'[3]Jul-24'!$H:$H,0)</f>
        <v>0</v>
      </c>
      <c r="M89" s="17">
        <f>_xlfn.XLOOKUP($B89,'[3]Aug-24'!$A:$A,'[3]Aug-24'!$H:$H,0)</f>
        <v>0</v>
      </c>
      <c r="N89" s="17">
        <f>_xlfn.XLOOKUP($B89,'[3]Sep-24'!$A:$A,'[3]Sep-24'!$H:$H,0)</f>
        <v>0</v>
      </c>
      <c r="O89" s="17">
        <f>_xlfn.XLOOKUP($B89,'[3]Oct-24'!$A:$A,'[3]Oct-24'!$H:$H,0)</f>
        <v>0</v>
      </c>
      <c r="P89" s="17">
        <f>_xlfn.XLOOKUP($B89,'[3]Nov-24'!$A:$A,'[3]Nov-24'!$H:$H,0)</f>
        <v>0</v>
      </c>
      <c r="Q89" s="17">
        <f>_xlfn.XLOOKUP($B89,'[3]Dec-24'!$A:$A,'[3]Dec-24'!$H:$H,0)</f>
        <v>0</v>
      </c>
      <c r="R89" s="17">
        <f>_xlfn.XLOOKUP($B89,'[3]Jan-25'!$A:$A,'[3]Jan-25'!$H:$H,0)</f>
        <v>0</v>
      </c>
      <c r="S89" s="17">
        <f>_xlfn.XLOOKUP($B89,'[3]Feb-25'!$A:$A,'[3]Feb-25'!$H:$H,0)</f>
        <v>0</v>
      </c>
      <c r="T89" s="17">
        <f>_xlfn.XLOOKUP($B89,'[3]Mar-25'!$A:$A,'[3]Mar-25'!$H:$H,0)</f>
        <v>0</v>
      </c>
      <c r="U89" s="17">
        <f>_xlfn.XLOOKUP($B89,'[3]Apr-25'!$A:$A,'[3]Apr-25'!$H:$H,0)</f>
        <v>0</v>
      </c>
      <c r="V89" s="17">
        <f>_xlfn.XLOOKUP($B89,'[3]May-25'!$A:$A,'[3]May-25'!$H:$H,0)</f>
        <v>0</v>
      </c>
      <c r="W89" s="17">
        <f>_xlfn.XLOOKUP($B89,'[3]Jun-25'!$A:$A,'[3]Jun-25'!$H:$H,0)</f>
        <v>0</v>
      </c>
      <c r="X89" s="17">
        <f>_xlfn.XLOOKUP($B89,'[3]Jul-25'!$A:$A,'[3]Jul-25'!$H:$H,0)</f>
        <v>0</v>
      </c>
      <c r="Y89" s="17">
        <f>_xlfn.XLOOKUP($B89,'[3]Aug-25'!$A:$A,'[3]Aug-25'!$H:$H,0)</f>
        <v>0</v>
      </c>
      <c r="Z89" s="17">
        <f>_xlfn.XLOOKUP($B89,'[3]Sep-25'!$A:$A,'[3]Sep-25'!$H:$H,0)</f>
        <v>0</v>
      </c>
      <c r="AA89" s="17">
        <f>_xlfn.XLOOKUP($B89,'[3]Oct-25'!$A:$A,'[3]Oct-25'!$H:$H,0)</f>
        <v>0</v>
      </c>
      <c r="AB89" s="17">
        <f>_xlfn.XLOOKUP($B89,'[3]Nov-25'!$A:$A,'[3]Nov-25'!$H:$H,0)</f>
        <v>0</v>
      </c>
      <c r="AC89" s="17">
        <f>_xlfn.XLOOKUP($B89,'[3]Dec-25'!$A:$A,'[3]Dec-25'!$H:$H,0)</f>
        <v>0</v>
      </c>
      <c r="AD89" s="17">
        <f>_xlfn.XLOOKUP($B89,'[3]Jan-26'!$A:$A,'[3]Jan-26'!$H:$H,0)</f>
        <v>0</v>
      </c>
      <c r="AE89" s="17">
        <f>_xlfn.XLOOKUP($B89,'[3]Feb-26'!$A:$A,'[3]Feb-26'!$H:$H,0)</f>
        <v>0</v>
      </c>
      <c r="AF89" s="17">
        <f>_xlfn.XLOOKUP($B89,'[3]Mar-26'!$A:$A,'[3]Mar-26'!$H:$H,0)</f>
        <v>0</v>
      </c>
      <c r="AG89" s="17">
        <f>_xlfn.XLOOKUP($B89,'[3]Apr-26'!$A:$A,'[3]Apr-26'!$H:$H,0)</f>
        <v>0</v>
      </c>
    </row>
    <row r="90" spans="1:33" x14ac:dyDescent="0.2">
      <c r="A90" s="58" t="s">
        <v>1034</v>
      </c>
      <c r="B90" s="56" t="str">
        <f t="shared" si="3"/>
        <v>40075</v>
      </c>
      <c r="C90" s="78" t="s">
        <v>486</v>
      </c>
      <c r="D90" s="57" t="s">
        <v>369</v>
      </c>
      <c r="E90" s="44" t="s">
        <v>487</v>
      </c>
      <c r="F90" s="17">
        <f>_xlfn.XLOOKUP($B90,'[3]Jan-24'!$A:$A,'[3]Jan-24'!$H:$H,0)</f>
        <v>0</v>
      </c>
      <c r="G90" s="17">
        <f>_xlfn.XLOOKUP($B90,'[3]Feb-24'!$A:$A,'[3]Feb-24'!$H:$H,0)</f>
        <v>0</v>
      </c>
      <c r="H90" s="17">
        <f>_xlfn.XLOOKUP($B90,'[3]Mar-24'!$A:$A,'[3]Mar-24'!$H:$H,0)</f>
        <v>0</v>
      </c>
      <c r="I90" s="17">
        <f>_xlfn.XLOOKUP($B90,'[3]Apr-24'!$A:$A,'[3]Apr-24'!$H:$H,0)</f>
        <v>0</v>
      </c>
      <c r="J90" s="17">
        <f>_xlfn.XLOOKUP($B90,'[3]May-24'!$A:$A,'[3]May-24'!$H:$H,0)</f>
        <v>0</v>
      </c>
      <c r="K90" s="17">
        <f>_xlfn.XLOOKUP($B90,'[3]Jun-24'!$A:$A,'[3]Jun-24'!$H:$H,0)</f>
        <v>0</v>
      </c>
      <c r="L90" s="17">
        <f>_xlfn.XLOOKUP($B90,'[3]Jul-24'!$A:$A,'[3]Jul-24'!$H:$H,0)</f>
        <v>0</v>
      </c>
      <c r="M90" s="17">
        <f>_xlfn.XLOOKUP($B90,'[3]Aug-24'!$A:$A,'[3]Aug-24'!$H:$H,0)</f>
        <v>0</v>
      </c>
      <c r="N90" s="17">
        <f>_xlfn.XLOOKUP($B90,'[3]Sep-24'!$A:$A,'[3]Sep-24'!$H:$H,0)</f>
        <v>0</v>
      </c>
      <c r="O90" s="17">
        <f>_xlfn.XLOOKUP($B90,'[3]Oct-24'!$A:$A,'[3]Oct-24'!$H:$H,0)</f>
        <v>0</v>
      </c>
      <c r="P90" s="17">
        <f>_xlfn.XLOOKUP($B90,'[3]Nov-24'!$A:$A,'[3]Nov-24'!$H:$H,0)</f>
        <v>0</v>
      </c>
      <c r="Q90" s="17">
        <f>_xlfn.XLOOKUP($B90,'[3]Dec-24'!$A:$A,'[3]Dec-24'!$H:$H,0)</f>
        <v>0</v>
      </c>
      <c r="R90" s="17">
        <f>_xlfn.XLOOKUP($B90,'[3]Jan-25'!$A:$A,'[3]Jan-25'!$H:$H,0)</f>
        <v>0</v>
      </c>
      <c r="S90" s="17">
        <f>_xlfn.XLOOKUP($B90,'[3]Feb-25'!$A:$A,'[3]Feb-25'!$H:$H,0)</f>
        <v>0</v>
      </c>
      <c r="T90" s="17">
        <f>_xlfn.XLOOKUP($B90,'[3]Mar-25'!$A:$A,'[3]Mar-25'!$H:$H,0)</f>
        <v>0</v>
      </c>
      <c r="U90" s="17">
        <f>_xlfn.XLOOKUP($B90,'[3]Apr-25'!$A:$A,'[3]Apr-25'!$H:$H,0)</f>
        <v>0</v>
      </c>
      <c r="V90" s="17">
        <f>_xlfn.XLOOKUP($B90,'[3]May-25'!$A:$A,'[3]May-25'!$H:$H,0)</f>
        <v>0</v>
      </c>
      <c r="W90" s="17">
        <f>_xlfn.XLOOKUP($B90,'[3]Jun-25'!$A:$A,'[3]Jun-25'!$H:$H,0)</f>
        <v>0</v>
      </c>
      <c r="X90" s="17">
        <f>_xlfn.XLOOKUP($B90,'[3]Jul-25'!$A:$A,'[3]Jul-25'!$H:$H,0)</f>
        <v>0</v>
      </c>
      <c r="Y90" s="17">
        <f>_xlfn.XLOOKUP($B90,'[3]Aug-25'!$A:$A,'[3]Aug-25'!$H:$H,0)</f>
        <v>0</v>
      </c>
      <c r="Z90" s="17">
        <f>_xlfn.XLOOKUP($B90,'[3]Sep-25'!$A:$A,'[3]Sep-25'!$H:$H,0)</f>
        <v>0</v>
      </c>
      <c r="AA90" s="17">
        <f>_xlfn.XLOOKUP($B90,'[3]Oct-25'!$A:$A,'[3]Oct-25'!$H:$H,0)</f>
        <v>0</v>
      </c>
      <c r="AB90" s="17">
        <f>_xlfn.XLOOKUP($B90,'[3]Nov-25'!$A:$A,'[3]Nov-25'!$H:$H,0)</f>
        <v>0</v>
      </c>
      <c r="AC90" s="17">
        <f>_xlfn.XLOOKUP($B90,'[3]Dec-25'!$A:$A,'[3]Dec-25'!$H:$H,0)</f>
        <v>0</v>
      </c>
      <c r="AD90" s="17">
        <f>_xlfn.XLOOKUP($B90,'[3]Jan-26'!$A:$A,'[3]Jan-26'!$H:$H,0)</f>
        <v>0</v>
      </c>
      <c r="AE90" s="17">
        <f>_xlfn.XLOOKUP($B90,'[3]Feb-26'!$A:$A,'[3]Feb-26'!$H:$H,0)</f>
        <v>0</v>
      </c>
      <c r="AF90" s="17">
        <f>_xlfn.XLOOKUP($B90,'[3]Mar-26'!$A:$A,'[3]Mar-26'!$H:$H,0)</f>
        <v>0</v>
      </c>
      <c r="AG90" s="17">
        <f>_xlfn.XLOOKUP($B90,'[3]Apr-26'!$A:$A,'[3]Apr-26'!$H:$H,0)</f>
        <v>0</v>
      </c>
    </row>
    <row r="91" spans="1:33" x14ac:dyDescent="0.2">
      <c r="A91" s="58" t="s">
        <v>1035</v>
      </c>
      <c r="B91" s="56" t="str">
        <f t="shared" si="3"/>
        <v>40080</v>
      </c>
      <c r="C91" s="78" t="s">
        <v>486</v>
      </c>
      <c r="D91" s="57" t="s">
        <v>369</v>
      </c>
      <c r="E91" s="44" t="s">
        <v>488</v>
      </c>
      <c r="F91" s="17">
        <f>_xlfn.XLOOKUP($B91,'[3]Jan-24'!$A:$A,'[3]Jan-24'!$H:$H,0)</f>
        <v>0</v>
      </c>
      <c r="G91" s="17">
        <f>_xlfn.XLOOKUP($B91,'[3]Feb-24'!$A:$A,'[3]Feb-24'!$H:$H,0)</f>
        <v>0</v>
      </c>
      <c r="H91" s="17">
        <f>_xlfn.XLOOKUP($B91,'[3]Mar-24'!$A:$A,'[3]Mar-24'!$H:$H,0)</f>
        <v>0</v>
      </c>
      <c r="I91" s="17">
        <f>_xlfn.XLOOKUP($B91,'[3]Apr-24'!$A:$A,'[3]Apr-24'!$H:$H,0)</f>
        <v>0</v>
      </c>
      <c r="J91" s="17">
        <f>_xlfn.XLOOKUP($B91,'[3]May-24'!$A:$A,'[3]May-24'!$H:$H,0)</f>
        <v>0</v>
      </c>
      <c r="K91" s="17">
        <f>_xlfn.XLOOKUP($B91,'[3]Jun-24'!$A:$A,'[3]Jun-24'!$H:$H,0)</f>
        <v>0</v>
      </c>
      <c r="L91" s="17">
        <f>_xlfn.XLOOKUP($B91,'[3]Jul-24'!$A:$A,'[3]Jul-24'!$H:$H,0)</f>
        <v>0</v>
      </c>
      <c r="M91" s="17">
        <f>_xlfn.XLOOKUP($B91,'[3]Aug-24'!$A:$A,'[3]Aug-24'!$H:$H,0)</f>
        <v>0</v>
      </c>
      <c r="N91" s="17">
        <f>_xlfn.XLOOKUP($B91,'[3]Sep-24'!$A:$A,'[3]Sep-24'!$H:$H,0)</f>
        <v>0</v>
      </c>
      <c r="O91" s="17">
        <f>_xlfn.XLOOKUP($B91,'[3]Oct-24'!$A:$A,'[3]Oct-24'!$H:$H,0)</f>
        <v>0</v>
      </c>
      <c r="P91" s="17">
        <f>_xlfn.XLOOKUP($B91,'[3]Nov-24'!$A:$A,'[3]Nov-24'!$H:$H,0)</f>
        <v>0</v>
      </c>
      <c r="Q91" s="17">
        <f>_xlfn.XLOOKUP($B91,'[3]Dec-24'!$A:$A,'[3]Dec-24'!$H:$H,0)</f>
        <v>0</v>
      </c>
      <c r="R91" s="17">
        <f>_xlfn.XLOOKUP($B91,'[3]Jan-25'!$A:$A,'[3]Jan-25'!$H:$H,0)</f>
        <v>0</v>
      </c>
      <c r="S91" s="17">
        <f>_xlfn.XLOOKUP($B91,'[3]Feb-25'!$A:$A,'[3]Feb-25'!$H:$H,0)</f>
        <v>0</v>
      </c>
      <c r="T91" s="17">
        <f>_xlfn.XLOOKUP($B91,'[3]Mar-25'!$A:$A,'[3]Mar-25'!$H:$H,0)</f>
        <v>0</v>
      </c>
      <c r="U91" s="17">
        <f>_xlfn.XLOOKUP($B91,'[3]Apr-25'!$A:$A,'[3]Apr-25'!$H:$H,0)</f>
        <v>0</v>
      </c>
      <c r="V91" s="17">
        <f>_xlfn.XLOOKUP($B91,'[3]May-25'!$A:$A,'[3]May-25'!$H:$H,0)</f>
        <v>0</v>
      </c>
      <c r="W91" s="17">
        <f>_xlfn.XLOOKUP($B91,'[3]Jun-25'!$A:$A,'[3]Jun-25'!$H:$H,0)</f>
        <v>0</v>
      </c>
      <c r="X91" s="17">
        <f>_xlfn.XLOOKUP($B91,'[3]Jul-25'!$A:$A,'[3]Jul-25'!$H:$H,0)</f>
        <v>0</v>
      </c>
      <c r="Y91" s="17">
        <f>_xlfn.XLOOKUP($B91,'[3]Aug-25'!$A:$A,'[3]Aug-25'!$H:$H,0)</f>
        <v>0</v>
      </c>
      <c r="Z91" s="17">
        <f>_xlfn.XLOOKUP($B91,'[3]Sep-25'!$A:$A,'[3]Sep-25'!$H:$H,0)</f>
        <v>0</v>
      </c>
      <c r="AA91" s="17">
        <f>_xlfn.XLOOKUP($B91,'[3]Oct-25'!$A:$A,'[3]Oct-25'!$H:$H,0)</f>
        <v>0</v>
      </c>
      <c r="AB91" s="17">
        <f>_xlfn.XLOOKUP($B91,'[3]Nov-25'!$A:$A,'[3]Nov-25'!$H:$H,0)</f>
        <v>0</v>
      </c>
      <c r="AC91" s="17">
        <f>_xlfn.XLOOKUP($B91,'[3]Dec-25'!$A:$A,'[3]Dec-25'!$H:$H,0)</f>
        <v>0</v>
      </c>
      <c r="AD91" s="17">
        <f>_xlfn.XLOOKUP($B91,'[3]Jan-26'!$A:$A,'[3]Jan-26'!$H:$H,0)</f>
        <v>0</v>
      </c>
      <c r="AE91" s="17">
        <f>_xlfn.XLOOKUP($B91,'[3]Feb-26'!$A:$A,'[3]Feb-26'!$H:$H,0)</f>
        <v>0</v>
      </c>
      <c r="AF91" s="17">
        <f>_xlfn.XLOOKUP($B91,'[3]Mar-26'!$A:$A,'[3]Mar-26'!$H:$H,0)</f>
        <v>0</v>
      </c>
      <c r="AG91" s="17">
        <f>_xlfn.XLOOKUP($B91,'[3]Apr-26'!$A:$A,'[3]Apr-26'!$H:$H,0)</f>
        <v>0</v>
      </c>
    </row>
    <row r="92" spans="1:33" x14ac:dyDescent="0.2">
      <c r="A92" s="58" t="s">
        <v>1036</v>
      </c>
      <c r="B92" s="56" t="str">
        <f t="shared" si="3"/>
        <v>40087</v>
      </c>
      <c r="C92" s="78" t="s">
        <v>486</v>
      </c>
      <c r="D92" s="57" t="s">
        <v>369</v>
      </c>
      <c r="E92" s="44" t="s">
        <v>489</v>
      </c>
      <c r="F92" s="17">
        <f>_xlfn.XLOOKUP($B92,'[3]Jan-24'!$A:$A,'[3]Jan-24'!$H:$H,0)</f>
        <v>0</v>
      </c>
      <c r="G92" s="17">
        <f>_xlfn.XLOOKUP($B92,'[3]Feb-24'!$A:$A,'[3]Feb-24'!$H:$H,0)</f>
        <v>0</v>
      </c>
      <c r="H92" s="17">
        <f>_xlfn.XLOOKUP($B92,'[3]Mar-24'!$A:$A,'[3]Mar-24'!$H:$H,0)</f>
        <v>0</v>
      </c>
      <c r="I92" s="17">
        <f>_xlfn.XLOOKUP($B92,'[3]Apr-24'!$A:$A,'[3]Apr-24'!$H:$H,0)</f>
        <v>0</v>
      </c>
      <c r="J92" s="17">
        <f>_xlfn.XLOOKUP($B92,'[3]May-24'!$A:$A,'[3]May-24'!$H:$H,0)</f>
        <v>0</v>
      </c>
      <c r="K92" s="17">
        <f>_xlfn.XLOOKUP($B92,'[3]Jun-24'!$A:$A,'[3]Jun-24'!$H:$H,0)</f>
        <v>0</v>
      </c>
      <c r="L92" s="17">
        <f>_xlfn.XLOOKUP($B92,'[3]Jul-24'!$A:$A,'[3]Jul-24'!$H:$H,0)</f>
        <v>0</v>
      </c>
      <c r="M92" s="17">
        <f>_xlfn.XLOOKUP($B92,'[3]Aug-24'!$A:$A,'[3]Aug-24'!$H:$H,0)</f>
        <v>0</v>
      </c>
      <c r="N92" s="17">
        <f>_xlfn.XLOOKUP($B92,'[3]Sep-24'!$A:$A,'[3]Sep-24'!$H:$H,0)</f>
        <v>0</v>
      </c>
      <c r="O92" s="17">
        <f>_xlfn.XLOOKUP($B92,'[3]Oct-24'!$A:$A,'[3]Oct-24'!$H:$H,0)</f>
        <v>0</v>
      </c>
      <c r="P92" s="17">
        <f>_xlfn.XLOOKUP($B92,'[3]Nov-24'!$A:$A,'[3]Nov-24'!$H:$H,0)</f>
        <v>0</v>
      </c>
      <c r="Q92" s="17">
        <f>_xlfn.XLOOKUP($B92,'[3]Dec-24'!$A:$A,'[3]Dec-24'!$H:$H,0)</f>
        <v>0</v>
      </c>
      <c r="R92" s="17">
        <f>_xlfn.XLOOKUP($B92,'[3]Jan-25'!$A:$A,'[3]Jan-25'!$H:$H,0)</f>
        <v>0</v>
      </c>
      <c r="S92" s="17">
        <f>_xlfn.XLOOKUP($B92,'[3]Feb-25'!$A:$A,'[3]Feb-25'!$H:$H,0)</f>
        <v>0</v>
      </c>
      <c r="T92" s="17">
        <f>_xlfn.XLOOKUP($B92,'[3]Mar-25'!$A:$A,'[3]Mar-25'!$H:$H,0)</f>
        <v>0</v>
      </c>
      <c r="U92" s="17">
        <f>_xlfn.XLOOKUP($B92,'[3]Apr-25'!$A:$A,'[3]Apr-25'!$H:$H,0)</f>
        <v>0</v>
      </c>
      <c r="V92" s="17">
        <f>_xlfn.XLOOKUP($B92,'[3]May-25'!$A:$A,'[3]May-25'!$H:$H,0)</f>
        <v>0</v>
      </c>
      <c r="W92" s="17">
        <f>_xlfn.XLOOKUP($B92,'[3]Jun-25'!$A:$A,'[3]Jun-25'!$H:$H,0)</f>
        <v>0</v>
      </c>
      <c r="X92" s="17">
        <f>_xlfn.XLOOKUP($B92,'[3]Jul-25'!$A:$A,'[3]Jul-25'!$H:$H,0)</f>
        <v>0</v>
      </c>
      <c r="Y92" s="17">
        <f>_xlfn.XLOOKUP($B92,'[3]Aug-25'!$A:$A,'[3]Aug-25'!$H:$H,0)</f>
        <v>0</v>
      </c>
      <c r="Z92" s="17">
        <f>_xlfn.XLOOKUP($B92,'[3]Sep-25'!$A:$A,'[3]Sep-25'!$H:$H,0)</f>
        <v>0</v>
      </c>
      <c r="AA92" s="17">
        <f>_xlfn.XLOOKUP($B92,'[3]Oct-25'!$A:$A,'[3]Oct-25'!$H:$H,0)</f>
        <v>0</v>
      </c>
      <c r="AB92" s="17">
        <f>_xlfn.XLOOKUP($B92,'[3]Nov-25'!$A:$A,'[3]Nov-25'!$H:$H,0)</f>
        <v>0</v>
      </c>
      <c r="AC92" s="17">
        <f>_xlfn.XLOOKUP($B92,'[3]Dec-25'!$A:$A,'[3]Dec-25'!$H:$H,0)</f>
        <v>0</v>
      </c>
      <c r="AD92" s="17">
        <f>_xlfn.XLOOKUP($B92,'[3]Jan-26'!$A:$A,'[3]Jan-26'!$H:$H,0)</f>
        <v>0</v>
      </c>
      <c r="AE92" s="17">
        <f>_xlfn.XLOOKUP($B92,'[3]Feb-26'!$A:$A,'[3]Feb-26'!$H:$H,0)</f>
        <v>0</v>
      </c>
      <c r="AF92" s="17">
        <f>_xlfn.XLOOKUP($B92,'[3]Mar-26'!$A:$A,'[3]Mar-26'!$H:$H,0)</f>
        <v>0</v>
      </c>
      <c r="AG92" s="17">
        <f>_xlfn.XLOOKUP($B92,'[3]Apr-26'!$A:$A,'[3]Apr-26'!$H:$H,0)</f>
        <v>0</v>
      </c>
    </row>
    <row r="93" spans="1:33" x14ac:dyDescent="0.2">
      <c r="A93" s="58" t="s">
        <v>1037</v>
      </c>
      <c r="B93" s="56" t="str">
        <f t="shared" si="3"/>
        <v>40090</v>
      </c>
      <c r="C93" s="78" t="s">
        <v>471</v>
      </c>
      <c r="D93" s="57" t="s">
        <v>369</v>
      </c>
      <c r="E93" s="44" t="s">
        <v>490</v>
      </c>
      <c r="F93" s="17">
        <f>_xlfn.XLOOKUP($B93,'[3]Jan-24'!$A:$A,'[3]Jan-24'!$H:$H,0)</f>
        <v>0</v>
      </c>
      <c r="G93" s="17">
        <f>_xlfn.XLOOKUP($B93,'[3]Feb-24'!$A:$A,'[3]Feb-24'!$H:$H,0)</f>
        <v>0</v>
      </c>
      <c r="H93" s="17">
        <f>_xlfn.XLOOKUP($B93,'[3]Mar-24'!$A:$A,'[3]Mar-24'!$H:$H,0)</f>
        <v>0</v>
      </c>
      <c r="I93" s="17">
        <f>_xlfn.XLOOKUP($B93,'[3]Apr-24'!$A:$A,'[3]Apr-24'!$H:$H,0)</f>
        <v>0</v>
      </c>
      <c r="J93" s="17">
        <f>_xlfn.XLOOKUP($B93,'[3]May-24'!$A:$A,'[3]May-24'!$H:$H,0)</f>
        <v>0</v>
      </c>
      <c r="K93" s="17">
        <f>_xlfn.XLOOKUP($B93,'[3]Jun-24'!$A:$A,'[3]Jun-24'!$H:$H,0)</f>
        <v>0</v>
      </c>
      <c r="L93" s="17">
        <f>_xlfn.XLOOKUP($B93,'[3]Jul-24'!$A:$A,'[3]Jul-24'!$H:$H,0)</f>
        <v>0</v>
      </c>
      <c r="M93" s="17">
        <f>_xlfn.XLOOKUP($B93,'[3]Aug-24'!$A:$A,'[3]Aug-24'!$H:$H,0)</f>
        <v>0</v>
      </c>
      <c r="N93" s="17">
        <f>_xlfn.XLOOKUP($B93,'[3]Sep-24'!$A:$A,'[3]Sep-24'!$H:$H,0)</f>
        <v>0</v>
      </c>
      <c r="O93" s="17">
        <f>_xlfn.XLOOKUP($B93,'[3]Oct-24'!$A:$A,'[3]Oct-24'!$H:$H,0)</f>
        <v>0</v>
      </c>
      <c r="P93" s="17">
        <f>_xlfn.XLOOKUP($B93,'[3]Nov-24'!$A:$A,'[3]Nov-24'!$H:$H,0)</f>
        <v>0</v>
      </c>
      <c r="Q93" s="17">
        <f>_xlfn.XLOOKUP($B93,'[3]Dec-24'!$A:$A,'[3]Dec-24'!$H:$H,0)</f>
        <v>0</v>
      </c>
      <c r="R93" s="17">
        <f>_xlfn.XLOOKUP($B93,'[3]Jan-25'!$A:$A,'[3]Jan-25'!$H:$H,0)</f>
        <v>0</v>
      </c>
      <c r="S93" s="17">
        <f>_xlfn.XLOOKUP($B93,'[3]Feb-25'!$A:$A,'[3]Feb-25'!$H:$H,0)</f>
        <v>0</v>
      </c>
      <c r="T93" s="17">
        <f>_xlfn.XLOOKUP($B93,'[3]Mar-25'!$A:$A,'[3]Mar-25'!$H:$H,0)</f>
        <v>0</v>
      </c>
      <c r="U93" s="17">
        <f>_xlfn.XLOOKUP($B93,'[3]Apr-25'!$A:$A,'[3]Apr-25'!$H:$H,0)</f>
        <v>0</v>
      </c>
      <c r="V93" s="17">
        <f>_xlfn.XLOOKUP($B93,'[3]May-25'!$A:$A,'[3]May-25'!$H:$H,0)</f>
        <v>0</v>
      </c>
      <c r="W93" s="17">
        <f>_xlfn.XLOOKUP($B93,'[3]Jun-25'!$A:$A,'[3]Jun-25'!$H:$H,0)</f>
        <v>0</v>
      </c>
      <c r="X93" s="17">
        <f>_xlfn.XLOOKUP($B93,'[3]Jul-25'!$A:$A,'[3]Jul-25'!$H:$H,0)</f>
        <v>0</v>
      </c>
      <c r="Y93" s="17">
        <f>_xlfn.XLOOKUP($B93,'[3]Aug-25'!$A:$A,'[3]Aug-25'!$H:$H,0)</f>
        <v>0</v>
      </c>
      <c r="Z93" s="17">
        <f>_xlfn.XLOOKUP($B93,'[3]Sep-25'!$A:$A,'[3]Sep-25'!$H:$H,0)</f>
        <v>0</v>
      </c>
      <c r="AA93" s="17">
        <f>_xlfn.XLOOKUP($B93,'[3]Oct-25'!$A:$A,'[3]Oct-25'!$H:$H,0)</f>
        <v>0</v>
      </c>
      <c r="AB93" s="17">
        <f>_xlfn.XLOOKUP($B93,'[3]Nov-25'!$A:$A,'[3]Nov-25'!$H:$H,0)</f>
        <v>0</v>
      </c>
      <c r="AC93" s="17">
        <f>_xlfn.XLOOKUP($B93,'[3]Dec-25'!$A:$A,'[3]Dec-25'!$H:$H,0)</f>
        <v>0</v>
      </c>
      <c r="AD93" s="17">
        <f>_xlfn.XLOOKUP($B93,'[3]Jan-26'!$A:$A,'[3]Jan-26'!$H:$H,0)</f>
        <v>0</v>
      </c>
      <c r="AE93" s="17">
        <f>_xlfn.XLOOKUP($B93,'[3]Feb-26'!$A:$A,'[3]Feb-26'!$H:$H,0)</f>
        <v>0</v>
      </c>
      <c r="AF93" s="17">
        <f>_xlfn.XLOOKUP($B93,'[3]Mar-26'!$A:$A,'[3]Mar-26'!$H:$H,0)</f>
        <v>0</v>
      </c>
      <c r="AG93" s="17">
        <f>_xlfn.XLOOKUP($B93,'[3]Apr-26'!$A:$A,'[3]Apr-26'!$H:$H,0)</f>
        <v>0</v>
      </c>
    </row>
    <row r="94" spans="1:33" x14ac:dyDescent="0.2">
      <c r="A94" s="58" t="s">
        <v>1038</v>
      </c>
      <c r="B94" s="56" t="str">
        <f t="shared" si="3"/>
        <v>40095</v>
      </c>
      <c r="C94" s="78" t="s">
        <v>471</v>
      </c>
      <c r="D94" s="57" t="s">
        <v>369</v>
      </c>
      <c r="E94" s="44" t="s">
        <v>491</v>
      </c>
      <c r="F94" s="17">
        <f>_xlfn.XLOOKUP($B94,'[3]Jan-24'!$A:$A,'[3]Jan-24'!$H:$H,0)</f>
        <v>0</v>
      </c>
      <c r="G94" s="17">
        <f>_xlfn.XLOOKUP($B94,'[3]Feb-24'!$A:$A,'[3]Feb-24'!$H:$H,0)</f>
        <v>0</v>
      </c>
      <c r="H94" s="17">
        <f>_xlfn.XLOOKUP($B94,'[3]Mar-24'!$A:$A,'[3]Mar-24'!$H:$H,0)</f>
        <v>0</v>
      </c>
      <c r="I94" s="17">
        <f>_xlfn.XLOOKUP($B94,'[3]Apr-24'!$A:$A,'[3]Apr-24'!$H:$H,0)</f>
        <v>0</v>
      </c>
      <c r="J94" s="17">
        <f>_xlfn.XLOOKUP($B94,'[3]May-24'!$A:$A,'[3]May-24'!$H:$H,0)</f>
        <v>0</v>
      </c>
      <c r="K94" s="17">
        <f>_xlfn.XLOOKUP($B94,'[3]Jun-24'!$A:$A,'[3]Jun-24'!$H:$H,0)</f>
        <v>0</v>
      </c>
      <c r="L94" s="17">
        <f>_xlfn.XLOOKUP($B94,'[3]Jul-24'!$A:$A,'[3]Jul-24'!$H:$H,0)</f>
        <v>0</v>
      </c>
      <c r="M94" s="17">
        <f>_xlfn.XLOOKUP($B94,'[3]Aug-24'!$A:$A,'[3]Aug-24'!$H:$H,0)</f>
        <v>0</v>
      </c>
      <c r="N94" s="17">
        <f>_xlfn.XLOOKUP($B94,'[3]Sep-24'!$A:$A,'[3]Sep-24'!$H:$H,0)</f>
        <v>0</v>
      </c>
      <c r="O94" s="17">
        <f>_xlfn.XLOOKUP($B94,'[3]Oct-24'!$A:$A,'[3]Oct-24'!$H:$H,0)</f>
        <v>0</v>
      </c>
      <c r="P94" s="17">
        <f>_xlfn.XLOOKUP($B94,'[3]Nov-24'!$A:$A,'[3]Nov-24'!$H:$H,0)</f>
        <v>0</v>
      </c>
      <c r="Q94" s="17">
        <f>_xlfn.XLOOKUP($B94,'[3]Dec-24'!$A:$A,'[3]Dec-24'!$H:$H,0)</f>
        <v>0</v>
      </c>
      <c r="R94" s="17">
        <f>_xlfn.XLOOKUP($B94,'[3]Jan-25'!$A:$A,'[3]Jan-25'!$H:$H,0)</f>
        <v>0</v>
      </c>
      <c r="S94" s="17">
        <f>_xlfn.XLOOKUP($B94,'[3]Feb-25'!$A:$A,'[3]Feb-25'!$H:$H,0)</f>
        <v>0</v>
      </c>
      <c r="T94" s="17">
        <f>_xlfn.XLOOKUP($B94,'[3]Mar-25'!$A:$A,'[3]Mar-25'!$H:$H,0)</f>
        <v>0</v>
      </c>
      <c r="U94" s="17">
        <f>_xlfn.XLOOKUP($B94,'[3]Apr-25'!$A:$A,'[3]Apr-25'!$H:$H,0)</f>
        <v>0</v>
      </c>
      <c r="V94" s="17">
        <f>_xlfn.XLOOKUP($B94,'[3]May-25'!$A:$A,'[3]May-25'!$H:$H,0)</f>
        <v>0</v>
      </c>
      <c r="W94" s="17">
        <f>_xlfn.XLOOKUP($B94,'[3]Jun-25'!$A:$A,'[3]Jun-25'!$H:$H,0)</f>
        <v>0</v>
      </c>
      <c r="X94" s="17">
        <f>_xlfn.XLOOKUP($B94,'[3]Jul-25'!$A:$A,'[3]Jul-25'!$H:$H,0)</f>
        <v>0</v>
      </c>
      <c r="Y94" s="17">
        <f>_xlfn.XLOOKUP($B94,'[3]Aug-25'!$A:$A,'[3]Aug-25'!$H:$H,0)</f>
        <v>0</v>
      </c>
      <c r="Z94" s="17">
        <f>_xlfn.XLOOKUP($B94,'[3]Sep-25'!$A:$A,'[3]Sep-25'!$H:$H,0)</f>
        <v>0</v>
      </c>
      <c r="AA94" s="17">
        <f>_xlfn.XLOOKUP($B94,'[3]Oct-25'!$A:$A,'[3]Oct-25'!$H:$H,0)</f>
        <v>0</v>
      </c>
      <c r="AB94" s="17">
        <f>_xlfn.XLOOKUP($B94,'[3]Nov-25'!$A:$A,'[3]Nov-25'!$H:$H,0)</f>
        <v>0</v>
      </c>
      <c r="AC94" s="17">
        <f>_xlfn.XLOOKUP($B94,'[3]Dec-25'!$A:$A,'[3]Dec-25'!$H:$H,0)</f>
        <v>0</v>
      </c>
      <c r="AD94" s="17">
        <f>_xlfn.XLOOKUP($B94,'[3]Jan-26'!$A:$A,'[3]Jan-26'!$H:$H,0)</f>
        <v>0</v>
      </c>
      <c r="AE94" s="17">
        <f>_xlfn.XLOOKUP($B94,'[3]Feb-26'!$A:$A,'[3]Feb-26'!$H:$H,0)</f>
        <v>0</v>
      </c>
      <c r="AF94" s="17">
        <f>_xlfn.XLOOKUP($B94,'[3]Mar-26'!$A:$A,'[3]Mar-26'!$H:$H,0)</f>
        <v>0</v>
      </c>
      <c r="AG94" s="17">
        <f>_xlfn.XLOOKUP($B94,'[3]Apr-26'!$A:$A,'[3]Apr-26'!$H:$H,0)</f>
        <v>0</v>
      </c>
    </row>
    <row r="95" spans="1:33" x14ac:dyDescent="0.2">
      <c r="A95" s="58" t="s">
        <v>1039</v>
      </c>
      <c r="B95" s="56" t="str">
        <f t="shared" si="3"/>
        <v>40100</v>
      </c>
      <c r="C95" s="78" t="s">
        <v>471</v>
      </c>
      <c r="D95" s="57" t="s">
        <v>369</v>
      </c>
      <c r="E95" s="44" t="s">
        <v>492</v>
      </c>
      <c r="F95" s="17">
        <f>_xlfn.XLOOKUP($B95,'[3]Jan-24'!$A:$A,'[3]Jan-24'!$H:$H,0)</f>
        <v>0</v>
      </c>
      <c r="G95" s="17">
        <f>_xlfn.XLOOKUP($B95,'[3]Feb-24'!$A:$A,'[3]Feb-24'!$H:$H,0)</f>
        <v>0</v>
      </c>
      <c r="H95" s="17">
        <f>_xlfn.XLOOKUP($B95,'[3]Mar-24'!$A:$A,'[3]Mar-24'!$H:$H,0)</f>
        <v>0</v>
      </c>
      <c r="I95" s="17">
        <f>_xlfn.XLOOKUP($B95,'[3]Apr-24'!$A:$A,'[3]Apr-24'!$H:$H,0)</f>
        <v>0</v>
      </c>
      <c r="J95" s="17">
        <f>_xlfn.XLOOKUP($B95,'[3]May-24'!$A:$A,'[3]May-24'!$H:$H,0)</f>
        <v>0</v>
      </c>
      <c r="K95" s="17">
        <f>_xlfn.XLOOKUP($B95,'[3]Jun-24'!$A:$A,'[3]Jun-24'!$H:$H,0)</f>
        <v>0</v>
      </c>
      <c r="L95" s="17">
        <f>_xlfn.XLOOKUP($B95,'[3]Jul-24'!$A:$A,'[3]Jul-24'!$H:$H,0)</f>
        <v>0</v>
      </c>
      <c r="M95" s="17">
        <f>_xlfn.XLOOKUP($B95,'[3]Aug-24'!$A:$A,'[3]Aug-24'!$H:$H,0)</f>
        <v>0</v>
      </c>
      <c r="N95" s="17">
        <f>_xlfn.XLOOKUP($B95,'[3]Sep-24'!$A:$A,'[3]Sep-24'!$H:$H,0)</f>
        <v>0</v>
      </c>
      <c r="O95" s="17">
        <f>_xlfn.XLOOKUP($B95,'[3]Oct-24'!$A:$A,'[3]Oct-24'!$H:$H,0)</f>
        <v>0</v>
      </c>
      <c r="P95" s="17">
        <f>_xlfn.XLOOKUP($B95,'[3]Nov-24'!$A:$A,'[3]Nov-24'!$H:$H,0)</f>
        <v>0</v>
      </c>
      <c r="Q95" s="17">
        <f>_xlfn.XLOOKUP($B95,'[3]Dec-24'!$A:$A,'[3]Dec-24'!$H:$H,0)</f>
        <v>0</v>
      </c>
      <c r="R95" s="17">
        <f>_xlfn.XLOOKUP($B95,'[3]Jan-25'!$A:$A,'[3]Jan-25'!$H:$H,0)</f>
        <v>0</v>
      </c>
      <c r="S95" s="17">
        <f>_xlfn.XLOOKUP($B95,'[3]Feb-25'!$A:$A,'[3]Feb-25'!$H:$H,0)</f>
        <v>0</v>
      </c>
      <c r="T95" s="17">
        <f>_xlfn.XLOOKUP($B95,'[3]Mar-25'!$A:$A,'[3]Mar-25'!$H:$H,0)</f>
        <v>0</v>
      </c>
      <c r="U95" s="17">
        <f>_xlfn.XLOOKUP($B95,'[3]Apr-25'!$A:$A,'[3]Apr-25'!$H:$H,0)</f>
        <v>0</v>
      </c>
      <c r="V95" s="17">
        <f>_xlfn.XLOOKUP($B95,'[3]May-25'!$A:$A,'[3]May-25'!$H:$H,0)</f>
        <v>0</v>
      </c>
      <c r="W95" s="17">
        <f>_xlfn.XLOOKUP($B95,'[3]Jun-25'!$A:$A,'[3]Jun-25'!$H:$H,0)</f>
        <v>0</v>
      </c>
      <c r="X95" s="17">
        <f>_xlfn.XLOOKUP($B95,'[3]Jul-25'!$A:$A,'[3]Jul-25'!$H:$H,0)</f>
        <v>0</v>
      </c>
      <c r="Y95" s="17">
        <f>_xlfn.XLOOKUP($B95,'[3]Aug-25'!$A:$A,'[3]Aug-25'!$H:$H,0)</f>
        <v>0</v>
      </c>
      <c r="Z95" s="17">
        <f>_xlfn.XLOOKUP($B95,'[3]Sep-25'!$A:$A,'[3]Sep-25'!$H:$H,0)</f>
        <v>0</v>
      </c>
      <c r="AA95" s="17">
        <f>_xlfn.XLOOKUP($B95,'[3]Oct-25'!$A:$A,'[3]Oct-25'!$H:$H,0)</f>
        <v>0</v>
      </c>
      <c r="AB95" s="17">
        <f>_xlfn.XLOOKUP($B95,'[3]Nov-25'!$A:$A,'[3]Nov-25'!$H:$H,0)</f>
        <v>0</v>
      </c>
      <c r="AC95" s="17">
        <f>_xlfn.XLOOKUP($B95,'[3]Dec-25'!$A:$A,'[3]Dec-25'!$H:$H,0)</f>
        <v>0</v>
      </c>
      <c r="AD95" s="17">
        <f>_xlfn.XLOOKUP($B95,'[3]Jan-26'!$A:$A,'[3]Jan-26'!$H:$H,0)</f>
        <v>0</v>
      </c>
      <c r="AE95" s="17">
        <f>_xlfn.XLOOKUP($B95,'[3]Feb-26'!$A:$A,'[3]Feb-26'!$H:$H,0)</f>
        <v>0</v>
      </c>
      <c r="AF95" s="17">
        <f>_xlfn.XLOOKUP($B95,'[3]Mar-26'!$A:$A,'[3]Mar-26'!$H:$H,0)</f>
        <v>0</v>
      </c>
      <c r="AG95" s="17">
        <f>_xlfn.XLOOKUP($B95,'[3]Apr-26'!$A:$A,'[3]Apr-26'!$H:$H,0)</f>
        <v>0</v>
      </c>
    </row>
    <row r="96" spans="1:33" x14ac:dyDescent="0.2">
      <c r="A96" s="58" t="s">
        <v>1040</v>
      </c>
      <c r="B96" s="56" t="str">
        <f t="shared" si="3"/>
        <v>40105</v>
      </c>
      <c r="C96" s="78" t="s">
        <v>471</v>
      </c>
      <c r="D96" s="57" t="s">
        <v>369</v>
      </c>
      <c r="E96" s="44" t="s">
        <v>493</v>
      </c>
      <c r="F96" s="17">
        <f>_xlfn.XLOOKUP($B96,'[3]Jan-24'!$A:$A,'[3]Jan-24'!$H:$H,0)</f>
        <v>0</v>
      </c>
      <c r="G96" s="17">
        <f>_xlfn.XLOOKUP($B96,'[3]Feb-24'!$A:$A,'[3]Feb-24'!$H:$H,0)</f>
        <v>0</v>
      </c>
      <c r="H96" s="17">
        <f>_xlfn.XLOOKUP($B96,'[3]Mar-24'!$A:$A,'[3]Mar-24'!$H:$H,0)</f>
        <v>0</v>
      </c>
      <c r="I96" s="17">
        <f>_xlfn.XLOOKUP($B96,'[3]Apr-24'!$A:$A,'[3]Apr-24'!$H:$H,0)</f>
        <v>0</v>
      </c>
      <c r="J96" s="17">
        <f>_xlfn.XLOOKUP($B96,'[3]May-24'!$A:$A,'[3]May-24'!$H:$H,0)</f>
        <v>0</v>
      </c>
      <c r="K96" s="17">
        <f>_xlfn.XLOOKUP($B96,'[3]Jun-24'!$A:$A,'[3]Jun-24'!$H:$H,0)</f>
        <v>0</v>
      </c>
      <c r="L96" s="17">
        <f>_xlfn.XLOOKUP($B96,'[3]Jul-24'!$A:$A,'[3]Jul-24'!$H:$H,0)</f>
        <v>0</v>
      </c>
      <c r="M96" s="17">
        <f>_xlfn.XLOOKUP($B96,'[3]Aug-24'!$A:$A,'[3]Aug-24'!$H:$H,0)</f>
        <v>0</v>
      </c>
      <c r="N96" s="17">
        <f>_xlfn.XLOOKUP($B96,'[3]Sep-24'!$A:$A,'[3]Sep-24'!$H:$H,0)</f>
        <v>0</v>
      </c>
      <c r="O96" s="17">
        <f>_xlfn.XLOOKUP($B96,'[3]Oct-24'!$A:$A,'[3]Oct-24'!$H:$H,0)</f>
        <v>0</v>
      </c>
      <c r="P96" s="17">
        <f>_xlfn.XLOOKUP($B96,'[3]Nov-24'!$A:$A,'[3]Nov-24'!$H:$H,0)</f>
        <v>0</v>
      </c>
      <c r="Q96" s="17">
        <f>_xlfn.XLOOKUP($B96,'[3]Dec-24'!$A:$A,'[3]Dec-24'!$H:$H,0)</f>
        <v>0</v>
      </c>
      <c r="R96" s="17">
        <f>_xlfn.XLOOKUP($B96,'[3]Jan-25'!$A:$A,'[3]Jan-25'!$H:$H,0)</f>
        <v>0</v>
      </c>
      <c r="S96" s="17">
        <f>_xlfn.XLOOKUP($B96,'[3]Feb-25'!$A:$A,'[3]Feb-25'!$H:$H,0)</f>
        <v>0</v>
      </c>
      <c r="T96" s="17">
        <f>_xlfn.XLOOKUP($B96,'[3]Mar-25'!$A:$A,'[3]Mar-25'!$H:$H,0)</f>
        <v>0</v>
      </c>
      <c r="U96" s="17">
        <f>_xlfn.XLOOKUP($B96,'[3]Apr-25'!$A:$A,'[3]Apr-25'!$H:$H,0)</f>
        <v>0</v>
      </c>
      <c r="V96" s="17">
        <f>_xlfn.XLOOKUP($B96,'[3]May-25'!$A:$A,'[3]May-25'!$H:$H,0)</f>
        <v>0</v>
      </c>
      <c r="W96" s="17">
        <f>_xlfn.XLOOKUP($B96,'[3]Jun-25'!$A:$A,'[3]Jun-25'!$H:$H,0)</f>
        <v>0</v>
      </c>
      <c r="X96" s="17">
        <f>_xlfn.XLOOKUP($B96,'[3]Jul-25'!$A:$A,'[3]Jul-25'!$H:$H,0)</f>
        <v>0</v>
      </c>
      <c r="Y96" s="17">
        <f>_xlfn.XLOOKUP($B96,'[3]Aug-25'!$A:$A,'[3]Aug-25'!$H:$H,0)</f>
        <v>0</v>
      </c>
      <c r="Z96" s="17">
        <f>_xlfn.XLOOKUP($B96,'[3]Sep-25'!$A:$A,'[3]Sep-25'!$H:$H,0)</f>
        <v>0</v>
      </c>
      <c r="AA96" s="17">
        <f>_xlfn.XLOOKUP($B96,'[3]Oct-25'!$A:$A,'[3]Oct-25'!$H:$H,0)</f>
        <v>0</v>
      </c>
      <c r="AB96" s="17">
        <f>_xlfn.XLOOKUP($B96,'[3]Nov-25'!$A:$A,'[3]Nov-25'!$H:$H,0)</f>
        <v>0</v>
      </c>
      <c r="AC96" s="17">
        <f>_xlfn.XLOOKUP($B96,'[3]Dec-25'!$A:$A,'[3]Dec-25'!$H:$H,0)</f>
        <v>0</v>
      </c>
      <c r="AD96" s="17">
        <f>_xlfn.XLOOKUP($B96,'[3]Jan-26'!$A:$A,'[3]Jan-26'!$H:$H,0)</f>
        <v>0</v>
      </c>
      <c r="AE96" s="17">
        <f>_xlfn.XLOOKUP($B96,'[3]Feb-26'!$A:$A,'[3]Feb-26'!$H:$H,0)</f>
        <v>0</v>
      </c>
      <c r="AF96" s="17">
        <f>_xlfn.XLOOKUP($B96,'[3]Mar-26'!$A:$A,'[3]Mar-26'!$H:$H,0)</f>
        <v>0</v>
      </c>
      <c r="AG96" s="17">
        <f>_xlfn.XLOOKUP($B96,'[3]Apr-26'!$A:$A,'[3]Apr-26'!$H:$H,0)</f>
        <v>0</v>
      </c>
    </row>
    <row r="97" spans="1:33" x14ac:dyDescent="0.2">
      <c r="A97" s="58" t="s">
        <v>1041</v>
      </c>
      <c r="B97" s="56" t="str">
        <f t="shared" si="3"/>
        <v>40110</v>
      </c>
      <c r="C97" s="78" t="s">
        <v>471</v>
      </c>
      <c r="D97" s="57" t="s">
        <v>369</v>
      </c>
      <c r="E97" s="44" t="s">
        <v>494</v>
      </c>
      <c r="F97" s="17">
        <f>_xlfn.XLOOKUP($B97,'[3]Jan-24'!$A:$A,'[3]Jan-24'!$H:$H,0)</f>
        <v>0</v>
      </c>
      <c r="G97" s="17">
        <f>_xlfn.XLOOKUP($B97,'[3]Feb-24'!$A:$A,'[3]Feb-24'!$H:$H,0)</f>
        <v>0</v>
      </c>
      <c r="H97" s="17">
        <f>_xlfn.XLOOKUP($B97,'[3]Mar-24'!$A:$A,'[3]Mar-24'!$H:$H,0)</f>
        <v>0</v>
      </c>
      <c r="I97" s="17">
        <f>_xlfn.XLOOKUP($B97,'[3]Apr-24'!$A:$A,'[3]Apr-24'!$H:$H,0)</f>
        <v>0</v>
      </c>
      <c r="J97" s="17">
        <f>_xlfn.XLOOKUP($B97,'[3]May-24'!$A:$A,'[3]May-24'!$H:$H,0)</f>
        <v>0</v>
      </c>
      <c r="K97" s="17">
        <f>_xlfn.XLOOKUP($B97,'[3]Jun-24'!$A:$A,'[3]Jun-24'!$H:$H,0)</f>
        <v>0</v>
      </c>
      <c r="L97" s="17">
        <f>_xlfn.XLOOKUP($B97,'[3]Jul-24'!$A:$A,'[3]Jul-24'!$H:$H,0)</f>
        <v>0</v>
      </c>
      <c r="M97" s="17">
        <f>_xlfn.XLOOKUP($B97,'[3]Aug-24'!$A:$A,'[3]Aug-24'!$H:$H,0)</f>
        <v>0</v>
      </c>
      <c r="N97" s="17">
        <f>_xlfn.XLOOKUP($B97,'[3]Sep-24'!$A:$A,'[3]Sep-24'!$H:$H,0)</f>
        <v>0</v>
      </c>
      <c r="O97" s="17">
        <f>_xlfn.XLOOKUP($B97,'[3]Oct-24'!$A:$A,'[3]Oct-24'!$H:$H,0)</f>
        <v>0</v>
      </c>
      <c r="P97" s="17">
        <f>_xlfn.XLOOKUP($B97,'[3]Nov-24'!$A:$A,'[3]Nov-24'!$H:$H,0)</f>
        <v>0</v>
      </c>
      <c r="Q97" s="17">
        <f>_xlfn.XLOOKUP($B97,'[3]Dec-24'!$A:$A,'[3]Dec-24'!$H:$H,0)</f>
        <v>0</v>
      </c>
      <c r="R97" s="17">
        <f>_xlfn.XLOOKUP($B97,'[3]Jan-25'!$A:$A,'[3]Jan-25'!$H:$H,0)</f>
        <v>0</v>
      </c>
      <c r="S97" s="17">
        <f>_xlfn.XLOOKUP($B97,'[3]Feb-25'!$A:$A,'[3]Feb-25'!$H:$H,0)</f>
        <v>0</v>
      </c>
      <c r="T97" s="17">
        <f>_xlfn.XLOOKUP($B97,'[3]Mar-25'!$A:$A,'[3]Mar-25'!$H:$H,0)</f>
        <v>0</v>
      </c>
      <c r="U97" s="17">
        <f>_xlfn.XLOOKUP($B97,'[3]Apr-25'!$A:$A,'[3]Apr-25'!$H:$H,0)</f>
        <v>0</v>
      </c>
      <c r="V97" s="17">
        <f>_xlfn.XLOOKUP($B97,'[3]May-25'!$A:$A,'[3]May-25'!$H:$H,0)</f>
        <v>0</v>
      </c>
      <c r="W97" s="17">
        <f>_xlfn.XLOOKUP($B97,'[3]Jun-25'!$A:$A,'[3]Jun-25'!$H:$H,0)</f>
        <v>0</v>
      </c>
      <c r="X97" s="17">
        <f>_xlfn.XLOOKUP($B97,'[3]Jul-25'!$A:$A,'[3]Jul-25'!$H:$H,0)</f>
        <v>0</v>
      </c>
      <c r="Y97" s="17">
        <f>_xlfn.XLOOKUP($B97,'[3]Aug-25'!$A:$A,'[3]Aug-25'!$H:$H,0)</f>
        <v>0</v>
      </c>
      <c r="Z97" s="17">
        <f>_xlfn.XLOOKUP($B97,'[3]Sep-25'!$A:$A,'[3]Sep-25'!$H:$H,0)</f>
        <v>0</v>
      </c>
      <c r="AA97" s="17">
        <f>_xlfn.XLOOKUP($B97,'[3]Oct-25'!$A:$A,'[3]Oct-25'!$H:$H,0)</f>
        <v>0</v>
      </c>
      <c r="AB97" s="17">
        <f>_xlfn.XLOOKUP($B97,'[3]Nov-25'!$A:$A,'[3]Nov-25'!$H:$H,0)</f>
        <v>0</v>
      </c>
      <c r="AC97" s="17">
        <f>_xlfn.XLOOKUP($B97,'[3]Dec-25'!$A:$A,'[3]Dec-25'!$H:$H,0)</f>
        <v>0</v>
      </c>
      <c r="AD97" s="17">
        <f>_xlfn.XLOOKUP($B97,'[3]Jan-26'!$A:$A,'[3]Jan-26'!$H:$H,0)</f>
        <v>0</v>
      </c>
      <c r="AE97" s="17">
        <f>_xlfn.XLOOKUP($B97,'[3]Feb-26'!$A:$A,'[3]Feb-26'!$H:$H,0)</f>
        <v>0</v>
      </c>
      <c r="AF97" s="17">
        <f>_xlfn.XLOOKUP($B97,'[3]Mar-26'!$A:$A,'[3]Mar-26'!$H:$H,0)</f>
        <v>0</v>
      </c>
      <c r="AG97" s="17">
        <f>_xlfn.XLOOKUP($B97,'[3]Apr-26'!$A:$A,'[3]Apr-26'!$H:$H,0)</f>
        <v>0</v>
      </c>
    </row>
    <row r="98" spans="1:33" x14ac:dyDescent="0.2">
      <c r="A98" s="58" t="s">
        <v>1042</v>
      </c>
      <c r="B98" s="56" t="str">
        <f t="shared" si="3"/>
        <v>40115</v>
      </c>
      <c r="C98" s="78" t="s">
        <v>471</v>
      </c>
      <c r="D98" s="57" t="s">
        <v>369</v>
      </c>
      <c r="E98" s="44" t="s">
        <v>495</v>
      </c>
      <c r="F98" s="17">
        <f>_xlfn.XLOOKUP($B98,'[3]Jan-24'!$A:$A,'[3]Jan-24'!$H:$H,0)</f>
        <v>0</v>
      </c>
      <c r="G98" s="17">
        <f>_xlfn.XLOOKUP($B98,'[3]Feb-24'!$A:$A,'[3]Feb-24'!$H:$H,0)</f>
        <v>0</v>
      </c>
      <c r="H98" s="17">
        <f>_xlfn.XLOOKUP($B98,'[3]Mar-24'!$A:$A,'[3]Mar-24'!$H:$H,0)</f>
        <v>0</v>
      </c>
      <c r="I98" s="17">
        <f>_xlfn.XLOOKUP($B98,'[3]Apr-24'!$A:$A,'[3]Apr-24'!$H:$H,0)</f>
        <v>0</v>
      </c>
      <c r="J98" s="17">
        <f>_xlfn.XLOOKUP($B98,'[3]May-24'!$A:$A,'[3]May-24'!$H:$H,0)</f>
        <v>0</v>
      </c>
      <c r="K98" s="17">
        <f>_xlfn.XLOOKUP($B98,'[3]Jun-24'!$A:$A,'[3]Jun-24'!$H:$H,0)</f>
        <v>0</v>
      </c>
      <c r="L98" s="17">
        <f>_xlfn.XLOOKUP($B98,'[3]Jul-24'!$A:$A,'[3]Jul-24'!$H:$H,0)</f>
        <v>0</v>
      </c>
      <c r="M98" s="17">
        <f>_xlfn.XLOOKUP($B98,'[3]Aug-24'!$A:$A,'[3]Aug-24'!$H:$H,0)</f>
        <v>0</v>
      </c>
      <c r="N98" s="17">
        <f>_xlfn.XLOOKUP($B98,'[3]Sep-24'!$A:$A,'[3]Sep-24'!$H:$H,0)</f>
        <v>0</v>
      </c>
      <c r="O98" s="17">
        <f>_xlfn.XLOOKUP($B98,'[3]Oct-24'!$A:$A,'[3]Oct-24'!$H:$H,0)</f>
        <v>0</v>
      </c>
      <c r="P98" s="17">
        <f>_xlfn.XLOOKUP($B98,'[3]Nov-24'!$A:$A,'[3]Nov-24'!$H:$H,0)</f>
        <v>0</v>
      </c>
      <c r="Q98" s="17">
        <f>_xlfn.XLOOKUP($B98,'[3]Dec-24'!$A:$A,'[3]Dec-24'!$H:$H,0)</f>
        <v>0</v>
      </c>
      <c r="R98" s="17">
        <f>_xlfn.XLOOKUP($B98,'[3]Jan-25'!$A:$A,'[3]Jan-25'!$H:$H,0)</f>
        <v>0</v>
      </c>
      <c r="S98" s="17">
        <f>_xlfn.XLOOKUP($B98,'[3]Feb-25'!$A:$A,'[3]Feb-25'!$H:$H,0)</f>
        <v>0</v>
      </c>
      <c r="T98" s="17">
        <f>_xlfn.XLOOKUP($B98,'[3]Mar-25'!$A:$A,'[3]Mar-25'!$H:$H,0)</f>
        <v>0</v>
      </c>
      <c r="U98" s="17">
        <f>_xlfn.XLOOKUP($B98,'[3]Apr-25'!$A:$A,'[3]Apr-25'!$H:$H,0)</f>
        <v>0</v>
      </c>
      <c r="V98" s="17">
        <f>_xlfn.XLOOKUP($B98,'[3]May-25'!$A:$A,'[3]May-25'!$H:$H,0)</f>
        <v>0</v>
      </c>
      <c r="W98" s="17">
        <f>_xlfn.XLOOKUP($B98,'[3]Jun-25'!$A:$A,'[3]Jun-25'!$H:$H,0)</f>
        <v>0</v>
      </c>
      <c r="X98" s="17">
        <f>_xlfn.XLOOKUP($B98,'[3]Jul-25'!$A:$A,'[3]Jul-25'!$H:$H,0)</f>
        <v>0</v>
      </c>
      <c r="Y98" s="17">
        <f>_xlfn.XLOOKUP($B98,'[3]Aug-25'!$A:$A,'[3]Aug-25'!$H:$H,0)</f>
        <v>0</v>
      </c>
      <c r="Z98" s="17">
        <f>_xlfn.XLOOKUP($B98,'[3]Sep-25'!$A:$A,'[3]Sep-25'!$H:$H,0)</f>
        <v>0</v>
      </c>
      <c r="AA98" s="17">
        <f>_xlfn.XLOOKUP($B98,'[3]Oct-25'!$A:$A,'[3]Oct-25'!$H:$H,0)</f>
        <v>0</v>
      </c>
      <c r="AB98" s="17">
        <f>_xlfn.XLOOKUP($B98,'[3]Nov-25'!$A:$A,'[3]Nov-25'!$H:$H,0)</f>
        <v>0</v>
      </c>
      <c r="AC98" s="17">
        <f>_xlfn.XLOOKUP($B98,'[3]Dec-25'!$A:$A,'[3]Dec-25'!$H:$H,0)</f>
        <v>0</v>
      </c>
      <c r="AD98" s="17">
        <f>_xlfn.XLOOKUP($B98,'[3]Jan-26'!$A:$A,'[3]Jan-26'!$H:$H,0)</f>
        <v>0</v>
      </c>
      <c r="AE98" s="17">
        <f>_xlfn.XLOOKUP($B98,'[3]Feb-26'!$A:$A,'[3]Feb-26'!$H:$H,0)</f>
        <v>0</v>
      </c>
      <c r="AF98" s="17">
        <f>_xlfn.XLOOKUP($B98,'[3]Mar-26'!$A:$A,'[3]Mar-26'!$H:$H,0)</f>
        <v>0</v>
      </c>
      <c r="AG98" s="17">
        <f>_xlfn.XLOOKUP($B98,'[3]Apr-26'!$A:$A,'[3]Apr-26'!$H:$H,0)</f>
        <v>0</v>
      </c>
    </row>
    <row r="99" spans="1:33" x14ac:dyDescent="0.2">
      <c r="A99" s="58" t="s">
        <v>1043</v>
      </c>
      <c r="B99" s="56" t="str">
        <f t="shared" si="3"/>
        <v>40120</v>
      </c>
      <c r="C99" s="78" t="s">
        <v>471</v>
      </c>
      <c r="D99" s="57" t="s">
        <v>369</v>
      </c>
      <c r="E99" s="44" t="s">
        <v>496</v>
      </c>
      <c r="F99" s="17">
        <f>_xlfn.XLOOKUP($B99,'[3]Jan-24'!$A:$A,'[3]Jan-24'!$H:$H,0)</f>
        <v>0</v>
      </c>
      <c r="G99" s="17">
        <f>_xlfn.XLOOKUP($B99,'[3]Feb-24'!$A:$A,'[3]Feb-24'!$H:$H,0)</f>
        <v>0</v>
      </c>
      <c r="H99" s="17">
        <f>_xlfn.XLOOKUP($B99,'[3]Mar-24'!$A:$A,'[3]Mar-24'!$H:$H,0)</f>
        <v>0</v>
      </c>
      <c r="I99" s="17">
        <f>_xlfn.XLOOKUP($B99,'[3]Apr-24'!$A:$A,'[3]Apr-24'!$H:$H,0)</f>
        <v>0</v>
      </c>
      <c r="J99" s="17">
        <f>_xlfn.XLOOKUP($B99,'[3]May-24'!$A:$A,'[3]May-24'!$H:$H,0)</f>
        <v>0</v>
      </c>
      <c r="K99" s="17">
        <f>_xlfn.XLOOKUP($B99,'[3]Jun-24'!$A:$A,'[3]Jun-24'!$H:$H,0)</f>
        <v>0</v>
      </c>
      <c r="L99" s="17">
        <f>_xlfn.XLOOKUP($B99,'[3]Jul-24'!$A:$A,'[3]Jul-24'!$H:$H,0)</f>
        <v>0</v>
      </c>
      <c r="M99" s="17">
        <f>_xlfn.XLOOKUP($B99,'[3]Aug-24'!$A:$A,'[3]Aug-24'!$H:$H,0)</f>
        <v>0</v>
      </c>
      <c r="N99" s="17">
        <f>_xlfn.XLOOKUP($B99,'[3]Sep-24'!$A:$A,'[3]Sep-24'!$H:$H,0)</f>
        <v>0</v>
      </c>
      <c r="O99" s="17">
        <f>_xlfn.XLOOKUP($B99,'[3]Oct-24'!$A:$A,'[3]Oct-24'!$H:$H,0)</f>
        <v>0</v>
      </c>
      <c r="P99" s="17">
        <f>_xlfn.XLOOKUP($B99,'[3]Nov-24'!$A:$A,'[3]Nov-24'!$H:$H,0)</f>
        <v>0</v>
      </c>
      <c r="Q99" s="17">
        <f>_xlfn.XLOOKUP($B99,'[3]Dec-24'!$A:$A,'[3]Dec-24'!$H:$H,0)</f>
        <v>0</v>
      </c>
      <c r="R99" s="17">
        <f>_xlfn.XLOOKUP($B99,'[3]Jan-25'!$A:$A,'[3]Jan-25'!$H:$H,0)</f>
        <v>0</v>
      </c>
      <c r="S99" s="17">
        <f>_xlfn.XLOOKUP($B99,'[3]Feb-25'!$A:$A,'[3]Feb-25'!$H:$H,0)</f>
        <v>0</v>
      </c>
      <c r="T99" s="17">
        <f>_xlfn.XLOOKUP($B99,'[3]Mar-25'!$A:$A,'[3]Mar-25'!$H:$H,0)</f>
        <v>0</v>
      </c>
      <c r="U99" s="17">
        <f>_xlfn.XLOOKUP($B99,'[3]Apr-25'!$A:$A,'[3]Apr-25'!$H:$H,0)</f>
        <v>0</v>
      </c>
      <c r="V99" s="17">
        <f>_xlfn.XLOOKUP($B99,'[3]May-25'!$A:$A,'[3]May-25'!$H:$H,0)</f>
        <v>0</v>
      </c>
      <c r="W99" s="17">
        <f>_xlfn.XLOOKUP($B99,'[3]Jun-25'!$A:$A,'[3]Jun-25'!$H:$H,0)</f>
        <v>0</v>
      </c>
      <c r="X99" s="17">
        <f>_xlfn.XLOOKUP($B99,'[3]Jul-25'!$A:$A,'[3]Jul-25'!$H:$H,0)</f>
        <v>0</v>
      </c>
      <c r="Y99" s="17">
        <f>_xlfn.XLOOKUP($B99,'[3]Aug-25'!$A:$A,'[3]Aug-25'!$H:$H,0)</f>
        <v>0</v>
      </c>
      <c r="Z99" s="17">
        <f>_xlfn.XLOOKUP($B99,'[3]Sep-25'!$A:$A,'[3]Sep-25'!$H:$H,0)</f>
        <v>0</v>
      </c>
      <c r="AA99" s="17">
        <f>_xlfn.XLOOKUP($B99,'[3]Oct-25'!$A:$A,'[3]Oct-25'!$H:$H,0)</f>
        <v>0</v>
      </c>
      <c r="AB99" s="17">
        <f>_xlfn.XLOOKUP($B99,'[3]Nov-25'!$A:$A,'[3]Nov-25'!$H:$H,0)</f>
        <v>0</v>
      </c>
      <c r="AC99" s="17">
        <f>_xlfn.XLOOKUP($B99,'[3]Dec-25'!$A:$A,'[3]Dec-25'!$H:$H,0)</f>
        <v>0</v>
      </c>
      <c r="AD99" s="17">
        <f>_xlfn.XLOOKUP($B99,'[3]Jan-26'!$A:$A,'[3]Jan-26'!$H:$H,0)</f>
        <v>0</v>
      </c>
      <c r="AE99" s="17">
        <f>_xlfn.XLOOKUP($B99,'[3]Feb-26'!$A:$A,'[3]Feb-26'!$H:$H,0)</f>
        <v>0</v>
      </c>
      <c r="AF99" s="17">
        <f>_xlfn.XLOOKUP($B99,'[3]Mar-26'!$A:$A,'[3]Mar-26'!$H:$H,0)</f>
        <v>0</v>
      </c>
      <c r="AG99" s="17">
        <f>_xlfn.XLOOKUP($B99,'[3]Apr-26'!$A:$A,'[3]Apr-26'!$H:$H,0)</f>
        <v>0</v>
      </c>
    </row>
    <row r="100" spans="1:33" x14ac:dyDescent="0.2">
      <c r="A100" s="58" t="s">
        <v>1044</v>
      </c>
      <c r="B100" s="56" t="str">
        <f t="shared" si="3"/>
        <v>40125</v>
      </c>
      <c r="C100" s="78" t="s">
        <v>471</v>
      </c>
      <c r="D100" s="57" t="s">
        <v>369</v>
      </c>
      <c r="E100" s="44" t="s">
        <v>497</v>
      </c>
      <c r="F100" s="17">
        <f>_xlfn.XLOOKUP($B100,'[3]Jan-24'!$A:$A,'[3]Jan-24'!$H:$H,0)</f>
        <v>0</v>
      </c>
      <c r="G100" s="17">
        <f>_xlfn.XLOOKUP($B100,'[3]Feb-24'!$A:$A,'[3]Feb-24'!$H:$H,0)</f>
        <v>0</v>
      </c>
      <c r="H100" s="17">
        <f>_xlfn.XLOOKUP($B100,'[3]Mar-24'!$A:$A,'[3]Mar-24'!$H:$H,0)</f>
        <v>0</v>
      </c>
      <c r="I100" s="17">
        <f>_xlfn.XLOOKUP($B100,'[3]Apr-24'!$A:$A,'[3]Apr-24'!$H:$H,0)</f>
        <v>0</v>
      </c>
      <c r="J100" s="17">
        <f>_xlfn.XLOOKUP($B100,'[3]May-24'!$A:$A,'[3]May-24'!$H:$H,0)</f>
        <v>0</v>
      </c>
      <c r="K100" s="17">
        <f>_xlfn.XLOOKUP($B100,'[3]Jun-24'!$A:$A,'[3]Jun-24'!$H:$H,0)</f>
        <v>0</v>
      </c>
      <c r="L100" s="17">
        <f>_xlfn.XLOOKUP($B100,'[3]Jul-24'!$A:$A,'[3]Jul-24'!$H:$H,0)</f>
        <v>0</v>
      </c>
      <c r="M100" s="17">
        <f>_xlfn.XLOOKUP($B100,'[3]Aug-24'!$A:$A,'[3]Aug-24'!$H:$H,0)</f>
        <v>0</v>
      </c>
      <c r="N100" s="17">
        <f>_xlfn.XLOOKUP($B100,'[3]Sep-24'!$A:$A,'[3]Sep-24'!$H:$H,0)</f>
        <v>0</v>
      </c>
      <c r="O100" s="17">
        <f>_xlfn.XLOOKUP($B100,'[3]Oct-24'!$A:$A,'[3]Oct-24'!$H:$H,0)</f>
        <v>0</v>
      </c>
      <c r="P100" s="17">
        <f>_xlfn.XLOOKUP($B100,'[3]Nov-24'!$A:$A,'[3]Nov-24'!$H:$H,0)</f>
        <v>0</v>
      </c>
      <c r="Q100" s="17">
        <f>_xlfn.XLOOKUP($B100,'[3]Dec-24'!$A:$A,'[3]Dec-24'!$H:$H,0)</f>
        <v>0</v>
      </c>
      <c r="R100" s="17">
        <f>_xlfn.XLOOKUP($B100,'[3]Jan-25'!$A:$A,'[3]Jan-25'!$H:$H,0)</f>
        <v>0</v>
      </c>
      <c r="S100" s="17">
        <f>_xlfn.XLOOKUP($B100,'[3]Feb-25'!$A:$A,'[3]Feb-25'!$H:$H,0)</f>
        <v>0</v>
      </c>
      <c r="T100" s="17">
        <f>_xlfn.XLOOKUP($B100,'[3]Mar-25'!$A:$A,'[3]Mar-25'!$H:$H,0)</f>
        <v>0</v>
      </c>
      <c r="U100" s="17">
        <f>_xlfn.XLOOKUP($B100,'[3]Apr-25'!$A:$A,'[3]Apr-25'!$H:$H,0)</f>
        <v>0</v>
      </c>
      <c r="V100" s="17">
        <f>_xlfn.XLOOKUP($B100,'[3]May-25'!$A:$A,'[3]May-25'!$H:$H,0)</f>
        <v>0</v>
      </c>
      <c r="W100" s="17">
        <f>_xlfn.XLOOKUP($B100,'[3]Jun-25'!$A:$A,'[3]Jun-25'!$H:$H,0)</f>
        <v>0</v>
      </c>
      <c r="X100" s="17">
        <f>_xlfn.XLOOKUP($B100,'[3]Jul-25'!$A:$A,'[3]Jul-25'!$H:$H,0)</f>
        <v>0</v>
      </c>
      <c r="Y100" s="17">
        <f>_xlfn.XLOOKUP($B100,'[3]Aug-25'!$A:$A,'[3]Aug-25'!$H:$H,0)</f>
        <v>0</v>
      </c>
      <c r="Z100" s="17">
        <f>_xlfn.XLOOKUP($B100,'[3]Sep-25'!$A:$A,'[3]Sep-25'!$H:$H,0)</f>
        <v>0</v>
      </c>
      <c r="AA100" s="17">
        <f>_xlfn.XLOOKUP($B100,'[3]Oct-25'!$A:$A,'[3]Oct-25'!$H:$H,0)</f>
        <v>0</v>
      </c>
      <c r="AB100" s="17">
        <f>_xlfn.XLOOKUP($B100,'[3]Nov-25'!$A:$A,'[3]Nov-25'!$H:$H,0)</f>
        <v>0</v>
      </c>
      <c r="AC100" s="17">
        <f>_xlfn.XLOOKUP($B100,'[3]Dec-25'!$A:$A,'[3]Dec-25'!$H:$H,0)</f>
        <v>0</v>
      </c>
      <c r="AD100" s="17">
        <f>_xlfn.XLOOKUP($B100,'[3]Jan-26'!$A:$A,'[3]Jan-26'!$H:$H,0)</f>
        <v>0</v>
      </c>
      <c r="AE100" s="17">
        <f>_xlfn.XLOOKUP($B100,'[3]Feb-26'!$A:$A,'[3]Feb-26'!$H:$H,0)</f>
        <v>0</v>
      </c>
      <c r="AF100" s="17">
        <f>_xlfn.XLOOKUP($B100,'[3]Mar-26'!$A:$A,'[3]Mar-26'!$H:$H,0)</f>
        <v>0</v>
      </c>
      <c r="AG100" s="17">
        <f>_xlfn.XLOOKUP($B100,'[3]Apr-26'!$A:$A,'[3]Apr-26'!$H:$H,0)</f>
        <v>0</v>
      </c>
    </row>
    <row r="101" spans="1:33" x14ac:dyDescent="0.2">
      <c r="A101" s="58" t="s">
        <v>1045</v>
      </c>
      <c r="B101" s="56" t="str">
        <f t="shared" si="3"/>
        <v>40130</v>
      </c>
      <c r="C101" s="78" t="s">
        <v>486</v>
      </c>
      <c r="D101" s="57" t="s">
        <v>369</v>
      </c>
      <c r="E101" s="44" t="s">
        <v>498</v>
      </c>
      <c r="F101" s="17">
        <f>_xlfn.XLOOKUP($B101,'[3]Jan-24'!$A:$A,'[3]Jan-24'!$H:$H,0)</f>
        <v>0</v>
      </c>
      <c r="G101" s="17">
        <f>_xlfn.XLOOKUP($B101,'[3]Feb-24'!$A:$A,'[3]Feb-24'!$H:$H,0)</f>
        <v>0</v>
      </c>
      <c r="H101" s="17">
        <f>_xlfn.XLOOKUP($B101,'[3]Mar-24'!$A:$A,'[3]Mar-24'!$H:$H,0)</f>
        <v>0</v>
      </c>
      <c r="I101" s="17">
        <f>_xlfn.XLOOKUP($B101,'[3]Apr-24'!$A:$A,'[3]Apr-24'!$H:$H,0)</f>
        <v>0</v>
      </c>
      <c r="J101" s="17">
        <f>_xlfn.XLOOKUP($B101,'[3]May-24'!$A:$A,'[3]May-24'!$H:$H,0)</f>
        <v>0</v>
      </c>
      <c r="K101" s="17">
        <f>_xlfn.XLOOKUP($B101,'[3]Jun-24'!$A:$A,'[3]Jun-24'!$H:$H,0)</f>
        <v>0</v>
      </c>
      <c r="L101" s="17">
        <f>_xlfn.XLOOKUP($B101,'[3]Jul-24'!$A:$A,'[3]Jul-24'!$H:$H,0)</f>
        <v>0</v>
      </c>
      <c r="M101" s="17">
        <f>_xlfn.XLOOKUP($B101,'[3]Aug-24'!$A:$A,'[3]Aug-24'!$H:$H,0)</f>
        <v>0</v>
      </c>
      <c r="N101" s="17">
        <f>_xlfn.XLOOKUP($B101,'[3]Sep-24'!$A:$A,'[3]Sep-24'!$H:$H,0)</f>
        <v>0</v>
      </c>
      <c r="O101" s="17">
        <f>_xlfn.XLOOKUP($B101,'[3]Oct-24'!$A:$A,'[3]Oct-24'!$H:$H,0)</f>
        <v>0</v>
      </c>
      <c r="P101" s="17">
        <f>_xlfn.XLOOKUP($B101,'[3]Nov-24'!$A:$A,'[3]Nov-24'!$H:$H,0)</f>
        <v>0</v>
      </c>
      <c r="Q101" s="17">
        <f>_xlfn.XLOOKUP($B101,'[3]Dec-24'!$A:$A,'[3]Dec-24'!$H:$H,0)</f>
        <v>0</v>
      </c>
      <c r="R101" s="17">
        <f>_xlfn.XLOOKUP($B101,'[3]Jan-25'!$A:$A,'[3]Jan-25'!$H:$H,0)</f>
        <v>0</v>
      </c>
      <c r="S101" s="17">
        <f>_xlfn.XLOOKUP($B101,'[3]Feb-25'!$A:$A,'[3]Feb-25'!$H:$H,0)</f>
        <v>0</v>
      </c>
      <c r="T101" s="17">
        <f>_xlfn.XLOOKUP($B101,'[3]Mar-25'!$A:$A,'[3]Mar-25'!$H:$H,0)</f>
        <v>0</v>
      </c>
      <c r="U101" s="17">
        <f>_xlfn.XLOOKUP($B101,'[3]Apr-25'!$A:$A,'[3]Apr-25'!$H:$H,0)</f>
        <v>0</v>
      </c>
      <c r="V101" s="17">
        <f>_xlfn.XLOOKUP($B101,'[3]May-25'!$A:$A,'[3]May-25'!$H:$H,0)</f>
        <v>0</v>
      </c>
      <c r="W101" s="17">
        <f>_xlfn.XLOOKUP($B101,'[3]Jun-25'!$A:$A,'[3]Jun-25'!$H:$H,0)</f>
        <v>0</v>
      </c>
      <c r="X101" s="17">
        <f>_xlfn.XLOOKUP($B101,'[3]Jul-25'!$A:$A,'[3]Jul-25'!$H:$H,0)</f>
        <v>0</v>
      </c>
      <c r="Y101" s="17">
        <f>_xlfn.XLOOKUP($B101,'[3]Aug-25'!$A:$A,'[3]Aug-25'!$H:$H,0)</f>
        <v>0</v>
      </c>
      <c r="Z101" s="17">
        <f>_xlfn.XLOOKUP($B101,'[3]Sep-25'!$A:$A,'[3]Sep-25'!$H:$H,0)</f>
        <v>0</v>
      </c>
      <c r="AA101" s="17">
        <f>_xlfn.XLOOKUP($B101,'[3]Oct-25'!$A:$A,'[3]Oct-25'!$H:$H,0)</f>
        <v>0</v>
      </c>
      <c r="AB101" s="17">
        <f>_xlfn.XLOOKUP($B101,'[3]Nov-25'!$A:$A,'[3]Nov-25'!$H:$H,0)</f>
        <v>0</v>
      </c>
      <c r="AC101" s="17">
        <f>_xlfn.XLOOKUP($B101,'[3]Dec-25'!$A:$A,'[3]Dec-25'!$H:$H,0)</f>
        <v>0</v>
      </c>
      <c r="AD101" s="17">
        <f>_xlfn.XLOOKUP($B101,'[3]Jan-26'!$A:$A,'[3]Jan-26'!$H:$H,0)</f>
        <v>0</v>
      </c>
      <c r="AE101" s="17">
        <f>_xlfn.XLOOKUP($B101,'[3]Feb-26'!$A:$A,'[3]Feb-26'!$H:$H,0)</f>
        <v>0</v>
      </c>
      <c r="AF101" s="17">
        <f>_xlfn.XLOOKUP($B101,'[3]Mar-26'!$A:$A,'[3]Mar-26'!$H:$H,0)</f>
        <v>0</v>
      </c>
      <c r="AG101" s="17">
        <f>_xlfn.XLOOKUP($B101,'[3]Apr-26'!$A:$A,'[3]Apr-26'!$H:$H,0)</f>
        <v>0</v>
      </c>
    </row>
    <row r="102" spans="1:33" x14ac:dyDescent="0.2">
      <c r="A102" s="58" t="s">
        <v>1046</v>
      </c>
      <c r="B102" s="56" t="str">
        <f t="shared" si="3"/>
        <v>40135</v>
      </c>
      <c r="C102" s="78" t="s">
        <v>486</v>
      </c>
      <c r="D102" s="57" t="s">
        <v>369</v>
      </c>
      <c r="E102" s="44" t="s">
        <v>499</v>
      </c>
      <c r="F102" s="17">
        <f>_xlfn.XLOOKUP($B102,'[3]Jan-24'!$A:$A,'[3]Jan-24'!$H:$H,0)</f>
        <v>0</v>
      </c>
      <c r="G102" s="17">
        <f>_xlfn.XLOOKUP($B102,'[3]Feb-24'!$A:$A,'[3]Feb-24'!$H:$H,0)</f>
        <v>0</v>
      </c>
      <c r="H102" s="17">
        <f>_xlfn.XLOOKUP($B102,'[3]Mar-24'!$A:$A,'[3]Mar-24'!$H:$H,0)</f>
        <v>0</v>
      </c>
      <c r="I102" s="17">
        <f>_xlfn.XLOOKUP($B102,'[3]Apr-24'!$A:$A,'[3]Apr-24'!$H:$H,0)</f>
        <v>0</v>
      </c>
      <c r="J102" s="17">
        <f>_xlfn.XLOOKUP($B102,'[3]May-24'!$A:$A,'[3]May-24'!$H:$H,0)</f>
        <v>0</v>
      </c>
      <c r="K102" s="17">
        <f>_xlfn.XLOOKUP($B102,'[3]Jun-24'!$A:$A,'[3]Jun-24'!$H:$H,0)</f>
        <v>0</v>
      </c>
      <c r="L102" s="17">
        <f>_xlfn.XLOOKUP($B102,'[3]Jul-24'!$A:$A,'[3]Jul-24'!$H:$H,0)</f>
        <v>0</v>
      </c>
      <c r="M102" s="17">
        <f>_xlfn.XLOOKUP($B102,'[3]Aug-24'!$A:$A,'[3]Aug-24'!$H:$H,0)</f>
        <v>0</v>
      </c>
      <c r="N102" s="17">
        <f>_xlfn.XLOOKUP($B102,'[3]Sep-24'!$A:$A,'[3]Sep-24'!$H:$H,0)</f>
        <v>0</v>
      </c>
      <c r="O102" s="17">
        <f>_xlfn.XLOOKUP($B102,'[3]Oct-24'!$A:$A,'[3]Oct-24'!$H:$H,0)</f>
        <v>0</v>
      </c>
      <c r="P102" s="17">
        <f>_xlfn.XLOOKUP($B102,'[3]Nov-24'!$A:$A,'[3]Nov-24'!$H:$H,0)</f>
        <v>0</v>
      </c>
      <c r="Q102" s="17">
        <f>_xlfn.XLOOKUP($B102,'[3]Dec-24'!$A:$A,'[3]Dec-24'!$H:$H,0)</f>
        <v>0</v>
      </c>
      <c r="R102" s="17">
        <f>_xlfn.XLOOKUP($B102,'[3]Jan-25'!$A:$A,'[3]Jan-25'!$H:$H,0)</f>
        <v>0</v>
      </c>
      <c r="S102" s="17">
        <f>_xlfn.XLOOKUP($B102,'[3]Feb-25'!$A:$A,'[3]Feb-25'!$H:$H,0)</f>
        <v>0</v>
      </c>
      <c r="T102" s="17">
        <f>_xlfn.XLOOKUP($B102,'[3]Mar-25'!$A:$A,'[3]Mar-25'!$H:$H,0)</f>
        <v>0</v>
      </c>
      <c r="U102" s="17">
        <f>_xlfn.XLOOKUP($B102,'[3]Apr-25'!$A:$A,'[3]Apr-25'!$H:$H,0)</f>
        <v>0</v>
      </c>
      <c r="V102" s="17">
        <f>_xlfn.XLOOKUP($B102,'[3]May-25'!$A:$A,'[3]May-25'!$H:$H,0)</f>
        <v>0</v>
      </c>
      <c r="W102" s="17">
        <f>_xlfn.XLOOKUP($B102,'[3]Jun-25'!$A:$A,'[3]Jun-25'!$H:$H,0)</f>
        <v>0</v>
      </c>
      <c r="X102" s="17">
        <f>_xlfn.XLOOKUP($B102,'[3]Jul-25'!$A:$A,'[3]Jul-25'!$H:$H,0)</f>
        <v>0</v>
      </c>
      <c r="Y102" s="17">
        <f>_xlfn.XLOOKUP($B102,'[3]Aug-25'!$A:$A,'[3]Aug-25'!$H:$H,0)</f>
        <v>0</v>
      </c>
      <c r="Z102" s="17">
        <f>_xlfn.XLOOKUP($B102,'[3]Sep-25'!$A:$A,'[3]Sep-25'!$H:$H,0)</f>
        <v>0</v>
      </c>
      <c r="AA102" s="17">
        <f>_xlfn.XLOOKUP($B102,'[3]Oct-25'!$A:$A,'[3]Oct-25'!$H:$H,0)</f>
        <v>0</v>
      </c>
      <c r="AB102" s="17">
        <f>_xlfn.XLOOKUP($B102,'[3]Nov-25'!$A:$A,'[3]Nov-25'!$H:$H,0)</f>
        <v>0</v>
      </c>
      <c r="AC102" s="17">
        <f>_xlfn.XLOOKUP($B102,'[3]Dec-25'!$A:$A,'[3]Dec-25'!$H:$H,0)</f>
        <v>0</v>
      </c>
      <c r="AD102" s="17">
        <f>_xlfn.XLOOKUP($B102,'[3]Jan-26'!$A:$A,'[3]Jan-26'!$H:$H,0)</f>
        <v>0</v>
      </c>
      <c r="AE102" s="17">
        <f>_xlfn.XLOOKUP($B102,'[3]Feb-26'!$A:$A,'[3]Feb-26'!$H:$H,0)</f>
        <v>0</v>
      </c>
      <c r="AF102" s="17">
        <f>_xlfn.XLOOKUP($B102,'[3]Mar-26'!$A:$A,'[3]Mar-26'!$H:$H,0)</f>
        <v>0</v>
      </c>
      <c r="AG102" s="17">
        <f>_xlfn.XLOOKUP($B102,'[3]Apr-26'!$A:$A,'[3]Apr-26'!$H:$H,0)</f>
        <v>0</v>
      </c>
    </row>
    <row r="103" spans="1:33" x14ac:dyDescent="0.2">
      <c r="A103" s="58" t="s">
        <v>1047</v>
      </c>
      <c r="B103" s="56" t="str">
        <f t="shared" si="3"/>
        <v>40140</v>
      </c>
      <c r="C103" s="78" t="s">
        <v>471</v>
      </c>
      <c r="D103" s="57" t="s">
        <v>369</v>
      </c>
      <c r="E103" s="44" t="s">
        <v>500</v>
      </c>
      <c r="F103" s="17">
        <f>_xlfn.XLOOKUP($B103,'[3]Jan-24'!$A:$A,'[3]Jan-24'!$H:$H,0)</f>
        <v>0</v>
      </c>
      <c r="G103" s="17">
        <f>_xlfn.XLOOKUP($B103,'[3]Feb-24'!$A:$A,'[3]Feb-24'!$H:$H,0)</f>
        <v>0</v>
      </c>
      <c r="H103" s="17">
        <f>_xlfn.XLOOKUP($B103,'[3]Mar-24'!$A:$A,'[3]Mar-24'!$H:$H,0)</f>
        <v>0</v>
      </c>
      <c r="I103" s="17">
        <f>_xlfn.XLOOKUP($B103,'[3]Apr-24'!$A:$A,'[3]Apr-24'!$H:$H,0)</f>
        <v>0</v>
      </c>
      <c r="J103" s="17">
        <f>_xlfn.XLOOKUP($B103,'[3]May-24'!$A:$A,'[3]May-24'!$H:$H,0)</f>
        <v>0</v>
      </c>
      <c r="K103" s="17">
        <f>_xlfn.XLOOKUP($B103,'[3]Jun-24'!$A:$A,'[3]Jun-24'!$H:$H,0)</f>
        <v>0</v>
      </c>
      <c r="L103" s="17">
        <f>_xlfn.XLOOKUP($B103,'[3]Jul-24'!$A:$A,'[3]Jul-24'!$H:$H,0)</f>
        <v>0</v>
      </c>
      <c r="M103" s="17">
        <f>_xlfn.XLOOKUP($B103,'[3]Aug-24'!$A:$A,'[3]Aug-24'!$H:$H,0)</f>
        <v>0</v>
      </c>
      <c r="N103" s="17">
        <f>_xlfn.XLOOKUP($B103,'[3]Sep-24'!$A:$A,'[3]Sep-24'!$H:$H,0)</f>
        <v>0</v>
      </c>
      <c r="O103" s="17">
        <f>_xlfn.XLOOKUP($B103,'[3]Oct-24'!$A:$A,'[3]Oct-24'!$H:$H,0)</f>
        <v>0</v>
      </c>
      <c r="P103" s="17">
        <f>_xlfn.XLOOKUP($B103,'[3]Nov-24'!$A:$A,'[3]Nov-24'!$H:$H,0)</f>
        <v>0</v>
      </c>
      <c r="Q103" s="17">
        <f>_xlfn.XLOOKUP($B103,'[3]Dec-24'!$A:$A,'[3]Dec-24'!$H:$H,0)</f>
        <v>0</v>
      </c>
      <c r="R103" s="17">
        <f>_xlfn.XLOOKUP($B103,'[3]Jan-25'!$A:$A,'[3]Jan-25'!$H:$H,0)</f>
        <v>0</v>
      </c>
      <c r="S103" s="17">
        <f>_xlfn.XLOOKUP($B103,'[3]Feb-25'!$A:$A,'[3]Feb-25'!$H:$H,0)</f>
        <v>0</v>
      </c>
      <c r="T103" s="17">
        <f>_xlfn.XLOOKUP($B103,'[3]Mar-25'!$A:$A,'[3]Mar-25'!$H:$H,0)</f>
        <v>0</v>
      </c>
      <c r="U103" s="17">
        <f>_xlfn.XLOOKUP($B103,'[3]Apr-25'!$A:$A,'[3]Apr-25'!$H:$H,0)</f>
        <v>0</v>
      </c>
      <c r="V103" s="17">
        <f>_xlfn.XLOOKUP($B103,'[3]May-25'!$A:$A,'[3]May-25'!$H:$H,0)</f>
        <v>0</v>
      </c>
      <c r="W103" s="17">
        <f>_xlfn.XLOOKUP($B103,'[3]Jun-25'!$A:$A,'[3]Jun-25'!$H:$H,0)</f>
        <v>0</v>
      </c>
      <c r="X103" s="17">
        <f>_xlfn.XLOOKUP($B103,'[3]Jul-25'!$A:$A,'[3]Jul-25'!$H:$H,0)</f>
        <v>0</v>
      </c>
      <c r="Y103" s="17">
        <f>_xlfn.XLOOKUP($B103,'[3]Aug-25'!$A:$A,'[3]Aug-25'!$H:$H,0)</f>
        <v>0</v>
      </c>
      <c r="Z103" s="17">
        <f>_xlfn.XLOOKUP($B103,'[3]Sep-25'!$A:$A,'[3]Sep-25'!$H:$H,0)</f>
        <v>0</v>
      </c>
      <c r="AA103" s="17">
        <f>_xlfn.XLOOKUP($B103,'[3]Oct-25'!$A:$A,'[3]Oct-25'!$H:$H,0)</f>
        <v>0</v>
      </c>
      <c r="AB103" s="17">
        <f>_xlfn.XLOOKUP($B103,'[3]Nov-25'!$A:$A,'[3]Nov-25'!$H:$H,0)</f>
        <v>0</v>
      </c>
      <c r="AC103" s="17">
        <f>_xlfn.XLOOKUP($B103,'[3]Dec-25'!$A:$A,'[3]Dec-25'!$H:$H,0)</f>
        <v>0</v>
      </c>
      <c r="AD103" s="17">
        <f>_xlfn.XLOOKUP($B103,'[3]Jan-26'!$A:$A,'[3]Jan-26'!$H:$H,0)</f>
        <v>0</v>
      </c>
      <c r="AE103" s="17">
        <f>_xlfn.XLOOKUP($B103,'[3]Feb-26'!$A:$A,'[3]Feb-26'!$H:$H,0)</f>
        <v>0</v>
      </c>
      <c r="AF103" s="17">
        <f>_xlfn.XLOOKUP($B103,'[3]Mar-26'!$A:$A,'[3]Mar-26'!$H:$H,0)</f>
        <v>0</v>
      </c>
      <c r="AG103" s="17">
        <f>_xlfn.XLOOKUP($B103,'[3]Apr-26'!$A:$A,'[3]Apr-26'!$H:$H,0)</f>
        <v>0</v>
      </c>
    </row>
    <row r="104" spans="1:33" x14ac:dyDescent="0.2">
      <c r="A104" s="58" t="s">
        <v>1048</v>
      </c>
      <c r="B104" s="56" t="str">
        <f t="shared" si="3"/>
        <v>40145</v>
      </c>
      <c r="C104" s="78" t="s">
        <v>471</v>
      </c>
      <c r="D104" s="57" t="s">
        <v>369</v>
      </c>
      <c r="E104" s="44" t="s">
        <v>501</v>
      </c>
      <c r="F104" s="17">
        <f>_xlfn.XLOOKUP($B104,'[3]Jan-24'!$A:$A,'[3]Jan-24'!$H:$H,0)</f>
        <v>0</v>
      </c>
      <c r="G104" s="17">
        <f>_xlfn.XLOOKUP($B104,'[3]Feb-24'!$A:$A,'[3]Feb-24'!$H:$H,0)</f>
        <v>0</v>
      </c>
      <c r="H104" s="17">
        <f>_xlfn.XLOOKUP($B104,'[3]Mar-24'!$A:$A,'[3]Mar-24'!$H:$H,0)</f>
        <v>0</v>
      </c>
      <c r="I104" s="17">
        <f>_xlfn.XLOOKUP($B104,'[3]Apr-24'!$A:$A,'[3]Apr-24'!$H:$H,0)</f>
        <v>0</v>
      </c>
      <c r="J104" s="17">
        <f>_xlfn.XLOOKUP($B104,'[3]May-24'!$A:$A,'[3]May-24'!$H:$H,0)</f>
        <v>0</v>
      </c>
      <c r="K104" s="17">
        <f>_xlfn.XLOOKUP($B104,'[3]Jun-24'!$A:$A,'[3]Jun-24'!$H:$H,0)</f>
        <v>0</v>
      </c>
      <c r="L104" s="17">
        <f>_xlfn.XLOOKUP($B104,'[3]Jul-24'!$A:$A,'[3]Jul-24'!$H:$H,0)</f>
        <v>0</v>
      </c>
      <c r="M104" s="17">
        <f>_xlfn.XLOOKUP($B104,'[3]Aug-24'!$A:$A,'[3]Aug-24'!$H:$H,0)</f>
        <v>0</v>
      </c>
      <c r="N104" s="17">
        <f>_xlfn.XLOOKUP($B104,'[3]Sep-24'!$A:$A,'[3]Sep-24'!$H:$H,0)</f>
        <v>0</v>
      </c>
      <c r="O104" s="17">
        <f>_xlfn.XLOOKUP($B104,'[3]Oct-24'!$A:$A,'[3]Oct-24'!$H:$H,0)</f>
        <v>0</v>
      </c>
      <c r="P104" s="17">
        <f>_xlfn.XLOOKUP($B104,'[3]Nov-24'!$A:$A,'[3]Nov-24'!$H:$H,0)</f>
        <v>0</v>
      </c>
      <c r="Q104" s="17">
        <f>_xlfn.XLOOKUP($B104,'[3]Dec-24'!$A:$A,'[3]Dec-24'!$H:$H,0)</f>
        <v>0</v>
      </c>
      <c r="R104" s="17">
        <f>_xlfn.XLOOKUP($B104,'[3]Jan-25'!$A:$A,'[3]Jan-25'!$H:$H,0)</f>
        <v>0</v>
      </c>
      <c r="S104" s="17">
        <f>_xlfn.XLOOKUP($B104,'[3]Feb-25'!$A:$A,'[3]Feb-25'!$H:$H,0)</f>
        <v>0</v>
      </c>
      <c r="T104" s="17">
        <f>_xlfn.XLOOKUP($B104,'[3]Mar-25'!$A:$A,'[3]Mar-25'!$H:$H,0)</f>
        <v>0</v>
      </c>
      <c r="U104" s="17">
        <f>_xlfn.XLOOKUP($B104,'[3]Apr-25'!$A:$A,'[3]Apr-25'!$H:$H,0)</f>
        <v>0</v>
      </c>
      <c r="V104" s="17">
        <f>_xlfn.XLOOKUP($B104,'[3]May-25'!$A:$A,'[3]May-25'!$H:$H,0)</f>
        <v>0</v>
      </c>
      <c r="W104" s="17">
        <f>_xlfn.XLOOKUP($B104,'[3]Jun-25'!$A:$A,'[3]Jun-25'!$H:$H,0)</f>
        <v>0</v>
      </c>
      <c r="X104" s="17">
        <f>_xlfn.XLOOKUP($B104,'[3]Jul-25'!$A:$A,'[3]Jul-25'!$H:$H,0)</f>
        <v>0</v>
      </c>
      <c r="Y104" s="17">
        <f>_xlfn.XLOOKUP($B104,'[3]Aug-25'!$A:$A,'[3]Aug-25'!$H:$H,0)</f>
        <v>0</v>
      </c>
      <c r="Z104" s="17">
        <f>_xlfn.XLOOKUP($B104,'[3]Sep-25'!$A:$A,'[3]Sep-25'!$H:$H,0)</f>
        <v>0</v>
      </c>
      <c r="AA104" s="17">
        <f>_xlfn.XLOOKUP($B104,'[3]Oct-25'!$A:$A,'[3]Oct-25'!$H:$H,0)</f>
        <v>0</v>
      </c>
      <c r="AB104" s="17">
        <f>_xlfn.XLOOKUP($B104,'[3]Nov-25'!$A:$A,'[3]Nov-25'!$H:$H,0)</f>
        <v>0</v>
      </c>
      <c r="AC104" s="17">
        <f>_xlfn.XLOOKUP($B104,'[3]Dec-25'!$A:$A,'[3]Dec-25'!$H:$H,0)</f>
        <v>0</v>
      </c>
      <c r="AD104" s="17">
        <f>_xlfn.XLOOKUP($B104,'[3]Jan-26'!$A:$A,'[3]Jan-26'!$H:$H,0)</f>
        <v>0</v>
      </c>
      <c r="AE104" s="17">
        <f>_xlfn.XLOOKUP($B104,'[3]Feb-26'!$A:$A,'[3]Feb-26'!$H:$H,0)</f>
        <v>0</v>
      </c>
      <c r="AF104" s="17">
        <f>_xlfn.XLOOKUP($B104,'[3]Mar-26'!$A:$A,'[3]Mar-26'!$H:$H,0)</f>
        <v>0</v>
      </c>
      <c r="AG104" s="17">
        <f>_xlfn.XLOOKUP($B104,'[3]Apr-26'!$A:$A,'[3]Apr-26'!$H:$H,0)</f>
        <v>0</v>
      </c>
    </row>
    <row r="105" spans="1:33" x14ac:dyDescent="0.2">
      <c r="A105" s="58" t="s">
        <v>1049</v>
      </c>
      <c r="B105" s="56" t="str">
        <f t="shared" si="3"/>
        <v>40150</v>
      </c>
      <c r="C105" s="78" t="s">
        <v>471</v>
      </c>
      <c r="D105" s="57" t="s">
        <v>369</v>
      </c>
      <c r="E105" s="44" t="s">
        <v>502</v>
      </c>
      <c r="F105" s="17">
        <f>_xlfn.XLOOKUP($B105,'[3]Jan-24'!$A:$A,'[3]Jan-24'!$H:$H,0)</f>
        <v>0</v>
      </c>
      <c r="G105" s="17">
        <f>_xlfn.XLOOKUP($B105,'[3]Feb-24'!$A:$A,'[3]Feb-24'!$H:$H,0)</f>
        <v>0</v>
      </c>
      <c r="H105" s="17">
        <f>_xlfn.XLOOKUP($B105,'[3]Mar-24'!$A:$A,'[3]Mar-24'!$H:$H,0)</f>
        <v>0</v>
      </c>
      <c r="I105" s="17">
        <f>_xlfn.XLOOKUP($B105,'[3]Apr-24'!$A:$A,'[3]Apr-24'!$H:$H,0)</f>
        <v>0</v>
      </c>
      <c r="J105" s="17">
        <f>_xlfn.XLOOKUP($B105,'[3]May-24'!$A:$A,'[3]May-24'!$H:$H,0)</f>
        <v>0</v>
      </c>
      <c r="K105" s="17">
        <f>_xlfn.XLOOKUP($B105,'[3]Jun-24'!$A:$A,'[3]Jun-24'!$H:$H,0)</f>
        <v>0</v>
      </c>
      <c r="L105" s="17">
        <f>_xlfn.XLOOKUP($B105,'[3]Jul-24'!$A:$A,'[3]Jul-24'!$H:$H,0)</f>
        <v>0</v>
      </c>
      <c r="M105" s="17">
        <f>_xlfn.XLOOKUP($B105,'[3]Aug-24'!$A:$A,'[3]Aug-24'!$H:$H,0)</f>
        <v>0</v>
      </c>
      <c r="N105" s="17">
        <f>_xlfn.XLOOKUP($B105,'[3]Sep-24'!$A:$A,'[3]Sep-24'!$H:$H,0)</f>
        <v>0</v>
      </c>
      <c r="O105" s="17">
        <f>_xlfn.XLOOKUP($B105,'[3]Oct-24'!$A:$A,'[3]Oct-24'!$H:$H,0)</f>
        <v>0</v>
      </c>
      <c r="P105" s="17">
        <f>_xlfn.XLOOKUP($B105,'[3]Nov-24'!$A:$A,'[3]Nov-24'!$H:$H,0)</f>
        <v>0</v>
      </c>
      <c r="Q105" s="17">
        <f>_xlfn.XLOOKUP($B105,'[3]Dec-24'!$A:$A,'[3]Dec-24'!$H:$H,0)</f>
        <v>0</v>
      </c>
      <c r="R105" s="17">
        <f>_xlfn.XLOOKUP($B105,'[3]Jan-25'!$A:$A,'[3]Jan-25'!$H:$H,0)</f>
        <v>0</v>
      </c>
      <c r="S105" s="17">
        <f>_xlfn.XLOOKUP($B105,'[3]Feb-25'!$A:$A,'[3]Feb-25'!$H:$H,0)</f>
        <v>0</v>
      </c>
      <c r="T105" s="17">
        <f>_xlfn.XLOOKUP($B105,'[3]Mar-25'!$A:$A,'[3]Mar-25'!$H:$H,0)</f>
        <v>0</v>
      </c>
      <c r="U105" s="17">
        <f>_xlfn.XLOOKUP($B105,'[3]Apr-25'!$A:$A,'[3]Apr-25'!$H:$H,0)</f>
        <v>0</v>
      </c>
      <c r="V105" s="17">
        <f>_xlfn.XLOOKUP($B105,'[3]May-25'!$A:$A,'[3]May-25'!$H:$H,0)</f>
        <v>0</v>
      </c>
      <c r="W105" s="17">
        <f>_xlfn.XLOOKUP($B105,'[3]Jun-25'!$A:$A,'[3]Jun-25'!$H:$H,0)</f>
        <v>0</v>
      </c>
      <c r="X105" s="17">
        <f>_xlfn.XLOOKUP($B105,'[3]Jul-25'!$A:$A,'[3]Jul-25'!$H:$H,0)</f>
        <v>0</v>
      </c>
      <c r="Y105" s="17">
        <f>_xlfn.XLOOKUP($B105,'[3]Aug-25'!$A:$A,'[3]Aug-25'!$H:$H,0)</f>
        <v>0</v>
      </c>
      <c r="Z105" s="17">
        <f>_xlfn.XLOOKUP($B105,'[3]Sep-25'!$A:$A,'[3]Sep-25'!$H:$H,0)</f>
        <v>0</v>
      </c>
      <c r="AA105" s="17">
        <f>_xlfn.XLOOKUP($B105,'[3]Oct-25'!$A:$A,'[3]Oct-25'!$H:$H,0)</f>
        <v>0</v>
      </c>
      <c r="AB105" s="17">
        <f>_xlfn.XLOOKUP($B105,'[3]Nov-25'!$A:$A,'[3]Nov-25'!$H:$H,0)</f>
        <v>0</v>
      </c>
      <c r="AC105" s="17">
        <f>_xlfn.XLOOKUP($B105,'[3]Dec-25'!$A:$A,'[3]Dec-25'!$H:$H,0)</f>
        <v>0</v>
      </c>
      <c r="AD105" s="17">
        <f>_xlfn.XLOOKUP($B105,'[3]Jan-26'!$A:$A,'[3]Jan-26'!$H:$H,0)</f>
        <v>0</v>
      </c>
      <c r="AE105" s="17">
        <f>_xlfn.XLOOKUP($B105,'[3]Feb-26'!$A:$A,'[3]Feb-26'!$H:$H,0)</f>
        <v>0</v>
      </c>
      <c r="AF105" s="17">
        <f>_xlfn.XLOOKUP($B105,'[3]Mar-26'!$A:$A,'[3]Mar-26'!$H:$H,0)</f>
        <v>0</v>
      </c>
      <c r="AG105" s="17">
        <f>_xlfn.XLOOKUP($B105,'[3]Apr-26'!$A:$A,'[3]Apr-26'!$H:$H,0)</f>
        <v>0</v>
      </c>
    </row>
    <row r="106" spans="1:33" x14ac:dyDescent="0.2">
      <c r="A106" s="58" t="s">
        <v>1050</v>
      </c>
      <c r="B106" s="56" t="str">
        <f t="shared" si="3"/>
        <v>40155</v>
      </c>
      <c r="C106" s="78" t="s">
        <v>471</v>
      </c>
      <c r="D106" s="57" t="s">
        <v>369</v>
      </c>
      <c r="E106" s="44" t="s">
        <v>98</v>
      </c>
      <c r="F106" s="17">
        <f>_xlfn.XLOOKUP($B106,'[3]Jan-24'!$A:$A,'[3]Jan-24'!$H:$H,0)</f>
        <v>0</v>
      </c>
      <c r="G106" s="17">
        <f>_xlfn.XLOOKUP($B106,'[3]Feb-24'!$A:$A,'[3]Feb-24'!$H:$H,0)</f>
        <v>0</v>
      </c>
      <c r="H106" s="17">
        <f>_xlfn.XLOOKUP($B106,'[3]Mar-24'!$A:$A,'[3]Mar-24'!$H:$H,0)</f>
        <v>0</v>
      </c>
      <c r="I106" s="17">
        <f>_xlfn.XLOOKUP($B106,'[3]Apr-24'!$A:$A,'[3]Apr-24'!$H:$H,0)</f>
        <v>0</v>
      </c>
      <c r="J106" s="17">
        <f>_xlfn.XLOOKUP($B106,'[3]May-24'!$A:$A,'[3]May-24'!$H:$H,0)</f>
        <v>0</v>
      </c>
      <c r="K106" s="17">
        <f>_xlfn.XLOOKUP($B106,'[3]Jun-24'!$A:$A,'[3]Jun-24'!$H:$H,0)</f>
        <v>0</v>
      </c>
      <c r="L106" s="17">
        <f>_xlfn.XLOOKUP($B106,'[3]Jul-24'!$A:$A,'[3]Jul-24'!$H:$H,0)</f>
        <v>0</v>
      </c>
      <c r="M106" s="17">
        <f>_xlfn.XLOOKUP($B106,'[3]Aug-24'!$A:$A,'[3]Aug-24'!$H:$H,0)</f>
        <v>0</v>
      </c>
      <c r="N106" s="17">
        <f>_xlfn.XLOOKUP($B106,'[3]Sep-24'!$A:$A,'[3]Sep-24'!$H:$H,0)</f>
        <v>0</v>
      </c>
      <c r="O106" s="17">
        <f>_xlfn.XLOOKUP($B106,'[3]Oct-24'!$A:$A,'[3]Oct-24'!$H:$H,0)</f>
        <v>0</v>
      </c>
      <c r="P106" s="17">
        <f>_xlfn.XLOOKUP($B106,'[3]Nov-24'!$A:$A,'[3]Nov-24'!$H:$H,0)</f>
        <v>0</v>
      </c>
      <c r="Q106" s="17">
        <f>_xlfn.XLOOKUP($B106,'[3]Dec-24'!$A:$A,'[3]Dec-24'!$H:$H,0)</f>
        <v>0</v>
      </c>
      <c r="R106" s="17">
        <f>_xlfn.XLOOKUP($B106,'[3]Jan-25'!$A:$A,'[3]Jan-25'!$H:$H,0)</f>
        <v>0</v>
      </c>
      <c r="S106" s="17">
        <f>_xlfn.XLOOKUP($B106,'[3]Feb-25'!$A:$A,'[3]Feb-25'!$H:$H,0)</f>
        <v>0</v>
      </c>
      <c r="T106" s="17">
        <f>_xlfn.XLOOKUP($B106,'[3]Mar-25'!$A:$A,'[3]Mar-25'!$H:$H,0)</f>
        <v>0</v>
      </c>
      <c r="U106" s="17">
        <f>_xlfn.XLOOKUP($B106,'[3]Apr-25'!$A:$A,'[3]Apr-25'!$H:$H,0)</f>
        <v>0</v>
      </c>
      <c r="V106" s="17">
        <f>_xlfn.XLOOKUP($B106,'[3]May-25'!$A:$A,'[3]May-25'!$H:$H,0)</f>
        <v>0</v>
      </c>
      <c r="W106" s="17">
        <f>_xlfn.XLOOKUP($B106,'[3]Jun-25'!$A:$A,'[3]Jun-25'!$H:$H,0)</f>
        <v>0</v>
      </c>
      <c r="X106" s="17">
        <f>_xlfn.XLOOKUP($B106,'[3]Jul-25'!$A:$A,'[3]Jul-25'!$H:$H,0)</f>
        <v>0</v>
      </c>
      <c r="Y106" s="17">
        <f>_xlfn.XLOOKUP($B106,'[3]Aug-25'!$A:$A,'[3]Aug-25'!$H:$H,0)</f>
        <v>0</v>
      </c>
      <c r="Z106" s="17">
        <f>_xlfn.XLOOKUP($B106,'[3]Sep-25'!$A:$A,'[3]Sep-25'!$H:$H,0)</f>
        <v>0</v>
      </c>
      <c r="AA106" s="17">
        <f>_xlfn.XLOOKUP($B106,'[3]Oct-25'!$A:$A,'[3]Oct-25'!$H:$H,0)</f>
        <v>0</v>
      </c>
      <c r="AB106" s="17">
        <f>_xlfn.XLOOKUP($B106,'[3]Nov-25'!$A:$A,'[3]Nov-25'!$H:$H,0)</f>
        <v>0</v>
      </c>
      <c r="AC106" s="17">
        <f>_xlfn.XLOOKUP($B106,'[3]Dec-25'!$A:$A,'[3]Dec-25'!$H:$H,0)</f>
        <v>0</v>
      </c>
      <c r="AD106" s="17">
        <f>_xlfn.XLOOKUP($B106,'[3]Jan-26'!$A:$A,'[3]Jan-26'!$H:$H,0)</f>
        <v>0</v>
      </c>
      <c r="AE106" s="17">
        <f>_xlfn.XLOOKUP($B106,'[3]Feb-26'!$A:$A,'[3]Feb-26'!$H:$H,0)</f>
        <v>0</v>
      </c>
      <c r="AF106" s="17">
        <f>_xlfn.XLOOKUP($B106,'[3]Mar-26'!$A:$A,'[3]Mar-26'!$H:$H,0)</f>
        <v>0</v>
      </c>
      <c r="AG106" s="17">
        <f>_xlfn.XLOOKUP($B106,'[3]Apr-26'!$A:$A,'[3]Apr-26'!$H:$H,0)</f>
        <v>0</v>
      </c>
    </row>
    <row r="107" spans="1:33" x14ac:dyDescent="0.2">
      <c r="A107" s="58" t="s">
        <v>1051</v>
      </c>
      <c r="B107" s="56" t="str">
        <f t="shared" si="3"/>
        <v>40160</v>
      </c>
      <c r="C107" s="78" t="s">
        <v>471</v>
      </c>
      <c r="D107" s="57" t="s">
        <v>369</v>
      </c>
      <c r="E107" s="44" t="s">
        <v>503</v>
      </c>
      <c r="F107" s="17">
        <f>_xlfn.XLOOKUP($B107,'[3]Jan-24'!$A:$A,'[3]Jan-24'!$H:$H,0)</f>
        <v>0</v>
      </c>
      <c r="G107" s="17">
        <f>_xlfn.XLOOKUP($B107,'[3]Feb-24'!$A:$A,'[3]Feb-24'!$H:$H,0)</f>
        <v>0</v>
      </c>
      <c r="H107" s="17">
        <f>_xlfn.XLOOKUP($B107,'[3]Mar-24'!$A:$A,'[3]Mar-24'!$H:$H,0)</f>
        <v>0</v>
      </c>
      <c r="I107" s="17">
        <f>_xlfn.XLOOKUP($B107,'[3]Apr-24'!$A:$A,'[3]Apr-24'!$H:$H,0)</f>
        <v>0</v>
      </c>
      <c r="J107" s="17">
        <f>_xlfn.XLOOKUP($B107,'[3]May-24'!$A:$A,'[3]May-24'!$H:$H,0)</f>
        <v>0</v>
      </c>
      <c r="K107" s="17">
        <f>_xlfn.XLOOKUP($B107,'[3]Jun-24'!$A:$A,'[3]Jun-24'!$H:$H,0)</f>
        <v>0</v>
      </c>
      <c r="L107" s="17">
        <f>_xlfn.XLOOKUP($B107,'[3]Jul-24'!$A:$A,'[3]Jul-24'!$H:$H,0)</f>
        <v>0</v>
      </c>
      <c r="M107" s="17">
        <f>_xlfn.XLOOKUP($B107,'[3]Aug-24'!$A:$A,'[3]Aug-24'!$H:$H,0)</f>
        <v>0</v>
      </c>
      <c r="N107" s="17">
        <f>_xlfn.XLOOKUP($B107,'[3]Sep-24'!$A:$A,'[3]Sep-24'!$H:$H,0)</f>
        <v>0</v>
      </c>
      <c r="O107" s="17">
        <f>_xlfn.XLOOKUP($B107,'[3]Oct-24'!$A:$A,'[3]Oct-24'!$H:$H,0)</f>
        <v>0</v>
      </c>
      <c r="P107" s="17">
        <f>_xlfn.XLOOKUP($B107,'[3]Nov-24'!$A:$A,'[3]Nov-24'!$H:$H,0)</f>
        <v>0</v>
      </c>
      <c r="Q107" s="17">
        <f>_xlfn.XLOOKUP($B107,'[3]Dec-24'!$A:$A,'[3]Dec-24'!$H:$H,0)</f>
        <v>0</v>
      </c>
      <c r="R107" s="17">
        <f>_xlfn.XLOOKUP($B107,'[3]Jan-25'!$A:$A,'[3]Jan-25'!$H:$H,0)</f>
        <v>0</v>
      </c>
      <c r="S107" s="17">
        <f>_xlfn.XLOOKUP($B107,'[3]Feb-25'!$A:$A,'[3]Feb-25'!$H:$H,0)</f>
        <v>0</v>
      </c>
      <c r="T107" s="17">
        <f>_xlfn.XLOOKUP($B107,'[3]Mar-25'!$A:$A,'[3]Mar-25'!$H:$H,0)</f>
        <v>0</v>
      </c>
      <c r="U107" s="17">
        <f>_xlfn.XLOOKUP($B107,'[3]Apr-25'!$A:$A,'[3]Apr-25'!$H:$H,0)</f>
        <v>0</v>
      </c>
      <c r="V107" s="17">
        <f>_xlfn.XLOOKUP($B107,'[3]May-25'!$A:$A,'[3]May-25'!$H:$H,0)</f>
        <v>0</v>
      </c>
      <c r="W107" s="17">
        <f>_xlfn.XLOOKUP($B107,'[3]Jun-25'!$A:$A,'[3]Jun-25'!$H:$H,0)</f>
        <v>0</v>
      </c>
      <c r="X107" s="17">
        <f>_xlfn.XLOOKUP($B107,'[3]Jul-25'!$A:$A,'[3]Jul-25'!$H:$H,0)</f>
        <v>0</v>
      </c>
      <c r="Y107" s="17">
        <f>_xlfn.XLOOKUP($B107,'[3]Aug-25'!$A:$A,'[3]Aug-25'!$H:$H,0)</f>
        <v>0</v>
      </c>
      <c r="Z107" s="17">
        <f>_xlfn.XLOOKUP($B107,'[3]Sep-25'!$A:$A,'[3]Sep-25'!$H:$H,0)</f>
        <v>0</v>
      </c>
      <c r="AA107" s="17">
        <f>_xlfn.XLOOKUP($B107,'[3]Oct-25'!$A:$A,'[3]Oct-25'!$H:$H,0)</f>
        <v>0</v>
      </c>
      <c r="AB107" s="17">
        <f>_xlfn.XLOOKUP($B107,'[3]Nov-25'!$A:$A,'[3]Nov-25'!$H:$H,0)</f>
        <v>0</v>
      </c>
      <c r="AC107" s="17">
        <f>_xlfn.XLOOKUP($B107,'[3]Dec-25'!$A:$A,'[3]Dec-25'!$H:$H,0)</f>
        <v>0</v>
      </c>
      <c r="AD107" s="17">
        <f>_xlfn.XLOOKUP($B107,'[3]Jan-26'!$A:$A,'[3]Jan-26'!$H:$H,0)</f>
        <v>0</v>
      </c>
      <c r="AE107" s="17">
        <f>_xlfn.XLOOKUP($B107,'[3]Feb-26'!$A:$A,'[3]Feb-26'!$H:$H,0)</f>
        <v>0</v>
      </c>
      <c r="AF107" s="17">
        <f>_xlfn.XLOOKUP($B107,'[3]Mar-26'!$A:$A,'[3]Mar-26'!$H:$H,0)</f>
        <v>0</v>
      </c>
      <c r="AG107" s="17">
        <f>_xlfn.XLOOKUP($B107,'[3]Apr-26'!$A:$A,'[3]Apr-26'!$H:$H,0)</f>
        <v>0</v>
      </c>
    </row>
    <row r="108" spans="1:33" x14ac:dyDescent="0.2">
      <c r="A108" s="58" t="s">
        <v>1052</v>
      </c>
      <c r="B108" s="56" t="str">
        <f t="shared" si="3"/>
        <v>40200</v>
      </c>
      <c r="C108" s="78" t="s">
        <v>505</v>
      </c>
      <c r="D108" s="57" t="s">
        <v>369</v>
      </c>
      <c r="E108" s="44" t="s">
        <v>506</v>
      </c>
      <c r="F108" s="17">
        <f>_xlfn.XLOOKUP($B108,'[3]Jan-24'!$A:$A,'[3]Jan-24'!$H:$H,0)</f>
        <v>0</v>
      </c>
      <c r="G108" s="17">
        <f>_xlfn.XLOOKUP($B108,'[3]Feb-24'!$A:$A,'[3]Feb-24'!$H:$H,0)</f>
        <v>0</v>
      </c>
      <c r="H108" s="17">
        <f>_xlfn.XLOOKUP($B108,'[3]Mar-24'!$A:$A,'[3]Mar-24'!$H:$H,0)</f>
        <v>0</v>
      </c>
      <c r="I108" s="17">
        <f>_xlfn.XLOOKUP($B108,'[3]Apr-24'!$A:$A,'[3]Apr-24'!$H:$H,0)</f>
        <v>0</v>
      </c>
      <c r="J108" s="17">
        <f>_xlfn.XLOOKUP($B108,'[3]May-24'!$A:$A,'[3]May-24'!$H:$H,0)</f>
        <v>0</v>
      </c>
      <c r="K108" s="17">
        <f>_xlfn.XLOOKUP($B108,'[3]Jun-24'!$A:$A,'[3]Jun-24'!$H:$H,0)</f>
        <v>0</v>
      </c>
      <c r="L108" s="17">
        <f>_xlfn.XLOOKUP($B108,'[3]Jul-24'!$A:$A,'[3]Jul-24'!$H:$H,0)</f>
        <v>0</v>
      </c>
      <c r="M108" s="17">
        <f>_xlfn.XLOOKUP($B108,'[3]Aug-24'!$A:$A,'[3]Aug-24'!$H:$H,0)</f>
        <v>0</v>
      </c>
      <c r="N108" s="17">
        <f>_xlfn.XLOOKUP($B108,'[3]Sep-24'!$A:$A,'[3]Sep-24'!$H:$H,0)</f>
        <v>0</v>
      </c>
      <c r="O108" s="17">
        <f>_xlfn.XLOOKUP($B108,'[3]Oct-24'!$A:$A,'[3]Oct-24'!$H:$H,0)</f>
        <v>0</v>
      </c>
      <c r="P108" s="17">
        <f>_xlfn.XLOOKUP($B108,'[3]Nov-24'!$A:$A,'[3]Nov-24'!$H:$H,0)</f>
        <v>0</v>
      </c>
      <c r="Q108" s="17">
        <f>_xlfn.XLOOKUP($B108,'[3]Dec-24'!$A:$A,'[3]Dec-24'!$H:$H,0)</f>
        <v>0</v>
      </c>
      <c r="R108" s="17">
        <f>_xlfn.XLOOKUP($B108,'[3]Jan-25'!$A:$A,'[3]Jan-25'!$H:$H,0)</f>
        <v>0</v>
      </c>
      <c r="S108" s="17">
        <f>_xlfn.XLOOKUP($B108,'[3]Feb-25'!$A:$A,'[3]Feb-25'!$H:$H,0)</f>
        <v>0</v>
      </c>
      <c r="T108" s="17">
        <f>_xlfn.XLOOKUP($B108,'[3]Mar-25'!$A:$A,'[3]Mar-25'!$H:$H,0)</f>
        <v>0</v>
      </c>
      <c r="U108" s="17">
        <f>_xlfn.XLOOKUP($B108,'[3]Apr-25'!$A:$A,'[3]Apr-25'!$H:$H,0)</f>
        <v>0</v>
      </c>
      <c r="V108" s="17">
        <f>_xlfn.XLOOKUP($B108,'[3]May-25'!$A:$A,'[3]May-25'!$H:$H,0)</f>
        <v>0</v>
      </c>
      <c r="W108" s="17">
        <f>_xlfn.XLOOKUP($B108,'[3]Jun-25'!$A:$A,'[3]Jun-25'!$H:$H,0)</f>
        <v>0</v>
      </c>
      <c r="X108" s="17">
        <f>_xlfn.XLOOKUP($B108,'[3]Jul-25'!$A:$A,'[3]Jul-25'!$H:$H,0)</f>
        <v>0</v>
      </c>
      <c r="Y108" s="17">
        <f>_xlfn.XLOOKUP($B108,'[3]Aug-25'!$A:$A,'[3]Aug-25'!$H:$H,0)</f>
        <v>0</v>
      </c>
      <c r="Z108" s="17">
        <f>_xlfn.XLOOKUP($B108,'[3]Sep-25'!$A:$A,'[3]Sep-25'!$H:$H,0)</f>
        <v>0</v>
      </c>
      <c r="AA108" s="17">
        <f>_xlfn.XLOOKUP($B108,'[3]Oct-25'!$A:$A,'[3]Oct-25'!$H:$H,0)</f>
        <v>0</v>
      </c>
      <c r="AB108" s="17">
        <f>_xlfn.XLOOKUP($B108,'[3]Nov-25'!$A:$A,'[3]Nov-25'!$H:$H,0)</f>
        <v>0</v>
      </c>
      <c r="AC108" s="17">
        <f>_xlfn.XLOOKUP($B108,'[3]Dec-25'!$A:$A,'[3]Dec-25'!$H:$H,0)</f>
        <v>0</v>
      </c>
      <c r="AD108" s="17">
        <f>_xlfn.XLOOKUP($B108,'[3]Jan-26'!$A:$A,'[3]Jan-26'!$H:$H,0)</f>
        <v>0</v>
      </c>
      <c r="AE108" s="17">
        <f>_xlfn.XLOOKUP($B108,'[3]Feb-26'!$A:$A,'[3]Feb-26'!$H:$H,0)</f>
        <v>0</v>
      </c>
      <c r="AF108" s="17">
        <f>_xlfn.XLOOKUP($B108,'[3]Mar-26'!$A:$A,'[3]Mar-26'!$H:$H,0)</f>
        <v>0</v>
      </c>
      <c r="AG108" s="17">
        <f>_xlfn.XLOOKUP($B108,'[3]Apr-26'!$A:$A,'[3]Apr-26'!$H:$H,0)</f>
        <v>0</v>
      </c>
    </row>
    <row r="109" spans="1:33" x14ac:dyDescent="0.2">
      <c r="A109" s="58" t="s">
        <v>1053</v>
      </c>
      <c r="B109" s="56" t="str">
        <f t="shared" si="3"/>
        <v>40205</v>
      </c>
      <c r="C109" s="78" t="s">
        <v>471</v>
      </c>
      <c r="D109" s="57" t="s">
        <v>369</v>
      </c>
      <c r="E109" s="44" t="s">
        <v>507</v>
      </c>
      <c r="F109" s="17">
        <f>_xlfn.XLOOKUP($B109,'[3]Jan-24'!$A:$A,'[3]Jan-24'!$H:$H,0)</f>
        <v>0</v>
      </c>
      <c r="G109" s="17">
        <f>_xlfn.XLOOKUP($B109,'[3]Feb-24'!$A:$A,'[3]Feb-24'!$H:$H,0)</f>
        <v>0</v>
      </c>
      <c r="H109" s="17">
        <f>_xlfn.XLOOKUP($B109,'[3]Mar-24'!$A:$A,'[3]Mar-24'!$H:$H,0)</f>
        <v>0</v>
      </c>
      <c r="I109" s="17">
        <f>_xlfn.XLOOKUP($B109,'[3]Apr-24'!$A:$A,'[3]Apr-24'!$H:$H,0)</f>
        <v>0</v>
      </c>
      <c r="J109" s="17">
        <f>_xlfn.XLOOKUP($B109,'[3]May-24'!$A:$A,'[3]May-24'!$H:$H,0)</f>
        <v>0</v>
      </c>
      <c r="K109" s="17">
        <f>_xlfn.XLOOKUP($B109,'[3]Jun-24'!$A:$A,'[3]Jun-24'!$H:$H,0)</f>
        <v>0</v>
      </c>
      <c r="L109" s="17">
        <f>_xlfn.XLOOKUP($B109,'[3]Jul-24'!$A:$A,'[3]Jul-24'!$H:$H,0)</f>
        <v>0</v>
      </c>
      <c r="M109" s="17">
        <f>_xlfn.XLOOKUP($B109,'[3]Aug-24'!$A:$A,'[3]Aug-24'!$H:$H,0)</f>
        <v>0</v>
      </c>
      <c r="N109" s="17">
        <f>_xlfn.XLOOKUP($B109,'[3]Sep-24'!$A:$A,'[3]Sep-24'!$H:$H,0)</f>
        <v>0</v>
      </c>
      <c r="O109" s="17">
        <f>_xlfn.XLOOKUP($B109,'[3]Oct-24'!$A:$A,'[3]Oct-24'!$H:$H,0)</f>
        <v>0</v>
      </c>
      <c r="P109" s="17">
        <f>_xlfn.XLOOKUP($B109,'[3]Nov-24'!$A:$A,'[3]Nov-24'!$H:$H,0)</f>
        <v>0</v>
      </c>
      <c r="Q109" s="17">
        <f>_xlfn.XLOOKUP($B109,'[3]Dec-24'!$A:$A,'[3]Dec-24'!$H:$H,0)</f>
        <v>0</v>
      </c>
      <c r="R109" s="17">
        <f>_xlfn.XLOOKUP($B109,'[3]Jan-25'!$A:$A,'[3]Jan-25'!$H:$H,0)</f>
        <v>0</v>
      </c>
      <c r="S109" s="17">
        <f>_xlfn.XLOOKUP($B109,'[3]Feb-25'!$A:$A,'[3]Feb-25'!$H:$H,0)</f>
        <v>0</v>
      </c>
      <c r="T109" s="17">
        <f>_xlfn.XLOOKUP($B109,'[3]Mar-25'!$A:$A,'[3]Mar-25'!$H:$H,0)</f>
        <v>0</v>
      </c>
      <c r="U109" s="17">
        <f>_xlfn.XLOOKUP($B109,'[3]Apr-25'!$A:$A,'[3]Apr-25'!$H:$H,0)</f>
        <v>0</v>
      </c>
      <c r="V109" s="17">
        <f>_xlfn.XLOOKUP($B109,'[3]May-25'!$A:$A,'[3]May-25'!$H:$H,0)</f>
        <v>0</v>
      </c>
      <c r="W109" s="17">
        <f>_xlfn.XLOOKUP($B109,'[3]Jun-25'!$A:$A,'[3]Jun-25'!$H:$H,0)</f>
        <v>0</v>
      </c>
      <c r="X109" s="17">
        <f>_xlfn.XLOOKUP($B109,'[3]Jul-25'!$A:$A,'[3]Jul-25'!$H:$H,0)</f>
        <v>0</v>
      </c>
      <c r="Y109" s="17">
        <f>_xlfn.XLOOKUP($B109,'[3]Aug-25'!$A:$A,'[3]Aug-25'!$H:$H,0)</f>
        <v>0</v>
      </c>
      <c r="Z109" s="17">
        <f>_xlfn.XLOOKUP($B109,'[3]Sep-25'!$A:$A,'[3]Sep-25'!$H:$H,0)</f>
        <v>0</v>
      </c>
      <c r="AA109" s="17">
        <f>_xlfn.XLOOKUP($B109,'[3]Oct-25'!$A:$A,'[3]Oct-25'!$H:$H,0)</f>
        <v>0</v>
      </c>
      <c r="AB109" s="17">
        <f>_xlfn.XLOOKUP($B109,'[3]Nov-25'!$A:$A,'[3]Nov-25'!$H:$H,0)</f>
        <v>0</v>
      </c>
      <c r="AC109" s="17">
        <f>_xlfn.XLOOKUP($B109,'[3]Dec-25'!$A:$A,'[3]Dec-25'!$H:$H,0)</f>
        <v>0</v>
      </c>
      <c r="AD109" s="17">
        <f>_xlfn.XLOOKUP($B109,'[3]Jan-26'!$A:$A,'[3]Jan-26'!$H:$H,0)</f>
        <v>0</v>
      </c>
      <c r="AE109" s="17">
        <f>_xlfn.XLOOKUP($B109,'[3]Feb-26'!$A:$A,'[3]Feb-26'!$H:$H,0)</f>
        <v>0</v>
      </c>
      <c r="AF109" s="17">
        <f>_xlfn.XLOOKUP($B109,'[3]Mar-26'!$A:$A,'[3]Mar-26'!$H:$H,0)</f>
        <v>0</v>
      </c>
      <c r="AG109" s="17">
        <f>_xlfn.XLOOKUP($B109,'[3]Apr-26'!$A:$A,'[3]Apr-26'!$H:$H,0)</f>
        <v>0</v>
      </c>
    </row>
    <row r="110" spans="1:33" x14ac:dyDescent="0.2">
      <c r="A110" s="58" t="s">
        <v>1054</v>
      </c>
      <c r="B110" s="56" t="str">
        <f t="shared" si="3"/>
        <v>40500</v>
      </c>
      <c r="C110" s="78" t="s">
        <v>486</v>
      </c>
      <c r="D110" s="57" t="s">
        <v>369</v>
      </c>
      <c r="E110" s="44" t="s">
        <v>1055</v>
      </c>
      <c r="F110" s="17">
        <f>_xlfn.XLOOKUP($B110,'[3]Jan-24'!$A:$A,'[3]Jan-24'!$H:$H,0)</f>
        <v>0</v>
      </c>
      <c r="G110" s="17">
        <f>_xlfn.XLOOKUP($B110,'[3]Feb-24'!$A:$A,'[3]Feb-24'!$H:$H,0)</f>
        <v>0</v>
      </c>
      <c r="H110" s="17">
        <f>_xlfn.XLOOKUP($B110,'[3]Mar-24'!$A:$A,'[3]Mar-24'!$H:$H,0)</f>
        <v>0</v>
      </c>
      <c r="I110" s="17">
        <f>_xlfn.XLOOKUP($B110,'[3]Apr-24'!$A:$A,'[3]Apr-24'!$H:$H,0)</f>
        <v>0</v>
      </c>
      <c r="J110" s="17">
        <f>_xlfn.XLOOKUP($B110,'[3]May-24'!$A:$A,'[3]May-24'!$H:$H,0)</f>
        <v>0</v>
      </c>
      <c r="K110" s="17">
        <f>_xlfn.XLOOKUP($B110,'[3]Jun-24'!$A:$A,'[3]Jun-24'!$H:$H,0)</f>
        <v>0</v>
      </c>
      <c r="L110" s="17">
        <f>_xlfn.XLOOKUP($B110,'[3]Jul-24'!$A:$A,'[3]Jul-24'!$H:$H,0)</f>
        <v>0</v>
      </c>
      <c r="M110" s="17">
        <f>_xlfn.XLOOKUP($B110,'[3]Aug-24'!$A:$A,'[3]Aug-24'!$H:$H,0)</f>
        <v>0</v>
      </c>
      <c r="N110" s="17">
        <f>_xlfn.XLOOKUP($B110,'[3]Sep-24'!$A:$A,'[3]Sep-24'!$H:$H,0)</f>
        <v>0</v>
      </c>
      <c r="O110" s="17">
        <f>_xlfn.XLOOKUP($B110,'[3]Oct-24'!$A:$A,'[3]Oct-24'!$H:$H,0)</f>
        <v>0</v>
      </c>
      <c r="P110" s="17">
        <f>_xlfn.XLOOKUP($B110,'[3]Nov-24'!$A:$A,'[3]Nov-24'!$H:$H,0)</f>
        <v>0</v>
      </c>
      <c r="Q110" s="17">
        <f>_xlfn.XLOOKUP($B110,'[3]Dec-24'!$A:$A,'[3]Dec-24'!$H:$H,0)</f>
        <v>0</v>
      </c>
      <c r="R110" s="17">
        <f>_xlfn.XLOOKUP($B110,'[3]Jan-25'!$A:$A,'[3]Jan-25'!$H:$H,0)</f>
        <v>0</v>
      </c>
      <c r="S110" s="17">
        <f>_xlfn.XLOOKUP($B110,'[3]Feb-25'!$A:$A,'[3]Feb-25'!$H:$H,0)</f>
        <v>0</v>
      </c>
      <c r="T110" s="17">
        <f>_xlfn.XLOOKUP($B110,'[3]Mar-25'!$A:$A,'[3]Mar-25'!$H:$H,0)</f>
        <v>0</v>
      </c>
      <c r="U110" s="17">
        <f>_xlfn.XLOOKUP($B110,'[3]Apr-25'!$A:$A,'[3]Apr-25'!$H:$H,0)</f>
        <v>0</v>
      </c>
      <c r="V110" s="17">
        <f>_xlfn.XLOOKUP($B110,'[3]May-25'!$A:$A,'[3]May-25'!$H:$H,0)</f>
        <v>0</v>
      </c>
      <c r="W110" s="17">
        <f>_xlfn.XLOOKUP($B110,'[3]Jun-25'!$A:$A,'[3]Jun-25'!$H:$H,0)</f>
        <v>0</v>
      </c>
      <c r="X110" s="17">
        <f>_xlfn.XLOOKUP($B110,'[3]Jul-25'!$A:$A,'[3]Jul-25'!$H:$H,0)</f>
        <v>0</v>
      </c>
      <c r="Y110" s="17">
        <f>_xlfn.XLOOKUP($B110,'[3]Aug-25'!$A:$A,'[3]Aug-25'!$H:$H,0)</f>
        <v>0</v>
      </c>
      <c r="Z110" s="17">
        <f>_xlfn.XLOOKUP($B110,'[3]Sep-25'!$A:$A,'[3]Sep-25'!$H:$H,0)</f>
        <v>0</v>
      </c>
      <c r="AA110" s="17">
        <f>_xlfn.XLOOKUP($B110,'[3]Oct-25'!$A:$A,'[3]Oct-25'!$H:$H,0)</f>
        <v>0</v>
      </c>
      <c r="AB110" s="17">
        <f>_xlfn.XLOOKUP($B110,'[3]Nov-25'!$A:$A,'[3]Nov-25'!$H:$H,0)</f>
        <v>0</v>
      </c>
      <c r="AC110" s="17">
        <f>_xlfn.XLOOKUP($B110,'[3]Dec-25'!$A:$A,'[3]Dec-25'!$H:$H,0)</f>
        <v>0</v>
      </c>
      <c r="AD110" s="17">
        <f>_xlfn.XLOOKUP($B110,'[3]Jan-26'!$A:$A,'[3]Jan-26'!$H:$H,0)</f>
        <v>0</v>
      </c>
      <c r="AE110" s="17">
        <f>_xlfn.XLOOKUP($B110,'[3]Feb-26'!$A:$A,'[3]Feb-26'!$H:$H,0)</f>
        <v>0</v>
      </c>
      <c r="AF110" s="17">
        <f>_xlfn.XLOOKUP($B110,'[3]Mar-26'!$A:$A,'[3]Mar-26'!$H:$H,0)</f>
        <v>0</v>
      </c>
      <c r="AG110" s="17">
        <f>_xlfn.XLOOKUP($B110,'[3]Apr-26'!$A:$A,'[3]Apr-26'!$H:$H,0)</f>
        <v>0</v>
      </c>
    </row>
    <row r="111" spans="1:33" x14ac:dyDescent="0.2">
      <c r="A111" s="58" t="s">
        <v>1056</v>
      </c>
      <c r="B111" s="56" t="str">
        <f t="shared" si="3"/>
        <v>40903</v>
      </c>
      <c r="C111" s="78" t="s">
        <v>486</v>
      </c>
      <c r="D111" s="57" t="s">
        <v>369</v>
      </c>
      <c r="E111" s="44" t="s">
        <v>508</v>
      </c>
      <c r="F111" s="17">
        <f>_xlfn.XLOOKUP($B111,'[3]Jan-24'!$A:$A,'[3]Jan-24'!$H:$H,0)</f>
        <v>0</v>
      </c>
      <c r="G111" s="17">
        <f>_xlfn.XLOOKUP($B111,'[3]Feb-24'!$A:$A,'[3]Feb-24'!$H:$H,0)</f>
        <v>0</v>
      </c>
      <c r="H111" s="17">
        <f>_xlfn.XLOOKUP($B111,'[3]Mar-24'!$A:$A,'[3]Mar-24'!$H:$H,0)</f>
        <v>0</v>
      </c>
      <c r="I111" s="17">
        <f>_xlfn.XLOOKUP($B111,'[3]Apr-24'!$A:$A,'[3]Apr-24'!$H:$H,0)</f>
        <v>0</v>
      </c>
      <c r="J111" s="17">
        <f>_xlfn.XLOOKUP($B111,'[3]May-24'!$A:$A,'[3]May-24'!$H:$H,0)</f>
        <v>0</v>
      </c>
      <c r="K111" s="17">
        <f>_xlfn.XLOOKUP($B111,'[3]Jun-24'!$A:$A,'[3]Jun-24'!$H:$H,0)</f>
        <v>0</v>
      </c>
      <c r="L111" s="17">
        <f>_xlfn.XLOOKUP($B111,'[3]Jul-24'!$A:$A,'[3]Jul-24'!$H:$H,0)</f>
        <v>0</v>
      </c>
      <c r="M111" s="17">
        <f>_xlfn.XLOOKUP($B111,'[3]Aug-24'!$A:$A,'[3]Aug-24'!$H:$H,0)</f>
        <v>0</v>
      </c>
      <c r="N111" s="17">
        <f>_xlfn.XLOOKUP($B111,'[3]Sep-24'!$A:$A,'[3]Sep-24'!$H:$H,0)</f>
        <v>0</v>
      </c>
      <c r="O111" s="17">
        <f>_xlfn.XLOOKUP($B111,'[3]Oct-24'!$A:$A,'[3]Oct-24'!$H:$H,0)</f>
        <v>0</v>
      </c>
      <c r="P111" s="17">
        <f>_xlfn.XLOOKUP($B111,'[3]Nov-24'!$A:$A,'[3]Nov-24'!$H:$H,0)</f>
        <v>0</v>
      </c>
      <c r="Q111" s="17">
        <f>_xlfn.XLOOKUP($B111,'[3]Dec-24'!$A:$A,'[3]Dec-24'!$H:$H,0)</f>
        <v>0</v>
      </c>
      <c r="R111" s="17">
        <f>_xlfn.XLOOKUP($B111,'[3]Jan-25'!$A:$A,'[3]Jan-25'!$H:$H,0)</f>
        <v>0</v>
      </c>
      <c r="S111" s="17">
        <f>_xlfn.XLOOKUP($B111,'[3]Feb-25'!$A:$A,'[3]Feb-25'!$H:$H,0)</f>
        <v>0</v>
      </c>
      <c r="T111" s="17">
        <f>_xlfn.XLOOKUP($B111,'[3]Mar-25'!$A:$A,'[3]Mar-25'!$H:$H,0)</f>
        <v>0</v>
      </c>
      <c r="U111" s="17">
        <f>_xlfn.XLOOKUP($B111,'[3]Apr-25'!$A:$A,'[3]Apr-25'!$H:$H,0)</f>
        <v>0</v>
      </c>
      <c r="V111" s="17">
        <f>_xlfn.XLOOKUP($B111,'[3]May-25'!$A:$A,'[3]May-25'!$H:$H,0)</f>
        <v>0</v>
      </c>
      <c r="W111" s="17">
        <f>_xlfn.XLOOKUP($B111,'[3]Jun-25'!$A:$A,'[3]Jun-25'!$H:$H,0)</f>
        <v>0</v>
      </c>
      <c r="X111" s="17">
        <f>_xlfn.XLOOKUP($B111,'[3]Jul-25'!$A:$A,'[3]Jul-25'!$H:$H,0)</f>
        <v>0</v>
      </c>
      <c r="Y111" s="17">
        <f>_xlfn.XLOOKUP($B111,'[3]Aug-25'!$A:$A,'[3]Aug-25'!$H:$H,0)</f>
        <v>0</v>
      </c>
      <c r="Z111" s="17">
        <f>_xlfn.XLOOKUP($B111,'[3]Sep-25'!$A:$A,'[3]Sep-25'!$H:$H,0)</f>
        <v>0</v>
      </c>
      <c r="AA111" s="17">
        <f>_xlfn.XLOOKUP($B111,'[3]Oct-25'!$A:$A,'[3]Oct-25'!$H:$H,0)</f>
        <v>0</v>
      </c>
      <c r="AB111" s="17">
        <f>_xlfn.XLOOKUP($B111,'[3]Nov-25'!$A:$A,'[3]Nov-25'!$H:$H,0)</f>
        <v>0</v>
      </c>
      <c r="AC111" s="17">
        <f>_xlfn.XLOOKUP($B111,'[3]Dec-25'!$A:$A,'[3]Dec-25'!$H:$H,0)</f>
        <v>0</v>
      </c>
      <c r="AD111" s="17">
        <f>_xlfn.XLOOKUP($B111,'[3]Jan-26'!$A:$A,'[3]Jan-26'!$H:$H,0)</f>
        <v>0</v>
      </c>
      <c r="AE111" s="17">
        <f>_xlfn.XLOOKUP($B111,'[3]Feb-26'!$A:$A,'[3]Feb-26'!$H:$H,0)</f>
        <v>0</v>
      </c>
      <c r="AF111" s="17">
        <f>_xlfn.XLOOKUP($B111,'[3]Mar-26'!$A:$A,'[3]Mar-26'!$H:$H,0)</f>
        <v>0</v>
      </c>
      <c r="AG111" s="17">
        <f>_xlfn.XLOOKUP($B111,'[3]Apr-26'!$A:$A,'[3]Apr-26'!$H:$H,0)</f>
        <v>0</v>
      </c>
    </row>
    <row r="112" spans="1:33" x14ac:dyDescent="0.2">
      <c r="A112" s="58" t="s">
        <v>1057</v>
      </c>
      <c r="B112" s="56" t="str">
        <f t="shared" si="3"/>
        <v>41000</v>
      </c>
      <c r="C112" s="78" t="s">
        <v>471</v>
      </c>
      <c r="D112" s="57" t="s">
        <v>303</v>
      </c>
      <c r="E112" s="44" t="s">
        <v>510</v>
      </c>
      <c r="F112" s="17">
        <f>_xlfn.XLOOKUP($B112,'[3]Jan-24'!$A:$A,'[3]Jan-24'!$H:$H,0)</f>
        <v>0</v>
      </c>
      <c r="G112" s="17">
        <f>_xlfn.XLOOKUP($B112,'[3]Feb-24'!$A:$A,'[3]Feb-24'!$H:$H,0)</f>
        <v>0</v>
      </c>
      <c r="H112" s="17">
        <f>_xlfn.XLOOKUP($B112,'[3]Mar-24'!$A:$A,'[3]Mar-24'!$H:$H,0)</f>
        <v>0</v>
      </c>
      <c r="I112" s="17">
        <f>_xlfn.XLOOKUP($B112,'[3]Apr-24'!$A:$A,'[3]Apr-24'!$H:$H,0)</f>
        <v>0</v>
      </c>
      <c r="J112" s="17">
        <f>_xlfn.XLOOKUP($B112,'[3]May-24'!$A:$A,'[3]May-24'!$H:$H,0)</f>
        <v>0</v>
      </c>
      <c r="K112" s="17">
        <f>_xlfn.XLOOKUP($B112,'[3]Jun-24'!$A:$A,'[3]Jun-24'!$H:$H,0)</f>
        <v>0</v>
      </c>
      <c r="L112" s="17">
        <f>_xlfn.XLOOKUP($B112,'[3]Jul-24'!$A:$A,'[3]Jul-24'!$H:$H,0)</f>
        <v>0</v>
      </c>
      <c r="M112" s="17">
        <f>_xlfn.XLOOKUP($B112,'[3]Aug-24'!$A:$A,'[3]Aug-24'!$H:$H,0)</f>
        <v>0</v>
      </c>
      <c r="N112" s="17">
        <f>_xlfn.XLOOKUP($B112,'[3]Sep-24'!$A:$A,'[3]Sep-24'!$H:$H,0)</f>
        <v>0</v>
      </c>
      <c r="O112" s="17">
        <f>_xlfn.XLOOKUP($B112,'[3]Oct-24'!$A:$A,'[3]Oct-24'!$H:$H,0)</f>
        <v>0</v>
      </c>
      <c r="P112" s="17">
        <f>_xlfn.XLOOKUP($B112,'[3]Nov-24'!$A:$A,'[3]Nov-24'!$H:$H,0)</f>
        <v>0</v>
      </c>
      <c r="Q112" s="17">
        <f>_xlfn.XLOOKUP($B112,'[3]Dec-24'!$A:$A,'[3]Dec-24'!$H:$H,0)</f>
        <v>0</v>
      </c>
      <c r="R112" s="17">
        <f>_xlfn.XLOOKUP($B112,'[3]Jan-25'!$A:$A,'[3]Jan-25'!$H:$H,0)</f>
        <v>0</v>
      </c>
      <c r="S112" s="17">
        <f>_xlfn.XLOOKUP($B112,'[3]Feb-25'!$A:$A,'[3]Feb-25'!$H:$H,0)</f>
        <v>0</v>
      </c>
      <c r="T112" s="17">
        <f>_xlfn.XLOOKUP($B112,'[3]Mar-25'!$A:$A,'[3]Mar-25'!$H:$H,0)</f>
        <v>0</v>
      </c>
      <c r="U112" s="17">
        <f>_xlfn.XLOOKUP($B112,'[3]Apr-25'!$A:$A,'[3]Apr-25'!$H:$H,0)</f>
        <v>0</v>
      </c>
      <c r="V112" s="17">
        <f>_xlfn.XLOOKUP($B112,'[3]May-25'!$A:$A,'[3]May-25'!$H:$H,0)</f>
        <v>0</v>
      </c>
      <c r="W112" s="17">
        <f>_xlfn.XLOOKUP($B112,'[3]Jun-25'!$A:$A,'[3]Jun-25'!$H:$H,0)</f>
        <v>0</v>
      </c>
      <c r="X112" s="17">
        <f>_xlfn.XLOOKUP($B112,'[3]Jul-25'!$A:$A,'[3]Jul-25'!$H:$H,0)</f>
        <v>0</v>
      </c>
      <c r="Y112" s="17">
        <f>_xlfn.XLOOKUP($B112,'[3]Aug-25'!$A:$A,'[3]Aug-25'!$H:$H,0)</f>
        <v>0</v>
      </c>
      <c r="Z112" s="17">
        <f>_xlfn.XLOOKUP($B112,'[3]Sep-25'!$A:$A,'[3]Sep-25'!$H:$H,0)</f>
        <v>0</v>
      </c>
      <c r="AA112" s="17">
        <f>_xlfn.XLOOKUP($B112,'[3]Oct-25'!$A:$A,'[3]Oct-25'!$H:$H,0)</f>
        <v>0</v>
      </c>
      <c r="AB112" s="17">
        <f>_xlfn.XLOOKUP($B112,'[3]Nov-25'!$A:$A,'[3]Nov-25'!$H:$H,0)</f>
        <v>0</v>
      </c>
      <c r="AC112" s="17">
        <f>_xlfn.XLOOKUP($B112,'[3]Dec-25'!$A:$A,'[3]Dec-25'!$H:$H,0)</f>
        <v>0</v>
      </c>
      <c r="AD112" s="17">
        <f>_xlfn.XLOOKUP($B112,'[3]Jan-26'!$A:$A,'[3]Jan-26'!$H:$H,0)</f>
        <v>0</v>
      </c>
      <c r="AE112" s="17">
        <f>_xlfn.XLOOKUP($B112,'[3]Feb-26'!$A:$A,'[3]Feb-26'!$H:$H,0)</f>
        <v>0</v>
      </c>
      <c r="AF112" s="17">
        <f>_xlfn.XLOOKUP($B112,'[3]Mar-26'!$A:$A,'[3]Mar-26'!$H:$H,0)</f>
        <v>0</v>
      </c>
      <c r="AG112" s="17">
        <f>_xlfn.XLOOKUP($B112,'[3]Apr-26'!$A:$A,'[3]Apr-26'!$H:$H,0)</f>
        <v>0</v>
      </c>
    </row>
    <row r="113" spans="1:33" x14ac:dyDescent="0.2">
      <c r="A113" s="58" t="s">
        <v>1058</v>
      </c>
      <c r="B113" s="56" t="str">
        <f t="shared" si="3"/>
        <v>43000</v>
      </c>
      <c r="C113" s="78" t="s">
        <v>511</v>
      </c>
      <c r="D113" s="57" t="s">
        <v>369</v>
      </c>
      <c r="E113" s="44" t="s">
        <v>512</v>
      </c>
      <c r="F113" s="17">
        <f>_xlfn.XLOOKUP($B113,'[3]Jan-24'!$A:$A,'[3]Jan-24'!$H:$H,0)</f>
        <v>0</v>
      </c>
      <c r="G113" s="17">
        <f>_xlfn.XLOOKUP($B113,'[3]Feb-24'!$A:$A,'[3]Feb-24'!$H:$H,0)</f>
        <v>0</v>
      </c>
      <c r="H113" s="17">
        <f>_xlfn.XLOOKUP($B113,'[3]Mar-24'!$A:$A,'[3]Mar-24'!$H:$H,0)</f>
        <v>0</v>
      </c>
      <c r="I113" s="17">
        <f>_xlfn.XLOOKUP($B113,'[3]Apr-24'!$A:$A,'[3]Apr-24'!$H:$H,0)</f>
        <v>0</v>
      </c>
      <c r="J113" s="17">
        <f>_xlfn.XLOOKUP($B113,'[3]May-24'!$A:$A,'[3]May-24'!$H:$H,0)</f>
        <v>0</v>
      </c>
      <c r="K113" s="17">
        <f>_xlfn.XLOOKUP($B113,'[3]Jun-24'!$A:$A,'[3]Jun-24'!$H:$H,0)</f>
        <v>0</v>
      </c>
      <c r="L113" s="17">
        <f>_xlfn.XLOOKUP($B113,'[3]Jul-24'!$A:$A,'[3]Jul-24'!$H:$H,0)</f>
        <v>0</v>
      </c>
      <c r="M113" s="17">
        <f>_xlfn.XLOOKUP($B113,'[3]Aug-24'!$A:$A,'[3]Aug-24'!$H:$H,0)</f>
        <v>0</v>
      </c>
      <c r="N113" s="17">
        <f>_xlfn.XLOOKUP($B113,'[3]Sep-24'!$A:$A,'[3]Sep-24'!$H:$H,0)</f>
        <v>0</v>
      </c>
      <c r="O113" s="17">
        <f>_xlfn.XLOOKUP($B113,'[3]Oct-24'!$A:$A,'[3]Oct-24'!$H:$H,0)</f>
        <v>0</v>
      </c>
      <c r="P113" s="17">
        <f>_xlfn.XLOOKUP($B113,'[3]Nov-24'!$A:$A,'[3]Nov-24'!$H:$H,0)</f>
        <v>0</v>
      </c>
      <c r="Q113" s="17">
        <f>_xlfn.XLOOKUP($B113,'[3]Dec-24'!$A:$A,'[3]Dec-24'!$H:$H,0)</f>
        <v>0</v>
      </c>
      <c r="R113" s="17">
        <f>_xlfn.XLOOKUP($B113,'[3]Jan-25'!$A:$A,'[3]Jan-25'!$H:$H,0)</f>
        <v>0</v>
      </c>
      <c r="S113" s="17">
        <f>_xlfn.XLOOKUP($B113,'[3]Feb-25'!$A:$A,'[3]Feb-25'!$H:$H,0)</f>
        <v>0</v>
      </c>
      <c r="T113" s="17">
        <f>_xlfn.XLOOKUP($B113,'[3]Mar-25'!$A:$A,'[3]Mar-25'!$H:$H,0)</f>
        <v>0</v>
      </c>
      <c r="U113" s="17">
        <f>_xlfn.XLOOKUP($B113,'[3]Apr-25'!$A:$A,'[3]Apr-25'!$H:$H,0)</f>
        <v>0</v>
      </c>
      <c r="V113" s="17">
        <f>_xlfn.XLOOKUP($B113,'[3]May-25'!$A:$A,'[3]May-25'!$H:$H,0)</f>
        <v>0</v>
      </c>
      <c r="W113" s="17">
        <f>_xlfn.XLOOKUP($B113,'[3]Jun-25'!$A:$A,'[3]Jun-25'!$H:$H,0)</f>
        <v>0</v>
      </c>
      <c r="X113" s="17">
        <f>_xlfn.XLOOKUP($B113,'[3]Jul-25'!$A:$A,'[3]Jul-25'!$H:$H,0)</f>
        <v>0</v>
      </c>
      <c r="Y113" s="17">
        <f>_xlfn.XLOOKUP($B113,'[3]Aug-25'!$A:$A,'[3]Aug-25'!$H:$H,0)</f>
        <v>0</v>
      </c>
      <c r="Z113" s="17">
        <f>_xlfn.XLOOKUP($B113,'[3]Sep-25'!$A:$A,'[3]Sep-25'!$H:$H,0)</f>
        <v>0</v>
      </c>
      <c r="AA113" s="17">
        <f>_xlfn.XLOOKUP($B113,'[3]Oct-25'!$A:$A,'[3]Oct-25'!$H:$H,0)</f>
        <v>0</v>
      </c>
      <c r="AB113" s="17">
        <f>_xlfn.XLOOKUP($B113,'[3]Nov-25'!$A:$A,'[3]Nov-25'!$H:$H,0)</f>
        <v>0</v>
      </c>
      <c r="AC113" s="17">
        <f>_xlfn.XLOOKUP($B113,'[3]Dec-25'!$A:$A,'[3]Dec-25'!$H:$H,0)</f>
        <v>0</v>
      </c>
      <c r="AD113" s="17">
        <f>_xlfn.XLOOKUP($B113,'[3]Jan-26'!$A:$A,'[3]Jan-26'!$H:$H,0)</f>
        <v>0</v>
      </c>
      <c r="AE113" s="17">
        <f>_xlfn.XLOOKUP($B113,'[3]Feb-26'!$A:$A,'[3]Feb-26'!$H:$H,0)</f>
        <v>0</v>
      </c>
      <c r="AF113" s="17">
        <f>_xlfn.XLOOKUP($B113,'[3]Mar-26'!$A:$A,'[3]Mar-26'!$H:$H,0)</f>
        <v>0</v>
      </c>
      <c r="AG113" s="17">
        <f>_xlfn.XLOOKUP($B113,'[3]Apr-26'!$A:$A,'[3]Apr-26'!$H:$H,0)</f>
        <v>0</v>
      </c>
    </row>
    <row r="114" spans="1:33" x14ac:dyDescent="0.2">
      <c r="A114" s="58" t="s">
        <v>1059</v>
      </c>
      <c r="B114" s="56" t="str">
        <f t="shared" si="3"/>
        <v>45400</v>
      </c>
      <c r="C114" s="78" t="s">
        <v>486</v>
      </c>
      <c r="D114" s="57" t="s">
        <v>369</v>
      </c>
      <c r="E114" s="44" t="s">
        <v>513</v>
      </c>
      <c r="F114" s="17">
        <f>_xlfn.XLOOKUP($B114,'[3]Jan-24'!$A:$A,'[3]Jan-24'!$H:$H,0)</f>
        <v>0</v>
      </c>
      <c r="G114" s="17">
        <f>_xlfn.XLOOKUP($B114,'[3]Feb-24'!$A:$A,'[3]Feb-24'!$H:$H,0)</f>
        <v>0</v>
      </c>
      <c r="H114" s="17">
        <f>_xlfn.XLOOKUP($B114,'[3]Mar-24'!$A:$A,'[3]Mar-24'!$H:$H,0)</f>
        <v>0</v>
      </c>
      <c r="I114" s="17">
        <f>_xlfn.XLOOKUP($B114,'[3]Apr-24'!$A:$A,'[3]Apr-24'!$H:$H,0)</f>
        <v>0</v>
      </c>
      <c r="J114" s="17">
        <f>_xlfn.XLOOKUP($B114,'[3]May-24'!$A:$A,'[3]May-24'!$H:$H,0)</f>
        <v>0</v>
      </c>
      <c r="K114" s="17">
        <f>_xlfn.XLOOKUP($B114,'[3]Jun-24'!$A:$A,'[3]Jun-24'!$H:$H,0)</f>
        <v>0</v>
      </c>
      <c r="L114" s="17">
        <f>_xlfn.XLOOKUP($B114,'[3]Jul-24'!$A:$A,'[3]Jul-24'!$H:$H,0)</f>
        <v>0</v>
      </c>
      <c r="M114" s="17">
        <f>_xlfn.XLOOKUP($B114,'[3]Aug-24'!$A:$A,'[3]Aug-24'!$H:$H,0)</f>
        <v>0</v>
      </c>
      <c r="N114" s="17">
        <f>_xlfn.XLOOKUP($B114,'[3]Sep-24'!$A:$A,'[3]Sep-24'!$H:$H,0)</f>
        <v>0</v>
      </c>
      <c r="O114" s="17">
        <f>_xlfn.XLOOKUP($B114,'[3]Oct-24'!$A:$A,'[3]Oct-24'!$H:$H,0)</f>
        <v>0</v>
      </c>
      <c r="P114" s="17">
        <f>_xlfn.XLOOKUP($B114,'[3]Nov-24'!$A:$A,'[3]Nov-24'!$H:$H,0)</f>
        <v>0</v>
      </c>
      <c r="Q114" s="17">
        <f>_xlfn.XLOOKUP($B114,'[3]Dec-24'!$A:$A,'[3]Dec-24'!$H:$H,0)</f>
        <v>0</v>
      </c>
      <c r="R114" s="17">
        <f>_xlfn.XLOOKUP($B114,'[3]Jan-25'!$A:$A,'[3]Jan-25'!$H:$H,0)</f>
        <v>0</v>
      </c>
      <c r="S114" s="17">
        <f>_xlfn.XLOOKUP($B114,'[3]Feb-25'!$A:$A,'[3]Feb-25'!$H:$H,0)</f>
        <v>0</v>
      </c>
      <c r="T114" s="17">
        <f>_xlfn.XLOOKUP($B114,'[3]Mar-25'!$A:$A,'[3]Mar-25'!$H:$H,0)</f>
        <v>0</v>
      </c>
      <c r="U114" s="17">
        <f>_xlfn.XLOOKUP($B114,'[3]Apr-25'!$A:$A,'[3]Apr-25'!$H:$H,0)</f>
        <v>0</v>
      </c>
      <c r="V114" s="17">
        <f>_xlfn.XLOOKUP($B114,'[3]May-25'!$A:$A,'[3]May-25'!$H:$H,0)</f>
        <v>0</v>
      </c>
      <c r="W114" s="17">
        <f>_xlfn.XLOOKUP($B114,'[3]Jun-25'!$A:$A,'[3]Jun-25'!$H:$H,0)</f>
        <v>0</v>
      </c>
      <c r="X114" s="17">
        <f>_xlfn.XLOOKUP($B114,'[3]Jul-25'!$A:$A,'[3]Jul-25'!$H:$H,0)</f>
        <v>0</v>
      </c>
      <c r="Y114" s="17">
        <f>_xlfn.XLOOKUP($B114,'[3]Aug-25'!$A:$A,'[3]Aug-25'!$H:$H,0)</f>
        <v>0</v>
      </c>
      <c r="Z114" s="17">
        <f>_xlfn.XLOOKUP($B114,'[3]Sep-25'!$A:$A,'[3]Sep-25'!$H:$H,0)</f>
        <v>0</v>
      </c>
      <c r="AA114" s="17">
        <f>_xlfn.XLOOKUP($B114,'[3]Oct-25'!$A:$A,'[3]Oct-25'!$H:$H,0)</f>
        <v>0</v>
      </c>
      <c r="AB114" s="17">
        <f>_xlfn.XLOOKUP($B114,'[3]Nov-25'!$A:$A,'[3]Nov-25'!$H:$H,0)</f>
        <v>0</v>
      </c>
      <c r="AC114" s="17">
        <f>_xlfn.XLOOKUP($B114,'[3]Dec-25'!$A:$A,'[3]Dec-25'!$H:$H,0)</f>
        <v>0</v>
      </c>
      <c r="AD114" s="17">
        <f>_xlfn.XLOOKUP($B114,'[3]Jan-26'!$A:$A,'[3]Jan-26'!$H:$H,0)</f>
        <v>0</v>
      </c>
      <c r="AE114" s="17">
        <f>_xlfn.XLOOKUP($B114,'[3]Feb-26'!$A:$A,'[3]Feb-26'!$H:$H,0)</f>
        <v>0</v>
      </c>
      <c r="AF114" s="17">
        <f>_xlfn.XLOOKUP($B114,'[3]Mar-26'!$A:$A,'[3]Mar-26'!$H:$H,0)</f>
        <v>0</v>
      </c>
      <c r="AG114" s="17">
        <f>_xlfn.XLOOKUP($B114,'[3]Apr-26'!$A:$A,'[3]Apr-26'!$H:$H,0)</f>
        <v>0</v>
      </c>
    </row>
    <row r="115" spans="1:33" x14ac:dyDescent="0.2">
      <c r="A115" s="58" t="s">
        <v>1060</v>
      </c>
      <c r="B115" s="56" t="str">
        <f t="shared" si="3"/>
        <v>49000</v>
      </c>
      <c r="C115" s="78" t="s">
        <v>486</v>
      </c>
      <c r="D115" s="57" t="s">
        <v>369</v>
      </c>
      <c r="E115" s="44" t="s">
        <v>514</v>
      </c>
      <c r="F115" s="17">
        <f>_xlfn.XLOOKUP($B115,'[3]Jan-24'!$A:$A,'[3]Jan-24'!$H:$H,0)</f>
        <v>0</v>
      </c>
      <c r="G115" s="17">
        <f>_xlfn.XLOOKUP($B115,'[3]Feb-24'!$A:$A,'[3]Feb-24'!$H:$H,0)</f>
        <v>0</v>
      </c>
      <c r="H115" s="17">
        <f>_xlfn.XLOOKUP($B115,'[3]Mar-24'!$A:$A,'[3]Mar-24'!$H:$H,0)</f>
        <v>0</v>
      </c>
      <c r="I115" s="17">
        <f>_xlfn.XLOOKUP($B115,'[3]Apr-24'!$A:$A,'[3]Apr-24'!$H:$H,0)</f>
        <v>0</v>
      </c>
      <c r="J115" s="17">
        <f>_xlfn.XLOOKUP($B115,'[3]May-24'!$A:$A,'[3]May-24'!$H:$H,0)</f>
        <v>0</v>
      </c>
      <c r="K115" s="17">
        <f>_xlfn.XLOOKUP($B115,'[3]Jun-24'!$A:$A,'[3]Jun-24'!$H:$H,0)</f>
        <v>0</v>
      </c>
      <c r="L115" s="17">
        <f>_xlfn.XLOOKUP($B115,'[3]Jul-24'!$A:$A,'[3]Jul-24'!$H:$H,0)</f>
        <v>0</v>
      </c>
      <c r="M115" s="17">
        <f>_xlfn.XLOOKUP($B115,'[3]Aug-24'!$A:$A,'[3]Aug-24'!$H:$H,0)</f>
        <v>0</v>
      </c>
      <c r="N115" s="17">
        <f>_xlfn.XLOOKUP($B115,'[3]Sep-24'!$A:$A,'[3]Sep-24'!$H:$H,0)</f>
        <v>0</v>
      </c>
      <c r="O115" s="17">
        <f>_xlfn.XLOOKUP($B115,'[3]Oct-24'!$A:$A,'[3]Oct-24'!$H:$H,0)</f>
        <v>0</v>
      </c>
      <c r="P115" s="17">
        <f>_xlfn.XLOOKUP($B115,'[3]Nov-24'!$A:$A,'[3]Nov-24'!$H:$H,0)</f>
        <v>0</v>
      </c>
      <c r="Q115" s="17">
        <f>_xlfn.XLOOKUP($B115,'[3]Dec-24'!$A:$A,'[3]Dec-24'!$H:$H,0)</f>
        <v>0</v>
      </c>
      <c r="R115" s="17">
        <f>_xlfn.XLOOKUP($B115,'[3]Jan-25'!$A:$A,'[3]Jan-25'!$H:$H,0)</f>
        <v>0</v>
      </c>
      <c r="S115" s="17">
        <f>_xlfn.XLOOKUP($B115,'[3]Feb-25'!$A:$A,'[3]Feb-25'!$H:$H,0)</f>
        <v>0</v>
      </c>
      <c r="T115" s="17">
        <f>_xlfn.XLOOKUP($B115,'[3]Mar-25'!$A:$A,'[3]Mar-25'!$H:$H,0)</f>
        <v>0</v>
      </c>
      <c r="U115" s="17">
        <f>_xlfn.XLOOKUP($B115,'[3]Apr-25'!$A:$A,'[3]Apr-25'!$H:$H,0)</f>
        <v>0</v>
      </c>
      <c r="V115" s="17">
        <f>_xlfn.XLOOKUP($B115,'[3]May-25'!$A:$A,'[3]May-25'!$H:$H,0)</f>
        <v>0</v>
      </c>
      <c r="W115" s="17">
        <f>_xlfn.XLOOKUP($B115,'[3]Jun-25'!$A:$A,'[3]Jun-25'!$H:$H,0)</f>
        <v>0</v>
      </c>
      <c r="X115" s="17">
        <f>_xlfn.XLOOKUP($B115,'[3]Jul-25'!$A:$A,'[3]Jul-25'!$H:$H,0)</f>
        <v>0</v>
      </c>
      <c r="Y115" s="17">
        <f>_xlfn.XLOOKUP($B115,'[3]Aug-25'!$A:$A,'[3]Aug-25'!$H:$H,0)</f>
        <v>0</v>
      </c>
      <c r="Z115" s="17">
        <f>_xlfn.XLOOKUP($B115,'[3]Sep-25'!$A:$A,'[3]Sep-25'!$H:$H,0)</f>
        <v>0</v>
      </c>
      <c r="AA115" s="17">
        <f>_xlfn.XLOOKUP($B115,'[3]Oct-25'!$A:$A,'[3]Oct-25'!$H:$H,0)</f>
        <v>0</v>
      </c>
      <c r="AB115" s="17">
        <f>_xlfn.XLOOKUP($B115,'[3]Nov-25'!$A:$A,'[3]Nov-25'!$H:$H,0)</f>
        <v>0</v>
      </c>
      <c r="AC115" s="17">
        <f>_xlfn.XLOOKUP($B115,'[3]Dec-25'!$A:$A,'[3]Dec-25'!$H:$H,0)</f>
        <v>0</v>
      </c>
      <c r="AD115" s="17">
        <f>_xlfn.XLOOKUP($B115,'[3]Jan-26'!$A:$A,'[3]Jan-26'!$H:$H,0)</f>
        <v>0</v>
      </c>
      <c r="AE115" s="17">
        <f>_xlfn.XLOOKUP($B115,'[3]Feb-26'!$A:$A,'[3]Feb-26'!$H:$H,0)</f>
        <v>0</v>
      </c>
      <c r="AF115" s="17">
        <f>_xlfn.XLOOKUP($B115,'[3]Mar-26'!$A:$A,'[3]Mar-26'!$H:$H,0)</f>
        <v>0</v>
      </c>
      <c r="AG115" s="17">
        <f>_xlfn.XLOOKUP($B115,'[3]Apr-26'!$A:$A,'[3]Apr-26'!$H:$H,0)</f>
        <v>0</v>
      </c>
    </row>
    <row r="116" spans="1:33" x14ac:dyDescent="0.2">
      <c r="A116" s="58" t="s">
        <v>890</v>
      </c>
      <c r="B116" s="56" t="str">
        <f t="shared" si="3"/>
        <v>49300</v>
      </c>
      <c r="C116" s="78" t="s">
        <v>505</v>
      </c>
      <c r="D116" s="57" t="s">
        <v>369</v>
      </c>
      <c r="E116" s="44" t="s">
        <v>122</v>
      </c>
      <c r="F116" s="17">
        <f>_xlfn.XLOOKUP($B116,'[3]Jan-24'!$A:$A,'[3]Jan-24'!$H:$H,0)</f>
        <v>0</v>
      </c>
      <c r="G116" s="17">
        <f>_xlfn.XLOOKUP($B116,'[3]Feb-24'!$A:$A,'[3]Feb-24'!$H:$H,0)</f>
        <v>0</v>
      </c>
      <c r="H116" s="17">
        <f>_xlfn.XLOOKUP($B116,'[3]Mar-24'!$A:$A,'[3]Mar-24'!$H:$H,0)</f>
        <v>0</v>
      </c>
      <c r="I116" s="17">
        <f>_xlfn.XLOOKUP($B116,'[3]Apr-24'!$A:$A,'[3]Apr-24'!$H:$H,0)</f>
        <v>0</v>
      </c>
      <c r="J116" s="17">
        <f>_xlfn.XLOOKUP($B116,'[3]May-24'!$A:$A,'[3]May-24'!$H:$H,0)</f>
        <v>0</v>
      </c>
      <c r="K116" s="17">
        <f>_xlfn.XLOOKUP($B116,'[3]Jun-24'!$A:$A,'[3]Jun-24'!$H:$H,0)</f>
        <v>0</v>
      </c>
      <c r="L116" s="17">
        <f>_xlfn.XLOOKUP($B116,'[3]Jul-24'!$A:$A,'[3]Jul-24'!$H:$H,0)</f>
        <v>0</v>
      </c>
      <c r="M116" s="17">
        <f>_xlfn.XLOOKUP($B116,'[3]Aug-24'!$A:$A,'[3]Aug-24'!$H:$H,0)</f>
        <v>0</v>
      </c>
      <c r="N116" s="17">
        <f>_xlfn.XLOOKUP($B116,'[3]Sep-24'!$A:$A,'[3]Sep-24'!$H:$H,0)</f>
        <v>0</v>
      </c>
      <c r="O116" s="17">
        <f>_xlfn.XLOOKUP($B116,'[3]Oct-24'!$A:$A,'[3]Oct-24'!$H:$H,0)</f>
        <v>0</v>
      </c>
      <c r="P116" s="17">
        <f>_xlfn.XLOOKUP($B116,'[3]Nov-24'!$A:$A,'[3]Nov-24'!$H:$H,0)</f>
        <v>0</v>
      </c>
      <c r="Q116" s="17">
        <f>_xlfn.XLOOKUP($B116,'[3]Dec-24'!$A:$A,'[3]Dec-24'!$H:$H,0)</f>
        <v>0</v>
      </c>
      <c r="R116" s="17">
        <f>_xlfn.XLOOKUP($B116,'[3]Jan-25'!$A:$A,'[3]Jan-25'!$H:$H,0)</f>
        <v>0</v>
      </c>
      <c r="S116" s="17">
        <f>_xlfn.XLOOKUP($B116,'[3]Feb-25'!$A:$A,'[3]Feb-25'!$H:$H,0)</f>
        <v>0</v>
      </c>
      <c r="T116" s="17">
        <f>_xlfn.XLOOKUP($B116,'[3]Mar-25'!$A:$A,'[3]Mar-25'!$H:$H,0)</f>
        <v>0</v>
      </c>
      <c r="U116" s="17">
        <f>_xlfn.XLOOKUP($B116,'[3]Apr-25'!$A:$A,'[3]Apr-25'!$H:$H,0)</f>
        <v>0</v>
      </c>
      <c r="V116" s="17">
        <f>_xlfn.XLOOKUP($B116,'[3]May-25'!$A:$A,'[3]May-25'!$H:$H,0)</f>
        <v>0</v>
      </c>
      <c r="W116" s="17">
        <f>_xlfn.XLOOKUP($B116,'[3]Jun-25'!$A:$A,'[3]Jun-25'!$H:$H,0)</f>
        <v>0</v>
      </c>
      <c r="X116" s="17">
        <f>_xlfn.XLOOKUP($B116,'[3]Jul-25'!$A:$A,'[3]Jul-25'!$H:$H,0)</f>
        <v>0</v>
      </c>
      <c r="Y116" s="17">
        <f>_xlfn.XLOOKUP($B116,'[3]Aug-25'!$A:$A,'[3]Aug-25'!$H:$H,0)</f>
        <v>0</v>
      </c>
      <c r="Z116" s="17">
        <f>_xlfn.XLOOKUP($B116,'[3]Sep-25'!$A:$A,'[3]Sep-25'!$H:$H,0)</f>
        <v>0</v>
      </c>
      <c r="AA116" s="17">
        <f>_xlfn.XLOOKUP($B116,'[3]Oct-25'!$A:$A,'[3]Oct-25'!$H:$H,0)</f>
        <v>0</v>
      </c>
      <c r="AB116" s="17">
        <f>_xlfn.XLOOKUP($B116,'[3]Nov-25'!$A:$A,'[3]Nov-25'!$H:$H,0)</f>
        <v>0</v>
      </c>
      <c r="AC116" s="17">
        <f>_xlfn.XLOOKUP($B116,'[3]Dec-25'!$A:$A,'[3]Dec-25'!$H:$H,0)</f>
        <v>0</v>
      </c>
      <c r="AD116" s="17">
        <f>_xlfn.XLOOKUP($B116,'[3]Jan-26'!$A:$A,'[3]Jan-26'!$H:$H,0)</f>
        <v>0</v>
      </c>
      <c r="AE116" s="17">
        <f>_xlfn.XLOOKUP($B116,'[3]Feb-26'!$A:$A,'[3]Feb-26'!$H:$H,0)</f>
        <v>0</v>
      </c>
      <c r="AF116" s="17">
        <f>_xlfn.XLOOKUP($B116,'[3]Mar-26'!$A:$A,'[3]Mar-26'!$H:$H,0)</f>
        <v>0</v>
      </c>
      <c r="AG116" s="17">
        <f>_xlfn.XLOOKUP($B116,'[3]Apr-26'!$A:$A,'[3]Apr-26'!$H:$H,0)</f>
        <v>0</v>
      </c>
    </row>
    <row r="117" spans="1:33" x14ac:dyDescent="0.2">
      <c r="A117" s="58" t="s">
        <v>1061</v>
      </c>
      <c r="B117" s="56" t="str">
        <f t="shared" si="3"/>
        <v>49305</v>
      </c>
      <c r="C117" s="78" t="s">
        <v>486</v>
      </c>
      <c r="D117" s="57" t="s">
        <v>369</v>
      </c>
      <c r="E117" s="44" t="s">
        <v>516</v>
      </c>
      <c r="F117" s="17">
        <f>_xlfn.XLOOKUP($B117,'[3]Jan-24'!$A:$A,'[3]Jan-24'!$H:$H,0)</f>
        <v>0</v>
      </c>
      <c r="G117" s="17">
        <f>_xlfn.XLOOKUP($B117,'[3]Feb-24'!$A:$A,'[3]Feb-24'!$H:$H,0)</f>
        <v>0</v>
      </c>
      <c r="H117" s="17">
        <f>_xlfn.XLOOKUP($B117,'[3]Mar-24'!$A:$A,'[3]Mar-24'!$H:$H,0)</f>
        <v>0</v>
      </c>
      <c r="I117" s="17">
        <f>_xlfn.XLOOKUP($B117,'[3]Apr-24'!$A:$A,'[3]Apr-24'!$H:$H,0)</f>
        <v>0</v>
      </c>
      <c r="J117" s="17">
        <f>_xlfn.XLOOKUP($B117,'[3]May-24'!$A:$A,'[3]May-24'!$H:$H,0)</f>
        <v>0</v>
      </c>
      <c r="K117" s="17">
        <f>_xlfn.XLOOKUP($B117,'[3]Jun-24'!$A:$A,'[3]Jun-24'!$H:$H,0)</f>
        <v>0</v>
      </c>
      <c r="L117" s="17">
        <f>_xlfn.XLOOKUP($B117,'[3]Jul-24'!$A:$A,'[3]Jul-24'!$H:$H,0)</f>
        <v>0</v>
      </c>
      <c r="M117" s="17">
        <f>_xlfn.XLOOKUP($B117,'[3]Aug-24'!$A:$A,'[3]Aug-24'!$H:$H,0)</f>
        <v>0</v>
      </c>
      <c r="N117" s="17">
        <f>_xlfn.XLOOKUP($B117,'[3]Sep-24'!$A:$A,'[3]Sep-24'!$H:$H,0)</f>
        <v>0</v>
      </c>
      <c r="O117" s="17">
        <f>_xlfn.XLOOKUP($B117,'[3]Oct-24'!$A:$A,'[3]Oct-24'!$H:$H,0)</f>
        <v>0</v>
      </c>
      <c r="P117" s="17">
        <f>_xlfn.XLOOKUP($B117,'[3]Nov-24'!$A:$A,'[3]Nov-24'!$H:$H,0)</f>
        <v>0</v>
      </c>
      <c r="Q117" s="17">
        <f>_xlfn.XLOOKUP($B117,'[3]Dec-24'!$A:$A,'[3]Dec-24'!$H:$H,0)</f>
        <v>0</v>
      </c>
      <c r="R117" s="17">
        <f>_xlfn.XLOOKUP($B117,'[3]Jan-25'!$A:$A,'[3]Jan-25'!$H:$H,0)</f>
        <v>0</v>
      </c>
      <c r="S117" s="17">
        <f>_xlfn.XLOOKUP($B117,'[3]Feb-25'!$A:$A,'[3]Feb-25'!$H:$H,0)</f>
        <v>0</v>
      </c>
      <c r="T117" s="17">
        <f>_xlfn.XLOOKUP($B117,'[3]Mar-25'!$A:$A,'[3]Mar-25'!$H:$H,0)</f>
        <v>0</v>
      </c>
      <c r="U117" s="17">
        <f>_xlfn.XLOOKUP($B117,'[3]Apr-25'!$A:$A,'[3]Apr-25'!$H:$H,0)</f>
        <v>0</v>
      </c>
      <c r="V117" s="17">
        <f>_xlfn.XLOOKUP($B117,'[3]May-25'!$A:$A,'[3]May-25'!$H:$H,0)</f>
        <v>0</v>
      </c>
      <c r="W117" s="17">
        <f>_xlfn.XLOOKUP($B117,'[3]Jun-25'!$A:$A,'[3]Jun-25'!$H:$H,0)</f>
        <v>0</v>
      </c>
      <c r="X117" s="17">
        <f>_xlfn.XLOOKUP($B117,'[3]Jul-25'!$A:$A,'[3]Jul-25'!$H:$H,0)</f>
        <v>0</v>
      </c>
      <c r="Y117" s="17">
        <f>_xlfn.XLOOKUP($B117,'[3]Aug-25'!$A:$A,'[3]Aug-25'!$H:$H,0)</f>
        <v>0</v>
      </c>
      <c r="Z117" s="17">
        <f>_xlfn.XLOOKUP($B117,'[3]Sep-25'!$A:$A,'[3]Sep-25'!$H:$H,0)</f>
        <v>0</v>
      </c>
      <c r="AA117" s="17">
        <f>_xlfn.XLOOKUP($B117,'[3]Oct-25'!$A:$A,'[3]Oct-25'!$H:$H,0)</f>
        <v>0</v>
      </c>
      <c r="AB117" s="17">
        <f>_xlfn.XLOOKUP($B117,'[3]Nov-25'!$A:$A,'[3]Nov-25'!$H:$H,0)</f>
        <v>0</v>
      </c>
      <c r="AC117" s="17">
        <f>_xlfn.XLOOKUP($B117,'[3]Dec-25'!$A:$A,'[3]Dec-25'!$H:$H,0)</f>
        <v>0</v>
      </c>
      <c r="AD117" s="17">
        <f>_xlfn.XLOOKUP($B117,'[3]Jan-26'!$A:$A,'[3]Jan-26'!$H:$H,0)</f>
        <v>0</v>
      </c>
      <c r="AE117" s="17">
        <f>_xlfn.XLOOKUP($B117,'[3]Feb-26'!$A:$A,'[3]Feb-26'!$H:$H,0)</f>
        <v>0</v>
      </c>
      <c r="AF117" s="17">
        <f>_xlfn.XLOOKUP($B117,'[3]Mar-26'!$A:$A,'[3]Mar-26'!$H:$H,0)</f>
        <v>0</v>
      </c>
      <c r="AG117" s="17">
        <f>_xlfn.XLOOKUP($B117,'[3]Apr-26'!$A:$A,'[3]Apr-26'!$H:$H,0)</f>
        <v>0</v>
      </c>
    </row>
    <row r="118" spans="1:33" x14ac:dyDescent="0.2">
      <c r="A118" s="58" t="s">
        <v>1062</v>
      </c>
      <c r="B118" s="56" t="str">
        <f t="shared" si="3"/>
        <v>49400</v>
      </c>
      <c r="C118" s="78" t="s">
        <v>486</v>
      </c>
      <c r="D118" s="57" t="s">
        <v>369</v>
      </c>
      <c r="E118" s="44" t="s">
        <v>9</v>
      </c>
      <c r="F118" s="17">
        <f>_xlfn.XLOOKUP($B118,'[3]Jan-24'!$A:$A,'[3]Jan-24'!$H:$H,0)</f>
        <v>0</v>
      </c>
      <c r="G118" s="17">
        <f>_xlfn.XLOOKUP($B118,'[3]Feb-24'!$A:$A,'[3]Feb-24'!$H:$H,0)</f>
        <v>0</v>
      </c>
      <c r="H118" s="17">
        <f>_xlfn.XLOOKUP($B118,'[3]Mar-24'!$A:$A,'[3]Mar-24'!$H:$H,0)</f>
        <v>0</v>
      </c>
      <c r="I118" s="17">
        <f>_xlfn.XLOOKUP($B118,'[3]Apr-24'!$A:$A,'[3]Apr-24'!$H:$H,0)</f>
        <v>0</v>
      </c>
      <c r="J118" s="17">
        <f>_xlfn.XLOOKUP($B118,'[3]May-24'!$A:$A,'[3]May-24'!$H:$H,0)</f>
        <v>0</v>
      </c>
      <c r="K118" s="17">
        <f>_xlfn.XLOOKUP($B118,'[3]Jun-24'!$A:$A,'[3]Jun-24'!$H:$H,0)</f>
        <v>0</v>
      </c>
      <c r="L118" s="17">
        <f>_xlfn.XLOOKUP($B118,'[3]Jul-24'!$A:$A,'[3]Jul-24'!$H:$H,0)</f>
        <v>0</v>
      </c>
      <c r="M118" s="17">
        <f>_xlfn.XLOOKUP($B118,'[3]Aug-24'!$A:$A,'[3]Aug-24'!$H:$H,0)</f>
        <v>0</v>
      </c>
      <c r="N118" s="17">
        <f>_xlfn.XLOOKUP($B118,'[3]Sep-24'!$A:$A,'[3]Sep-24'!$H:$H,0)</f>
        <v>0</v>
      </c>
      <c r="O118" s="17">
        <f>_xlfn.XLOOKUP($B118,'[3]Oct-24'!$A:$A,'[3]Oct-24'!$H:$H,0)</f>
        <v>0</v>
      </c>
      <c r="P118" s="17">
        <f>_xlfn.XLOOKUP($B118,'[3]Nov-24'!$A:$A,'[3]Nov-24'!$H:$H,0)</f>
        <v>0</v>
      </c>
      <c r="Q118" s="17">
        <f>_xlfn.XLOOKUP($B118,'[3]Dec-24'!$A:$A,'[3]Dec-24'!$H:$H,0)</f>
        <v>0</v>
      </c>
      <c r="R118" s="17">
        <f>_xlfn.XLOOKUP($B118,'[3]Jan-25'!$A:$A,'[3]Jan-25'!$H:$H,0)</f>
        <v>0</v>
      </c>
      <c r="S118" s="17">
        <f>_xlfn.XLOOKUP($B118,'[3]Feb-25'!$A:$A,'[3]Feb-25'!$H:$H,0)</f>
        <v>0</v>
      </c>
      <c r="T118" s="17">
        <f>_xlfn.XLOOKUP($B118,'[3]Mar-25'!$A:$A,'[3]Mar-25'!$H:$H,0)</f>
        <v>0</v>
      </c>
      <c r="U118" s="17">
        <f>_xlfn.XLOOKUP($B118,'[3]Apr-25'!$A:$A,'[3]Apr-25'!$H:$H,0)</f>
        <v>0</v>
      </c>
      <c r="V118" s="17">
        <f>_xlfn.XLOOKUP($B118,'[3]May-25'!$A:$A,'[3]May-25'!$H:$H,0)</f>
        <v>0</v>
      </c>
      <c r="W118" s="17">
        <f>_xlfn.XLOOKUP($B118,'[3]Jun-25'!$A:$A,'[3]Jun-25'!$H:$H,0)</f>
        <v>0</v>
      </c>
      <c r="X118" s="17">
        <f>_xlfn.XLOOKUP($B118,'[3]Jul-25'!$A:$A,'[3]Jul-25'!$H:$H,0)</f>
        <v>0</v>
      </c>
      <c r="Y118" s="17">
        <f>_xlfn.XLOOKUP($B118,'[3]Aug-25'!$A:$A,'[3]Aug-25'!$H:$H,0)</f>
        <v>0</v>
      </c>
      <c r="Z118" s="17">
        <f>_xlfn.XLOOKUP($B118,'[3]Sep-25'!$A:$A,'[3]Sep-25'!$H:$H,0)</f>
        <v>0</v>
      </c>
      <c r="AA118" s="17">
        <f>_xlfn.XLOOKUP($B118,'[3]Oct-25'!$A:$A,'[3]Oct-25'!$H:$H,0)</f>
        <v>0</v>
      </c>
      <c r="AB118" s="17">
        <f>_xlfn.XLOOKUP($B118,'[3]Nov-25'!$A:$A,'[3]Nov-25'!$H:$H,0)</f>
        <v>0</v>
      </c>
      <c r="AC118" s="17">
        <f>_xlfn.XLOOKUP($B118,'[3]Dec-25'!$A:$A,'[3]Dec-25'!$H:$H,0)</f>
        <v>-39857.160000000003</v>
      </c>
      <c r="AD118" s="17">
        <f>_xlfn.XLOOKUP($B118,'[3]Jan-26'!$A:$A,'[3]Jan-26'!$H:$H,0)</f>
        <v>0</v>
      </c>
      <c r="AE118" s="17">
        <f>_xlfn.XLOOKUP($B118,'[3]Feb-26'!$A:$A,'[3]Feb-26'!$H:$H,0)</f>
        <v>0</v>
      </c>
      <c r="AF118" s="17">
        <f>_xlfn.XLOOKUP($B118,'[3]Mar-26'!$A:$A,'[3]Mar-26'!$H:$H,0)</f>
        <v>0</v>
      </c>
      <c r="AG118" s="17">
        <f>_xlfn.XLOOKUP($B118,'[3]Apr-26'!$A:$A,'[3]Apr-26'!$H:$H,0)</f>
        <v>0</v>
      </c>
    </row>
    <row r="119" spans="1:33" x14ac:dyDescent="0.2">
      <c r="A119" s="58" t="s">
        <v>891</v>
      </c>
      <c r="B119" s="56" t="str">
        <f t="shared" si="3"/>
        <v>49401</v>
      </c>
      <c r="C119" s="78" t="s">
        <v>486</v>
      </c>
      <c r="D119" s="57" t="s">
        <v>369</v>
      </c>
      <c r="E119" s="44" t="s">
        <v>9</v>
      </c>
      <c r="F119" s="17">
        <f>_xlfn.XLOOKUP($B119,'[3]Jan-24'!$A:$A,'[3]Jan-24'!$H:$H,0)</f>
        <v>0</v>
      </c>
      <c r="G119" s="17">
        <f>_xlfn.XLOOKUP($B119,'[3]Feb-24'!$A:$A,'[3]Feb-24'!$H:$H,0)</f>
        <v>0</v>
      </c>
      <c r="H119" s="17">
        <f>_xlfn.XLOOKUP($B119,'[3]Mar-24'!$A:$A,'[3]Mar-24'!$H:$H,0)</f>
        <v>0</v>
      </c>
      <c r="I119" s="17">
        <f>_xlfn.XLOOKUP($B119,'[3]Apr-24'!$A:$A,'[3]Apr-24'!$H:$H,0)</f>
        <v>0</v>
      </c>
      <c r="J119" s="17">
        <f>_xlfn.XLOOKUP($B119,'[3]May-24'!$A:$A,'[3]May-24'!$H:$H,0)</f>
        <v>0</v>
      </c>
      <c r="K119" s="17">
        <f>_xlfn.XLOOKUP($B119,'[3]Jun-24'!$A:$A,'[3]Jun-24'!$H:$H,0)</f>
        <v>0</v>
      </c>
      <c r="L119" s="17">
        <f>_xlfn.XLOOKUP($B119,'[3]Jul-24'!$A:$A,'[3]Jul-24'!$H:$H,0)</f>
        <v>0</v>
      </c>
      <c r="M119" s="17">
        <f>_xlfn.XLOOKUP($B119,'[3]Aug-24'!$A:$A,'[3]Aug-24'!$H:$H,0)</f>
        <v>0</v>
      </c>
      <c r="N119" s="17">
        <f>_xlfn.XLOOKUP($B119,'[3]Sep-24'!$A:$A,'[3]Sep-24'!$H:$H,0)</f>
        <v>0</v>
      </c>
      <c r="O119" s="17">
        <f>_xlfn.XLOOKUP($B119,'[3]Oct-24'!$A:$A,'[3]Oct-24'!$H:$H,0)</f>
        <v>0</v>
      </c>
      <c r="P119" s="17">
        <f>_xlfn.XLOOKUP($B119,'[3]Nov-24'!$A:$A,'[3]Nov-24'!$H:$H,0)</f>
        <v>0</v>
      </c>
      <c r="Q119" s="17">
        <f>_xlfn.XLOOKUP($B119,'[3]Dec-24'!$A:$A,'[3]Dec-24'!$H:$H,0)</f>
        <v>0</v>
      </c>
      <c r="R119" s="17">
        <f>_xlfn.XLOOKUP($B119,'[3]Jan-25'!$A:$A,'[3]Jan-25'!$H:$H,0)</f>
        <v>0</v>
      </c>
      <c r="S119" s="17">
        <f>_xlfn.XLOOKUP($B119,'[3]Feb-25'!$A:$A,'[3]Feb-25'!$H:$H,0)</f>
        <v>0</v>
      </c>
      <c r="T119" s="17">
        <f>_xlfn.XLOOKUP($B119,'[3]Mar-25'!$A:$A,'[3]Mar-25'!$H:$H,0)</f>
        <v>0</v>
      </c>
      <c r="U119" s="17">
        <f>_xlfn.XLOOKUP($B119,'[3]Apr-25'!$A:$A,'[3]Apr-25'!$H:$H,0)</f>
        <v>0</v>
      </c>
      <c r="V119" s="17">
        <f>_xlfn.XLOOKUP($B119,'[3]May-25'!$A:$A,'[3]May-25'!$H:$H,0)</f>
        <v>0</v>
      </c>
      <c r="W119" s="17">
        <f>_xlfn.XLOOKUP($B119,'[3]Jun-25'!$A:$A,'[3]Jun-25'!$H:$H,0)</f>
        <v>0</v>
      </c>
      <c r="X119" s="17">
        <f>_xlfn.XLOOKUP($B119,'[3]Jul-25'!$A:$A,'[3]Jul-25'!$H:$H,0)</f>
        <v>0</v>
      </c>
      <c r="Y119" s="17">
        <f>_xlfn.XLOOKUP($B119,'[3]Aug-25'!$A:$A,'[3]Aug-25'!$H:$H,0)</f>
        <v>0</v>
      </c>
      <c r="Z119" s="17">
        <f>_xlfn.XLOOKUP($B119,'[3]Sep-25'!$A:$A,'[3]Sep-25'!$H:$H,0)</f>
        <v>0</v>
      </c>
      <c r="AA119" s="17">
        <f>_xlfn.XLOOKUP($B119,'[3]Oct-25'!$A:$A,'[3]Oct-25'!$H:$H,0)</f>
        <v>0</v>
      </c>
      <c r="AB119" s="17">
        <f>_xlfn.XLOOKUP($B119,'[3]Nov-25'!$A:$A,'[3]Nov-25'!$H:$H,0)</f>
        <v>0</v>
      </c>
      <c r="AC119" s="17">
        <f>_xlfn.XLOOKUP($B119,'[3]Dec-25'!$A:$A,'[3]Dec-25'!$H:$H,0)</f>
        <v>0</v>
      </c>
      <c r="AD119" s="17">
        <f>_xlfn.XLOOKUP($B119,'[3]Jan-26'!$A:$A,'[3]Jan-26'!$H:$H,0)</f>
        <v>0</v>
      </c>
      <c r="AE119" s="17">
        <f>_xlfn.XLOOKUP($B119,'[3]Feb-26'!$A:$A,'[3]Feb-26'!$H:$H,0)</f>
        <v>0</v>
      </c>
      <c r="AF119" s="17">
        <f>_xlfn.XLOOKUP($B119,'[3]Mar-26'!$A:$A,'[3]Mar-26'!$H:$H,0)</f>
        <v>0</v>
      </c>
      <c r="AG119" s="17">
        <f>_xlfn.XLOOKUP($B119,'[3]Apr-26'!$A:$A,'[3]Apr-26'!$H:$H,0)</f>
        <v>0</v>
      </c>
    </row>
    <row r="120" spans="1:33" x14ac:dyDescent="0.2">
      <c r="A120" s="58" t="s">
        <v>1063</v>
      </c>
      <c r="B120" s="56" t="str">
        <f t="shared" si="3"/>
        <v>49405</v>
      </c>
      <c r="C120" s="78" t="s">
        <v>471</v>
      </c>
      <c r="D120" s="57" t="s">
        <v>369</v>
      </c>
      <c r="E120" s="44" t="s">
        <v>102</v>
      </c>
      <c r="F120" s="17">
        <f>_xlfn.XLOOKUP($B120,'[3]Jan-24'!$A:$A,'[3]Jan-24'!$H:$H,0)</f>
        <v>0</v>
      </c>
      <c r="G120" s="17">
        <f>_xlfn.XLOOKUP($B120,'[3]Feb-24'!$A:$A,'[3]Feb-24'!$H:$H,0)</f>
        <v>0</v>
      </c>
      <c r="H120" s="17">
        <f>_xlfn.XLOOKUP($B120,'[3]Mar-24'!$A:$A,'[3]Mar-24'!$H:$H,0)</f>
        <v>0</v>
      </c>
      <c r="I120" s="17">
        <f>_xlfn.XLOOKUP($B120,'[3]Apr-24'!$A:$A,'[3]Apr-24'!$H:$H,0)</f>
        <v>0</v>
      </c>
      <c r="J120" s="17">
        <f>_xlfn.XLOOKUP($B120,'[3]May-24'!$A:$A,'[3]May-24'!$H:$H,0)</f>
        <v>0</v>
      </c>
      <c r="K120" s="17">
        <f>_xlfn.XLOOKUP($B120,'[3]Jun-24'!$A:$A,'[3]Jun-24'!$H:$H,0)</f>
        <v>0</v>
      </c>
      <c r="L120" s="17">
        <f>_xlfn.XLOOKUP($B120,'[3]Jul-24'!$A:$A,'[3]Jul-24'!$H:$H,0)</f>
        <v>0</v>
      </c>
      <c r="M120" s="17">
        <f>_xlfn.XLOOKUP($B120,'[3]Aug-24'!$A:$A,'[3]Aug-24'!$H:$H,0)</f>
        <v>0</v>
      </c>
      <c r="N120" s="17">
        <f>_xlfn.XLOOKUP($B120,'[3]Sep-24'!$A:$A,'[3]Sep-24'!$H:$H,0)</f>
        <v>0</v>
      </c>
      <c r="O120" s="17">
        <f>_xlfn.XLOOKUP($B120,'[3]Oct-24'!$A:$A,'[3]Oct-24'!$H:$H,0)</f>
        <v>0</v>
      </c>
      <c r="P120" s="17">
        <f>_xlfn.XLOOKUP($B120,'[3]Nov-24'!$A:$A,'[3]Nov-24'!$H:$H,0)</f>
        <v>0</v>
      </c>
      <c r="Q120" s="17">
        <f>_xlfn.XLOOKUP($B120,'[3]Dec-24'!$A:$A,'[3]Dec-24'!$H:$H,0)</f>
        <v>0</v>
      </c>
      <c r="R120" s="17">
        <f>_xlfn.XLOOKUP($B120,'[3]Jan-25'!$A:$A,'[3]Jan-25'!$H:$H,0)</f>
        <v>0</v>
      </c>
      <c r="S120" s="17">
        <f>_xlfn.XLOOKUP($B120,'[3]Feb-25'!$A:$A,'[3]Feb-25'!$H:$H,0)</f>
        <v>0</v>
      </c>
      <c r="T120" s="17">
        <f>_xlfn.XLOOKUP($B120,'[3]Mar-25'!$A:$A,'[3]Mar-25'!$H:$H,0)</f>
        <v>0</v>
      </c>
      <c r="U120" s="17">
        <f>_xlfn.XLOOKUP($B120,'[3]Apr-25'!$A:$A,'[3]Apr-25'!$H:$H,0)</f>
        <v>0</v>
      </c>
      <c r="V120" s="17">
        <f>_xlfn.XLOOKUP($B120,'[3]May-25'!$A:$A,'[3]May-25'!$H:$H,0)</f>
        <v>0</v>
      </c>
      <c r="W120" s="17">
        <f>_xlfn.XLOOKUP($B120,'[3]Jun-25'!$A:$A,'[3]Jun-25'!$H:$H,0)</f>
        <v>0</v>
      </c>
      <c r="X120" s="17">
        <f>_xlfn.XLOOKUP($B120,'[3]Jul-25'!$A:$A,'[3]Jul-25'!$H:$H,0)</f>
        <v>0</v>
      </c>
      <c r="Y120" s="17">
        <f>_xlfn.XLOOKUP($B120,'[3]Aug-25'!$A:$A,'[3]Aug-25'!$H:$H,0)</f>
        <v>0</v>
      </c>
      <c r="Z120" s="17">
        <f>_xlfn.XLOOKUP($B120,'[3]Sep-25'!$A:$A,'[3]Sep-25'!$H:$H,0)</f>
        <v>0</v>
      </c>
      <c r="AA120" s="17">
        <f>_xlfn.XLOOKUP($B120,'[3]Oct-25'!$A:$A,'[3]Oct-25'!$H:$H,0)</f>
        <v>0</v>
      </c>
      <c r="AB120" s="17">
        <f>_xlfn.XLOOKUP($B120,'[3]Nov-25'!$A:$A,'[3]Nov-25'!$H:$H,0)</f>
        <v>0</v>
      </c>
      <c r="AC120" s="17">
        <f>_xlfn.XLOOKUP($B120,'[3]Dec-25'!$A:$A,'[3]Dec-25'!$H:$H,0)</f>
        <v>0</v>
      </c>
      <c r="AD120" s="17">
        <f>_xlfn.XLOOKUP($B120,'[3]Jan-26'!$A:$A,'[3]Jan-26'!$H:$H,0)</f>
        <v>0</v>
      </c>
      <c r="AE120" s="17">
        <f>_xlfn.XLOOKUP($B120,'[3]Feb-26'!$A:$A,'[3]Feb-26'!$H:$H,0)</f>
        <v>0</v>
      </c>
      <c r="AF120" s="17">
        <f>_xlfn.XLOOKUP($B120,'[3]Mar-26'!$A:$A,'[3]Mar-26'!$H:$H,0)</f>
        <v>0</v>
      </c>
      <c r="AG120" s="17">
        <f>_xlfn.XLOOKUP($B120,'[3]Apr-26'!$A:$A,'[3]Apr-26'!$H:$H,0)</f>
        <v>0</v>
      </c>
    </row>
    <row r="121" spans="1:33" x14ac:dyDescent="0.2">
      <c r="A121" s="58" t="s">
        <v>1064</v>
      </c>
      <c r="B121" s="56" t="str">
        <f t="shared" si="3"/>
        <v>49410</v>
      </c>
      <c r="C121" s="78" t="s">
        <v>486</v>
      </c>
      <c r="D121" s="57" t="s">
        <v>369</v>
      </c>
      <c r="E121" s="44" t="s">
        <v>1065</v>
      </c>
      <c r="F121" s="17">
        <f>_xlfn.XLOOKUP($B121,'[3]Jan-24'!$A:$A,'[3]Jan-24'!$H:$H,0)</f>
        <v>0</v>
      </c>
      <c r="G121" s="17">
        <f>_xlfn.XLOOKUP($B121,'[3]Feb-24'!$A:$A,'[3]Feb-24'!$H:$H,0)</f>
        <v>0</v>
      </c>
      <c r="H121" s="17">
        <f>_xlfn.XLOOKUP($B121,'[3]Mar-24'!$A:$A,'[3]Mar-24'!$H:$H,0)</f>
        <v>0</v>
      </c>
      <c r="I121" s="17">
        <f>_xlfn.XLOOKUP($B121,'[3]Apr-24'!$A:$A,'[3]Apr-24'!$H:$H,0)</f>
        <v>0</v>
      </c>
      <c r="J121" s="17">
        <f>_xlfn.XLOOKUP($B121,'[3]May-24'!$A:$A,'[3]May-24'!$H:$H,0)</f>
        <v>0</v>
      </c>
      <c r="K121" s="17">
        <f>_xlfn.XLOOKUP($B121,'[3]Jun-24'!$A:$A,'[3]Jun-24'!$H:$H,0)</f>
        <v>0</v>
      </c>
      <c r="L121" s="17">
        <f>_xlfn.XLOOKUP($B121,'[3]Jul-24'!$A:$A,'[3]Jul-24'!$H:$H,0)</f>
        <v>0</v>
      </c>
      <c r="M121" s="17">
        <f>_xlfn.XLOOKUP($B121,'[3]Aug-24'!$A:$A,'[3]Aug-24'!$H:$H,0)</f>
        <v>0</v>
      </c>
      <c r="N121" s="17">
        <f>_xlfn.XLOOKUP($B121,'[3]Sep-24'!$A:$A,'[3]Sep-24'!$H:$H,0)</f>
        <v>0</v>
      </c>
      <c r="O121" s="17">
        <f>_xlfn.XLOOKUP($B121,'[3]Oct-24'!$A:$A,'[3]Oct-24'!$H:$H,0)</f>
        <v>0</v>
      </c>
      <c r="P121" s="17">
        <f>_xlfn.XLOOKUP($B121,'[3]Nov-24'!$A:$A,'[3]Nov-24'!$H:$H,0)</f>
        <v>0</v>
      </c>
      <c r="Q121" s="17">
        <f>_xlfn.XLOOKUP($B121,'[3]Dec-24'!$A:$A,'[3]Dec-24'!$H:$H,0)</f>
        <v>0</v>
      </c>
      <c r="R121" s="17">
        <f>_xlfn.XLOOKUP($B121,'[3]Jan-25'!$A:$A,'[3]Jan-25'!$H:$H,0)</f>
        <v>0</v>
      </c>
      <c r="S121" s="17">
        <f>_xlfn.XLOOKUP($B121,'[3]Feb-25'!$A:$A,'[3]Feb-25'!$H:$H,0)</f>
        <v>0</v>
      </c>
      <c r="T121" s="17">
        <f>_xlfn.XLOOKUP($B121,'[3]Mar-25'!$A:$A,'[3]Mar-25'!$H:$H,0)</f>
        <v>0</v>
      </c>
      <c r="U121" s="17">
        <f>_xlfn.XLOOKUP($B121,'[3]Apr-25'!$A:$A,'[3]Apr-25'!$H:$H,0)</f>
        <v>0</v>
      </c>
      <c r="V121" s="17">
        <f>_xlfn.XLOOKUP($B121,'[3]May-25'!$A:$A,'[3]May-25'!$H:$H,0)</f>
        <v>0</v>
      </c>
      <c r="W121" s="17">
        <f>_xlfn.XLOOKUP($B121,'[3]Jun-25'!$A:$A,'[3]Jun-25'!$H:$H,0)</f>
        <v>0</v>
      </c>
      <c r="X121" s="17">
        <f>_xlfn.XLOOKUP($B121,'[3]Jul-25'!$A:$A,'[3]Jul-25'!$H:$H,0)</f>
        <v>0</v>
      </c>
      <c r="Y121" s="17">
        <f>_xlfn.XLOOKUP($B121,'[3]Aug-25'!$A:$A,'[3]Aug-25'!$H:$H,0)</f>
        <v>0</v>
      </c>
      <c r="Z121" s="17">
        <f>_xlfn.XLOOKUP($B121,'[3]Sep-25'!$A:$A,'[3]Sep-25'!$H:$H,0)</f>
        <v>0</v>
      </c>
      <c r="AA121" s="17">
        <f>_xlfn.XLOOKUP($B121,'[3]Oct-25'!$A:$A,'[3]Oct-25'!$H:$H,0)</f>
        <v>0</v>
      </c>
      <c r="AB121" s="17">
        <f>_xlfn.XLOOKUP($B121,'[3]Nov-25'!$A:$A,'[3]Nov-25'!$H:$H,0)</f>
        <v>0</v>
      </c>
      <c r="AC121" s="17">
        <f>_xlfn.XLOOKUP($B121,'[3]Dec-25'!$A:$A,'[3]Dec-25'!$H:$H,0)</f>
        <v>0</v>
      </c>
      <c r="AD121" s="17">
        <f>_xlfn.XLOOKUP($B121,'[3]Jan-26'!$A:$A,'[3]Jan-26'!$H:$H,0)</f>
        <v>0</v>
      </c>
      <c r="AE121" s="17">
        <f>_xlfn.XLOOKUP($B121,'[3]Feb-26'!$A:$A,'[3]Feb-26'!$H:$H,0)</f>
        <v>0</v>
      </c>
      <c r="AF121" s="17">
        <f>_xlfn.XLOOKUP($B121,'[3]Mar-26'!$A:$A,'[3]Mar-26'!$H:$H,0)</f>
        <v>0</v>
      </c>
      <c r="AG121" s="17">
        <f>_xlfn.XLOOKUP($B121,'[3]Apr-26'!$A:$A,'[3]Apr-26'!$H:$H,0)</f>
        <v>0</v>
      </c>
    </row>
    <row r="122" spans="1:33" x14ac:dyDescent="0.2">
      <c r="A122" s="58" t="s">
        <v>887</v>
      </c>
      <c r="B122" s="56" t="str">
        <f t="shared" si="3"/>
        <v>50000</v>
      </c>
      <c r="C122" s="78" t="s">
        <v>517</v>
      </c>
      <c r="D122" s="57" t="s">
        <v>387</v>
      </c>
      <c r="E122" s="44" t="s">
        <v>518</v>
      </c>
      <c r="F122" s="17">
        <f>_xlfn.XLOOKUP($B122,'[3]Jan-24'!$A:$A,'[3]Jan-24'!$H:$H,0)</f>
        <v>0</v>
      </c>
      <c r="G122" s="17">
        <f>_xlfn.XLOOKUP($B122,'[3]Feb-24'!$A:$A,'[3]Feb-24'!$H:$H,0)</f>
        <v>0</v>
      </c>
      <c r="H122" s="17">
        <f>_xlfn.XLOOKUP($B122,'[3]Mar-24'!$A:$A,'[3]Mar-24'!$H:$H,0)</f>
        <v>0</v>
      </c>
      <c r="I122" s="17">
        <f>_xlfn.XLOOKUP($B122,'[3]Apr-24'!$A:$A,'[3]Apr-24'!$H:$H,0)</f>
        <v>0</v>
      </c>
      <c r="J122" s="17">
        <f>_xlfn.XLOOKUP($B122,'[3]May-24'!$A:$A,'[3]May-24'!$H:$H,0)</f>
        <v>0</v>
      </c>
      <c r="K122" s="17">
        <f>_xlfn.XLOOKUP($B122,'[3]Jun-24'!$A:$A,'[3]Jun-24'!$H:$H,0)</f>
        <v>0</v>
      </c>
      <c r="L122" s="17">
        <f>_xlfn.XLOOKUP($B122,'[3]Jul-24'!$A:$A,'[3]Jul-24'!$H:$H,0)</f>
        <v>0</v>
      </c>
      <c r="M122" s="17">
        <f>_xlfn.XLOOKUP($B122,'[3]Aug-24'!$A:$A,'[3]Aug-24'!$H:$H,0)</f>
        <v>0</v>
      </c>
      <c r="N122" s="17">
        <f>_xlfn.XLOOKUP($B122,'[3]Sep-24'!$A:$A,'[3]Sep-24'!$H:$H,0)</f>
        <v>0</v>
      </c>
      <c r="O122" s="17">
        <f>_xlfn.XLOOKUP($B122,'[3]Oct-24'!$A:$A,'[3]Oct-24'!$H:$H,0)</f>
        <v>0</v>
      </c>
      <c r="P122" s="17">
        <f>_xlfn.XLOOKUP($B122,'[3]Nov-24'!$A:$A,'[3]Nov-24'!$H:$H,0)</f>
        <v>0</v>
      </c>
      <c r="Q122" s="17">
        <f>_xlfn.XLOOKUP($B122,'[3]Dec-24'!$A:$A,'[3]Dec-24'!$H:$H,0)</f>
        <v>0</v>
      </c>
      <c r="R122" s="17">
        <f>_xlfn.XLOOKUP($B122,'[3]Jan-25'!$A:$A,'[3]Jan-25'!$H:$H,0)</f>
        <v>0</v>
      </c>
      <c r="S122" s="17">
        <f>_xlfn.XLOOKUP($B122,'[3]Feb-25'!$A:$A,'[3]Feb-25'!$H:$H,0)</f>
        <v>0</v>
      </c>
      <c r="T122" s="17">
        <f>_xlfn.XLOOKUP($B122,'[3]Mar-25'!$A:$A,'[3]Mar-25'!$H:$H,0)</f>
        <v>0</v>
      </c>
      <c r="U122" s="17">
        <f>_xlfn.XLOOKUP($B122,'[3]Apr-25'!$A:$A,'[3]Apr-25'!$H:$H,0)</f>
        <v>0</v>
      </c>
      <c r="V122" s="17">
        <f>_xlfn.XLOOKUP($B122,'[3]May-25'!$A:$A,'[3]May-25'!$H:$H,0)</f>
        <v>0</v>
      </c>
      <c r="W122" s="17">
        <f>_xlfn.XLOOKUP($B122,'[3]Jun-25'!$A:$A,'[3]Jun-25'!$H:$H,0)</f>
        <v>0</v>
      </c>
      <c r="X122" s="17">
        <f>_xlfn.XLOOKUP($B122,'[3]Jul-25'!$A:$A,'[3]Jul-25'!$H:$H,0)</f>
        <v>0</v>
      </c>
      <c r="Y122" s="17">
        <f>_xlfn.XLOOKUP($B122,'[3]Aug-25'!$A:$A,'[3]Aug-25'!$H:$H,0)</f>
        <v>0</v>
      </c>
      <c r="Z122" s="17">
        <f>_xlfn.XLOOKUP($B122,'[3]Sep-25'!$A:$A,'[3]Sep-25'!$H:$H,0)</f>
        <v>0</v>
      </c>
      <c r="AA122" s="17">
        <f>_xlfn.XLOOKUP($B122,'[3]Oct-25'!$A:$A,'[3]Oct-25'!$H:$H,0)</f>
        <v>0</v>
      </c>
      <c r="AB122" s="17">
        <f>_xlfn.XLOOKUP($B122,'[3]Nov-25'!$A:$A,'[3]Nov-25'!$H:$H,0)</f>
        <v>0</v>
      </c>
      <c r="AC122" s="17">
        <f>_xlfn.XLOOKUP($B122,'[3]Dec-25'!$A:$A,'[3]Dec-25'!$H:$H,0)</f>
        <v>0</v>
      </c>
      <c r="AD122" s="17">
        <f>_xlfn.XLOOKUP($B122,'[3]Jan-26'!$A:$A,'[3]Jan-26'!$H:$H,0)</f>
        <v>0</v>
      </c>
      <c r="AE122" s="17">
        <f>_xlfn.XLOOKUP($B122,'[3]Feb-26'!$A:$A,'[3]Feb-26'!$H:$H,0)</f>
        <v>0</v>
      </c>
      <c r="AF122" s="17">
        <f>_xlfn.XLOOKUP($B122,'[3]Mar-26'!$A:$A,'[3]Mar-26'!$H:$H,0)</f>
        <v>0</v>
      </c>
      <c r="AG122" s="17">
        <f>_xlfn.XLOOKUP($B122,'[3]Apr-26'!$A:$A,'[3]Apr-26'!$H:$H,0)</f>
        <v>0</v>
      </c>
    </row>
    <row r="123" spans="1:33" x14ac:dyDescent="0.2">
      <c r="A123" s="58" t="s">
        <v>1066</v>
      </c>
      <c r="B123" s="56" t="str">
        <f t="shared" si="3"/>
        <v>50005</v>
      </c>
      <c r="C123" s="78" t="s">
        <v>517</v>
      </c>
      <c r="D123" s="57" t="s">
        <v>387</v>
      </c>
      <c r="E123" s="44" t="s">
        <v>519</v>
      </c>
      <c r="F123" s="17">
        <f>_xlfn.XLOOKUP($B123,'[3]Jan-24'!$A:$A,'[3]Jan-24'!$H:$H,0)</f>
        <v>0</v>
      </c>
      <c r="G123" s="17">
        <f>_xlfn.XLOOKUP($B123,'[3]Feb-24'!$A:$A,'[3]Feb-24'!$H:$H,0)</f>
        <v>0</v>
      </c>
      <c r="H123" s="17">
        <f>_xlfn.XLOOKUP($B123,'[3]Mar-24'!$A:$A,'[3]Mar-24'!$H:$H,0)</f>
        <v>0</v>
      </c>
      <c r="I123" s="17">
        <f>_xlfn.XLOOKUP($B123,'[3]Apr-24'!$A:$A,'[3]Apr-24'!$H:$H,0)</f>
        <v>0</v>
      </c>
      <c r="J123" s="17">
        <f>_xlfn.XLOOKUP($B123,'[3]May-24'!$A:$A,'[3]May-24'!$H:$H,0)</f>
        <v>0</v>
      </c>
      <c r="K123" s="17">
        <f>_xlfn.XLOOKUP($B123,'[3]Jun-24'!$A:$A,'[3]Jun-24'!$H:$H,0)</f>
        <v>0</v>
      </c>
      <c r="L123" s="17">
        <f>_xlfn.XLOOKUP($B123,'[3]Jul-24'!$A:$A,'[3]Jul-24'!$H:$H,0)</f>
        <v>0</v>
      </c>
      <c r="M123" s="17">
        <f>_xlfn.XLOOKUP($B123,'[3]Aug-24'!$A:$A,'[3]Aug-24'!$H:$H,0)</f>
        <v>0</v>
      </c>
      <c r="N123" s="17">
        <f>_xlfn.XLOOKUP($B123,'[3]Sep-24'!$A:$A,'[3]Sep-24'!$H:$H,0)</f>
        <v>0</v>
      </c>
      <c r="O123" s="17">
        <f>_xlfn.XLOOKUP($B123,'[3]Oct-24'!$A:$A,'[3]Oct-24'!$H:$H,0)</f>
        <v>0</v>
      </c>
      <c r="P123" s="17">
        <f>_xlfn.XLOOKUP($B123,'[3]Nov-24'!$A:$A,'[3]Nov-24'!$H:$H,0)</f>
        <v>0</v>
      </c>
      <c r="Q123" s="17">
        <f>_xlfn.XLOOKUP($B123,'[3]Dec-24'!$A:$A,'[3]Dec-24'!$H:$H,0)</f>
        <v>0</v>
      </c>
      <c r="R123" s="17">
        <f>_xlfn.XLOOKUP($B123,'[3]Jan-25'!$A:$A,'[3]Jan-25'!$H:$H,0)</f>
        <v>0</v>
      </c>
      <c r="S123" s="17">
        <f>_xlfn.XLOOKUP($B123,'[3]Feb-25'!$A:$A,'[3]Feb-25'!$H:$H,0)</f>
        <v>0</v>
      </c>
      <c r="T123" s="17">
        <f>_xlfn.XLOOKUP($B123,'[3]Mar-25'!$A:$A,'[3]Mar-25'!$H:$H,0)</f>
        <v>0</v>
      </c>
      <c r="U123" s="17">
        <f>_xlfn.XLOOKUP($B123,'[3]Apr-25'!$A:$A,'[3]Apr-25'!$H:$H,0)</f>
        <v>0</v>
      </c>
      <c r="V123" s="17">
        <f>_xlfn.XLOOKUP($B123,'[3]May-25'!$A:$A,'[3]May-25'!$H:$H,0)</f>
        <v>0</v>
      </c>
      <c r="W123" s="17">
        <f>_xlfn.XLOOKUP($B123,'[3]Jun-25'!$A:$A,'[3]Jun-25'!$H:$H,0)</f>
        <v>0</v>
      </c>
      <c r="X123" s="17">
        <f>_xlfn.XLOOKUP($B123,'[3]Jul-25'!$A:$A,'[3]Jul-25'!$H:$H,0)</f>
        <v>0</v>
      </c>
      <c r="Y123" s="17">
        <f>_xlfn.XLOOKUP($B123,'[3]Aug-25'!$A:$A,'[3]Aug-25'!$H:$H,0)</f>
        <v>0</v>
      </c>
      <c r="Z123" s="17">
        <f>_xlfn.XLOOKUP($B123,'[3]Sep-25'!$A:$A,'[3]Sep-25'!$H:$H,0)</f>
        <v>0</v>
      </c>
      <c r="AA123" s="17">
        <f>_xlfn.XLOOKUP($B123,'[3]Oct-25'!$A:$A,'[3]Oct-25'!$H:$H,0)</f>
        <v>0</v>
      </c>
      <c r="AB123" s="17">
        <f>_xlfn.XLOOKUP($B123,'[3]Nov-25'!$A:$A,'[3]Nov-25'!$H:$H,0)</f>
        <v>0</v>
      </c>
      <c r="AC123" s="17">
        <f>_xlfn.XLOOKUP($B123,'[3]Dec-25'!$A:$A,'[3]Dec-25'!$H:$H,0)</f>
        <v>0</v>
      </c>
      <c r="AD123" s="17">
        <f>_xlfn.XLOOKUP($B123,'[3]Jan-26'!$A:$A,'[3]Jan-26'!$H:$H,0)</f>
        <v>0</v>
      </c>
      <c r="AE123" s="17">
        <f>_xlfn.XLOOKUP($B123,'[3]Feb-26'!$A:$A,'[3]Feb-26'!$H:$H,0)</f>
        <v>0</v>
      </c>
      <c r="AF123" s="17">
        <f>_xlfn.XLOOKUP($B123,'[3]Mar-26'!$A:$A,'[3]Mar-26'!$H:$H,0)</f>
        <v>0</v>
      </c>
      <c r="AG123" s="17">
        <f>_xlfn.XLOOKUP($B123,'[3]Apr-26'!$A:$A,'[3]Apr-26'!$H:$H,0)</f>
        <v>0</v>
      </c>
    </row>
    <row r="124" spans="1:33" x14ac:dyDescent="0.2">
      <c r="A124" s="58" t="s">
        <v>1067</v>
      </c>
      <c r="B124" s="56" t="str">
        <f t="shared" si="3"/>
        <v>50010</v>
      </c>
      <c r="C124" s="78" t="s">
        <v>517</v>
      </c>
      <c r="D124" s="57" t="s">
        <v>387</v>
      </c>
      <c r="E124" s="44" t="s">
        <v>520</v>
      </c>
      <c r="F124" s="17">
        <f>_xlfn.XLOOKUP($B124,'[3]Jan-24'!$A:$A,'[3]Jan-24'!$H:$H,0)</f>
        <v>0</v>
      </c>
      <c r="G124" s="17">
        <f>_xlfn.XLOOKUP($B124,'[3]Feb-24'!$A:$A,'[3]Feb-24'!$H:$H,0)</f>
        <v>0</v>
      </c>
      <c r="H124" s="17">
        <f>_xlfn.XLOOKUP($B124,'[3]Mar-24'!$A:$A,'[3]Mar-24'!$H:$H,0)</f>
        <v>0</v>
      </c>
      <c r="I124" s="17">
        <f>_xlfn.XLOOKUP($B124,'[3]Apr-24'!$A:$A,'[3]Apr-24'!$H:$H,0)</f>
        <v>0</v>
      </c>
      <c r="J124" s="17">
        <f>_xlfn.XLOOKUP($B124,'[3]May-24'!$A:$A,'[3]May-24'!$H:$H,0)</f>
        <v>0</v>
      </c>
      <c r="K124" s="17">
        <f>_xlfn.XLOOKUP($B124,'[3]Jun-24'!$A:$A,'[3]Jun-24'!$H:$H,0)</f>
        <v>0</v>
      </c>
      <c r="L124" s="17">
        <f>_xlfn.XLOOKUP($B124,'[3]Jul-24'!$A:$A,'[3]Jul-24'!$H:$H,0)</f>
        <v>0</v>
      </c>
      <c r="M124" s="17">
        <f>_xlfn.XLOOKUP($B124,'[3]Aug-24'!$A:$A,'[3]Aug-24'!$H:$H,0)</f>
        <v>0</v>
      </c>
      <c r="N124" s="17">
        <f>_xlfn.XLOOKUP($B124,'[3]Sep-24'!$A:$A,'[3]Sep-24'!$H:$H,0)</f>
        <v>0</v>
      </c>
      <c r="O124" s="17">
        <f>_xlfn.XLOOKUP($B124,'[3]Oct-24'!$A:$A,'[3]Oct-24'!$H:$H,0)</f>
        <v>0</v>
      </c>
      <c r="P124" s="17">
        <f>_xlfn.XLOOKUP($B124,'[3]Nov-24'!$A:$A,'[3]Nov-24'!$H:$H,0)</f>
        <v>0</v>
      </c>
      <c r="Q124" s="17">
        <f>_xlfn.XLOOKUP($B124,'[3]Dec-24'!$A:$A,'[3]Dec-24'!$H:$H,0)</f>
        <v>0</v>
      </c>
      <c r="R124" s="17">
        <f>_xlfn.XLOOKUP($B124,'[3]Jan-25'!$A:$A,'[3]Jan-25'!$H:$H,0)</f>
        <v>0</v>
      </c>
      <c r="S124" s="17">
        <f>_xlfn.XLOOKUP($B124,'[3]Feb-25'!$A:$A,'[3]Feb-25'!$H:$H,0)</f>
        <v>0</v>
      </c>
      <c r="T124" s="17">
        <f>_xlfn.XLOOKUP($B124,'[3]Mar-25'!$A:$A,'[3]Mar-25'!$H:$H,0)</f>
        <v>0</v>
      </c>
      <c r="U124" s="17">
        <f>_xlfn.XLOOKUP($B124,'[3]Apr-25'!$A:$A,'[3]Apr-25'!$H:$H,0)</f>
        <v>0</v>
      </c>
      <c r="V124" s="17">
        <f>_xlfn.XLOOKUP($B124,'[3]May-25'!$A:$A,'[3]May-25'!$H:$H,0)</f>
        <v>0</v>
      </c>
      <c r="W124" s="17">
        <f>_xlfn.XLOOKUP($B124,'[3]Jun-25'!$A:$A,'[3]Jun-25'!$H:$H,0)</f>
        <v>0</v>
      </c>
      <c r="X124" s="17">
        <f>_xlfn.XLOOKUP($B124,'[3]Jul-25'!$A:$A,'[3]Jul-25'!$H:$H,0)</f>
        <v>0</v>
      </c>
      <c r="Y124" s="17">
        <f>_xlfn.XLOOKUP($B124,'[3]Aug-25'!$A:$A,'[3]Aug-25'!$H:$H,0)</f>
        <v>0</v>
      </c>
      <c r="Z124" s="17">
        <f>_xlfn.XLOOKUP($B124,'[3]Sep-25'!$A:$A,'[3]Sep-25'!$H:$H,0)</f>
        <v>0</v>
      </c>
      <c r="AA124" s="17">
        <f>_xlfn.XLOOKUP($B124,'[3]Oct-25'!$A:$A,'[3]Oct-25'!$H:$H,0)</f>
        <v>0</v>
      </c>
      <c r="AB124" s="17">
        <f>_xlfn.XLOOKUP($B124,'[3]Nov-25'!$A:$A,'[3]Nov-25'!$H:$H,0)</f>
        <v>0</v>
      </c>
      <c r="AC124" s="17">
        <f>_xlfn.XLOOKUP($B124,'[3]Dec-25'!$A:$A,'[3]Dec-25'!$H:$H,0)</f>
        <v>0</v>
      </c>
      <c r="AD124" s="17">
        <f>_xlfn.XLOOKUP($B124,'[3]Jan-26'!$A:$A,'[3]Jan-26'!$H:$H,0)</f>
        <v>0</v>
      </c>
      <c r="AE124" s="17">
        <f>_xlfn.XLOOKUP($B124,'[3]Feb-26'!$A:$A,'[3]Feb-26'!$H:$H,0)</f>
        <v>0</v>
      </c>
      <c r="AF124" s="17">
        <f>_xlfn.XLOOKUP($B124,'[3]Mar-26'!$A:$A,'[3]Mar-26'!$H:$H,0)</f>
        <v>0</v>
      </c>
      <c r="AG124" s="17">
        <f>_xlfn.XLOOKUP($B124,'[3]Apr-26'!$A:$A,'[3]Apr-26'!$H:$H,0)</f>
        <v>0</v>
      </c>
    </row>
    <row r="125" spans="1:33" x14ac:dyDescent="0.2">
      <c r="A125" s="58" t="s">
        <v>1068</v>
      </c>
      <c r="B125" s="56" t="str">
        <f t="shared" si="3"/>
        <v>50015</v>
      </c>
      <c r="C125" s="78" t="s">
        <v>517</v>
      </c>
      <c r="D125" s="57" t="s">
        <v>387</v>
      </c>
      <c r="E125" s="44" t="s">
        <v>521</v>
      </c>
      <c r="F125" s="17">
        <f>_xlfn.XLOOKUP($B125,'[3]Jan-24'!$A:$A,'[3]Jan-24'!$H:$H,0)</f>
        <v>0</v>
      </c>
      <c r="G125" s="17">
        <f>_xlfn.XLOOKUP($B125,'[3]Feb-24'!$A:$A,'[3]Feb-24'!$H:$H,0)</f>
        <v>0</v>
      </c>
      <c r="H125" s="17">
        <f>_xlfn.XLOOKUP($B125,'[3]Mar-24'!$A:$A,'[3]Mar-24'!$H:$H,0)</f>
        <v>0</v>
      </c>
      <c r="I125" s="17">
        <f>_xlfn.XLOOKUP($B125,'[3]Apr-24'!$A:$A,'[3]Apr-24'!$H:$H,0)</f>
        <v>0</v>
      </c>
      <c r="J125" s="17">
        <f>_xlfn.XLOOKUP($B125,'[3]May-24'!$A:$A,'[3]May-24'!$H:$H,0)</f>
        <v>0</v>
      </c>
      <c r="K125" s="17">
        <f>_xlfn.XLOOKUP($B125,'[3]Jun-24'!$A:$A,'[3]Jun-24'!$H:$H,0)</f>
        <v>0</v>
      </c>
      <c r="L125" s="17">
        <f>_xlfn.XLOOKUP($B125,'[3]Jul-24'!$A:$A,'[3]Jul-24'!$H:$H,0)</f>
        <v>0</v>
      </c>
      <c r="M125" s="17">
        <f>_xlfn.XLOOKUP($B125,'[3]Aug-24'!$A:$A,'[3]Aug-24'!$H:$H,0)</f>
        <v>0</v>
      </c>
      <c r="N125" s="17">
        <f>_xlfn.XLOOKUP($B125,'[3]Sep-24'!$A:$A,'[3]Sep-24'!$H:$H,0)</f>
        <v>0</v>
      </c>
      <c r="O125" s="17">
        <f>_xlfn.XLOOKUP($B125,'[3]Oct-24'!$A:$A,'[3]Oct-24'!$H:$H,0)</f>
        <v>0</v>
      </c>
      <c r="P125" s="17">
        <f>_xlfn.XLOOKUP($B125,'[3]Nov-24'!$A:$A,'[3]Nov-24'!$H:$H,0)</f>
        <v>0</v>
      </c>
      <c r="Q125" s="17">
        <f>_xlfn.XLOOKUP($B125,'[3]Dec-24'!$A:$A,'[3]Dec-24'!$H:$H,0)</f>
        <v>0</v>
      </c>
      <c r="R125" s="17">
        <f>_xlfn.XLOOKUP($B125,'[3]Jan-25'!$A:$A,'[3]Jan-25'!$H:$H,0)</f>
        <v>0</v>
      </c>
      <c r="S125" s="17">
        <f>_xlfn.XLOOKUP($B125,'[3]Feb-25'!$A:$A,'[3]Feb-25'!$H:$H,0)</f>
        <v>0</v>
      </c>
      <c r="T125" s="17">
        <f>_xlfn.XLOOKUP($B125,'[3]Mar-25'!$A:$A,'[3]Mar-25'!$H:$H,0)</f>
        <v>0</v>
      </c>
      <c r="U125" s="17">
        <f>_xlfn.XLOOKUP($B125,'[3]Apr-25'!$A:$A,'[3]Apr-25'!$H:$H,0)</f>
        <v>0</v>
      </c>
      <c r="V125" s="17">
        <f>_xlfn.XLOOKUP($B125,'[3]May-25'!$A:$A,'[3]May-25'!$H:$H,0)</f>
        <v>0</v>
      </c>
      <c r="W125" s="17">
        <f>_xlfn.XLOOKUP($B125,'[3]Jun-25'!$A:$A,'[3]Jun-25'!$H:$H,0)</f>
        <v>0</v>
      </c>
      <c r="X125" s="17">
        <f>_xlfn.XLOOKUP($B125,'[3]Jul-25'!$A:$A,'[3]Jul-25'!$H:$H,0)</f>
        <v>0</v>
      </c>
      <c r="Y125" s="17">
        <f>_xlfn.XLOOKUP($B125,'[3]Aug-25'!$A:$A,'[3]Aug-25'!$H:$H,0)</f>
        <v>0</v>
      </c>
      <c r="Z125" s="17">
        <f>_xlfn.XLOOKUP($B125,'[3]Sep-25'!$A:$A,'[3]Sep-25'!$H:$H,0)</f>
        <v>0</v>
      </c>
      <c r="AA125" s="17">
        <f>_xlfn.XLOOKUP($B125,'[3]Oct-25'!$A:$A,'[3]Oct-25'!$H:$H,0)</f>
        <v>0</v>
      </c>
      <c r="AB125" s="17">
        <f>_xlfn.XLOOKUP($B125,'[3]Nov-25'!$A:$A,'[3]Nov-25'!$H:$H,0)</f>
        <v>0</v>
      </c>
      <c r="AC125" s="17">
        <f>_xlfn.XLOOKUP($B125,'[3]Dec-25'!$A:$A,'[3]Dec-25'!$H:$H,0)</f>
        <v>0</v>
      </c>
      <c r="AD125" s="17">
        <f>_xlfn.XLOOKUP($B125,'[3]Jan-26'!$A:$A,'[3]Jan-26'!$H:$H,0)</f>
        <v>0</v>
      </c>
      <c r="AE125" s="17">
        <f>_xlfn.XLOOKUP($B125,'[3]Feb-26'!$A:$A,'[3]Feb-26'!$H:$H,0)</f>
        <v>0</v>
      </c>
      <c r="AF125" s="17">
        <f>_xlfn.XLOOKUP($B125,'[3]Mar-26'!$A:$A,'[3]Mar-26'!$H:$H,0)</f>
        <v>0</v>
      </c>
      <c r="AG125" s="17">
        <f>_xlfn.XLOOKUP($B125,'[3]Apr-26'!$A:$A,'[3]Apr-26'!$H:$H,0)</f>
        <v>0</v>
      </c>
    </row>
    <row r="126" spans="1:33" x14ac:dyDescent="0.2">
      <c r="A126" s="58" t="s">
        <v>888</v>
      </c>
      <c r="B126" s="56" t="str">
        <f t="shared" si="3"/>
        <v>51000</v>
      </c>
      <c r="C126" s="78" t="s">
        <v>517</v>
      </c>
      <c r="D126" s="57" t="s">
        <v>387</v>
      </c>
      <c r="E126" s="44" t="s">
        <v>522</v>
      </c>
      <c r="F126" s="17">
        <f>_xlfn.XLOOKUP($B126,'[3]Jan-24'!$A:$A,'[3]Jan-24'!$H:$H,0)</f>
        <v>0</v>
      </c>
      <c r="G126" s="17">
        <f>_xlfn.XLOOKUP($B126,'[3]Feb-24'!$A:$A,'[3]Feb-24'!$H:$H,0)</f>
        <v>0</v>
      </c>
      <c r="H126" s="17">
        <f>_xlfn.XLOOKUP($B126,'[3]Mar-24'!$A:$A,'[3]Mar-24'!$H:$H,0)</f>
        <v>0</v>
      </c>
      <c r="I126" s="17">
        <f>_xlfn.XLOOKUP($B126,'[3]Apr-24'!$A:$A,'[3]Apr-24'!$H:$H,0)</f>
        <v>0</v>
      </c>
      <c r="J126" s="17">
        <f>_xlfn.XLOOKUP($B126,'[3]May-24'!$A:$A,'[3]May-24'!$H:$H,0)</f>
        <v>0</v>
      </c>
      <c r="K126" s="17">
        <f>_xlfn.XLOOKUP($B126,'[3]Jun-24'!$A:$A,'[3]Jun-24'!$H:$H,0)</f>
        <v>0</v>
      </c>
      <c r="L126" s="17">
        <f>_xlfn.XLOOKUP($B126,'[3]Jul-24'!$A:$A,'[3]Jul-24'!$H:$H,0)</f>
        <v>0</v>
      </c>
      <c r="M126" s="17">
        <f>_xlfn.XLOOKUP($B126,'[3]Aug-24'!$A:$A,'[3]Aug-24'!$H:$H,0)</f>
        <v>0</v>
      </c>
      <c r="N126" s="17">
        <f>_xlfn.XLOOKUP($B126,'[3]Sep-24'!$A:$A,'[3]Sep-24'!$H:$H,0)</f>
        <v>0</v>
      </c>
      <c r="O126" s="17">
        <f>_xlfn.XLOOKUP($B126,'[3]Oct-24'!$A:$A,'[3]Oct-24'!$H:$H,0)</f>
        <v>0</v>
      </c>
      <c r="P126" s="17">
        <f>_xlfn.XLOOKUP($B126,'[3]Nov-24'!$A:$A,'[3]Nov-24'!$H:$H,0)</f>
        <v>0</v>
      </c>
      <c r="Q126" s="17">
        <f>_xlfn.XLOOKUP($B126,'[3]Dec-24'!$A:$A,'[3]Dec-24'!$H:$H,0)</f>
        <v>0</v>
      </c>
      <c r="R126" s="17">
        <f>_xlfn.XLOOKUP($B126,'[3]Jan-25'!$A:$A,'[3]Jan-25'!$H:$H,0)</f>
        <v>0</v>
      </c>
      <c r="S126" s="17">
        <f>_xlfn.XLOOKUP($B126,'[3]Feb-25'!$A:$A,'[3]Feb-25'!$H:$H,0)</f>
        <v>0</v>
      </c>
      <c r="T126" s="17">
        <f>_xlfn.XLOOKUP($B126,'[3]Mar-25'!$A:$A,'[3]Mar-25'!$H:$H,0)</f>
        <v>0</v>
      </c>
      <c r="U126" s="17">
        <f>_xlfn.XLOOKUP($B126,'[3]Apr-25'!$A:$A,'[3]Apr-25'!$H:$H,0)</f>
        <v>0</v>
      </c>
      <c r="V126" s="17">
        <f>_xlfn.XLOOKUP($B126,'[3]May-25'!$A:$A,'[3]May-25'!$H:$H,0)</f>
        <v>0</v>
      </c>
      <c r="W126" s="17">
        <f>_xlfn.XLOOKUP($B126,'[3]Jun-25'!$A:$A,'[3]Jun-25'!$H:$H,0)</f>
        <v>0</v>
      </c>
      <c r="X126" s="17">
        <f>_xlfn.XLOOKUP($B126,'[3]Jul-25'!$A:$A,'[3]Jul-25'!$H:$H,0)</f>
        <v>0</v>
      </c>
      <c r="Y126" s="17">
        <f>_xlfn.XLOOKUP($B126,'[3]Aug-25'!$A:$A,'[3]Aug-25'!$H:$H,0)</f>
        <v>0</v>
      </c>
      <c r="Z126" s="17">
        <f>_xlfn.XLOOKUP($B126,'[3]Sep-25'!$A:$A,'[3]Sep-25'!$H:$H,0)</f>
        <v>0</v>
      </c>
      <c r="AA126" s="17">
        <f>_xlfn.XLOOKUP($B126,'[3]Oct-25'!$A:$A,'[3]Oct-25'!$H:$H,0)</f>
        <v>0</v>
      </c>
      <c r="AB126" s="17">
        <f>_xlfn.XLOOKUP($B126,'[3]Nov-25'!$A:$A,'[3]Nov-25'!$H:$H,0)</f>
        <v>0</v>
      </c>
      <c r="AC126" s="17">
        <f>_xlfn.XLOOKUP($B126,'[3]Dec-25'!$A:$A,'[3]Dec-25'!$H:$H,0)</f>
        <v>0</v>
      </c>
      <c r="AD126" s="17">
        <f>_xlfn.XLOOKUP($B126,'[3]Jan-26'!$A:$A,'[3]Jan-26'!$H:$H,0)</f>
        <v>0</v>
      </c>
      <c r="AE126" s="17">
        <f>_xlfn.XLOOKUP($B126,'[3]Feb-26'!$A:$A,'[3]Feb-26'!$H:$H,0)</f>
        <v>0</v>
      </c>
      <c r="AF126" s="17">
        <f>_xlfn.XLOOKUP($B126,'[3]Mar-26'!$A:$A,'[3]Mar-26'!$H:$H,0)</f>
        <v>0</v>
      </c>
      <c r="AG126" s="17">
        <f>_xlfn.XLOOKUP($B126,'[3]Apr-26'!$A:$A,'[3]Apr-26'!$H:$H,0)</f>
        <v>0</v>
      </c>
    </row>
    <row r="127" spans="1:33" x14ac:dyDescent="0.2">
      <c r="A127" s="58" t="s">
        <v>1069</v>
      </c>
      <c r="B127" s="56" t="str">
        <f t="shared" si="3"/>
        <v>51010</v>
      </c>
      <c r="C127" s="78" t="s">
        <v>565</v>
      </c>
      <c r="D127" s="57" t="s">
        <v>387</v>
      </c>
      <c r="E127" s="44" t="s">
        <v>1070</v>
      </c>
      <c r="F127" s="17">
        <f>_xlfn.XLOOKUP($B127,'[3]Jan-24'!$A:$A,'[3]Jan-24'!$H:$H,0)</f>
        <v>0</v>
      </c>
      <c r="G127" s="17">
        <f>_xlfn.XLOOKUP($B127,'[3]Feb-24'!$A:$A,'[3]Feb-24'!$H:$H,0)</f>
        <v>0</v>
      </c>
      <c r="H127" s="17">
        <f>_xlfn.XLOOKUP($B127,'[3]Mar-24'!$A:$A,'[3]Mar-24'!$H:$H,0)</f>
        <v>0</v>
      </c>
      <c r="I127" s="17">
        <f>_xlfn.XLOOKUP($B127,'[3]Apr-24'!$A:$A,'[3]Apr-24'!$H:$H,0)</f>
        <v>0</v>
      </c>
      <c r="J127" s="17">
        <f>_xlfn.XLOOKUP($B127,'[3]May-24'!$A:$A,'[3]May-24'!$H:$H,0)</f>
        <v>0</v>
      </c>
      <c r="K127" s="17">
        <f>_xlfn.XLOOKUP($B127,'[3]Jun-24'!$A:$A,'[3]Jun-24'!$H:$H,0)</f>
        <v>0</v>
      </c>
      <c r="L127" s="17">
        <f>_xlfn.XLOOKUP($B127,'[3]Jul-24'!$A:$A,'[3]Jul-24'!$H:$H,0)</f>
        <v>0</v>
      </c>
      <c r="M127" s="17">
        <f>_xlfn.XLOOKUP($B127,'[3]Aug-24'!$A:$A,'[3]Aug-24'!$H:$H,0)</f>
        <v>27773.15</v>
      </c>
      <c r="N127" s="17">
        <f>_xlfn.XLOOKUP($B127,'[3]Sep-24'!$A:$A,'[3]Sep-24'!$H:$H,0)</f>
        <v>0</v>
      </c>
      <c r="O127" s="17">
        <f>_xlfn.XLOOKUP($B127,'[3]Oct-24'!$A:$A,'[3]Oct-24'!$H:$H,0)</f>
        <v>0</v>
      </c>
      <c r="P127" s="17">
        <f>_xlfn.XLOOKUP($B127,'[3]Nov-24'!$A:$A,'[3]Nov-24'!$H:$H,0)</f>
        <v>0</v>
      </c>
      <c r="Q127" s="17">
        <f>_xlfn.XLOOKUP($B127,'[3]Dec-24'!$A:$A,'[3]Dec-24'!$H:$H,0)</f>
        <v>0</v>
      </c>
      <c r="R127" s="17">
        <f>_xlfn.XLOOKUP($B127,'[3]Jan-25'!$A:$A,'[3]Jan-25'!$H:$H,0)</f>
        <v>0</v>
      </c>
      <c r="S127" s="17">
        <f>_xlfn.XLOOKUP($B127,'[3]Feb-25'!$A:$A,'[3]Feb-25'!$H:$H,0)</f>
        <v>0</v>
      </c>
      <c r="T127" s="17">
        <f>_xlfn.XLOOKUP($B127,'[3]Mar-25'!$A:$A,'[3]Mar-25'!$H:$H,0)</f>
        <v>0</v>
      </c>
      <c r="U127" s="17">
        <f>_xlfn.XLOOKUP($B127,'[3]Apr-25'!$A:$A,'[3]Apr-25'!$H:$H,0)</f>
        <v>0</v>
      </c>
      <c r="V127" s="17">
        <f>_xlfn.XLOOKUP($B127,'[3]May-25'!$A:$A,'[3]May-25'!$H:$H,0)</f>
        <v>0</v>
      </c>
      <c r="W127" s="17">
        <f>_xlfn.XLOOKUP($B127,'[3]Jun-25'!$A:$A,'[3]Jun-25'!$H:$H,0)</f>
        <v>0</v>
      </c>
      <c r="X127" s="17">
        <f>_xlfn.XLOOKUP($B127,'[3]Jul-25'!$A:$A,'[3]Jul-25'!$H:$H,0)</f>
        <v>0</v>
      </c>
      <c r="Y127" s="17">
        <f>_xlfn.XLOOKUP($B127,'[3]Aug-25'!$A:$A,'[3]Aug-25'!$H:$H,0)</f>
        <v>0</v>
      </c>
      <c r="Z127" s="17">
        <f>_xlfn.XLOOKUP($B127,'[3]Sep-25'!$A:$A,'[3]Sep-25'!$H:$H,0)</f>
        <v>0</v>
      </c>
      <c r="AA127" s="17">
        <f>_xlfn.XLOOKUP($B127,'[3]Oct-25'!$A:$A,'[3]Oct-25'!$H:$H,0)</f>
        <v>0</v>
      </c>
      <c r="AB127" s="17">
        <f>_xlfn.XLOOKUP($B127,'[3]Nov-25'!$A:$A,'[3]Nov-25'!$H:$H,0)</f>
        <v>0</v>
      </c>
      <c r="AC127" s="17">
        <f>_xlfn.XLOOKUP($B127,'[3]Dec-25'!$A:$A,'[3]Dec-25'!$H:$H,0)</f>
        <v>0</v>
      </c>
      <c r="AD127" s="17">
        <f>_xlfn.XLOOKUP($B127,'[3]Jan-26'!$A:$A,'[3]Jan-26'!$H:$H,0)</f>
        <v>0</v>
      </c>
      <c r="AE127" s="17">
        <f>_xlfn.XLOOKUP($B127,'[3]Feb-26'!$A:$A,'[3]Feb-26'!$H:$H,0)</f>
        <v>0</v>
      </c>
      <c r="AF127" s="17">
        <f>_xlfn.XLOOKUP($B127,'[3]Mar-26'!$A:$A,'[3]Mar-26'!$H:$H,0)</f>
        <v>0</v>
      </c>
      <c r="AG127" s="17">
        <f>_xlfn.XLOOKUP($B127,'[3]Apr-26'!$A:$A,'[3]Apr-26'!$H:$H,0)</f>
        <v>0</v>
      </c>
    </row>
    <row r="128" spans="1:33" x14ac:dyDescent="0.2">
      <c r="A128" s="58" t="s">
        <v>920</v>
      </c>
      <c r="B128" s="56" t="str">
        <f t="shared" si="3"/>
        <v>51020</v>
      </c>
      <c r="C128" s="78" t="s">
        <v>1071</v>
      </c>
      <c r="D128" s="57" t="s">
        <v>387</v>
      </c>
      <c r="E128" s="44" t="s">
        <v>1072</v>
      </c>
      <c r="F128" s="17">
        <f>_xlfn.XLOOKUP($B128,'[3]Jan-24'!$A:$A,'[3]Jan-24'!$H:$H,0)</f>
        <v>0</v>
      </c>
      <c r="G128" s="17">
        <f>_xlfn.XLOOKUP($B128,'[3]Feb-24'!$A:$A,'[3]Feb-24'!$H:$H,0)</f>
        <v>0</v>
      </c>
      <c r="H128" s="17">
        <f>_xlfn.XLOOKUP($B128,'[3]Mar-24'!$A:$A,'[3]Mar-24'!$H:$H,0)</f>
        <v>0</v>
      </c>
      <c r="I128" s="17">
        <f>_xlfn.XLOOKUP($B128,'[3]Apr-24'!$A:$A,'[3]Apr-24'!$H:$H,0)</f>
        <v>0</v>
      </c>
      <c r="J128" s="17">
        <f>_xlfn.XLOOKUP($B128,'[3]May-24'!$A:$A,'[3]May-24'!$H:$H,0)</f>
        <v>0</v>
      </c>
      <c r="K128" s="17">
        <f>_xlfn.XLOOKUP($B128,'[3]Jun-24'!$A:$A,'[3]Jun-24'!$H:$H,0)</f>
        <v>0</v>
      </c>
      <c r="L128" s="17">
        <f>_xlfn.XLOOKUP($B128,'[3]Jul-24'!$A:$A,'[3]Jul-24'!$H:$H,0)</f>
        <v>0</v>
      </c>
      <c r="M128" s="17">
        <f>_xlfn.XLOOKUP($B128,'[3]Aug-24'!$A:$A,'[3]Aug-24'!$H:$H,0)</f>
        <v>0</v>
      </c>
      <c r="N128" s="17">
        <f>_xlfn.XLOOKUP($B128,'[3]Sep-24'!$A:$A,'[3]Sep-24'!$H:$H,0)</f>
        <v>0</v>
      </c>
      <c r="O128" s="17">
        <f>_xlfn.XLOOKUP($B128,'[3]Oct-24'!$A:$A,'[3]Oct-24'!$H:$H,0)</f>
        <v>0</v>
      </c>
      <c r="P128" s="17">
        <f>_xlfn.XLOOKUP($B128,'[3]Nov-24'!$A:$A,'[3]Nov-24'!$H:$H,0)</f>
        <v>0</v>
      </c>
      <c r="Q128" s="17">
        <f>_xlfn.XLOOKUP($B128,'[3]Dec-24'!$A:$A,'[3]Dec-24'!$H:$H,0)</f>
        <v>0</v>
      </c>
      <c r="R128" s="17">
        <f>_xlfn.XLOOKUP($B128,'[3]Jan-25'!$A:$A,'[3]Jan-25'!$H:$H,0)</f>
        <v>0</v>
      </c>
      <c r="S128" s="17">
        <f>_xlfn.XLOOKUP($B128,'[3]Feb-25'!$A:$A,'[3]Feb-25'!$H:$H,0)</f>
        <v>0</v>
      </c>
      <c r="T128" s="17">
        <f>_xlfn.XLOOKUP($B128,'[3]Mar-25'!$A:$A,'[3]Mar-25'!$H:$H,0)</f>
        <v>0</v>
      </c>
      <c r="U128" s="17">
        <f>_xlfn.XLOOKUP($B128,'[3]Apr-25'!$A:$A,'[3]Apr-25'!$H:$H,0)</f>
        <v>0</v>
      </c>
      <c r="V128" s="17">
        <f>_xlfn.XLOOKUP($B128,'[3]May-25'!$A:$A,'[3]May-25'!$H:$H,0)</f>
        <v>0</v>
      </c>
      <c r="W128" s="17">
        <f>_xlfn.XLOOKUP($B128,'[3]Jun-25'!$A:$A,'[3]Jun-25'!$H:$H,0)</f>
        <v>0</v>
      </c>
      <c r="X128" s="17">
        <f>_xlfn.XLOOKUP($B128,'[3]Jul-25'!$A:$A,'[3]Jul-25'!$H:$H,0)</f>
        <v>0</v>
      </c>
      <c r="Y128" s="17">
        <f>_xlfn.XLOOKUP($B128,'[3]Aug-25'!$A:$A,'[3]Aug-25'!$H:$H,0)</f>
        <v>0</v>
      </c>
      <c r="Z128" s="17">
        <f>_xlfn.XLOOKUP($B128,'[3]Sep-25'!$A:$A,'[3]Sep-25'!$H:$H,0)</f>
        <v>0</v>
      </c>
      <c r="AA128" s="17">
        <f>_xlfn.XLOOKUP($B128,'[3]Oct-25'!$A:$A,'[3]Oct-25'!$H:$H,0)</f>
        <v>0</v>
      </c>
      <c r="AB128" s="17">
        <f>_xlfn.XLOOKUP($B128,'[3]Nov-25'!$A:$A,'[3]Nov-25'!$H:$H,0)</f>
        <v>0</v>
      </c>
      <c r="AC128" s="17">
        <f>_xlfn.XLOOKUP($B128,'[3]Dec-25'!$A:$A,'[3]Dec-25'!$H:$H,0)</f>
        <v>0</v>
      </c>
      <c r="AD128" s="17">
        <f>_xlfn.XLOOKUP($B128,'[3]Jan-26'!$A:$A,'[3]Jan-26'!$H:$H,0)</f>
        <v>0</v>
      </c>
      <c r="AE128" s="17">
        <f>_xlfn.XLOOKUP($B128,'[3]Feb-26'!$A:$A,'[3]Feb-26'!$H:$H,0)</f>
        <v>0</v>
      </c>
      <c r="AF128" s="17">
        <f>_xlfn.XLOOKUP($B128,'[3]Mar-26'!$A:$A,'[3]Mar-26'!$H:$H,0)</f>
        <v>0</v>
      </c>
      <c r="AG128" s="17">
        <f>_xlfn.XLOOKUP($B128,'[3]Apr-26'!$A:$A,'[3]Apr-26'!$H:$H,0)</f>
        <v>0</v>
      </c>
    </row>
    <row r="129" spans="1:33" x14ac:dyDescent="0.2">
      <c r="A129" s="58" t="s">
        <v>906</v>
      </c>
      <c r="B129" s="56" t="str">
        <f t="shared" si="3"/>
        <v>51050</v>
      </c>
      <c r="C129" s="78" t="s">
        <v>574</v>
      </c>
      <c r="D129" s="57" t="s">
        <v>387</v>
      </c>
      <c r="E129" s="44" t="s">
        <v>580</v>
      </c>
      <c r="F129" s="17">
        <f>_xlfn.XLOOKUP($B129,'[3]Jan-24'!$A:$A,'[3]Jan-24'!$H:$H,0)</f>
        <v>0</v>
      </c>
      <c r="G129" s="17">
        <f>_xlfn.XLOOKUP($B129,'[3]Feb-24'!$A:$A,'[3]Feb-24'!$H:$H,0)</f>
        <v>0</v>
      </c>
      <c r="H129" s="17">
        <f>_xlfn.XLOOKUP($B129,'[3]Mar-24'!$A:$A,'[3]Mar-24'!$H:$H,0)</f>
        <v>0</v>
      </c>
      <c r="I129" s="17">
        <f>_xlfn.XLOOKUP($B129,'[3]Apr-24'!$A:$A,'[3]Apr-24'!$H:$H,0)</f>
        <v>0</v>
      </c>
      <c r="J129" s="17">
        <f>_xlfn.XLOOKUP($B129,'[3]May-24'!$A:$A,'[3]May-24'!$H:$H,0)</f>
        <v>0</v>
      </c>
      <c r="K129" s="17">
        <f>_xlfn.XLOOKUP($B129,'[3]Jun-24'!$A:$A,'[3]Jun-24'!$H:$H,0)</f>
        <v>0</v>
      </c>
      <c r="L129" s="17">
        <f>_xlfn.XLOOKUP($B129,'[3]Jul-24'!$A:$A,'[3]Jul-24'!$H:$H,0)</f>
        <v>0</v>
      </c>
      <c r="M129" s="17">
        <f>_xlfn.XLOOKUP($B129,'[3]Aug-24'!$A:$A,'[3]Aug-24'!$H:$H,0)</f>
        <v>0</v>
      </c>
      <c r="N129" s="17">
        <f>_xlfn.XLOOKUP($B129,'[3]Sep-24'!$A:$A,'[3]Sep-24'!$H:$H,0)</f>
        <v>0</v>
      </c>
      <c r="O129" s="17">
        <f>_xlfn.XLOOKUP($B129,'[3]Oct-24'!$A:$A,'[3]Oct-24'!$H:$H,0)</f>
        <v>0</v>
      </c>
      <c r="P129" s="17">
        <f>_xlfn.XLOOKUP($B129,'[3]Nov-24'!$A:$A,'[3]Nov-24'!$H:$H,0)</f>
        <v>0</v>
      </c>
      <c r="Q129" s="17">
        <f>_xlfn.XLOOKUP($B129,'[3]Dec-24'!$A:$A,'[3]Dec-24'!$H:$H,0)</f>
        <v>0</v>
      </c>
      <c r="R129" s="17">
        <f>_xlfn.XLOOKUP($B129,'[3]Jan-25'!$A:$A,'[3]Jan-25'!$H:$H,0)</f>
        <v>0</v>
      </c>
      <c r="S129" s="17">
        <f>_xlfn.XLOOKUP($B129,'[3]Feb-25'!$A:$A,'[3]Feb-25'!$H:$H,0)</f>
        <v>0</v>
      </c>
      <c r="T129" s="17">
        <f>_xlfn.XLOOKUP($B129,'[3]Mar-25'!$A:$A,'[3]Mar-25'!$H:$H,0)</f>
        <v>0</v>
      </c>
      <c r="U129" s="17">
        <f>_xlfn.XLOOKUP($B129,'[3]Apr-25'!$A:$A,'[3]Apr-25'!$H:$H,0)</f>
        <v>0</v>
      </c>
      <c r="V129" s="17">
        <f>_xlfn.XLOOKUP($B129,'[3]May-25'!$A:$A,'[3]May-25'!$H:$H,0)</f>
        <v>0</v>
      </c>
      <c r="W129" s="17">
        <f>_xlfn.XLOOKUP($B129,'[3]Jun-25'!$A:$A,'[3]Jun-25'!$H:$H,0)</f>
        <v>3332.17</v>
      </c>
      <c r="X129" s="17">
        <f>_xlfn.XLOOKUP($B129,'[3]Jul-25'!$A:$A,'[3]Jul-25'!$H:$H,0)</f>
        <v>0</v>
      </c>
      <c r="Y129" s="17">
        <f>_xlfn.XLOOKUP($B129,'[3]Aug-25'!$A:$A,'[3]Aug-25'!$H:$H,0)</f>
        <v>0</v>
      </c>
      <c r="Z129" s="17">
        <f>_xlfn.XLOOKUP($B129,'[3]Sep-25'!$A:$A,'[3]Sep-25'!$H:$H,0)</f>
        <v>0</v>
      </c>
      <c r="AA129" s="17">
        <f>_xlfn.XLOOKUP($B129,'[3]Oct-25'!$A:$A,'[3]Oct-25'!$H:$H,0)</f>
        <v>0</v>
      </c>
      <c r="AB129" s="17">
        <f>_xlfn.XLOOKUP($B129,'[3]Nov-25'!$A:$A,'[3]Nov-25'!$H:$H,0)</f>
        <v>0</v>
      </c>
      <c r="AC129" s="17">
        <f>_xlfn.XLOOKUP($B129,'[3]Dec-25'!$A:$A,'[3]Dec-25'!$H:$H,0)</f>
        <v>0</v>
      </c>
      <c r="AD129" s="17">
        <f>_xlfn.XLOOKUP($B129,'[3]Jan-26'!$A:$A,'[3]Jan-26'!$H:$H,0)</f>
        <v>0</v>
      </c>
      <c r="AE129" s="17">
        <f>_xlfn.XLOOKUP($B129,'[3]Feb-26'!$A:$A,'[3]Feb-26'!$H:$H,0)</f>
        <v>0</v>
      </c>
      <c r="AF129" s="17">
        <f>_xlfn.XLOOKUP($B129,'[3]Mar-26'!$A:$A,'[3]Mar-26'!$H:$H,0)</f>
        <v>0</v>
      </c>
      <c r="AG129" s="17">
        <f>_xlfn.XLOOKUP($B129,'[3]Apr-26'!$A:$A,'[3]Apr-26'!$H:$H,0)</f>
        <v>0</v>
      </c>
    </row>
    <row r="130" spans="1:33" x14ac:dyDescent="0.2">
      <c r="A130" s="58" t="s">
        <v>1073</v>
      </c>
      <c r="B130" s="56" t="str">
        <f t="shared" si="3"/>
        <v>51065</v>
      </c>
      <c r="C130" s="78" t="s">
        <v>574</v>
      </c>
      <c r="D130" s="57" t="s">
        <v>387</v>
      </c>
      <c r="E130" s="44" t="s">
        <v>1074</v>
      </c>
      <c r="F130" s="17">
        <f>_xlfn.XLOOKUP($B130,'[3]Jan-24'!$A:$A,'[3]Jan-24'!$H:$H,0)</f>
        <v>0</v>
      </c>
      <c r="G130" s="17">
        <f>_xlfn.XLOOKUP($B130,'[3]Feb-24'!$A:$A,'[3]Feb-24'!$H:$H,0)</f>
        <v>0</v>
      </c>
      <c r="H130" s="17">
        <f>_xlfn.XLOOKUP($B130,'[3]Mar-24'!$A:$A,'[3]Mar-24'!$H:$H,0)</f>
        <v>0</v>
      </c>
      <c r="I130" s="17">
        <f>_xlfn.XLOOKUP($B130,'[3]Apr-24'!$A:$A,'[3]Apr-24'!$H:$H,0)</f>
        <v>0</v>
      </c>
      <c r="J130" s="17">
        <f>_xlfn.XLOOKUP($B130,'[3]May-24'!$A:$A,'[3]May-24'!$H:$H,0)</f>
        <v>0</v>
      </c>
      <c r="K130" s="17">
        <f>_xlfn.XLOOKUP($B130,'[3]Jun-24'!$A:$A,'[3]Jun-24'!$H:$H,0)</f>
        <v>0</v>
      </c>
      <c r="L130" s="17">
        <f>_xlfn.XLOOKUP($B130,'[3]Jul-24'!$A:$A,'[3]Jul-24'!$H:$H,0)</f>
        <v>0</v>
      </c>
      <c r="M130" s="17">
        <f>_xlfn.XLOOKUP($B130,'[3]Aug-24'!$A:$A,'[3]Aug-24'!$H:$H,0)</f>
        <v>0</v>
      </c>
      <c r="N130" s="17">
        <f>_xlfn.XLOOKUP($B130,'[3]Sep-24'!$A:$A,'[3]Sep-24'!$H:$H,0)</f>
        <v>0</v>
      </c>
      <c r="O130" s="17">
        <f>_xlfn.XLOOKUP($B130,'[3]Oct-24'!$A:$A,'[3]Oct-24'!$H:$H,0)</f>
        <v>0</v>
      </c>
      <c r="P130" s="17">
        <f>_xlfn.XLOOKUP($B130,'[3]Nov-24'!$A:$A,'[3]Nov-24'!$H:$H,0)</f>
        <v>0</v>
      </c>
      <c r="Q130" s="17">
        <f>_xlfn.XLOOKUP($B130,'[3]Dec-24'!$A:$A,'[3]Dec-24'!$H:$H,0)</f>
        <v>0</v>
      </c>
      <c r="R130" s="17">
        <f>_xlfn.XLOOKUP($B130,'[3]Jan-25'!$A:$A,'[3]Jan-25'!$H:$H,0)</f>
        <v>0</v>
      </c>
      <c r="S130" s="17">
        <f>_xlfn.XLOOKUP($B130,'[3]Feb-25'!$A:$A,'[3]Feb-25'!$H:$H,0)</f>
        <v>0</v>
      </c>
      <c r="T130" s="17">
        <f>_xlfn.XLOOKUP($B130,'[3]Mar-25'!$A:$A,'[3]Mar-25'!$H:$H,0)</f>
        <v>0</v>
      </c>
      <c r="U130" s="17">
        <f>_xlfn.XLOOKUP($B130,'[3]Apr-25'!$A:$A,'[3]Apr-25'!$H:$H,0)</f>
        <v>0</v>
      </c>
      <c r="V130" s="17">
        <f>_xlfn.XLOOKUP($B130,'[3]May-25'!$A:$A,'[3]May-25'!$H:$H,0)</f>
        <v>0</v>
      </c>
      <c r="W130" s="17">
        <f>_xlfn.XLOOKUP($B130,'[3]Jun-25'!$A:$A,'[3]Jun-25'!$H:$H,0)</f>
        <v>0</v>
      </c>
      <c r="X130" s="17">
        <f>_xlfn.XLOOKUP($B130,'[3]Jul-25'!$A:$A,'[3]Jul-25'!$H:$H,0)</f>
        <v>0</v>
      </c>
      <c r="Y130" s="17">
        <f>_xlfn.XLOOKUP($B130,'[3]Aug-25'!$A:$A,'[3]Aug-25'!$H:$H,0)</f>
        <v>0</v>
      </c>
      <c r="Z130" s="17">
        <f>_xlfn.XLOOKUP($B130,'[3]Sep-25'!$A:$A,'[3]Sep-25'!$H:$H,0)</f>
        <v>0</v>
      </c>
      <c r="AA130" s="17">
        <f>_xlfn.XLOOKUP($B130,'[3]Oct-25'!$A:$A,'[3]Oct-25'!$H:$H,0)</f>
        <v>0</v>
      </c>
      <c r="AB130" s="17">
        <f>_xlfn.XLOOKUP($B130,'[3]Nov-25'!$A:$A,'[3]Nov-25'!$H:$H,0)</f>
        <v>0</v>
      </c>
      <c r="AC130" s="17">
        <f>_xlfn.XLOOKUP($B130,'[3]Dec-25'!$A:$A,'[3]Dec-25'!$H:$H,0)</f>
        <v>0</v>
      </c>
      <c r="AD130" s="17">
        <f>_xlfn.XLOOKUP($B130,'[3]Jan-26'!$A:$A,'[3]Jan-26'!$H:$H,0)</f>
        <v>0</v>
      </c>
      <c r="AE130" s="17">
        <f>_xlfn.XLOOKUP($B130,'[3]Feb-26'!$A:$A,'[3]Feb-26'!$H:$H,0)</f>
        <v>0</v>
      </c>
      <c r="AF130" s="17">
        <f>_xlfn.XLOOKUP($B130,'[3]Mar-26'!$A:$A,'[3]Mar-26'!$H:$H,0)</f>
        <v>0</v>
      </c>
      <c r="AG130" s="17">
        <f>_xlfn.XLOOKUP($B130,'[3]Apr-26'!$A:$A,'[3]Apr-26'!$H:$H,0)</f>
        <v>0</v>
      </c>
    </row>
    <row r="131" spans="1:33" x14ac:dyDescent="0.2">
      <c r="A131" s="58" t="s">
        <v>1075</v>
      </c>
      <c r="B131" s="56" t="str">
        <f t="shared" si="3"/>
        <v>51100</v>
      </c>
      <c r="C131" s="78" t="s">
        <v>572</v>
      </c>
      <c r="D131" s="57" t="s">
        <v>387</v>
      </c>
      <c r="E131" s="44" t="s">
        <v>1076</v>
      </c>
      <c r="F131" s="17">
        <f>_xlfn.XLOOKUP($B131,'[3]Jan-24'!$A:$A,'[3]Jan-24'!$H:$H,0)</f>
        <v>0</v>
      </c>
      <c r="G131" s="17">
        <f>_xlfn.XLOOKUP($B131,'[3]Feb-24'!$A:$A,'[3]Feb-24'!$H:$H,0)</f>
        <v>0</v>
      </c>
      <c r="H131" s="17">
        <f>_xlfn.XLOOKUP($B131,'[3]Mar-24'!$A:$A,'[3]Mar-24'!$H:$H,0)</f>
        <v>0</v>
      </c>
      <c r="I131" s="17">
        <f>_xlfn.XLOOKUP($B131,'[3]Apr-24'!$A:$A,'[3]Apr-24'!$H:$H,0)</f>
        <v>0</v>
      </c>
      <c r="J131" s="17">
        <f>_xlfn.XLOOKUP($B131,'[3]May-24'!$A:$A,'[3]May-24'!$H:$H,0)</f>
        <v>0</v>
      </c>
      <c r="K131" s="17">
        <f>_xlfn.XLOOKUP($B131,'[3]Jun-24'!$A:$A,'[3]Jun-24'!$H:$H,0)</f>
        <v>0</v>
      </c>
      <c r="L131" s="17">
        <f>_xlfn.XLOOKUP($B131,'[3]Jul-24'!$A:$A,'[3]Jul-24'!$H:$H,0)</f>
        <v>0</v>
      </c>
      <c r="M131" s="17">
        <f>_xlfn.XLOOKUP($B131,'[3]Aug-24'!$A:$A,'[3]Aug-24'!$H:$H,0)</f>
        <v>0</v>
      </c>
      <c r="N131" s="17">
        <f>_xlfn.XLOOKUP($B131,'[3]Sep-24'!$A:$A,'[3]Sep-24'!$H:$H,0)</f>
        <v>0</v>
      </c>
      <c r="O131" s="17">
        <f>_xlfn.XLOOKUP($B131,'[3]Oct-24'!$A:$A,'[3]Oct-24'!$H:$H,0)</f>
        <v>0</v>
      </c>
      <c r="P131" s="17">
        <f>_xlfn.XLOOKUP($B131,'[3]Nov-24'!$A:$A,'[3]Nov-24'!$H:$H,0)</f>
        <v>0</v>
      </c>
      <c r="Q131" s="17">
        <f>_xlfn.XLOOKUP($B131,'[3]Dec-24'!$A:$A,'[3]Dec-24'!$H:$H,0)</f>
        <v>0</v>
      </c>
      <c r="R131" s="17">
        <f>_xlfn.XLOOKUP($B131,'[3]Jan-25'!$A:$A,'[3]Jan-25'!$H:$H,0)</f>
        <v>0</v>
      </c>
      <c r="S131" s="17">
        <f>_xlfn.XLOOKUP($B131,'[3]Feb-25'!$A:$A,'[3]Feb-25'!$H:$H,0)</f>
        <v>0</v>
      </c>
      <c r="T131" s="17">
        <f>_xlfn.XLOOKUP($B131,'[3]Mar-25'!$A:$A,'[3]Mar-25'!$H:$H,0)</f>
        <v>0</v>
      </c>
      <c r="U131" s="17">
        <f>_xlfn.XLOOKUP($B131,'[3]Apr-25'!$A:$A,'[3]Apr-25'!$H:$H,0)</f>
        <v>0</v>
      </c>
      <c r="V131" s="17">
        <f>_xlfn.XLOOKUP($B131,'[3]May-25'!$A:$A,'[3]May-25'!$H:$H,0)</f>
        <v>0</v>
      </c>
      <c r="W131" s="17">
        <f>_xlfn.XLOOKUP($B131,'[3]Jun-25'!$A:$A,'[3]Jun-25'!$H:$H,0)</f>
        <v>0</v>
      </c>
      <c r="X131" s="17">
        <f>_xlfn.XLOOKUP($B131,'[3]Jul-25'!$A:$A,'[3]Jul-25'!$H:$H,0)</f>
        <v>0</v>
      </c>
      <c r="Y131" s="17">
        <f>_xlfn.XLOOKUP($B131,'[3]Aug-25'!$A:$A,'[3]Aug-25'!$H:$H,0)</f>
        <v>0</v>
      </c>
      <c r="Z131" s="17">
        <f>_xlfn.XLOOKUP($B131,'[3]Sep-25'!$A:$A,'[3]Sep-25'!$H:$H,0)</f>
        <v>0</v>
      </c>
      <c r="AA131" s="17">
        <f>_xlfn.XLOOKUP($B131,'[3]Oct-25'!$A:$A,'[3]Oct-25'!$H:$H,0)</f>
        <v>0</v>
      </c>
      <c r="AB131" s="17">
        <f>_xlfn.XLOOKUP($B131,'[3]Nov-25'!$A:$A,'[3]Nov-25'!$H:$H,0)</f>
        <v>0</v>
      </c>
      <c r="AC131" s="17">
        <f>_xlfn.XLOOKUP($B131,'[3]Dec-25'!$A:$A,'[3]Dec-25'!$H:$H,0)</f>
        <v>0</v>
      </c>
      <c r="AD131" s="17">
        <f>_xlfn.XLOOKUP($B131,'[3]Jan-26'!$A:$A,'[3]Jan-26'!$H:$H,0)</f>
        <v>0</v>
      </c>
      <c r="AE131" s="17">
        <f>_xlfn.XLOOKUP($B131,'[3]Feb-26'!$A:$A,'[3]Feb-26'!$H:$H,0)</f>
        <v>0</v>
      </c>
      <c r="AF131" s="17">
        <f>_xlfn.XLOOKUP($B131,'[3]Mar-26'!$A:$A,'[3]Mar-26'!$H:$H,0)</f>
        <v>0</v>
      </c>
      <c r="AG131" s="17">
        <f>_xlfn.XLOOKUP($B131,'[3]Apr-26'!$A:$A,'[3]Apr-26'!$H:$H,0)</f>
        <v>0</v>
      </c>
    </row>
    <row r="132" spans="1:33" x14ac:dyDescent="0.2">
      <c r="A132" s="58" t="s">
        <v>912</v>
      </c>
      <c r="B132" s="56" t="str">
        <f t="shared" ref="B132:B195" si="4">TEXT(A132,"00000")</f>
        <v>51110</v>
      </c>
      <c r="C132" s="78" t="s">
        <v>613</v>
      </c>
      <c r="D132" s="57" t="s">
        <v>387</v>
      </c>
      <c r="E132" s="44" t="s">
        <v>1077</v>
      </c>
      <c r="F132" s="17">
        <f>_xlfn.XLOOKUP($B132,'[3]Jan-24'!$A:$A,'[3]Jan-24'!$H:$H,0)</f>
        <v>0</v>
      </c>
      <c r="G132" s="17">
        <f>_xlfn.XLOOKUP($B132,'[3]Feb-24'!$A:$A,'[3]Feb-24'!$H:$H,0)</f>
        <v>0</v>
      </c>
      <c r="H132" s="17">
        <f>_xlfn.XLOOKUP($B132,'[3]Mar-24'!$A:$A,'[3]Mar-24'!$H:$H,0)</f>
        <v>0</v>
      </c>
      <c r="I132" s="17">
        <f>_xlfn.XLOOKUP($B132,'[3]Apr-24'!$A:$A,'[3]Apr-24'!$H:$H,0)</f>
        <v>0</v>
      </c>
      <c r="J132" s="17">
        <f>_xlfn.XLOOKUP($B132,'[3]May-24'!$A:$A,'[3]May-24'!$H:$H,0)</f>
        <v>0</v>
      </c>
      <c r="K132" s="17">
        <f>_xlfn.XLOOKUP($B132,'[3]Jun-24'!$A:$A,'[3]Jun-24'!$H:$H,0)</f>
        <v>0</v>
      </c>
      <c r="L132" s="17">
        <f>_xlfn.XLOOKUP($B132,'[3]Jul-24'!$A:$A,'[3]Jul-24'!$H:$H,0)</f>
        <v>0</v>
      </c>
      <c r="M132" s="17">
        <f>_xlfn.XLOOKUP($B132,'[3]Aug-24'!$A:$A,'[3]Aug-24'!$H:$H,0)</f>
        <v>0</v>
      </c>
      <c r="N132" s="17">
        <f>_xlfn.XLOOKUP($B132,'[3]Sep-24'!$A:$A,'[3]Sep-24'!$H:$H,0)</f>
        <v>0</v>
      </c>
      <c r="O132" s="17">
        <f>_xlfn.XLOOKUP($B132,'[3]Oct-24'!$A:$A,'[3]Oct-24'!$H:$H,0)</f>
        <v>0</v>
      </c>
      <c r="P132" s="17">
        <f>_xlfn.XLOOKUP($B132,'[3]Nov-24'!$A:$A,'[3]Nov-24'!$H:$H,0)</f>
        <v>0</v>
      </c>
      <c r="Q132" s="17">
        <f>_xlfn.XLOOKUP($B132,'[3]Dec-24'!$A:$A,'[3]Dec-24'!$H:$H,0)</f>
        <v>0</v>
      </c>
      <c r="R132" s="17">
        <f>_xlfn.XLOOKUP($B132,'[3]Jan-25'!$A:$A,'[3]Jan-25'!$H:$H,0)</f>
        <v>0</v>
      </c>
      <c r="S132" s="17">
        <f>_xlfn.XLOOKUP($B132,'[3]Feb-25'!$A:$A,'[3]Feb-25'!$H:$H,0)</f>
        <v>0</v>
      </c>
      <c r="T132" s="17">
        <f>_xlfn.XLOOKUP($B132,'[3]Mar-25'!$A:$A,'[3]Mar-25'!$H:$H,0)</f>
        <v>0</v>
      </c>
      <c r="U132" s="17">
        <f>_xlfn.XLOOKUP($B132,'[3]Apr-25'!$A:$A,'[3]Apr-25'!$H:$H,0)</f>
        <v>0</v>
      </c>
      <c r="V132" s="17">
        <f>_xlfn.XLOOKUP($B132,'[3]May-25'!$A:$A,'[3]May-25'!$H:$H,0)</f>
        <v>0</v>
      </c>
      <c r="W132" s="17">
        <f>_xlfn.XLOOKUP($B132,'[3]Jun-25'!$A:$A,'[3]Jun-25'!$H:$H,0)</f>
        <v>0</v>
      </c>
      <c r="X132" s="17">
        <f>_xlfn.XLOOKUP($B132,'[3]Jul-25'!$A:$A,'[3]Jul-25'!$H:$H,0)</f>
        <v>0</v>
      </c>
      <c r="Y132" s="17">
        <f>_xlfn.XLOOKUP($B132,'[3]Aug-25'!$A:$A,'[3]Aug-25'!$H:$H,0)</f>
        <v>0</v>
      </c>
      <c r="Z132" s="17">
        <f>_xlfn.XLOOKUP($B132,'[3]Sep-25'!$A:$A,'[3]Sep-25'!$H:$H,0)</f>
        <v>0</v>
      </c>
      <c r="AA132" s="17">
        <f>_xlfn.XLOOKUP($B132,'[3]Oct-25'!$A:$A,'[3]Oct-25'!$H:$H,0)</f>
        <v>0</v>
      </c>
      <c r="AB132" s="17">
        <f>_xlfn.XLOOKUP($B132,'[3]Nov-25'!$A:$A,'[3]Nov-25'!$H:$H,0)</f>
        <v>0</v>
      </c>
      <c r="AC132" s="17">
        <f>_xlfn.XLOOKUP($B132,'[3]Dec-25'!$A:$A,'[3]Dec-25'!$H:$H,0)</f>
        <v>0</v>
      </c>
      <c r="AD132" s="17">
        <f>_xlfn.XLOOKUP($B132,'[3]Jan-26'!$A:$A,'[3]Jan-26'!$H:$H,0)</f>
        <v>0</v>
      </c>
      <c r="AE132" s="17">
        <f>_xlfn.XLOOKUP($B132,'[3]Feb-26'!$A:$A,'[3]Feb-26'!$H:$H,0)</f>
        <v>0</v>
      </c>
      <c r="AF132" s="17">
        <f>_xlfn.XLOOKUP($B132,'[3]Mar-26'!$A:$A,'[3]Mar-26'!$H:$H,0)</f>
        <v>0</v>
      </c>
      <c r="AG132" s="17">
        <f>_xlfn.XLOOKUP($B132,'[3]Apr-26'!$A:$A,'[3]Apr-26'!$H:$H,0)</f>
        <v>0</v>
      </c>
    </row>
    <row r="133" spans="1:33" x14ac:dyDescent="0.2">
      <c r="A133" s="58" t="s">
        <v>1078</v>
      </c>
      <c r="B133" s="56" t="str">
        <f t="shared" si="4"/>
        <v>51120</v>
      </c>
      <c r="C133" s="78" t="s">
        <v>725</v>
      </c>
      <c r="D133" s="57" t="s">
        <v>387</v>
      </c>
      <c r="E133" s="44" t="s">
        <v>1079</v>
      </c>
      <c r="F133" s="17">
        <f>_xlfn.XLOOKUP($B133,'[3]Jan-24'!$A:$A,'[3]Jan-24'!$H:$H,0)</f>
        <v>0</v>
      </c>
      <c r="G133" s="17">
        <f>_xlfn.XLOOKUP($B133,'[3]Feb-24'!$A:$A,'[3]Feb-24'!$H:$H,0)</f>
        <v>0</v>
      </c>
      <c r="H133" s="17">
        <f>_xlfn.XLOOKUP($B133,'[3]Mar-24'!$A:$A,'[3]Mar-24'!$H:$H,0)</f>
        <v>0</v>
      </c>
      <c r="I133" s="17">
        <f>_xlfn.XLOOKUP($B133,'[3]Apr-24'!$A:$A,'[3]Apr-24'!$H:$H,0)</f>
        <v>0</v>
      </c>
      <c r="J133" s="17">
        <f>_xlfn.XLOOKUP($B133,'[3]May-24'!$A:$A,'[3]May-24'!$H:$H,0)</f>
        <v>0</v>
      </c>
      <c r="K133" s="17">
        <f>_xlfn.XLOOKUP($B133,'[3]Jun-24'!$A:$A,'[3]Jun-24'!$H:$H,0)</f>
        <v>0</v>
      </c>
      <c r="L133" s="17">
        <f>_xlfn.XLOOKUP($B133,'[3]Jul-24'!$A:$A,'[3]Jul-24'!$H:$H,0)</f>
        <v>0</v>
      </c>
      <c r="M133" s="17">
        <f>_xlfn.XLOOKUP($B133,'[3]Aug-24'!$A:$A,'[3]Aug-24'!$H:$H,0)</f>
        <v>0</v>
      </c>
      <c r="N133" s="17">
        <f>_xlfn.XLOOKUP($B133,'[3]Sep-24'!$A:$A,'[3]Sep-24'!$H:$H,0)</f>
        <v>0</v>
      </c>
      <c r="O133" s="17">
        <f>_xlfn.XLOOKUP($B133,'[3]Oct-24'!$A:$A,'[3]Oct-24'!$H:$H,0)</f>
        <v>0</v>
      </c>
      <c r="P133" s="17">
        <f>_xlfn.XLOOKUP($B133,'[3]Nov-24'!$A:$A,'[3]Nov-24'!$H:$H,0)</f>
        <v>0</v>
      </c>
      <c r="Q133" s="17">
        <f>_xlfn.XLOOKUP($B133,'[3]Dec-24'!$A:$A,'[3]Dec-24'!$H:$H,0)</f>
        <v>0</v>
      </c>
      <c r="R133" s="17">
        <f>_xlfn.XLOOKUP($B133,'[3]Jan-25'!$A:$A,'[3]Jan-25'!$H:$H,0)</f>
        <v>0</v>
      </c>
      <c r="S133" s="17">
        <f>_xlfn.XLOOKUP($B133,'[3]Feb-25'!$A:$A,'[3]Feb-25'!$H:$H,0)</f>
        <v>0</v>
      </c>
      <c r="T133" s="17">
        <f>_xlfn.XLOOKUP($B133,'[3]Mar-25'!$A:$A,'[3]Mar-25'!$H:$H,0)</f>
        <v>0</v>
      </c>
      <c r="U133" s="17">
        <f>_xlfn.XLOOKUP($B133,'[3]Apr-25'!$A:$A,'[3]Apr-25'!$H:$H,0)</f>
        <v>0</v>
      </c>
      <c r="V133" s="17">
        <f>_xlfn.XLOOKUP($B133,'[3]May-25'!$A:$A,'[3]May-25'!$H:$H,0)</f>
        <v>0</v>
      </c>
      <c r="W133" s="17">
        <f>_xlfn.XLOOKUP($B133,'[3]Jun-25'!$A:$A,'[3]Jun-25'!$H:$H,0)</f>
        <v>0</v>
      </c>
      <c r="X133" s="17">
        <f>_xlfn.XLOOKUP($B133,'[3]Jul-25'!$A:$A,'[3]Jul-25'!$H:$H,0)</f>
        <v>0</v>
      </c>
      <c r="Y133" s="17">
        <f>_xlfn.XLOOKUP($B133,'[3]Aug-25'!$A:$A,'[3]Aug-25'!$H:$H,0)</f>
        <v>0</v>
      </c>
      <c r="Z133" s="17">
        <f>_xlfn.XLOOKUP($B133,'[3]Sep-25'!$A:$A,'[3]Sep-25'!$H:$H,0)</f>
        <v>0</v>
      </c>
      <c r="AA133" s="17">
        <f>_xlfn.XLOOKUP($B133,'[3]Oct-25'!$A:$A,'[3]Oct-25'!$H:$H,0)</f>
        <v>0</v>
      </c>
      <c r="AB133" s="17">
        <f>_xlfn.XLOOKUP($B133,'[3]Nov-25'!$A:$A,'[3]Nov-25'!$H:$H,0)</f>
        <v>0</v>
      </c>
      <c r="AC133" s="17">
        <f>_xlfn.XLOOKUP($B133,'[3]Dec-25'!$A:$A,'[3]Dec-25'!$H:$H,0)</f>
        <v>0</v>
      </c>
      <c r="AD133" s="17">
        <f>_xlfn.XLOOKUP($B133,'[3]Jan-26'!$A:$A,'[3]Jan-26'!$H:$H,0)</f>
        <v>0</v>
      </c>
      <c r="AE133" s="17">
        <f>_xlfn.XLOOKUP($B133,'[3]Feb-26'!$A:$A,'[3]Feb-26'!$H:$H,0)</f>
        <v>0</v>
      </c>
      <c r="AF133" s="17">
        <f>_xlfn.XLOOKUP($B133,'[3]Mar-26'!$A:$A,'[3]Mar-26'!$H:$H,0)</f>
        <v>0</v>
      </c>
      <c r="AG133" s="17">
        <f>_xlfn.XLOOKUP($B133,'[3]Apr-26'!$A:$A,'[3]Apr-26'!$H:$H,0)</f>
        <v>0</v>
      </c>
    </row>
    <row r="134" spans="1:33" x14ac:dyDescent="0.2">
      <c r="A134" s="58" t="s">
        <v>897</v>
      </c>
      <c r="B134" s="56" t="str">
        <f t="shared" si="4"/>
        <v>51140</v>
      </c>
      <c r="C134" s="78" t="s">
        <v>552</v>
      </c>
      <c r="D134" s="57" t="s">
        <v>387</v>
      </c>
      <c r="E134" s="44" t="s">
        <v>1080</v>
      </c>
      <c r="F134" s="17">
        <f>_xlfn.XLOOKUP($B134,'[3]Jan-24'!$A:$A,'[3]Jan-24'!$H:$H,0)</f>
        <v>2697.45</v>
      </c>
      <c r="G134" s="17">
        <f>_xlfn.XLOOKUP($B134,'[3]Feb-24'!$A:$A,'[3]Feb-24'!$H:$H,0)</f>
        <v>0</v>
      </c>
      <c r="H134" s="17">
        <f>_xlfn.XLOOKUP($B134,'[3]Mar-24'!$A:$A,'[3]Mar-24'!$H:$H,0)</f>
        <v>0</v>
      </c>
      <c r="I134" s="17">
        <f>_xlfn.XLOOKUP($B134,'[3]Apr-24'!$A:$A,'[3]Apr-24'!$H:$H,0)</f>
        <v>0</v>
      </c>
      <c r="J134" s="17">
        <f>_xlfn.XLOOKUP($B134,'[3]May-24'!$A:$A,'[3]May-24'!$H:$H,0)</f>
        <v>32016.45</v>
      </c>
      <c r="K134" s="17">
        <f>_xlfn.XLOOKUP($B134,'[3]Jun-24'!$A:$A,'[3]Jun-24'!$H:$H,0)</f>
        <v>0</v>
      </c>
      <c r="L134" s="17">
        <f>_xlfn.XLOOKUP($B134,'[3]Jul-24'!$A:$A,'[3]Jul-24'!$H:$H,0)</f>
        <v>14175.91</v>
      </c>
      <c r="M134" s="17">
        <f>_xlfn.XLOOKUP($B134,'[3]Aug-24'!$A:$A,'[3]Aug-24'!$H:$H,0)</f>
        <v>3853.5</v>
      </c>
      <c r="N134" s="17">
        <f>_xlfn.XLOOKUP($B134,'[3]Sep-24'!$A:$A,'[3]Sep-24'!$H:$H,0)</f>
        <v>0</v>
      </c>
      <c r="O134" s="17">
        <f>_xlfn.XLOOKUP($B134,'[3]Oct-24'!$A:$A,'[3]Oct-24'!$H:$H,0)</f>
        <v>9282.5</v>
      </c>
      <c r="P134" s="17">
        <f>_xlfn.XLOOKUP($B134,'[3]Nov-24'!$A:$A,'[3]Nov-24'!$H:$H,0)</f>
        <v>0</v>
      </c>
      <c r="Q134" s="17">
        <f>_xlfn.XLOOKUP($B134,'[3]Dec-24'!$A:$A,'[3]Dec-24'!$H:$H,0)</f>
        <v>0</v>
      </c>
      <c r="R134" s="17">
        <f>_xlfn.XLOOKUP($B134,'[3]Jan-25'!$A:$A,'[3]Jan-25'!$H:$H,0)</f>
        <v>0</v>
      </c>
      <c r="S134" s="17">
        <f>_xlfn.XLOOKUP($B134,'[3]Feb-25'!$A:$A,'[3]Feb-25'!$H:$H,0)</f>
        <v>0</v>
      </c>
      <c r="T134" s="17">
        <f>_xlfn.XLOOKUP($B134,'[3]Mar-25'!$A:$A,'[3]Mar-25'!$H:$H,0)</f>
        <v>0</v>
      </c>
      <c r="U134" s="17">
        <f>_xlfn.XLOOKUP($B134,'[3]Apr-25'!$A:$A,'[3]Apr-25'!$H:$H,0)</f>
        <v>0</v>
      </c>
      <c r="V134" s="17">
        <f>_xlfn.XLOOKUP($B134,'[3]May-25'!$A:$A,'[3]May-25'!$H:$H,0)</f>
        <v>0</v>
      </c>
      <c r="W134" s="17">
        <f>_xlfn.XLOOKUP($B134,'[3]Jun-25'!$A:$A,'[3]Jun-25'!$H:$H,0)</f>
        <v>0</v>
      </c>
      <c r="X134" s="17">
        <f>_xlfn.XLOOKUP($B134,'[3]Jul-25'!$A:$A,'[3]Jul-25'!$H:$H,0)</f>
        <v>0</v>
      </c>
      <c r="Y134" s="17">
        <f>_xlfn.XLOOKUP($B134,'[3]Aug-25'!$A:$A,'[3]Aug-25'!$H:$H,0)</f>
        <v>950</v>
      </c>
      <c r="Z134" s="17">
        <f>_xlfn.XLOOKUP($B134,'[3]Sep-25'!$A:$A,'[3]Sep-25'!$H:$H,0)</f>
        <v>0</v>
      </c>
      <c r="AA134" s="17">
        <f>_xlfn.XLOOKUP($B134,'[3]Oct-25'!$A:$A,'[3]Oct-25'!$H:$H,0)</f>
        <v>0</v>
      </c>
      <c r="AB134" s="17">
        <f>_xlfn.XLOOKUP($B134,'[3]Nov-25'!$A:$A,'[3]Nov-25'!$H:$H,0)</f>
        <v>0</v>
      </c>
      <c r="AC134" s="17">
        <f>_xlfn.XLOOKUP($B134,'[3]Dec-25'!$A:$A,'[3]Dec-25'!$H:$H,0)</f>
        <v>0</v>
      </c>
      <c r="AD134" s="17">
        <f>_xlfn.XLOOKUP($B134,'[3]Jan-26'!$A:$A,'[3]Jan-26'!$H:$H,0)</f>
        <v>0</v>
      </c>
      <c r="AE134" s="17">
        <f>_xlfn.XLOOKUP($B134,'[3]Feb-26'!$A:$A,'[3]Feb-26'!$H:$H,0)</f>
        <v>0</v>
      </c>
      <c r="AF134" s="17">
        <f>_xlfn.XLOOKUP($B134,'[3]Mar-26'!$A:$A,'[3]Mar-26'!$H:$H,0)</f>
        <v>0</v>
      </c>
      <c r="AG134" s="17">
        <f>_xlfn.XLOOKUP($B134,'[3]Apr-26'!$A:$A,'[3]Apr-26'!$H:$H,0)</f>
        <v>0</v>
      </c>
    </row>
    <row r="135" spans="1:33" x14ac:dyDescent="0.2">
      <c r="A135" s="58" t="s">
        <v>1081</v>
      </c>
      <c r="B135" s="56" t="str">
        <f t="shared" si="4"/>
        <v>51150</v>
      </c>
      <c r="C135" s="78" t="s">
        <v>552</v>
      </c>
      <c r="D135" s="57" t="s">
        <v>387</v>
      </c>
      <c r="E135" s="44" t="s">
        <v>1082</v>
      </c>
      <c r="F135" s="17">
        <f>_xlfn.XLOOKUP($B135,'[3]Jan-24'!$A:$A,'[3]Jan-24'!$H:$H,0)</f>
        <v>0</v>
      </c>
      <c r="G135" s="17">
        <f>_xlfn.XLOOKUP($B135,'[3]Feb-24'!$A:$A,'[3]Feb-24'!$H:$H,0)</f>
        <v>0</v>
      </c>
      <c r="H135" s="17">
        <f>_xlfn.XLOOKUP($B135,'[3]Mar-24'!$A:$A,'[3]Mar-24'!$H:$H,0)</f>
        <v>0</v>
      </c>
      <c r="I135" s="17">
        <f>_xlfn.XLOOKUP($B135,'[3]Apr-24'!$A:$A,'[3]Apr-24'!$H:$H,0)</f>
        <v>0</v>
      </c>
      <c r="J135" s="17">
        <f>_xlfn.XLOOKUP($B135,'[3]May-24'!$A:$A,'[3]May-24'!$H:$H,0)</f>
        <v>0</v>
      </c>
      <c r="K135" s="17">
        <f>_xlfn.XLOOKUP($B135,'[3]Jun-24'!$A:$A,'[3]Jun-24'!$H:$H,0)</f>
        <v>0</v>
      </c>
      <c r="L135" s="17">
        <f>_xlfn.XLOOKUP($B135,'[3]Jul-24'!$A:$A,'[3]Jul-24'!$H:$H,0)</f>
        <v>0</v>
      </c>
      <c r="M135" s="17">
        <f>_xlfn.XLOOKUP($B135,'[3]Aug-24'!$A:$A,'[3]Aug-24'!$H:$H,0)</f>
        <v>0</v>
      </c>
      <c r="N135" s="17">
        <f>_xlfn.XLOOKUP($B135,'[3]Sep-24'!$A:$A,'[3]Sep-24'!$H:$H,0)</f>
        <v>0</v>
      </c>
      <c r="O135" s="17">
        <f>_xlfn.XLOOKUP($B135,'[3]Oct-24'!$A:$A,'[3]Oct-24'!$H:$H,0)</f>
        <v>0</v>
      </c>
      <c r="P135" s="17">
        <f>_xlfn.XLOOKUP($B135,'[3]Nov-24'!$A:$A,'[3]Nov-24'!$H:$H,0)</f>
        <v>0</v>
      </c>
      <c r="Q135" s="17">
        <f>_xlfn.XLOOKUP($B135,'[3]Dec-24'!$A:$A,'[3]Dec-24'!$H:$H,0)</f>
        <v>0</v>
      </c>
      <c r="R135" s="17">
        <f>_xlfn.XLOOKUP($B135,'[3]Jan-25'!$A:$A,'[3]Jan-25'!$H:$H,0)</f>
        <v>0</v>
      </c>
      <c r="S135" s="17">
        <f>_xlfn.XLOOKUP($B135,'[3]Feb-25'!$A:$A,'[3]Feb-25'!$H:$H,0)</f>
        <v>0</v>
      </c>
      <c r="T135" s="17">
        <f>_xlfn.XLOOKUP($B135,'[3]Mar-25'!$A:$A,'[3]Mar-25'!$H:$H,0)</f>
        <v>0</v>
      </c>
      <c r="U135" s="17">
        <f>_xlfn.XLOOKUP($B135,'[3]Apr-25'!$A:$A,'[3]Apr-25'!$H:$H,0)</f>
        <v>0</v>
      </c>
      <c r="V135" s="17">
        <f>_xlfn.XLOOKUP($B135,'[3]May-25'!$A:$A,'[3]May-25'!$H:$H,0)</f>
        <v>0</v>
      </c>
      <c r="W135" s="17">
        <f>_xlfn.XLOOKUP($B135,'[3]Jun-25'!$A:$A,'[3]Jun-25'!$H:$H,0)</f>
        <v>0</v>
      </c>
      <c r="X135" s="17">
        <f>_xlfn.XLOOKUP($B135,'[3]Jul-25'!$A:$A,'[3]Jul-25'!$H:$H,0)</f>
        <v>0</v>
      </c>
      <c r="Y135" s="17">
        <f>_xlfn.XLOOKUP($B135,'[3]Aug-25'!$A:$A,'[3]Aug-25'!$H:$H,0)</f>
        <v>0</v>
      </c>
      <c r="Z135" s="17">
        <f>_xlfn.XLOOKUP($B135,'[3]Sep-25'!$A:$A,'[3]Sep-25'!$H:$H,0)</f>
        <v>0</v>
      </c>
      <c r="AA135" s="17">
        <f>_xlfn.XLOOKUP($B135,'[3]Oct-25'!$A:$A,'[3]Oct-25'!$H:$H,0)</f>
        <v>0</v>
      </c>
      <c r="AB135" s="17">
        <f>_xlfn.XLOOKUP($B135,'[3]Nov-25'!$A:$A,'[3]Nov-25'!$H:$H,0)</f>
        <v>0</v>
      </c>
      <c r="AC135" s="17">
        <f>_xlfn.XLOOKUP($B135,'[3]Dec-25'!$A:$A,'[3]Dec-25'!$H:$H,0)</f>
        <v>0</v>
      </c>
      <c r="AD135" s="17">
        <f>_xlfn.XLOOKUP($B135,'[3]Jan-26'!$A:$A,'[3]Jan-26'!$H:$H,0)</f>
        <v>0</v>
      </c>
      <c r="AE135" s="17">
        <f>_xlfn.XLOOKUP($B135,'[3]Feb-26'!$A:$A,'[3]Feb-26'!$H:$H,0)</f>
        <v>0</v>
      </c>
      <c r="AF135" s="17">
        <f>_xlfn.XLOOKUP($B135,'[3]Mar-26'!$A:$A,'[3]Mar-26'!$H:$H,0)</f>
        <v>0</v>
      </c>
      <c r="AG135" s="17">
        <f>_xlfn.XLOOKUP($B135,'[3]Apr-26'!$A:$A,'[3]Apr-26'!$H:$H,0)</f>
        <v>0</v>
      </c>
    </row>
    <row r="136" spans="1:33" x14ac:dyDescent="0.2">
      <c r="A136" s="58" t="s">
        <v>1083</v>
      </c>
      <c r="B136" s="56" t="str">
        <f t="shared" si="4"/>
        <v>51185</v>
      </c>
      <c r="C136" s="78" t="s">
        <v>552</v>
      </c>
      <c r="D136" s="57" t="s">
        <v>387</v>
      </c>
      <c r="E136" s="44" t="s">
        <v>1084</v>
      </c>
      <c r="F136" s="17">
        <f>_xlfn.XLOOKUP($B136,'[3]Jan-24'!$A:$A,'[3]Jan-24'!$H:$H,0)</f>
        <v>0</v>
      </c>
      <c r="G136" s="17">
        <f>_xlfn.XLOOKUP($B136,'[3]Feb-24'!$A:$A,'[3]Feb-24'!$H:$H,0)</f>
        <v>0</v>
      </c>
      <c r="H136" s="17">
        <f>_xlfn.XLOOKUP($B136,'[3]Mar-24'!$A:$A,'[3]Mar-24'!$H:$H,0)</f>
        <v>0</v>
      </c>
      <c r="I136" s="17">
        <f>_xlfn.XLOOKUP($B136,'[3]Apr-24'!$A:$A,'[3]Apr-24'!$H:$H,0)</f>
        <v>0</v>
      </c>
      <c r="J136" s="17">
        <f>_xlfn.XLOOKUP($B136,'[3]May-24'!$A:$A,'[3]May-24'!$H:$H,0)</f>
        <v>0</v>
      </c>
      <c r="K136" s="17">
        <f>_xlfn.XLOOKUP($B136,'[3]Jun-24'!$A:$A,'[3]Jun-24'!$H:$H,0)</f>
        <v>0</v>
      </c>
      <c r="L136" s="17">
        <f>_xlfn.XLOOKUP($B136,'[3]Jul-24'!$A:$A,'[3]Jul-24'!$H:$H,0)</f>
        <v>0</v>
      </c>
      <c r="M136" s="17">
        <f>_xlfn.XLOOKUP($B136,'[3]Aug-24'!$A:$A,'[3]Aug-24'!$H:$H,0)</f>
        <v>0</v>
      </c>
      <c r="N136" s="17">
        <f>_xlfn.XLOOKUP($B136,'[3]Sep-24'!$A:$A,'[3]Sep-24'!$H:$H,0)</f>
        <v>0</v>
      </c>
      <c r="O136" s="17">
        <f>_xlfn.XLOOKUP($B136,'[3]Oct-24'!$A:$A,'[3]Oct-24'!$H:$H,0)</f>
        <v>0</v>
      </c>
      <c r="P136" s="17">
        <f>_xlfn.XLOOKUP($B136,'[3]Nov-24'!$A:$A,'[3]Nov-24'!$H:$H,0)</f>
        <v>0</v>
      </c>
      <c r="Q136" s="17">
        <f>_xlfn.XLOOKUP($B136,'[3]Dec-24'!$A:$A,'[3]Dec-24'!$H:$H,0)</f>
        <v>0</v>
      </c>
      <c r="R136" s="17">
        <f>_xlfn.XLOOKUP($B136,'[3]Jan-25'!$A:$A,'[3]Jan-25'!$H:$H,0)</f>
        <v>0</v>
      </c>
      <c r="S136" s="17">
        <f>_xlfn.XLOOKUP($B136,'[3]Feb-25'!$A:$A,'[3]Feb-25'!$H:$H,0)</f>
        <v>0</v>
      </c>
      <c r="T136" s="17">
        <f>_xlfn.XLOOKUP($B136,'[3]Mar-25'!$A:$A,'[3]Mar-25'!$H:$H,0)</f>
        <v>0</v>
      </c>
      <c r="U136" s="17">
        <f>_xlfn.XLOOKUP($B136,'[3]Apr-25'!$A:$A,'[3]Apr-25'!$H:$H,0)</f>
        <v>0</v>
      </c>
      <c r="V136" s="17">
        <f>_xlfn.XLOOKUP($B136,'[3]May-25'!$A:$A,'[3]May-25'!$H:$H,0)</f>
        <v>0</v>
      </c>
      <c r="W136" s="17">
        <f>_xlfn.XLOOKUP($B136,'[3]Jun-25'!$A:$A,'[3]Jun-25'!$H:$H,0)</f>
        <v>0</v>
      </c>
      <c r="X136" s="17">
        <f>_xlfn.XLOOKUP($B136,'[3]Jul-25'!$A:$A,'[3]Jul-25'!$H:$H,0)</f>
        <v>0</v>
      </c>
      <c r="Y136" s="17">
        <f>_xlfn.XLOOKUP($B136,'[3]Aug-25'!$A:$A,'[3]Aug-25'!$H:$H,0)</f>
        <v>0</v>
      </c>
      <c r="Z136" s="17">
        <f>_xlfn.XLOOKUP($B136,'[3]Sep-25'!$A:$A,'[3]Sep-25'!$H:$H,0)</f>
        <v>0</v>
      </c>
      <c r="AA136" s="17">
        <f>_xlfn.XLOOKUP($B136,'[3]Oct-25'!$A:$A,'[3]Oct-25'!$H:$H,0)</f>
        <v>0</v>
      </c>
      <c r="AB136" s="17">
        <f>_xlfn.XLOOKUP($B136,'[3]Nov-25'!$A:$A,'[3]Nov-25'!$H:$H,0)</f>
        <v>0</v>
      </c>
      <c r="AC136" s="17">
        <f>_xlfn.XLOOKUP($B136,'[3]Dec-25'!$A:$A,'[3]Dec-25'!$H:$H,0)</f>
        <v>0</v>
      </c>
      <c r="AD136" s="17">
        <f>_xlfn.XLOOKUP($B136,'[3]Jan-26'!$A:$A,'[3]Jan-26'!$H:$H,0)</f>
        <v>0</v>
      </c>
      <c r="AE136" s="17">
        <f>_xlfn.XLOOKUP($B136,'[3]Feb-26'!$A:$A,'[3]Feb-26'!$H:$H,0)</f>
        <v>0</v>
      </c>
      <c r="AF136" s="17">
        <f>_xlfn.XLOOKUP($B136,'[3]Mar-26'!$A:$A,'[3]Mar-26'!$H:$H,0)</f>
        <v>0</v>
      </c>
      <c r="AG136" s="17">
        <f>_xlfn.XLOOKUP($B136,'[3]Apr-26'!$A:$A,'[3]Apr-26'!$H:$H,0)</f>
        <v>0</v>
      </c>
    </row>
    <row r="137" spans="1:33" x14ac:dyDescent="0.2">
      <c r="A137" s="58" t="s">
        <v>1085</v>
      </c>
      <c r="B137" s="56" t="str">
        <f t="shared" si="4"/>
        <v>51190</v>
      </c>
      <c r="C137" s="78" t="s">
        <v>552</v>
      </c>
      <c r="D137" s="57" t="s">
        <v>387</v>
      </c>
      <c r="E137" s="44" t="s">
        <v>1086</v>
      </c>
      <c r="F137" s="17">
        <f>_xlfn.XLOOKUP($B137,'[3]Jan-24'!$A:$A,'[3]Jan-24'!$H:$H,0)</f>
        <v>0</v>
      </c>
      <c r="G137" s="17">
        <f>_xlfn.XLOOKUP($B137,'[3]Feb-24'!$A:$A,'[3]Feb-24'!$H:$H,0)</f>
        <v>0</v>
      </c>
      <c r="H137" s="17">
        <f>_xlfn.XLOOKUP($B137,'[3]Mar-24'!$A:$A,'[3]Mar-24'!$H:$H,0)</f>
        <v>0</v>
      </c>
      <c r="I137" s="17">
        <f>_xlfn.XLOOKUP($B137,'[3]Apr-24'!$A:$A,'[3]Apr-24'!$H:$H,0)</f>
        <v>0</v>
      </c>
      <c r="J137" s="17">
        <f>_xlfn.XLOOKUP($B137,'[3]May-24'!$A:$A,'[3]May-24'!$H:$H,0)</f>
        <v>0</v>
      </c>
      <c r="K137" s="17">
        <f>_xlfn.XLOOKUP($B137,'[3]Jun-24'!$A:$A,'[3]Jun-24'!$H:$H,0)</f>
        <v>0</v>
      </c>
      <c r="L137" s="17">
        <f>_xlfn.XLOOKUP($B137,'[3]Jul-24'!$A:$A,'[3]Jul-24'!$H:$H,0)</f>
        <v>0</v>
      </c>
      <c r="M137" s="17">
        <f>_xlfn.XLOOKUP($B137,'[3]Aug-24'!$A:$A,'[3]Aug-24'!$H:$H,0)</f>
        <v>0</v>
      </c>
      <c r="N137" s="17">
        <f>_xlfn.XLOOKUP($B137,'[3]Sep-24'!$A:$A,'[3]Sep-24'!$H:$H,0)</f>
        <v>0</v>
      </c>
      <c r="O137" s="17">
        <f>_xlfn.XLOOKUP($B137,'[3]Oct-24'!$A:$A,'[3]Oct-24'!$H:$H,0)</f>
        <v>0</v>
      </c>
      <c r="P137" s="17">
        <f>_xlfn.XLOOKUP($B137,'[3]Nov-24'!$A:$A,'[3]Nov-24'!$H:$H,0)</f>
        <v>0</v>
      </c>
      <c r="Q137" s="17">
        <f>_xlfn.XLOOKUP($B137,'[3]Dec-24'!$A:$A,'[3]Dec-24'!$H:$H,0)</f>
        <v>0</v>
      </c>
      <c r="R137" s="17">
        <f>_xlfn.XLOOKUP($B137,'[3]Jan-25'!$A:$A,'[3]Jan-25'!$H:$H,0)</f>
        <v>0</v>
      </c>
      <c r="S137" s="17">
        <f>_xlfn.XLOOKUP($B137,'[3]Feb-25'!$A:$A,'[3]Feb-25'!$H:$H,0)</f>
        <v>0</v>
      </c>
      <c r="T137" s="17">
        <f>_xlfn.XLOOKUP($B137,'[3]Mar-25'!$A:$A,'[3]Mar-25'!$H:$H,0)</f>
        <v>0</v>
      </c>
      <c r="U137" s="17">
        <f>_xlfn.XLOOKUP($B137,'[3]Apr-25'!$A:$A,'[3]Apr-25'!$H:$H,0)</f>
        <v>0</v>
      </c>
      <c r="V137" s="17">
        <f>_xlfn.XLOOKUP($B137,'[3]May-25'!$A:$A,'[3]May-25'!$H:$H,0)</f>
        <v>0</v>
      </c>
      <c r="W137" s="17">
        <f>_xlfn.XLOOKUP($B137,'[3]Jun-25'!$A:$A,'[3]Jun-25'!$H:$H,0)</f>
        <v>0</v>
      </c>
      <c r="X137" s="17">
        <f>_xlfn.XLOOKUP($B137,'[3]Jul-25'!$A:$A,'[3]Jul-25'!$H:$H,0)</f>
        <v>0</v>
      </c>
      <c r="Y137" s="17">
        <f>_xlfn.XLOOKUP($B137,'[3]Aug-25'!$A:$A,'[3]Aug-25'!$H:$H,0)</f>
        <v>0</v>
      </c>
      <c r="Z137" s="17">
        <f>_xlfn.XLOOKUP($B137,'[3]Sep-25'!$A:$A,'[3]Sep-25'!$H:$H,0)</f>
        <v>0</v>
      </c>
      <c r="AA137" s="17">
        <f>_xlfn.XLOOKUP($B137,'[3]Oct-25'!$A:$A,'[3]Oct-25'!$H:$H,0)</f>
        <v>0</v>
      </c>
      <c r="AB137" s="17">
        <f>_xlfn.XLOOKUP($B137,'[3]Nov-25'!$A:$A,'[3]Nov-25'!$H:$H,0)</f>
        <v>0</v>
      </c>
      <c r="AC137" s="17">
        <f>_xlfn.XLOOKUP($B137,'[3]Dec-25'!$A:$A,'[3]Dec-25'!$H:$H,0)</f>
        <v>0</v>
      </c>
      <c r="AD137" s="17">
        <f>_xlfn.XLOOKUP($B137,'[3]Jan-26'!$A:$A,'[3]Jan-26'!$H:$H,0)</f>
        <v>0</v>
      </c>
      <c r="AE137" s="17">
        <f>_xlfn.XLOOKUP($B137,'[3]Feb-26'!$A:$A,'[3]Feb-26'!$H:$H,0)</f>
        <v>0</v>
      </c>
      <c r="AF137" s="17">
        <f>_xlfn.XLOOKUP($B137,'[3]Mar-26'!$A:$A,'[3]Mar-26'!$H:$H,0)</f>
        <v>0</v>
      </c>
      <c r="AG137" s="17">
        <f>_xlfn.XLOOKUP($B137,'[3]Apr-26'!$A:$A,'[3]Apr-26'!$H:$H,0)</f>
        <v>0</v>
      </c>
    </row>
    <row r="138" spans="1:33" x14ac:dyDescent="0.2">
      <c r="A138" s="58" t="s">
        <v>1087</v>
      </c>
      <c r="B138" s="56" t="str">
        <f t="shared" si="4"/>
        <v>51200</v>
      </c>
      <c r="C138" s="78" t="s">
        <v>517</v>
      </c>
      <c r="D138" s="57" t="s">
        <v>387</v>
      </c>
      <c r="E138" s="44" t="s">
        <v>523</v>
      </c>
      <c r="F138" s="17">
        <f>_xlfn.XLOOKUP($B138,'[3]Jan-24'!$A:$A,'[3]Jan-24'!$H:$H,0)</f>
        <v>0</v>
      </c>
      <c r="G138" s="17">
        <f>_xlfn.XLOOKUP($B138,'[3]Feb-24'!$A:$A,'[3]Feb-24'!$H:$H,0)</f>
        <v>0</v>
      </c>
      <c r="H138" s="17">
        <f>_xlfn.XLOOKUP($B138,'[3]Mar-24'!$A:$A,'[3]Mar-24'!$H:$H,0)</f>
        <v>0</v>
      </c>
      <c r="I138" s="17">
        <f>_xlfn.XLOOKUP($B138,'[3]Apr-24'!$A:$A,'[3]Apr-24'!$H:$H,0)</f>
        <v>0</v>
      </c>
      <c r="J138" s="17">
        <f>_xlfn.XLOOKUP($B138,'[3]May-24'!$A:$A,'[3]May-24'!$H:$H,0)</f>
        <v>0</v>
      </c>
      <c r="K138" s="17">
        <f>_xlfn.XLOOKUP($B138,'[3]Jun-24'!$A:$A,'[3]Jun-24'!$H:$H,0)</f>
        <v>0</v>
      </c>
      <c r="L138" s="17">
        <f>_xlfn.XLOOKUP($B138,'[3]Jul-24'!$A:$A,'[3]Jul-24'!$H:$H,0)</f>
        <v>0</v>
      </c>
      <c r="M138" s="17">
        <f>_xlfn.XLOOKUP($B138,'[3]Aug-24'!$A:$A,'[3]Aug-24'!$H:$H,0)</f>
        <v>0</v>
      </c>
      <c r="N138" s="17">
        <f>_xlfn.XLOOKUP($B138,'[3]Sep-24'!$A:$A,'[3]Sep-24'!$H:$H,0)</f>
        <v>0</v>
      </c>
      <c r="O138" s="17">
        <f>_xlfn.XLOOKUP($B138,'[3]Oct-24'!$A:$A,'[3]Oct-24'!$H:$H,0)</f>
        <v>0</v>
      </c>
      <c r="P138" s="17">
        <f>_xlfn.XLOOKUP($B138,'[3]Nov-24'!$A:$A,'[3]Nov-24'!$H:$H,0)</f>
        <v>0</v>
      </c>
      <c r="Q138" s="17">
        <f>_xlfn.XLOOKUP($B138,'[3]Dec-24'!$A:$A,'[3]Dec-24'!$H:$H,0)</f>
        <v>0</v>
      </c>
      <c r="R138" s="17">
        <f>_xlfn.XLOOKUP($B138,'[3]Jan-25'!$A:$A,'[3]Jan-25'!$H:$H,0)</f>
        <v>0</v>
      </c>
      <c r="S138" s="17">
        <f>_xlfn.XLOOKUP($B138,'[3]Feb-25'!$A:$A,'[3]Feb-25'!$H:$H,0)</f>
        <v>0</v>
      </c>
      <c r="T138" s="17">
        <f>_xlfn.XLOOKUP($B138,'[3]Mar-25'!$A:$A,'[3]Mar-25'!$H:$H,0)</f>
        <v>0</v>
      </c>
      <c r="U138" s="17">
        <f>_xlfn.XLOOKUP($B138,'[3]Apr-25'!$A:$A,'[3]Apr-25'!$H:$H,0)</f>
        <v>0</v>
      </c>
      <c r="V138" s="17">
        <f>_xlfn.XLOOKUP($B138,'[3]May-25'!$A:$A,'[3]May-25'!$H:$H,0)</f>
        <v>0</v>
      </c>
      <c r="W138" s="17">
        <f>_xlfn.XLOOKUP($B138,'[3]Jun-25'!$A:$A,'[3]Jun-25'!$H:$H,0)</f>
        <v>0</v>
      </c>
      <c r="X138" s="17">
        <f>_xlfn.XLOOKUP($B138,'[3]Jul-25'!$A:$A,'[3]Jul-25'!$H:$H,0)</f>
        <v>0</v>
      </c>
      <c r="Y138" s="17">
        <f>_xlfn.XLOOKUP($B138,'[3]Aug-25'!$A:$A,'[3]Aug-25'!$H:$H,0)</f>
        <v>0</v>
      </c>
      <c r="Z138" s="17">
        <f>_xlfn.XLOOKUP($B138,'[3]Sep-25'!$A:$A,'[3]Sep-25'!$H:$H,0)</f>
        <v>0</v>
      </c>
      <c r="AA138" s="17">
        <f>_xlfn.XLOOKUP($B138,'[3]Oct-25'!$A:$A,'[3]Oct-25'!$H:$H,0)</f>
        <v>0</v>
      </c>
      <c r="AB138" s="17">
        <f>_xlfn.XLOOKUP($B138,'[3]Nov-25'!$A:$A,'[3]Nov-25'!$H:$H,0)</f>
        <v>0</v>
      </c>
      <c r="AC138" s="17">
        <f>_xlfn.XLOOKUP($B138,'[3]Dec-25'!$A:$A,'[3]Dec-25'!$H:$H,0)</f>
        <v>0</v>
      </c>
      <c r="AD138" s="17">
        <f>_xlfn.XLOOKUP($B138,'[3]Jan-26'!$A:$A,'[3]Jan-26'!$H:$H,0)</f>
        <v>0</v>
      </c>
      <c r="AE138" s="17">
        <f>_xlfn.XLOOKUP($B138,'[3]Feb-26'!$A:$A,'[3]Feb-26'!$H:$H,0)</f>
        <v>0</v>
      </c>
      <c r="AF138" s="17">
        <f>_xlfn.XLOOKUP($B138,'[3]Mar-26'!$A:$A,'[3]Mar-26'!$H:$H,0)</f>
        <v>0</v>
      </c>
      <c r="AG138" s="17">
        <f>_xlfn.XLOOKUP($B138,'[3]Apr-26'!$A:$A,'[3]Apr-26'!$H:$H,0)</f>
        <v>0</v>
      </c>
    </row>
    <row r="139" spans="1:33" x14ac:dyDescent="0.2">
      <c r="A139" s="58" t="s">
        <v>898</v>
      </c>
      <c r="B139" s="56" t="str">
        <f t="shared" si="4"/>
        <v>51225</v>
      </c>
      <c r="C139" s="78" t="s">
        <v>552</v>
      </c>
      <c r="D139" s="57" t="s">
        <v>387</v>
      </c>
      <c r="E139" s="44" t="s">
        <v>1088</v>
      </c>
      <c r="F139" s="17">
        <f>_xlfn.XLOOKUP($B139,'[3]Jan-24'!$A:$A,'[3]Jan-24'!$H:$H,0)</f>
        <v>919.14</v>
      </c>
      <c r="G139" s="17">
        <f>_xlfn.XLOOKUP($B139,'[3]Feb-24'!$A:$A,'[3]Feb-24'!$H:$H,0)</f>
        <v>919.14</v>
      </c>
      <c r="H139" s="17">
        <f>_xlfn.XLOOKUP($B139,'[3]Mar-24'!$A:$A,'[3]Mar-24'!$H:$H,0)</f>
        <v>919.14</v>
      </c>
      <c r="I139" s="17">
        <f>_xlfn.XLOOKUP($B139,'[3]Apr-24'!$A:$A,'[3]Apr-24'!$H:$H,0)</f>
        <v>919.14</v>
      </c>
      <c r="J139" s="17">
        <f>_xlfn.XLOOKUP($B139,'[3]May-24'!$A:$A,'[3]May-24'!$H:$H,0)</f>
        <v>106856.14</v>
      </c>
      <c r="K139" s="17">
        <f>_xlfn.XLOOKUP($B139,'[3]Jun-24'!$A:$A,'[3]Jun-24'!$H:$H,0)</f>
        <v>919.14</v>
      </c>
      <c r="L139" s="17">
        <f>_xlfn.XLOOKUP($B139,'[3]Jul-24'!$A:$A,'[3]Jul-24'!$H:$H,0)</f>
        <v>919.14</v>
      </c>
      <c r="M139" s="17">
        <f>_xlfn.XLOOKUP($B139,'[3]Aug-24'!$A:$A,'[3]Aug-24'!$H:$H,0)</f>
        <v>750</v>
      </c>
      <c r="N139" s="17">
        <f>_xlfn.XLOOKUP($B139,'[3]Sep-24'!$A:$A,'[3]Sep-24'!$H:$H,0)</f>
        <v>750</v>
      </c>
      <c r="O139" s="17">
        <f>_xlfn.XLOOKUP($B139,'[3]Oct-24'!$A:$A,'[3]Oct-24'!$H:$H,0)</f>
        <v>750</v>
      </c>
      <c r="P139" s="17">
        <f>_xlfn.XLOOKUP($B139,'[3]Nov-24'!$A:$A,'[3]Nov-24'!$H:$H,0)</f>
        <v>0</v>
      </c>
      <c r="Q139" s="17">
        <f>_xlfn.XLOOKUP($B139,'[3]Dec-24'!$A:$A,'[3]Dec-24'!$H:$H,0)</f>
        <v>0</v>
      </c>
      <c r="R139" s="17">
        <f>_xlfn.XLOOKUP($B139,'[3]Jan-25'!$A:$A,'[3]Jan-25'!$H:$H,0)</f>
        <v>0</v>
      </c>
      <c r="S139" s="17">
        <f>_xlfn.XLOOKUP($B139,'[3]Feb-25'!$A:$A,'[3]Feb-25'!$H:$H,0)</f>
        <v>0</v>
      </c>
      <c r="T139" s="17">
        <f>_xlfn.XLOOKUP($B139,'[3]Mar-25'!$A:$A,'[3]Mar-25'!$H:$H,0)</f>
        <v>0</v>
      </c>
      <c r="U139" s="17">
        <f>_xlfn.XLOOKUP($B139,'[3]Apr-25'!$A:$A,'[3]Apr-25'!$H:$H,0)</f>
        <v>0</v>
      </c>
      <c r="V139" s="17">
        <f>_xlfn.XLOOKUP($B139,'[3]May-25'!$A:$A,'[3]May-25'!$H:$H,0)</f>
        <v>0</v>
      </c>
      <c r="W139" s="17">
        <f>_xlfn.XLOOKUP($B139,'[3]Jun-25'!$A:$A,'[3]Jun-25'!$H:$H,0)</f>
        <v>0</v>
      </c>
      <c r="X139" s="17">
        <f>_xlfn.XLOOKUP($B139,'[3]Jul-25'!$A:$A,'[3]Jul-25'!$H:$H,0)</f>
        <v>0</v>
      </c>
      <c r="Y139" s="17">
        <f>_xlfn.XLOOKUP($B139,'[3]Aug-25'!$A:$A,'[3]Aug-25'!$H:$H,0)</f>
        <v>0</v>
      </c>
      <c r="Z139" s="17">
        <f>_xlfn.XLOOKUP($B139,'[3]Sep-25'!$A:$A,'[3]Sep-25'!$H:$H,0)</f>
        <v>0</v>
      </c>
      <c r="AA139" s="17">
        <f>_xlfn.XLOOKUP($B139,'[3]Oct-25'!$A:$A,'[3]Oct-25'!$H:$H,0)</f>
        <v>0</v>
      </c>
      <c r="AB139" s="17">
        <f>_xlfn.XLOOKUP($B139,'[3]Nov-25'!$A:$A,'[3]Nov-25'!$H:$H,0)</f>
        <v>0</v>
      </c>
      <c r="AC139" s="17">
        <f>_xlfn.XLOOKUP($B139,'[3]Dec-25'!$A:$A,'[3]Dec-25'!$H:$H,0)</f>
        <v>0</v>
      </c>
      <c r="AD139" s="17">
        <f>_xlfn.XLOOKUP($B139,'[3]Jan-26'!$A:$A,'[3]Jan-26'!$H:$H,0)</f>
        <v>0</v>
      </c>
      <c r="AE139" s="17">
        <f>_xlfn.XLOOKUP($B139,'[3]Feb-26'!$A:$A,'[3]Feb-26'!$H:$H,0)</f>
        <v>0</v>
      </c>
      <c r="AF139" s="17">
        <f>_xlfn.XLOOKUP($B139,'[3]Mar-26'!$A:$A,'[3]Mar-26'!$H:$H,0)</f>
        <v>0</v>
      </c>
      <c r="AG139" s="17">
        <f>_xlfn.XLOOKUP($B139,'[3]Apr-26'!$A:$A,'[3]Apr-26'!$H:$H,0)</f>
        <v>0</v>
      </c>
    </row>
    <row r="140" spans="1:33" x14ac:dyDescent="0.2">
      <c r="A140" s="58" t="s">
        <v>892</v>
      </c>
      <c r="B140" s="56" t="str">
        <f t="shared" si="4"/>
        <v>51235</v>
      </c>
      <c r="C140" s="78" t="s">
        <v>565</v>
      </c>
      <c r="D140" s="57" t="s">
        <v>387</v>
      </c>
      <c r="E140" s="44" t="s">
        <v>1089</v>
      </c>
      <c r="F140" s="17">
        <f>_xlfn.XLOOKUP($B140,'[3]Jan-24'!$A:$A,'[3]Jan-24'!$H:$H,0)</f>
        <v>37500</v>
      </c>
      <c r="G140" s="17">
        <f>_xlfn.XLOOKUP($B140,'[3]Feb-24'!$A:$A,'[3]Feb-24'!$H:$H,0)</f>
        <v>37500</v>
      </c>
      <c r="H140" s="17">
        <f>_xlfn.XLOOKUP($B140,'[3]Mar-24'!$A:$A,'[3]Mar-24'!$H:$H,0)</f>
        <v>37500</v>
      </c>
      <c r="I140" s="17">
        <f>_xlfn.XLOOKUP($B140,'[3]Apr-24'!$A:$A,'[3]Apr-24'!$H:$H,0)</f>
        <v>37500</v>
      </c>
      <c r="J140" s="17">
        <f>_xlfn.XLOOKUP($B140,'[3]May-24'!$A:$A,'[3]May-24'!$H:$H,0)</f>
        <v>56250</v>
      </c>
      <c r="K140" s="17">
        <f>_xlfn.XLOOKUP($B140,'[3]Jun-24'!$A:$A,'[3]Jun-24'!$H:$H,0)</f>
        <v>0</v>
      </c>
      <c r="L140" s="17">
        <f>_xlfn.XLOOKUP($B140,'[3]Jul-24'!$A:$A,'[3]Jul-24'!$H:$H,0)</f>
        <v>131250</v>
      </c>
      <c r="M140" s="17">
        <f>_xlfn.XLOOKUP($B140,'[3]Aug-24'!$A:$A,'[3]Aug-24'!$H:$H,0)</f>
        <v>56250</v>
      </c>
      <c r="N140" s="17">
        <f>_xlfn.XLOOKUP($B140,'[3]Sep-24'!$A:$A,'[3]Sep-24'!$H:$H,0)</f>
        <v>37500</v>
      </c>
      <c r="O140" s="17">
        <f>_xlfn.XLOOKUP($B140,'[3]Oct-24'!$A:$A,'[3]Oct-24'!$H:$H,0)</f>
        <v>75000</v>
      </c>
      <c r="P140" s="17">
        <f>_xlfn.XLOOKUP($B140,'[3]Nov-24'!$A:$A,'[3]Nov-24'!$H:$H,0)</f>
        <v>0</v>
      </c>
      <c r="Q140" s="17">
        <f>_xlfn.XLOOKUP($B140,'[3]Dec-24'!$A:$A,'[3]Dec-24'!$H:$H,0)</f>
        <v>0</v>
      </c>
      <c r="R140" s="17">
        <f>_xlfn.XLOOKUP($B140,'[3]Jan-25'!$A:$A,'[3]Jan-25'!$H:$H,0)</f>
        <v>0</v>
      </c>
      <c r="S140" s="17">
        <f>_xlfn.XLOOKUP($B140,'[3]Feb-25'!$A:$A,'[3]Feb-25'!$H:$H,0)</f>
        <v>0</v>
      </c>
      <c r="T140" s="17">
        <f>_xlfn.XLOOKUP($B140,'[3]Mar-25'!$A:$A,'[3]Mar-25'!$H:$H,0)</f>
        <v>0</v>
      </c>
      <c r="U140" s="17">
        <f>_xlfn.XLOOKUP($B140,'[3]Apr-25'!$A:$A,'[3]Apr-25'!$H:$H,0)</f>
        <v>0</v>
      </c>
      <c r="V140" s="17">
        <f>_xlfn.XLOOKUP($B140,'[3]May-25'!$A:$A,'[3]May-25'!$H:$H,0)</f>
        <v>0</v>
      </c>
      <c r="W140" s="17">
        <f>_xlfn.XLOOKUP($B140,'[3]Jun-25'!$A:$A,'[3]Jun-25'!$H:$H,0)</f>
        <v>0</v>
      </c>
      <c r="X140" s="17">
        <f>_xlfn.XLOOKUP($B140,'[3]Jul-25'!$A:$A,'[3]Jul-25'!$H:$H,0)</f>
        <v>0</v>
      </c>
      <c r="Y140" s="17">
        <f>_xlfn.XLOOKUP($B140,'[3]Aug-25'!$A:$A,'[3]Aug-25'!$H:$H,0)</f>
        <v>0</v>
      </c>
      <c r="Z140" s="17">
        <f>_xlfn.XLOOKUP($B140,'[3]Sep-25'!$A:$A,'[3]Sep-25'!$H:$H,0)</f>
        <v>0</v>
      </c>
      <c r="AA140" s="17">
        <f>_xlfn.XLOOKUP($B140,'[3]Oct-25'!$A:$A,'[3]Oct-25'!$H:$H,0)</f>
        <v>0</v>
      </c>
      <c r="AB140" s="17">
        <f>_xlfn.XLOOKUP($B140,'[3]Nov-25'!$A:$A,'[3]Nov-25'!$H:$H,0)</f>
        <v>0</v>
      </c>
      <c r="AC140" s="17">
        <f>_xlfn.XLOOKUP($B140,'[3]Dec-25'!$A:$A,'[3]Dec-25'!$H:$H,0)</f>
        <v>0</v>
      </c>
      <c r="AD140" s="17">
        <f>_xlfn.XLOOKUP($B140,'[3]Jan-26'!$A:$A,'[3]Jan-26'!$H:$H,0)</f>
        <v>0</v>
      </c>
      <c r="AE140" s="17">
        <f>_xlfn.XLOOKUP($B140,'[3]Feb-26'!$A:$A,'[3]Feb-26'!$H:$H,0)</f>
        <v>0</v>
      </c>
      <c r="AF140" s="17">
        <f>_xlfn.XLOOKUP($B140,'[3]Mar-26'!$A:$A,'[3]Mar-26'!$H:$H,0)</f>
        <v>0</v>
      </c>
      <c r="AG140" s="17">
        <f>_xlfn.XLOOKUP($B140,'[3]Apr-26'!$A:$A,'[3]Apr-26'!$H:$H,0)</f>
        <v>0</v>
      </c>
    </row>
    <row r="141" spans="1:33" x14ac:dyDescent="0.2">
      <c r="A141" s="58" t="s">
        <v>899</v>
      </c>
      <c r="B141" s="56" t="str">
        <f t="shared" si="4"/>
        <v>51240</v>
      </c>
      <c r="C141" s="78" t="s">
        <v>552</v>
      </c>
      <c r="D141" s="57" t="s">
        <v>387</v>
      </c>
      <c r="E141" s="44" t="s">
        <v>1090</v>
      </c>
      <c r="F141" s="17">
        <f>_xlfn.XLOOKUP($B141,'[3]Jan-24'!$A:$A,'[3]Jan-24'!$H:$H,0)</f>
        <v>0</v>
      </c>
      <c r="G141" s="17">
        <f>_xlfn.XLOOKUP($B141,'[3]Feb-24'!$A:$A,'[3]Feb-24'!$H:$H,0)</f>
        <v>315</v>
      </c>
      <c r="H141" s="17">
        <f>_xlfn.XLOOKUP($B141,'[3]Mar-24'!$A:$A,'[3]Mar-24'!$H:$H,0)</f>
        <v>0</v>
      </c>
      <c r="I141" s="17">
        <f>_xlfn.XLOOKUP($B141,'[3]Apr-24'!$A:$A,'[3]Apr-24'!$H:$H,0)</f>
        <v>0</v>
      </c>
      <c r="J141" s="17">
        <f>_xlfn.XLOOKUP($B141,'[3]May-24'!$A:$A,'[3]May-24'!$H:$H,0)</f>
        <v>0</v>
      </c>
      <c r="K141" s="17">
        <f>_xlfn.XLOOKUP($B141,'[3]Jun-24'!$A:$A,'[3]Jun-24'!$H:$H,0)</f>
        <v>0</v>
      </c>
      <c r="L141" s="17">
        <f>_xlfn.XLOOKUP($B141,'[3]Jul-24'!$A:$A,'[3]Jul-24'!$H:$H,0)</f>
        <v>0</v>
      </c>
      <c r="M141" s="17">
        <f>_xlfn.XLOOKUP($B141,'[3]Aug-24'!$A:$A,'[3]Aug-24'!$H:$H,0)</f>
        <v>316</v>
      </c>
      <c r="N141" s="17">
        <f>_xlfn.XLOOKUP($B141,'[3]Sep-24'!$A:$A,'[3]Sep-24'!$H:$H,0)</f>
        <v>0</v>
      </c>
      <c r="O141" s="17">
        <f>_xlfn.XLOOKUP($B141,'[3]Oct-24'!$A:$A,'[3]Oct-24'!$H:$H,0)</f>
        <v>0</v>
      </c>
      <c r="P141" s="17">
        <f>_xlfn.XLOOKUP($B141,'[3]Nov-24'!$A:$A,'[3]Nov-24'!$H:$H,0)</f>
        <v>422</v>
      </c>
      <c r="Q141" s="17">
        <f>_xlfn.XLOOKUP($B141,'[3]Dec-24'!$A:$A,'[3]Dec-24'!$H:$H,0)</f>
        <v>0</v>
      </c>
      <c r="R141" s="17">
        <f>_xlfn.XLOOKUP($B141,'[3]Jan-25'!$A:$A,'[3]Jan-25'!$H:$H,0)</f>
        <v>0</v>
      </c>
      <c r="S141" s="17">
        <f>_xlfn.XLOOKUP($B141,'[3]Feb-25'!$A:$A,'[3]Feb-25'!$H:$H,0)</f>
        <v>0</v>
      </c>
      <c r="T141" s="17">
        <f>_xlfn.XLOOKUP($B141,'[3]Mar-25'!$A:$A,'[3]Mar-25'!$H:$H,0)</f>
        <v>0</v>
      </c>
      <c r="U141" s="17">
        <f>_xlfn.XLOOKUP($B141,'[3]Apr-25'!$A:$A,'[3]Apr-25'!$H:$H,0)</f>
        <v>0</v>
      </c>
      <c r="V141" s="17">
        <f>_xlfn.XLOOKUP($B141,'[3]May-25'!$A:$A,'[3]May-25'!$H:$H,0)</f>
        <v>0</v>
      </c>
      <c r="W141" s="17">
        <f>_xlfn.XLOOKUP($B141,'[3]Jun-25'!$A:$A,'[3]Jun-25'!$H:$H,0)</f>
        <v>0</v>
      </c>
      <c r="X141" s="17">
        <f>_xlfn.XLOOKUP($B141,'[3]Jul-25'!$A:$A,'[3]Jul-25'!$H:$H,0)</f>
        <v>0</v>
      </c>
      <c r="Y141" s="17">
        <f>_xlfn.XLOOKUP($B141,'[3]Aug-25'!$A:$A,'[3]Aug-25'!$H:$H,0)</f>
        <v>0</v>
      </c>
      <c r="Z141" s="17">
        <f>_xlfn.XLOOKUP($B141,'[3]Sep-25'!$A:$A,'[3]Sep-25'!$H:$H,0)</f>
        <v>0</v>
      </c>
      <c r="AA141" s="17">
        <f>_xlfn.XLOOKUP($B141,'[3]Oct-25'!$A:$A,'[3]Oct-25'!$H:$H,0)</f>
        <v>0</v>
      </c>
      <c r="AB141" s="17">
        <f>_xlfn.XLOOKUP($B141,'[3]Nov-25'!$A:$A,'[3]Nov-25'!$H:$H,0)</f>
        <v>0</v>
      </c>
      <c r="AC141" s="17">
        <f>_xlfn.XLOOKUP($B141,'[3]Dec-25'!$A:$A,'[3]Dec-25'!$H:$H,0)</f>
        <v>0</v>
      </c>
      <c r="AD141" s="17">
        <f>_xlfn.XLOOKUP($B141,'[3]Jan-26'!$A:$A,'[3]Jan-26'!$H:$H,0)</f>
        <v>0</v>
      </c>
      <c r="AE141" s="17">
        <f>_xlfn.XLOOKUP($B141,'[3]Feb-26'!$A:$A,'[3]Feb-26'!$H:$H,0)</f>
        <v>0</v>
      </c>
      <c r="AF141" s="17">
        <f>_xlfn.XLOOKUP($B141,'[3]Mar-26'!$A:$A,'[3]Mar-26'!$H:$H,0)</f>
        <v>0</v>
      </c>
      <c r="AG141" s="17">
        <f>_xlfn.XLOOKUP($B141,'[3]Apr-26'!$A:$A,'[3]Apr-26'!$H:$H,0)</f>
        <v>0</v>
      </c>
    </row>
    <row r="142" spans="1:33" x14ac:dyDescent="0.2">
      <c r="A142" s="58" t="s">
        <v>1091</v>
      </c>
      <c r="B142" s="56" t="str">
        <f t="shared" si="4"/>
        <v>51250</v>
      </c>
      <c r="C142" s="78" t="s">
        <v>565</v>
      </c>
      <c r="D142" s="57" t="s">
        <v>387</v>
      </c>
      <c r="E142" s="44" t="s">
        <v>1092</v>
      </c>
      <c r="F142" s="17">
        <f>_xlfn.XLOOKUP($B142,'[3]Jan-24'!$A:$A,'[3]Jan-24'!$H:$H,0)</f>
        <v>0</v>
      </c>
      <c r="G142" s="17">
        <f>_xlfn.XLOOKUP($B142,'[3]Feb-24'!$A:$A,'[3]Feb-24'!$H:$H,0)</f>
        <v>0</v>
      </c>
      <c r="H142" s="17">
        <f>_xlfn.XLOOKUP($B142,'[3]Mar-24'!$A:$A,'[3]Mar-24'!$H:$H,0)</f>
        <v>0</v>
      </c>
      <c r="I142" s="17">
        <f>_xlfn.XLOOKUP($B142,'[3]Apr-24'!$A:$A,'[3]Apr-24'!$H:$H,0)</f>
        <v>0</v>
      </c>
      <c r="J142" s="17">
        <f>_xlfn.XLOOKUP($B142,'[3]May-24'!$A:$A,'[3]May-24'!$H:$H,0)</f>
        <v>0</v>
      </c>
      <c r="K142" s="17">
        <f>_xlfn.XLOOKUP($B142,'[3]Jun-24'!$A:$A,'[3]Jun-24'!$H:$H,0)</f>
        <v>0</v>
      </c>
      <c r="L142" s="17">
        <f>_xlfn.XLOOKUP($B142,'[3]Jul-24'!$A:$A,'[3]Jul-24'!$H:$H,0)</f>
        <v>0</v>
      </c>
      <c r="M142" s="17">
        <f>_xlfn.XLOOKUP($B142,'[3]Aug-24'!$A:$A,'[3]Aug-24'!$H:$H,0)</f>
        <v>0</v>
      </c>
      <c r="N142" s="17">
        <f>_xlfn.XLOOKUP($B142,'[3]Sep-24'!$A:$A,'[3]Sep-24'!$H:$H,0)</f>
        <v>0</v>
      </c>
      <c r="O142" s="17">
        <f>_xlfn.XLOOKUP($B142,'[3]Oct-24'!$A:$A,'[3]Oct-24'!$H:$H,0)</f>
        <v>0</v>
      </c>
      <c r="P142" s="17">
        <f>_xlfn.XLOOKUP($B142,'[3]Nov-24'!$A:$A,'[3]Nov-24'!$H:$H,0)</f>
        <v>0</v>
      </c>
      <c r="Q142" s="17">
        <f>_xlfn.XLOOKUP($B142,'[3]Dec-24'!$A:$A,'[3]Dec-24'!$H:$H,0)</f>
        <v>0</v>
      </c>
      <c r="R142" s="17">
        <f>_xlfn.XLOOKUP($B142,'[3]Jan-25'!$A:$A,'[3]Jan-25'!$H:$H,0)</f>
        <v>0</v>
      </c>
      <c r="S142" s="17">
        <f>_xlfn.XLOOKUP($B142,'[3]Feb-25'!$A:$A,'[3]Feb-25'!$H:$H,0)</f>
        <v>0</v>
      </c>
      <c r="T142" s="17">
        <f>_xlfn.XLOOKUP($B142,'[3]Mar-25'!$A:$A,'[3]Mar-25'!$H:$H,0)</f>
        <v>0</v>
      </c>
      <c r="U142" s="17">
        <f>_xlfn.XLOOKUP($B142,'[3]Apr-25'!$A:$A,'[3]Apr-25'!$H:$H,0)</f>
        <v>0</v>
      </c>
      <c r="V142" s="17">
        <f>_xlfn.XLOOKUP($B142,'[3]May-25'!$A:$A,'[3]May-25'!$H:$H,0)</f>
        <v>0</v>
      </c>
      <c r="W142" s="17">
        <f>_xlfn.XLOOKUP($B142,'[3]Jun-25'!$A:$A,'[3]Jun-25'!$H:$H,0)</f>
        <v>0</v>
      </c>
      <c r="X142" s="17">
        <f>_xlfn.XLOOKUP($B142,'[3]Jul-25'!$A:$A,'[3]Jul-25'!$H:$H,0)</f>
        <v>0</v>
      </c>
      <c r="Y142" s="17">
        <f>_xlfn.XLOOKUP($B142,'[3]Aug-25'!$A:$A,'[3]Aug-25'!$H:$H,0)</f>
        <v>0</v>
      </c>
      <c r="Z142" s="17">
        <f>_xlfn.XLOOKUP($B142,'[3]Sep-25'!$A:$A,'[3]Sep-25'!$H:$H,0)</f>
        <v>0</v>
      </c>
      <c r="AA142" s="17">
        <f>_xlfn.XLOOKUP($B142,'[3]Oct-25'!$A:$A,'[3]Oct-25'!$H:$H,0)</f>
        <v>0</v>
      </c>
      <c r="AB142" s="17">
        <f>_xlfn.XLOOKUP($B142,'[3]Nov-25'!$A:$A,'[3]Nov-25'!$H:$H,0)</f>
        <v>0</v>
      </c>
      <c r="AC142" s="17">
        <f>_xlfn.XLOOKUP($B142,'[3]Dec-25'!$A:$A,'[3]Dec-25'!$H:$H,0)</f>
        <v>0</v>
      </c>
      <c r="AD142" s="17">
        <f>_xlfn.XLOOKUP($B142,'[3]Jan-26'!$A:$A,'[3]Jan-26'!$H:$H,0)</f>
        <v>0</v>
      </c>
      <c r="AE142" s="17">
        <f>_xlfn.XLOOKUP($B142,'[3]Feb-26'!$A:$A,'[3]Feb-26'!$H:$H,0)</f>
        <v>0</v>
      </c>
      <c r="AF142" s="17">
        <f>_xlfn.XLOOKUP($B142,'[3]Mar-26'!$A:$A,'[3]Mar-26'!$H:$H,0)</f>
        <v>0</v>
      </c>
      <c r="AG142" s="17">
        <f>_xlfn.XLOOKUP($B142,'[3]Apr-26'!$A:$A,'[3]Apr-26'!$H:$H,0)</f>
        <v>0</v>
      </c>
    </row>
    <row r="143" spans="1:33" x14ac:dyDescent="0.2">
      <c r="A143" s="58" t="s">
        <v>900</v>
      </c>
      <c r="B143" s="56" t="str">
        <f t="shared" si="4"/>
        <v>51265</v>
      </c>
      <c r="C143" s="78" t="s">
        <v>552</v>
      </c>
      <c r="D143" s="57" t="s">
        <v>387</v>
      </c>
      <c r="E143" s="44" t="s">
        <v>1093</v>
      </c>
      <c r="F143" s="17">
        <f>_xlfn.XLOOKUP($B143,'[3]Jan-24'!$A:$A,'[3]Jan-24'!$H:$H,0)</f>
        <v>0</v>
      </c>
      <c r="G143" s="17">
        <f>_xlfn.XLOOKUP($B143,'[3]Feb-24'!$A:$A,'[3]Feb-24'!$H:$H,0)</f>
        <v>0</v>
      </c>
      <c r="H143" s="17">
        <f>_xlfn.XLOOKUP($B143,'[3]Mar-24'!$A:$A,'[3]Mar-24'!$H:$H,0)</f>
        <v>39.5</v>
      </c>
      <c r="I143" s="17">
        <f>_xlfn.XLOOKUP($B143,'[3]Apr-24'!$A:$A,'[3]Apr-24'!$H:$H,0)</f>
        <v>0</v>
      </c>
      <c r="J143" s="17">
        <f>_xlfn.XLOOKUP($B143,'[3]May-24'!$A:$A,'[3]May-24'!$H:$H,0)</f>
        <v>0</v>
      </c>
      <c r="K143" s="17">
        <f>_xlfn.XLOOKUP($B143,'[3]Jun-24'!$A:$A,'[3]Jun-24'!$H:$H,0)</f>
        <v>0</v>
      </c>
      <c r="L143" s="17">
        <f>_xlfn.XLOOKUP($B143,'[3]Jul-24'!$A:$A,'[3]Jul-24'!$H:$H,0)</f>
        <v>0</v>
      </c>
      <c r="M143" s="17">
        <f>_xlfn.XLOOKUP($B143,'[3]Aug-24'!$A:$A,'[3]Aug-24'!$H:$H,0)</f>
        <v>0</v>
      </c>
      <c r="N143" s="17">
        <f>_xlfn.XLOOKUP($B143,'[3]Sep-24'!$A:$A,'[3]Sep-24'!$H:$H,0)</f>
        <v>0</v>
      </c>
      <c r="O143" s="17">
        <f>_xlfn.XLOOKUP($B143,'[3]Oct-24'!$A:$A,'[3]Oct-24'!$H:$H,0)</f>
        <v>0</v>
      </c>
      <c r="P143" s="17">
        <f>_xlfn.XLOOKUP($B143,'[3]Nov-24'!$A:$A,'[3]Nov-24'!$H:$H,0)</f>
        <v>0</v>
      </c>
      <c r="Q143" s="17">
        <f>_xlfn.XLOOKUP($B143,'[3]Dec-24'!$A:$A,'[3]Dec-24'!$H:$H,0)</f>
        <v>0</v>
      </c>
      <c r="R143" s="17">
        <f>_xlfn.XLOOKUP($B143,'[3]Jan-25'!$A:$A,'[3]Jan-25'!$H:$H,0)</f>
        <v>0</v>
      </c>
      <c r="S143" s="17">
        <f>_xlfn.XLOOKUP($B143,'[3]Feb-25'!$A:$A,'[3]Feb-25'!$H:$H,0)</f>
        <v>0</v>
      </c>
      <c r="T143" s="17">
        <f>_xlfn.XLOOKUP($B143,'[3]Mar-25'!$A:$A,'[3]Mar-25'!$H:$H,0)</f>
        <v>0</v>
      </c>
      <c r="U143" s="17">
        <f>_xlfn.XLOOKUP($B143,'[3]Apr-25'!$A:$A,'[3]Apr-25'!$H:$H,0)</f>
        <v>0</v>
      </c>
      <c r="V143" s="17">
        <f>_xlfn.XLOOKUP($B143,'[3]May-25'!$A:$A,'[3]May-25'!$H:$H,0)</f>
        <v>0</v>
      </c>
      <c r="W143" s="17">
        <f>_xlfn.XLOOKUP($B143,'[3]Jun-25'!$A:$A,'[3]Jun-25'!$H:$H,0)</f>
        <v>0</v>
      </c>
      <c r="X143" s="17">
        <f>_xlfn.XLOOKUP($B143,'[3]Jul-25'!$A:$A,'[3]Jul-25'!$H:$H,0)</f>
        <v>0</v>
      </c>
      <c r="Y143" s="17">
        <f>_xlfn.XLOOKUP($B143,'[3]Aug-25'!$A:$A,'[3]Aug-25'!$H:$H,0)</f>
        <v>0</v>
      </c>
      <c r="Z143" s="17">
        <f>_xlfn.XLOOKUP($B143,'[3]Sep-25'!$A:$A,'[3]Sep-25'!$H:$H,0)</f>
        <v>0</v>
      </c>
      <c r="AA143" s="17">
        <f>_xlfn.XLOOKUP($B143,'[3]Oct-25'!$A:$A,'[3]Oct-25'!$H:$H,0)</f>
        <v>0</v>
      </c>
      <c r="AB143" s="17">
        <f>_xlfn.XLOOKUP($B143,'[3]Nov-25'!$A:$A,'[3]Nov-25'!$H:$H,0)</f>
        <v>0</v>
      </c>
      <c r="AC143" s="17">
        <f>_xlfn.XLOOKUP($B143,'[3]Dec-25'!$A:$A,'[3]Dec-25'!$H:$H,0)</f>
        <v>0</v>
      </c>
      <c r="AD143" s="17">
        <f>_xlfn.XLOOKUP($B143,'[3]Jan-26'!$A:$A,'[3]Jan-26'!$H:$H,0)</f>
        <v>0</v>
      </c>
      <c r="AE143" s="17">
        <f>_xlfn.XLOOKUP($B143,'[3]Feb-26'!$A:$A,'[3]Feb-26'!$H:$H,0)</f>
        <v>0</v>
      </c>
      <c r="AF143" s="17">
        <f>_xlfn.XLOOKUP($B143,'[3]Mar-26'!$A:$A,'[3]Mar-26'!$H:$H,0)</f>
        <v>0</v>
      </c>
      <c r="AG143" s="17">
        <f>_xlfn.XLOOKUP($B143,'[3]Apr-26'!$A:$A,'[3]Apr-26'!$H:$H,0)</f>
        <v>0</v>
      </c>
    </row>
    <row r="144" spans="1:33" x14ac:dyDescent="0.2">
      <c r="A144" s="58" t="s">
        <v>1094</v>
      </c>
      <c r="B144" s="56" t="str">
        <f t="shared" si="4"/>
        <v>51295</v>
      </c>
      <c r="C144" s="78" t="s">
        <v>552</v>
      </c>
      <c r="D144" s="57" t="s">
        <v>387</v>
      </c>
      <c r="E144" s="44" t="s">
        <v>1095</v>
      </c>
      <c r="F144" s="17">
        <f>_xlfn.XLOOKUP($B144,'[3]Jan-24'!$A:$A,'[3]Jan-24'!$H:$H,0)</f>
        <v>0</v>
      </c>
      <c r="G144" s="17">
        <f>_xlfn.XLOOKUP($B144,'[3]Feb-24'!$A:$A,'[3]Feb-24'!$H:$H,0)</f>
        <v>0</v>
      </c>
      <c r="H144" s="17">
        <f>_xlfn.XLOOKUP($B144,'[3]Mar-24'!$A:$A,'[3]Mar-24'!$H:$H,0)</f>
        <v>0</v>
      </c>
      <c r="I144" s="17">
        <f>_xlfn.XLOOKUP($B144,'[3]Apr-24'!$A:$A,'[3]Apr-24'!$H:$H,0)</f>
        <v>0</v>
      </c>
      <c r="J144" s="17">
        <f>_xlfn.XLOOKUP($B144,'[3]May-24'!$A:$A,'[3]May-24'!$H:$H,0)</f>
        <v>0</v>
      </c>
      <c r="K144" s="17">
        <f>_xlfn.XLOOKUP($B144,'[3]Jun-24'!$A:$A,'[3]Jun-24'!$H:$H,0)</f>
        <v>0</v>
      </c>
      <c r="L144" s="17">
        <f>_xlfn.XLOOKUP($B144,'[3]Jul-24'!$A:$A,'[3]Jul-24'!$H:$H,0)</f>
        <v>0</v>
      </c>
      <c r="M144" s="17">
        <f>_xlfn.XLOOKUP($B144,'[3]Aug-24'!$A:$A,'[3]Aug-24'!$H:$H,0)</f>
        <v>0</v>
      </c>
      <c r="N144" s="17">
        <f>_xlfn.XLOOKUP($B144,'[3]Sep-24'!$A:$A,'[3]Sep-24'!$H:$H,0)</f>
        <v>0</v>
      </c>
      <c r="O144" s="17">
        <f>_xlfn.XLOOKUP($B144,'[3]Oct-24'!$A:$A,'[3]Oct-24'!$H:$H,0)</f>
        <v>0</v>
      </c>
      <c r="P144" s="17">
        <f>_xlfn.XLOOKUP($B144,'[3]Nov-24'!$A:$A,'[3]Nov-24'!$H:$H,0)</f>
        <v>0</v>
      </c>
      <c r="Q144" s="17">
        <f>_xlfn.XLOOKUP($B144,'[3]Dec-24'!$A:$A,'[3]Dec-24'!$H:$H,0)</f>
        <v>0</v>
      </c>
      <c r="R144" s="17">
        <f>_xlfn.XLOOKUP($B144,'[3]Jan-25'!$A:$A,'[3]Jan-25'!$H:$H,0)</f>
        <v>0</v>
      </c>
      <c r="S144" s="17">
        <f>_xlfn.XLOOKUP($B144,'[3]Feb-25'!$A:$A,'[3]Feb-25'!$H:$H,0)</f>
        <v>0</v>
      </c>
      <c r="T144" s="17">
        <f>_xlfn.XLOOKUP($B144,'[3]Mar-25'!$A:$A,'[3]Mar-25'!$H:$H,0)</f>
        <v>0</v>
      </c>
      <c r="U144" s="17">
        <f>_xlfn.XLOOKUP($B144,'[3]Apr-25'!$A:$A,'[3]Apr-25'!$H:$H,0)</f>
        <v>0</v>
      </c>
      <c r="V144" s="17">
        <f>_xlfn.XLOOKUP($B144,'[3]May-25'!$A:$A,'[3]May-25'!$H:$H,0)</f>
        <v>0</v>
      </c>
      <c r="W144" s="17">
        <f>_xlfn.XLOOKUP($B144,'[3]Jun-25'!$A:$A,'[3]Jun-25'!$H:$H,0)</f>
        <v>0</v>
      </c>
      <c r="X144" s="17">
        <f>_xlfn.XLOOKUP($B144,'[3]Jul-25'!$A:$A,'[3]Jul-25'!$H:$H,0)</f>
        <v>0</v>
      </c>
      <c r="Y144" s="17">
        <f>_xlfn.XLOOKUP($B144,'[3]Aug-25'!$A:$A,'[3]Aug-25'!$H:$H,0)</f>
        <v>0</v>
      </c>
      <c r="Z144" s="17">
        <f>_xlfn.XLOOKUP($B144,'[3]Sep-25'!$A:$A,'[3]Sep-25'!$H:$H,0)</f>
        <v>0</v>
      </c>
      <c r="AA144" s="17">
        <f>_xlfn.XLOOKUP($B144,'[3]Oct-25'!$A:$A,'[3]Oct-25'!$H:$H,0)</f>
        <v>0</v>
      </c>
      <c r="AB144" s="17">
        <f>_xlfn.XLOOKUP($B144,'[3]Nov-25'!$A:$A,'[3]Nov-25'!$H:$H,0)</f>
        <v>0</v>
      </c>
      <c r="AC144" s="17">
        <f>_xlfn.XLOOKUP($B144,'[3]Dec-25'!$A:$A,'[3]Dec-25'!$H:$H,0)</f>
        <v>0</v>
      </c>
      <c r="AD144" s="17">
        <f>_xlfn.XLOOKUP($B144,'[3]Jan-26'!$A:$A,'[3]Jan-26'!$H:$H,0)</f>
        <v>0</v>
      </c>
      <c r="AE144" s="17">
        <f>_xlfn.XLOOKUP($B144,'[3]Feb-26'!$A:$A,'[3]Feb-26'!$H:$H,0)</f>
        <v>0</v>
      </c>
      <c r="AF144" s="17">
        <f>_xlfn.XLOOKUP($B144,'[3]Mar-26'!$A:$A,'[3]Mar-26'!$H:$H,0)</f>
        <v>0</v>
      </c>
      <c r="AG144" s="17">
        <f>_xlfn.XLOOKUP($B144,'[3]Apr-26'!$A:$A,'[3]Apr-26'!$H:$H,0)</f>
        <v>0</v>
      </c>
    </row>
    <row r="145" spans="1:33" x14ac:dyDescent="0.2">
      <c r="A145" s="58" t="s">
        <v>1096</v>
      </c>
      <c r="B145" s="56" t="str">
        <f t="shared" si="4"/>
        <v>51300</v>
      </c>
      <c r="C145" s="78" t="s">
        <v>517</v>
      </c>
      <c r="D145" s="57" t="s">
        <v>387</v>
      </c>
      <c r="E145" s="44" t="s">
        <v>524</v>
      </c>
      <c r="F145" s="17">
        <f>_xlfn.XLOOKUP($B145,'[3]Jan-24'!$A:$A,'[3]Jan-24'!$H:$H,0)</f>
        <v>0</v>
      </c>
      <c r="G145" s="17">
        <f>_xlfn.XLOOKUP($B145,'[3]Feb-24'!$A:$A,'[3]Feb-24'!$H:$H,0)</f>
        <v>0</v>
      </c>
      <c r="H145" s="17">
        <f>_xlfn.XLOOKUP($B145,'[3]Mar-24'!$A:$A,'[3]Mar-24'!$H:$H,0)</f>
        <v>0</v>
      </c>
      <c r="I145" s="17">
        <f>_xlfn.XLOOKUP($B145,'[3]Apr-24'!$A:$A,'[3]Apr-24'!$H:$H,0)</f>
        <v>0</v>
      </c>
      <c r="J145" s="17">
        <f>_xlfn.XLOOKUP($B145,'[3]May-24'!$A:$A,'[3]May-24'!$H:$H,0)</f>
        <v>0</v>
      </c>
      <c r="K145" s="17">
        <f>_xlfn.XLOOKUP($B145,'[3]Jun-24'!$A:$A,'[3]Jun-24'!$H:$H,0)</f>
        <v>0</v>
      </c>
      <c r="L145" s="17">
        <f>_xlfn.XLOOKUP($B145,'[3]Jul-24'!$A:$A,'[3]Jul-24'!$H:$H,0)</f>
        <v>0</v>
      </c>
      <c r="M145" s="17">
        <f>_xlfn.XLOOKUP($B145,'[3]Aug-24'!$A:$A,'[3]Aug-24'!$H:$H,0)</f>
        <v>0</v>
      </c>
      <c r="N145" s="17">
        <f>_xlfn.XLOOKUP($B145,'[3]Sep-24'!$A:$A,'[3]Sep-24'!$H:$H,0)</f>
        <v>0</v>
      </c>
      <c r="O145" s="17">
        <f>_xlfn.XLOOKUP($B145,'[3]Oct-24'!$A:$A,'[3]Oct-24'!$H:$H,0)</f>
        <v>0</v>
      </c>
      <c r="P145" s="17">
        <f>_xlfn.XLOOKUP($B145,'[3]Nov-24'!$A:$A,'[3]Nov-24'!$H:$H,0)</f>
        <v>0</v>
      </c>
      <c r="Q145" s="17">
        <f>_xlfn.XLOOKUP($B145,'[3]Dec-24'!$A:$A,'[3]Dec-24'!$H:$H,0)</f>
        <v>0</v>
      </c>
      <c r="R145" s="17">
        <f>_xlfn.XLOOKUP($B145,'[3]Jan-25'!$A:$A,'[3]Jan-25'!$H:$H,0)</f>
        <v>0</v>
      </c>
      <c r="S145" s="17">
        <f>_xlfn.XLOOKUP($B145,'[3]Feb-25'!$A:$A,'[3]Feb-25'!$H:$H,0)</f>
        <v>0</v>
      </c>
      <c r="T145" s="17">
        <f>_xlfn.XLOOKUP($B145,'[3]Mar-25'!$A:$A,'[3]Mar-25'!$H:$H,0)</f>
        <v>0</v>
      </c>
      <c r="U145" s="17">
        <f>_xlfn.XLOOKUP($B145,'[3]Apr-25'!$A:$A,'[3]Apr-25'!$H:$H,0)</f>
        <v>0</v>
      </c>
      <c r="V145" s="17">
        <f>_xlfn.XLOOKUP($B145,'[3]May-25'!$A:$A,'[3]May-25'!$H:$H,0)</f>
        <v>0</v>
      </c>
      <c r="W145" s="17">
        <f>_xlfn.XLOOKUP($B145,'[3]Jun-25'!$A:$A,'[3]Jun-25'!$H:$H,0)</f>
        <v>0</v>
      </c>
      <c r="X145" s="17">
        <f>_xlfn.XLOOKUP($B145,'[3]Jul-25'!$A:$A,'[3]Jul-25'!$H:$H,0)</f>
        <v>0</v>
      </c>
      <c r="Y145" s="17">
        <f>_xlfn.XLOOKUP($B145,'[3]Aug-25'!$A:$A,'[3]Aug-25'!$H:$H,0)</f>
        <v>0</v>
      </c>
      <c r="Z145" s="17">
        <f>_xlfn.XLOOKUP($B145,'[3]Sep-25'!$A:$A,'[3]Sep-25'!$H:$H,0)</f>
        <v>0</v>
      </c>
      <c r="AA145" s="17">
        <f>_xlfn.XLOOKUP($B145,'[3]Oct-25'!$A:$A,'[3]Oct-25'!$H:$H,0)</f>
        <v>0</v>
      </c>
      <c r="AB145" s="17">
        <f>_xlfn.XLOOKUP($B145,'[3]Nov-25'!$A:$A,'[3]Nov-25'!$H:$H,0)</f>
        <v>0</v>
      </c>
      <c r="AC145" s="17">
        <f>_xlfn.XLOOKUP($B145,'[3]Dec-25'!$A:$A,'[3]Dec-25'!$H:$H,0)</f>
        <v>0</v>
      </c>
      <c r="AD145" s="17">
        <f>_xlfn.XLOOKUP($B145,'[3]Jan-26'!$A:$A,'[3]Jan-26'!$H:$H,0)</f>
        <v>0</v>
      </c>
      <c r="AE145" s="17">
        <f>_xlfn.XLOOKUP($B145,'[3]Feb-26'!$A:$A,'[3]Feb-26'!$H:$H,0)</f>
        <v>0</v>
      </c>
      <c r="AF145" s="17">
        <f>_xlfn.XLOOKUP($B145,'[3]Mar-26'!$A:$A,'[3]Mar-26'!$H:$H,0)</f>
        <v>0</v>
      </c>
      <c r="AG145" s="17">
        <f>_xlfn.XLOOKUP($B145,'[3]Apr-26'!$A:$A,'[3]Apr-26'!$H:$H,0)</f>
        <v>0</v>
      </c>
    </row>
    <row r="146" spans="1:33" x14ac:dyDescent="0.2">
      <c r="A146" s="58" t="s">
        <v>915</v>
      </c>
      <c r="B146" s="56" t="str">
        <f t="shared" si="4"/>
        <v>51312</v>
      </c>
      <c r="C146" s="78" t="s">
        <v>601</v>
      </c>
      <c r="D146" s="57" t="s">
        <v>387</v>
      </c>
      <c r="E146" s="44" t="s">
        <v>1097</v>
      </c>
      <c r="F146" s="17">
        <f>_xlfn.XLOOKUP($B146,'[3]Jan-24'!$A:$A,'[3]Jan-24'!$H:$H,0)</f>
        <v>933.45</v>
      </c>
      <c r="G146" s="17">
        <f>_xlfn.XLOOKUP($B146,'[3]Feb-24'!$A:$A,'[3]Feb-24'!$H:$H,0)</f>
        <v>929.25</v>
      </c>
      <c r="H146" s="17">
        <f>_xlfn.XLOOKUP($B146,'[3]Mar-24'!$A:$A,'[3]Mar-24'!$H:$H,0)</f>
        <v>929.25</v>
      </c>
      <c r="I146" s="17">
        <f>_xlfn.XLOOKUP($B146,'[3]Apr-24'!$A:$A,'[3]Apr-24'!$H:$H,0)</f>
        <v>855.74</v>
      </c>
      <c r="J146" s="17">
        <f>_xlfn.XLOOKUP($B146,'[3]May-24'!$A:$A,'[3]May-24'!$H:$H,0)</f>
        <v>793.95</v>
      </c>
      <c r="K146" s="17">
        <f>_xlfn.XLOOKUP($B146,'[3]Jun-24'!$A:$A,'[3]Jun-24'!$H:$H,0)</f>
        <v>438.48</v>
      </c>
      <c r="L146" s="17">
        <f>_xlfn.XLOOKUP($B146,'[3]Jul-24'!$A:$A,'[3]Jul-24'!$H:$H,0)</f>
        <v>1891.37</v>
      </c>
      <c r="M146" s="17">
        <f>_xlfn.XLOOKUP($B146,'[3]Aug-24'!$A:$A,'[3]Aug-24'!$H:$H,0)</f>
        <v>1471.4</v>
      </c>
      <c r="N146" s="17">
        <f>_xlfn.XLOOKUP($B146,'[3]Sep-24'!$A:$A,'[3]Sep-24'!$H:$H,0)</f>
        <v>1149.5899999999999</v>
      </c>
      <c r="O146" s="17">
        <f>_xlfn.XLOOKUP($B146,'[3]Oct-24'!$A:$A,'[3]Oct-24'!$H:$H,0)</f>
        <v>1101.29</v>
      </c>
      <c r="P146" s="17">
        <f>_xlfn.XLOOKUP($B146,'[3]Nov-24'!$A:$A,'[3]Nov-24'!$H:$H,0)</f>
        <v>912.4</v>
      </c>
      <c r="Q146" s="17">
        <f>_xlfn.XLOOKUP($B146,'[3]Dec-24'!$A:$A,'[3]Dec-24'!$H:$H,0)</f>
        <v>1335.55</v>
      </c>
      <c r="R146" s="17">
        <f>_xlfn.XLOOKUP($B146,'[3]Jan-25'!$A:$A,'[3]Jan-25'!$H:$H,0)</f>
        <v>39.9</v>
      </c>
      <c r="S146" s="17">
        <f>_xlfn.XLOOKUP($B146,'[3]Feb-25'!$A:$A,'[3]Feb-25'!$H:$H,0)</f>
        <v>39.9</v>
      </c>
      <c r="T146" s="17">
        <f>_xlfn.XLOOKUP($B146,'[3]Mar-25'!$A:$A,'[3]Mar-25'!$H:$H,0)</f>
        <v>39.9</v>
      </c>
      <c r="U146" s="17">
        <f>_xlfn.XLOOKUP($B146,'[3]Apr-25'!$A:$A,'[3]Apr-25'!$H:$H,0)</f>
        <v>140.87</v>
      </c>
      <c r="V146" s="17">
        <f>_xlfn.XLOOKUP($B146,'[3]May-25'!$A:$A,'[3]May-25'!$H:$H,0)</f>
        <v>1196.95</v>
      </c>
      <c r="W146" s="17">
        <f>_xlfn.XLOOKUP($B146,'[3]Jun-25'!$A:$A,'[3]Jun-25'!$H:$H,0)</f>
        <v>1005.38</v>
      </c>
      <c r="X146" s="17">
        <f>_xlfn.XLOOKUP($B146,'[3]Jul-25'!$A:$A,'[3]Jul-25'!$H:$H,0)</f>
        <v>616.33999999999992</v>
      </c>
      <c r="Y146" s="17">
        <f>_xlfn.XLOOKUP($B146,'[3]Aug-25'!$A:$A,'[3]Aug-25'!$H:$H,0)</f>
        <v>55.65</v>
      </c>
      <c r="Z146" s="17">
        <f>_xlfn.XLOOKUP($B146,'[3]Sep-25'!$A:$A,'[3]Sep-25'!$H:$H,0)</f>
        <v>55.65</v>
      </c>
      <c r="AA146" s="17">
        <f>_xlfn.XLOOKUP($B146,'[3]Oct-25'!$A:$A,'[3]Oct-25'!$H:$H,0)</f>
        <v>55.65</v>
      </c>
      <c r="AB146" s="17">
        <f>_xlfn.XLOOKUP($B146,'[3]Nov-25'!$A:$A,'[3]Nov-25'!$H:$H,0)</f>
        <v>175.43</v>
      </c>
      <c r="AC146" s="17">
        <f>_xlfn.XLOOKUP($B146,'[3]Dec-25'!$A:$A,'[3]Dec-25'!$H:$H,0)</f>
        <v>130.69999999999999</v>
      </c>
      <c r="AD146" s="17">
        <f>_xlfn.XLOOKUP($B146,'[3]Jan-26'!$A:$A,'[3]Jan-26'!$H:$H,0)</f>
        <v>472.5</v>
      </c>
      <c r="AE146" s="17">
        <f>_xlfn.XLOOKUP($B146,'[3]Feb-26'!$A:$A,'[3]Feb-26'!$H:$H,0)</f>
        <v>52.5</v>
      </c>
      <c r="AF146" s="17">
        <f>_xlfn.XLOOKUP($B146,'[3]Mar-26'!$A:$A,'[3]Mar-26'!$H:$H,0)</f>
        <v>52.5</v>
      </c>
      <c r="AG146" s="17">
        <f>_xlfn.XLOOKUP($B146,'[3]Apr-26'!$A:$A,'[3]Apr-26'!$H:$H,0)</f>
        <v>143.06</v>
      </c>
    </row>
    <row r="147" spans="1:33" x14ac:dyDescent="0.2">
      <c r="A147" s="58" t="s">
        <v>901</v>
      </c>
      <c r="B147" s="56" t="str">
        <f t="shared" si="4"/>
        <v>51325</v>
      </c>
      <c r="C147" s="78" t="s">
        <v>552</v>
      </c>
      <c r="D147" s="57" t="s">
        <v>387</v>
      </c>
      <c r="E147" s="44" t="s">
        <v>1098</v>
      </c>
      <c r="F147" s="17">
        <f>_xlfn.XLOOKUP($B147,'[3]Jan-24'!$A:$A,'[3]Jan-24'!$H:$H,0)</f>
        <v>0</v>
      </c>
      <c r="G147" s="17">
        <f>_xlfn.XLOOKUP($B147,'[3]Feb-24'!$A:$A,'[3]Feb-24'!$H:$H,0)</f>
        <v>500</v>
      </c>
      <c r="H147" s="17">
        <f>_xlfn.XLOOKUP($B147,'[3]Mar-24'!$A:$A,'[3]Mar-24'!$H:$H,0)</f>
        <v>0</v>
      </c>
      <c r="I147" s="17">
        <f>_xlfn.XLOOKUP($B147,'[3]Apr-24'!$A:$A,'[3]Apr-24'!$H:$H,0)</f>
        <v>500</v>
      </c>
      <c r="J147" s="17">
        <f>_xlfn.XLOOKUP($B147,'[3]May-24'!$A:$A,'[3]May-24'!$H:$H,0)</f>
        <v>250</v>
      </c>
      <c r="K147" s="17">
        <f>_xlfn.XLOOKUP($B147,'[3]Jun-24'!$A:$A,'[3]Jun-24'!$H:$H,0)</f>
        <v>0</v>
      </c>
      <c r="L147" s="17">
        <f>_xlfn.XLOOKUP($B147,'[3]Jul-24'!$A:$A,'[3]Jul-24'!$H:$H,0)</f>
        <v>500</v>
      </c>
      <c r="M147" s="17">
        <f>_xlfn.XLOOKUP($B147,'[3]Aug-24'!$A:$A,'[3]Aug-24'!$H:$H,0)</f>
        <v>250</v>
      </c>
      <c r="N147" s="17">
        <f>_xlfn.XLOOKUP($B147,'[3]Sep-24'!$A:$A,'[3]Sep-24'!$H:$H,0)</f>
        <v>250</v>
      </c>
      <c r="O147" s="17">
        <f>_xlfn.XLOOKUP($B147,'[3]Oct-24'!$A:$A,'[3]Oct-24'!$H:$H,0)</f>
        <v>250</v>
      </c>
      <c r="P147" s="17">
        <f>_xlfn.XLOOKUP($B147,'[3]Nov-24'!$A:$A,'[3]Nov-24'!$H:$H,0)</f>
        <v>0</v>
      </c>
      <c r="Q147" s="17">
        <f>_xlfn.XLOOKUP($B147,'[3]Dec-24'!$A:$A,'[3]Dec-24'!$H:$H,0)</f>
        <v>0</v>
      </c>
      <c r="R147" s="17">
        <f>_xlfn.XLOOKUP($B147,'[3]Jan-25'!$A:$A,'[3]Jan-25'!$H:$H,0)</f>
        <v>0</v>
      </c>
      <c r="S147" s="17">
        <f>_xlfn.XLOOKUP($B147,'[3]Feb-25'!$A:$A,'[3]Feb-25'!$H:$H,0)</f>
        <v>0</v>
      </c>
      <c r="T147" s="17">
        <f>_xlfn.XLOOKUP($B147,'[3]Mar-25'!$A:$A,'[3]Mar-25'!$H:$H,0)</f>
        <v>0</v>
      </c>
      <c r="U147" s="17">
        <f>_xlfn.XLOOKUP($B147,'[3]Apr-25'!$A:$A,'[3]Apr-25'!$H:$H,0)</f>
        <v>0</v>
      </c>
      <c r="V147" s="17">
        <f>_xlfn.XLOOKUP($B147,'[3]May-25'!$A:$A,'[3]May-25'!$H:$H,0)</f>
        <v>0</v>
      </c>
      <c r="W147" s="17">
        <f>_xlfn.XLOOKUP($B147,'[3]Jun-25'!$A:$A,'[3]Jun-25'!$H:$H,0)</f>
        <v>0</v>
      </c>
      <c r="X147" s="17">
        <f>_xlfn.XLOOKUP($B147,'[3]Jul-25'!$A:$A,'[3]Jul-25'!$H:$H,0)</f>
        <v>0</v>
      </c>
      <c r="Y147" s="17">
        <f>_xlfn.XLOOKUP($B147,'[3]Aug-25'!$A:$A,'[3]Aug-25'!$H:$H,0)</f>
        <v>0</v>
      </c>
      <c r="Z147" s="17">
        <f>_xlfn.XLOOKUP($B147,'[3]Sep-25'!$A:$A,'[3]Sep-25'!$H:$H,0)</f>
        <v>0</v>
      </c>
      <c r="AA147" s="17">
        <f>_xlfn.XLOOKUP($B147,'[3]Oct-25'!$A:$A,'[3]Oct-25'!$H:$H,0)</f>
        <v>0</v>
      </c>
      <c r="AB147" s="17">
        <f>_xlfn.XLOOKUP($B147,'[3]Nov-25'!$A:$A,'[3]Nov-25'!$H:$H,0)</f>
        <v>0</v>
      </c>
      <c r="AC147" s="17">
        <f>_xlfn.XLOOKUP($B147,'[3]Dec-25'!$A:$A,'[3]Dec-25'!$H:$H,0)</f>
        <v>0</v>
      </c>
      <c r="AD147" s="17">
        <f>_xlfn.XLOOKUP($B147,'[3]Jan-26'!$A:$A,'[3]Jan-26'!$H:$H,0)</f>
        <v>0</v>
      </c>
      <c r="AE147" s="17">
        <f>_xlfn.XLOOKUP($B147,'[3]Feb-26'!$A:$A,'[3]Feb-26'!$H:$H,0)</f>
        <v>0</v>
      </c>
      <c r="AF147" s="17">
        <f>_xlfn.XLOOKUP($B147,'[3]Mar-26'!$A:$A,'[3]Mar-26'!$H:$H,0)</f>
        <v>0</v>
      </c>
      <c r="AG147" s="17">
        <f>_xlfn.XLOOKUP($B147,'[3]Apr-26'!$A:$A,'[3]Apr-26'!$H:$H,0)</f>
        <v>0</v>
      </c>
    </row>
    <row r="148" spans="1:33" x14ac:dyDescent="0.2">
      <c r="A148" s="58" t="s">
        <v>1099</v>
      </c>
      <c r="B148" s="56" t="str">
        <f t="shared" si="4"/>
        <v>51335</v>
      </c>
      <c r="C148" s="78" t="s">
        <v>565</v>
      </c>
      <c r="D148" s="57" t="s">
        <v>387</v>
      </c>
      <c r="E148" s="44" t="s">
        <v>1100</v>
      </c>
      <c r="F148" s="17">
        <f>_xlfn.XLOOKUP($B148,'[3]Jan-24'!$A:$A,'[3]Jan-24'!$H:$H,0)</f>
        <v>0</v>
      </c>
      <c r="G148" s="17">
        <f>_xlfn.XLOOKUP($B148,'[3]Feb-24'!$A:$A,'[3]Feb-24'!$H:$H,0)</f>
        <v>0</v>
      </c>
      <c r="H148" s="17">
        <f>_xlfn.XLOOKUP($B148,'[3]Mar-24'!$A:$A,'[3]Mar-24'!$H:$H,0)</f>
        <v>0</v>
      </c>
      <c r="I148" s="17">
        <f>_xlfn.XLOOKUP($B148,'[3]Apr-24'!$A:$A,'[3]Apr-24'!$H:$H,0)</f>
        <v>0</v>
      </c>
      <c r="J148" s="17">
        <f>_xlfn.XLOOKUP($B148,'[3]May-24'!$A:$A,'[3]May-24'!$H:$H,0)</f>
        <v>0</v>
      </c>
      <c r="K148" s="17">
        <f>_xlfn.XLOOKUP($B148,'[3]Jun-24'!$A:$A,'[3]Jun-24'!$H:$H,0)</f>
        <v>0</v>
      </c>
      <c r="L148" s="17">
        <f>_xlfn.XLOOKUP($B148,'[3]Jul-24'!$A:$A,'[3]Jul-24'!$H:$H,0)</f>
        <v>0</v>
      </c>
      <c r="M148" s="17">
        <f>_xlfn.XLOOKUP($B148,'[3]Aug-24'!$A:$A,'[3]Aug-24'!$H:$H,0)</f>
        <v>0</v>
      </c>
      <c r="N148" s="17">
        <f>_xlfn.XLOOKUP($B148,'[3]Sep-24'!$A:$A,'[3]Sep-24'!$H:$H,0)</f>
        <v>0</v>
      </c>
      <c r="O148" s="17">
        <f>_xlfn.XLOOKUP($B148,'[3]Oct-24'!$A:$A,'[3]Oct-24'!$H:$H,0)</f>
        <v>0</v>
      </c>
      <c r="P148" s="17">
        <f>_xlfn.XLOOKUP($B148,'[3]Nov-24'!$A:$A,'[3]Nov-24'!$H:$H,0)</f>
        <v>0</v>
      </c>
      <c r="Q148" s="17">
        <f>_xlfn.XLOOKUP($B148,'[3]Dec-24'!$A:$A,'[3]Dec-24'!$H:$H,0)</f>
        <v>0</v>
      </c>
      <c r="R148" s="17">
        <f>_xlfn.XLOOKUP($B148,'[3]Jan-25'!$A:$A,'[3]Jan-25'!$H:$H,0)</f>
        <v>0</v>
      </c>
      <c r="S148" s="17">
        <f>_xlfn.XLOOKUP($B148,'[3]Feb-25'!$A:$A,'[3]Feb-25'!$H:$H,0)</f>
        <v>0</v>
      </c>
      <c r="T148" s="17">
        <f>_xlfn.XLOOKUP($B148,'[3]Mar-25'!$A:$A,'[3]Mar-25'!$H:$H,0)</f>
        <v>0</v>
      </c>
      <c r="U148" s="17">
        <f>_xlfn.XLOOKUP($B148,'[3]Apr-25'!$A:$A,'[3]Apr-25'!$H:$H,0)</f>
        <v>0</v>
      </c>
      <c r="V148" s="17">
        <f>_xlfn.XLOOKUP($B148,'[3]May-25'!$A:$A,'[3]May-25'!$H:$H,0)</f>
        <v>0</v>
      </c>
      <c r="W148" s="17">
        <f>_xlfn.XLOOKUP($B148,'[3]Jun-25'!$A:$A,'[3]Jun-25'!$H:$H,0)</f>
        <v>0</v>
      </c>
      <c r="X148" s="17">
        <f>_xlfn.XLOOKUP($B148,'[3]Jul-25'!$A:$A,'[3]Jul-25'!$H:$H,0)</f>
        <v>0</v>
      </c>
      <c r="Y148" s="17">
        <f>_xlfn.XLOOKUP($B148,'[3]Aug-25'!$A:$A,'[3]Aug-25'!$H:$H,0)</f>
        <v>0</v>
      </c>
      <c r="Z148" s="17">
        <f>_xlfn.XLOOKUP($B148,'[3]Sep-25'!$A:$A,'[3]Sep-25'!$H:$H,0)</f>
        <v>0</v>
      </c>
      <c r="AA148" s="17">
        <f>_xlfn.XLOOKUP($B148,'[3]Oct-25'!$A:$A,'[3]Oct-25'!$H:$H,0)</f>
        <v>0</v>
      </c>
      <c r="AB148" s="17">
        <f>_xlfn.XLOOKUP($B148,'[3]Nov-25'!$A:$A,'[3]Nov-25'!$H:$H,0)</f>
        <v>0</v>
      </c>
      <c r="AC148" s="17">
        <f>_xlfn.XLOOKUP($B148,'[3]Dec-25'!$A:$A,'[3]Dec-25'!$H:$H,0)</f>
        <v>0</v>
      </c>
      <c r="AD148" s="17">
        <f>_xlfn.XLOOKUP($B148,'[3]Jan-26'!$A:$A,'[3]Jan-26'!$H:$H,0)</f>
        <v>0</v>
      </c>
      <c r="AE148" s="17">
        <f>_xlfn.XLOOKUP($B148,'[3]Feb-26'!$A:$A,'[3]Feb-26'!$H:$H,0)</f>
        <v>0</v>
      </c>
      <c r="AF148" s="17">
        <f>_xlfn.XLOOKUP($B148,'[3]Mar-26'!$A:$A,'[3]Mar-26'!$H:$H,0)</f>
        <v>0</v>
      </c>
      <c r="AG148" s="17">
        <f>_xlfn.XLOOKUP($B148,'[3]Apr-26'!$A:$A,'[3]Apr-26'!$H:$H,0)</f>
        <v>0</v>
      </c>
    </row>
    <row r="149" spans="1:33" x14ac:dyDescent="0.2">
      <c r="A149" s="58" t="s">
        <v>918</v>
      </c>
      <c r="B149" s="56" t="str">
        <f t="shared" si="4"/>
        <v>51345</v>
      </c>
      <c r="C149" s="78" t="s">
        <v>389</v>
      </c>
      <c r="D149" s="57" t="s">
        <v>387</v>
      </c>
      <c r="E149" s="44" t="s">
        <v>1101</v>
      </c>
      <c r="F149" s="17">
        <f>_xlfn.XLOOKUP($B149,'[3]Jan-24'!$A:$A,'[3]Jan-24'!$H:$H,0)</f>
        <v>7039.27</v>
      </c>
      <c r="G149" s="17">
        <f>_xlfn.XLOOKUP($B149,'[3]Feb-24'!$A:$A,'[3]Feb-24'!$H:$H,0)</f>
        <v>3877.48</v>
      </c>
      <c r="H149" s="17">
        <f>_xlfn.XLOOKUP($B149,'[3]Mar-24'!$A:$A,'[3]Mar-24'!$H:$H,0)</f>
        <v>4339.92</v>
      </c>
      <c r="I149" s="17">
        <f>_xlfn.XLOOKUP($B149,'[3]Apr-24'!$A:$A,'[3]Apr-24'!$H:$H,0)</f>
        <v>6654.08</v>
      </c>
      <c r="J149" s="17">
        <f>_xlfn.XLOOKUP($B149,'[3]May-24'!$A:$A,'[3]May-24'!$H:$H,0)</f>
        <v>7166.72</v>
      </c>
      <c r="K149" s="17">
        <f>_xlfn.XLOOKUP($B149,'[3]Jun-24'!$A:$A,'[3]Jun-24'!$H:$H,0)</f>
        <v>6665.06</v>
      </c>
      <c r="L149" s="17">
        <f>_xlfn.XLOOKUP($B149,'[3]Jul-24'!$A:$A,'[3]Jul-24'!$H:$H,0)</f>
        <v>6340.99</v>
      </c>
      <c r="M149" s="17">
        <f>_xlfn.XLOOKUP($B149,'[3]Aug-24'!$A:$A,'[3]Aug-24'!$H:$H,0)</f>
        <v>6457.18</v>
      </c>
      <c r="N149" s="17">
        <f>_xlfn.XLOOKUP($B149,'[3]Sep-24'!$A:$A,'[3]Sep-24'!$H:$H,0)</f>
        <v>6375.15</v>
      </c>
      <c r="O149" s="17">
        <f>_xlfn.XLOOKUP($B149,'[3]Oct-24'!$A:$A,'[3]Oct-24'!$H:$H,0)</f>
        <v>6245.24</v>
      </c>
      <c r="P149" s="17">
        <f>_xlfn.XLOOKUP($B149,'[3]Nov-24'!$A:$A,'[3]Nov-24'!$H:$H,0)</f>
        <v>6098.76</v>
      </c>
      <c r="Q149" s="17">
        <f>_xlfn.XLOOKUP($B149,'[3]Dec-24'!$A:$A,'[3]Dec-24'!$H:$H,0)</f>
        <v>-648101.20000000007</v>
      </c>
      <c r="R149" s="17">
        <f>_xlfn.XLOOKUP($B149,'[3]Jan-25'!$A:$A,'[3]Jan-25'!$H:$H,0)</f>
        <v>8498.2199999999993</v>
      </c>
      <c r="S149" s="17">
        <f>_xlfn.XLOOKUP($B149,'[3]Feb-25'!$A:$A,'[3]Feb-25'!$H:$H,0)</f>
        <v>9081.01</v>
      </c>
      <c r="T149" s="17">
        <f>_xlfn.XLOOKUP($B149,'[3]Mar-25'!$A:$A,'[3]Mar-25'!$H:$H,0)</f>
        <v>9497.56</v>
      </c>
      <c r="U149" s="17">
        <f>_xlfn.XLOOKUP($B149,'[3]Apr-25'!$A:$A,'[3]Apr-25'!$H:$H,0)</f>
        <v>8757.5400000000009</v>
      </c>
      <c r="V149" s="17">
        <f>_xlfn.XLOOKUP($B149,'[3]May-25'!$A:$A,'[3]May-25'!$H:$H,0)</f>
        <v>9140.36</v>
      </c>
      <c r="W149" s="17">
        <f>_xlfn.XLOOKUP($B149,'[3]Jun-25'!$A:$A,'[3]Jun-25'!$H:$H,0)</f>
        <v>9396.1200000000008</v>
      </c>
      <c r="X149" s="17">
        <f>_xlfn.XLOOKUP($B149,'[3]Jul-25'!$A:$A,'[3]Jul-25'!$H:$H,0)</f>
        <v>9293.11</v>
      </c>
      <c r="Y149" s="17">
        <f>_xlfn.XLOOKUP($B149,'[3]Aug-25'!$A:$A,'[3]Aug-25'!$H:$H,0)</f>
        <v>9809.6200000000008</v>
      </c>
      <c r="Z149" s="17">
        <f>_xlfn.XLOOKUP($B149,'[3]Sep-25'!$A:$A,'[3]Sep-25'!$H:$H,0)</f>
        <v>11302.819999999998</v>
      </c>
      <c r="AA149" s="17">
        <f>_xlfn.XLOOKUP($B149,'[3]Oct-25'!$A:$A,'[3]Oct-25'!$H:$H,0)</f>
        <v>9928.57</v>
      </c>
      <c r="AB149" s="17">
        <f>_xlfn.XLOOKUP($B149,'[3]Nov-25'!$A:$A,'[3]Nov-25'!$H:$H,0)</f>
        <v>10224.049999999999</v>
      </c>
      <c r="AC149" s="17">
        <f>_xlfn.XLOOKUP($B149,'[3]Dec-25'!$A:$A,'[3]Dec-25'!$H:$H,0)</f>
        <v>-783306.91999999993</v>
      </c>
      <c r="AD149" s="17">
        <f>_xlfn.XLOOKUP($B149,'[3]Jan-26'!$A:$A,'[3]Jan-26'!$H:$H,0)</f>
        <v>9769.51</v>
      </c>
      <c r="AE149" s="17">
        <f>_xlfn.XLOOKUP($B149,'[3]Feb-26'!$A:$A,'[3]Feb-26'!$H:$H,0)</f>
        <v>11301.86</v>
      </c>
      <c r="AF149" s="17">
        <f>_xlfn.XLOOKUP($B149,'[3]Mar-26'!$A:$A,'[3]Mar-26'!$H:$H,0)</f>
        <v>11230.32</v>
      </c>
      <c r="AG149" s="17">
        <f>_xlfn.XLOOKUP($B149,'[3]Apr-26'!$A:$A,'[3]Apr-26'!$H:$H,0)</f>
        <v>11478.75</v>
      </c>
    </row>
    <row r="150" spans="1:33" x14ac:dyDescent="0.2">
      <c r="A150" s="58" t="s">
        <v>889</v>
      </c>
      <c r="B150" s="56" t="str">
        <f t="shared" si="4"/>
        <v>51400</v>
      </c>
      <c r="C150" s="78" t="s">
        <v>517</v>
      </c>
      <c r="D150" s="57" t="s">
        <v>387</v>
      </c>
      <c r="E150" s="44" t="s">
        <v>525</v>
      </c>
      <c r="F150" s="17">
        <f>_xlfn.XLOOKUP($B150,'[3]Jan-24'!$A:$A,'[3]Jan-24'!$H:$H,0)</f>
        <v>0</v>
      </c>
      <c r="G150" s="17">
        <f>_xlfn.XLOOKUP($B150,'[3]Feb-24'!$A:$A,'[3]Feb-24'!$H:$H,0)</f>
        <v>0</v>
      </c>
      <c r="H150" s="17">
        <f>_xlfn.XLOOKUP($B150,'[3]Mar-24'!$A:$A,'[3]Mar-24'!$H:$H,0)</f>
        <v>0</v>
      </c>
      <c r="I150" s="17">
        <f>_xlfn.XLOOKUP($B150,'[3]Apr-24'!$A:$A,'[3]Apr-24'!$H:$H,0)</f>
        <v>0</v>
      </c>
      <c r="J150" s="17">
        <f>_xlfn.XLOOKUP($B150,'[3]May-24'!$A:$A,'[3]May-24'!$H:$H,0)</f>
        <v>0</v>
      </c>
      <c r="K150" s="17">
        <f>_xlfn.XLOOKUP($B150,'[3]Jun-24'!$A:$A,'[3]Jun-24'!$H:$H,0)</f>
        <v>0</v>
      </c>
      <c r="L150" s="17">
        <f>_xlfn.XLOOKUP($B150,'[3]Jul-24'!$A:$A,'[3]Jul-24'!$H:$H,0)</f>
        <v>0</v>
      </c>
      <c r="M150" s="17">
        <f>_xlfn.XLOOKUP($B150,'[3]Aug-24'!$A:$A,'[3]Aug-24'!$H:$H,0)</f>
        <v>0</v>
      </c>
      <c r="N150" s="17">
        <f>_xlfn.XLOOKUP($B150,'[3]Sep-24'!$A:$A,'[3]Sep-24'!$H:$H,0)</f>
        <v>0</v>
      </c>
      <c r="O150" s="17">
        <f>_xlfn.XLOOKUP($B150,'[3]Oct-24'!$A:$A,'[3]Oct-24'!$H:$H,0)</f>
        <v>0</v>
      </c>
      <c r="P150" s="17">
        <f>_xlfn.XLOOKUP($B150,'[3]Nov-24'!$A:$A,'[3]Nov-24'!$H:$H,0)</f>
        <v>0</v>
      </c>
      <c r="Q150" s="17">
        <f>_xlfn.XLOOKUP($B150,'[3]Dec-24'!$A:$A,'[3]Dec-24'!$H:$H,0)</f>
        <v>0</v>
      </c>
      <c r="R150" s="17">
        <f>_xlfn.XLOOKUP($B150,'[3]Jan-25'!$A:$A,'[3]Jan-25'!$H:$H,0)</f>
        <v>0</v>
      </c>
      <c r="S150" s="17">
        <f>_xlfn.XLOOKUP($B150,'[3]Feb-25'!$A:$A,'[3]Feb-25'!$H:$H,0)</f>
        <v>0</v>
      </c>
      <c r="T150" s="17">
        <f>_xlfn.XLOOKUP($B150,'[3]Mar-25'!$A:$A,'[3]Mar-25'!$H:$H,0)</f>
        <v>0</v>
      </c>
      <c r="U150" s="17">
        <f>_xlfn.XLOOKUP($B150,'[3]Apr-25'!$A:$A,'[3]Apr-25'!$H:$H,0)</f>
        <v>0</v>
      </c>
      <c r="V150" s="17">
        <f>_xlfn.XLOOKUP($B150,'[3]May-25'!$A:$A,'[3]May-25'!$H:$H,0)</f>
        <v>0</v>
      </c>
      <c r="W150" s="17">
        <f>_xlfn.XLOOKUP($B150,'[3]Jun-25'!$A:$A,'[3]Jun-25'!$H:$H,0)</f>
        <v>0</v>
      </c>
      <c r="X150" s="17">
        <f>_xlfn.XLOOKUP($B150,'[3]Jul-25'!$A:$A,'[3]Jul-25'!$H:$H,0)</f>
        <v>0</v>
      </c>
      <c r="Y150" s="17">
        <f>_xlfn.XLOOKUP($B150,'[3]Aug-25'!$A:$A,'[3]Aug-25'!$H:$H,0)</f>
        <v>0</v>
      </c>
      <c r="Z150" s="17">
        <f>_xlfn.XLOOKUP($B150,'[3]Sep-25'!$A:$A,'[3]Sep-25'!$H:$H,0)</f>
        <v>0</v>
      </c>
      <c r="AA150" s="17">
        <f>_xlfn.XLOOKUP($B150,'[3]Oct-25'!$A:$A,'[3]Oct-25'!$H:$H,0)</f>
        <v>0</v>
      </c>
      <c r="AB150" s="17">
        <f>_xlfn.XLOOKUP($B150,'[3]Nov-25'!$A:$A,'[3]Nov-25'!$H:$H,0)</f>
        <v>0</v>
      </c>
      <c r="AC150" s="17">
        <f>_xlfn.XLOOKUP($B150,'[3]Dec-25'!$A:$A,'[3]Dec-25'!$H:$H,0)</f>
        <v>0</v>
      </c>
      <c r="AD150" s="17">
        <f>_xlfn.XLOOKUP($B150,'[3]Jan-26'!$A:$A,'[3]Jan-26'!$H:$H,0)</f>
        <v>0</v>
      </c>
      <c r="AE150" s="17">
        <f>_xlfn.XLOOKUP($B150,'[3]Feb-26'!$A:$A,'[3]Feb-26'!$H:$H,0)</f>
        <v>0</v>
      </c>
      <c r="AF150" s="17">
        <f>_xlfn.XLOOKUP($B150,'[3]Mar-26'!$A:$A,'[3]Mar-26'!$H:$H,0)</f>
        <v>0</v>
      </c>
      <c r="AG150" s="17">
        <f>_xlfn.XLOOKUP($B150,'[3]Apr-26'!$A:$A,'[3]Apr-26'!$H:$H,0)</f>
        <v>0</v>
      </c>
    </row>
    <row r="151" spans="1:33" x14ac:dyDescent="0.2">
      <c r="A151" s="58" t="s">
        <v>1102</v>
      </c>
      <c r="B151" s="56" t="str">
        <f t="shared" si="4"/>
        <v>52000</v>
      </c>
      <c r="C151" s="78" t="s">
        <v>517</v>
      </c>
      <c r="D151" s="57" t="s">
        <v>387</v>
      </c>
      <c r="E151" s="44" t="s">
        <v>526</v>
      </c>
      <c r="F151" s="17">
        <f>_xlfn.XLOOKUP($B151,'[3]Jan-24'!$A:$A,'[3]Jan-24'!$H:$H,0)</f>
        <v>0</v>
      </c>
      <c r="G151" s="17">
        <f>_xlfn.XLOOKUP($B151,'[3]Feb-24'!$A:$A,'[3]Feb-24'!$H:$H,0)</f>
        <v>0</v>
      </c>
      <c r="H151" s="17">
        <f>_xlfn.XLOOKUP($B151,'[3]Mar-24'!$A:$A,'[3]Mar-24'!$H:$H,0)</f>
        <v>0</v>
      </c>
      <c r="I151" s="17">
        <f>_xlfn.XLOOKUP($B151,'[3]Apr-24'!$A:$A,'[3]Apr-24'!$H:$H,0)</f>
        <v>0</v>
      </c>
      <c r="J151" s="17">
        <f>_xlfn.XLOOKUP($B151,'[3]May-24'!$A:$A,'[3]May-24'!$H:$H,0)</f>
        <v>0</v>
      </c>
      <c r="K151" s="17">
        <f>_xlfn.XLOOKUP($B151,'[3]Jun-24'!$A:$A,'[3]Jun-24'!$H:$H,0)</f>
        <v>0</v>
      </c>
      <c r="L151" s="17">
        <f>_xlfn.XLOOKUP($B151,'[3]Jul-24'!$A:$A,'[3]Jul-24'!$H:$H,0)</f>
        <v>0</v>
      </c>
      <c r="M151" s="17">
        <f>_xlfn.XLOOKUP($B151,'[3]Aug-24'!$A:$A,'[3]Aug-24'!$H:$H,0)</f>
        <v>0</v>
      </c>
      <c r="N151" s="17">
        <f>_xlfn.XLOOKUP($B151,'[3]Sep-24'!$A:$A,'[3]Sep-24'!$H:$H,0)</f>
        <v>0</v>
      </c>
      <c r="O151" s="17">
        <f>_xlfn.XLOOKUP($B151,'[3]Oct-24'!$A:$A,'[3]Oct-24'!$H:$H,0)</f>
        <v>0</v>
      </c>
      <c r="P151" s="17">
        <f>_xlfn.XLOOKUP($B151,'[3]Nov-24'!$A:$A,'[3]Nov-24'!$H:$H,0)</f>
        <v>0</v>
      </c>
      <c r="Q151" s="17">
        <f>_xlfn.XLOOKUP($B151,'[3]Dec-24'!$A:$A,'[3]Dec-24'!$H:$H,0)</f>
        <v>0</v>
      </c>
      <c r="R151" s="17">
        <f>_xlfn.XLOOKUP($B151,'[3]Jan-25'!$A:$A,'[3]Jan-25'!$H:$H,0)</f>
        <v>0</v>
      </c>
      <c r="S151" s="17">
        <f>_xlfn.XLOOKUP($B151,'[3]Feb-25'!$A:$A,'[3]Feb-25'!$H:$H,0)</f>
        <v>0</v>
      </c>
      <c r="T151" s="17">
        <f>_xlfn.XLOOKUP($B151,'[3]Mar-25'!$A:$A,'[3]Mar-25'!$H:$H,0)</f>
        <v>0</v>
      </c>
      <c r="U151" s="17">
        <f>_xlfn.XLOOKUP($B151,'[3]Apr-25'!$A:$A,'[3]Apr-25'!$H:$H,0)</f>
        <v>0</v>
      </c>
      <c r="V151" s="17">
        <f>_xlfn.XLOOKUP($B151,'[3]May-25'!$A:$A,'[3]May-25'!$H:$H,0)</f>
        <v>0</v>
      </c>
      <c r="W151" s="17">
        <f>_xlfn.XLOOKUP($B151,'[3]Jun-25'!$A:$A,'[3]Jun-25'!$H:$H,0)</f>
        <v>0</v>
      </c>
      <c r="X151" s="17">
        <f>_xlfn.XLOOKUP($B151,'[3]Jul-25'!$A:$A,'[3]Jul-25'!$H:$H,0)</f>
        <v>0</v>
      </c>
      <c r="Y151" s="17">
        <f>_xlfn.XLOOKUP($B151,'[3]Aug-25'!$A:$A,'[3]Aug-25'!$H:$H,0)</f>
        <v>0</v>
      </c>
      <c r="Z151" s="17">
        <f>_xlfn.XLOOKUP($B151,'[3]Sep-25'!$A:$A,'[3]Sep-25'!$H:$H,0)</f>
        <v>0</v>
      </c>
      <c r="AA151" s="17">
        <f>_xlfn.XLOOKUP($B151,'[3]Oct-25'!$A:$A,'[3]Oct-25'!$H:$H,0)</f>
        <v>0</v>
      </c>
      <c r="AB151" s="17">
        <f>_xlfn.XLOOKUP($B151,'[3]Nov-25'!$A:$A,'[3]Nov-25'!$H:$H,0)</f>
        <v>0</v>
      </c>
      <c r="AC151" s="17">
        <f>_xlfn.XLOOKUP($B151,'[3]Dec-25'!$A:$A,'[3]Dec-25'!$H:$H,0)</f>
        <v>0</v>
      </c>
      <c r="AD151" s="17">
        <f>_xlfn.XLOOKUP($B151,'[3]Jan-26'!$A:$A,'[3]Jan-26'!$H:$H,0)</f>
        <v>0</v>
      </c>
      <c r="AE151" s="17">
        <f>_xlfn.XLOOKUP($B151,'[3]Feb-26'!$A:$A,'[3]Feb-26'!$H:$H,0)</f>
        <v>0</v>
      </c>
      <c r="AF151" s="17">
        <f>_xlfn.XLOOKUP($B151,'[3]Mar-26'!$A:$A,'[3]Mar-26'!$H:$H,0)</f>
        <v>0</v>
      </c>
      <c r="AG151" s="17">
        <f>_xlfn.XLOOKUP($B151,'[3]Apr-26'!$A:$A,'[3]Apr-26'!$H:$H,0)</f>
        <v>0</v>
      </c>
    </row>
    <row r="152" spans="1:33" x14ac:dyDescent="0.2">
      <c r="A152" s="58" t="s">
        <v>1103</v>
      </c>
      <c r="B152" s="56" t="str">
        <f t="shared" si="4"/>
        <v>52100</v>
      </c>
      <c r="C152" s="78" t="s">
        <v>517</v>
      </c>
      <c r="D152" s="57" t="s">
        <v>387</v>
      </c>
      <c r="E152" s="44" t="s">
        <v>527</v>
      </c>
      <c r="F152" s="17">
        <f>_xlfn.XLOOKUP($B152,'[3]Jan-24'!$A:$A,'[3]Jan-24'!$H:$H,0)</f>
        <v>0</v>
      </c>
      <c r="G152" s="17">
        <f>_xlfn.XLOOKUP($B152,'[3]Feb-24'!$A:$A,'[3]Feb-24'!$H:$H,0)</f>
        <v>0</v>
      </c>
      <c r="H152" s="17">
        <f>_xlfn.XLOOKUP($B152,'[3]Mar-24'!$A:$A,'[3]Mar-24'!$H:$H,0)</f>
        <v>0</v>
      </c>
      <c r="I152" s="17">
        <f>_xlfn.XLOOKUP($B152,'[3]Apr-24'!$A:$A,'[3]Apr-24'!$H:$H,0)</f>
        <v>0</v>
      </c>
      <c r="J152" s="17">
        <f>_xlfn.XLOOKUP($B152,'[3]May-24'!$A:$A,'[3]May-24'!$H:$H,0)</f>
        <v>0</v>
      </c>
      <c r="K152" s="17">
        <f>_xlfn.XLOOKUP($B152,'[3]Jun-24'!$A:$A,'[3]Jun-24'!$H:$H,0)</f>
        <v>0</v>
      </c>
      <c r="L152" s="17">
        <f>_xlfn.XLOOKUP($B152,'[3]Jul-24'!$A:$A,'[3]Jul-24'!$H:$H,0)</f>
        <v>0</v>
      </c>
      <c r="M152" s="17">
        <f>_xlfn.XLOOKUP($B152,'[3]Aug-24'!$A:$A,'[3]Aug-24'!$H:$H,0)</f>
        <v>0</v>
      </c>
      <c r="N152" s="17">
        <f>_xlfn.XLOOKUP($B152,'[3]Sep-24'!$A:$A,'[3]Sep-24'!$H:$H,0)</f>
        <v>0</v>
      </c>
      <c r="O152" s="17">
        <f>_xlfn.XLOOKUP($B152,'[3]Oct-24'!$A:$A,'[3]Oct-24'!$H:$H,0)</f>
        <v>0</v>
      </c>
      <c r="P152" s="17">
        <f>_xlfn.XLOOKUP($B152,'[3]Nov-24'!$A:$A,'[3]Nov-24'!$H:$H,0)</f>
        <v>0</v>
      </c>
      <c r="Q152" s="17">
        <f>_xlfn.XLOOKUP($B152,'[3]Dec-24'!$A:$A,'[3]Dec-24'!$H:$H,0)</f>
        <v>0</v>
      </c>
      <c r="R152" s="17">
        <f>_xlfn.XLOOKUP($B152,'[3]Jan-25'!$A:$A,'[3]Jan-25'!$H:$H,0)</f>
        <v>0</v>
      </c>
      <c r="S152" s="17">
        <f>_xlfn.XLOOKUP($B152,'[3]Feb-25'!$A:$A,'[3]Feb-25'!$H:$H,0)</f>
        <v>0</v>
      </c>
      <c r="T152" s="17">
        <f>_xlfn.XLOOKUP($B152,'[3]Mar-25'!$A:$A,'[3]Mar-25'!$H:$H,0)</f>
        <v>0</v>
      </c>
      <c r="U152" s="17">
        <f>_xlfn.XLOOKUP($B152,'[3]Apr-25'!$A:$A,'[3]Apr-25'!$H:$H,0)</f>
        <v>0</v>
      </c>
      <c r="V152" s="17">
        <f>_xlfn.XLOOKUP($B152,'[3]May-25'!$A:$A,'[3]May-25'!$H:$H,0)</f>
        <v>0</v>
      </c>
      <c r="W152" s="17">
        <f>_xlfn.XLOOKUP($B152,'[3]Jun-25'!$A:$A,'[3]Jun-25'!$H:$H,0)</f>
        <v>0</v>
      </c>
      <c r="X152" s="17">
        <f>_xlfn.XLOOKUP($B152,'[3]Jul-25'!$A:$A,'[3]Jul-25'!$H:$H,0)</f>
        <v>0</v>
      </c>
      <c r="Y152" s="17">
        <f>_xlfn.XLOOKUP($B152,'[3]Aug-25'!$A:$A,'[3]Aug-25'!$H:$H,0)</f>
        <v>0</v>
      </c>
      <c r="Z152" s="17">
        <f>_xlfn.XLOOKUP($B152,'[3]Sep-25'!$A:$A,'[3]Sep-25'!$H:$H,0)</f>
        <v>0</v>
      </c>
      <c r="AA152" s="17">
        <f>_xlfn.XLOOKUP($B152,'[3]Oct-25'!$A:$A,'[3]Oct-25'!$H:$H,0)</f>
        <v>0</v>
      </c>
      <c r="AB152" s="17">
        <f>_xlfn.XLOOKUP($B152,'[3]Nov-25'!$A:$A,'[3]Nov-25'!$H:$H,0)</f>
        <v>0</v>
      </c>
      <c r="AC152" s="17">
        <f>_xlfn.XLOOKUP($B152,'[3]Dec-25'!$A:$A,'[3]Dec-25'!$H:$H,0)</f>
        <v>0</v>
      </c>
      <c r="AD152" s="17">
        <f>_xlfn.XLOOKUP($B152,'[3]Jan-26'!$A:$A,'[3]Jan-26'!$H:$H,0)</f>
        <v>0</v>
      </c>
      <c r="AE152" s="17">
        <f>_xlfn.XLOOKUP($B152,'[3]Feb-26'!$A:$A,'[3]Feb-26'!$H:$H,0)</f>
        <v>0</v>
      </c>
      <c r="AF152" s="17">
        <f>_xlfn.XLOOKUP($B152,'[3]Mar-26'!$A:$A,'[3]Mar-26'!$H:$H,0)</f>
        <v>0</v>
      </c>
      <c r="AG152" s="17">
        <f>_xlfn.XLOOKUP($B152,'[3]Apr-26'!$A:$A,'[3]Apr-26'!$H:$H,0)</f>
        <v>0</v>
      </c>
    </row>
    <row r="153" spans="1:33" x14ac:dyDescent="0.2">
      <c r="A153" s="58" t="s">
        <v>1104</v>
      </c>
      <c r="B153" s="56" t="str">
        <f t="shared" si="4"/>
        <v>52110</v>
      </c>
      <c r="C153" s="78" t="s">
        <v>517</v>
      </c>
      <c r="D153" s="57" t="s">
        <v>387</v>
      </c>
      <c r="E153" s="44" t="s">
        <v>528</v>
      </c>
      <c r="F153" s="17">
        <f>_xlfn.XLOOKUP($B153,'[3]Jan-24'!$A:$A,'[3]Jan-24'!$H:$H,0)</f>
        <v>0</v>
      </c>
      <c r="G153" s="17">
        <f>_xlfn.XLOOKUP($B153,'[3]Feb-24'!$A:$A,'[3]Feb-24'!$H:$H,0)</f>
        <v>0</v>
      </c>
      <c r="H153" s="17">
        <f>_xlfn.XLOOKUP($B153,'[3]Mar-24'!$A:$A,'[3]Mar-24'!$H:$H,0)</f>
        <v>0</v>
      </c>
      <c r="I153" s="17">
        <f>_xlfn.XLOOKUP($B153,'[3]Apr-24'!$A:$A,'[3]Apr-24'!$H:$H,0)</f>
        <v>0</v>
      </c>
      <c r="J153" s="17">
        <f>_xlfn.XLOOKUP($B153,'[3]May-24'!$A:$A,'[3]May-24'!$H:$H,0)</f>
        <v>0</v>
      </c>
      <c r="K153" s="17">
        <f>_xlfn.XLOOKUP($B153,'[3]Jun-24'!$A:$A,'[3]Jun-24'!$H:$H,0)</f>
        <v>0</v>
      </c>
      <c r="L153" s="17">
        <f>_xlfn.XLOOKUP($B153,'[3]Jul-24'!$A:$A,'[3]Jul-24'!$H:$H,0)</f>
        <v>0</v>
      </c>
      <c r="M153" s="17">
        <f>_xlfn.XLOOKUP($B153,'[3]Aug-24'!$A:$A,'[3]Aug-24'!$H:$H,0)</f>
        <v>0</v>
      </c>
      <c r="N153" s="17">
        <f>_xlfn.XLOOKUP($B153,'[3]Sep-24'!$A:$A,'[3]Sep-24'!$H:$H,0)</f>
        <v>0</v>
      </c>
      <c r="O153" s="17">
        <f>_xlfn.XLOOKUP($B153,'[3]Oct-24'!$A:$A,'[3]Oct-24'!$H:$H,0)</f>
        <v>0</v>
      </c>
      <c r="P153" s="17">
        <f>_xlfn.XLOOKUP($B153,'[3]Nov-24'!$A:$A,'[3]Nov-24'!$H:$H,0)</f>
        <v>0</v>
      </c>
      <c r="Q153" s="17">
        <f>_xlfn.XLOOKUP($B153,'[3]Dec-24'!$A:$A,'[3]Dec-24'!$H:$H,0)</f>
        <v>0</v>
      </c>
      <c r="R153" s="17">
        <f>_xlfn.XLOOKUP($B153,'[3]Jan-25'!$A:$A,'[3]Jan-25'!$H:$H,0)</f>
        <v>0</v>
      </c>
      <c r="S153" s="17">
        <f>_xlfn.XLOOKUP($B153,'[3]Feb-25'!$A:$A,'[3]Feb-25'!$H:$H,0)</f>
        <v>0</v>
      </c>
      <c r="T153" s="17">
        <f>_xlfn.XLOOKUP($B153,'[3]Mar-25'!$A:$A,'[3]Mar-25'!$H:$H,0)</f>
        <v>0</v>
      </c>
      <c r="U153" s="17">
        <f>_xlfn.XLOOKUP($B153,'[3]Apr-25'!$A:$A,'[3]Apr-25'!$H:$H,0)</f>
        <v>0</v>
      </c>
      <c r="V153" s="17">
        <f>_xlfn.XLOOKUP($B153,'[3]May-25'!$A:$A,'[3]May-25'!$H:$H,0)</f>
        <v>0</v>
      </c>
      <c r="W153" s="17">
        <f>_xlfn.XLOOKUP($B153,'[3]Jun-25'!$A:$A,'[3]Jun-25'!$H:$H,0)</f>
        <v>0</v>
      </c>
      <c r="X153" s="17">
        <f>_xlfn.XLOOKUP($B153,'[3]Jul-25'!$A:$A,'[3]Jul-25'!$H:$H,0)</f>
        <v>0</v>
      </c>
      <c r="Y153" s="17">
        <f>_xlfn.XLOOKUP($B153,'[3]Aug-25'!$A:$A,'[3]Aug-25'!$H:$H,0)</f>
        <v>0</v>
      </c>
      <c r="Z153" s="17">
        <f>_xlfn.XLOOKUP($B153,'[3]Sep-25'!$A:$A,'[3]Sep-25'!$H:$H,0)</f>
        <v>0</v>
      </c>
      <c r="AA153" s="17">
        <f>_xlfn.XLOOKUP($B153,'[3]Oct-25'!$A:$A,'[3]Oct-25'!$H:$H,0)</f>
        <v>0</v>
      </c>
      <c r="AB153" s="17">
        <f>_xlfn.XLOOKUP($B153,'[3]Nov-25'!$A:$A,'[3]Nov-25'!$H:$H,0)</f>
        <v>0</v>
      </c>
      <c r="AC153" s="17">
        <f>_xlfn.XLOOKUP($B153,'[3]Dec-25'!$A:$A,'[3]Dec-25'!$H:$H,0)</f>
        <v>0</v>
      </c>
      <c r="AD153" s="17">
        <f>_xlfn.XLOOKUP($B153,'[3]Jan-26'!$A:$A,'[3]Jan-26'!$H:$H,0)</f>
        <v>0</v>
      </c>
      <c r="AE153" s="17">
        <f>_xlfn.XLOOKUP($B153,'[3]Feb-26'!$A:$A,'[3]Feb-26'!$H:$H,0)</f>
        <v>0</v>
      </c>
      <c r="AF153" s="17">
        <f>_xlfn.XLOOKUP($B153,'[3]Mar-26'!$A:$A,'[3]Mar-26'!$H:$H,0)</f>
        <v>0</v>
      </c>
      <c r="AG153" s="17">
        <f>_xlfn.XLOOKUP($B153,'[3]Apr-26'!$A:$A,'[3]Apr-26'!$H:$H,0)</f>
        <v>0</v>
      </c>
    </row>
    <row r="154" spans="1:33" x14ac:dyDescent="0.2">
      <c r="A154" s="58" t="s">
        <v>1105</v>
      </c>
      <c r="B154" s="56" t="str">
        <f t="shared" si="4"/>
        <v>52200</v>
      </c>
      <c r="C154" s="78" t="s">
        <v>517</v>
      </c>
      <c r="D154" s="57" t="s">
        <v>387</v>
      </c>
      <c r="E154" s="44" t="s">
        <v>529</v>
      </c>
      <c r="F154" s="17">
        <f>_xlfn.XLOOKUP($B154,'[3]Jan-24'!$A:$A,'[3]Jan-24'!$H:$H,0)</f>
        <v>0</v>
      </c>
      <c r="G154" s="17">
        <f>_xlfn.XLOOKUP($B154,'[3]Feb-24'!$A:$A,'[3]Feb-24'!$H:$H,0)</f>
        <v>0</v>
      </c>
      <c r="H154" s="17">
        <f>_xlfn.XLOOKUP($B154,'[3]Mar-24'!$A:$A,'[3]Mar-24'!$H:$H,0)</f>
        <v>0</v>
      </c>
      <c r="I154" s="17">
        <f>_xlfn.XLOOKUP($B154,'[3]Apr-24'!$A:$A,'[3]Apr-24'!$H:$H,0)</f>
        <v>0</v>
      </c>
      <c r="J154" s="17">
        <f>_xlfn.XLOOKUP($B154,'[3]May-24'!$A:$A,'[3]May-24'!$H:$H,0)</f>
        <v>0</v>
      </c>
      <c r="K154" s="17">
        <f>_xlfn.XLOOKUP($B154,'[3]Jun-24'!$A:$A,'[3]Jun-24'!$H:$H,0)</f>
        <v>0</v>
      </c>
      <c r="L154" s="17">
        <f>_xlfn.XLOOKUP($B154,'[3]Jul-24'!$A:$A,'[3]Jul-24'!$H:$H,0)</f>
        <v>0</v>
      </c>
      <c r="M154" s="17">
        <f>_xlfn.XLOOKUP($B154,'[3]Aug-24'!$A:$A,'[3]Aug-24'!$H:$H,0)</f>
        <v>0</v>
      </c>
      <c r="N154" s="17">
        <f>_xlfn.XLOOKUP($B154,'[3]Sep-24'!$A:$A,'[3]Sep-24'!$H:$H,0)</f>
        <v>0</v>
      </c>
      <c r="O154" s="17">
        <f>_xlfn.XLOOKUP($B154,'[3]Oct-24'!$A:$A,'[3]Oct-24'!$H:$H,0)</f>
        <v>0</v>
      </c>
      <c r="P154" s="17">
        <f>_xlfn.XLOOKUP($B154,'[3]Nov-24'!$A:$A,'[3]Nov-24'!$H:$H,0)</f>
        <v>0</v>
      </c>
      <c r="Q154" s="17">
        <f>_xlfn.XLOOKUP($B154,'[3]Dec-24'!$A:$A,'[3]Dec-24'!$H:$H,0)</f>
        <v>0</v>
      </c>
      <c r="R154" s="17">
        <f>_xlfn.XLOOKUP($B154,'[3]Jan-25'!$A:$A,'[3]Jan-25'!$H:$H,0)</f>
        <v>0</v>
      </c>
      <c r="S154" s="17">
        <f>_xlfn.XLOOKUP($B154,'[3]Feb-25'!$A:$A,'[3]Feb-25'!$H:$H,0)</f>
        <v>0</v>
      </c>
      <c r="T154" s="17">
        <f>_xlfn.XLOOKUP($B154,'[3]Mar-25'!$A:$A,'[3]Mar-25'!$H:$H,0)</f>
        <v>0</v>
      </c>
      <c r="U154" s="17">
        <f>_xlfn.XLOOKUP($B154,'[3]Apr-25'!$A:$A,'[3]Apr-25'!$H:$H,0)</f>
        <v>0</v>
      </c>
      <c r="V154" s="17">
        <f>_xlfn.XLOOKUP($B154,'[3]May-25'!$A:$A,'[3]May-25'!$H:$H,0)</f>
        <v>0</v>
      </c>
      <c r="W154" s="17">
        <f>_xlfn.XLOOKUP($B154,'[3]Jun-25'!$A:$A,'[3]Jun-25'!$H:$H,0)</f>
        <v>0</v>
      </c>
      <c r="X154" s="17">
        <f>_xlfn.XLOOKUP($B154,'[3]Jul-25'!$A:$A,'[3]Jul-25'!$H:$H,0)</f>
        <v>0</v>
      </c>
      <c r="Y154" s="17">
        <f>_xlfn.XLOOKUP($B154,'[3]Aug-25'!$A:$A,'[3]Aug-25'!$H:$H,0)</f>
        <v>0</v>
      </c>
      <c r="Z154" s="17">
        <f>_xlfn.XLOOKUP($B154,'[3]Sep-25'!$A:$A,'[3]Sep-25'!$H:$H,0)</f>
        <v>0</v>
      </c>
      <c r="AA154" s="17">
        <f>_xlfn.XLOOKUP($B154,'[3]Oct-25'!$A:$A,'[3]Oct-25'!$H:$H,0)</f>
        <v>0</v>
      </c>
      <c r="AB154" s="17">
        <f>_xlfn.XLOOKUP($B154,'[3]Nov-25'!$A:$A,'[3]Nov-25'!$H:$H,0)</f>
        <v>0</v>
      </c>
      <c r="AC154" s="17">
        <f>_xlfn.XLOOKUP($B154,'[3]Dec-25'!$A:$A,'[3]Dec-25'!$H:$H,0)</f>
        <v>0</v>
      </c>
      <c r="AD154" s="17">
        <f>_xlfn.XLOOKUP($B154,'[3]Jan-26'!$A:$A,'[3]Jan-26'!$H:$H,0)</f>
        <v>0</v>
      </c>
      <c r="AE154" s="17">
        <f>_xlfn.XLOOKUP($B154,'[3]Feb-26'!$A:$A,'[3]Feb-26'!$H:$H,0)</f>
        <v>0</v>
      </c>
      <c r="AF154" s="17">
        <f>_xlfn.XLOOKUP($B154,'[3]Mar-26'!$A:$A,'[3]Mar-26'!$H:$H,0)</f>
        <v>0</v>
      </c>
      <c r="AG154" s="17">
        <f>_xlfn.XLOOKUP($B154,'[3]Apr-26'!$A:$A,'[3]Apr-26'!$H:$H,0)</f>
        <v>0</v>
      </c>
    </row>
    <row r="155" spans="1:33" x14ac:dyDescent="0.2">
      <c r="A155" s="58" t="s">
        <v>1106</v>
      </c>
      <c r="B155" s="56" t="str">
        <f t="shared" si="4"/>
        <v>52300</v>
      </c>
      <c r="C155" s="78" t="s">
        <v>517</v>
      </c>
      <c r="D155" s="57" t="s">
        <v>387</v>
      </c>
      <c r="E155" s="44" t="s">
        <v>530</v>
      </c>
      <c r="F155" s="17">
        <f>_xlfn.XLOOKUP($B155,'[3]Jan-24'!$A:$A,'[3]Jan-24'!$H:$H,0)</f>
        <v>0</v>
      </c>
      <c r="G155" s="17">
        <f>_xlfn.XLOOKUP($B155,'[3]Feb-24'!$A:$A,'[3]Feb-24'!$H:$H,0)</f>
        <v>0</v>
      </c>
      <c r="H155" s="17">
        <f>_xlfn.XLOOKUP($B155,'[3]Mar-24'!$A:$A,'[3]Mar-24'!$H:$H,0)</f>
        <v>0</v>
      </c>
      <c r="I155" s="17">
        <f>_xlfn.XLOOKUP($B155,'[3]Apr-24'!$A:$A,'[3]Apr-24'!$H:$H,0)</f>
        <v>0</v>
      </c>
      <c r="J155" s="17">
        <f>_xlfn.XLOOKUP($B155,'[3]May-24'!$A:$A,'[3]May-24'!$H:$H,0)</f>
        <v>0</v>
      </c>
      <c r="K155" s="17">
        <f>_xlfn.XLOOKUP($B155,'[3]Jun-24'!$A:$A,'[3]Jun-24'!$H:$H,0)</f>
        <v>0</v>
      </c>
      <c r="L155" s="17">
        <f>_xlfn.XLOOKUP($B155,'[3]Jul-24'!$A:$A,'[3]Jul-24'!$H:$H,0)</f>
        <v>0</v>
      </c>
      <c r="M155" s="17">
        <f>_xlfn.XLOOKUP($B155,'[3]Aug-24'!$A:$A,'[3]Aug-24'!$H:$H,0)</f>
        <v>0</v>
      </c>
      <c r="N155" s="17">
        <f>_xlfn.XLOOKUP($B155,'[3]Sep-24'!$A:$A,'[3]Sep-24'!$H:$H,0)</f>
        <v>0</v>
      </c>
      <c r="O155" s="17">
        <f>_xlfn.XLOOKUP($B155,'[3]Oct-24'!$A:$A,'[3]Oct-24'!$H:$H,0)</f>
        <v>0</v>
      </c>
      <c r="P155" s="17">
        <f>_xlfn.XLOOKUP($B155,'[3]Nov-24'!$A:$A,'[3]Nov-24'!$H:$H,0)</f>
        <v>0</v>
      </c>
      <c r="Q155" s="17">
        <f>_xlfn.XLOOKUP($B155,'[3]Dec-24'!$A:$A,'[3]Dec-24'!$H:$H,0)</f>
        <v>0</v>
      </c>
      <c r="R155" s="17">
        <f>_xlfn.XLOOKUP($B155,'[3]Jan-25'!$A:$A,'[3]Jan-25'!$H:$H,0)</f>
        <v>0</v>
      </c>
      <c r="S155" s="17">
        <f>_xlfn.XLOOKUP($B155,'[3]Feb-25'!$A:$A,'[3]Feb-25'!$H:$H,0)</f>
        <v>0</v>
      </c>
      <c r="T155" s="17">
        <f>_xlfn.XLOOKUP($B155,'[3]Mar-25'!$A:$A,'[3]Mar-25'!$H:$H,0)</f>
        <v>0</v>
      </c>
      <c r="U155" s="17">
        <f>_xlfn.XLOOKUP($B155,'[3]Apr-25'!$A:$A,'[3]Apr-25'!$H:$H,0)</f>
        <v>0</v>
      </c>
      <c r="V155" s="17">
        <f>_xlfn.XLOOKUP($B155,'[3]May-25'!$A:$A,'[3]May-25'!$H:$H,0)</f>
        <v>0</v>
      </c>
      <c r="W155" s="17">
        <f>_xlfn.XLOOKUP($B155,'[3]Jun-25'!$A:$A,'[3]Jun-25'!$H:$H,0)</f>
        <v>0</v>
      </c>
      <c r="X155" s="17">
        <f>_xlfn.XLOOKUP($B155,'[3]Jul-25'!$A:$A,'[3]Jul-25'!$H:$H,0)</f>
        <v>0</v>
      </c>
      <c r="Y155" s="17">
        <f>_xlfn.XLOOKUP($B155,'[3]Aug-25'!$A:$A,'[3]Aug-25'!$H:$H,0)</f>
        <v>0</v>
      </c>
      <c r="Z155" s="17">
        <f>_xlfn.XLOOKUP($B155,'[3]Sep-25'!$A:$A,'[3]Sep-25'!$H:$H,0)</f>
        <v>0</v>
      </c>
      <c r="AA155" s="17">
        <f>_xlfn.XLOOKUP($B155,'[3]Oct-25'!$A:$A,'[3]Oct-25'!$H:$H,0)</f>
        <v>0</v>
      </c>
      <c r="AB155" s="17">
        <f>_xlfn.XLOOKUP($B155,'[3]Nov-25'!$A:$A,'[3]Nov-25'!$H:$H,0)</f>
        <v>0</v>
      </c>
      <c r="AC155" s="17">
        <f>_xlfn.XLOOKUP($B155,'[3]Dec-25'!$A:$A,'[3]Dec-25'!$H:$H,0)</f>
        <v>0</v>
      </c>
      <c r="AD155" s="17">
        <f>_xlfn.XLOOKUP($B155,'[3]Jan-26'!$A:$A,'[3]Jan-26'!$H:$H,0)</f>
        <v>0</v>
      </c>
      <c r="AE155" s="17">
        <f>_xlfn.XLOOKUP($B155,'[3]Feb-26'!$A:$A,'[3]Feb-26'!$H:$H,0)</f>
        <v>0</v>
      </c>
      <c r="AF155" s="17">
        <f>_xlfn.XLOOKUP($B155,'[3]Mar-26'!$A:$A,'[3]Mar-26'!$H:$H,0)</f>
        <v>0</v>
      </c>
      <c r="AG155" s="17">
        <f>_xlfn.XLOOKUP($B155,'[3]Apr-26'!$A:$A,'[3]Apr-26'!$H:$H,0)</f>
        <v>0</v>
      </c>
    </row>
    <row r="156" spans="1:33" x14ac:dyDescent="0.2">
      <c r="A156" s="58" t="s">
        <v>1107</v>
      </c>
      <c r="B156" s="56" t="str">
        <f t="shared" si="4"/>
        <v>52400</v>
      </c>
      <c r="C156" s="78" t="s">
        <v>517</v>
      </c>
      <c r="D156" s="57" t="s">
        <v>387</v>
      </c>
      <c r="E156" s="44" t="s">
        <v>531</v>
      </c>
      <c r="F156" s="17">
        <f>_xlfn.XLOOKUP($B156,'[3]Jan-24'!$A:$A,'[3]Jan-24'!$H:$H,0)</f>
        <v>0</v>
      </c>
      <c r="G156" s="17">
        <f>_xlfn.XLOOKUP($B156,'[3]Feb-24'!$A:$A,'[3]Feb-24'!$H:$H,0)</f>
        <v>0</v>
      </c>
      <c r="H156" s="17">
        <f>_xlfn.XLOOKUP($B156,'[3]Mar-24'!$A:$A,'[3]Mar-24'!$H:$H,0)</f>
        <v>0</v>
      </c>
      <c r="I156" s="17">
        <f>_xlfn.XLOOKUP($B156,'[3]Apr-24'!$A:$A,'[3]Apr-24'!$H:$H,0)</f>
        <v>0</v>
      </c>
      <c r="J156" s="17">
        <f>_xlfn.XLOOKUP($B156,'[3]May-24'!$A:$A,'[3]May-24'!$H:$H,0)</f>
        <v>0</v>
      </c>
      <c r="K156" s="17">
        <f>_xlfn.XLOOKUP($B156,'[3]Jun-24'!$A:$A,'[3]Jun-24'!$H:$H,0)</f>
        <v>0</v>
      </c>
      <c r="L156" s="17">
        <f>_xlfn.XLOOKUP($B156,'[3]Jul-24'!$A:$A,'[3]Jul-24'!$H:$H,0)</f>
        <v>0</v>
      </c>
      <c r="M156" s="17">
        <f>_xlfn.XLOOKUP($B156,'[3]Aug-24'!$A:$A,'[3]Aug-24'!$H:$H,0)</f>
        <v>0</v>
      </c>
      <c r="N156" s="17">
        <f>_xlfn.XLOOKUP($B156,'[3]Sep-24'!$A:$A,'[3]Sep-24'!$H:$H,0)</f>
        <v>0</v>
      </c>
      <c r="O156" s="17">
        <f>_xlfn.XLOOKUP($B156,'[3]Oct-24'!$A:$A,'[3]Oct-24'!$H:$H,0)</f>
        <v>0</v>
      </c>
      <c r="P156" s="17">
        <f>_xlfn.XLOOKUP($B156,'[3]Nov-24'!$A:$A,'[3]Nov-24'!$H:$H,0)</f>
        <v>0</v>
      </c>
      <c r="Q156" s="17">
        <f>_xlfn.XLOOKUP($B156,'[3]Dec-24'!$A:$A,'[3]Dec-24'!$H:$H,0)</f>
        <v>0</v>
      </c>
      <c r="R156" s="17">
        <f>_xlfn.XLOOKUP($B156,'[3]Jan-25'!$A:$A,'[3]Jan-25'!$H:$H,0)</f>
        <v>0</v>
      </c>
      <c r="S156" s="17">
        <f>_xlfn.XLOOKUP($B156,'[3]Feb-25'!$A:$A,'[3]Feb-25'!$H:$H,0)</f>
        <v>0</v>
      </c>
      <c r="T156" s="17">
        <f>_xlfn.XLOOKUP($B156,'[3]Mar-25'!$A:$A,'[3]Mar-25'!$H:$H,0)</f>
        <v>0</v>
      </c>
      <c r="U156" s="17">
        <f>_xlfn.XLOOKUP($B156,'[3]Apr-25'!$A:$A,'[3]Apr-25'!$H:$H,0)</f>
        <v>0</v>
      </c>
      <c r="V156" s="17">
        <f>_xlfn.XLOOKUP($B156,'[3]May-25'!$A:$A,'[3]May-25'!$H:$H,0)</f>
        <v>0</v>
      </c>
      <c r="W156" s="17">
        <f>_xlfn.XLOOKUP($B156,'[3]Jun-25'!$A:$A,'[3]Jun-25'!$H:$H,0)</f>
        <v>0</v>
      </c>
      <c r="X156" s="17">
        <f>_xlfn.XLOOKUP($B156,'[3]Jul-25'!$A:$A,'[3]Jul-25'!$H:$H,0)</f>
        <v>0</v>
      </c>
      <c r="Y156" s="17">
        <f>_xlfn.XLOOKUP($B156,'[3]Aug-25'!$A:$A,'[3]Aug-25'!$H:$H,0)</f>
        <v>0</v>
      </c>
      <c r="Z156" s="17">
        <f>_xlfn.XLOOKUP($B156,'[3]Sep-25'!$A:$A,'[3]Sep-25'!$H:$H,0)</f>
        <v>0</v>
      </c>
      <c r="AA156" s="17">
        <f>_xlfn.XLOOKUP($B156,'[3]Oct-25'!$A:$A,'[3]Oct-25'!$H:$H,0)</f>
        <v>0</v>
      </c>
      <c r="AB156" s="17">
        <f>_xlfn.XLOOKUP($B156,'[3]Nov-25'!$A:$A,'[3]Nov-25'!$H:$H,0)</f>
        <v>0</v>
      </c>
      <c r="AC156" s="17">
        <f>_xlfn.XLOOKUP($B156,'[3]Dec-25'!$A:$A,'[3]Dec-25'!$H:$H,0)</f>
        <v>0</v>
      </c>
      <c r="AD156" s="17">
        <f>_xlfn.XLOOKUP($B156,'[3]Jan-26'!$A:$A,'[3]Jan-26'!$H:$H,0)</f>
        <v>0</v>
      </c>
      <c r="AE156" s="17">
        <f>_xlfn.XLOOKUP($B156,'[3]Feb-26'!$A:$A,'[3]Feb-26'!$H:$H,0)</f>
        <v>0</v>
      </c>
      <c r="AF156" s="17">
        <f>_xlfn.XLOOKUP($B156,'[3]Mar-26'!$A:$A,'[3]Mar-26'!$H:$H,0)</f>
        <v>0</v>
      </c>
      <c r="AG156" s="17">
        <f>_xlfn.XLOOKUP($B156,'[3]Apr-26'!$A:$A,'[3]Apr-26'!$H:$H,0)</f>
        <v>0</v>
      </c>
    </row>
    <row r="157" spans="1:33" x14ac:dyDescent="0.2">
      <c r="A157" s="58" t="s">
        <v>1108</v>
      </c>
      <c r="B157" s="56" t="str">
        <f t="shared" si="4"/>
        <v>52500</v>
      </c>
      <c r="C157" s="78" t="s">
        <v>517</v>
      </c>
      <c r="D157" s="57" t="s">
        <v>387</v>
      </c>
      <c r="E157" s="44" t="s">
        <v>532</v>
      </c>
      <c r="F157" s="17">
        <f>_xlfn.XLOOKUP($B157,'[3]Jan-24'!$A:$A,'[3]Jan-24'!$H:$H,0)</f>
        <v>0</v>
      </c>
      <c r="G157" s="17">
        <f>_xlfn.XLOOKUP($B157,'[3]Feb-24'!$A:$A,'[3]Feb-24'!$H:$H,0)</f>
        <v>0</v>
      </c>
      <c r="H157" s="17">
        <f>_xlfn.XLOOKUP($B157,'[3]Mar-24'!$A:$A,'[3]Mar-24'!$H:$H,0)</f>
        <v>0</v>
      </c>
      <c r="I157" s="17">
        <f>_xlfn.XLOOKUP($B157,'[3]Apr-24'!$A:$A,'[3]Apr-24'!$H:$H,0)</f>
        <v>0</v>
      </c>
      <c r="J157" s="17">
        <f>_xlfn.XLOOKUP($B157,'[3]May-24'!$A:$A,'[3]May-24'!$H:$H,0)</f>
        <v>0</v>
      </c>
      <c r="K157" s="17">
        <f>_xlfn.XLOOKUP($B157,'[3]Jun-24'!$A:$A,'[3]Jun-24'!$H:$H,0)</f>
        <v>0</v>
      </c>
      <c r="L157" s="17">
        <f>_xlfn.XLOOKUP($B157,'[3]Jul-24'!$A:$A,'[3]Jul-24'!$H:$H,0)</f>
        <v>0</v>
      </c>
      <c r="M157" s="17">
        <f>_xlfn.XLOOKUP($B157,'[3]Aug-24'!$A:$A,'[3]Aug-24'!$H:$H,0)</f>
        <v>0</v>
      </c>
      <c r="N157" s="17">
        <f>_xlfn.XLOOKUP($B157,'[3]Sep-24'!$A:$A,'[3]Sep-24'!$H:$H,0)</f>
        <v>0</v>
      </c>
      <c r="O157" s="17">
        <f>_xlfn.XLOOKUP($B157,'[3]Oct-24'!$A:$A,'[3]Oct-24'!$H:$H,0)</f>
        <v>0</v>
      </c>
      <c r="P157" s="17">
        <f>_xlfn.XLOOKUP($B157,'[3]Nov-24'!$A:$A,'[3]Nov-24'!$H:$H,0)</f>
        <v>0</v>
      </c>
      <c r="Q157" s="17">
        <f>_xlfn.XLOOKUP($B157,'[3]Dec-24'!$A:$A,'[3]Dec-24'!$H:$H,0)</f>
        <v>0</v>
      </c>
      <c r="R157" s="17">
        <f>_xlfn.XLOOKUP($B157,'[3]Jan-25'!$A:$A,'[3]Jan-25'!$H:$H,0)</f>
        <v>0</v>
      </c>
      <c r="S157" s="17">
        <f>_xlfn.XLOOKUP($B157,'[3]Feb-25'!$A:$A,'[3]Feb-25'!$H:$H,0)</f>
        <v>0</v>
      </c>
      <c r="T157" s="17">
        <f>_xlfn.XLOOKUP($B157,'[3]Mar-25'!$A:$A,'[3]Mar-25'!$H:$H,0)</f>
        <v>0</v>
      </c>
      <c r="U157" s="17">
        <f>_xlfn.XLOOKUP($B157,'[3]Apr-25'!$A:$A,'[3]Apr-25'!$H:$H,0)</f>
        <v>0</v>
      </c>
      <c r="V157" s="17">
        <f>_xlfn.XLOOKUP($B157,'[3]May-25'!$A:$A,'[3]May-25'!$H:$H,0)</f>
        <v>0</v>
      </c>
      <c r="W157" s="17">
        <f>_xlfn.XLOOKUP($B157,'[3]Jun-25'!$A:$A,'[3]Jun-25'!$H:$H,0)</f>
        <v>0</v>
      </c>
      <c r="X157" s="17">
        <f>_xlfn.XLOOKUP($B157,'[3]Jul-25'!$A:$A,'[3]Jul-25'!$H:$H,0)</f>
        <v>0</v>
      </c>
      <c r="Y157" s="17">
        <f>_xlfn.XLOOKUP($B157,'[3]Aug-25'!$A:$A,'[3]Aug-25'!$H:$H,0)</f>
        <v>0</v>
      </c>
      <c r="Z157" s="17">
        <f>_xlfn.XLOOKUP($B157,'[3]Sep-25'!$A:$A,'[3]Sep-25'!$H:$H,0)</f>
        <v>0</v>
      </c>
      <c r="AA157" s="17">
        <f>_xlfn.XLOOKUP($B157,'[3]Oct-25'!$A:$A,'[3]Oct-25'!$H:$H,0)</f>
        <v>0</v>
      </c>
      <c r="AB157" s="17">
        <f>_xlfn.XLOOKUP($B157,'[3]Nov-25'!$A:$A,'[3]Nov-25'!$H:$H,0)</f>
        <v>0</v>
      </c>
      <c r="AC157" s="17">
        <f>_xlfn.XLOOKUP($B157,'[3]Dec-25'!$A:$A,'[3]Dec-25'!$H:$H,0)</f>
        <v>0</v>
      </c>
      <c r="AD157" s="17">
        <f>_xlfn.XLOOKUP($B157,'[3]Jan-26'!$A:$A,'[3]Jan-26'!$H:$H,0)</f>
        <v>0</v>
      </c>
      <c r="AE157" s="17">
        <f>_xlfn.XLOOKUP($B157,'[3]Feb-26'!$A:$A,'[3]Feb-26'!$H:$H,0)</f>
        <v>0</v>
      </c>
      <c r="AF157" s="17">
        <f>_xlfn.XLOOKUP($B157,'[3]Mar-26'!$A:$A,'[3]Mar-26'!$H:$H,0)</f>
        <v>0</v>
      </c>
      <c r="AG157" s="17">
        <f>_xlfn.XLOOKUP($B157,'[3]Apr-26'!$A:$A,'[3]Apr-26'!$H:$H,0)</f>
        <v>0</v>
      </c>
    </row>
    <row r="158" spans="1:33" x14ac:dyDescent="0.2">
      <c r="A158" s="58" t="s">
        <v>1109</v>
      </c>
      <c r="B158" s="56" t="str">
        <f t="shared" si="4"/>
        <v>52600</v>
      </c>
      <c r="C158" s="78" t="s">
        <v>517</v>
      </c>
      <c r="D158" s="57" t="s">
        <v>387</v>
      </c>
      <c r="E158" s="44" t="s">
        <v>533</v>
      </c>
      <c r="F158" s="17">
        <f>_xlfn.XLOOKUP($B158,'[3]Jan-24'!$A:$A,'[3]Jan-24'!$H:$H,0)</f>
        <v>0</v>
      </c>
      <c r="G158" s="17">
        <f>_xlfn.XLOOKUP($B158,'[3]Feb-24'!$A:$A,'[3]Feb-24'!$H:$H,0)</f>
        <v>0</v>
      </c>
      <c r="H158" s="17">
        <f>_xlfn.XLOOKUP($B158,'[3]Mar-24'!$A:$A,'[3]Mar-24'!$H:$H,0)</f>
        <v>0</v>
      </c>
      <c r="I158" s="17">
        <f>_xlfn.XLOOKUP($B158,'[3]Apr-24'!$A:$A,'[3]Apr-24'!$H:$H,0)</f>
        <v>0</v>
      </c>
      <c r="J158" s="17">
        <f>_xlfn.XLOOKUP($B158,'[3]May-24'!$A:$A,'[3]May-24'!$H:$H,0)</f>
        <v>0</v>
      </c>
      <c r="K158" s="17">
        <f>_xlfn.XLOOKUP($B158,'[3]Jun-24'!$A:$A,'[3]Jun-24'!$H:$H,0)</f>
        <v>0</v>
      </c>
      <c r="L158" s="17">
        <f>_xlfn.XLOOKUP($B158,'[3]Jul-24'!$A:$A,'[3]Jul-24'!$H:$H,0)</f>
        <v>0</v>
      </c>
      <c r="M158" s="17">
        <f>_xlfn.XLOOKUP($B158,'[3]Aug-24'!$A:$A,'[3]Aug-24'!$H:$H,0)</f>
        <v>0</v>
      </c>
      <c r="N158" s="17">
        <f>_xlfn.XLOOKUP($B158,'[3]Sep-24'!$A:$A,'[3]Sep-24'!$H:$H,0)</f>
        <v>0</v>
      </c>
      <c r="O158" s="17">
        <f>_xlfn.XLOOKUP($B158,'[3]Oct-24'!$A:$A,'[3]Oct-24'!$H:$H,0)</f>
        <v>0</v>
      </c>
      <c r="P158" s="17">
        <f>_xlfn.XLOOKUP($B158,'[3]Nov-24'!$A:$A,'[3]Nov-24'!$H:$H,0)</f>
        <v>0</v>
      </c>
      <c r="Q158" s="17">
        <f>_xlfn.XLOOKUP($B158,'[3]Dec-24'!$A:$A,'[3]Dec-24'!$H:$H,0)</f>
        <v>0</v>
      </c>
      <c r="R158" s="17">
        <f>_xlfn.XLOOKUP($B158,'[3]Jan-25'!$A:$A,'[3]Jan-25'!$H:$H,0)</f>
        <v>0</v>
      </c>
      <c r="S158" s="17">
        <f>_xlfn.XLOOKUP($B158,'[3]Feb-25'!$A:$A,'[3]Feb-25'!$H:$H,0)</f>
        <v>0</v>
      </c>
      <c r="T158" s="17">
        <f>_xlfn.XLOOKUP($B158,'[3]Mar-25'!$A:$A,'[3]Mar-25'!$H:$H,0)</f>
        <v>0</v>
      </c>
      <c r="U158" s="17">
        <f>_xlfn.XLOOKUP($B158,'[3]Apr-25'!$A:$A,'[3]Apr-25'!$H:$H,0)</f>
        <v>0</v>
      </c>
      <c r="V158" s="17">
        <f>_xlfn.XLOOKUP($B158,'[3]May-25'!$A:$A,'[3]May-25'!$H:$H,0)</f>
        <v>0</v>
      </c>
      <c r="W158" s="17">
        <f>_xlfn.XLOOKUP($B158,'[3]Jun-25'!$A:$A,'[3]Jun-25'!$H:$H,0)</f>
        <v>0</v>
      </c>
      <c r="X158" s="17">
        <f>_xlfn.XLOOKUP($B158,'[3]Jul-25'!$A:$A,'[3]Jul-25'!$H:$H,0)</f>
        <v>0</v>
      </c>
      <c r="Y158" s="17">
        <f>_xlfn.XLOOKUP($B158,'[3]Aug-25'!$A:$A,'[3]Aug-25'!$H:$H,0)</f>
        <v>0</v>
      </c>
      <c r="Z158" s="17">
        <f>_xlfn.XLOOKUP($B158,'[3]Sep-25'!$A:$A,'[3]Sep-25'!$H:$H,0)</f>
        <v>0</v>
      </c>
      <c r="AA158" s="17">
        <f>_xlfn.XLOOKUP($B158,'[3]Oct-25'!$A:$A,'[3]Oct-25'!$H:$H,0)</f>
        <v>0</v>
      </c>
      <c r="AB158" s="17">
        <f>_xlfn.XLOOKUP($B158,'[3]Nov-25'!$A:$A,'[3]Nov-25'!$H:$H,0)</f>
        <v>0</v>
      </c>
      <c r="AC158" s="17">
        <f>_xlfn.XLOOKUP($B158,'[3]Dec-25'!$A:$A,'[3]Dec-25'!$H:$H,0)</f>
        <v>0</v>
      </c>
      <c r="AD158" s="17">
        <f>_xlfn.XLOOKUP($B158,'[3]Jan-26'!$A:$A,'[3]Jan-26'!$H:$H,0)</f>
        <v>0</v>
      </c>
      <c r="AE158" s="17">
        <f>_xlfn.XLOOKUP($B158,'[3]Feb-26'!$A:$A,'[3]Feb-26'!$H:$H,0)</f>
        <v>0</v>
      </c>
      <c r="AF158" s="17">
        <f>_xlfn.XLOOKUP($B158,'[3]Mar-26'!$A:$A,'[3]Mar-26'!$H:$H,0)</f>
        <v>0</v>
      </c>
      <c r="AG158" s="17">
        <f>_xlfn.XLOOKUP($B158,'[3]Apr-26'!$A:$A,'[3]Apr-26'!$H:$H,0)</f>
        <v>0</v>
      </c>
    </row>
    <row r="159" spans="1:33" x14ac:dyDescent="0.2">
      <c r="A159" s="58" t="s">
        <v>1110</v>
      </c>
      <c r="B159" s="56" t="str">
        <f t="shared" si="4"/>
        <v>53000</v>
      </c>
      <c r="C159" s="78" t="s">
        <v>517</v>
      </c>
      <c r="D159" s="57" t="s">
        <v>387</v>
      </c>
      <c r="E159" s="44" t="s">
        <v>6</v>
      </c>
      <c r="F159" s="17">
        <f>_xlfn.XLOOKUP($B159,'[3]Jan-24'!$A:$A,'[3]Jan-24'!$H:$H,0)</f>
        <v>0</v>
      </c>
      <c r="G159" s="17">
        <f>_xlfn.XLOOKUP($B159,'[3]Feb-24'!$A:$A,'[3]Feb-24'!$H:$H,0)</f>
        <v>0</v>
      </c>
      <c r="H159" s="17">
        <f>_xlfn.XLOOKUP($B159,'[3]Mar-24'!$A:$A,'[3]Mar-24'!$H:$H,0)</f>
        <v>0</v>
      </c>
      <c r="I159" s="17">
        <f>_xlfn.XLOOKUP($B159,'[3]Apr-24'!$A:$A,'[3]Apr-24'!$H:$H,0)</f>
        <v>0</v>
      </c>
      <c r="J159" s="17">
        <f>_xlfn.XLOOKUP($B159,'[3]May-24'!$A:$A,'[3]May-24'!$H:$H,0)</f>
        <v>0</v>
      </c>
      <c r="K159" s="17">
        <f>_xlfn.XLOOKUP($B159,'[3]Jun-24'!$A:$A,'[3]Jun-24'!$H:$H,0)</f>
        <v>0</v>
      </c>
      <c r="L159" s="17">
        <f>_xlfn.XLOOKUP($B159,'[3]Jul-24'!$A:$A,'[3]Jul-24'!$H:$H,0)</f>
        <v>0</v>
      </c>
      <c r="M159" s="17">
        <f>_xlfn.XLOOKUP($B159,'[3]Aug-24'!$A:$A,'[3]Aug-24'!$H:$H,0)</f>
        <v>0</v>
      </c>
      <c r="N159" s="17">
        <f>_xlfn.XLOOKUP($B159,'[3]Sep-24'!$A:$A,'[3]Sep-24'!$H:$H,0)</f>
        <v>0</v>
      </c>
      <c r="O159" s="17">
        <f>_xlfn.XLOOKUP($B159,'[3]Oct-24'!$A:$A,'[3]Oct-24'!$H:$H,0)</f>
        <v>0</v>
      </c>
      <c r="P159" s="17">
        <f>_xlfn.XLOOKUP($B159,'[3]Nov-24'!$A:$A,'[3]Nov-24'!$H:$H,0)</f>
        <v>0</v>
      </c>
      <c r="Q159" s="17">
        <f>_xlfn.XLOOKUP($B159,'[3]Dec-24'!$A:$A,'[3]Dec-24'!$H:$H,0)</f>
        <v>0</v>
      </c>
      <c r="R159" s="17">
        <f>_xlfn.XLOOKUP($B159,'[3]Jan-25'!$A:$A,'[3]Jan-25'!$H:$H,0)</f>
        <v>0</v>
      </c>
      <c r="S159" s="17">
        <f>_xlfn.XLOOKUP($B159,'[3]Feb-25'!$A:$A,'[3]Feb-25'!$H:$H,0)</f>
        <v>0</v>
      </c>
      <c r="T159" s="17">
        <f>_xlfn.XLOOKUP($B159,'[3]Mar-25'!$A:$A,'[3]Mar-25'!$H:$H,0)</f>
        <v>0</v>
      </c>
      <c r="U159" s="17">
        <f>_xlfn.XLOOKUP($B159,'[3]Apr-25'!$A:$A,'[3]Apr-25'!$H:$H,0)</f>
        <v>0</v>
      </c>
      <c r="V159" s="17">
        <f>_xlfn.XLOOKUP($B159,'[3]May-25'!$A:$A,'[3]May-25'!$H:$H,0)</f>
        <v>0</v>
      </c>
      <c r="W159" s="17">
        <f>_xlfn.XLOOKUP($B159,'[3]Jun-25'!$A:$A,'[3]Jun-25'!$H:$H,0)</f>
        <v>0</v>
      </c>
      <c r="X159" s="17">
        <f>_xlfn.XLOOKUP($B159,'[3]Jul-25'!$A:$A,'[3]Jul-25'!$H:$H,0)</f>
        <v>0</v>
      </c>
      <c r="Y159" s="17">
        <f>_xlfn.XLOOKUP($B159,'[3]Aug-25'!$A:$A,'[3]Aug-25'!$H:$H,0)</f>
        <v>0</v>
      </c>
      <c r="Z159" s="17">
        <f>_xlfn.XLOOKUP($B159,'[3]Sep-25'!$A:$A,'[3]Sep-25'!$H:$H,0)</f>
        <v>0</v>
      </c>
      <c r="AA159" s="17">
        <f>_xlfn.XLOOKUP($B159,'[3]Oct-25'!$A:$A,'[3]Oct-25'!$H:$H,0)</f>
        <v>0</v>
      </c>
      <c r="AB159" s="17">
        <f>_xlfn.XLOOKUP($B159,'[3]Nov-25'!$A:$A,'[3]Nov-25'!$H:$H,0)</f>
        <v>0</v>
      </c>
      <c r="AC159" s="17">
        <f>_xlfn.XLOOKUP($B159,'[3]Dec-25'!$A:$A,'[3]Dec-25'!$H:$H,0)</f>
        <v>0</v>
      </c>
      <c r="AD159" s="17">
        <f>_xlfn.XLOOKUP($B159,'[3]Jan-26'!$A:$A,'[3]Jan-26'!$H:$H,0)</f>
        <v>0</v>
      </c>
      <c r="AE159" s="17">
        <f>_xlfn.XLOOKUP($B159,'[3]Feb-26'!$A:$A,'[3]Feb-26'!$H:$H,0)</f>
        <v>0</v>
      </c>
      <c r="AF159" s="17">
        <f>_xlfn.XLOOKUP($B159,'[3]Mar-26'!$A:$A,'[3]Mar-26'!$H:$H,0)</f>
        <v>0</v>
      </c>
      <c r="AG159" s="17">
        <f>_xlfn.XLOOKUP($B159,'[3]Apr-26'!$A:$A,'[3]Apr-26'!$H:$H,0)</f>
        <v>0</v>
      </c>
    </row>
    <row r="160" spans="1:33" x14ac:dyDescent="0.2">
      <c r="A160" s="58" t="s">
        <v>1111</v>
      </c>
      <c r="B160" s="56" t="str">
        <f t="shared" si="4"/>
        <v>53005</v>
      </c>
      <c r="C160" s="78" t="s">
        <v>517</v>
      </c>
      <c r="D160" s="57" t="s">
        <v>387</v>
      </c>
      <c r="E160" s="44" t="s">
        <v>534</v>
      </c>
      <c r="F160" s="17">
        <f>_xlfn.XLOOKUP($B160,'[3]Jan-24'!$A:$A,'[3]Jan-24'!$H:$H,0)</f>
        <v>0</v>
      </c>
      <c r="G160" s="17">
        <f>_xlfn.XLOOKUP($B160,'[3]Feb-24'!$A:$A,'[3]Feb-24'!$H:$H,0)</f>
        <v>0</v>
      </c>
      <c r="H160" s="17">
        <f>_xlfn.XLOOKUP($B160,'[3]Mar-24'!$A:$A,'[3]Mar-24'!$H:$H,0)</f>
        <v>0</v>
      </c>
      <c r="I160" s="17">
        <f>_xlfn.XLOOKUP($B160,'[3]Apr-24'!$A:$A,'[3]Apr-24'!$H:$H,0)</f>
        <v>0</v>
      </c>
      <c r="J160" s="17">
        <f>_xlfn.XLOOKUP($B160,'[3]May-24'!$A:$A,'[3]May-24'!$H:$H,0)</f>
        <v>0</v>
      </c>
      <c r="K160" s="17">
        <f>_xlfn.XLOOKUP($B160,'[3]Jun-24'!$A:$A,'[3]Jun-24'!$H:$H,0)</f>
        <v>0</v>
      </c>
      <c r="L160" s="17">
        <f>_xlfn.XLOOKUP($B160,'[3]Jul-24'!$A:$A,'[3]Jul-24'!$H:$H,0)</f>
        <v>0</v>
      </c>
      <c r="M160" s="17">
        <f>_xlfn.XLOOKUP($B160,'[3]Aug-24'!$A:$A,'[3]Aug-24'!$H:$H,0)</f>
        <v>0</v>
      </c>
      <c r="N160" s="17">
        <f>_xlfn.XLOOKUP($B160,'[3]Sep-24'!$A:$A,'[3]Sep-24'!$H:$H,0)</f>
        <v>0</v>
      </c>
      <c r="O160" s="17">
        <f>_xlfn.XLOOKUP($B160,'[3]Oct-24'!$A:$A,'[3]Oct-24'!$H:$H,0)</f>
        <v>0</v>
      </c>
      <c r="P160" s="17">
        <f>_xlfn.XLOOKUP($B160,'[3]Nov-24'!$A:$A,'[3]Nov-24'!$H:$H,0)</f>
        <v>0</v>
      </c>
      <c r="Q160" s="17">
        <f>_xlfn.XLOOKUP($B160,'[3]Dec-24'!$A:$A,'[3]Dec-24'!$H:$H,0)</f>
        <v>0</v>
      </c>
      <c r="R160" s="17">
        <f>_xlfn.XLOOKUP($B160,'[3]Jan-25'!$A:$A,'[3]Jan-25'!$H:$H,0)</f>
        <v>0</v>
      </c>
      <c r="S160" s="17">
        <f>_xlfn.XLOOKUP($B160,'[3]Feb-25'!$A:$A,'[3]Feb-25'!$H:$H,0)</f>
        <v>0</v>
      </c>
      <c r="T160" s="17">
        <f>_xlfn.XLOOKUP($B160,'[3]Mar-25'!$A:$A,'[3]Mar-25'!$H:$H,0)</f>
        <v>0</v>
      </c>
      <c r="U160" s="17">
        <f>_xlfn.XLOOKUP($B160,'[3]Apr-25'!$A:$A,'[3]Apr-25'!$H:$H,0)</f>
        <v>0</v>
      </c>
      <c r="V160" s="17">
        <f>_xlfn.XLOOKUP($B160,'[3]May-25'!$A:$A,'[3]May-25'!$H:$H,0)</f>
        <v>0</v>
      </c>
      <c r="W160" s="17">
        <f>_xlfn.XLOOKUP($B160,'[3]Jun-25'!$A:$A,'[3]Jun-25'!$H:$H,0)</f>
        <v>0</v>
      </c>
      <c r="X160" s="17">
        <f>_xlfn.XLOOKUP($B160,'[3]Jul-25'!$A:$A,'[3]Jul-25'!$H:$H,0)</f>
        <v>0</v>
      </c>
      <c r="Y160" s="17">
        <f>_xlfn.XLOOKUP($B160,'[3]Aug-25'!$A:$A,'[3]Aug-25'!$H:$H,0)</f>
        <v>0</v>
      </c>
      <c r="Z160" s="17">
        <f>_xlfn.XLOOKUP($B160,'[3]Sep-25'!$A:$A,'[3]Sep-25'!$H:$H,0)</f>
        <v>0</v>
      </c>
      <c r="AA160" s="17">
        <f>_xlfn.XLOOKUP($B160,'[3]Oct-25'!$A:$A,'[3]Oct-25'!$H:$H,0)</f>
        <v>0</v>
      </c>
      <c r="AB160" s="17">
        <f>_xlfn.XLOOKUP($B160,'[3]Nov-25'!$A:$A,'[3]Nov-25'!$H:$H,0)</f>
        <v>0</v>
      </c>
      <c r="AC160" s="17">
        <f>_xlfn.XLOOKUP($B160,'[3]Dec-25'!$A:$A,'[3]Dec-25'!$H:$H,0)</f>
        <v>0</v>
      </c>
      <c r="AD160" s="17">
        <f>_xlfn.XLOOKUP($B160,'[3]Jan-26'!$A:$A,'[3]Jan-26'!$H:$H,0)</f>
        <v>0</v>
      </c>
      <c r="AE160" s="17">
        <f>_xlfn.XLOOKUP($B160,'[3]Feb-26'!$A:$A,'[3]Feb-26'!$H:$H,0)</f>
        <v>0</v>
      </c>
      <c r="AF160" s="17">
        <f>_xlfn.XLOOKUP($B160,'[3]Mar-26'!$A:$A,'[3]Mar-26'!$H:$H,0)</f>
        <v>0</v>
      </c>
      <c r="AG160" s="17">
        <f>_xlfn.XLOOKUP($B160,'[3]Apr-26'!$A:$A,'[3]Apr-26'!$H:$H,0)</f>
        <v>0</v>
      </c>
    </row>
    <row r="161" spans="1:33" x14ac:dyDescent="0.2">
      <c r="A161" s="58" t="s">
        <v>1112</v>
      </c>
      <c r="B161" s="56" t="str">
        <f t="shared" si="4"/>
        <v>53010</v>
      </c>
      <c r="C161" s="78" t="s">
        <v>517</v>
      </c>
      <c r="D161" s="57" t="s">
        <v>387</v>
      </c>
      <c r="E161" s="44" t="s">
        <v>535</v>
      </c>
      <c r="F161" s="17">
        <f>_xlfn.XLOOKUP($B161,'[3]Jan-24'!$A:$A,'[3]Jan-24'!$H:$H,0)</f>
        <v>0</v>
      </c>
      <c r="G161" s="17">
        <f>_xlfn.XLOOKUP($B161,'[3]Feb-24'!$A:$A,'[3]Feb-24'!$H:$H,0)</f>
        <v>0</v>
      </c>
      <c r="H161" s="17">
        <f>_xlfn.XLOOKUP($B161,'[3]Mar-24'!$A:$A,'[3]Mar-24'!$H:$H,0)</f>
        <v>0</v>
      </c>
      <c r="I161" s="17">
        <f>_xlfn.XLOOKUP($B161,'[3]Apr-24'!$A:$A,'[3]Apr-24'!$H:$H,0)</f>
        <v>0</v>
      </c>
      <c r="J161" s="17">
        <f>_xlfn.XLOOKUP($B161,'[3]May-24'!$A:$A,'[3]May-24'!$H:$H,0)</f>
        <v>0</v>
      </c>
      <c r="K161" s="17">
        <f>_xlfn.XLOOKUP($B161,'[3]Jun-24'!$A:$A,'[3]Jun-24'!$H:$H,0)</f>
        <v>0</v>
      </c>
      <c r="L161" s="17">
        <f>_xlfn.XLOOKUP($B161,'[3]Jul-24'!$A:$A,'[3]Jul-24'!$H:$H,0)</f>
        <v>0</v>
      </c>
      <c r="M161" s="17">
        <f>_xlfn.XLOOKUP($B161,'[3]Aug-24'!$A:$A,'[3]Aug-24'!$H:$H,0)</f>
        <v>0</v>
      </c>
      <c r="N161" s="17">
        <f>_xlfn.XLOOKUP($B161,'[3]Sep-24'!$A:$A,'[3]Sep-24'!$H:$H,0)</f>
        <v>0</v>
      </c>
      <c r="O161" s="17">
        <f>_xlfn.XLOOKUP($B161,'[3]Oct-24'!$A:$A,'[3]Oct-24'!$H:$H,0)</f>
        <v>0</v>
      </c>
      <c r="P161" s="17">
        <f>_xlfn.XLOOKUP($B161,'[3]Nov-24'!$A:$A,'[3]Nov-24'!$H:$H,0)</f>
        <v>0</v>
      </c>
      <c r="Q161" s="17">
        <f>_xlfn.XLOOKUP($B161,'[3]Dec-24'!$A:$A,'[3]Dec-24'!$H:$H,0)</f>
        <v>0</v>
      </c>
      <c r="R161" s="17">
        <f>_xlfn.XLOOKUP($B161,'[3]Jan-25'!$A:$A,'[3]Jan-25'!$H:$H,0)</f>
        <v>0</v>
      </c>
      <c r="S161" s="17">
        <f>_xlfn.XLOOKUP($B161,'[3]Feb-25'!$A:$A,'[3]Feb-25'!$H:$H,0)</f>
        <v>0</v>
      </c>
      <c r="T161" s="17">
        <f>_xlfn.XLOOKUP($B161,'[3]Mar-25'!$A:$A,'[3]Mar-25'!$H:$H,0)</f>
        <v>0</v>
      </c>
      <c r="U161" s="17">
        <f>_xlfn.XLOOKUP($B161,'[3]Apr-25'!$A:$A,'[3]Apr-25'!$H:$H,0)</f>
        <v>0</v>
      </c>
      <c r="V161" s="17">
        <f>_xlfn.XLOOKUP($B161,'[3]May-25'!$A:$A,'[3]May-25'!$H:$H,0)</f>
        <v>0</v>
      </c>
      <c r="W161" s="17">
        <f>_xlfn.XLOOKUP($B161,'[3]Jun-25'!$A:$A,'[3]Jun-25'!$H:$H,0)</f>
        <v>0</v>
      </c>
      <c r="X161" s="17">
        <f>_xlfn.XLOOKUP($B161,'[3]Jul-25'!$A:$A,'[3]Jul-25'!$H:$H,0)</f>
        <v>0</v>
      </c>
      <c r="Y161" s="17">
        <f>_xlfn.XLOOKUP($B161,'[3]Aug-25'!$A:$A,'[3]Aug-25'!$H:$H,0)</f>
        <v>0</v>
      </c>
      <c r="Z161" s="17">
        <f>_xlfn.XLOOKUP($B161,'[3]Sep-25'!$A:$A,'[3]Sep-25'!$H:$H,0)</f>
        <v>0</v>
      </c>
      <c r="AA161" s="17">
        <f>_xlfn.XLOOKUP($B161,'[3]Oct-25'!$A:$A,'[3]Oct-25'!$H:$H,0)</f>
        <v>0</v>
      </c>
      <c r="AB161" s="17">
        <f>_xlfn.XLOOKUP($B161,'[3]Nov-25'!$A:$A,'[3]Nov-25'!$H:$H,0)</f>
        <v>0</v>
      </c>
      <c r="AC161" s="17">
        <f>_xlfn.XLOOKUP($B161,'[3]Dec-25'!$A:$A,'[3]Dec-25'!$H:$H,0)</f>
        <v>0</v>
      </c>
      <c r="AD161" s="17">
        <f>_xlfn.XLOOKUP($B161,'[3]Jan-26'!$A:$A,'[3]Jan-26'!$H:$H,0)</f>
        <v>0</v>
      </c>
      <c r="AE161" s="17">
        <f>_xlfn.XLOOKUP($B161,'[3]Feb-26'!$A:$A,'[3]Feb-26'!$H:$H,0)</f>
        <v>0</v>
      </c>
      <c r="AF161" s="17">
        <f>_xlfn.XLOOKUP($B161,'[3]Mar-26'!$A:$A,'[3]Mar-26'!$H:$H,0)</f>
        <v>0</v>
      </c>
      <c r="AG161" s="17">
        <f>_xlfn.XLOOKUP($B161,'[3]Apr-26'!$A:$A,'[3]Apr-26'!$H:$H,0)</f>
        <v>0</v>
      </c>
    </row>
    <row r="162" spans="1:33" x14ac:dyDescent="0.2">
      <c r="A162" s="58" t="s">
        <v>1113</v>
      </c>
      <c r="B162" s="56" t="str">
        <f t="shared" si="4"/>
        <v>53015</v>
      </c>
      <c r="C162" s="78" t="s">
        <v>517</v>
      </c>
      <c r="D162" s="57" t="s">
        <v>387</v>
      </c>
      <c r="E162" s="44" t="s">
        <v>536</v>
      </c>
      <c r="F162" s="17">
        <f>_xlfn.XLOOKUP($B162,'[3]Jan-24'!$A:$A,'[3]Jan-24'!$H:$H,0)</f>
        <v>0</v>
      </c>
      <c r="G162" s="17">
        <f>_xlfn.XLOOKUP($B162,'[3]Feb-24'!$A:$A,'[3]Feb-24'!$H:$H,0)</f>
        <v>0</v>
      </c>
      <c r="H162" s="17">
        <f>_xlfn.XLOOKUP($B162,'[3]Mar-24'!$A:$A,'[3]Mar-24'!$H:$H,0)</f>
        <v>0</v>
      </c>
      <c r="I162" s="17">
        <f>_xlfn.XLOOKUP($B162,'[3]Apr-24'!$A:$A,'[3]Apr-24'!$H:$H,0)</f>
        <v>0</v>
      </c>
      <c r="J162" s="17">
        <f>_xlfn.XLOOKUP($B162,'[3]May-24'!$A:$A,'[3]May-24'!$H:$H,0)</f>
        <v>0</v>
      </c>
      <c r="K162" s="17">
        <f>_xlfn.XLOOKUP($B162,'[3]Jun-24'!$A:$A,'[3]Jun-24'!$H:$H,0)</f>
        <v>0</v>
      </c>
      <c r="L162" s="17">
        <f>_xlfn.XLOOKUP($B162,'[3]Jul-24'!$A:$A,'[3]Jul-24'!$H:$H,0)</f>
        <v>0</v>
      </c>
      <c r="M162" s="17">
        <f>_xlfn.XLOOKUP($B162,'[3]Aug-24'!$A:$A,'[3]Aug-24'!$H:$H,0)</f>
        <v>0</v>
      </c>
      <c r="N162" s="17">
        <f>_xlfn.XLOOKUP($B162,'[3]Sep-24'!$A:$A,'[3]Sep-24'!$H:$H,0)</f>
        <v>0</v>
      </c>
      <c r="O162" s="17">
        <f>_xlfn.XLOOKUP($B162,'[3]Oct-24'!$A:$A,'[3]Oct-24'!$H:$H,0)</f>
        <v>0</v>
      </c>
      <c r="P162" s="17">
        <f>_xlfn.XLOOKUP($B162,'[3]Nov-24'!$A:$A,'[3]Nov-24'!$H:$H,0)</f>
        <v>0</v>
      </c>
      <c r="Q162" s="17">
        <f>_xlfn.XLOOKUP($B162,'[3]Dec-24'!$A:$A,'[3]Dec-24'!$H:$H,0)</f>
        <v>0</v>
      </c>
      <c r="R162" s="17">
        <f>_xlfn.XLOOKUP($B162,'[3]Jan-25'!$A:$A,'[3]Jan-25'!$H:$H,0)</f>
        <v>0</v>
      </c>
      <c r="S162" s="17">
        <f>_xlfn.XLOOKUP($B162,'[3]Feb-25'!$A:$A,'[3]Feb-25'!$H:$H,0)</f>
        <v>0</v>
      </c>
      <c r="T162" s="17">
        <f>_xlfn.XLOOKUP($B162,'[3]Mar-25'!$A:$A,'[3]Mar-25'!$H:$H,0)</f>
        <v>0</v>
      </c>
      <c r="U162" s="17">
        <f>_xlfn.XLOOKUP($B162,'[3]Apr-25'!$A:$A,'[3]Apr-25'!$H:$H,0)</f>
        <v>0</v>
      </c>
      <c r="V162" s="17">
        <f>_xlfn.XLOOKUP($B162,'[3]May-25'!$A:$A,'[3]May-25'!$H:$H,0)</f>
        <v>0</v>
      </c>
      <c r="W162" s="17">
        <f>_xlfn.XLOOKUP($B162,'[3]Jun-25'!$A:$A,'[3]Jun-25'!$H:$H,0)</f>
        <v>0</v>
      </c>
      <c r="X162" s="17">
        <f>_xlfn.XLOOKUP($B162,'[3]Jul-25'!$A:$A,'[3]Jul-25'!$H:$H,0)</f>
        <v>0</v>
      </c>
      <c r="Y162" s="17">
        <f>_xlfn.XLOOKUP($B162,'[3]Aug-25'!$A:$A,'[3]Aug-25'!$H:$H,0)</f>
        <v>0</v>
      </c>
      <c r="Z162" s="17">
        <f>_xlfn.XLOOKUP($B162,'[3]Sep-25'!$A:$A,'[3]Sep-25'!$H:$H,0)</f>
        <v>0</v>
      </c>
      <c r="AA162" s="17">
        <f>_xlfn.XLOOKUP($B162,'[3]Oct-25'!$A:$A,'[3]Oct-25'!$H:$H,0)</f>
        <v>0</v>
      </c>
      <c r="AB162" s="17">
        <f>_xlfn.XLOOKUP($B162,'[3]Nov-25'!$A:$A,'[3]Nov-25'!$H:$H,0)</f>
        <v>0</v>
      </c>
      <c r="AC162" s="17">
        <f>_xlfn.XLOOKUP($B162,'[3]Dec-25'!$A:$A,'[3]Dec-25'!$H:$H,0)</f>
        <v>0</v>
      </c>
      <c r="AD162" s="17">
        <f>_xlfn.XLOOKUP($B162,'[3]Jan-26'!$A:$A,'[3]Jan-26'!$H:$H,0)</f>
        <v>0</v>
      </c>
      <c r="AE162" s="17">
        <f>_xlfn.XLOOKUP($B162,'[3]Feb-26'!$A:$A,'[3]Feb-26'!$H:$H,0)</f>
        <v>0</v>
      </c>
      <c r="AF162" s="17">
        <f>_xlfn.XLOOKUP($B162,'[3]Mar-26'!$A:$A,'[3]Mar-26'!$H:$H,0)</f>
        <v>0</v>
      </c>
      <c r="AG162" s="17">
        <f>_xlfn.XLOOKUP($B162,'[3]Apr-26'!$A:$A,'[3]Apr-26'!$H:$H,0)</f>
        <v>0</v>
      </c>
    </row>
    <row r="163" spans="1:33" x14ac:dyDescent="0.2">
      <c r="A163" s="58" t="s">
        <v>1114</v>
      </c>
      <c r="B163" s="56" t="str">
        <f t="shared" si="4"/>
        <v>53020</v>
      </c>
      <c r="C163" s="78" t="s">
        <v>517</v>
      </c>
      <c r="D163" s="57" t="s">
        <v>387</v>
      </c>
      <c r="E163" s="44" t="s">
        <v>1115</v>
      </c>
      <c r="F163" s="17">
        <f>_xlfn.XLOOKUP($B163,'[3]Jan-24'!$A:$A,'[3]Jan-24'!$H:$H,0)</f>
        <v>0</v>
      </c>
      <c r="G163" s="17">
        <f>_xlfn.XLOOKUP($B163,'[3]Feb-24'!$A:$A,'[3]Feb-24'!$H:$H,0)</f>
        <v>0</v>
      </c>
      <c r="H163" s="17">
        <f>_xlfn.XLOOKUP($B163,'[3]Mar-24'!$A:$A,'[3]Mar-24'!$H:$H,0)</f>
        <v>0</v>
      </c>
      <c r="I163" s="17">
        <f>_xlfn.XLOOKUP($B163,'[3]Apr-24'!$A:$A,'[3]Apr-24'!$H:$H,0)</f>
        <v>0</v>
      </c>
      <c r="J163" s="17">
        <f>_xlfn.XLOOKUP($B163,'[3]May-24'!$A:$A,'[3]May-24'!$H:$H,0)</f>
        <v>0</v>
      </c>
      <c r="K163" s="17">
        <f>_xlfn.XLOOKUP($B163,'[3]Jun-24'!$A:$A,'[3]Jun-24'!$H:$H,0)</f>
        <v>0</v>
      </c>
      <c r="L163" s="17">
        <f>_xlfn.XLOOKUP($B163,'[3]Jul-24'!$A:$A,'[3]Jul-24'!$H:$H,0)</f>
        <v>0</v>
      </c>
      <c r="M163" s="17">
        <f>_xlfn.XLOOKUP($B163,'[3]Aug-24'!$A:$A,'[3]Aug-24'!$H:$H,0)</f>
        <v>0</v>
      </c>
      <c r="N163" s="17">
        <f>_xlfn.XLOOKUP($B163,'[3]Sep-24'!$A:$A,'[3]Sep-24'!$H:$H,0)</f>
        <v>0</v>
      </c>
      <c r="O163" s="17">
        <f>_xlfn.XLOOKUP($B163,'[3]Oct-24'!$A:$A,'[3]Oct-24'!$H:$H,0)</f>
        <v>0</v>
      </c>
      <c r="P163" s="17">
        <f>_xlfn.XLOOKUP($B163,'[3]Nov-24'!$A:$A,'[3]Nov-24'!$H:$H,0)</f>
        <v>0</v>
      </c>
      <c r="Q163" s="17">
        <f>_xlfn.XLOOKUP($B163,'[3]Dec-24'!$A:$A,'[3]Dec-24'!$H:$H,0)</f>
        <v>0</v>
      </c>
      <c r="R163" s="17">
        <f>_xlfn.XLOOKUP($B163,'[3]Jan-25'!$A:$A,'[3]Jan-25'!$H:$H,0)</f>
        <v>0</v>
      </c>
      <c r="S163" s="17">
        <f>_xlfn.XLOOKUP($B163,'[3]Feb-25'!$A:$A,'[3]Feb-25'!$H:$H,0)</f>
        <v>0</v>
      </c>
      <c r="T163" s="17">
        <f>_xlfn.XLOOKUP($B163,'[3]Mar-25'!$A:$A,'[3]Mar-25'!$H:$H,0)</f>
        <v>0</v>
      </c>
      <c r="U163" s="17">
        <f>_xlfn.XLOOKUP($B163,'[3]Apr-25'!$A:$A,'[3]Apr-25'!$H:$H,0)</f>
        <v>0</v>
      </c>
      <c r="V163" s="17">
        <f>_xlfn.XLOOKUP($B163,'[3]May-25'!$A:$A,'[3]May-25'!$H:$H,0)</f>
        <v>0</v>
      </c>
      <c r="W163" s="17">
        <f>_xlfn.XLOOKUP($B163,'[3]Jun-25'!$A:$A,'[3]Jun-25'!$H:$H,0)</f>
        <v>0</v>
      </c>
      <c r="X163" s="17">
        <f>_xlfn.XLOOKUP($B163,'[3]Jul-25'!$A:$A,'[3]Jul-25'!$H:$H,0)</f>
        <v>0</v>
      </c>
      <c r="Y163" s="17">
        <f>_xlfn.XLOOKUP($B163,'[3]Aug-25'!$A:$A,'[3]Aug-25'!$H:$H,0)</f>
        <v>0</v>
      </c>
      <c r="Z163" s="17">
        <f>_xlfn.XLOOKUP($B163,'[3]Sep-25'!$A:$A,'[3]Sep-25'!$H:$H,0)</f>
        <v>0</v>
      </c>
      <c r="AA163" s="17">
        <f>_xlfn.XLOOKUP($B163,'[3]Oct-25'!$A:$A,'[3]Oct-25'!$H:$H,0)</f>
        <v>0</v>
      </c>
      <c r="AB163" s="17">
        <f>_xlfn.XLOOKUP($B163,'[3]Nov-25'!$A:$A,'[3]Nov-25'!$H:$H,0)</f>
        <v>0</v>
      </c>
      <c r="AC163" s="17">
        <f>_xlfn.XLOOKUP($B163,'[3]Dec-25'!$A:$A,'[3]Dec-25'!$H:$H,0)</f>
        <v>0</v>
      </c>
      <c r="AD163" s="17">
        <f>_xlfn.XLOOKUP($B163,'[3]Jan-26'!$A:$A,'[3]Jan-26'!$H:$H,0)</f>
        <v>0</v>
      </c>
      <c r="AE163" s="17">
        <f>_xlfn.XLOOKUP($B163,'[3]Feb-26'!$A:$A,'[3]Feb-26'!$H:$H,0)</f>
        <v>0</v>
      </c>
      <c r="AF163" s="17">
        <f>_xlfn.XLOOKUP($B163,'[3]Mar-26'!$A:$A,'[3]Mar-26'!$H:$H,0)</f>
        <v>0</v>
      </c>
      <c r="AG163" s="17">
        <f>_xlfn.XLOOKUP($B163,'[3]Apr-26'!$A:$A,'[3]Apr-26'!$H:$H,0)</f>
        <v>0</v>
      </c>
    </row>
    <row r="164" spans="1:33" x14ac:dyDescent="0.2">
      <c r="A164" s="58" t="s">
        <v>1116</v>
      </c>
      <c r="B164" s="56" t="str">
        <f t="shared" si="4"/>
        <v>53025</v>
      </c>
      <c r="C164" s="78" t="s">
        <v>517</v>
      </c>
      <c r="D164" s="57" t="s">
        <v>387</v>
      </c>
      <c r="E164" s="44" t="s">
        <v>538</v>
      </c>
      <c r="F164" s="17">
        <f>_xlfn.XLOOKUP($B164,'[3]Jan-24'!$A:$A,'[3]Jan-24'!$H:$H,0)</f>
        <v>0</v>
      </c>
      <c r="G164" s="17">
        <f>_xlfn.XLOOKUP($B164,'[3]Feb-24'!$A:$A,'[3]Feb-24'!$H:$H,0)</f>
        <v>0</v>
      </c>
      <c r="H164" s="17">
        <f>_xlfn.XLOOKUP($B164,'[3]Mar-24'!$A:$A,'[3]Mar-24'!$H:$H,0)</f>
        <v>0</v>
      </c>
      <c r="I164" s="17">
        <f>_xlfn.XLOOKUP($B164,'[3]Apr-24'!$A:$A,'[3]Apr-24'!$H:$H,0)</f>
        <v>0</v>
      </c>
      <c r="J164" s="17">
        <f>_xlfn.XLOOKUP($B164,'[3]May-24'!$A:$A,'[3]May-24'!$H:$H,0)</f>
        <v>0</v>
      </c>
      <c r="K164" s="17">
        <f>_xlfn.XLOOKUP($B164,'[3]Jun-24'!$A:$A,'[3]Jun-24'!$H:$H,0)</f>
        <v>0</v>
      </c>
      <c r="L164" s="17">
        <f>_xlfn.XLOOKUP($B164,'[3]Jul-24'!$A:$A,'[3]Jul-24'!$H:$H,0)</f>
        <v>0</v>
      </c>
      <c r="M164" s="17">
        <f>_xlfn.XLOOKUP($B164,'[3]Aug-24'!$A:$A,'[3]Aug-24'!$H:$H,0)</f>
        <v>0</v>
      </c>
      <c r="N164" s="17">
        <f>_xlfn.XLOOKUP($B164,'[3]Sep-24'!$A:$A,'[3]Sep-24'!$H:$H,0)</f>
        <v>0</v>
      </c>
      <c r="O164" s="17">
        <f>_xlfn.XLOOKUP($B164,'[3]Oct-24'!$A:$A,'[3]Oct-24'!$H:$H,0)</f>
        <v>0</v>
      </c>
      <c r="P164" s="17">
        <f>_xlfn.XLOOKUP($B164,'[3]Nov-24'!$A:$A,'[3]Nov-24'!$H:$H,0)</f>
        <v>0</v>
      </c>
      <c r="Q164" s="17">
        <f>_xlfn.XLOOKUP($B164,'[3]Dec-24'!$A:$A,'[3]Dec-24'!$H:$H,0)</f>
        <v>0</v>
      </c>
      <c r="R164" s="17">
        <f>_xlfn.XLOOKUP($B164,'[3]Jan-25'!$A:$A,'[3]Jan-25'!$H:$H,0)</f>
        <v>0</v>
      </c>
      <c r="S164" s="17">
        <f>_xlfn.XLOOKUP($B164,'[3]Feb-25'!$A:$A,'[3]Feb-25'!$H:$H,0)</f>
        <v>0</v>
      </c>
      <c r="T164" s="17">
        <f>_xlfn.XLOOKUP($B164,'[3]Mar-25'!$A:$A,'[3]Mar-25'!$H:$H,0)</f>
        <v>0</v>
      </c>
      <c r="U164" s="17">
        <f>_xlfn.XLOOKUP($B164,'[3]Apr-25'!$A:$A,'[3]Apr-25'!$H:$H,0)</f>
        <v>0</v>
      </c>
      <c r="V164" s="17">
        <f>_xlfn.XLOOKUP($B164,'[3]May-25'!$A:$A,'[3]May-25'!$H:$H,0)</f>
        <v>0</v>
      </c>
      <c r="W164" s="17">
        <f>_xlfn.XLOOKUP($B164,'[3]Jun-25'!$A:$A,'[3]Jun-25'!$H:$H,0)</f>
        <v>0</v>
      </c>
      <c r="X164" s="17">
        <f>_xlfn.XLOOKUP($B164,'[3]Jul-25'!$A:$A,'[3]Jul-25'!$H:$H,0)</f>
        <v>0</v>
      </c>
      <c r="Y164" s="17">
        <f>_xlfn.XLOOKUP($B164,'[3]Aug-25'!$A:$A,'[3]Aug-25'!$H:$H,0)</f>
        <v>0</v>
      </c>
      <c r="Z164" s="17">
        <f>_xlfn.XLOOKUP($B164,'[3]Sep-25'!$A:$A,'[3]Sep-25'!$H:$H,0)</f>
        <v>0</v>
      </c>
      <c r="AA164" s="17">
        <f>_xlfn.XLOOKUP($B164,'[3]Oct-25'!$A:$A,'[3]Oct-25'!$H:$H,0)</f>
        <v>0</v>
      </c>
      <c r="AB164" s="17">
        <f>_xlfn.XLOOKUP($B164,'[3]Nov-25'!$A:$A,'[3]Nov-25'!$H:$H,0)</f>
        <v>0</v>
      </c>
      <c r="AC164" s="17">
        <f>_xlfn.XLOOKUP($B164,'[3]Dec-25'!$A:$A,'[3]Dec-25'!$H:$H,0)</f>
        <v>0</v>
      </c>
      <c r="AD164" s="17">
        <f>_xlfn.XLOOKUP($B164,'[3]Jan-26'!$A:$A,'[3]Jan-26'!$H:$H,0)</f>
        <v>0</v>
      </c>
      <c r="AE164" s="17">
        <f>_xlfn.XLOOKUP($B164,'[3]Feb-26'!$A:$A,'[3]Feb-26'!$H:$H,0)</f>
        <v>0</v>
      </c>
      <c r="AF164" s="17">
        <f>_xlfn.XLOOKUP($B164,'[3]Mar-26'!$A:$A,'[3]Mar-26'!$H:$H,0)</f>
        <v>0</v>
      </c>
      <c r="AG164" s="17">
        <f>_xlfn.XLOOKUP($B164,'[3]Apr-26'!$A:$A,'[3]Apr-26'!$H:$H,0)</f>
        <v>0</v>
      </c>
    </row>
    <row r="165" spans="1:33" x14ac:dyDescent="0.2">
      <c r="A165" s="58" t="s">
        <v>1117</v>
      </c>
      <c r="B165" s="56" t="str">
        <f t="shared" si="4"/>
        <v>53030</v>
      </c>
      <c r="C165" s="78" t="s">
        <v>517</v>
      </c>
      <c r="D165" s="57" t="s">
        <v>387</v>
      </c>
      <c r="E165" s="44" t="s">
        <v>104</v>
      </c>
      <c r="F165" s="17">
        <f>_xlfn.XLOOKUP($B165,'[3]Jan-24'!$A:$A,'[3]Jan-24'!$H:$H,0)</f>
        <v>0</v>
      </c>
      <c r="G165" s="17">
        <f>_xlfn.XLOOKUP($B165,'[3]Feb-24'!$A:$A,'[3]Feb-24'!$H:$H,0)</f>
        <v>0</v>
      </c>
      <c r="H165" s="17">
        <f>_xlfn.XLOOKUP($B165,'[3]Mar-24'!$A:$A,'[3]Mar-24'!$H:$H,0)</f>
        <v>0</v>
      </c>
      <c r="I165" s="17">
        <f>_xlfn.XLOOKUP($B165,'[3]Apr-24'!$A:$A,'[3]Apr-24'!$H:$H,0)</f>
        <v>0</v>
      </c>
      <c r="J165" s="17">
        <f>_xlfn.XLOOKUP($B165,'[3]May-24'!$A:$A,'[3]May-24'!$H:$H,0)</f>
        <v>0</v>
      </c>
      <c r="K165" s="17">
        <f>_xlfn.XLOOKUP($B165,'[3]Jun-24'!$A:$A,'[3]Jun-24'!$H:$H,0)</f>
        <v>0</v>
      </c>
      <c r="L165" s="17">
        <f>_xlfn.XLOOKUP($B165,'[3]Jul-24'!$A:$A,'[3]Jul-24'!$H:$H,0)</f>
        <v>0</v>
      </c>
      <c r="M165" s="17">
        <f>_xlfn.XLOOKUP($B165,'[3]Aug-24'!$A:$A,'[3]Aug-24'!$H:$H,0)</f>
        <v>0</v>
      </c>
      <c r="N165" s="17">
        <f>_xlfn.XLOOKUP($B165,'[3]Sep-24'!$A:$A,'[3]Sep-24'!$H:$H,0)</f>
        <v>0</v>
      </c>
      <c r="O165" s="17">
        <f>_xlfn.XLOOKUP($B165,'[3]Oct-24'!$A:$A,'[3]Oct-24'!$H:$H,0)</f>
        <v>0</v>
      </c>
      <c r="P165" s="17">
        <f>_xlfn.XLOOKUP($B165,'[3]Nov-24'!$A:$A,'[3]Nov-24'!$H:$H,0)</f>
        <v>0</v>
      </c>
      <c r="Q165" s="17">
        <f>_xlfn.XLOOKUP($B165,'[3]Dec-24'!$A:$A,'[3]Dec-24'!$H:$H,0)</f>
        <v>0</v>
      </c>
      <c r="R165" s="17">
        <f>_xlfn.XLOOKUP($B165,'[3]Jan-25'!$A:$A,'[3]Jan-25'!$H:$H,0)</f>
        <v>0</v>
      </c>
      <c r="S165" s="17">
        <f>_xlfn.XLOOKUP($B165,'[3]Feb-25'!$A:$A,'[3]Feb-25'!$H:$H,0)</f>
        <v>0</v>
      </c>
      <c r="T165" s="17">
        <f>_xlfn.XLOOKUP($B165,'[3]Mar-25'!$A:$A,'[3]Mar-25'!$H:$H,0)</f>
        <v>0</v>
      </c>
      <c r="U165" s="17">
        <f>_xlfn.XLOOKUP($B165,'[3]Apr-25'!$A:$A,'[3]Apr-25'!$H:$H,0)</f>
        <v>0</v>
      </c>
      <c r="V165" s="17">
        <f>_xlfn.XLOOKUP($B165,'[3]May-25'!$A:$A,'[3]May-25'!$H:$H,0)</f>
        <v>0</v>
      </c>
      <c r="W165" s="17">
        <f>_xlfn.XLOOKUP($B165,'[3]Jun-25'!$A:$A,'[3]Jun-25'!$H:$H,0)</f>
        <v>0</v>
      </c>
      <c r="X165" s="17">
        <f>_xlfn.XLOOKUP($B165,'[3]Jul-25'!$A:$A,'[3]Jul-25'!$H:$H,0)</f>
        <v>0</v>
      </c>
      <c r="Y165" s="17">
        <f>_xlfn.XLOOKUP($B165,'[3]Aug-25'!$A:$A,'[3]Aug-25'!$H:$H,0)</f>
        <v>0</v>
      </c>
      <c r="Z165" s="17">
        <f>_xlfn.XLOOKUP($B165,'[3]Sep-25'!$A:$A,'[3]Sep-25'!$H:$H,0)</f>
        <v>0</v>
      </c>
      <c r="AA165" s="17">
        <f>_xlfn.XLOOKUP($B165,'[3]Oct-25'!$A:$A,'[3]Oct-25'!$H:$H,0)</f>
        <v>0</v>
      </c>
      <c r="AB165" s="17">
        <f>_xlfn.XLOOKUP($B165,'[3]Nov-25'!$A:$A,'[3]Nov-25'!$H:$H,0)</f>
        <v>0</v>
      </c>
      <c r="AC165" s="17">
        <f>_xlfn.XLOOKUP($B165,'[3]Dec-25'!$A:$A,'[3]Dec-25'!$H:$H,0)</f>
        <v>0</v>
      </c>
      <c r="AD165" s="17">
        <f>_xlfn.XLOOKUP($B165,'[3]Jan-26'!$A:$A,'[3]Jan-26'!$H:$H,0)</f>
        <v>0</v>
      </c>
      <c r="AE165" s="17">
        <f>_xlfn.XLOOKUP($B165,'[3]Feb-26'!$A:$A,'[3]Feb-26'!$H:$H,0)</f>
        <v>0</v>
      </c>
      <c r="AF165" s="17">
        <f>_xlfn.XLOOKUP($B165,'[3]Mar-26'!$A:$A,'[3]Mar-26'!$H:$H,0)</f>
        <v>0</v>
      </c>
      <c r="AG165" s="17">
        <f>_xlfn.XLOOKUP($B165,'[3]Apr-26'!$A:$A,'[3]Apr-26'!$H:$H,0)</f>
        <v>0</v>
      </c>
    </row>
    <row r="166" spans="1:33" x14ac:dyDescent="0.2">
      <c r="A166" s="58" t="s">
        <v>1118</v>
      </c>
      <c r="B166" s="56" t="str">
        <f t="shared" si="4"/>
        <v>53035</v>
      </c>
      <c r="C166" s="78" t="s">
        <v>517</v>
      </c>
      <c r="D166" s="57" t="s">
        <v>387</v>
      </c>
      <c r="E166" s="44" t="s">
        <v>539</v>
      </c>
      <c r="F166" s="17">
        <f>_xlfn.XLOOKUP($B166,'[3]Jan-24'!$A:$A,'[3]Jan-24'!$H:$H,0)</f>
        <v>0</v>
      </c>
      <c r="G166" s="17">
        <f>_xlfn.XLOOKUP($B166,'[3]Feb-24'!$A:$A,'[3]Feb-24'!$H:$H,0)</f>
        <v>0</v>
      </c>
      <c r="H166" s="17">
        <f>_xlfn.XLOOKUP($B166,'[3]Mar-24'!$A:$A,'[3]Mar-24'!$H:$H,0)</f>
        <v>0</v>
      </c>
      <c r="I166" s="17">
        <f>_xlfn.XLOOKUP($B166,'[3]Apr-24'!$A:$A,'[3]Apr-24'!$H:$H,0)</f>
        <v>0</v>
      </c>
      <c r="J166" s="17">
        <f>_xlfn.XLOOKUP($B166,'[3]May-24'!$A:$A,'[3]May-24'!$H:$H,0)</f>
        <v>0</v>
      </c>
      <c r="K166" s="17">
        <f>_xlfn.XLOOKUP($B166,'[3]Jun-24'!$A:$A,'[3]Jun-24'!$H:$H,0)</f>
        <v>0</v>
      </c>
      <c r="L166" s="17">
        <f>_xlfn.XLOOKUP($B166,'[3]Jul-24'!$A:$A,'[3]Jul-24'!$H:$H,0)</f>
        <v>0</v>
      </c>
      <c r="M166" s="17">
        <f>_xlfn.XLOOKUP($B166,'[3]Aug-24'!$A:$A,'[3]Aug-24'!$H:$H,0)</f>
        <v>0</v>
      </c>
      <c r="N166" s="17">
        <f>_xlfn.XLOOKUP($B166,'[3]Sep-24'!$A:$A,'[3]Sep-24'!$H:$H,0)</f>
        <v>0</v>
      </c>
      <c r="O166" s="17">
        <f>_xlfn.XLOOKUP($B166,'[3]Oct-24'!$A:$A,'[3]Oct-24'!$H:$H,0)</f>
        <v>0</v>
      </c>
      <c r="P166" s="17">
        <f>_xlfn.XLOOKUP($B166,'[3]Nov-24'!$A:$A,'[3]Nov-24'!$H:$H,0)</f>
        <v>0</v>
      </c>
      <c r="Q166" s="17">
        <f>_xlfn.XLOOKUP($B166,'[3]Dec-24'!$A:$A,'[3]Dec-24'!$H:$H,0)</f>
        <v>0</v>
      </c>
      <c r="R166" s="17">
        <f>_xlfn.XLOOKUP($B166,'[3]Jan-25'!$A:$A,'[3]Jan-25'!$H:$H,0)</f>
        <v>0</v>
      </c>
      <c r="S166" s="17">
        <f>_xlfn.XLOOKUP($B166,'[3]Feb-25'!$A:$A,'[3]Feb-25'!$H:$H,0)</f>
        <v>0</v>
      </c>
      <c r="T166" s="17">
        <f>_xlfn.XLOOKUP($B166,'[3]Mar-25'!$A:$A,'[3]Mar-25'!$H:$H,0)</f>
        <v>0</v>
      </c>
      <c r="U166" s="17">
        <f>_xlfn.XLOOKUP($B166,'[3]Apr-25'!$A:$A,'[3]Apr-25'!$H:$H,0)</f>
        <v>0</v>
      </c>
      <c r="V166" s="17">
        <f>_xlfn.XLOOKUP($B166,'[3]May-25'!$A:$A,'[3]May-25'!$H:$H,0)</f>
        <v>0</v>
      </c>
      <c r="W166" s="17">
        <f>_xlfn.XLOOKUP($B166,'[3]Jun-25'!$A:$A,'[3]Jun-25'!$H:$H,0)</f>
        <v>0</v>
      </c>
      <c r="X166" s="17">
        <f>_xlfn.XLOOKUP($B166,'[3]Jul-25'!$A:$A,'[3]Jul-25'!$H:$H,0)</f>
        <v>0</v>
      </c>
      <c r="Y166" s="17">
        <f>_xlfn.XLOOKUP($B166,'[3]Aug-25'!$A:$A,'[3]Aug-25'!$H:$H,0)</f>
        <v>0</v>
      </c>
      <c r="Z166" s="17">
        <f>_xlfn.XLOOKUP($B166,'[3]Sep-25'!$A:$A,'[3]Sep-25'!$H:$H,0)</f>
        <v>0</v>
      </c>
      <c r="AA166" s="17">
        <f>_xlfn.XLOOKUP($B166,'[3]Oct-25'!$A:$A,'[3]Oct-25'!$H:$H,0)</f>
        <v>0</v>
      </c>
      <c r="AB166" s="17">
        <f>_xlfn.XLOOKUP($B166,'[3]Nov-25'!$A:$A,'[3]Nov-25'!$H:$H,0)</f>
        <v>0</v>
      </c>
      <c r="AC166" s="17">
        <f>_xlfn.XLOOKUP($B166,'[3]Dec-25'!$A:$A,'[3]Dec-25'!$H:$H,0)</f>
        <v>0</v>
      </c>
      <c r="AD166" s="17">
        <f>_xlfn.XLOOKUP($B166,'[3]Jan-26'!$A:$A,'[3]Jan-26'!$H:$H,0)</f>
        <v>0</v>
      </c>
      <c r="AE166" s="17">
        <f>_xlfn.XLOOKUP($B166,'[3]Feb-26'!$A:$A,'[3]Feb-26'!$H:$H,0)</f>
        <v>0</v>
      </c>
      <c r="AF166" s="17">
        <f>_xlfn.XLOOKUP($B166,'[3]Mar-26'!$A:$A,'[3]Mar-26'!$H:$H,0)</f>
        <v>0</v>
      </c>
      <c r="AG166" s="17">
        <f>_xlfn.XLOOKUP($B166,'[3]Apr-26'!$A:$A,'[3]Apr-26'!$H:$H,0)</f>
        <v>0</v>
      </c>
    </row>
    <row r="167" spans="1:33" x14ac:dyDescent="0.2">
      <c r="A167" s="58" t="s">
        <v>1119</v>
      </c>
      <c r="B167" s="56" t="str">
        <f t="shared" si="4"/>
        <v>53040</v>
      </c>
      <c r="C167" s="78" t="s">
        <v>517</v>
      </c>
      <c r="D167" s="57" t="s">
        <v>387</v>
      </c>
      <c r="E167" s="44" t="s">
        <v>105</v>
      </c>
      <c r="F167" s="17">
        <f>_xlfn.XLOOKUP($B167,'[3]Jan-24'!$A:$A,'[3]Jan-24'!$H:$H,0)</f>
        <v>0</v>
      </c>
      <c r="G167" s="17">
        <f>_xlfn.XLOOKUP($B167,'[3]Feb-24'!$A:$A,'[3]Feb-24'!$H:$H,0)</f>
        <v>0</v>
      </c>
      <c r="H167" s="17">
        <f>_xlfn.XLOOKUP($B167,'[3]Mar-24'!$A:$A,'[3]Mar-24'!$H:$H,0)</f>
        <v>0</v>
      </c>
      <c r="I167" s="17">
        <f>_xlfn.XLOOKUP($B167,'[3]Apr-24'!$A:$A,'[3]Apr-24'!$H:$H,0)</f>
        <v>0</v>
      </c>
      <c r="J167" s="17">
        <f>_xlfn.XLOOKUP($B167,'[3]May-24'!$A:$A,'[3]May-24'!$H:$H,0)</f>
        <v>0</v>
      </c>
      <c r="K167" s="17">
        <f>_xlfn.XLOOKUP($B167,'[3]Jun-24'!$A:$A,'[3]Jun-24'!$H:$H,0)</f>
        <v>0</v>
      </c>
      <c r="L167" s="17">
        <f>_xlfn.XLOOKUP($B167,'[3]Jul-24'!$A:$A,'[3]Jul-24'!$H:$H,0)</f>
        <v>0</v>
      </c>
      <c r="M167" s="17">
        <f>_xlfn.XLOOKUP($B167,'[3]Aug-24'!$A:$A,'[3]Aug-24'!$H:$H,0)</f>
        <v>0</v>
      </c>
      <c r="N167" s="17">
        <f>_xlfn.XLOOKUP($B167,'[3]Sep-24'!$A:$A,'[3]Sep-24'!$H:$H,0)</f>
        <v>0</v>
      </c>
      <c r="O167" s="17">
        <f>_xlfn.XLOOKUP($B167,'[3]Oct-24'!$A:$A,'[3]Oct-24'!$H:$H,0)</f>
        <v>0</v>
      </c>
      <c r="P167" s="17">
        <f>_xlfn.XLOOKUP($B167,'[3]Nov-24'!$A:$A,'[3]Nov-24'!$H:$H,0)</f>
        <v>0</v>
      </c>
      <c r="Q167" s="17">
        <f>_xlfn.XLOOKUP($B167,'[3]Dec-24'!$A:$A,'[3]Dec-24'!$H:$H,0)</f>
        <v>0</v>
      </c>
      <c r="R167" s="17">
        <f>_xlfn.XLOOKUP($B167,'[3]Jan-25'!$A:$A,'[3]Jan-25'!$H:$H,0)</f>
        <v>0</v>
      </c>
      <c r="S167" s="17">
        <f>_xlfn.XLOOKUP($B167,'[3]Feb-25'!$A:$A,'[3]Feb-25'!$H:$H,0)</f>
        <v>0</v>
      </c>
      <c r="T167" s="17">
        <f>_xlfn.XLOOKUP($B167,'[3]Mar-25'!$A:$A,'[3]Mar-25'!$H:$H,0)</f>
        <v>0</v>
      </c>
      <c r="U167" s="17">
        <f>_xlfn.XLOOKUP($B167,'[3]Apr-25'!$A:$A,'[3]Apr-25'!$H:$H,0)</f>
        <v>0</v>
      </c>
      <c r="V167" s="17">
        <f>_xlfn.XLOOKUP($B167,'[3]May-25'!$A:$A,'[3]May-25'!$H:$H,0)</f>
        <v>0</v>
      </c>
      <c r="W167" s="17">
        <f>_xlfn.XLOOKUP($B167,'[3]Jun-25'!$A:$A,'[3]Jun-25'!$H:$H,0)</f>
        <v>0</v>
      </c>
      <c r="X167" s="17">
        <f>_xlfn.XLOOKUP($B167,'[3]Jul-25'!$A:$A,'[3]Jul-25'!$H:$H,0)</f>
        <v>0</v>
      </c>
      <c r="Y167" s="17">
        <f>_xlfn.XLOOKUP($B167,'[3]Aug-25'!$A:$A,'[3]Aug-25'!$H:$H,0)</f>
        <v>0</v>
      </c>
      <c r="Z167" s="17">
        <f>_xlfn.XLOOKUP($B167,'[3]Sep-25'!$A:$A,'[3]Sep-25'!$H:$H,0)</f>
        <v>0</v>
      </c>
      <c r="AA167" s="17">
        <f>_xlfn.XLOOKUP($B167,'[3]Oct-25'!$A:$A,'[3]Oct-25'!$H:$H,0)</f>
        <v>0</v>
      </c>
      <c r="AB167" s="17">
        <f>_xlfn.XLOOKUP($B167,'[3]Nov-25'!$A:$A,'[3]Nov-25'!$H:$H,0)</f>
        <v>0</v>
      </c>
      <c r="AC167" s="17">
        <f>_xlfn.XLOOKUP($B167,'[3]Dec-25'!$A:$A,'[3]Dec-25'!$H:$H,0)</f>
        <v>0</v>
      </c>
      <c r="AD167" s="17">
        <f>_xlfn.XLOOKUP($B167,'[3]Jan-26'!$A:$A,'[3]Jan-26'!$H:$H,0)</f>
        <v>0</v>
      </c>
      <c r="AE167" s="17">
        <f>_xlfn.XLOOKUP($B167,'[3]Feb-26'!$A:$A,'[3]Feb-26'!$H:$H,0)</f>
        <v>0</v>
      </c>
      <c r="AF167" s="17">
        <f>_xlfn.XLOOKUP($B167,'[3]Mar-26'!$A:$A,'[3]Mar-26'!$H:$H,0)</f>
        <v>0</v>
      </c>
      <c r="AG167" s="17">
        <f>_xlfn.XLOOKUP($B167,'[3]Apr-26'!$A:$A,'[3]Apr-26'!$H:$H,0)</f>
        <v>0</v>
      </c>
    </row>
    <row r="168" spans="1:33" x14ac:dyDescent="0.2">
      <c r="A168" s="58" t="s">
        <v>1120</v>
      </c>
      <c r="B168" s="56" t="str">
        <f t="shared" si="4"/>
        <v>53045</v>
      </c>
      <c r="C168" s="78" t="s">
        <v>517</v>
      </c>
      <c r="D168" s="57" t="s">
        <v>387</v>
      </c>
      <c r="E168" s="44" t="s">
        <v>106</v>
      </c>
      <c r="F168" s="17">
        <f>_xlfn.XLOOKUP($B168,'[3]Jan-24'!$A:$A,'[3]Jan-24'!$H:$H,0)</f>
        <v>0</v>
      </c>
      <c r="G168" s="17">
        <f>_xlfn.XLOOKUP($B168,'[3]Feb-24'!$A:$A,'[3]Feb-24'!$H:$H,0)</f>
        <v>0</v>
      </c>
      <c r="H168" s="17">
        <f>_xlfn.XLOOKUP($B168,'[3]Mar-24'!$A:$A,'[3]Mar-24'!$H:$H,0)</f>
        <v>0</v>
      </c>
      <c r="I168" s="17">
        <f>_xlfn.XLOOKUP($B168,'[3]Apr-24'!$A:$A,'[3]Apr-24'!$H:$H,0)</f>
        <v>0</v>
      </c>
      <c r="J168" s="17">
        <f>_xlfn.XLOOKUP($B168,'[3]May-24'!$A:$A,'[3]May-24'!$H:$H,0)</f>
        <v>0</v>
      </c>
      <c r="K168" s="17">
        <f>_xlfn.XLOOKUP($B168,'[3]Jun-24'!$A:$A,'[3]Jun-24'!$H:$H,0)</f>
        <v>0</v>
      </c>
      <c r="L168" s="17">
        <f>_xlfn.XLOOKUP($B168,'[3]Jul-24'!$A:$A,'[3]Jul-24'!$H:$H,0)</f>
        <v>0</v>
      </c>
      <c r="M168" s="17">
        <f>_xlfn.XLOOKUP($B168,'[3]Aug-24'!$A:$A,'[3]Aug-24'!$H:$H,0)</f>
        <v>0</v>
      </c>
      <c r="N168" s="17">
        <f>_xlfn.XLOOKUP($B168,'[3]Sep-24'!$A:$A,'[3]Sep-24'!$H:$H,0)</f>
        <v>0</v>
      </c>
      <c r="O168" s="17">
        <f>_xlfn.XLOOKUP($B168,'[3]Oct-24'!$A:$A,'[3]Oct-24'!$H:$H,0)</f>
        <v>0</v>
      </c>
      <c r="P168" s="17">
        <f>_xlfn.XLOOKUP($B168,'[3]Nov-24'!$A:$A,'[3]Nov-24'!$H:$H,0)</f>
        <v>0</v>
      </c>
      <c r="Q168" s="17">
        <f>_xlfn.XLOOKUP($B168,'[3]Dec-24'!$A:$A,'[3]Dec-24'!$H:$H,0)</f>
        <v>0</v>
      </c>
      <c r="R168" s="17">
        <f>_xlfn.XLOOKUP($B168,'[3]Jan-25'!$A:$A,'[3]Jan-25'!$H:$H,0)</f>
        <v>0</v>
      </c>
      <c r="S168" s="17">
        <f>_xlfn.XLOOKUP($B168,'[3]Feb-25'!$A:$A,'[3]Feb-25'!$H:$H,0)</f>
        <v>0</v>
      </c>
      <c r="T168" s="17">
        <f>_xlfn.XLOOKUP($B168,'[3]Mar-25'!$A:$A,'[3]Mar-25'!$H:$H,0)</f>
        <v>0</v>
      </c>
      <c r="U168" s="17">
        <f>_xlfn.XLOOKUP($B168,'[3]Apr-25'!$A:$A,'[3]Apr-25'!$H:$H,0)</f>
        <v>0</v>
      </c>
      <c r="V168" s="17">
        <f>_xlfn.XLOOKUP($B168,'[3]May-25'!$A:$A,'[3]May-25'!$H:$H,0)</f>
        <v>0</v>
      </c>
      <c r="W168" s="17">
        <f>_xlfn.XLOOKUP($B168,'[3]Jun-25'!$A:$A,'[3]Jun-25'!$H:$H,0)</f>
        <v>0</v>
      </c>
      <c r="X168" s="17">
        <f>_xlfn.XLOOKUP($B168,'[3]Jul-25'!$A:$A,'[3]Jul-25'!$H:$H,0)</f>
        <v>0</v>
      </c>
      <c r="Y168" s="17">
        <f>_xlfn.XLOOKUP($B168,'[3]Aug-25'!$A:$A,'[3]Aug-25'!$H:$H,0)</f>
        <v>0</v>
      </c>
      <c r="Z168" s="17">
        <f>_xlfn.XLOOKUP($B168,'[3]Sep-25'!$A:$A,'[3]Sep-25'!$H:$H,0)</f>
        <v>0</v>
      </c>
      <c r="AA168" s="17">
        <f>_xlfn.XLOOKUP($B168,'[3]Oct-25'!$A:$A,'[3]Oct-25'!$H:$H,0)</f>
        <v>0</v>
      </c>
      <c r="AB168" s="17">
        <f>_xlfn.XLOOKUP($B168,'[3]Nov-25'!$A:$A,'[3]Nov-25'!$H:$H,0)</f>
        <v>0</v>
      </c>
      <c r="AC168" s="17">
        <f>_xlfn.XLOOKUP($B168,'[3]Dec-25'!$A:$A,'[3]Dec-25'!$H:$H,0)</f>
        <v>0</v>
      </c>
      <c r="AD168" s="17">
        <f>_xlfn.XLOOKUP($B168,'[3]Jan-26'!$A:$A,'[3]Jan-26'!$H:$H,0)</f>
        <v>0</v>
      </c>
      <c r="AE168" s="17">
        <f>_xlfn.XLOOKUP($B168,'[3]Feb-26'!$A:$A,'[3]Feb-26'!$H:$H,0)</f>
        <v>0</v>
      </c>
      <c r="AF168" s="17">
        <f>_xlfn.XLOOKUP($B168,'[3]Mar-26'!$A:$A,'[3]Mar-26'!$H:$H,0)</f>
        <v>0</v>
      </c>
      <c r="AG168" s="17">
        <f>_xlfn.XLOOKUP($B168,'[3]Apr-26'!$A:$A,'[3]Apr-26'!$H:$H,0)</f>
        <v>0</v>
      </c>
    </row>
    <row r="169" spans="1:33" x14ac:dyDescent="0.2">
      <c r="A169" s="58" t="s">
        <v>1121</v>
      </c>
      <c r="B169" s="56" t="str">
        <f t="shared" si="4"/>
        <v>53055</v>
      </c>
      <c r="C169" s="78" t="s">
        <v>517</v>
      </c>
      <c r="D169" s="57" t="s">
        <v>387</v>
      </c>
      <c r="E169" s="44" t="s">
        <v>107</v>
      </c>
      <c r="F169" s="17">
        <f>_xlfn.XLOOKUP($B169,'[3]Jan-24'!$A:$A,'[3]Jan-24'!$H:$H,0)</f>
        <v>0</v>
      </c>
      <c r="G169" s="17">
        <f>_xlfn.XLOOKUP($B169,'[3]Feb-24'!$A:$A,'[3]Feb-24'!$H:$H,0)</f>
        <v>0</v>
      </c>
      <c r="H169" s="17">
        <f>_xlfn.XLOOKUP($B169,'[3]Mar-24'!$A:$A,'[3]Mar-24'!$H:$H,0)</f>
        <v>0</v>
      </c>
      <c r="I169" s="17">
        <f>_xlfn.XLOOKUP($B169,'[3]Apr-24'!$A:$A,'[3]Apr-24'!$H:$H,0)</f>
        <v>0</v>
      </c>
      <c r="J169" s="17">
        <f>_xlfn.XLOOKUP($B169,'[3]May-24'!$A:$A,'[3]May-24'!$H:$H,0)</f>
        <v>0</v>
      </c>
      <c r="K169" s="17">
        <f>_xlfn.XLOOKUP($B169,'[3]Jun-24'!$A:$A,'[3]Jun-24'!$H:$H,0)</f>
        <v>0</v>
      </c>
      <c r="L169" s="17">
        <f>_xlfn.XLOOKUP($B169,'[3]Jul-24'!$A:$A,'[3]Jul-24'!$H:$H,0)</f>
        <v>0</v>
      </c>
      <c r="M169" s="17">
        <f>_xlfn.XLOOKUP($B169,'[3]Aug-24'!$A:$A,'[3]Aug-24'!$H:$H,0)</f>
        <v>0</v>
      </c>
      <c r="N169" s="17">
        <f>_xlfn.XLOOKUP($B169,'[3]Sep-24'!$A:$A,'[3]Sep-24'!$H:$H,0)</f>
        <v>0</v>
      </c>
      <c r="O169" s="17">
        <f>_xlfn.XLOOKUP($B169,'[3]Oct-24'!$A:$A,'[3]Oct-24'!$H:$H,0)</f>
        <v>0</v>
      </c>
      <c r="P169" s="17">
        <f>_xlfn.XLOOKUP($B169,'[3]Nov-24'!$A:$A,'[3]Nov-24'!$H:$H,0)</f>
        <v>0</v>
      </c>
      <c r="Q169" s="17">
        <f>_xlfn.XLOOKUP($B169,'[3]Dec-24'!$A:$A,'[3]Dec-24'!$H:$H,0)</f>
        <v>0</v>
      </c>
      <c r="R169" s="17">
        <f>_xlfn.XLOOKUP($B169,'[3]Jan-25'!$A:$A,'[3]Jan-25'!$H:$H,0)</f>
        <v>0</v>
      </c>
      <c r="S169" s="17">
        <f>_xlfn.XLOOKUP($B169,'[3]Feb-25'!$A:$A,'[3]Feb-25'!$H:$H,0)</f>
        <v>0</v>
      </c>
      <c r="T169" s="17">
        <f>_xlfn.XLOOKUP($B169,'[3]Mar-25'!$A:$A,'[3]Mar-25'!$H:$H,0)</f>
        <v>0</v>
      </c>
      <c r="U169" s="17">
        <f>_xlfn.XLOOKUP($B169,'[3]Apr-25'!$A:$A,'[3]Apr-25'!$H:$H,0)</f>
        <v>0</v>
      </c>
      <c r="V169" s="17">
        <f>_xlfn.XLOOKUP($B169,'[3]May-25'!$A:$A,'[3]May-25'!$H:$H,0)</f>
        <v>0</v>
      </c>
      <c r="W169" s="17">
        <f>_xlfn.XLOOKUP($B169,'[3]Jun-25'!$A:$A,'[3]Jun-25'!$H:$H,0)</f>
        <v>0</v>
      </c>
      <c r="X169" s="17">
        <f>_xlfn.XLOOKUP($B169,'[3]Jul-25'!$A:$A,'[3]Jul-25'!$H:$H,0)</f>
        <v>0</v>
      </c>
      <c r="Y169" s="17">
        <f>_xlfn.XLOOKUP($B169,'[3]Aug-25'!$A:$A,'[3]Aug-25'!$H:$H,0)</f>
        <v>0</v>
      </c>
      <c r="Z169" s="17">
        <f>_xlfn.XLOOKUP($B169,'[3]Sep-25'!$A:$A,'[3]Sep-25'!$H:$H,0)</f>
        <v>0</v>
      </c>
      <c r="AA169" s="17">
        <f>_xlfn.XLOOKUP($B169,'[3]Oct-25'!$A:$A,'[3]Oct-25'!$H:$H,0)</f>
        <v>0</v>
      </c>
      <c r="AB169" s="17">
        <f>_xlfn.XLOOKUP($B169,'[3]Nov-25'!$A:$A,'[3]Nov-25'!$H:$H,0)</f>
        <v>0</v>
      </c>
      <c r="AC169" s="17">
        <f>_xlfn.XLOOKUP($B169,'[3]Dec-25'!$A:$A,'[3]Dec-25'!$H:$H,0)</f>
        <v>0</v>
      </c>
      <c r="AD169" s="17">
        <f>_xlfn.XLOOKUP($B169,'[3]Jan-26'!$A:$A,'[3]Jan-26'!$H:$H,0)</f>
        <v>0</v>
      </c>
      <c r="AE169" s="17">
        <f>_xlfn.XLOOKUP($B169,'[3]Feb-26'!$A:$A,'[3]Feb-26'!$H:$H,0)</f>
        <v>0</v>
      </c>
      <c r="AF169" s="17">
        <f>_xlfn.XLOOKUP($B169,'[3]Mar-26'!$A:$A,'[3]Mar-26'!$H:$H,0)</f>
        <v>0</v>
      </c>
      <c r="AG169" s="17">
        <f>_xlfn.XLOOKUP($B169,'[3]Apr-26'!$A:$A,'[3]Apr-26'!$H:$H,0)</f>
        <v>0</v>
      </c>
    </row>
    <row r="170" spans="1:33" x14ac:dyDescent="0.2">
      <c r="A170" s="58" t="s">
        <v>1122</v>
      </c>
      <c r="B170" s="56" t="str">
        <f t="shared" si="4"/>
        <v>53060</v>
      </c>
      <c r="C170" s="78" t="s">
        <v>517</v>
      </c>
      <c r="D170" s="57" t="s">
        <v>387</v>
      </c>
      <c r="E170" s="44" t="s">
        <v>108</v>
      </c>
      <c r="F170" s="17">
        <f>_xlfn.XLOOKUP($B170,'[3]Jan-24'!$A:$A,'[3]Jan-24'!$H:$H,0)</f>
        <v>0</v>
      </c>
      <c r="G170" s="17">
        <f>_xlfn.XLOOKUP($B170,'[3]Feb-24'!$A:$A,'[3]Feb-24'!$H:$H,0)</f>
        <v>0</v>
      </c>
      <c r="H170" s="17">
        <f>_xlfn.XLOOKUP($B170,'[3]Mar-24'!$A:$A,'[3]Mar-24'!$H:$H,0)</f>
        <v>0</v>
      </c>
      <c r="I170" s="17">
        <f>_xlfn.XLOOKUP($B170,'[3]Apr-24'!$A:$A,'[3]Apr-24'!$H:$H,0)</f>
        <v>0</v>
      </c>
      <c r="J170" s="17">
        <f>_xlfn.XLOOKUP($B170,'[3]May-24'!$A:$A,'[3]May-24'!$H:$H,0)</f>
        <v>0</v>
      </c>
      <c r="K170" s="17">
        <f>_xlfn.XLOOKUP($B170,'[3]Jun-24'!$A:$A,'[3]Jun-24'!$H:$H,0)</f>
        <v>0</v>
      </c>
      <c r="L170" s="17">
        <f>_xlfn.XLOOKUP($B170,'[3]Jul-24'!$A:$A,'[3]Jul-24'!$H:$H,0)</f>
        <v>0</v>
      </c>
      <c r="M170" s="17">
        <f>_xlfn.XLOOKUP($B170,'[3]Aug-24'!$A:$A,'[3]Aug-24'!$H:$H,0)</f>
        <v>0</v>
      </c>
      <c r="N170" s="17">
        <f>_xlfn.XLOOKUP($B170,'[3]Sep-24'!$A:$A,'[3]Sep-24'!$H:$H,0)</f>
        <v>0</v>
      </c>
      <c r="O170" s="17">
        <f>_xlfn.XLOOKUP($B170,'[3]Oct-24'!$A:$A,'[3]Oct-24'!$H:$H,0)</f>
        <v>0</v>
      </c>
      <c r="P170" s="17">
        <f>_xlfn.XLOOKUP($B170,'[3]Nov-24'!$A:$A,'[3]Nov-24'!$H:$H,0)</f>
        <v>0</v>
      </c>
      <c r="Q170" s="17">
        <f>_xlfn.XLOOKUP($B170,'[3]Dec-24'!$A:$A,'[3]Dec-24'!$H:$H,0)</f>
        <v>0</v>
      </c>
      <c r="R170" s="17">
        <f>_xlfn.XLOOKUP($B170,'[3]Jan-25'!$A:$A,'[3]Jan-25'!$H:$H,0)</f>
        <v>0</v>
      </c>
      <c r="S170" s="17">
        <f>_xlfn.XLOOKUP($B170,'[3]Feb-25'!$A:$A,'[3]Feb-25'!$H:$H,0)</f>
        <v>0</v>
      </c>
      <c r="T170" s="17">
        <f>_xlfn.XLOOKUP($B170,'[3]Mar-25'!$A:$A,'[3]Mar-25'!$H:$H,0)</f>
        <v>0</v>
      </c>
      <c r="U170" s="17">
        <f>_xlfn.XLOOKUP($B170,'[3]Apr-25'!$A:$A,'[3]Apr-25'!$H:$H,0)</f>
        <v>0</v>
      </c>
      <c r="V170" s="17">
        <f>_xlfn.XLOOKUP($B170,'[3]May-25'!$A:$A,'[3]May-25'!$H:$H,0)</f>
        <v>0</v>
      </c>
      <c r="W170" s="17">
        <f>_xlfn.XLOOKUP($B170,'[3]Jun-25'!$A:$A,'[3]Jun-25'!$H:$H,0)</f>
        <v>0</v>
      </c>
      <c r="X170" s="17">
        <f>_xlfn.XLOOKUP($B170,'[3]Jul-25'!$A:$A,'[3]Jul-25'!$H:$H,0)</f>
        <v>0</v>
      </c>
      <c r="Y170" s="17">
        <f>_xlfn.XLOOKUP($B170,'[3]Aug-25'!$A:$A,'[3]Aug-25'!$H:$H,0)</f>
        <v>0</v>
      </c>
      <c r="Z170" s="17">
        <f>_xlfn.XLOOKUP($B170,'[3]Sep-25'!$A:$A,'[3]Sep-25'!$H:$H,0)</f>
        <v>0</v>
      </c>
      <c r="AA170" s="17">
        <f>_xlfn.XLOOKUP($B170,'[3]Oct-25'!$A:$A,'[3]Oct-25'!$H:$H,0)</f>
        <v>0</v>
      </c>
      <c r="AB170" s="17">
        <f>_xlfn.XLOOKUP($B170,'[3]Nov-25'!$A:$A,'[3]Nov-25'!$H:$H,0)</f>
        <v>0</v>
      </c>
      <c r="AC170" s="17">
        <f>_xlfn.XLOOKUP($B170,'[3]Dec-25'!$A:$A,'[3]Dec-25'!$H:$H,0)</f>
        <v>0</v>
      </c>
      <c r="AD170" s="17">
        <f>_xlfn.XLOOKUP($B170,'[3]Jan-26'!$A:$A,'[3]Jan-26'!$H:$H,0)</f>
        <v>0</v>
      </c>
      <c r="AE170" s="17">
        <f>_xlfn.XLOOKUP($B170,'[3]Feb-26'!$A:$A,'[3]Feb-26'!$H:$H,0)</f>
        <v>0</v>
      </c>
      <c r="AF170" s="17">
        <f>_xlfn.XLOOKUP($B170,'[3]Mar-26'!$A:$A,'[3]Mar-26'!$H:$H,0)</f>
        <v>0</v>
      </c>
      <c r="AG170" s="17">
        <f>_xlfn.XLOOKUP($B170,'[3]Apr-26'!$A:$A,'[3]Apr-26'!$H:$H,0)</f>
        <v>0</v>
      </c>
    </row>
    <row r="171" spans="1:33" x14ac:dyDescent="0.2">
      <c r="A171" s="58" t="s">
        <v>1123</v>
      </c>
      <c r="B171" s="56" t="str">
        <f t="shared" si="4"/>
        <v>53065</v>
      </c>
      <c r="C171" s="78" t="s">
        <v>517</v>
      </c>
      <c r="D171" s="57" t="s">
        <v>387</v>
      </c>
      <c r="E171" s="44" t="s">
        <v>110</v>
      </c>
      <c r="F171" s="17">
        <f>_xlfn.XLOOKUP($B171,'[3]Jan-24'!$A:$A,'[3]Jan-24'!$H:$H,0)</f>
        <v>0</v>
      </c>
      <c r="G171" s="17">
        <f>_xlfn.XLOOKUP($B171,'[3]Feb-24'!$A:$A,'[3]Feb-24'!$H:$H,0)</f>
        <v>0</v>
      </c>
      <c r="H171" s="17">
        <f>_xlfn.XLOOKUP($B171,'[3]Mar-24'!$A:$A,'[3]Mar-24'!$H:$H,0)</f>
        <v>0</v>
      </c>
      <c r="I171" s="17">
        <f>_xlfn.XLOOKUP($B171,'[3]Apr-24'!$A:$A,'[3]Apr-24'!$H:$H,0)</f>
        <v>0</v>
      </c>
      <c r="J171" s="17">
        <f>_xlfn.XLOOKUP($B171,'[3]May-24'!$A:$A,'[3]May-24'!$H:$H,0)</f>
        <v>0</v>
      </c>
      <c r="K171" s="17">
        <f>_xlfn.XLOOKUP($B171,'[3]Jun-24'!$A:$A,'[3]Jun-24'!$H:$H,0)</f>
        <v>0</v>
      </c>
      <c r="L171" s="17">
        <f>_xlfn.XLOOKUP($B171,'[3]Jul-24'!$A:$A,'[3]Jul-24'!$H:$H,0)</f>
        <v>0</v>
      </c>
      <c r="M171" s="17">
        <f>_xlfn.XLOOKUP($B171,'[3]Aug-24'!$A:$A,'[3]Aug-24'!$H:$H,0)</f>
        <v>0</v>
      </c>
      <c r="N171" s="17">
        <f>_xlfn.XLOOKUP($B171,'[3]Sep-24'!$A:$A,'[3]Sep-24'!$H:$H,0)</f>
        <v>0</v>
      </c>
      <c r="O171" s="17">
        <f>_xlfn.XLOOKUP($B171,'[3]Oct-24'!$A:$A,'[3]Oct-24'!$H:$H,0)</f>
        <v>0</v>
      </c>
      <c r="P171" s="17">
        <f>_xlfn.XLOOKUP($B171,'[3]Nov-24'!$A:$A,'[3]Nov-24'!$H:$H,0)</f>
        <v>0</v>
      </c>
      <c r="Q171" s="17">
        <f>_xlfn.XLOOKUP($B171,'[3]Dec-24'!$A:$A,'[3]Dec-24'!$H:$H,0)</f>
        <v>0</v>
      </c>
      <c r="R171" s="17">
        <f>_xlfn.XLOOKUP($B171,'[3]Jan-25'!$A:$A,'[3]Jan-25'!$H:$H,0)</f>
        <v>0</v>
      </c>
      <c r="S171" s="17">
        <f>_xlfn.XLOOKUP($B171,'[3]Feb-25'!$A:$A,'[3]Feb-25'!$H:$H,0)</f>
        <v>0</v>
      </c>
      <c r="T171" s="17">
        <f>_xlfn.XLOOKUP($B171,'[3]Mar-25'!$A:$A,'[3]Mar-25'!$H:$H,0)</f>
        <v>0</v>
      </c>
      <c r="U171" s="17">
        <f>_xlfn.XLOOKUP($B171,'[3]Apr-25'!$A:$A,'[3]Apr-25'!$H:$H,0)</f>
        <v>0</v>
      </c>
      <c r="V171" s="17">
        <f>_xlfn.XLOOKUP($B171,'[3]May-25'!$A:$A,'[3]May-25'!$H:$H,0)</f>
        <v>0</v>
      </c>
      <c r="W171" s="17">
        <f>_xlfn.XLOOKUP($B171,'[3]Jun-25'!$A:$A,'[3]Jun-25'!$H:$H,0)</f>
        <v>0</v>
      </c>
      <c r="X171" s="17">
        <f>_xlfn.XLOOKUP($B171,'[3]Jul-25'!$A:$A,'[3]Jul-25'!$H:$H,0)</f>
        <v>0</v>
      </c>
      <c r="Y171" s="17">
        <f>_xlfn.XLOOKUP($B171,'[3]Aug-25'!$A:$A,'[3]Aug-25'!$H:$H,0)</f>
        <v>0</v>
      </c>
      <c r="Z171" s="17">
        <f>_xlfn.XLOOKUP($B171,'[3]Sep-25'!$A:$A,'[3]Sep-25'!$H:$H,0)</f>
        <v>0</v>
      </c>
      <c r="AA171" s="17">
        <f>_xlfn.XLOOKUP($B171,'[3]Oct-25'!$A:$A,'[3]Oct-25'!$H:$H,0)</f>
        <v>0</v>
      </c>
      <c r="AB171" s="17">
        <f>_xlfn.XLOOKUP($B171,'[3]Nov-25'!$A:$A,'[3]Nov-25'!$H:$H,0)</f>
        <v>0</v>
      </c>
      <c r="AC171" s="17">
        <f>_xlfn.XLOOKUP($B171,'[3]Dec-25'!$A:$A,'[3]Dec-25'!$H:$H,0)</f>
        <v>0</v>
      </c>
      <c r="AD171" s="17">
        <f>_xlfn.XLOOKUP($B171,'[3]Jan-26'!$A:$A,'[3]Jan-26'!$H:$H,0)</f>
        <v>0</v>
      </c>
      <c r="AE171" s="17">
        <f>_xlfn.XLOOKUP($B171,'[3]Feb-26'!$A:$A,'[3]Feb-26'!$H:$H,0)</f>
        <v>0</v>
      </c>
      <c r="AF171" s="17">
        <f>_xlfn.XLOOKUP($B171,'[3]Mar-26'!$A:$A,'[3]Mar-26'!$H:$H,0)</f>
        <v>0</v>
      </c>
      <c r="AG171" s="17">
        <f>_xlfn.XLOOKUP($B171,'[3]Apr-26'!$A:$A,'[3]Apr-26'!$H:$H,0)</f>
        <v>0</v>
      </c>
    </row>
    <row r="172" spans="1:33" x14ac:dyDescent="0.2">
      <c r="A172" s="58" t="s">
        <v>1124</v>
      </c>
      <c r="B172" s="56" t="str">
        <f t="shared" si="4"/>
        <v>53075</v>
      </c>
      <c r="C172" s="78" t="s">
        <v>517</v>
      </c>
      <c r="D172" s="57" t="s">
        <v>387</v>
      </c>
      <c r="E172" s="44" t="s">
        <v>111</v>
      </c>
      <c r="F172" s="17">
        <f>_xlfn.XLOOKUP($B172,'[3]Jan-24'!$A:$A,'[3]Jan-24'!$H:$H,0)</f>
        <v>0</v>
      </c>
      <c r="G172" s="17">
        <f>_xlfn.XLOOKUP($B172,'[3]Feb-24'!$A:$A,'[3]Feb-24'!$H:$H,0)</f>
        <v>0</v>
      </c>
      <c r="H172" s="17">
        <f>_xlfn.XLOOKUP($B172,'[3]Mar-24'!$A:$A,'[3]Mar-24'!$H:$H,0)</f>
        <v>0</v>
      </c>
      <c r="I172" s="17">
        <f>_xlfn.XLOOKUP($B172,'[3]Apr-24'!$A:$A,'[3]Apr-24'!$H:$H,0)</f>
        <v>0</v>
      </c>
      <c r="J172" s="17">
        <f>_xlfn.XLOOKUP($B172,'[3]May-24'!$A:$A,'[3]May-24'!$H:$H,0)</f>
        <v>0</v>
      </c>
      <c r="K172" s="17">
        <f>_xlfn.XLOOKUP($B172,'[3]Jun-24'!$A:$A,'[3]Jun-24'!$H:$H,0)</f>
        <v>0</v>
      </c>
      <c r="L172" s="17">
        <f>_xlfn.XLOOKUP($B172,'[3]Jul-24'!$A:$A,'[3]Jul-24'!$H:$H,0)</f>
        <v>0</v>
      </c>
      <c r="M172" s="17">
        <f>_xlfn.XLOOKUP($B172,'[3]Aug-24'!$A:$A,'[3]Aug-24'!$H:$H,0)</f>
        <v>0</v>
      </c>
      <c r="N172" s="17">
        <f>_xlfn.XLOOKUP($B172,'[3]Sep-24'!$A:$A,'[3]Sep-24'!$H:$H,0)</f>
        <v>0</v>
      </c>
      <c r="O172" s="17">
        <f>_xlfn.XLOOKUP($B172,'[3]Oct-24'!$A:$A,'[3]Oct-24'!$H:$H,0)</f>
        <v>0</v>
      </c>
      <c r="P172" s="17">
        <f>_xlfn.XLOOKUP($B172,'[3]Nov-24'!$A:$A,'[3]Nov-24'!$H:$H,0)</f>
        <v>0</v>
      </c>
      <c r="Q172" s="17">
        <f>_xlfn.XLOOKUP($B172,'[3]Dec-24'!$A:$A,'[3]Dec-24'!$H:$H,0)</f>
        <v>0</v>
      </c>
      <c r="R172" s="17">
        <f>_xlfn.XLOOKUP($B172,'[3]Jan-25'!$A:$A,'[3]Jan-25'!$H:$H,0)</f>
        <v>0</v>
      </c>
      <c r="S172" s="17">
        <f>_xlfn.XLOOKUP($B172,'[3]Feb-25'!$A:$A,'[3]Feb-25'!$H:$H,0)</f>
        <v>0</v>
      </c>
      <c r="T172" s="17">
        <f>_xlfn.XLOOKUP($B172,'[3]Mar-25'!$A:$A,'[3]Mar-25'!$H:$H,0)</f>
        <v>0</v>
      </c>
      <c r="U172" s="17">
        <f>_xlfn.XLOOKUP($B172,'[3]Apr-25'!$A:$A,'[3]Apr-25'!$H:$H,0)</f>
        <v>0</v>
      </c>
      <c r="V172" s="17">
        <f>_xlfn.XLOOKUP($B172,'[3]May-25'!$A:$A,'[3]May-25'!$H:$H,0)</f>
        <v>0</v>
      </c>
      <c r="W172" s="17">
        <f>_xlfn.XLOOKUP($B172,'[3]Jun-25'!$A:$A,'[3]Jun-25'!$H:$H,0)</f>
        <v>0</v>
      </c>
      <c r="X172" s="17">
        <f>_xlfn.XLOOKUP($B172,'[3]Jul-25'!$A:$A,'[3]Jul-25'!$H:$H,0)</f>
        <v>0</v>
      </c>
      <c r="Y172" s="17">
        <f>_xlfn.XLOOKUP($B172,'[3]Aug-25'!$A:$A,'[3]Aug-25'!$H:$H,0)</f>
        <v>0</v>
      </c>
      <c r="Z172" s="17">
        <f>_xlfn.XLOOKUP($B172,'[3]Sep-25'!$A:$A,'[3]Sep-25'!$H:$H,0)</f>
        <v>0</v>
      </c>
      <c r="AA172" s="17">
        <f>_xlfn.XLOOKUP($B172,'[3]Oct-25'!$A:$A,'[3]Oct-25'!$H:$H,0)</f>
        <v>0</v>
      </c>
      <c r="AB172" s="17">
        <f>_xlfn.XLOOKUP($B172,'[3]Nov-25'!$A:$A,'[3]Nov-25'!$H:$H,0)</f>
        <v>0</v>
      </c>
      <c r="AC172" s="17">
        <f>_xlfn.XLOOKUP($B172,'[3]Dec-25'!$A:$A,'[3]Dec-25'!$H:$H,0)</f>
        <v>0</v>
      </c>
      <c r="AD172" s="17">
        <f>_xlfn.XLOOKUP($B172,'[3]Jan-26'!$A:$A,'[3]Jan-26'!$H:$H,0)</f>
        <v>0</v>
      </c>
      <c r="AE172" s="17">
        <f>_xlfn.XLOOKUP($B172,'[3]Feb-26'!$A:$A,'[3]Feb-26'!$H:$H,0)</f>
        <v>0</v>
      </c>
      <c r="AF172" s="17">
        <f>_xlfn.XLOOKUP($B172,'[3]Mar-26'!$A:$A,'[3]Mar-26'!$H:$H,0)</f>
        <v>0</v>
      </c>
      <c r="AG172" s="17">
        <f>_xlfn.XLOOKUP($B172,'[3]Apr-26'!$A:$A,'[3]Apr-26'!$H:$H,0)</f>
        <v>0</v>
      </c>
    </row>
    <row r="173" spans="1:33" x14ac:dyDescent="0.2">
      <c r="A173" s="58" t="s">
        <v>1125</v>
      </c>
      <c r="B173" s="56" t="str">
        <f t="shared" si="4"/>
        <v>53080</v>
      </c>
      <c r="C173" s="78" t="s">
        <v>517</v>
      </c>
      <c r="D173" s="57" t="s">
        <v>387</v>
      </c>
      <c r="E173" s="44" t="s">
        <v>112</v>
      </c>
      <c r="F173" s="17">
        <f>_xlfn.XLOOKUP($B173,'[3]Jan-24'!$A:$A,'[3]Jan-24'!$H:$H,0)</f>
        <v>0</v>
      </c>
      <c r="G173" s="17">
        <f>_xlfn.XLOOKUP($B173,'[3]Feb-24'!$A:$A,'[3]Feb-24'!$H:$H,0)</f>
        <v>0</v>
      </c>
      <c r="H173" s="17">
        <f>_xlfn.XLOOKUP($B173,'[3]Mar-24'!$A:$A,'[3]Mar-24'!$H:$H,0)</f>
        <v>0</v>
      </c>
      <c r="I173" s="17">
        <f>_xlfn.XLOOKUP($B173,'[3]Apr-24'!$A:$A,'[3]Apr-24'!$H:$H,0)</f>
        <v>0</v>
      </c>
      <c r="J173" s="17">
        <f>_xlfn.XLOOKUP($B173,'[3]May-24'!$A:$A,'[3]May-24'!$H:$H,0)</f>
        <v>0</v>
      </c>
      <c r="K173" s="17">
        <f>_xlfn.XLOOKUP($B173,'[3]Jun-24'!$A:$A,'[3]Jun-24'!$H:$H,0)</f>
        <v>0</v>
      </c>
      <c r="L173" s="17">
        <f>_xlfn.XLOOKUP($B173,'[3]Jul-24'!$A:$A,'[3]Jul-24'!$H:$H,0)</f>
        <v>0</v>
      </c>
      <c r="M173" s="17">
        <f>_xlfn.XLOOKUP($B173,'[3]Aug-24'!$A:$A,'[3]Aug-24'!$H:$H,0)</f>
        <v>0</v>
      </c>
      <c r="N173" s="17">
        <f>_xlfn.XLOOKUP($B173,'[3]Sep-24'!$A:$A,'[3]Sep-24'!$H:$H,0)</f>
        <v>0</v>
      </c>
      <c r="O173" s="17">
        <f>_xlfn.XLOOKUP($B173,'[3]Oct-24'!$A:$A,'[3]Oct-24'!$H:$H,0)</f>
        <v>0</v>
      </c>
      <c r="P173" s="17">
        <f>_xlfn.XLOOKUP($B173,'[3]Nov-24'!$A:$A,'[3]Nov-24'!$H:$H,0)</f>
        <v>0</v>
      </c>
      <c r="Q173" s="17">
        <f>_xlfn.XLOOKUP($B173,'[3]Dec-24'!$A:$A,'[3]Dec-24'!$H:$H,0)</f>
        <v>0</v>
      </c>
      <c r="R173" s="17">
        <f>_xlfn.XLOOKUP($B173,'[3]Jan-25'!$A:$A,'[3]Jan-25'!$H:$H,0)</f>
        <v>0</v>
      </c>
      <c r="S173" s="17">
        <f>_xlfn.XLOOKUP($B173,'[3]Feb-25'!$A:$A,'[3]Feb-25'!$H:$H,0)</f>
        <v>0</v>
      </c>
      <c r="T173" s="17">
        <f>_xlfn.XLOOKUP($B173,'[3]Mar-25'!$A:$A,'[3]Mar-25'!$H:$H,0)</f>
        <v>0</v>
      </c>
      <c r="U173" s="17">
        <f>_xlfn.XLOOKUP($B173,'[3]Apr-25'!$A:$A,'[3]Apr-25'!$H:$H,0)</f>
        <v>0</v>
      </c>
      <c r="V173" s="17">
        <f>_xlfn.XLOOKUP($B173,'[3]May-25'!$A:$A,'[3]May-25'!$H:$H,0)</f>
        <v>0</v>
      </c>
      <c r="W173" s="17">
        <f>_xlfn.XLOOKUP($B173,'[3]Jun-25'!$A:$A,'[3]Jun-25'!$H:$H,0)</f>
        <v>0</v>
      </c>
      <c r="X173" s="17">
        <f>_xlfn.XLOOKUP($B173,'[3]Jul-25'!$A:$A,'[3]Jul-25'!$H:$H,0)</f>
        <v>0</v>
      </c>
      <c r="Y173" s="17">
        <f>_xlfn.XLOOKUP($B173,'[3]Aug-25'!$A:$A,'[3]Aug-25'!$H:$H,0)</f>
        <v>0</v>
      </c>
      <c r="Z173" s="17">
        <f>_xlfn.XLOOKUP($B173,'[3]Sep-25'!$A:$A,'[3]Sep-25'!$H:$H,0)</f>
        <v>0</v>
      </c>
      <c r="AA173" s="17">
        <f>_xlfn.XLOOKUP($B173,'[3]Oct-25'!$A:$A,'[3]Oct-25'!$H:$H,0)</f>
        <v>0</v>
      </c>
      <c r="AB173" s="17">
        <f>_xlfn.XLOOKUP($B173,'[3]Nov-25'!$A:$A,'[3]Nov-25'!$H:$H,0)</f>
        <v>0</v>
      </c>
      <c r="AC173" s="17">
        <f>_xlfn.XLOOKUP($B173,'[3]Dec-25'!$A:$A,'[3]Dec-25'!$H:$H,0)</f>
        <v>0</v>
      </c>
      <c r="AD173" s="17">
        <f>_xlfn.XLOOKUP($B173,'[3]Jan-26'!$A:$A,'[3]Jan-26'!$H:$H,0)</f>
        <v>0</v>
      </c>
      <c r="AE173" s="17">
        <f>_xlfn.XLOOKUP($B173,'[3]Feb-26'!$A:$A,'[3]Feb-26'!$H:$H,0)</f>
        <v>0</v>
      </c>
      <c r="AF173" s="17">
        <f>_xlfn.XLOOKUP($B173,'[3]Mar-26'!$A:$A,'[3]Mar-26'!$H:$H,0)</f>
        <v>0</v>
      </c>
      <c r="AG173" s="17">
        <f>_xlfn.XLOOKUP($B173,'[3]Apr-26'!$A:$A,'[3]Apr-26'!$H:$H,0)</f>
        <v>0</v>
      </c>
    </row>
    <row r="174" spans="1:33" x14ac:dyDescent="0.2">
      <c r="A174" s="58" t="s">
        <v>1126</v>
      </c>
      <c r="B174" s="56" t="str">
        <f t="shared" si="4"/>
        <v>53090</v>
      </c>
      <c r="C174" s="78" t="s">
        <v>517</v>
      </c>
      <c r="D174" s="57" t="s">
        <v>387</v>
      </c>
      <c r="E174" s="44" t="s">
        <v>113</v>
      </c>
      <c r="F174" s="17">
        <f>_xlfn.XLOOKUP($B174,'[3]Jan-24'!$A:$A,'[3]Jan-24'!$H:$H,0)</f>
        <v>0</v>
      </c>
      <c r="G174" s="17">
        <f>_xlfn.XLOOKUP($B174,'[3]Feb-24'!$A:$A,'[3]Feb-24'!$H:$H,0)</f>
        <v>0</v>
      </c>
      <c r="H174" s="17">
        <f>_xlfn.XLOOKUP($B174,'[3]Mar-24'!$A:$A,'[3]Mar-24'!$H:$H,0)</f>
        <v>0</v>
      </c>
      <c r="I174" s="17">
        <f>_xlfn.XLOOKUP($B174,'[3]Apr-24'!$A:$A,'[3]Apr-24'!$H:$H,0)</f>
        <v>0</v>
      </c>
      <c r="J174" s="17">
        <f>_xlfn.XLOOKUP($B174,'[3]May-24'!$A:$A,'[3]May-24'!$H:$H,0)</f>
        <v>0</v>
      </c>
      <c r="K174" s="17">
        <f>_xlfn.XLOOKUP($B174,'[3]Jun-24'!$A:$A,'[3]Jun-24'!$H:$H,0)</f>
        <v>0</v>
      </c>
      <c r="L174" s="17">
        <f>_xlfn.XLOOKUP($B174,'[3]Jul-24'!$A:$A,'[3]Jul-24'!$H:$H,0)</f>
        <v>0</v>
      </c>
      <c r="M174" s="17">
        <f>_xlfn.XLOOKUP($B174,'[3]Aug-24'!$A:$A,'[3]Aug-24'!$H:$H,0)</f>
        <v>0</v>
      </c>
      <c r="N174" s="17">
        <f>_xlfn.XLOOKUP($B174,'[3]Sep-24'!$A:$A,'[3]Sep-24'!$H:$H,0)</f>
        <v>0</v>
      </c>
      <c r="O174" s="17">
        <f>_xlfn.XLOOKUP($B174,'[3]Oct-24'!$A:$A,'[3]Oct-24'!$H:$H,0)</f>
        <v>0</v>
      </c>
      <c r="P174" s="17">
        <f>_xlfn.XLOOKUP($B174,'[3]Nov-24'!$A:$A,'[3]Nov-24'!$H:$H,0)</f>
        <v>0</v>
      </c>
      <c r="Q174" s="17">
        <f>_xlfn.XLOOKUP($B174,'[3]Dec-24'!$A:$A,'[3]Dec-24'!$H:$H,0)</f>
        <v>0</v>
      </c>
      <c r="R174" s="17">
        <f>_xlfn.XLOOKUP($B174,'[3]Jan-25'!$A:$A,'[3]Jan-25'!$H:$H,0)</f>
        <v>0</v>
      </c>
      <c r="S174" s="17">
        <f>_xlfn.XLOOKUP($B174,'[3]Feb-25'!$A:$A,'[3]Feb-25'!$H:$H,0)</f>
        <v>0</v>
      </c>
      <c r="T174" s="17">
        <f>_xlfn.XLOOKUP($B174,'[3]Mar-25'!$A:$A,'[3]Mar-25'!$H:$H,0)</f>
        <v>0</v>
      </c>
      <c r="U174" s="17">
        <f>_xlfn.XLOOKUP($B174,'[3]Apr-25'!$A:$A,'[3]Apr-25'!$H:$H,0)</f>
        <v>0</v>
      </c>
      <c r="V174" s="17">
        <f>_xlfn.XLOOKUP($B174,'[3]May-25'!$A:$A,'[3]May-25'!$H:$H,0)</f>
        <v>0</v>
      </c>
      <c r="W174" s="17">
        <f>_xlfn.XLOOKUP($B174,'[3]Jun-25'!$A:$A,'[3]Jun-25'!$H:$H,0)</f>
        <v>0</v>
      </c>
      <c r="X174" s="17">
        <f>_xlfn.XLOOKUP($B174,'[3]Jul-25'!$A:$A,'[3]Jul-25'!$H:$H,0)</f>
        <v>0</v>
      </c>
      <c r="Y174" s="17">
        <f>_xlfn.XLOOKUP($B174,'[3]Aug-25'!$A:$A,'[3]Aug-25'!$H:$H,0)</f>
        <v>0</v>
      </c>
      <c r="Z174" s="17">
        <f>_xlfn.XLOOKUP($B174,'[3]Sep-25'!$A:$A,'[3]Sep-25'!$H:$H,0)</f>
        <v>0</v>
      </c>
      <c r="AA174" s="17">
        <f>_xlfn.XLOOKUP($B174,'[3]Oct-25'!$A:$A,'[3]Oct-25'!$H:$H,0)</f>
        <v>0</v>
      </c>
      <c r="AB174" s="17">
        <f>_xlfn.XLOOKUP($B174,'[3]Nov-25'!$A:$A,'[3]Nov-25'!$H:$H,0)</f>
        <v>0</v>
      </c>
      <c r="AC174" s="17">
        <f>_xlfn.XLOOKUP($B174,'[3]Dec-25'!$A:$A,'[3]Dec-25'!$H:$H,0)</f>
        <v>0</v>
      </c>
      <c r="AD174" s="17">
        <f>_xlfn.XLOOKUP($B174,'[3]Jan-26'!$A:$A,'[3]Jan-26'!$H:$H,0)</f>
        <v>0</v>
      </c>
      <c r="AE174" s="17">
        <f>_xlfn.XLOOKUP($B174,'[3]Feb-26'!$A:$A,'[3]Feb-26'!$H:$H,0)</f>
        <v>0</v>
      </c>
      <c r="AF174" s="17">
        <f>_xlfn.XLOOKUP($B174,'[3]Mar-26'!$A:$A,'[3]Mar-26'!$H:$H,0)</f>
        <v>0</v>
      </c>
      <c r="AG174" s="17">
        <f>_xlfn.XLOOKUP($B174,'[3]Apr-26'!$A:$A,'[3]Apr-26'!$H:$H,0)</f>
        <v>0</v>
      </c>
    </row>
    <row r="175" spans="1:33" x14ac:dyDescent="0.2">
      <c r="A175" s="58" t="s">
        <v>1127</v>
      </c>
      <c r="B175" s="56" t="str">
        <f t="shared" si="4"/>
        <v>53095</v>
      </c>
      <c r="C175" s="78" t="s">
        <v>517</v>
      </c>
      <c r="D175" s="57" t="s">
        <v>387</v>
      </c>
      <c r="E175" s="44" t="s">
        <v>114</v>
      </c>
      <c r="F175" s="17">
        <f>_xlfn.XLOOKUP($B175,'[3]Jan-24'!$A:$A,'[3]Jan-24'!$H:$H,0)</f>
        <v>0</v>
      </c>
      <c r="G175" s="17">
        <f>_xlfn.XLOOKUP($B175,'[3]Feb-24'!$A:$A,'[3]Feb-24'!$H:$H,0)</f>
        <v>0</v>
      </c>
      <c r="H175" s="17">
        <f>_xlfn.XLOOKUP($B175,'[3]Mar-24'!$A:$A,'[3]Mar-24'!$H:$H,0)</f>
        <v>0</v>
      </c>
      <c r="I175" s="17">
        <f>_xlfn.XLOOKUP($B175,'[3]Apr-24'!$A:$A,'[3]Apr-24'!$H:$H,0)</f>
        <v>0</v>
      </c>
      <c r="J175" s="17">
        <f>_xlfn.XLOOKUP($B175,'[3]May-24'!$A:$A,'[3]May-24'!$H:$H,0)</f>
        <v>0</v>
      </c>
      <c r="K175" s="17">
        <f>_xlfn.XLOOKUP($B175,'[3]Jun-24'!$A:$A,'[3]Jun-24'!$H:$H,0)</f>
        <v>0</v>
      </c>
      <c r="L175" s="17">
        <f>_xlfn.XLOOKUP($B175,'[3]Jul-24'!$A:$A,'[3]Jul-24'!$H:$H,0)</f>
        <v>0</v>
      </c>
      <c r="M175" s="17">
        <f>_xlfn.XLOOKUP($B175,'[3]Aug-24'!$A:$A,'[3]Aug-24'!$H:$H,0)</f>
        <v>0</v>
      </c>
      <c r="N175" s="17">
        <f>_xlfn.XLOOKUP($B175,'[3]Sep-24'!$A:$A,'[3]Sep-24'!$H:$H,0)</f>
        <v>0</v>
      </c>
      <c r="O175" s="17">
        <f>_xlfn.XLOOKUP($B175,'[3]Oct-24'!$A:$A,'[3]Oct-24'!$H:$H,0)</f>
        <v>0</v>
      </c>
      <c r="P175" s="17">
        <f>_xlfn.XLOOKUP($B175,'[3]Nov-24'!$A:$A,'[3]Nov-24'!$H:$H,0)</f>
        <v>0</v>
      </c>
      <c r="Q175" s="17">
        <f>_xlfn.XLOOKUP($B175,'[3]Dec-24'!$A:$A,'[3]Dec-24'!$H:$H,0)</f>
        <v>0</v>
      </c>
      <c r="R175" s="17">
        <f>_xlfn.XLOOKUP($B175,'[3]Jan-25'!$A:$A,'[3]Jan-25'!$H:$H,0)</f>
        <v>0</v>
      </c>
      <c r="S175" s="17">
        <f>_xlfn.XLOOKUP($B175,'[3]Feb-25'!$A:$A,'[3]Feb-25'!$H:$H,0)</f>
        <v>0</v>
      </c>
      <c r="T175" s="17">
        <f>_xlfn.XLOOKUP($B175,'[3]Mar-25'!$A:$A,'[3]Mar-25'!$H:$H,0)</f>
        <v>0</v>
      </c>
      <c r="U175" s="17">
        <f>_xlfn.XLOOKUP($B175,'[3]Apr-25'!$A:$A,'[3]Apr-25'!$H:$H,0)</f>
        <v>0</v>
      </c>
      <c r="V175" s="17">
        <f>_xlfn.XLOOKUP($B175,'[3]May-25'!$A:$A,'[3]May-25'!$H:$H,0)</f>
        <v>0</v>
      </c>
      <c r="W175" s="17">
        <f>_xlfn.XLOOKUP($B175,'[3]Jun-25'!$A:$A,'[3]Jun-25'!$H:$H,0)</f>
        <v>0</v>
      </c>
      <c r="X175" s="17">
        <f>_xlfn.XLOOKUP($B175,'[3]Jul-25'!$A:$A,'[3]Jul-25'!$H:$H,0)</f>
        <v>0</v>
      </c>
      <c r="Y175" s="17">
        <f>_xlfn.XLOOKUP($B175,'[3]Aug-25'!$A:$A,'[3]Aug-25'!$H:$H,0)</f>
        <v>0</v>
      </c>
      <c r="Z175" s="17">
        <f>_xlfn.XLOOKUP($B175,'[3]Sep-25'!$A:$A,'[3]Sep-25'!$H:$H,0)</f>
        <v>0</v>
      </c>
      <c r="AA175" s="17">
        <f>_xlfn.XLOOKUP($B175,'[3]Oct-25'!$A:$A,'[3]Oct-25'!$H:$H,0)</f>
        <v>0</v>
      </c>
      <c r="AB175" s="17">
        <f>_xlfn.XLOOKUP($B175,'[3]Nov-25'!$A:$A,'[3]Nov-25'!$H:$H,0)</f>
        <v>0</v>
      </c>
      <c r="AC175" s="17">
        <f>_xlfn.XLOOKUP($B175,'[3]Dec-25'!$A:$A,'[3]Dec-25'!$H:$H,0)</f>
        <v>0</v>
      </c>
      <c r="AD175" s="17">
        <f>_xlfn.XLOOKUP($B175,'[3]Jan-26'!$A:$A,'[3]Jan-26'!$H:$H,0)</f>
        <v>0</v>
      </c>
      <c r="AE175" s="17">
        <f>_xlfn.XLOOKUP($B175,'[3]Feb-26'!$A:$A,'[3]Feb-26'!$H:$H,0)</f>
        <v>0</v>
      </c>
      <c r="AF175" s="17">
        <f>_xlfn.XLOOKUP($B175,'[3]Mar-26'!$A:$A,'[3]Mar-26'!$H:$H,0)</f>
        <v>0</v>
      </c>
      <c r="AG175" s="17">
        <f>_xlfn.XLOOKUP($B175,'[3]Apr-26'!$A:$A,'[3]Apr-26'!$H:$H,0)</f>
        <v>0</v>
      </c>
    </row>
    <row r="176" spans="1:33" x14ac:dyDescent="0.2">
      <c r="A176" s="58" t="s">
        <v>1128</v>
      </c>
      <c r="B176" s="56" t="str">
        <f t="shared" si="4"/>
        <v>53105</v>
      </c>
      <c r="C176" s="78" t="s">
        <v>517</v>
      </c>
      <c r="D176" s="57" t="s">
        <v>387</v>
      </c>
      <c r="E176" s="44" t="s">
        <v>544</v>
      </c>
      <c r="F176" s="17">
        <f>_xlfn.XLOOKUP($B176,'[3]Jan-24'!$A:$A,'[3]Jan-24'!$H:$H,0)</f>
        <v>0</v>
      </c>
      <c r="G176" s="17">
        <f>_xlfn.XLOOKUP($B176,'[3]Feb-24'!$A:$A,'[3]Feb-24'!$H:$H,0)</f>
        <v>0</v>
      </c>
      <c r="H176" s="17">
        <f>_xlfn.XLOOKUP($B176,'[3]Mar-24'!$A:$A,'[3]Mar-24'!$H:$H,0)</f>
        <v>0</v>
      </c>
      <c r="I176" s="17">
        <f>_xlfn.XLOOKUP($B176,'[3]Apr-24'!$A:$A,'[3]Apr-24'!$H:$H,0)</f>
        <v>0</v>
      </c>
      <c r="J176" s="17">
        <f>_xlfn.XLOOKUP($B176,'[3]May-24'!$A:$A,'[3]May-24'!$H:$H,0)</f>
        <v>0</v>
      </c>
      <c r="K176" s="17">
        <f>_xlfn.XLOOKUP($B176,'[3]Jun-24'!$A:$A,'[3]Jun-24'!$H:$H,0)</f>
        <v>0</v>
      </c>
      <c r="L176" s="17">
        <f>_xlfn.XLOOKUP($B176,'[3]Jul-24'!$A:$A,'[3]Jul-24'!$H:$H,0)</f>
        <v>0</v>
      </c>
      <c r="M176" s="17">
        <f>_xlfn.XLOOKUP($B176,'[3]Aug-24'!$A:$A,'[3]Aug-24'!$H:$H,0)</f>
        <v>0</v>
      </c>
      <c r="N176" s="17">
        <f>_xlfn.XLOOKUP($B176,'[3]Sep-24'!$A:$A,'[3]Sep-24'!$H:$H,0)</f>
        <v>0</v>
      </c>
      <c r="O176" s="17">
        <f>_xlfn.XLOOKUP($B176,'[3]Oct-24'!$A:$A,'[3]Oct-24'!$H:$H,0)</f>
        <v>0</v>
      </c>
      <c r="P176" s="17">
        <f>_xlfn.XLOOKUP($B176,'[3]Nov-24'!$A:$A,'[3]Nov-24'!$H:$H,0)</f>
        <v>0</v>
      </c>
      <c r="Q176" s="17">
        <f>_xlfn.XLOOKUP($B176,'[3]Dec-24'!$A:$A,'[3]Dec-24'!$H:$H,0)</f>
        <v>0</v>
      </c>
      <c r="R176" s="17">
        <f>_xlfn.XLOOKUP($B176,'[3]Jan-25'!$A:$A,'[3]Jan-25'!$H:$H,0)</f>
        <v>0</v>
      </c>
      <c r="S176" s="17">
        <f>_xlfn.XLOOKUP($B176,'[3]Feb-25'!$A:$A,'[3]Feb-25'!$H:$H,0)</f>
        <v>0</v>
      </c>
      <c r="T176" s="17">
        <f>_xlfn.XLOOKUP($B176,'[3]Mar-25'!$A:$A,'[3]Mar-25'!$H:$H,0)</f>
        <v>0</v>
      </c>
      <c r="U176" s="17">
        <f>_xlfn.XLOOKUP($B176,'[3]Apr-25'!$A:$A,'[3]Apr-25'!$H:$H,0)</f>
        <v>0</v>
      </c>
      <c r="V176" s="17">
        <f>_xlfn.XLOOKUP($B176,'[3]May-25'!$A:$A,'[3]May-25'!$H:$H,0)</f>
        <v>0</v>
      </c>
      <c r="W176" s="17">
        <f>_xlfn.XLOOKUP($B176,'[3]Jun-25'!$A:$A,'[3]Jun-25'!$H:$H,0)</f>
        <v>0</v>
      </c>
      <c r="X176" s="17">
        <f>_xlfn.XLOOKUP($B176,'[3]Jul-25'!$A:$A,'[3]Jul-25'!$H:$H,0)</f>
        <v>0</v>
      </c>
      <c r="Y176" s="17">
        <f>_xlfn.XLOOKUP($B176,'[3]Aug-25'!$A:$A,'[3]Aug-25'!$H:$H,0)</f>
        <v>0</v>
      </c>
      <c r="Z176" s="17">
        <f>_xlfn.XLOOKUP($B176,'[3]Sep-25'!$A:$A,'[3]Sep-25'!$H:$H,0)</f>
        <v>0</v>
      </c>
      <c r="AA176" s="17">
        <f>_xlfn.XLOOKUP($B176,'[3]Oct-25'!$A:$A,'[3]Oct-25'!$H:$H,0)</f>
        <v>0</v>
      </c>
      <c r="AB176" s="17">
        <f>_xlfn.XLOOKUP($B176,'[3]Nov-25'!$A:$A,'[3]Nov-25'!$H:$H,0)</f>
        <v>0</v>
      </c>
      <c r="AC176" s="17">
        <f>_xlfn.XLOOKUP($B176,'[3]Dec-25'!$A:$A,'[3]Dec-25'!$H:$H,0)</f>
        <v>0</v>
      </c>
      <c r="AD176" s="17">
        <f>_xlfn.XLOOKUP($B176,'[3]Jan-26'!$A:$A,'[3]Jan-26'!$H:$H,0)</f>
        <v>0</v>
      </c>
      <c r="AE176" s="17">
        <f>_xlfn.XLOOKUP($B176,'[3]Feb-26'!$A:$A,'[3]Feb-26'!$H:$H,0)</f>
        <v>0</v>
      </c>
      <c r="AF176" s="17">
        <f>_xlfn.XLOOKUP($B176,'[3]Mar-26'!$A:$A,'[3]Mar-26'!$H:$H,0)</f>
        <v>0</v>
      </c>
      <c r="AG176" s="17">
        <f>_xlfn.XLOOKUP($B176,'[3]Apr-26'!$A:$A,'[3]Apr-26'!$H:$H,0)</f>
        <v>0</v>
      </c>
    </row>
    <row r="177" spans="1:33" x14ac:dyDescent="0.2">
      <c r="A177" s="58" t="s">
        <v>1129</v>
      </c>
      <c r="B177" s="56" t="str">
        <f t="shared" si="4"/>
        <v>53110</v>
      </c>
      <c r="C177" s="78" t="s">
        <v>517</v>
      </c>
      <c r="D177" s="57" t="s">
        <v>387</v>
      </c>
      <c r="E177" s="44" t="s">
        <v>115</v>
      </c>
      <c r="F177" s="17">
        <f>_xlfn.XLOOKUP($B177,'[3]Jan-24'!$A:$A,'[3]Jan-24'!$H:$H,0)</f>
        <v>0</v>
      </c>
      <c r="G177" s="17">
        <f>_xlfn.XLOOKUP($B177,'[3]Feb-24'!$A:$A,'[3]Feb-24'!$H:$H,0)</f>
        <v>0</v>
      </c>
      <c r="H177" s="17">
        <f>_xlfn.XLOOKUP($B177,'[3]Mar-24'!$A:$A,'[3]Mar-24'!$H:$H,0)</f>
        <v>0</v>
      </c>
      <c r="I177" s="17">
        <f>_xlfn.XLOOKUP($B177,'[3]Apr-24'!$A:$A,'[3]Apr-24'!$H:$H,0)</f>
        <v>0</v>
      </c>
      <c r="J177" s="17">
        <f>_xlfn.XLOOKUP($B177,'[3]May-24'!$A:$A,'[3]May-24'!$H:$H,0)</f>
        <v>0</v>
      </c>
      <c r="K177" s="17">
        <f>_xlfn.XLOOKUP($B177,'[3]Jun-24'!$A:$A,'[3]Jun-24'!$H:$H,0)</f>
        <v>0</v>
      </c>
      <c r="L177" s="17">
        <f>_xlfn.XLOOKUP($B177,'[3]Jul-24'!$A:$A,'[3]Jul-24'!$H:$H,0)</f>
        <v>0</v>
      </c>
      <c r="M177" s="17">
        <f>_xlfn.XLOOKUP($B177,'[3]Aug-24'!$A:$A,'[3]Aug-24'!$H:$H,0)</f>
        <v>0</v>
      </c>
      <c r="N177" s="17">
        <f>_xlfn.XLOOKUP($B177,'[3]Sep-24'!$A:$A,'[3]Sep-24'!$H:$H,0)</f>
        <v>0</v>
      </c>
      <c r="O177" s="17">
        <f>_xlfn.XLOOKUP($B177,'[3]Oct-24'!$A:$A,'[3]Oct-24'!$H:$H,0)</f>
        <v>0</v>
      </c>
      <c r="P177" s="17">
        <f>_xlfn.XLOOKUP($B177,'[3]Nov-24'!$A:$A,'[3]Nov-24'!$H:$H,0)</f>
        <v>0</v>
      </c>
      <c r="Q177" s="17">
        <f>_xlfn.XLOOKUP($B177,'[3]Dec-24'!$A:$A,'[3]Dec-24'!$H:$H,0)</f>
        <v>0</v>
      </c>
      <c r="R177" s="17">
        <f>_xlfn.XLOOKUP($B177,'[3]Jan-25'!$A:$A,'[3]Jan-25'!$H:$H,0)</f>
        <v>0</v>
      </c>
      <c r="S177" s="17">
        <f>_xlfn.XLOOKUP($B177,'[3]Feb-25'!$A:$A,'[3]Feb-25'!$H:$H,0)</f>
        <v>0</v>
      </c>
      <c r="T177" s="17">
        <f>_xlfn.XLOOKUP($B177,'[3]Mar-25'!$A:$A,'[3]Mar-25'!$H:$H,0)</f>
        <v>0</v>
      </c>
      <c r="U177" s="17">
        <f>_xlfn.XLOOKUP($B177,'[3]Apr-25'!$A:$A,'[3]Apr-25'!$H:$H,0)</f>
        <v>0</v>
      </c>
      <c r="V177" s="17">
        <f>_xlfn.XLOOKUP($B177,'[3]May-25'!$A:$A,'[3]May-25'!$H:$H,0)</f>
        <v>0</v>
      </c>
      <c r="W177" s="17">
        <f>_xlfn.XLOOKUP($B177,'[3]Jun-25'!$A:$A,'[3]Jun-25'!$H:$H,0)</f>
        <v>0</v>
      </c>
      <c r="X177" s="17">
        <f>_xlfn.XLOOKUP($B177,'[3]Jul-25'!$A:$A,'[3]Jul-25'!$H:$H,0)</f>
        <v>0</v>
      </c>
      <c r="Y177" s="17">
        <f>_xlfn.XLOOKUP($B177,'[3]Aug-25'!$A:$A,'[3]Aug-25'!$H:$H,0)</f>
        <v>0</v>
      </c>
      <c r="Z177" s="17">
        <f>_xlfn.XLOOKUP($B177,'[3]Sep-25'!$A:$A,'[3]Sep-25'!$H:$H,0)</f>
        <v>0</v>
      </c>
      <c r="AA177" s="17">
        <f>_xlfn.XLOOKUP($B177,'[3]Oct-25'!$A:$A,'[3]Oct-25'!$H:$H,0)</f>
        <v>0</v>
      </c>
      <c r="AB177" s="17">
        <f>_xlfn.XLOOKUP($B177,'[3]Nov-25'!$A:$A,'[3]Nov-25'!$H:$H,0)</f>
        <v>0</v>
      </c>
      <c r="AC177" s="17">
        <f>_xlfn.XLOOKUP($B177,'[3]Dec-25'!$A:$A,'[3]Dec-25'!$H:$H,0)</f>
        <v>0</v>
      </c>
      <c r="AD177" s="17">
        <f>_xlfn.XLOOKUP($B177,'[3]Jan-26'!$A:$A,'[3]Jan-26'!$H:$H,0)</f>
        <v>0</v>
      </c>
      <c r="AE177" s="17">
        <f>_xlfn.XLOOKUP($B177,'[3]Feb-26'!$A:$A,'[3]Feb-26'!$H:$H,0)</f>
        <v>0</v>
      </c>
      <c r="AF177" s="17">
        <f>_xlfn.XLOOKUP($B177,'[3]Mar-26'!$A:$A,'[3]Mar-26'!$H:$H,0)</f>
        <v>0</v>
      </c>
      <c r="AG177" s="17">
        <f>_xlfn.XLOOKUP($B177,'[3]Apr-26'!$A:$A,'[3]Apr-26'!$H:$H,0)</f>
        <v>0</v>
      </c>
    </row>
    <row r="178" spans="1:33" x14ac:dyDescent="0.2">
      <c r="A178" s="58" t="s">
        <v>1130</v>
      </c>
      <c r="B178" s="56" t="str">
        <f t="shared" si="4"/>
        <v>53120</v>
      </c>
      <c r="C178" s="78" t="s">
        <v>517</v>
      </c>
      <c r="D178" s="57" t="s">
        <v>387</v>
      </c>
      <c r="E178" s="44" t="s">
        <v>116</v>
      </c>
      <c r="F178" s="17">
        <f>_xlfn.XLOOKUP($B178,'[3]Jan-24'!$A:$A,'[3]Jan-24'!$H:$H,0)</f>
        <v>0</v>
      </c>
      <c r="G178" s="17">
        <f>_xlfn.XLOOKUP($B178,'[3]Feb-24'!$A:$A,'[3]Feb-24'!$H:$H,0)</f>
        <v>0</v>
      </c>
      <c r="H178" s="17">
        <f>_xlfn.XLOOKUP($B178,'[3]Mar-24'!$A:$A,'[3]Mar-24'!$H:$H,0)</f>
        <v>0</v>
      </c>
      <c r="I178" s="17">
        <f>_xlfn.XLOOKUP($B178,'[3]Apr-24'!$A:$A,'[3]Apr-24'!$H:$H,0)</f>
        <v>0</v>
      </c>
      <c r="J178" s="17">
        <f>_xlfn.XLOOKUP($B178,'[3]May-24'!$A:$A,'[3]May-24'!$H:$H,0)</f>
        <v>0</v>
      </c>
      <c r="K178" s="17">
        <f>_xlfn.XLOOKUP($B178,'[3]Jun-24'!$A:$A,'[3]Jun-24'!$H:$H,0)</f>
        <v>0</v>
      </c>
      <c r="L178" s="17">
        <f>_xlfn.XLOOKUP($B178,'[3]Jul-24'!$A:$A,'[3]Jul-24'!$H:$H,0)</f>
        <v>0</v>
      </c>
      <c r="M178" s="17">
        <f>_xlfn.XLOOKUP($B178,'[3]Aug-24'!$A:$A,'[3]Aug-24'!$H:$H,0)</f>
        <v>0</v>
      </c>
      <c r="N178" s="17">
        <f>_xlfn.XLOOKUP($B178,'[3]Sep-24'!$A:$A,'[3]Sep-24'!$H:$H,0)</f>
        <v>0</v>
      </c>
      <c r="O178" s="17">
        <f>_xlfn.XLOOKUP($B178,'[3]Oct-24'!$A:$A,'[3]Oct-24'!$H:$H,0)</f>
        <v>0</v>
      </c>
      <c r="P178" s="17">
        <f>_xlfn.XLOOKUP($B178,'[3]Nov-24'!$A:$A,'[3]Nov-24'!$H:$H,0)</f>
        <v>0</v>
      </c>
      <c r="Q178" s="17">
        <f>_xlfn.XLOOKUP($B178,'[3]Dec-24'!$A:$A,'[3]Dec-24'!$H:$H,0)</f>
        <v>0</v>
      </c>
      <c r="R178" s="17">
        <f>_xlfn.XLOOKUP($B178,'[3]Jan-25'!$A:$A,'[3]Jan-25'!$H:$H,0)</f>
        <v>0</v>
      </c>
      <c r="S178" s="17">
        <f>_xlfn.XLOOKUP($B178,'[3]Feb-25'!$A:$A,'[3]Feb-25'!$H:$H,0)</f>
        <v>0</v>
      </c>
      <c r="T178" s="17">
        <f>_xlfn.XLOOKUP($B178,'[3]Mar-25'!$A:$A,'[3]Mar-25'!$H:$H,0)</f>
        <v>0</v>
      </c>
      <c r="U178" s="17">
        <f>_xlfn.XLOOKUP($B178,'[3]Apr-25'!$A:$A,'[3]Apr-25'!$H:$H,0)</f>
        <v>0</v>
      </c>
      <c r="V178" s="17">
        <f>_xlfn.XLOOKUP($B178,'[3]May-25'!$A:$A,'[3]May-25'!$H:$H,0)</f>
        <v>0</v>
      </c>
      <c r="W178" s="17">
        <f>_xlfn.XLOOKUP($B178,'[3]Jun-25'!$A:$A,'[3]Jun-25'!$H:$H,0)</f>
        <v>0</v>
      </c>
      <c r="X178" s="17">
        <f>_xlfn.XLOOKUP($B178,'[3]Jul-25'!$A:$A,'[3]Jul-25'!$H:$H,0)</f>
        <v>0</v>
      </c>
      <c r="Y178" s="17">
        <f>_xlfn.XLOOKUP($B178,'[3]Aug-25'!$A:$A,'[3]Aug-25'!$H:$H,0)</f>
        <v>0</v>
      </c>
      <c r="Z178" s="17">
        <f>_xlfn.XLOOKUP($B178,'[3]Sep-25'!$A:$A,'[3]Sep-25'!$H:$H,0)</f>
        <v>0</v>
      </c>
      <c r="AA178" s="17">
        <f>_xlfn.XLOOKUP($B178,'[3]Oct-25'!$A:$A,'[3]Oct-25'!$H:$H,0)</f>
        <v>0</v>
      </c>
      <c r="AB178" s="17">
        <f>_xlfn.XLOOKUP($B178,'[3]Nov-25'!$A:$A,'[3]Nov-25'!$H:$H,0)</f>
        <v>0</v>
      </c>
      <c r="AC178" s="17">
        <f>_xlfn.XLOOKUP($B178,'[3]Dec-25'!$A:$A,'[3]Dec-25'!$H:$H,0)</f>
        <v>0</v>
      </c>
      <c r="AD178" s="17">
        <f>_xlfn.XLOOKUP($B178,'[3]Jan-26'!$A:$A,'[3]Jan-26'!$H:$H,0)</f>
        <v>0</v>
      </c>
      <c r="AE178" s="17">
        <f>_xlfn.XLOOKUP($B178,'[3]Feb-26'!$A:$A,'[3]Feb-26'!$H:$H,0)</f>
        <v>0</v>
      </c>
      <c r="AF178" s="17">
        <f>_xlfn.XLOOKUP($B178,'[3]Mar-26'!$A:$A,'[3]Mar-26'!$H:$H,0)</f>
        <v>0</v>
      </c>
      <c r="AG178" s="17">
        <f>_xlfn.XLOOKUP($B178,'[3]Apr-26'!$A:$A,'[3]Apr-26'!$H:$H,0)</f>
        <v>0</v>
      </c>
    </row>
    <row r="179" spans="1:33" x14ac:dyDescent="0.2">
      <c r="A179" s="58" t="s">
        <v>1131</v>
      </c>
      <c r="B179" s="56" t="str">
        <f t="shared" si="4"/>
        <v>53140</v>
      </c>
      <c r="C179" s="78" t="s">
        <v>517</v>
      </c>
      <c r="D179" s="57" t="s">
        <v>387</v>
      </c>
      <c r="E179" s="44" t="s">
        <v>117</v>
      </c>
      <c r="F179" s="17">
        <f>_xlfn.XLOOKUP($B179,'[3]Jan-24'!$A:$A,'[3]Jan-24'!$H:$H,0)</f>
        <v>0</v>
      </c>
      <c r="G179" s="17">
        <f>_xlfn.XLOOKUP($B179,'[3]Feb-24'!$A:$A,'[3]Feb-24'!$H:$H,0)</f>
        <v>0</v>
      </c>
      <c r="H179" s="17">
        <f>_xlfn.XLOOKUP($B179,'[3]Mar-24'!$A:$A,'[3]Mar-24'!$H:$H,0)</f>
        <v>0</v>
      </c>
      <c r="I179" s="17">
        <f>_xlfn.XLOOKUP($B179,'[3]Apr-24'!$A:$A,'[3]Apr-24'!$H:$H,0)</f>
        <v>0</v>
      </c>
      <c r="J179" s="17">
        <f>_xlfn.XLOOKUP($B179,'[3]May-24'!$A:$A,'[3]May-24'!$H:$H,0)</f>
        <v>0</v>
      </c>
      <c r="K179" s="17">
        <f>_xlfn.XLOOKUP($B179,'[3]Jun-24'!$A:$A,'[3]Jun-24'!$H:$H,0)</f>
        <v>0</v>
      </c>
      <c r="L179" s="17">
        <f>_xlfn.XLOOKUP($B179,'[3]Jul-24'!$A:$A,'[3]Jul-24'!$H:$H,0)</f>
        <v>0</v>
      </c>
      <c r="M179" s="17">
        <f>_xlfn.XLOOKUP($B179,'[3]Aug-24'!$A:$A,'[3]Aug-24'!$H:$H,0)</f>
        <v>0</v>
      </c>
      <c r="N179" s="17">
        <f>_xlfn.XLOOKUP($B179,'[3]Sep-24'!$A:$A,'[3]Sep-24'!$H:$H,0)</f>
        <v>0</v>
      </c>
      <c r="O179" s="17">
        <f>_xlfn.XLOOKUP($B179,'[3]Oct-24'!$A:$A,'[3]Oct-24'!$H:$H,0)</f>
        <v>0</v>
      </c>
      <c r="P179" s="17">
        <f>_xlfn.XLOOKUP($B179,'[3]Nov-24'!$A:$A,'[3]Nov-24'!$H:$H,0)</f>
        <v>0</v>
      </c>
      <c r="Q179" s="17">
        <f>_xlfn.XLOOKUP($B179,'[3]Dec-24'!$A:$A,'[3]Dec-24'!$H:$H,0)</f>
        <v>0</v>
      </c>
      <c r="R179" s="17">
        <f>_xlfn.XLOOKUP($B179,'[3]Jan-25'!$A:$A,'[3]Jan-25'!$H:$H,0)</f>
        <v>0</v>
      </c>
      <c r="S179" s="17">
        <f>_xlfn.XLOOKUP($B179,'[3]Feb-25'!$A:$A,'[3]Feb-25'!$H:$H,0)</f>
        <v>0</v>
      </c>
      <c r="T179" s="17">
        <f>_xlfn.XLOOKUP($B179,'[3]Mar-25'!$A:$A,'[3]Mar-25'!$H:$H,0)</f>
        <v>0</v>
      </c>
      <c r="U179" s="17">
        <f>_xlfn.XLOOKUP($B179,'[3]Apr-25'!$A:$A,'[3]Apr-25'!$H:$H,0)</f>
        <v>0</v>
      </c>
      <c r="V179" s="17">
        <f>_xlfn.XLOOKUP($B179,'[3]May-25'!$A:$A,'[3]May-25'!$H:$H,0)</f>
        <v>0</v>
      </c>
      <c r="W179" s="17">
        <f>_xlfn.XLOOKUP($B179,'[3]Jun-25'!$A:$A,'[3]Jun-25'!$H:$H,0)</f>
        <v>0</v>
      </c>
      <c r="X179" s="17">
        <f>_xlfn.XLOOKUP($B179,'[3]Jul-25'!$A:$A,'[3]Jul-25'!$H:$H,0)</f>
        <v>0</v>
      </c>
      <c r="Y179" s="17">
        <f>_xlfn.XLOOKUP($B179,'[3]Aug-25'!$A:$A,'[3]Aug-25'!$H:$H,0)</f>
        <v>0</v>
      </c>
      <c r="Z179" s="17">
        <f>_xlfn.XLOOKUP($B179,'[3]Sep-25'!$A:$A,'[3]Sep-25'!$H:$H,0)</f>
        <v>0</v>
      </c>
      <c r="AA179" s="17">
        <f>_xlfn.XLOOKUP($B179,'[3]Oct-25'!$A:$A,'[3]Oct-25'!$H:$H,0)</f>
        <v>0</v>
      </c>
      <c r="AB179" s="17">
        <f>_xlfn.XLOOKUP($B179,'[3]Nov-25'!$A:$A,'[3]Nov-25'!$H:$H,0)</f>
        <v>0</v>
      </c>
      <c r="AC179" s="17">
        <f>_xlfn.XLOOKUP($B179,'[3]Dec-25'!$A:$A,'[3]Dec-25'!$H:$H,0)</f>
        <v>0</v>
      </c>
      <c r="AD179" s="17">
        <f>_xlfn.XLOOKUP($B179,'[3]Jan-26'!$A:$A,'[3]Jan-26'!$H:$H,0)</f>
        <v>0</v>
      </c>
      <c r="AE179" s="17">
        <f>_xlfn.XLOOKUP($B179,'[3]Feb-26'!$A:$A,'[3]Feb-26'!$H:$H,0)</f>
        <v>0</v>
      </c>
      <c r="AF179" s="17">
        <f>_xlfn.XLOOKUP($B179,'[3]Mar-26'!$A:$A,'[3]Mar-26'!$H:$H,0)</f>
        <v>0</v>
      </c>
      <c r="AG179" s="17">
        <f>_xlfn.XLOOKUP($B179,'[3]Apr-26'!$A:$A,'[3]Apr-26'!$H:$H,0)</f>
        <v>0</v>
      </c>
    </row>
    <row r="180" spans="1:33" x14ac:dyDescent="0.2">
      <c r="A180" s="58" t="s">
        <v>1132</v>
      </c>
      <c r="B180" s="56" t="str">
        <f t="shared" si="4"/>
        <v>57100</v>
      </c>
      <c r="C180" s="78" t="s">
        <v>389</v>
      </c>
      <c r="D180" s="57" t="s">
        <v>387</v>
      </c>
      <c r="E180" s="44" t="s">
        <v>550</v>
      </c>
      <c r="F180" s="17">
        <f>_xlfn.XLOOKUP($B180,'[3]Jan-24'!$A:$A,'[3]Jan-24'!$H:$H,0)</f>
        <v>0</v>
      </c>
      <c r="G180" s="17">
        <f>_xlfn.XLOOKUP($B180,'[3]Feb-24'!$A:$A,'[3]Feb-24'!$H:$H,0)</f>
        <v>0</v>
      </c>
      <c r="H180" s="17">
        <f>_xlfn.XLOOKUP($B180,'[3]Mar-24'!$A:$A,'[3]Mar-24'!$H:$H,0)</f>
        <v>0</v>
      </c>
      <c r="I180" s="17">
        <f>_xlfn.XLOOKUP($B180,'[3]Apr-24'!$A:$A,'[3]Apr-24'!$H:$H,0)</f>
        <v>0</v>
      </c>
      <c r="J180" s="17">
        <f>_xlfn.XLOOKUP($B180,'[3]May-24'!$A:$A,'[3]May-24'!$H:$H,0)</f>
        <v>0</v>
      </c>
      <c r="K180" s="17">
        <f>_xlfn.XLOOKUP($B180,'[3]Jun-24'!$A:$A,'[3]Jun-24'!$H:$H,0)</f>
        <v>0</v>
      </c>
      <c r="L180" s="17">
        <f>_xlfn.XLOOKUP($B180,'[3]Jul-24'!$A:$A,'[3]Jul-24'!$H:$H,0)</f>
        <v>0</v>
      </c>
      <c r="M180" s="17">
        <f>_xlfn.XLOOKUP($B180,'[3]Aug-24'!$A:$A,'[3]Aug-24'!$H:$H,0)</f>
        <v>0</v>
      </c>
      <c r="N180" s="17">
        <f>_xlfn.XLOOKUP($B180,'[3]Sep-24'!$A:$A,'[3]Sep-24'!$H:$H,0)</f>
        <v>0</v>
      </c>
      <c r="O180" s="17">
        <f>_xlfn.XLOOKUP($B180,'[3]Oct-24'!$A:$A,'[3]Oct-24'!$H:$H,0)</f>
        <v>0</v>
      </c>
      <c r="P180" s="17">
        <f>_xlfn.XLOOKUP($B180,'[3]Nov-24'!$A:$A,'[3]Nov-24'!$H:$H,0)</f>
        <v>0</v>
      </c>
      <c r="Q180" s="17">
        <f>_xlfn.XLOOKUP($B180,'[3]Dec-24'!$A:$A,'[3]Dec-24'!$H:$H,0)</f>
        <v>0</v>
      </c>
      <c r="R180" s="17">
        <f>_xlfn.XLOOKUP($B180,'[3]Jan-25'!$A:$A,'[3]Jan-25'!$H:$H,0)</f>
        <v>0</v>
      </c>
      <c r="S180" s="17">
        <f>_xlfn.XLOOKUP($B180,'[3]Feb-25'!$A:$A,'[3]Feb-25'!$H:$H,0)</f>
        <v>0</v>
      </c>
      <c r="T180" s="17">
        <f>_xlfn.XLOOKUP($B180,'[3]Mar-25'!$A:$A,'[3]Mar-25'!$H:$H,0)</f>
        <v>0</v>
      </c>
      <c r="U180" s="17">
        <f>_xlfn.XLOOKUP($B180,'[3]Apr-25'!$A:$A,'[3]Apr-25'!$H:$H,0)</f>
        <v>0</v>
      </c>
      <c r="V180" s="17">
        <f>_xlfn.XLOOKUP($B180,'[3]May-25'!$A:$A,'[3]May-25'!$H:$H,0)</f>
        <v>0</v>
      </c>
      <c r="W180" s="17">
        <f>_xlfn.XLOOKUP($B180,'[3]Jun-25'!$A:$A,'[3]Jun-25'!$H:$H,0)</f>
        <v>0</v>
      </c>
      <c r="X180" s="17">
        <f>_xlfn.XLOOKUP($B180,'[3]Jul-25'!$A:$A,'[3]Jul-25'!$H:$H,0)</f>
        <v>0</v>
      </c>
      <c r="Y180" s="17">
        <f>_xlfn.XLOOKUP($B180,'[3]Aug-25'!$A:$A,'[3]Aug-25'!$H:$H,0)</f>
        <v>0</v>
      </c>
      <c r="Z180" s="17">
        <f>_xlfn.XLOOKUP($B180,'[3]Sep-25'!$A:$A,'[3]Sep-25'!$H:$H,0)</f>
        <v>0</v>
      </c>
      <c r="AA180" s="17">
        <f>_xlfn.XLOOKUP($B180,'[3]Oct-25'!$A:$A,'[3]Oct-25'!$H:$H,0)</f>
        <v>0</v>
      </c>
      <c r="AB180" s="17">
        <f>_xlfn.XLOOKUP($B180,'[3]Nov-25'!$A:$A,'[3]Nov-25'!$H:$H,0)</f>
        <v>0</v>
      </c>
      <c r="AC180" s="17">
        <f>_xlfn.XLOOKUP($B180,'[3]Dec-25'!$A:$A,'[3]Dec-25'!$H:$H,0)</f>
        <v>0</v>
      </c>
      <c r="AD180" s="17">
        <f>_xlfn.XLOOKUP($B180,'[3]Jan-26'!$A:$A,'[3]Jan-26'!$H:$H,0)</f>
        <v>0</v>
      </c>
      <c r="AE180" s="17">
        <f>_xlfn.XLOOKUP($B180,'[3]Feb-26'!$A:$A,'[3]Feb-26'!$H:$H,0)</f>
        <v>0</v>
      </c>
      <c r="AF180" s="17">
        <f>_xlfn.XLOOKUP($B180,'[3]Mar-26'!$A:$A,'[3]Mar-26'!$H:$H,0)</f>
        <v>0</v>
      </c>
      <c r="AG180" s="17">
        <f>_xlfn.XLOOKUP($B180,'[3]Apr-26'!$A:$A,'[3]Apr-26'!$H:$H,0)</f>
        <v>0</v>
      </c>
    </row>
    <row r="181" spans="1:33" x14ac:dyDescent="0.2">
      <c r="A181" s="58" t="s">
        <v>1133</v>
      </c>
      <c r="B181" s="56" t="str">
        <f t="shared" si="4"/>
        <v>60005</v>
      </c>
      <c r="C181" s="78" t="s">
        <v>552</v>
      </c>
      <c r="D181" s="57" t="s">
        <v>387</v>
      </c>
      <c r="E181" s="44" t="s">
        <v>553</v>
      </c>
      <c r="F181" s="17">
        <f>_xlfn.XLOOKUP($B181,'[3]Jan-24'!$A:$A,'[3]Jan-24'!$H:$H,0)</f>
        <v>0</v>
      </c>
      <c r="G181" s="17">
        <f>_xlfn.XLOOKUP($B181,'[3]Feb-24'!$A:$A,'[3]Feb-24'!$H:$H,0)</f>
        <v>0</v>
      </c>
      <c r="H181" s="17">
        <f>_xlfn.XLOOKUP($B181,'[3]Mar-24'!$A:$A,'[3]Mar-24'!$H:$H,0)</f>
        <v>0</v>
      </c>
      <c r="I181" s="17">
        <f>_xlfn.XLOOKUP($B181,'[3]Apr-24'!$A:$A,'[3]Apr-24'!$H:$H,0)</f>
        <v>0</v>
      </c>
      <c r="J181" s="17">
        <f>_xlfn.XLOOKUP($B181,'[3]May-24'!$A:$A,'[3]May-24'!$H:$H,0)</f>
        <v>0</v>
      </c>
      <c r="K181" s="17">
        <f>_xlfn.XLOOKUP($B181,'[3]Jun-24'!$A:$A,'[3]Jun-24'!$H:$H,0)</f>
        <v>0</v>
      </c>
      <c r="L181" s="17">
        <f>_xlfn.XLOOKUP($B181,'[3]Jul-24'!$A:$A,'[3]Jul-24'!$H:$H,0)</f>
        <v>0</v>
      </c>
      <c r="M181" s="17">
        <f>_xlfn.XLOOKUP($B181,'[3]Aug-24'!$A:$A,'[3]Aug-24'!$H:$H,0)</f>
        <v>0</v>
      </c>
      <c r="N181" s="17">
        <f>_xlfn.XLOOKUP($B181,'[3]Sep-24'!$A:$A,'[3]Sep-24'!$H:$H,0)</f>
        <v>0</v>
      </c>
      <c r="O181" s="17">
        <f>_xlfn.XLOOKUP($B181,'[3]Oct-24'!$A:$A,'[3]Oct-24'!$H:$H,0)</f>
        <v>0</v>
      </c>
      <c r="P181" s="17">
        <f>_xlfn.XLOOKUP($B181,'[3]Nov-24'!$A:$A,'[3]Nov-24'!$H:$H,0)</f>
        <v>0</v>
      </c>
      <c r="Q181" s="17">
        <f>_xlfn.XLOOKUP($B181,'[3]Dec-24'!$A:$A,'[3]Dec-24'!$H:$H,0)</f>
        <v>0</v>
      </c>
      <c r="R181" s="17">
        <f>_xlfn.XLOOKUP($B181,'[3]Jan-25'!$A:$A,'[3]Jan-25'!$H:$H,0)</f>
        <v>0</v>
      </c>
      <c r="S181" s="17">
        <f>_xlfn.XLOOKUP($B181,'[3]Feb-25'!$A:$A,'[3]Feb-25'!$H:$H,0)</f>
        <v>0</v>
      </c>
      <c r="T181" s="17">
        <f>_xlfn.XLOOKUP($B181,'[3]Mar-25'!$A:$A,'[3]Mar-25'!$H:$H,0)</f>
        <v>0</v>
      </c>
      <c r="U181" s="17">
        <f>_xlfn.XLOOKUP($B181,'[3]Apr-25'!$A:$A,'[3]Apr-25'!$H:$H,0)</f>
        <v>0</v>
      </c>
      <c r="V181" s="17">
        <f>_xlfn.XLOOKUP($B181,'[3]May-25'!$A:$A,'[3]May-25'!$H:$H,0)</f>
        <v>0</v>
      </c>
      <c r="W181" s="17">
        <f>_xlfn.XLOOKUP($B181,'[3]Jun-25'!$A:$A,'[3]Jun-25'!$H:$H,0)</f>
        <v>0</v>
      </c>
      <c r="X181" s="17">
        <f>_xlfn.XLOOKUP($B181,'[3]Jul-25'!$A:$A,'[3]Jul-25'!$H:$H,0)</f>
        <v>0</v>
      </c>
      <c r="Y181" s="17">
        <f>_xlfn.XLOOKUP($B181,'[3]Aug-25'!$A:$A,'[3]Aug-25'!$H:$H,0)</f>
        <v>0</v>
      </c>
      <c r="Z181" s="17">
        <f>_xlfn.XLOOKUP($B181,'[3]Sep-25'!$A:$A,'[3]Sep-25'!$H:$H,0)</f>
        <v>0</v>
      </c>
      <c r="AA181" s="17">
        <f>_xlfn.XLOOKUP($B181,'[3]Oct-25'!$A:$A,'[3]Oct-25'!$H:$H,0)</f>
        <v>0</v>
      </c>
      <c r="AB181" s="17">
        <f>_xlfn.XLOOKUP($B181,'[3]Nov-25'!$A:$A,'[3]Nov-25'!$H:$H,0)</f>
        <v>0</v>
      </c>
      <c r="AC181" s="17">
        <f>_xlfn.XLOOKUP($B181,'[3]Dec-25'!$A:$A,'[3]Dec-25'!$H:$H,0)</f>
        <v>0</v>
      </c>
      <c r="AD181" s="17">
        <f>_xlfn.XLOOKUP($B181,'[3]Jan-26'!$A:$A,'[3]Jan-26'!$H:$H,0)</f>
        <v>0</v>
      </c>
      <c r="AE181" s="17">
        <f>_xlfn.XLOOKUP($B181,'[3]Feb-26'!$A:$A,'[3]Feb-26'!$H:$H,0)</f>
        <v>0</v>
      </c>
      <c r="AF181" s="17">
        <f>_xlfn.XLOOKUP($B181,'[3]Mar-26'!$A:$A,'[3]Mar-26'!$H:$H,0)</f>
        <v>0</v>
      </c>
      <c r="AG181" s="17">
        <f>_xlfn.XLOOKUP($B181,'[3]Apr-26'!$A:$A,'[3]Apr-26'!$H:$H,0)</f>
        <v>0</v>
      </c>
    </row>
    <row r="182" spans="1:33" x14ac:dyDescent="0.2">
      <c r="A182" s="58" t="s">
        <v>902</v>
      </c>
      <c r="B182" s="56" t="str">
        <f t="shared" si="4"/>
        <v>60010</v>
      </c>
      <c r="C182" s="78" t="s">
        <v>552</v>
      </c>
      <c r="D182" s="57" t="s">
        <v>387</v>
      </c>
      <c r="E182" s="44" t="s">
        <v>554</v>
      </c>
      <c r="F182" s="17">
        <f>_xlfn.XLOOKUP($B182,'[3]Jan-24'!$A:$A,'[3]Jan-24'!$H:$H,0)</f>
        <v>0</v>
      </c>
      <c r="G182" s="17">
        <f>_xlfn.XLOOKUP($B182,'[3]Feb-24'!$A:$A,'[3]Feb-24'!$H:$H,0)</f>
        <v>0</v>
      </c>
      <c r="H182" s="17">
        <f>_xlfn.XLOOKUP($B182,'[3]Mar-24'!$A:$A,'[3]Mar-24'!$H:$H,0)</f>
        <v>0</v>
      </c>
      <c r="I182" s="17">
        <f>_xlfn.XLOOKUP($B182,'[3]Apr-24'!$A:$A,'[3]Apr-24'!$H:$H,0)</f>
        <v>0</v>
      </c>
      <c r="J182" s="17">
        <f>_xlfn.XLOOKUP($B182,'[3]May-24'!$A:$A,'[3]May-24'!$H:$H,0)</f>
        <v>0</v>
      </c>
      <c r="K182" s="17">
        <f>_xlfn.XLOOKUP($B182,'[3]Jun-24'!$A:$A,'[3]Jun-24'!$H:$H,0)</f>
        <v>0</v>
      </c>
      <c r="L182" s="17">
        <f>_xlfn.XLOOKUP($B182,'[3]Jul-24'!$A:$A,'[3]Jul-24'!$H:$H,0)</f>
        <v>0</v>
      </c>
      <c r="M182" s="17">
        <f>_xlfn.XLOOKUP($B182,'[3]Aug-24'!$A:$A,'[3]Aug-24'!$H:$H,0)</f>
        <v>0</v>
      </c>
      <c r="N182" s="17">
        <f>_xlfn.XLOOKUP($B182,'[3]Sep-24'!$A:$A,'[3]Sep-24'!$H:$H,0)</f>
        <v>0</v>
      </c>
      <c r="O182" s="17">
        <f>_xlfn.XLOOKUP($B182,'[3]Oct-24'!$A:$A,'[3]Oct-24'!$H:$H,0)</f>
        <v>0</v>
      </c>
      <c r="P182" s="17">
        <f>_xlfn.XLOOKUP($B182,'[3]Nov-24'!$A:$A,'[3]Nov-24'!$H:$H,0)</f>
        <v>750</v>
      </c>
      <c r="Q182" s="17">
        <f>_xlfn.XLOOKUP($B182,'[3]Dec-24'!$A:$A,'[3]Dec-24'!$H:$H,0)</f>
        <v>750</v>
      </c>
      <c r="R182" s="17">
        <f>_xlfn.XLOOKUP($B182,'[3]Jan-25'!$A:$A,'[3]Jan-25'!$H:$H,0)</f>
        <v>750</v>
      </c>
      <c r="S182" s="17">
        <f>_xlfn.XLOOKUP($B182,'[3]Feb-25'!$A:$A,'[3]Feb-25'!$H:$H,0)</f>
        <v>750</v>
      </c>
      <c r="T182" s="17">
        <f>_xlfn.XLOOKUP($B182,'[3]Mar-25'!$A:$A,'[3]Mar-25'!$H:$H,0)</f>
        <v>750</v>
      </c>
      <c r="U182" s="17">
        <f>_xlfn.XLOOKUP($B182,'[3]Apr-25'!$A:$A,'[3]Apr-25'!$H:$H,0)</f>
        <v>750</v>
      </c>
      <c r="V182" s="17">
        <f>_xlfn.XLOOKUP($B182,'[3]May-25'!$A:$A,'[3]May-25'!$H:$H,0)</f>
        <v>750</v>
      </c>
      <c r="W182" s="17">
        <f>_xlfn.XLOOKUP($B182,'[3]Jun-25'!$A:$A,'[3]Jun-25'!$H:$H,0)</f>
        <v>750</v>
      </c>
      <c r="X182" s="17">
        <f>_xlfn.XLOOKUP($B182,'[3]Jul-25'!$A:$A,'[3]Jul-25'!$H:$H,0)</f>
        <v>750.03</v>
      </c>
      <c r="Y182" s="17">
        <f>_xlfn.XLOOKUP($B182,'[3]Aug-25'!$A:$A,'[3]Aug-25'!$H:$H,0)</f>
        <v>785.71</v>
      </c>
      <c r="Z182" s="17">
        <f>_xlfn.XLOOKUP($B182,'[3]Sep-25'!$A:$A,'[3]Sep-25'!$H:$H,0)</f>
        <v>785.71</v>
      </c>
      <c r="AA182" s="17">
        <f>_xlfn.XLOOKUP($B182,'[3]Oct-25'!$A:$A,'[3]Oct-25'!$H:$H,0)</f>
        <v>785.71</v>
      </c>
      <c r="AB182" s="17">
        <f>_xlfn.XLOOKUP($B182,'[3]Nov-25'!$A:$A,'[3]Nov-25'!$H:$H,0)</f>
        <v>785.71</v>
      </c>
      <c r="AC182" s="17">
        <f>_xlfn.XLOOKUP($B182,'[3]Dec-25'!$A:$A,'[3]Dec-25'!$H:$H,0)</f>
        <v>785.71</v>
      </c>
      <c r="AD182" s="17">
        <f>_xlfn.XLOOKUP($B182,'[3]Jan-26'!$A:$A,'[3]Jan-26'!$H:$H,0)</f>
        <v>785.71</v>
      </c>
      <c r="AE182" s="17">
        <f>_xlfn.XLOOKUP($B182,'[3]Feb-26'!$A:$A,'[3]Feb-26'!$H:$H,0)</f>
        <v>785.71</v>
      </c>
      <c r="AF182" s="17">
        <f>_xlfn.XLOOKUP($B182,'[3]Mar-26'!$A:$A,'[3]Mar-26'!$H:$H,0)</f>
        <v>785.71</v>
      </c>
      <c r="AG182" s="17">
        <f>_xlfn.XLOOKUP($B182,'[3]Apr-26'!$A:$A,'[3]Apr-26'!$H:$H,0)</f>
        <v>785.71</v>
      </c>
    </row>
    <row r="183" spans="1:33" x14ac:dyDescent="0.2">
      <c r="A183" s="58" t="s">
        <v>1134</v>
      </c>
      <c r="B183" s="56" t="str">
        <f t="shared" si="4"/>
        <v>60015</v>
      </c>
      <c r="C183" s="78" t="s">
        <v>552</v>
      </c>
      <c r="D183" s="57" t="s">
        <v>387</v>
      </c>
      <c r="E183" s="44" t="s">
        <v>555</v>
      </c>
      <c r="F183" s="17">
        <f>_xlfn.XLOOKUP($B183,'[3]Jan-24'!$A:$A,'[3]Jan-24'!$H:$H,0)</f>
        <v>0</v>
      </c>
      <c r="G183" s="17">
        <f>_xlfn.XLOOKUP($B183,'[3]Feb-24'!$A:$A,'[3]Feb-24'!$H:$H,0)</f>
        <v>0</v>
      </c>
      <c r="H183" s="17">
        <f>_xlfn.XLOOKUP($B183,'[3]Mar-24'!$A:$A,'[3]Mar-24'!$H:$H,0)</f>
        <v>0</v>
      </c>
      <c r="I183" s="17">
        <f>_xlfn.XLOOKUP($B183,'[3]Apr-24'!$A:$A,'[3]Apr-24'!$H:$H,0)</f>
        <v>0</v>
      </c>
      <c r="J183" s="17">
        <f>_xlfn.XLOOKUP($B183,'[3]May-24'!$A:$A,'[3]May-24'!$H:$H,0)</f>
        <v>0</v>
      </c>
      <c r="K183" s="17">
        <f>_xlfn.XLOOKUP($B183,'[3]Jun-24'!$A:$A,'[3]Jun-24'!$H:$H,0)</f>
        <v>0</v>
      </c>
      <c r="L183" s="17">
        <f>_xlfn.XLOOKUP($B183,'[3]Jul-24'!$A:$A,'[3]Jul-24'!$H:$H,0)</f>
        <v>0</v>
      </c>
      <c r="M183" s="17">
        <f>_xlfn.XLOOKUP($B183,'[3]Aug-24'!$A:$A,'[3]Aug-24'!$H:$H,0)</f>
        <v>0</v>
      </c>
      <c r="N183" s="17">
        <f>_xlfn.XLOOKUP($B183,'[3]Sep-24'!$A:$A,'[3]Sep-24'!$H:$H,0)</f>
        <v>0</v>
      </c>
      <c r="O183" s="17">
        <f>_xlfn.XLOOKUP($B183,'[3]Oct-24'!$A:$A,'[3]Oct-24'!$H:$H,0)</f>
        <v>0</v>
      </c>
      <c r="P183" s="17">
        <f>_xlfn.XLOOKUP($B183,'[3]Nov-24'!$A:$A,'[3]Nov-24'!$H:$H,0)</f>
        <v>0</v>
      </c>
      <c r="Q183" s="17">
        <f>_xlfn.XLOOKUP($B183,'[3]Dec-24'!$A:$A,'[3]Dec-24'!$H:$H,0)</f>
        <v>0</v>
      </c>
      <c r="R183" s="17">
        <f>_xlfn.XLOOKUP($B183,'[3]Jan-25'!$A:$A,'[3]Jan-25'!$H:$H,0)</f>
        <v>0</v>
      </c>
      <c r="S183" s="17">
        <f>_xlfn.XLOOKUP($B183,'[3]Feb-25'!$A:$A,'[3]Feb-25'!$H:$H,0)</f>
        <v>0</v>
      </c>
      <c r="T183" s="17">
        <f>_xlfn.XLOOKUP($B183,'[3]Mar-25'!$A:$A,'[3]Mar-25'!$H:$H,0)</f>
        <v>0</v>
      </c>
      <c r="U183" s="17">
        <f>_xlfn.XLOOKUP($B183,'[3]Apr-25'!$A:$A,'[3]Apr-25'!$H:$H,0)</f>
        <v>0</v>
      </c>
      <c r="V183" s="17">
        <f>_xlfn.XLOOKUP($B183,'[3]May-25'!$A:$A,'[3]May-25'!$H:$H,0)</f>
        <v>0</v>
      </c>
      <c r="W183" s="17">
        <f>_xlfn.XLOOKUP($B183,'[3]Jun-25'!$A:$A,'[3]Jun-25'!$H:$H,0)</f>
        <v>0</v>
      </c>
      <c r="X183" s="17">
        <f>_xlfn.XLOOKUP($B183,'[3]Jul-25'!$A:$A,'[3]Jul-25'!$H:$H,0)</f>
        <v>0</v>
      </c>
      <c r="Y183" s="17">
        <f>_xlfn.XLOOKUP($B183,'[3]Aug-25'!$A:$A,'[3]Aug-25'!$H:$H,0)</f>
        <v>0</v>
      </c>
      <c r="Z183" s="17">
        <f>_xlfn.XLOOKUP($B183,'[3]Sep-25'!$A:$A,'[3]Sep-25'!$H:$H,0)</f>
        <v>0</v>
      </c>
      <c r="AA183" s="17">
        <f>_xlfn.XLOOKUP($B183,'[3]Oct-25'!$A:$A,'[3]Oct-25'!$H:$H,0)</f>
        <v>0</v>
      </c>
      <c r="AB183" s="17">
        <f>_xlfn.XLOOKUP($B183,'[3]Nov-25'!$A:$A,'[3]Nov-25'!$H:$H,0)</f>
        <v>0</v>
      </c>
      <c r="AC183" s="17">
        <f>_xlfn.XLOOKUP($B183,'[3]Dec-25'!$A:$A,'[3]Dec-25'!$H:$H,0)</f>
        <v>0</v>
      </c>
      <c r="AD183" s="17">
        <f>_xlfn.XLOOKUP($B183,'[3]Jan-26'!$A:$A,'[3]Jan-26'!$H:$H,0)</f>
        <v>0</v>
      </c>
      <c r="AE183" s="17">
        <f>_xlfn.XLOOKUP($B183,'[3]Feb-26'!$A:$A,'[3]Feb-26'!$H:$H,0)</f>
        <v>0</v>
      </c>
      <c r="AF183" s="17">
        <f>_xlfn.XLOOKUP($B183,'[3]Mar-26'!$A:$A,'[3]Mar-26'!$H:$H,0)</f>
        <v>0</v>
      </c>
      <c r="AG183" s="17">
        <f>_xlfn.XLOOKUP($B183,'[3]Apr-26'!$A:$A,'[3]Apr-26'!$H:$H,0)</f>
        <v>0</v>
      </c>
    </row>
    <row r="184" spans="1:33" x14ac:dyDescent="0.2">
      <c r="A184" s="58" t="s">
        <v>1135</v>
      </c>
      <c r="B184" s="56" t="str">
        <f t="shared" si="4"/>
        <v>60020</v>
      </c>
      <c r="C184" s="78" t="s">
        <v>552</v>
      </c>
      <c r="D184" s="57" t="s">
        <v>387</v>
      </c>
      <c r="E184" s="44" t="s">
        <v>556</v>
      </c>
      <c r="F184" s="17">
        <f>_xlfn.XLOOKUP($B184,'[3]Jan-24'!$A:$A,'[3]Jan-24'!$H:$H,0)</f>
        <v>0</v>
      </c>
      <c r="G184" s="17">
        <f>_xlfn.XLOOKUP($B184,'[3]Feb-24'!$A:$A,'[3]Feb-24'!$H:$H,0)</f>
        <v>0</v>
      </c>
      <c r="H184" s="17">
        <f>_xlfn.XLOOKUP($B184,'[3]Mar-24'!$A:$A,'[3]Mar-24'!$H:$H,0)</f>
        <v>0</v>
      </c>
      <c r="I184" s="17">
        <f>_xlfn.XLOOKUP($B184,'[3]Apr-24'!$A:$A,'[3]Apr-24'!$H:$H,0)</f>
        <v>0</v>
      </c>
      <c r="J184" s="17">
        <f>_xlfn.XLOOKUP($B184,'[3]May-24'!$A:$A,'[3]May-24'!$H:$H,0)</f>
        <v>0</v>
      </c>
      <c r="K184" s="17">
        <f>_xlfn.XLOOKUP($B184,'[3]Jun-24'!$A:$A,'[3]Jun-24'!$H:$H,0)</f>
        <v>0</v>
      </c>
      <c r="L184" s="17">
        <f>_xlfn.XLOOKUP($B184,'[3]Jul-24'!$A:$A,'[3]Jul-24'!$H:$H,0)</f>
        <v>0</v>
      </c>
      <c r="M184" s="17">
        <f>_xlfn.XLOOKUP($B184,'[3]Aug-24'!$A:$A,'[3]Aug-24'!$H:$H,0)</f>
        <v>0</v>
      </c>
      <c r="N184" s="17">
        <f>_xlfn.XLOOKUP($B184,'[3]Sep-24'!$A:$A,'[3]Sep-24'!$H:$H,0)</f>
        <v>0</v>
      </c>
      <c r="O184" s="17">
        <f>_xlfn.XLOOKUP($B184,'[3]Oct-24'!$A:$A,'[3]Oct-24'!$H:$H,0)</f>
        <v>0</v>
      </c>
      <c r="P184" s="17">
        <f>_xlfn.XLOOKUP($B184,'[3]Nov-24'!$A:$A,'[3]Nov-24'!$H:$H,0)</f>
        <v>0</v>
      </c>
      <c r="Q184" s="17">
        <f>_xlfn.XLOOKUP($B184,'[3]Dec-24'!$A:$A,'[3]Dec-24'!$H:$H,0)</f>
        <v>0</v>
      </c>
      <c r="R184" s="17">
        <f>_xlfn.XLOOKUP($B184,'[3]Jan-25'!$A:$A,'[3]Jan-25'!$H:$H,0)</f>
        <v>0</v>
      </c>
      <c r="S184" s="17">
        <f>_xlfn.XLOOKUP($B184,'[3]Feb-25'!$A:$A,'[3]Feb-25'!$H:$H,0)</f>
        <v>0</v>
      </c>
      <c r="T184" s="17">
        <f>_xlfn.XLOOKUP($B184,'[3]Mar-25'!$A:$A,'[3]Mar-25'!$H:$H,0)</f>
        <v>0</v>
      </c>
      <c r="U184" s="17">
        <f>_xlfn.XLOOKUP($B184,'[3]Apr-25'!$A:$A,'[3]Apr-25'!$H:$H,0)</f>
        <v>0</v>
      </c>
      <c r="V184" s="17">
        <f>_xlfn.XLOOKUP($B184,'[3]May-25'!$A:$A,'[3]May-25'!$H:$H,0)</f>
        <v>0</v>
      </c>
      <c r="W184" s="17">
        <f>_xlfn.XLOOKUP($B184,'[3]Jun-25'!$A:$A,'[3]Jun-25'!$H:$H,0)</f>
        <v>0</v>
      </c>
      <c r="X184" s="17">
        <f>_xlfn.XLOOKUP($B184,'[3]Jul-25'!$A:$A,'[3]Jul-25'!$H:$H,0)</f>
        <v>0</v>
      </c>
      <c r="Y184" s="17">
        <f>_xlfn.XLOOKUP($B184,'[3]Aug-25'!$A:$A,'[3]Aug-25'!$H:$H,0)</f>
        <v>0</v>
      </c>
      <c r="Z184" s="17">
        <f>_xlfn.XLOOKUP($B184,'[3]Sep-25'!$A:$A,'[3]Sep-25'!$H:$H,0)</f>
        <v>0</v>
      </c>
      <c r="AA184" s="17">
        <f>_xlfn.XLOOKUP($B184,'[3]Oct-25'!$A:$A,'[3]Oct-25'!$H:$H,0)</f>
        <v>0</v>
      </c>
      <c r="AB184" s="17">
        <f>_xlfn.XLOOKUP($B184,'[3]Nov-25'!$A:$A,'[3]Nov-25'!$H:$H,0)</f>
        <v>0</v>
      </c>
      <c r="AC184" s="17">
        <f>_xlfn.XLOOKUP($B184,'[3]Dec-25'!$A:$A,'[3]Dec-25'!$H:$H,0)</f>
        <v>0</v>
      </c>
      <c r="AD184" s="17">
        <f>_xlfn.XLOOKUP($B184,'[3]Jan-26'!$A:$A,'[3]Jan-26'!$H:$H,0)</f>
        <v>0</v>
      </c>
      <c r="AE184" s="17">
        <f>_xlfn.XLOOKUP($B184,'[3]Feb-26'!$A:$A,'[3]Feb-26'!$H:$H,0)</f>
        <v>0</v>
      </c>
      <c r="AF184" s="17">
        <f>_xlfn.XLOOKUP($B184,'[3]Mar-26'!$A:$A,'[3]Mar-26'!$H:$H,0)</f>
        <v>0</v>
      </c>
      <c r="AG184" s="17">
        <f>_xlfn.XLOOKUP($B184,'[3]Apr-26'!$A:$A,'[3]Apr-26'!$H:$H,0)</f>
        <v>0</v>
      </c>
    </row>
    <row r="185" spans="1:33" x14ac:dyDescent="0.2">
      <c r="A185" s="58" t="s">
        <v>1136</v>
      </c>
      <c r="B185" s="56" t="str">
        <f t="shared" si="4"/>
        <v>60025</v>
      </c>
      <c r="C185" s="78" t="s">
        <v>552</v>
      </c>
      <c r="D185" s="57" t="s">
        <v>387</v>
      </c>
      <c r="E185" s="44" t="s">
        <v>557</v>
      </c>
      <c r="F185" s="17">
        <f>_xlfn.XLOOKUP($B185,'[3]Jan-24'!$A:$A,'[3]Jan-24'!$H:$H,0)</f>
        <v>0</v>
      </c>
      <c r="G185" s="17">
        <f>_xlfn.XLOOKUP($B185,'[3]Feb-24'!$A:$A,'[3]Feb-24'!$H:$H,0)</f>
        <v>0</v>
      </c>
      <c r="H185" s="17">
        <f>_xlfn.XLOOKUP($B185,'[3]Mar-24'!$A:$A,'[3]Mar-24'!$H:$H,0)</f>
        <v>0</v>
      </c>
      <c r="I185" s="17">
        <f>_xlfn.XLOOKUP($B185,'[3]Apr-24'!$A:$A,'[3]Apr-24'!$H:$H,0)</f>
        <v>0</v>
      </c>
      <c r="J185" s="17">
        <f>_xlfn.XLOOKUP($B185,'[3]May-24'!$A:$A,'[3]May-24'!$H:$H,0)</f>
        <v>0</v>
      </c>
      <c r="K185" s="17">
        <f>_xlfn.XLOOKUP($B185,'[3]Jun-24'!$A:$A,'[3]Jun-24'!$H:$H,0)</f>
        <v>0</v>
      </c>
      <c r="L185" s="17">
        <f>_xlfn.XLOOKUP($B185,'[3]Jul-24'!$A:$A,'[3]Jul-24'!$H:$H,0)</f>
        <v>0</v>
      </c>
      <c r="M185" s="17">
        <f>_xlfn.XLOOKUP($B185,'[3]Aug-24'!$A:$A,'[3]Aug-24'!$H:$H,0)</f>
        <v>0</v>
      </c>
      <c r="N185" s="17">
        <f>_xlfn.XLOOKUP($B185,'[3]Sep-24'!$A:$A,'[3]Sep-24'!$H:$H,0)</f>
        <v>0</v>
      </c>
      <c r="O185" s="17">
        <f>_xlfn.XLOOKUP($B185,'[3]Oct-24'!$A:$A,'[3]Oct-24'!$H:$H,0)</f>
        <v>0</v>
      </c>
      <c r="P185" s="17">
        <f>_xlfn.XLOOKUP($B185,'[3]Nov-24'!$A:$A,'[3]Nov-24'!$H:$H,0)</f>
        <v>0</v>
      </c>
      <c r="Q185" s="17">
        <f>_xlfn.XLOOKUP($B185,'[3]Dec-24'!$A:$A,'[3]Dec-24'!$H:$H,0)</f>
        <v>0</v>
      </c>
      <c r="R185" s="17">
        <f>_xlfn.XLOOKUP($B185,'[3]Jan-25'!$A:$A,'[3]Jan-25'!$H:$H,0)</f>
        <v>0</v>
      </c>
      <c r="S185" s="17">
        <f>_xlfn.XLOOKUP($B185,'[3]Feb-25'!$A:$A,'[3]Feb-25'!$H:$H,0)</f>
        <v>0</v>
      </c>
      <c r="T185" s="17">
        <f>_xlfn.XLOOKUP($B185,'[3]Mar-25'!$A:$A,'[3]Mar-25'!$H:$H,0)</f>
        <v>0</v>
      </c>
      <c r="U185" s="17">
        <f>_xlfn.XLOOKUP($B185,'[3]Apr-25'!$A:$A,'[3]Apr-25'!$H:$H,0)</f>
        <v>0</v>
      </c>
      <c r="V185" s="17">
        <f>_xlfn.XLOOKUP($B185,'[3]May-25'!$A:$A,'[3]May-25'!$H:$H,0)</f>
        <v>0</v>
      </c>
      <c r="W185" s="17">
        <f>_xlfn.XLOOKUP($B185,'[3]Jun-25'!$A:$A,'[3]Jun-25'!$H:$H,0)</f>
        <v>0</v>
      </c>
      <c r="X185" s="17">
        <f>_xlfn.XLOOKUP($B185,'[3]Jul-25'!$A:$A,'[3]Jul-25'!$H:$H,0)</f>
        <v>0</v>
      </c>
      <c r="Y185" s="17">
        <f>_xlfn.XLOOKUP($B185,'[3]Aug-25'!$A:$A,'[3]Aug-25'!$H:$H,0)</f>
        <v>0</v>
      </c>
      <c r="Z185" s="17">
        <f>_xlfn.XLOOKUP($B185,'[3]Sep-25'!$A:$A,'[3]Sep-25'!$H:$H,0)</f>
        <v>0</v>
      </c>
      <c r="AA185" s="17">
        <f>_xlfn.XLOOKUP($B185,'[3]Oct-25'!$A:$A,'[3]Oct-25'!$H:$H,0)</f>
        <v>0</v>
      </c>
      <c r="AB185" s="17">
        <f>_xlfn.XLOOKUP($B185,'[3]Nov-25'!$A:$A,'[3]Nov-25'!$H:$H,0)</f>
        <v>0</v>
      </c>
      <c r="AC185" s="17">
        <f>_xlfn.XLOOKUP($B185,'[3]Dec-25'!$A:$A,'[3]Dec-25'!$H:$H,0)</f>
        <v>0</v>
      </c>
      <c r="AD185" s="17">
        <f>_xlfn.XLOOKUP($B185,'[3]Jan-26'!$A:$A,'[3]Jan-26'!$H:$H,0)</f>
        <v>0</v>
      </c>
      <c r="AE185" s="17">
        <f>_xlfn.XLOOKUP($B185,'[3]Feb-26'!$A:$A,'[3]Feb-26'!$H:$H,0)</f>
        <v>0</v>
      </c>
      <c r="AF185" s="17">
        <f>_xlfn.XLOOKUP($B185,'[3]Mar-26'!$A:$A,'[3]Mar-26'!$H:$H,0)</f>
        <v>0</v>
      </c>
      <c r="AG185" s="17">
        <f>_xlfn.XLOOKUP($B185,'[3]Apr-26'!$A:$A,'[3]Apr-26'!$H:$H,0)</f>
        <v>0</v>
      </c>
    </row>
    <row r="186" spans="1:33" x14ac:dyDescent="0.2">
      <c r="A186" s="58" t="s">
        <v>1137</v>
      </c>
      <c r="B186" s="56" t="str">
        <f t="shared" si="4"/>
        <v>60030</v>
      </c>
      <c r="C186" s="78" t="s">
        <v>552</v>
      </c>
      <c r="D186" s="57" t="s">
        <v>387</v>
      </c>
      <c r="E186" s="44" t="s">
        <v>558</v>
      </c>
      <c r="F186" s="17">
        <f>_xlfn.XLOOKUP($B186,'[3]Jan-24'!$A:$A,'[3]Jan-24'!$H:$H,0)</f>
        <v>0</v>
      </c>
      <c r="G186" s="17">
        <f>_xlfn.XLOOKUP($B186,'[3]Feb-24'!$A:$A,'[3]Feb-24'!$H:$H,0)</f>
        <v>0</v>
      </c>
      <c r="H186" s="17">
        <f>_xlfn.XLOOKUP($B186,'[3]Mar-24'!$A:$A,'[3]Mar-24'!$H:$H,0)</f>
        <v>0</v>
      </c>
      <c r="I186" s="17">
        <f>_xlfn.XLOOKUP($B186,'[3]Apr-24'!$A:$A,'[3]Apr-24'!$H:$H,0)</f>
        <v>0</v>
      </c>
      <c r="J186" s="17">
        <f>_xlfn.XLOOKUP($B186,'[3]May-24'!$A:$A,'[3]May-24'!$H:$H,0)</f>
        <v>0</v>
      </c>
      <c r="K186" s="17">
        <f>_xlfn.XLOOKUP($B186,'[3]Jun-24'!$A:$A,'[3]Jun-24'!$H:$H,0)</f>
        <v>0</v>
      </c>
      <c r="L186" s="17">
        <f>_xlfn.XLOOKUP($B186,'[3]Jul-24'!$A:$A,'[3]Jul-24'!$H:$H,0)</f>
        <v>0</v>
      </c>
      <c r="M186" s="17">
        <f>_xlfn.XLOOKUP($B186,'[3]Aug-24'!$A:$A,'[3]Aug-24'!$H:$H,0)</f>
        <v>0</v>
      </c>
      <c r="N186" s="17">
        <f>_xlfn.XLOOKUP($B186,'[3]Sep-24'!$A:$A,'[3]Sep-24'!$H:$H,0)</f>
        <v>0</v>
      </c>
      <c r="O186" s="17">
        <f>_xlfn.XLOOKUP($B186,'[3]Oct-24'!$A:$A,'[3]Oct-24'!$H:$H,0)</f>
        <v>0</v>
      </c>
      <c r="P186" s="17">
        <f>_xlfn.XLOOKUP($B186,'[3]Nov-24'!$A:$A,'[3]Nov-24'!$H:$H,0)</f>
        <v>0</v>
      </c>
      <c r="Q186" s="17">
        <f>_xlfn.XLOOKUP($B186,'[3]Dec-24'!$A:$A,'[3]Dec-24'!$H:$H,0)</f>
        <v>0</v>
      </c>
      <c r="R186" s="17">
        <f>_xlfn.XLOOKUP($B186,'[3]Jan-25'!$A:$A,'[3]Jan-25'!$H:$H,0)</f>
        <v>0</v>
      </c>
      <c r="S186" s="17">
        <f>_xlfn.XLOOKUP($B186,'[3]Feb-25'!$A:$A,'[3]Feb-25'!$H:$H,0)</f>
        <v>0</v>
      </c>
      <c r="T186" s="17">
        <f>_xlfn.XLOOKUP($B186,'[3]Mar-25'!$A:$A,'[3]Mar-25'!$H:$H,0)</f>
        <v>0</v>
      </c>
      <c r="U186" s="17">
        <f>_xlfn.XLOOKUP($B186,'[3]Apr-25'!$A:$A,'[3]Apr-25'!$H:$H,0)</f>
        <v>0</v>
      </c>
      <c r="V186" s="17">
        <f>_xlfn.XLOOKUP($B186,'[3]May-25'!$A:$A,'[3]May-25'!$H:$H,0)</f>
        <v>0</v>
      </c>
      <c r="W186" s="17">
        <f>_xlfn.XLOOKUP($B186,'[3]Jun-25'!$A:$A,'[3]Jun-25'!$H:$H,0)</f>
        <v>0</v>
      </c>
      <c r="X186" s="17">
        <f>_xlfn.XLOOKUP($B186,'[3]Jul-25'!$A:$A,'[3]Jul-25'!$H:$H,0)</f>
        <v>0</v>
      </c>
      <c r="Y186" s="17">
        <f>_xlfn.XLOOKUP($B186,'[3]Aug-25'!$A:$A,'[3]Aug-25'!$H:$H,0)</f>
        <v>0</v>
      </c>
      <c r="Z186" s="17">
        <f>_xlfn.XLOOKUP($B186,'[3]Sep-25'!$A:$A,'[3]Sep-25'!$H:$H,0)</f>
        <v>0</v>
      </c>
      <c r="AA186" s="17">
        <f>_xlfn.XLOOKUP($B186,'[3]Oct-25'!$A:$A,'[3]Oct-25'!$H:$H,0)</f>
        <v>0</v>
      </c>
      <c r="AB186" s="17">
        <f>_xlfn.XLOOKUP($B186,'[3]Nov-25'!$A:$A,'[3]Nov-25'!$H:$H,0)</f>
        <v>0</v>
      </c>
      <c r="AC186" s="17">
        <f>_xlfn.XLOOKUP($B186,'[3]Dec-25'!$A:$A,'[3]Dec-25'!$H:$H,0)</f>
        <v>0</v>
      </c>
      <c r="AD186" s="17">
        <f>_xlfn.XLOOKUP($B186,'[3]Jan-26'!$A:$A,'[3]Jan-26'!$H:$H,0)</f>
        <v>0</v>
      </c>
      <c r="AE186" s="17">
        <f>_xlfn.XLOOKUP($B186,'[3]Feb-26'!$A:$A,'[3]Feb-26'!$H:$H,0)</f>
        <v>0</v>
      </c>
      <c r="AF186" s="17">
        <f>_xlfn.XLOOKUP($B186,'[3]Mar-26'!$A:$A,'[3]Mar-26'!$H:$H,0)</f>
        <v>0</v>
      </c>
      <c r="AG186" s="17">
        <f>_xlfn.XLOOKUP($B186,'[3]Apr-26'!$A:$A,'[3]Apr-26'!$H:$H,0)</f>
        <v>0</v>
      </c>
    </row>
    <row r="187" spans="1:33" x14ac:dyDescent="0.2">
      <c r="A187" s="58" t="s">
        <v>1138</v>
      </c>
      <c r="B187" s="56" t="str">
        <f t="shared" si="4"/>
        <v>60035</v>
      </c>
      <c r="C187" s="78" t="s">
        <v>552</v>
      </c>
      <c r="D187" s="57" t="s">
        <v>387</v>
      </c>
      <c r="E187" s="44" t="s">
        <v>559</v>
      </c>
      <c r="F187" s="17">
        <f>_xlfn.XLOOKUP($B187,'[3]Jan-24'!$A:$A,'[3]Jan-24'!$H:$H,0)</f>
        <v>0</v>
      </c>
      <c r="G187" s="17">
        <f>_xlfn.XLOOKUP($B187,'[3]Feb-24'!$A:$A,'[3]Feb-24'!$H:$H,0)</f>
        <v>0</v>
      </c>
      <c r="H187" s="17">
        <f>_xlfn.XLOOKUP($B187,'[3]Mar-24'!$A:$A,'[3]Mar-24'!$H:$H,0)</f>
        <v>0</v>
      </c>
      <c r="I187" s="17">
        <f>_xlfn.XLOOKUP($B187,'[3]Apr-24'!$A:$A,'[3]Apr-24'!$H:$H,0)</f>
        <v>0</v>
      </c>
      <c r="J187" s="17">
        <f>_xlfn.XLOOKUP($B187,'[3]May-24'!$A:$A,'[3]May-24'!$H:$H,0)</f>
        <v>0</v>
      </c>
      <c r="K187" s="17">
        <f>_xlfn.XLOOKUP($B187,'[3]Jun-24'!$A:$A,'[3]Jun-24'!$H:$H,0)</f>
        <v>0</v>
      </c>
      <c r="L187" s="17">
        <f>_xlfn.XLOOKUP($B187,'[3]Jul-24'!$A:$A,'[3]Jul-24'!$H:$H,0)</f>
        <v>0</v>
      </c>
      <c r="M187" s="17">
        <f>_xlfn.XLOOKUP($B187,'[3]Aug-24'!$A:$A,'[3]Aug-24'!$H:$H,0)</f>
        <v>0</v>
      </c>
      <c r="N187" s="17">
        <f>_xlfn.XLOOKUP($B187,'[3]Sep-24'!$A:$A,'[3]Sep-24'!$H:$H,0)</f>
        <v>0</v>
      </c>
      <c r="O187" s="17">
        <f>_xlfn.XLOOKUP($B187,'[3]Oct-24'!$A:$A,'[3]Oct-24'!$H:$H,0)</f>
        <v>0</v>
      </c>
      <c r="P187" s="17">
        <f>_xlfn.XLOOKUP($B187,'[3]Nov-24'!$A:$A,'[3]Nov-24'!$H:$H,0)</f>
        <v>0</v>
      </c>
      <c r="Q187" s="17">
        <f>_xlfn.XLOOKUP($B187,'[3]Dec-24'!$A:$A,'[3]Dec-24'!$H:$H,0)</f>
        <v>0</v>
      </c>
      <c r="R187" s="17">
        <f>_xlfn.XLOOKUP($B187,'[3]Jan-25'!$A:$A,'[3]Jan-25'!$H:$H,0)</f>
        <v>0</v>
      </c>
      <c r="S187" s="17">
        <f>_xlfn.XLOOKUP($B187,'[3]Feb-25'!$A:$A,'[3]Feb-25'!$H:$H,0)</f>
        <v>0</v>
      </c>
      <c r="T187" s="17">
        <f>_xlfn.XLOOKUP($B187,'[3]Mar-25'!$A:$A,'[3]Mar-25'!$H:$H,0)</f>
        <v>0</v>
      </c>
      <c r="U187" s="17">
        <f>_xlfn.XLOOKUP($B187,'[3]Apr-25'!$A:$A,'[3]Apr-25'!$H:$H,0)</f>
        <v>0</v>
      </c>
      <c r="V187" s="17">
        <f>_xlfn.XLOOKUP($B187,'[3]May-25'!$A:$A,'[3]May-25'!$H:$H,0)</f>
        <v>0</v>
      </c>
      <c r="W187" s="17">
        <f>_xlfn.XLOOKUP($B187,'[3]Jun-25'!$A:$A,'[3]Jun-25'!$H:$H,0)</f>
        <v>0</v>
      </c>
      <c r="X187" s="17">
        <f>_xlfn.XLOOKUP($B187,'[3]Jul-25'!$A:$A,'[3]Jul-25'!$H:$H,0)</f>
        <v>0</v>
      </c>
      <c r="Y187" s="17">
        <f>_xlfn.XLOOKUP($B187,'[3]Aug-25'!$A:$A,'[3]Aug-25'!$H:$H,0)</f>
        <v>0</v>
      </c>
      <c r="Z187" s="17">
        <f>_xlfn.XLOOKUP($B187,'[3]Sep-25'!$A:$A,'[3]Sep-25'!$H:$H,0)</f>
        <v>0</v>
      </c>
      <c r="AA187" s="17">
        <f>_xlfn.XLOOKUP($B187,'[3]Oct-25'!$A:$A,'[3]Oct-25'!$H:$H,0)</f>
        <v>0</v>
      </c>
      <c r="AB187" s="17">
        <f>_xlfn.XLOOKUP($B187,'[3]Nov-25'!$A:$A,'[3]Nov-25'!$H:$H,0)</f>
        <v>0</v>
      </c>
      <c r="AC187" s="17">
        <f>_xlfn.XLOOKUP($B187,'[3]Dec-25'!$A:$A,'[3]Dec-25'!$H:$H,0)</f>
        <v>0</v>
      </c>
      <c r="AD187" s="17">
        <f>_xlfn.XLOOKUP($B187,'[3]Jan-26'!$A:$A,'[3]Jan-26'!$H:$H,0)</f>
        <v>0</v>
      </c>
      <c r="AE187" s="17">
        <f>_xlfn.XLOOKUP($B187,'[3]Feb-26'!$A:$A,'[3]Feb-26'!$H:$H,0)</f>
        <v>0</v>
      </c>
      <c r="AF187" s="17">
        <f>_xlfn.XLOOKUP($B187,'[3]Mar-26'!$A:$A,'[3]Mar-26'!$H:$H,0)</f>
        <v>0</v>
      </c>
      <c r="AG187" s="17">
        <f>_xlfn.XLOOKUP($B187,'[3]Apr-26'!$A:$A,'[3]Apr-26'!$H:$H,0)</f>
        <v>0</v>
      </c>
    </row>
    <row r="188" spans="1:33" x14ac:dyDescent="0.2">
      <c r="A188" s="58" t="s">
        <v>1139</v>
      </c>
      <c r="B188" s="56" t="str">
        <f t="shared" si="4"/>
        <v>60040</v>
      </c>
      <c r="C188" s="78" t="s">
        <v>552</v>
      </c>
      <c r="D188" s="57" t="s">
        <v>387</v>
      </c>
      <c r="E188" s="44" t="s">
        <v>560</v>
      </c>
      <c r="F188" s="17">
        <f>_xlfn.XLOOKUP($B188,'[3]Jan-24'!$A:$A,'[3]Jan-24'!$H:$H,0)</f>
        <v>0</v>
      </c>
      <c r="G188" s="17">
        <f>_xlfn.XLOOKUP($B188,'[3]Feb-24'!$A:$A,'[3]Feb-24'!$H:$H,0)</f>
        <v>0</v>
      </c>
      <c r="H188" s="17">
        <f>_xlfn.XLOOKUP($B188,'[3]Mar-24'!$A:$A,'[3]Mar-24'!$H:$H,0)</f>
        <v>0</v>
      </c>
      <c r="I188" s="17">
        <f>_xlfn.XLOOKUP($B188,'[3]Apr-24'!$A:$A,'[3]Apr-24'!$H:$H,0)</f>
        <v>0</v>
      </c>
      <c r="J188" s="17">
        <f>_xlfn.XLOOKUP($B188,'[3]May-24'!$A:$A,'[3]May-24'!$H:$H,0)</f>
        <v>0</v>
      </c>
      <c r="K188" s="17">
        <f>_xlfn.XLOOKUP($B188,'[3]Jun-24'!$A:$A,'[3]Jun-24'!$H:$H,0)</f>
        <v>0</v>
      </c>
      <c r="L188" s="17">
        <f>_xlfn.XLOOKUP($B188,'[3]Jul-24'!$A:$A,'[3]Jul-24'!$H:$H,0)</f>
        <v>0</v>
      </c>
      <c r="M188" s="17">
        <f>_xlfn.XLOOKUP($B188,'[3]Aug-24'!$A:$A,'[3]Aug-24'!$H:$H,0)</f>
        <v>0</v>
      </c>
      <c r="N188" s="17">
        <f>_xlfn.XLOOKUP($B188,'[3]Sep-24'!$A:$A,'[3]Sep-24'!$H:$H,0)</f>
        <v>0</v>
      </c>
      <c r="O188" s="17">
        <f>_xlfn.XLOOKUP($B188,'[3]Oct-24'!$A:$A,'[3]Oct-24'!$H:$H,0)</f>
        <v>0</v>
      </c>
      <c r="P188" s="17">
        <f>_xlfn.XLOOKUP($B188,'[3]Nov-24'!$A:$A,'[3]Nov-24'!$H:$H,0)</f>
        <v>0</v>
      </c>
      <c r="Q188" s="17">
        <f>_xlfn.XLOOKUP($B188,'[3]Dec-24'!$A:$A,'[3]Dec-24'!$H:$H,0)</f>
        <v>0</v>
      </c>
      <c r="R188" s="17">
        <f>_xlfn.XLOOKUP($B188,'[3]Jan-25'!$A:$A,'[3]Jan-25'!$H:$H,0)</f>
        <v>0</v>
      </c>
      <c r="S188" s="17">
        <f>_xlfn.XLOOKUP($B188,'[3]Feb-25'!$A:$A,'[3]Feb-25'!$H:$H,0)</f>
        <v>0</v>
      </c>
      <c r="T188" s="17">
        <f>_xlfn.XLOOKUP($B188,'[3]Mar-25'!$A:$A,'[3]Mar-25'!$H:$H,0)</f>
        <v>0</v>
      </c>
      <c r="U188" s="17">
        <f>_xlfn.XLOOKUP($B188,'[3]Apr-25'!$A:$A,'[3]Apr-25'!$H:$H,0)</f>
        <v>0</v>
      </c>
      <c r="V188" s="17">
        <f>_xlfn.XLOOKUP($B188,'[3]May-25'!$A:$A,'[3]May-25'!$H:$H,0)</f>
        <v>0</v>
      </c>
      <c r="W188" s="17">
        <f>_xlfn.XLOOKUP($B188,'[3]Jun-25'!$A:$A,'[3]Jun-25'!$H:$H,0)</f>
        <v>0</v>
      </c>
      <c r="X188" s="17">
        <f>_xlfn.XLOOKUP($B188,'[3]Jul-25'!$A:$A,'[3]Jul-25'!$H:$H,0)</f>
        <v>0</v>
      </c>
      <c r="Y188" s="17">
        <f>_xlfn.XLOOKUP($B188,'[3]Aug-25'!$A:$A,'[3]Aug-25'!$H:$H,0)</f>
        <v>0</v>
      </c>
      <c r="Z188" s="17">
        <f>_xlfn.XLOOKUP($B188,'[3]Sep-25'!$A:$A,'[3]Sep-25'!$H:$H,0)</f>
        <v>0</v>
      </c>
      <c r="AA188" s="17">
        <f>_xlfn.XLOOKUP($B188,'[3]Oct-25'!$A:$A,'[3]Oct-25'!$H:$H,0)</f>
        <v>0</v>
      </c>
      <c r="AB188" s="17">
        <f>_xlfn.XLOOKUP($B188,'[3]Nov-25'!$A:$A,'[3]Nov-25'!$H:$H,0)</f>
        <v>0</v>
      </c>
      <c r="AC188" s="17">
        <f>_xlfn.XLOOKUP($B188,'[3]Dec-25'!$A:$A,'[3]Dec-25'!$H:$H,0)</f>
        <v>0</v>
      </c>
      <c r="AD188" s="17">
        <f>_xlfn.XLOOKUP($B188,'[3]Jan-26'!$A:$A,'[3]Jan-26'!$H:$H,0)</f>
        <v>0</v>
      </c>
      <c r="AE188" s="17">
        <f>_xlfn.XLOOKUP($B188,'[3]Feb-26'!$A:$A,'[3]Feb-26'!$H:$H,0)</f>
        <v>0</v>
      </c>
      <c r="AF188" s="17">
        <f>_xlfn.XLOOKUP($B188,'[3]Mar-26'!$A:$A,'[3]Mar-26'!$H:$H,0)</f>
        <v>0</v>
      </c>
      <c r="AG188" s="17">
        <f>_xlfn.XLOOKUP($B188,'[3]Apr-26'!$A:$A,'[3]Apr-26'!$H:$H,0)</f>
        <v>0</v>
      </c>
    </row>
    <row r="189" spans="1:33" x14ac:dyDescent="0.2">
      <c r="A189" s="58" t="s">
        <v>903</v>
      </c>
      <c r="B189" s="56" t="str">
        <f t="shared" si="4"/>
        <v>60045</v>
      </c>
      <c r="C189" s="78" t="s">
        <v>552</v>
      </c>
      <c r="D189" s="57" t="s">
        <v>387</v>
      </c>
      <c r="E189" s="44" t="s">
        <v>561</v>
      </c>
      <c r="F189" s="17">
        <f>_xlfn.XLOOKUP($B189,'[3]Jan-24'!$A:$A,'[3]Jan-24'!$H:$H,0)</f>
        <v>0</v>
      </c>
      <c r="G189" s="17">
        <f>_xlfn.XLOOKUP($B189,'[3]Feb-24'!$A:$A,'[3]Feb-24'!$H:$H,0)</f>
        <v>1500</v>
      </c>
      <c r="H189" s="17">
        <f>_xlfn.XLOOKUP($B189,'[3]Mar-24'!$A:$A,'[3]Mar-24'!$H:$H,0)</f>
        <v>0</v>
      </c>
      <c r="I189" s="17">
        <f>_xlfn.XLOOKUP($B189,'[3]Apr-24'!$A:$A,'[3]Apr-24'!$H:$H,0)</f>
        <v>1500</v>
      </c>
      <c r="J189" s="17">
        <f>_xlfn.XLOOKUP($B189,'[3]May-24'!$A:$A,'[3]May-24'!$H:$H,0)</f>
        <v>750</v>
      </c>
      <c r="K189" s="17">
        <f>_xlfn.XLOOKUP($B189,'[3]Jun-24'!$A:$A,'[3]Jun-24'!$H:$H,0)</f>
        <v>0</v>
      </c>
      <c r="L189" s="17">
        <f>_xlfn.XLOOKUP($B189,'[3]Jul-24'!$A:$A,'[3]Jul-24'!$H:$H,0)</f>
        <v>1500</v>
      </c>
      <c r="M189" s="17">
        <f>_xlfn.XLOOKUP($B189,'[3]Aug-24'!$A:$A,'[3]Aug-24'!$H:$H,0)</f>
        <v>750</v>
      </c>
      <c r="N189" s="17">
        <f>_xlfn.XLOOKUP($B189,'[3]Sep-24'!$A:$A,'[3]Sep-24'!$H:$H,0)</f>
        <v>750</v>
      </c>
      <c r="O189" s="17">
        <f>_xlfn.XLOOKUP($B189,'[3]Oct-24'!$A:$A,'[3]Oct-24'!$H:$H,0)</f>
        <v>750</v>
      </c>
      <c r="P189" s="17">
        <f>_xlfn.XLOOKUP($B189,'[3]Nov-24'!$A:$A,'[3]Nov-24'!$H:$H,0)</f>
        <v>750</v>
      </c>
      <c r="Q189" s="17">
        <f>_xlfn.XLOOKUP($B189,'[3]Dec-24'!$A:$A,'[3]Dec-24'!$H:$H,0)</f>
        <v>750</v>
      </c>
      <c r="R189" s="17">
        <f>_xlfn.XLOOKUP($B189,'[3]Jan-25'!$A:$A,'[3]Jan-25'!$H:$H,0)</f>
        <v>0</v>
      </c>
      <c r="S189" s="17">
        <f>_xlfn.XLOOKUP($B189,'[3]Feb-25'!$A:$A,'[3]Feb-25'!$H:$H,0)</f>
        <v>0</v>
      </c>
      <c r="T189" s="17">
        <f>_xlfn.XLOOKUP($B189,'[3]Mar-25'!$A:$A,'[3]Mar-25'!$H:$H,0)</f>
        <v>0</v>
      </c>
      <c r="U189" s="17">
        <f>_xlfn.XLOOKUP($B189,'[3]Apr-25'!$A:$A,'[3]Apr-25'!$H:$H,0)</f>
        <v>0</v>
      </c>
      <c r="V189" s="17">
        <f>_xlfn.XLOOKUP($B189,'[3]May-25'!$A:$A,'[3]May-25'!$H:$H,0)</f>
        <v>0</v>
      </c>
      <c r="W189" s="17">
        <f>_xlfn.XLOOKUP($B189,'[3]Jun-25'!$A:$A,'[3]Jun-25'!$H:$H,0)</f>
        <v>0</v>
      </c>
      <c r="X189" s="17">
        <f>_xlfn.XLOOKUP($B189,'[3]Jul-25'!$A:$A,'[3]Jul-25'!$H:$H,0)</f>
        <v>0</v>
      </c>
      <c r="Y189" s="17">
        <f>_xlfn.XLOOKUP($B189,'[3]Aug-25'!$A:$A,'[3]Aug-25'!$H:$H,0)</f>
        <v>0</v>
      </c>
      <c r="Z189" s="17">
        <f>_xlfn.XLOOKUP($B189,'[3]Sep-25'!$A:$A,'[3]Sep-25'!$H:$H,0)</f>
        <v>0</v>
      </c>
      <c r="AA189" s="17">
        <f>_xlfn.XLOOKUP($B189,'[3]Oct-25'!$A:$A,'[3]Oct-25'!$H:$H,0)</f>
        <v>0</v>
      </c>
      <c r="AB189" s="17">
        <f>_xlfn.XLOOKUP($B189,'[3]Nov-25'!$A:$A,'[3]Nov-25'!$H:$H,0)</f>
        <v>0</v>
      </c>
      <c r="AC189" s="17">
        <f>_xlfn.XLOOKUP($B189,'[3]Dec-25'!$A:$A,'[3]Dec-25'!$H:$H,0)</f>
        <v>0</v>
      </c>
      <c r="AD189" s="17">
        <f>_xlfn.XLOOKUP($B189,'[3]Jan-26'!$A:$A,'[3]Jan-26'!$H:$H,0)</f>
        <v>0</v>
      </c>
      <c r="AE189" s="17">
        <f>_xlfn.XLOOKUP($B189,'[3]Feb-26'!$A:$A,'[3]Feb-26'!$H:$H,0)</f>
        <v>0</v>
      </c>
      <c r="AF189" s="17">
        <f>_xlfn.XLOOKUP($B189,'[3]Mar-26'!$A:$A,'[3]Mar-26'!$H:$H,0)</f>
        <v>0</v>
      </c>
      <c r="AG189" s="17">
        <f>_xlfn.XLOOKUP($B189,'[3]Apr-26'!$A:$A,'[3]Apr-26'!$H:$H,0)</f>
        <v>0</v>
      </c>
    </row>
    <row r="190" spans="1:33" x14ac:dyDescent="0.2">
      <c r="A190" s="58" t="s">
        <v>1140</v>
      </c>
      <c r="B190" s="56" t="str">
        <f t="shared" si="4"/>
        <v>60050</v>
      </c>
      <c r="C190" s="78" t="s">
        <v>552</v>
      </c>
      <c r="D190" s="57" t="s">
        <v>387</v>
      </c>
      <c r="E190" s="44" t="s">
        <v>563</v>
      </c>
      <c r="F190" s="17">
        <f>_xlfn.XLOOKUP($B190,'[3]Jan-24'!$A:$A,'[3]Jan-24'!$H:$H,0)</f>
        <v>0</v>
      </c>
      <c r="G190" s="17">
        <f>_xlfn.XLOOKUP($B190,'[3]Feb-24'!$A:$A,'[3]Feb-24'!$H:$H,0)</f>
        <v>0</v>
      </c>
      <c r="H190" s="17">
        <f>_xlfn.XLOOKUP($B190,'[3]Mar-24'!$A:$A,'[3]Mar-24'!$H:$H,0)</f>
        <v>0</v>
      </c>
      <c r="I190" s="17">
        <f>_xlfn.XLOOKUP($B190,'[3]Apr-24'!$A:$A,'[3]Apr-24'!$H:$H,0)</f>
        <v>0</v>
      </c>
      <c r="J190" s="17">
        <f>_xlfn.XLOOKUP($B190,'[3]May-24'!$A:$A,'[3]May-24'!$H:$H,0)</f>
        <v>0</v>
      </c>
      <c r="K190" s="17">
        <f>_xlfn.XLOOKUP($B190,'[3]Jun-24'!$A:$A,'[3]Jun-24'!$H:$H,0)</f>
        <v>0</v>
      </c>
      <c r="L190" s="17">
        <f>_xlfn.XLOOKUP($B190,'[3]Jul-24'!$A:$A,'[3]Jul-24'!$H:$H,0)</f>
        <v>0</v>
      </c>
      <c r="M190" s="17">
        <f>_xlfn.XLOOKUP($B190,'[3]Aug-24'!$A:$A,'[3]Aug-24'!$H:$H,0)</f>
        <v>0</v>
      </c>
      <c r="N190" s="17">
        <f>_xlfn.XLOOKUP($B190,'[3]Sep-24'!$A:$A,'[3]Sep-24'!$H:$H,0)</f>
        <v>0</v>
      </c>
      <c r="O190" s="17">
        <f>_xlfn.XLOOKUP($B190,'[3]Oct-24'!$A:$A,'[3]Oct-24'!$H:$H,0)</f>
        <v>0</v>
      </c>
      <c r="P190" s="17">
        <f>_xlfn.XLOOKUP($B190,'[3]Nov-24'!$A:$A,'[3]Nov-24'!$H:$H,0)</f>
        <v>0</v>
      </c>
      <c r="Q190" s="17">
        <f>_xlfn.XLOOKUP($B190,'[3]Dec-24'!$A:$A,'[3]Dec-24'!$H:$H,0)</f>
        <v>0</v>
      </c>
      <c r="R190" s="17">
        <f>_xlfn.XLOOKUP($B190,'[3]Jan-25'!$A:$A,'[3]Jan-25'!$H:$H,0)</f>
        <v>0</v>
      </c>
      <c r="S190" s="17">
        <f>_xlfn.XLOOKUP($B190,'[3]Feb-25'!$A:$A,'[3]Feb-25'!$H:$H,0)</f>
        <v>0</v>
      </c>
      <c r="T190" s="17">
        <f>_xlfn.XLOOKUP($B190,'[3]Mar-25'!$A:$A,'[3]Mar-25'!$H:$H,0)</f>
        <v>0</v>
      </c>
      <c r="U190" s="17">
        <f>_xlfn.XLOOKUP($B190,'[3]Apr-25'!$A:$A,'[3]Apr-25'!$H:$H,0)</f>
        <v>0</v>
      </c>
      <c r="V190" s="17">
        <f>_xlfn.XLOOKUP($B190,'[3]May-25'!$A:$A,'[3]May-25'!$H:$H,0)</f>
        <v>0</v>
      </c>
      <c r="W190" s="17">
        <f>_xlfn.XLOOKUP($B190,'[3]Jun-25'!$A:$A,'[3]Jun-25'!$H:$H,0)</f>
        <v>0</v>
      </c>
      <c r="X190" s="17">
        <f>_xlfn.XLOOKUP($B190,'[3]Jul-25'!$A:$A,'[3]Jul-25'!$H:$H,0)</f>
        <v>0</v>
      </c>
      <c r="Y190" s="17">
        <f>_xlfn.XLOOKUP($B190,'[3]Aug-25'!$A:$A,'[3]Aug-25'!$H:$H,0)</f>
        <v>0</v>
      </c>
      <c r="Z190" s="17">
        <f>_xlfn.XLOOKUP($B190,'[3]Sep-25'!$A:$A,'[3]Sep-25'!$H:$H,0)</f>
        <v>0</v>
      </c>
      <c r="AA190" s="17">
        <f>_xlfn.XLOOKUP($B190,'[3]Oct-25'!$A:$A,'[3]Oct-25'!$H:$H,0)</f>
        <v>0</v>
      </c>
      <c r="AB190" s="17">
        <f>_xlfn.XLOOKUP($B190,'[3]Nov-25'!$A:$A,'[3]Nov-25'!$H:$H,0)</f>
        <v>0</v>
      </c>
      <c r="AC190" s="17">
        <f>_xlfn.XLOOKUP($B190,'[3]Dec-25'!$A:$A,'[3]Dec-25'!$H:$H,0)</f>
        <v>0</v>
      </c>
      <c r="AD190" s="17">
        <f>_xlfn.XLOOKUP($B190,'[3]Jan-26'!$A:$A,'[3]Jan-26'!$H:$H,0)</f>
        <v>0</v>
      </c>
      <c r="AE190" s="17">
        <f>_xlfn.XLOOKUP($B190,'[3]Feb-26'!$A:$A,'[3]Feb-26'!$H:$H,0)</f>
        <v>0</v>
      </c>
      <c r="AF190" s="17">
        <f>_xlfn.XLOOKUP($B190,'[3]Mar-26'!$A:$A,'[3]Mar-26'!$H:$H,0)</f>
        <v>0</v>
      </c>
      <c r="AG190" s="17">
        <f>_xlfn.XLOOKUP($B190,'[3]Apr-26'!$A:$A,'[3]Apr-26'!$H:$H,0)</f>
        <v>0</v>
      </c>
    </row>
    <row r="191" spans="1:33" x14ac:dyDescent="0.2">
      <c r="A191" s="58" t="s">
        <v>1141</v>
      </c>
      <c r="B191" s="56" t="str">
        <f t="shared" si="4"/>
        <v>60060</v>
      </c>
      <c r="C191" s="78" t="s">
        <v>552</v>
      </c>
      <c r="D191" s="57" t="s">
        <v>387</v>
      </c>
      <c r="E191" s="44" t="s">
        <v>564</v>
      </c>
      <c r="F191" s="17">
        <f>_xlfn.XLOOKUP($B191,'[3]Jan-24'!$A:$A,'[3]Jan-24'!$H:$H,0)</f>
        <v>0</v>
      </c>
      <c r="G191" s="17">
        <f>_xlfn.XLOOKUP($B191,'[3]Feb-24'!$A:$A,'[3]Feb-24'!$H:$H,0)</f>
        <v>0</v>
      </c>
      <c r="H191" s="17">
        <f>_xlfn.XLOOKUP($B191,'[3]Mar-24'!$A:$A,'[3]Mar-24'!$H:$H,0)</f>
        <v>0</v>
      </c>
      <c r="I191" s="17">
        <f>_xlfn.XLOOKUP($B191,'[3]Apr-24'!$A:$A,'[3]Apr-24'!$H:$H,0)</f>
        <v>0</v>
      </c>
      <c r="J191" s="17">
        <f>_xlfn.XLOOKUP($B191,'[3]May-24'!$A:$A,'[3]May-24'!$H:$H,0)</f>
        <v>0</v>
      </c>
      <c r="K191" s="17">
        <f>_xlfn.XLOOKUP($B191,'[3]Jun-24'!$A:$A,'[3]Jun-24'!$H:$H,0)</f>
        <v>0</v>
      </c>
      <c r="L191" s="17">
        <f>_xlfn.XLOOKUP($B191,'[3]Jul-24'!$A:$A,'[3]Jul-24'!$H:$H,0)</f>
        <v>0</v>
      </c>
      <c r="M191" s="17">
        <f>_xlfn.XLOOKUP($B191,'[3]Aug-24'!$A:$A,'[3]Aug-24'!$H:$H,0)</f>
        <v>0</v>
      </c>
      <c r="N191" s="17">
        <f>_xlfn.XLOOKUP($B191,'[3]Sep-24'!$A:$A,'[3]Sep-24'!$H:$H,0)</f>
        <v>0</v>
      </c>
      <c r="O191" s="17">
        <f>_xlfn.XLOOKUP($B191,'[3]Oct-24'!$A:$A,'[3]Oct-24'!$H:$H,0)</f>
        <v>0</v>
      </c>
      <c r="P191" s="17">
        <f>_xlfn.XLOOKUP($B191,'[3]Nov-24'!$A:$A,'[3]Nov-24'!$H:$H,0)</f>
        <v>0</v>
      </c>
      <c r="Q191" s="17">
        <f>_xlfn.XLOOKUP($B191,'[3]Dec-24'!$A:$A,'[3]Dec-24'!$H:$H,0)</f>
        <v>0</v>
      </c>
      <c r="R191" s="17">
        <f>_xlfn.XLOOKUP($B191,'[3]Jan-25'!$A:$A,'[3]Jan-25'!$H:$H,0)</f>
        <v>0</v>
      </c>
      <c r="S191" s="17">
        <f>_xlfn.XLOOKUP($B191,'[3]Feb-25'!$A:$A,'[3]Feb-25'!$H:$H,0)</f>
        <v>0</v>
      </c>
      <c r="T191" s="17">
        <f>_xlfn.XLOOKUP($B191,'[3]Mar-25'!$A:$A,'[3]Mar-25'!$H:$H,0)</f>
        <v>0</v>
      </c>
      <c r="U191" s="17">
        <f>_xlfn.XLOOKUP($B191,'[3]Apr-25'!$A:$A,'[3]Apr-25'!$H:$H,0)</f>
        <v>0</v>
      </c>
      <c r="V191" s="17">
        <f>_xlfn.XLOOKUP($B191,'[3]May-25'!$A:$A,'[3]May-25'!$H:$H,0)</f>
        <v>0</v>
      </c>
      <c r="W191" s="17">
        <f>_xlfn.XLOOKUP($B191,'[3]Jun-25'!$A:$A,'[3]Jun-25'!$H:$H,0)</f>
        <v>0</v>
      </c>
      <c r="X191" s="17">
        <f>_xlfn.XLOOKUP($B191,'[3]Jul-25'!$A:$A,'[3]Jul-25'!$H:$H,0)</f>
        <v>0</v>
      </c>
      <c r="Y191" s="17">
        <f>_xlfn.XLOOKUP($B191,'[3]Aug-25'!$A:$A,'[3]Aug-25'!$H:$H,0)</f>
        <v>0</v>
      </c>
      <c r="Z191" s="17">
        <f>_xlfn.XLOOKUP($B191,'[3]Sep-25'!$A:$A,'[3]Sep-25'!$H:$H,0)</f>
        <v>0</v>
      </c>
      <c r="AA191" s="17">
        <f>_xlfn.XLOOKUP($B191,'[3]Oct-25'!$A:$A,'[3]Oct-25'!$H:$H,0)</f>
        <v>0</v>
      </c>
      <c r="AB191" s="17">
        <f>_xlfn.XLOOKUP($B191,'[3]Nov-25'!$A:$A,'[3]Nov-25'!$H:$H,0)</f>
        <v>0</v>
      </c>
      <c r="AC191" s="17">
        <f>_xlfn.XLOOKUP($B191,'[3]Dec-25'!$A:$A,'[3]Dec-25'!$H:$H,0)</f>
        <v>0</v>
      </c>
      <c r="AD191" s="17">
        <f>_xlfn.XLOOKUP($B191,'[3]Jan-26'!$A:$A,'[3]Jan-26'!$H:$H,0)</f>
        <v>0</v>
      </c>
      <c r="AE191" s="17">
        <f>_xlfn.XLOOKUP($B191,'[3]Feb-26'!$A:$A,'[3]Feb-26'!$H:$H,0)</f>
        <v>0</v>
      </c>
      <c r="AF191" s="17">
        <f>_xlfn.XLOOKUP($B191,'[3]Mar-26'!$A:$A,'[3]Mar-26'!$H:$H,0)</f>
        <v>0</v>
      </c>
      <c r="AG191" s="17">
        <f>_xlfn.XLOOKUP($B191,'[3]Apr-26'!$A:$A,'[3]Apr-26'!$H:$H,0)</f>
        <v>0</v>
      </c>
    </row>
    <row r="192" spans="1:33" x14ac:dyDescent="0.2">
      <c r="A192" s="58" t="s">
        <v>1142</v>
      </c>
      <c r="B192" s="56" t="str">
        <f t="shared" si="4"/>
        <v>60070</v>
      </c>
      <c r="C192" s="78" t="s">
        <v>565</v>
      </c>
      <c r="D192" s="57" t="s">
        <v>387</v>
      </c>
      <c r="E192" s="44" t="s">
        <v>566</v>
      </c>
      <c r="F192" s="17">
        <f>_xlfn.XLOOKUP($B192,'[3]Jan-24'!$A:$A,'[3]Jan-24'!$H:$H,0)</f>
        <v>0</v>
      </c>
      <c r="G192" s="17">
        <f>_xlfn.XLOOKUP($B192,'[3]Feb-24'!$A:$A,'[3]Feb-24'!$H:$H,0)</f>
        <v>0</v>
      </c>
      <c r="H192" s="17">
        <f>_xlfn.XLOOKUP($B192,'[3]Mar-24'!$A:$A,'[3]Mar-24'!$H:$H,0)</f>
        <v>0</v>
      </c>
      <c r="I192" s="17">
        <f>_xlfn.XLOOKUP($B192,'[3]Apr-24'!$A:$A,'[3]Apr-24'!$H:$H,0)</f>
        <v>0</v>
      </c>
      <c r="J192" s="17">
        <f>_xlfn.XLOOKUP($B192,'[3]May-24'!$A:$A,'[3]May-24'!$H:$H,0)</f>
        <v>0</v>
      </c>
      <c r="K192" s="17">
        <f>_xlfn.XLOOKUP($B192,'[3]Jun-24'!$A:$A,'[3]Jun-24'!$H:$H,0)</f>
        <v>0</v>
      </c>
      <c r="L192" s="17">
        <f>_xlfn.XLOOKUP($B192,'[3]Jul-24'!$A:$A,'[3]Jul-24'!$H:$H,0)</f>
        <v>0</v>
      </c>
      <c r="M192" s="17">
        <f>_xlfn.XLOOKUP($B192,'[3]Aug-24'!$A:$A,'[3]Aug-24'!$H:$H,0)</f>
        <v>0</v>
      </c>
      <c r="N192" s="17">
        <f>_xlfn.XLOOKUP($B192,'[3]Sep-24'!$A:$A,'[3]Sep-24'!$H:$H,0)</f>
        <v>0</v>
      </c>
      <c r="O192" s="17">
        <f>_xlfn.XLOOKUP($B192,'[3]Oct-24'!$A:$A,'[3]Oct-24'!$H:$H,0)</f>
        <v>0</v>
      </c>
      <c r="P192" s="17">
        <f>_xlfn.XLOOKUP($B192,'[3]Nov-24'!$A:$A,'[3]Nov-24'!$H:$H,0)</f>
        <v>0</v>
      </c>
      <c r="Q192" s="17">
        <f>_xlfn.XLOOKUP($B192,'[3]Dec-24'!$A:$A,'[3]Dec-24'!$H:$H,0)</f>
        <v>0</v>
      </c>
      <c r="R192" s="17">
        <f>_xlfn.XLOOKUP($B192,'[3]Jan-25'!$A:$A,'[3]Jan-25'!$H:$H,0)</f>
        <v>0</v>
      </c>
      <c r="S192" s="17">
        <f>_xlfn.XLOOKUP($B192,'[3]Feb-25'!$A:$A,'[3]Feb-25'!$H:$H,0)</f>
        <v>0</v>
      </c>
      <c r="T192" s="17">
        <f>_xlfn.XLOOKUP($B192,'[3]Mar-25'!$A:$A,'[3]Mar-25'!$H:$H,0)</f>
        <v>0</v>
      </c>
      <c r="U192" s="17">
        <f>_xlfn.XLOOKUP($B192,'[3]Apr-25'!$A:$A,'[3]Apr-25'!$H:$H,0)</f>
        <v>0</v>
      </c>
      <c r="V192" s="17">
        <f>_xlfn.XLOOKUP($B192,'[3]May-25'!$A:$A,'[3]May-25'!$H:$H,0)</f>
        <v>0</v>
      </c>
      <c r="W192" s="17">
        <f>_xlfn.XLOOKUP($B192,'[3]Jun-25'!$A:$A,'[3]Jun-25'!$H:$H,0)</f>
        <v>0</v>
      </c>
      <c r="X192" s="17">
        <f>_xlfn.XLOOKUP($B192,'[3]Jul-25'!$A:$A,'[3]Jul-25'!$H:$H,0)</f>
        <v>0</v>
      </c>
      <c r="Y192" s="17">
        <f>_xlfn.XLOOKUP($B192,'[3]Aug-25'!$A:$A,'[3]Aug-25'!$H:$H,0)</f>
        <v>0</v>
      </c>
      <c r="Z192" s="17">
        <f>_xlfn.XLOOKUP($B192,'[3]Sep-25'!$A:$A,'[3]Sep-25'!$H:$H,0)</f>
        <v>0</v>
      </c>
      <c r="AA192" s="17">
        <f>_xlfn.XLOOKUP($B192,'[3]Oct-25'!$A:$A,'[3]Oct-25'!$H:$H,0)</f>
        <v>0</v>
      </c>
      <c r="AB192" s="17">
        <f>_xlfn.XLOOKUP($B192,'[3]Nov-25'!$A:$A,'[3]Nov-25'!$H:$H,0)</f>
        <v>0</v>
      </c>
      <c r="AC192" s="17">
        <f>_xlfn.XLOOKUP($B192,'[3]Dec-25'!$A:$A,'[3]Dec-25'!$H:$H,0)</f>
        <v>0</v>
      </c>
      <c r="AD192" s="17">
        <f>_xlfn.XLOOKUP($B192,'[3]Jan-26'!$A:$A,'[3]Jan-26'!$H:$H,0)</f>
        <v>0</v>
      </c>
      <c r="AE192" s="17">
        <f>_xlfn.XLOOKUP($B192,'[3]Feb-26'!$A:$A,'[3]Feb-26'!$H:$H,0)</f>
        <v>0</v>
      </c>
      <c r="AF192" s="17">
        <f>_xlfn.XLOOKUP($B192,'[3]Mar-26'!$A:$A,'[3]Mar-26'!$H:$H,0)</f>
        <v>0</v>
      </c>
      <c r="AG192" s="17">
        <f>_xlfn.XLOOKUP($B192,'[3]Apr-26'!$A:$A,'[3]Apr-26'!$H:$H,0)</f>
        <v>0</v>
      </c>
    </row>
    <row r="193" spans="1:33" x14ac:dyDescent="0.2">
      <c r="A193" s="58" t="s">
        <v>1143</v>
      </c>
      <c r="B193" s="56" t="str">
        <f t="shared" si="4"/>
        <v>60075</v>
      </c>
      <c r="C193" s="78" t="s">
        <v>552</v>
      </c>
      <c r="D193" s="57" t="s">
        <v>387</v>
      </c>
      <c r="E193" s="44" t="s">
        <v>567</v>
      </c>
      <c r="F193" s="17">
        <f>_xlfn.XLOOKUP($B193,'[3]Jan-24'!$A:$A,'[3]Jan-24'!$H:$H,0)</f>
        <v>0</v>
      </c>
      <c r="G193" s="17">
        <f>_xlfn.XLOOKUP($B193,'[3]Feb-24'!$A:$A,'[3]Feb-24'!$H:$H,0)</f>
        <v>0</v>
      </c>
      <c r="H193" s="17">
        <f>_xlfn.XLOOKUP($B193,'[3]Mar-24'!$A:$A,'[3]Mar-24'!$H:$H,0)</f>
        <v>0</v>
      </c>
      <c r="I193" s="17">
        <f>_xlfn.XLOOKUP($B193,'[3]Apr-24'!$A:$A,'[3]Apr-24'!$H:$H,0)</f>
        <v>0</v>
      </c>
      <c r="J193" s="17">
        <f>_xlfn.XLOOKUP($B193,'[3]May-24'!$A:$A,'[3]May-24'!$H:$H,0)</f>
        <v>0</v>
      </c>
      <c r="K193" s="17">
        <f>_xlfn.XLOOKUP($B193,'[3]Jun-24'!$A:$A,'[3]Jun-24'!$H:$H,0)</f>
        <v>0</v>
      </c>
      <c r="L193" s="17">
        <f>_xlfn.XLOOKUP($B193,'[3]Jul-24'!$A:$A,'[3]Jul-24'!$H:$H,0)</f>
        <v>0</v>
      </c>
      <c r="M193" s="17">
        <f>_xlfn.XLOOKUP($B193,'[3]Aug-24'!$A:$A,'[3]Aug-24'!$H:$H,0)</f>
        <v>0</v>
      </c>
      <c r="N193" s="17">
        <f>_xlfn.XLOOKUP($B193,'[3]Sep-24'!$A:$A,'[3]Sep-24'!$H:$H,0)</f>
        <v>0</v>
      </c>
      <c r="O193" s="17">
        <f>_xlfn.XLOOKUP($B193,'[3]Oct-24'!$A:$A,'[3]Oct-24'!$H:$H,0)</f>
        <v>0</v>
      </c>
      <c r="P193" s="17">
        <f>_xlfn.XLOOKUP($B193,'[3]Nov-24'!$A:$A,'[3]Nov-24'!$H:$H,0)</f>
        <v>0</v>
      </c>
      <c r="Q193" s="17">
        <f>_xlfn.XLOOKUP($B193,'[3]Dec-24'!$A:$A,'[3]Dec-24'!$H:$H,0)</f>
        <v>0</v>
      </c>
      <c r="R193" s="17">
        <f>_xlfn.XLOOKUP($B193,'[3]Jan-25'!$A:$A,'[3]Jan-25'!$H:$H,0)</f>
        <v>0</v>
      </c>
      <c r="S193" s="17">
        <f>_xlfn.XLOOKUP($B193,'[3]Feb-25'!$A:$A,'[3]Feb-25'!$H:$H,0)</f>
        <v>0</v>
      </c>
      <c r="T193" s="17">
        <f>_xlfn.XLOOKUP($B193,'[3]Mar-25'!$A:$A,'[3]Mar-25'!$H:$H,0)</f>
        <v>0</v>
      </c>
      <c r="U193" s="17">
        <f>_xlfn.XLOOKUP($B193,'[3]Apr-25'!$A:$A,'[3]Apr-25'!$H:$H,0)</f>
        <v>0</v>
      </c>
      <c r="V193" s="17">
        <f>_xlfn.XLOOKUP($B193,'[3]May-25'!$A:$A,'[3]May-25'!$H:$H,0)</f>
        <v>0</v>
      </c>
      <c r="W193" s="17">
        <f>_xlfn.XLOOKUP($B193,'[3]Jun-25'!$A:$A,'[3]Jun-25'!$H:$H,0)</f>
        <v>0</v>
      </c>
      <c r="X193" s="17">
        <f>_xlfn.XLOOKUP($B193,'[3]Jul-25'!$A:$A,'[3]Jul-25'!$H:$H,0)</f>
        <v>0</v>
      </c>
      <c r="Y193" s="17">
        <f>_xlfn.XLOOKUP($B193,'[3]Aug-25'!$A:$A,'[3]Aug-25'!$H:$H,0)</f>
        <v>0</v>
      </c>
      <c r="Z193" s="17">
        <f>_xlfn.XLOOKUP($B193,'[3]Sep-25'!$A:$A,'[3]Sep-25'!$H:$H,0)</f>
        <v>0</v>
      </c>
      <c r="AA193" s="17">
        <f>_xlfn.XLOOKUP($B193,'[3]Oct-25'!$A:$A,'[3]Oct-25'!$H:$H,0)</f>
        <v>0</v>
      </c>
      <c r="AB193" s="17">
        <f>_xlfn.XLOOKUP($B193,'[3]Nov-25'!$A:$A,'[3]Nov-25'!$H:$H,0)</f>
        <v>0</v>
      </c>
      <c r="AC193" s="17">
        <f>_xlfn.XLOOKUP($B193,'[3]Dec-25'!$A:$A,'[3]Dec-25'!$H:$H,0)</f>
        <v>0</v>
      </c>
      <c r="AD193" s="17">
        <f>_xlfn.XLOOKUP($B193,'[3]Jan-26'!$A:$A,'[3]Jan-26'!$H:$H,0)</f>
        <v>0</v>
      </c>
      <c r="AE193" s="17">
        <f>_xlfn.XLOOKUP($B193,'[3]Feb-26'!$A:$A,'[3]Feb-26'!$H:$H,0)</f>
        <v>0</v>
      </c>
      <c r="AF193" s="17">
        <f>_xlfn.XLOOKUP($B193,'[3]Mar-26'!$A:$A,'[3]Mar-26'!$H:$H,0)</f>
        <v>0</v>
      </c>
      <c r="AG193" s="17">
        <f>_xlfn.XLOOKUP($B193,'[3]Apr-26'!$A:$A,'[3]Apr-26'!$H:$H,0)</f>
        <v>0</v>
      </c>
    </row>
    <row r="194" spans="1:33" x14ac:dyDescent="0.2">
      <c r="A194" s="58" t="s">
        <v>1144</v>
      </c>
      <c r="B194" s="56" t="str">
        <f t="shared" si="4"/>
        <v>60080</v>
      </c>
      <c r="C194" s="78" t="s">
        <v>565</v>
      </c>
      <c r="D194" s="57" t="s">
        <v>387</v>
      </c>
      <c r="E194" s="44" t="s">
        <v>568</v>
      </c>
      <c r="F194" s="17">
        <f>_xlfn.XLOOKUP($B194,'[3]Jan-24'!$A:$A,'[3]Jan-24'!$H:$H,0)</f>
        <v>0</v>
      </c>
      <c r="G194" s="17">
        <f>_xlfn.XLOOKUP($B194,'[3]Feb-24'!$A:$A,'[3]Feb-24'!$H:$H,0)</f>
        <v>0</v>
      </c>
      <c r="H194" s="17">
        <f>_xlfn.XLOOKUP($B194,'[3]Mar-24'!$A:$A,'[3]Mar-24'!$H:$H,0)</f>
        <v>0</v>
      </c>
      <c r="I194" s="17">
        <f>_xlfn.XLOOKUP($B194,'[3]Apr-24'!$A:$A,'[3]Apr-24'!$H:$H,0)</f>
        <v>0</v>
      </c>
      <c r="J194" s="17">
        <f>_xlfn.XLOOKUP($B194,'[3]May-24'!$A:$A,'[3]May-24'!$H:$H,0)</f>
        <v>0</v>
      </c>
      <c r="K194" s="17">
        <f>_xlfn.XLOOKUP($B194,'[3]Jun-24'!$A:$A,'[3]Jun-24'!$H:$H,0)</f>
        <v>0</v>
      </c>
      <c r="L194" s="17">
        <f>_xlfn.XLOOKUP($B194,'[3]Jul-24'!$A:$A,'[3]Jul-24'!$H:$H,0)</f>
        <v>0</v>
      </c>
      <c r="M194" s="17">
        <f>_xlfn.XLOOKUP($B194,'[3]Aug-24'!$A:$A,'[3]Aug-24'!$H:$H,0)</f>
        <v>0</v>
      </c>
      <c r="N194" s="17">
        <f>_xlfn.XLOOKUP($B194,'[3]Sep-24'!$A:$A,'[3]Sep-24'!$H:$H,0)</f>
        <v>0</v>
      </c>
      <c r="O194" s="17">
        <f>_xlfn.XLOOKUP($B194,'[3]Oct-24'!$A:$A,'[3]Oct-24'!$H:$H,0)</f>
        <v>0</v>
      </c>
      <c r="P194" s="17">
        <f>_xlfn.XLOOKUP($B194,'[3]Nov-24'!$A:$A,'[3]Nov-24'!$H:$H,0)</f>
        <v>0</v>
      </c>
      <c r="Q194" s="17">
        <f>_xlfn.XLOOKUP($B194,'[3]Dec-24'!$A:$A,'[3]Dec-24'!$H:$H,0)</f>
        <v>0</v>
      </c>
      <c r="R194" s="17">
        <f>_xlfn.XLOOKUP($B194,'[3]Jan-25'!$A:$A,'[3]Jan-25'!$H:$H,0)</f>
        <v>0</v>
      </c>
      <c r="S194" s="17">
        <f>_xlfn.XLOOKUP($B194,'[3]Feb-25'!$A:$A,'[3]Feb-25'!$H:$H,0)</f>
        <v>0</v>
      </c>
      <c r="T194" s="17">
        <f>_xlfn.XLOOKUP($B194,'[3]Mar-25'!$A:$A,'[3]Mar-25'!$H:$H,0)</f>
        <v>0</v>
      </c>
      <c r="U194" s="17">
        <f>_xlfn.XLOOKUP($B194,'[3]Apr-25'!$A:$A,'[3]Apr-25'!$H:$H,0)</f>
        <v>0</v>
      </c>
      <c r="V194" s="17">
        <f>_xlfn.XLOOKUP($B194,'[3]May-25'!$A:$A,'[3]May-25'!$H:$H,0)</f>
        <v>0</v>
      </c>
      <c r="W194" s="17">
        <f>_xlfn.XLOOKUP($B194,'[3]Jun-25'!$A:$A,'[3]Jun-25'!$H:$H,0)</f>
        <v>0</v>
      </c>
      <c r="X194" s="17">
        <f>_xlfn.XLOOKUP($B194,'[3]Jul-25'!$A:$A,'[3]Jul-25'!$H:$H,0)</f>
        <v>0</v>
      </c>
      <c r="Y194" s="17">
        <f>_xlfn.XLOOKUP($B194,'[3]Aug-25'!$A:$A,'[3]Aug-25'!$H:$H,0)</f>
        <v>0</v>
      </c>
      <c r="Z194" s="17">
        <f>_xlfn.XLOOKUP($B194,'[3]Sep-25'!$A:$A,'[3]Sep-25'!$H:$H,0)</f>
        <v>0</v>
      </c>
      <c r="AA194" s="17">
        <f>_xlfn.XLOOKUP($B194,'[3]Oct-25'!$A:$A,'[3]Oct-25'!$H:$H,0)</f>
        <v>0</v>
      </c>
      <c r="AB194" s="17">
        <f>_xlfn.XLOOKUP($B194,'[3]Nov-25'!$A:$A,'[3]Nov-25'!$H:$H,0)</f>
        <v>0</v>
      </c>
      <c r="AC194" s="17">
        <f>_xlfn.XLOOKUP($B194,'[3]Dec-25'!$A:$A,'[3]Dec-25'!$H:$H,0)</f>
        <v>0</v>
      </c>
      <c r="AD194" s="17">
        <f>_xlfn.XLOOKUP($B194,'[3]Jan-26'!$A:$A,'[3]Jan-26'!$H:$H,0)</f>
        <v>0</v>
      </c>
      <c r="AE194" s="17">
        <f>_xlfn.XLOOKUP($B194,'[3]Feb-26'!$A:$A,'[3]Feb-26'!$H:$H,0)</f>
        <v>0</v>
      </c>
      <c r="AF194" s="17">
        <f>_xlfn.XLOOKUP($B194,'[3]Mar-26'!$A:$A,'[3]Mar-26'!$H:$H,0)</f>
        <v>0</v>
      </c>
      <c r="AG194" s="17">
        <f>_xlfn.XLOOKUP($B194,'[3]Apr-26'!$A:$A,'[3]Apr-26'!$H:$H,0)</f>
        <v>0</v>
      </c>
    </row>
    <row r="195" spans="1:33" x14ac:dyDescent="0.2">
      <c r="A195" s="58" t="s">
        <v>1145</v>
      </c>
      <c r="B195" s="56" t="str">
        <f t="shared" si="4"/>
        <v>60085</v>
      </c>
      <c r="C195" s="78" t="s">
        <v>565</v>
      </c>
      <c r="D195" s="57" t="s">
        <v>387</v>
      </c>
      <c r="E195" s="44" t="s">
        <v>569</v>
      </c>
      <c r="F195" s="17">
        <f>_xlfn.XLOOKUP($B195,'[3]Jan-24'!$A:$A,'[3]Jan-24'!$H:$H,0)</f>
        <v>0</v>
      </c>
      <c r="G195" s="17">
        <f>_xlfn.XLOOKUP($B195,'[3]Feb-24'!$A:$A,'[3]Feb-24'!$H:$H,0)</f>
        <v>0</v>
      </c>
      <c r="H195" s="17">
        <f>_xlfn.XLOOKUP($B195,'[3]Mar-24'!$A:$A,'[3]Mar-24'!$H:$H,0)</f>
        <v>0</v>
      </c>
      <c r="I195" s="17">
        <f>_xlfn.XLOOKUP($B195,'[3]Apr-24'!$A:$A,'[3]Apr-24'!$H:$H,0)</f>
        <v>0</v>
      </c>
      <c r="J195" s="17">
        <f>_xlfn.XLOOKUP($B195,'[3]May-24'!$A:$A,'[3]May-24'!$H:$H,0)</f>
        <v>0</v>
      </c>
      <c r="K195" s="17">
        <f>_xlfn.XLOOKUP($B195,'[3]Jun-24'!$A:$A,'[3]Jun-24'!$H:$H,0)</f>
        <v>0</v>
      </c>
      <c r="L195" s="17">
        <f>_xlfn.XLOOKUP($B195,'[3]Jul-24'!$A:$A,'[3]Jul-24'!$H:$H,0)</f>
        <v>0</v>
      </c>
      <c r="M195" s="17">
        <f>_xlfn.XLOOKUP($B195,'[3]Aug-24'!$A:$A,'[3]Aug-24'!$H:$H,0)</f>
        <v>0</v>
      </c>
      <c r="N195" s="17">
        <f>_xlfn.XLOOKUP($B195,'[3]Sep-24'!$A:$A,'[3]Sep-24'!$H:$H,0)</f>
        <v>0</v>
      </c>
      <c r="O195" s="17">
        <f>_xlfn.XLOOKUP($B195,'[3]Oct-24'!$A:$A,'[3]Oct-24'!$H:$H,0)</f>
        <v>0</v>
      </c>
      <c r="P195" s="17">
        <f>_xlfn.XLOOKUP($B195,'[3]Nov-24'!$A:$A,'[3]Nov-24'!$H:$H,0)</f>
        <v>0</v>
      </c>
      <c r="Q195" s="17">
        <f>_xlfn.XLOOKUP($B195,'[3]Dec-24'!$A:$A,'[3]Dec-24'!$H:$H,0)</f>
        <v>0</v>
      </c>
      <c r="R195" s="17">
        <f>_xlfn.XLOOKUP($B195,'[3]Jan-25'!$A:$A,'[3]Jan-25'!$H:$H,0)</f>
        <v>0</v>
      </c>
      <c r="S195" s="17">
        <f>_xlfn.XLOOKUP($B195,'[3]Feb-25'!$A:$A,'[3]Feb-25'!$H:$H,0)</f>
        <v>0</v>
      </c>
      <c r="T195" s="17">
        <f>_xlfn.XLOOKUP($B195,'[3]Mar-25'!$A:$A,'[3]Mar-25'!$H:$H,0)</f>
        <v>0</v>
      </c>
      <c r="U195" s="17">
        <f>_xlfn.XLOOKUP($B195,'[3]Apr-25'!$A:$A,'[3]Apr-25'!$H:$H,0)</f>
        <v>0</v>
      </c>
      <c r="V195" s="17">
        <f>_xlfn.XLOOKUP($B195,'[3]May-25'!$A:$A,'[3]May-25'!$H:$H,0)</f>
        <v>0</v>
      </c>
      <c r="W195" s="17">
        <f>_xlfn.XLOOKUP($B195,'[3]Jun-25'!$A:$A,'[3]Jun-25'!$H:$H,0)</f>
        <v>0</v>
      </c>
      <c r="X195" s="17">
        <f>_xlfn.XLOOKUP($B195,'[3]Jul-25'!$A:$A,'[3]Jul-25'!$H:$H,0)</f>
        <v>0</v>
      </c>
      <c r="Y195" s="17">
        <f>_xlfn.XLOOKUP($B195,'[3]Aug-25'!$A:$A,'[3]Aug-25'!$H:$H,0)</f>
        <v>0</v>
      </c>
      <c r="Z195" s="17">
        <f>_xlfn.XLOOKUP($B195,'[3]Sep-25'!$A:$A,'[3]Sep-25'!$H:$H,0)</f>
        <v>0</v>
      </c>
      <c r="AA195" s="17">
        <f>_xlfn.XLOOKUP($B195,'[3]Oct-25'!$A:$A,'[3]Oct-25'!$H:$H,0)</f>
        <v>0</v>
      </c>
      <c r="AB195" s="17">
        <f>_xlfn.XLOOKUP($B195,'[3]Nov-25'!$A:$A,'[3]Nov-25'!$H:$H,0)</f>
        <v>0</v>
      </c>
      <c r="AC195" s="17">
        <f>_xlfn.XLOOKUP($B195,'[3]Dec-25'!$A:$A,'[3]Dec-25'!$H:$H,0)</f>
        <v>0</v>
      </c>
      <c r="AD195" s="17">
        <f>_xlfn.XLOOKUP($B195,'[3]Jan-26'!$A:$A,'[3]Jan-26'!$H:$H,0)</f>
        <v>0</v>
      </c>
      <c r="AE195" s="17">
        <f>_xlfn.XLOOKUP($B195,'[3]Feb-26'!$A:$A,'[3]Feb-26'!$H:$H,0)</f>
        <v>0</v>
      </c>
      <c r="AF195" s="17">
        <f>_xlfn.XLOOKUP($B195,'[3]Mar-26'!$A:$A,'[3]Mar-26'!$H:$H,0)</f>
        <v>0</v>
      </c>
      <c r="AG195" s="17">
        <f>_xlfn.XLOOKUP($B195,'[3]Apr-26'!$A:$A,'[3]Apr-26'!$H:$H,0)</f>
        <v>0</v>
      </c>
    </row>
    <row r="196" spans="1:33" x14ac:dyDescent="0.2">
      <c r="A196" s="58" t="s">
        <v>1146</v>
      </c>
      <c r="B196" s="56" t="str">
        <f t="shared" ref="B196:B259" si="5">TEXT(A196,"00000")</f>
        <v>60090</v>
      </c>
      <c r="C196" s="78" t="s">
        <v>565</v>
      </c>
      <c r="D196" s="57" t="s">
        <v>387</v>
      </c>
      <c r="E196" s="44" t="s">
        <v>570</v>
      </c>
      <c r="F196" s="17">
        <f>_xlfn.XLOOKUP($B196,'[3]Jan-24'!$A:$A,'[3]Jan-24'!$H:$H,0)</f>
        <v>0</v>
      </c>
      <c r="G196" s="17">
        <f>_xlfn.XLOOKUP($B196,'[3]Feb-24'!$A:$A,'[3]Feb-24'!$H:$H,0)</f>
        <v>0</v>
      </c>
      <c r="H196" s="17">
        <f>_xlfn.XLOOKUP($B196,'[3]Mar-24'!$A:$A,'[3]Mar-24'!$H:$H,0)</f>
        <v>0</v>
      </c>
      <c r="I196" s="17">
        <f>_xlfn.XLOOKUP($B196,'[3]Apr-24'!$A:$A,'[3]Apr-24'!$H:$H,0)</f>
        <v>0</v>
      </c>
      <c r="J196" s="17">
        <f>_xlfn.XLOOKUP($B196,'[3]May-24'!$A:$A,'[3]May-24'!$H:$H,0)</f>
        <v>0</v>
      </c>
      <c r="K196" s="17">
        <f>_xlfn.XLOOKUP($B196,'[3]Jun-24'!$A:$A,'[3]Jun-24'!$H:$H,0)</f>
        <v>0</v>
      </c>
      <c r="L196" s="17">
        <f>_xlfn.XLOOKUP($B196,'[3]Jul-24'!$A:$A,'[3]Jul-24'!$H:$H,0)</f>
        <v>0</v>
      </c>
      <c r="M196" s="17">
        <f>_xlfn.XLOOKUP($B196,'[3]Aug-24'!$A:$A,'[3]Aug-24'!$H:$H,0)</f>
        <v>0</v>
      </c>
      <c r="N196" s="17">
        <f>_xlfn.XLOOKUP($B196,'[3]Sep-24'!$A:$A,'[3]Sep-24'!$H:$H,0)</f>
        <v>0</v>
      </c>
      <c r="O196" s="17">
        <f>_xlfn.XLOOKUP($B196,'[3]Oct-24'!$A:$A,'[3]Oct-24'!$H:$H,0)</f>
        <v>0</v>
      </c>
      <c r="P196" s="17">
        <f>_xlfn.XLOOKUP($B196,'[3]Nov-24'!$A:$A,'[3]Nov-24'!$H:$H,0)</f>
        <v>0</v>
      </c>
      <c r="Q196" s="17">
        <f>_xlfn.XLOOKUP($B196,'[3]Dec-24'!$A:$A,'[3]Dec-24'!$H:$H,0)</f>
        <v>0</v>
      </c>
      <c r="R196" s="17">
        <f>_xlfn.XLOOKUP($B196,'[3]Jan-25'!$A:$A,'[3]Jan-25'!$H:$H,0)</f>
        <v>0</v>
      </c>
      <c r="S196" s="17">
        <f>_xlfn.XLOOKUP($B196,'[3]Feb-25'!$A:$A,'[3]Feb-25'!$H:$H,0)</f>
        <v>0</v>
      </c>
      <c r="T196" s="17">
        <f>_xlfn.XLOOKUP($B196,'[3]Mar-25'!$A:$A,'[3]Mar-25'!$H:$H,0)</f>
        <v>0</v>
      </c>
      <c r="U196" s="17">
        <f>_xlfn.XLOOKUP($B196,'[3]Apr-25'!$A:$A,'[3]Apr-25'!$H:$H,0)</f>
        <v>0</v>
      </c>
      <c r="V196" s="17">
        <f>_xlfn.XLOOKUP($B196,'[3]May-25'!$A:$A,'[3]May-25'!$H:$H,0)</f>
        <v>0</v>
      </c>
      <c r="W196" s="17">
        <f>_xlfn.XLOOKUP($B196,'[3]Jun-25'!$A:$A,'[3]Jun-25'!$H:$H,0)</f>
        <v>0</v>
      </c>
      <c r="X196" s="17">
        <f>_xlfn.XLOOKUP($B196,'[3]Jul-25'!$A:$A,'[3]Jul-25'!$H:$H,0)</f>
        <v>0</v>
      </c>
      <c r="Y196" s="17">
        <f>_xlfn.XLOOKUP($B196,'[3]Aug-25'!$A:$A,'[3]Aug-25'!$H:$H,0)</f>
        <v>0</v>
      </c>
      <c r="Z196" s="17">
        <f>_xlfn.XLOOKUP($B196,'[3]Sep-25'!$A:$A,'[3]Sep-25'!$H:$H,0)</f>
        <v>0</v>
      </c>
      <c r="AA196" s="17">
        <f>_xlfn.XLOOKUP($B196,'[3]Oct-25'!$A:$A,'[3]Oct-25'!$H:$H,0)</f>
        <v>0</v>
      </c>
      <c r="AB196" s="17">
        <f>_xlfn.XLOOKUP($B196,'[3]Nov-25'!$A:$A,'[3]Nov-25'!$H:$H,0)</f>
        <v>0</v>
      </c>
      <c r="AC196" s="17">
        <f>_xlfn.XLOOKUP($B196,'[3]Dec-25'!$A:$A,'[3]Dec-25'!$H:$H,0)</f>
        <v>0</v>
      </c>
      <c r="AD196" s="17">
        <f>_xlfn.XLOOKUP($B196,'[3]Jan-26'!$A:$A,'[3]Jan-26'!$H:$H,0)</f>
        <v>0</v>
      </c>
      <c r="AE196" s="17">
        <f>_xlfn.XLOOKUP($B196,'[3]Feb-26'!$A:$A,'[3]Feb-26'!$H:$H,0)</f>
        <v>0</v>
      </c>
      <c r="AF196" s="17">
        <f>_xlfn.XLOOKUP($B196,'[3]Mar-26'!$A:$A,'[3]Mar-26'!$H:$H,0)</f>
        <v>0</v>
      </c>
      <c r="AG196" s="17">
        <f>_xlfn.XLOOKUP($B196,'[3]Apr-26'!$A:$A,'[3]Apr-26'!$H:$H,0)</f>
        <v>0</v>
      </c>
    </row>
    <row r="197" spans="1:33" x14ac:dyDescent="0.2">
      <c r="A197" s="58" t="s">
        <v>1147</v>
      </c>
      <c r="B197" s="56" t="str">
        <f t="shared" si="5"/>
        <v>60095</v>
      </c>
      <c r="C197" s="78" t="s">
        <v>552</v>
      </c>
      <c r="D197" s="57" t="s">
        <v>387</v>
      </c>
      <c r="E197" s="44" t="s">
        <v>571</v>
      </c>
      <c r="F197" s="17">
        <f>_xlfn.XLOOKUP($B197,'[3]Jan-24'!$A:$A,'[3]Jan-24'!$H:$H,0)</f>
        <v>0</v>
      </c>
      <c r="G197" s="17">
        <f>_xlfn.XLOOKUP($B197,'[3]Feb-24'!$A:$A,'[3]Feb-24'!$H:$H,0)</f>
        <v>0</v>
      </c>
      <c r="H197" s="17">
        <f>_xlfn.XLOOKUP($B197,'[3]Mar-24'!$A:$A,'[3]Mar-24'!$H:$H,0)</f>
        <v>0</v>
      </c>
      <c r="I197" s="17">
        <f>_xlfn.XLOOKUP($B197,'[3]Apr-24'!$A:$A,'[3]Apr-24'!$H:$H,0)</f>
        <v>0</v>
      </c>
      <c r="J197" s="17">
        <f>_xlfn.XLOOKUP($B197,'[3]May-24'!$A:$A,'[3]May-24'!$H:$H,0)</f>
        <v>0</v>
      </c>
      <c r="K197" s="17">
        <f>_xlfn.XLOOKUP($B197,'[3]Jun-24'!$A:$A,'[3]Jun-24'!$H:$H,0)</f>
        <v>0</v>
      </c>
      <c r="L197" s="17">
        <f>_xlfn.XLOOKUP($B197,'[3]Jul-24'!$A:$A,'[3]Jul-24'!$H:$H,0)</f>
        <v>0</v>
      </c>
      <c r="M197" s="17">
        <f>_xlfn.XLOOKUP($B197,'[3]Aug-24'!$A:$A,'[3]Aug-24'!$H:$H,0)</f>
        <v>0</v>
      </c>
      <c r="N197" s="17">
        <f>_xlfn.XLOOKUP($B197,'[3]Sep-24'!$A:$A,'[3]Sep-24'!$H:$H,0)</f>
        <v>0</v>
      </c>
      <c r="O197" s="17">
        <f>_xlfn.XLOOKUP($B197,'[3]Oct-24'!$A:$A,'[3]Oct-24'!$H:$H,0)</f>
        <v>0</v>
      </c>
      <c r="P197" s="17">
        <f>_xlfn.XLOOKUP($B197,'[3]Nov-24'!$A:$A,'[3]Nov-24'!$H:$H,0)</f>
        <v>0</v>
      </c>
      <c r="Q197" s="17">
        <f>_xlfn.XLOOKUP($B197,'[3]Dec-24'!$A:$A,'[3]Dec-24'!$H:$H,0)</f>
        <v>0</v>
      </c>
      <c r="R197" s="17">
        <f>_xlfn.XLOOKUP($B197,'[3]Jan-25'!$A:$A,'[3]Jan-25'!$H:$H,0)</f>
        <v>0</v>
      </c>
      <c r="S197" s="17">
        <f>_xlfn.XLOOKUP($B197,'[3]Feb-25'!$A:$A,'[3]Feb-25'!$H:$H,0)</f>
        <v>0</v>
      </c>
      <c r="T197" s="17">
        <f>_xlfn.XLOOKUP($B197,'[3]Mar-25'!$A:$A,'[3]Mar-25'!$H:$H,0)</f>
        <v>0</v>
      </c>
      <c r="U197" s="17">
        <f>_xlfn.XLOOKUP($B197,'[3]Apr-25'!$A:$A,'[3]Apr-25'!$H:$H,0)</f>
        <v>0</v>
      </c>
      <c r="V197" s="17">
        <f>_xlfn.XLOOKUP($B197,'[3]May-25'!$A:$A,'[3]May-25'!$H:$H,0)</f>
        <v>0</v>
      </c>
      <c r="W197" s="17">
        <f>_xlfn.XLOOKUP($B197,'[3]Jun-25'!$A:$A,'[3]Jun-25'!$H:$H,0)</f>
        <v>0</v>
      </c>
      <c r="X197" s="17">
        <f>_xlfn.XLOOKUP($B197,'[3]Jul-25'!$A:$A,'[3]Jul-25'!$H:$H,0)</f>
        <v>0</v>
      </c>
      <c r="Y197" s="17">
        <f>_xlfn.XLOOKUP($B197,'[3]Aug-25'!$A:$A,'[3]Aug-25'!$H:$H,0)</f>
        <v>0</v>
      </c>
      <c r="Z197" s="17">
        <f>_xlfn.XLOOKUP($B197,'[3]Sep-25'!$A:$A,'[3]Sep-25'!$H:$H,0)</f>
        <v>0</v>
      </c>
      <c r="AA197" s="17">
        <f>_xlfn.XLOOKUP($B197,'[3]Oct-25'!$A:$A,'[3]Oct-25'!$H:$H,0)</f>
        <v>0</v>
      </c>
      <c r="AB197" s="17">
        <f>_xlfn.XLOOKUP($B197,'[3]Nov-25'!$A:$A,'[3]Nov-25'!$H:$H,0)</f>
        <v>0</v>
      </c>
      <c r="AC197" s="17">
        <f>_xlfn.XLOOKUP($B197,'[3]Dec-25'!$A:$A,'[3]Dec-25'!$H:$H,0)</f>
        <v>0</v>
      </c>
      <c r="AD197" s="17">
        <f>_xlfn.XLOOKUP($B197,'[3]Jan-26'!$A:$A,'[3]Jan-26'!$H:$H,0)</f>
        <v>0</v>
      </c>
      <c r="AE197" s="17">
        <f>_xlfn.XLOOKUP($B197,'[3]Feb-26'!$A:$A,'[3]Feb-26'!$H:$H,0)</f>
        <v>0</v>
      </c>
      <c r="AF197" s="17">
        <f>_xlfn.XLOOKUP($B197,'[3]Mar-26'!$A:$A,'[3]Mar-26'!$H:$H,0)</f>
        <v>0</v>
      </c>
      <c r="AG197" s="17">
        <f>_xlfn.XLOOKUP($B197,'[3]Apr-26'!$A:$A,'[3]Apr-26'!$H:$H,0)</f>
        <v>0</v>
      </c>
    </row>
    <row r="198" spans="1:33" x14ac:dyDescent="0.2">
      <c r="A198" s="58" t="s">
        <v>1148</v>
      </c>
      <c r="B198" s="56" t="str">
        <f t="shared" si="5"/>
        <v>60096</v>
      </c>
      <c r="C198" s="78" t="s">
        <v>572</v>
      </c>
      <c r="D198" s="57" t="s">
        <v>387</v>
      </c>
      <c r="E198" s="44" t="s">
        <v>573</v>
      </c>
      <c r="F198" s="17">
        <f>_xlfn.XLOOKUP($B198,'[3]Jan-24'!$A:$A,'[3]Jan-24'!$H:$H,0)</f>
        <v>0</v>
      </c>
      <c r="G198" s="17">
        <f>_xlfn.XLOOKUP($B198,'[3]Feb-24'!$A:$A,'[3]Feb-24'!$H:$H,0)</f>
        <v>0</v>
      </c>
      <c r="H198" s="17">
        <f>_xlfn.XLOOKUP($B198,'[3]Mar-24'!$A:$A,'[3]Mar-24'!$H:$H,0)</f>
        <v>0</v>
      </c>
      <c r="I198" s="17">
        <f>_xlfn.XLOOKUP($B198,'[3]Apr-24'!$A:$A,'[3]Apr-24'!$H:$H,0)</f>
        <v>0</v>
      </c>
      <c r="J198" s="17">
        <f>_xlfn.XLOOKUP($B198,'[3]May-24'!$A:$A,'[3]May-24'!$H:$H,0)</f>
        <v>0</v>
      </c>
      <c r="K198" s="17">
        <f>_xlfn.XLOOKUP($B198,'[3]Jun-24'!$A:$A,'[3]Jun-24'!$H:$H,0)</f>
        <v>0</v>
      </c>
      <c r="L198" s="17">
        <f>_xlfn.XLOOKUP($B198,'[3]Jul-24'!$A:$A,'[3]Jul-24'!$H:$H,0)</f>
        <v>0</v>
      </c>
      <c r="M198" s="17">
        <f>_xlfn.XLOOKUP($B198,'[3]Aug-24'!$A:$A,'[3]Aug-24'!$H:$H,0)</f>
        <v>0</v>
      </c>
      <c r="N198" s="17">
        <f>_xlfn.XLOOKUP($B198,'[3]Sep-24'!$A:$A,'[3]Sep-24'!$H:$H,0)</f>
        <v>0</v>
      </c>
      <c r="O198" s="17">
        <f>_xlfn.XLOOKUP($B198,'[3]Oct-24'!$A:$A,'[3]Oct-24'!$H:$H,0)</f>
        <v>0</v>
      </c>
      <c r="P198" s="17">
        <f>_xlfn.XLOOKUP($B198,'[3]Nov-24'!$A:$A,'[3]Nov-24'!$H:$H,0)</f>
        <v>0</v>
      </c>
      <c r="Q198" s="17">
        <f>_xlfn.XLOOKUP($B198,'[3]Dec-24'!$A:$A,'[3]Dec-24'!$H:$H,0)</f>
        <v>0</v>
      </c>
      <c r="R198" s="17">
        <f>_xlfn.XLOOKUP($B198,'[3]Jan-25'!$A:$A,'[3]Jan-25'!$H:$H,0)</f>
        <v>0</v>
      </c>
      <c r="S198" s="17">
        <f>_xlfn.XLOOKUP($B198,'[3]Feb-25'!$A:$A,'[3]Feb-25'!$H:$H,0)</f>
        <v>0</v>
      </c>
      <c r="T198" s="17">
        <f>_xlfn.XLOOKUP($B198,'[3]Mar-25'!$A:$A,'[3]Mar-25'!$H:$H,0)</f>
        <v>0</v>
      </c>
      <c r="U198" s="17">
        <f>_xlfn.XLOOKUP($B198,'[3]Apr-25'!$A:$A,'[3]Apr-25'!$H:$H,0)</f>
        <v>0</v>
      </c>
      <c r="V198" s="17">
        <f>_xlfn.XLOOKUP($B198,'[3]May-25'!$A:$A,'[3]May-25'!$H:$H,0)</f>
        <v>0</v>
      </c>
      <c r="W198" s="17">
        <f>_xlfn.XLOOKUP($B198,'[3]Jun-25'!$A:$A,'[3]Jun-25'!$H:$H,0)</f>
        <v>0</v>
      </c>
      <c r="X198" s="17">
        <f>_xlfn.XLOOKUP($B198,'[3]Jul-25'!$A:$A,'[3]Jul-25'!$H:$H,0)</f>
        <v>0</v>
      </c>
      <c r="Y198" s="17">
        <f>_xlfn.XLOOKUP($B198,'[3]Aug-25'!$A:$A,'[3]Aug-25'!$H:$H,0)</f>
        <v>0</v>
      </c>
      <c r="Z198" s="17">
        <f>_xlfn.XLOOKUP($B198,'[3]Sep-25'!$A:$A,'[3]Sep-25'!$H:$H,0)</f>
        <v>0</v>
      </c>
      <c r="AA198" s="17">
        <f>_xlfn.XLOOKUP($B198,'[3]Oct-25'!$A:$A,'[3]Oct-25'!$H:$H,0)</f>
        <v>0</v>
      </c>
      <c r="AB198" s="17">
        <f>_xlfn.XLOOKUP($B198,'[3]Nov-25'!$A:$A,'[3]Nov-25'!$H:$H,0)</f>
        <v>0</v>
      </c>
      <c r="AC198" s="17">
        <f>_xlfn.XLOOKUP($B198,'[3]Dec-25'!$A:$A,'[3]Dec-25'!$H:$H,0)</f>
        <v>0</v>
      </c>
      <c r="AD198" s="17">
        <f>_xlfn.XLOOKUP($B198,'[3]Jan-26'!$A:$A,'[3]Jan-26'!$H:$H,0)</f>
        <v>0</v>
      </c>
      <c r="AE198" s="17">
        <f>_xlfn.XLOOKUP($B198,'[3]Feb-26'!$A:$A,'[3]Feb-26'!$H:$H,0)</f>
        <v>0</v>
      </c>
      <c r="AF198" s="17">
        <f>_xlfn.XLOOKUP($B198,'[3]Mar-26'!$A:$A,'[3]Mar-26'!$H:$H,0)</f>
        <v>0</v>
      </c>
      <c r="AG198" s="17">
        <f>_xlfn.XLOOKUP($B198,'[3]Apr-26'!$A:$A,'[3]Apr-26'!$H:$H,0)</f>
        <v>0</v>
      </c>
    </row>
    <row r="199" spans="1:33" x14ac:dyDescent="0.2">
      <c r="A199" s="58" t="s">
        <v>1149</v>
      </c>
      <c r="B199" s="56" t="str">
        <f t="shared" si="5"/>
        <v>60100</v>
      </c>
      <c r="C199" s="78" t="s">
        <v>574</v>
      </c>
      <c r="D199" s="57" t="s">
        <v>387</v>
      </c>
      <c r="E199" s="44" t="s">
        <v>575</v>
      </c>
      <c r="F199" s="17">
        <f>_xlfn.XLOOKUP($B199,'[3]Jan-24'!$A:$A,'[3]Jan-24'!$H:$H,0)</f>
        <v>0</v>
      </c>
      <c r="G199" s="17">
        <f>_xlfn.XLOOKUP($B199,'[3]Feb-24'!$A:$A,'[3]Feb-24'!$H:$H,0)</f>
        <v>0</v>
      </c>
      <c r="H199" s="17">
        <f>_xlfn.XLOOKUP($B199,'[3]Mar-24'!$A:$A,'[3]Mar-24'!$H:$H,0)</f>
        <v>0</v>
      </c>
      <c r="I199" s="17">
        <f>_xlfn.XLOOKUP($B199,'[3]Apr-24'!$A:$A,'[3]Apr-24'!$H:$H,0)</f>
        <v>0</v>
      </c>
      <c r="J199" s="17">
        <f>_xlfn.XLOOKUP($B199,'[3]May-24'!$A:$A,'[3]May-24'!$H:$H,0)</f>
        <v>0</v>
      </c>
      <c r="K199" s="17">
        <f>_xlfn.XLOOKUP($B199,'[3]Jun-24'!$A:$A,'[3]Jun-24'!$H:$H,0)</f>
        <v>0</v>
      </c>
      <c r="L199" s="17">
        <f>_xlfn.XLOOKUP($B199,'[3]Jul-24'!$A:$A,'[3]Jul-24'!$H:$H,0)</f>
        <v>0</v>
      </c>
      <c r="M199" s="17">
        <f>_xlfn.XLOOKUP($B199,'[3]Aug-24'!$A:$A,'[3]Aug-24'!$H:$H,0)</f>
        <v>0</v>
      </c>
      <c r="N199" s="17">
        <f>_xlfn.XLOOKUP($B199,'[3]Sep-24'!$A:$A,'[3]Sep-24'!$H:$H,0)</f>
        <v>0</v>
      </c>
      <c r="O199" s="17">
        <f>_xlfn.XLOOKUP($B199,'[3]Oct-24'!$A:$A,'[3]Oct-24'!$H:$H,0)</f>
        <v>0</v>
      </c>
      <c r="P199" s="17">
        <f>_xlfn.XLOOKUP($B199,'[3]Nov-24'!$A:$A,'[3]Nov-24'!$H:$H,0)</f>
        <v>0</v>
      </c>
      <c r="Q199" s="17">
        <f>_xlfn.XLOOKUP($B199,'[3]Dec-24'!$A:$A,'[3]Dec-24'!$H:$H,0)</f>
        <v>0</v>
      </c>
      <c r="R199" s="17">
        <f>_xlfn.XLOOKUP($B199,'[3]Jan-25'!$A:$A,'[3]Jan-25'!$H:$H,0)</f>
        <v>0</v>
      </c>
      <c r="S199" s="17">
        <f>_xlfn.XLOOKUP($B199,'[3]Feb-25'!$A:$A,'[3]Feb-25'!$H:$H,0)</f>
        <v>0</v>
      </c>
      <c r="T199" s="17">
        <f>_xlfn.XLOOKUP($B199,'[3]Mar-25'!$A:$A,'[3]Mar-25'!$H:$H,0)</f>
        <v>0</v>
      </c>
      <c r="U199" s="17">
        <f>_xlfn.XLOOKUP($B199,'[3]Apr-25'!$A:$A,'[3]Apr-25'!$H:$H,0)</f>
        <v>0</v>
      </c>
      <c r="V199" s="17">
        <f>_xlfn.XLOOKUP($B199,'[3]May-25'!$A:$A,'[3]May-25'!$H:$H,0)</f>
        <v>0</v>
      </c>
      <c r="W199" s="17">
        <f>_xlfn.XLOOKUP($B199,'[3]Jun-25'!$A:$A,'[3]Jun-25'!$H:$H,0)</f>
        <v>0</v>
      </c>
      <c r="X199" s="17">
        <f>_xlfn.XLOOKUP($B199,'[3]Jul-25'!$A:$A,'[3]Jul-25'!$H:$H,0)</f>
        <v>0</v>
      </c>
      <c r="Y199" s="17">
        <f>_xlfn.XLOOKUP($B199,'[3]Aug-25'!$A:$A,'[3]Aug-25'!$H:$H,0)</f>
        <v>0</v>
      </c>
      <c r="Z199" s="17">
        <f>_xlfn.XLOOKUP($B199,'[3]Sep-25'!$A:$A,'[3]Sep-25'!$H:$H,0)</f>
        <v>0</v>
      </c>
      <c r="AA199" s="17">
        <f>_xlfn.XLOOKUP($B199,'[3]Oct-25'!$A:$A,'[3]Oct-25'!$H:$H,0)</f>
        <v>0</v>
      </c>
      <c r="AB199" s="17">
        <f>_xlfn.XLOOKUP($B199,'[3]Nov-25'!$A:$A,'[3]Nov-25'!$H:$H,0)</f>
        <v>0</v>
      </c>
      <c r="AC199" s="17">
        <f>_xlfn.XLOOKUP($B199,'[3]Dec-25'!$A:$A,'[3]Dec-25'!$H:$H,0)</f>
        <v>0</v>
      </c>
      <c r="AD199" s="17">
        <f>_xlfn.XLOOKUP($B199,'[3]Jan-26'!$A:$A,'[3]Jan-26'!$H:$H,0)</f>
        <v>0</v>
      </c>
      <c r="AE199" s="17">
        <f>_xlfn.XLOOKUP($B199,'[3]Feb-26'!$A:$A,'[3]Feb-26'!$H:$H,0)</f>
        <v>0</v>
      </c>
      <c r="AF199" s="17">
        <f>_xlfn.XLOOKUP($B199,'[3]Mar-26'!$A:$A,'[3]Mar-26'!$H:$H,0)</f>
        <v>0</v>
      </c>
      <c r="AG199" s="17">
        <f>_xlfn.XLOOKUP($B199,'[3]Apr-26'!$A:$A,'[3]Apr-26'!$H:$H,0)</f>
        <v>0</v>
      </c>
    </row>
    <row r="200" spans="1:33" x14ac:dyDescent="0.2">
      <c r="A200" s="58" t="s">
        <v>1150</v>
      </c>
      <c r="B200" s="56" t="str">
        <f t="shared" si="5"/>
        <v>60110</v>
      </c>
      <c r="C200" s="78" t="s">
        <v>574</v>
      </c>
      <c r="D200" s="57" t="s">
        <v>387</v>
      </c>
      <c r="E200" s="44" t="s">
        <v>576</v>
      </c>
      <c r="F200" s="17">
        <f>_xlfn.XLOOKUP($B200,'[3]Jan-24'!$A:$A,'[3]Jan-24'!$H:$H,0)</f>
        <v>0</v>
      </c>
      <c r="G200" s="17">
        <f>_xlfn.XLOOKUP($B200,'[3]Feb-24'!$A:$A,'[3]Feb-24'!$H:$H,0)</f>
        <v>0</v>
      </c>
      <c r="H200" s="17">
        <f>_xlfn.XLOOKUP($B200,'[3]Mar-24'!$A:$A,'[3]Mar-24'!$H:$H,0)</f>
        <v>0</v>
      </c>
      <c r="I200" s="17">
        <f>_xlfn.XLOOKUP($B200,'[3]Apr-24'!$A:$A,'[3]Apr-24'!$H:$H,0)</f>
        <v>0</v>
      </c>
      <c r="J200" s="17">
        <f>_xlfn.XLOOKUP($B200,'[3]May-24'!$A:$A,'[3]May-24'!$H:$H,0)</f>
        <v>0</v>
      </c>
      <c r="K200" s="17">
        <f>_xlfn.XLOOKUP($B200,'[3]Jun-24'!$A:$A,'[3]Jun-24'!$H:$H,0)</f>
        <v>0</v>
      </c>
      <c r="L200" s="17">
        <f>_xlfn.XLOOKUP($B200,'[3]Jul-24'!$A:$A,'[3]Jul-24'!$H:$H,0)</f>
        <v>0</v>
      </c>
      <c r="M200" s="17">
        <f>_xlfn.XLOOKUP($B200,'[3]Aug-24'!$A:$A,'[3]Aug-24'!$H:$H,0)</f>
        <v>0</v>
      </c>
      <c r="N200" s="17">
        <f>_xlfn.XLOOKUP($B200,'[3]Sep-24'!$A:$A,'[3]Sep-24'!$H:$H,0)</f>
        <v>0</v>
      </c>
      <c r="O200" s="17">
        <f>_xlfn.XLOOKUP($B200,'[3]Oct-24'!$A:$A,'[3]Oct-24'!$H:$H,0)</f>
        <v>0</v>
      </c>
      <c r="P200" s="17">
        <f>_xlfn.XLOOKUP($B200,'[3]Nov-24'!$A:$A,'[3]Nov-24'!$H:$H,0)</f>
        <v>0</v>
      </c>
      <c r="Q200" s="17">
        <f>_xlfn.XLOOKUP($B200,'[3]Dec-24'!$A:$A,'[3]Dec-24'!$H:$H,0)</f>
        <v>0</v>
      </c>
      <c r="R200" s="17">
        <f>_xlfn.XLOOKUP($B200,'[3]Jan-25'!$A:$A,'[3]Jan-25'!$H:$H,0)</f>
        <v>0</v>
      </c>
      <c r="S200" s="17">
        <f>_xlfn.XLOOKUP($B200,'[3]Feb-25'!$A:$A,'[3]Feb-25'!$H:$H,0)</f>
        <v>0</v>
      </c>
      <c r="T200" s="17">
        <f>_xlfn.XLOOKUP($B200,'[3]Mar-25'!$A:$A,'[3]Mar-25'!$H:$H,0)</f>
        <v>0</v>
      </c>
      <c r="U200" s="17">
        <f>_xlfn.XLOOKUP($B200,'[3]Apr-25'!$A:$A,'[3]Apr-25'!$H:$H,0)</f>
        <v>0</v>
      </c>
      <c r="V200" s="17">
        <f>_xlfn.XLOOKUP($B200,'[3]May-25'!$A:$A,'[3]May-25'!$H:$H,0)</f>
        <v>0</v>
      </c>
      <c r="W200" s="17">
        <f>_xlfn.XLOOKUP($B200,'[3]Jun-25'!$A:$A,'[3]Jun-25'!$H:$H,0)</f>
        <v>0</v>
      </c>
      <c r="X200" s="17">
        <f>_xlfn.XLOOKUP($B200,'[3]Jul-25'!$A:$A,'[3]Jul-25'!$H:$H,0)</f>
        <v>0</v>
      </c>
      <c r="Y200" s="17">
        <f>_xlfn.XLOOKUP($B200,'[3]Aug-25'!$A:$A,'[3]Aug-25'!$H:$H,0)</f>
        <v>0</v>
      </c>
      <c r="Z200" s="17">
        <f>_xlfn.XLOOKUP($B200,'[3]Sep-25'!$A:$A,'[3]Sep-25'!$H:$H,0)</f>
        <v>0</v>
      </c>
      <c r="AA200" s="17">
        <f>_xlfn.XLOOKUP($B200,'[3]Oct-25'!$A:$A,'[3]Oct-25'!$H:$H,0)</f>
        <v>0</v>
      </c>
      <c r="AB200" s="17">
        <f>_xlfn.XLOOKUP($B200,'[3]Nov-25'!$A:$A,'[3]Nov-25'!$H:$H,0)</f>
        <v>0</v>
      </c>
      <c r="AC200" s="17">
        <f>_xlfn.XLOOKUP($B200,'[3]Dec-25'!$A:$A,'[3]Dec-25'!$H:$H,0)</f>
        <v>0</v>
      </c>
      <c r="AD200" s="17">
        <f>_xlfn.XLOOKUP($B200,'[3]Jan-26'!$A:$A,'[3]Jan-26'!$H:$H,0)</f>
        <v>0</v>
      </c>
      <c r="AE200" s="17">
        <f>_xlfn.XLOOKUP($B200,'[3]Feb-26'!$A:$A,'[3]Feb-26'!$H:$H,0)</f>
        <v>0</v>
      </c>
      <c r="AF200" s="17">
        <f>_xlfn.XLOOKUP($B200,'[3]Mar-26'!$A:$A,'[3]Mar-26'!$H:$H,0)</f>
        <v>0</v>
      </c>
      <c r="AG200" s="17">
        <f>_xlfn.XLOOKUP($B200,'[3]Apr-26'!$A:$A,'[3]Apr-26'!$H:$H,0)</f>
        <v>0</v>
      </c>
    </row>
    <row r="201" spans="1:33" x14ac:dyDescent="0.2">
      <c r="A201" s="58" t="s">
        <v>1151</v>
      </c>
      <c r="B201" s="56" t="str">
        <f t="shared" si="5"/>
        <v>60115</v>
      </c>
      <c r="C201" s="78" t="s">
        <v>574</v>
      </c>
      <c r="D201" s="57" t="s">
        <v>387</v>
      </c>
      <c r="E201" s="44" t="s">
        <v>577</v>
      </c>
      <c r="F201" s="17">
        <f>_xlfn.XLOOKUP($B201,'[3]Jan-24'!$A:$A,'[3]Jan-24'!$H:$H,0)</f>
        <v>0</v>
      </c>
      <c r="G201" s="17">
        <f>_xlfn.XLOOKUP($B201,'[3]Feb-24'!$A:$A,'[3]Feb-24'!$H:$H,0)</f>
        <v>0</v>
      </c>
      <c r="H201" s="17">
        <f>_xlfn.XLOOKUP($B201,'[3]Mar-24'!$A:$A,'[3]Mar-24'!$H:$H,0)</f>
        <v>0</v>
      </c>
      <c r="I201" s="17">
        <f>_xlfn.XLOOKUP($B201,'[3]Apr-24'!$A:$A,'[3]Apr-24'!$H:$H,0)</f>
        <v>0</v>
      </c>
      <c r="J201" s="17">
        <f>_xlfn.XLOOKUP($B201,'[3]May-24'!$A:$A,'[3]May-24'!$H:$H,0)</f>
        <v>0</v>
      </c>
      <c r="K201" s="17">
        <f>_xlfn.XLOOKUP($B201,'[3]Jun-24'!$A:$A,'[3]Jun-24'!$H:$H,0)</f>
        <v>0</v>
      </c>
      <c r="L201" s="17">
        <f>_xlfn.XLOOKUP($B201,'[3]Jul-24'!$A:$A,'[3]Jul-24'!$H:$H,0)</f>
        <v>0</v>
      </c>
      <c r="M201" s="17">
        <f>_xlfn.XLOOKUP($B201,'[3]Aug-24'!$A:$A,'[3]Aug-24'!$H:$H,0)</f>
        <v>0</v>
      </c>
      <c r="N201" s="17">
        <f>_xlfn.XLOOKUP($B201,'[3]Sep-24'!$A:$A,'[3]Sep-24'!$H:$H,0)</f>
        <v>0</v>
      </c>
      <c r="O201" s="17">
        <f>_xlfn.XLOOKUP($B201,'[3]Oct-24'!$A:$A,'[3]Oct-24'!$H:$H,0)</f>
        <v>0</v>
      </c>
      <c r="P201" s="17">
        <f>_xlfn.XLOOKUP($B201,'[3]Nov-24'!$A:$A,'[3]Nov-24'!$H:$H,0)</f>
        <v>0</v>
      </c>
      <c r="Q201" s="17">
        <f>_xlfn.XLOOKUP($B201,'[3]Dec-24'!$A:$A,'[3]Dec-24'!$H:$H,0)</f>
        <v>0</v>
      </c>
      <c r="R201" s="17">
        <f>_xlfn.XLOOKUP($B201,'[3]Jan-25'!$A:$A,'[3]Jan-25'!$H:$H,0)</f>
        <v>0</v>
      </c>
      <c r="S201" s="17">
        <f>_xlfn.XLOOKUP($B201,'[3]Feb-25'!$A:$A,'[3]Feb-25'!$H:$H,0)</f>
        <v>0</v>
      </c>
      <c r="T201" s="17">
        <f>_xlfn.XLOOKUP($B201,'[3]Mar-25'!$A:$A,'[3]Mar-25'!$H:$H,0)</f>
        <v>0</v>
      </c>
      <c r="U201" s="17">
        <f>_xlfn.XLOOKUP($B201,'[3]Apr-25'!$A:$A,'[3]Apr-25'!$H:$H,0)</f>
        <v>0</v>
      </c>
      <c r="V201" s="17">
        <f>_xlfn.XLOOKUP($B201,'[3]May-25'!$A:$A,'[3]May-25'!$H:$H,0)</f>
        <v>0</v>
      </c>
      <c r="W201" s="17">
        <f>_xlfn.XLOOKUP($B201,'[3]Jun-25'!$A:$A,'[3]Jun-25'!$H:$H,0)</f>
        <v>0</v>
      </c>
      <c r="X201" s="17">
        <f>_xlfn.XLOOKUP($B201,'[3]Jul-25'!$A:$A,'[3]Jul-25'!$H:$H,0)</f>
        <v>0</v>
      </c>
      <c r="Y201" s="17">
        <f>_xlfn.XLOOKUP($B201,'[3]Aug-25'!$A:$A,'[3]Aug-25'!$H:$H,0)</f>
        <v>0</v>
      </c>
      <c r="Z201" s="17">
        <f>_xlfn.XLOOKUP($B201,'[3]Sep-25'!$A:$A,'[3]Sep-25'!$H:$H,0)</f>
        <v>0</v>
      </c>
      <c r="AA201" s="17">
        <f>_xlfn.XLOOKUP($B201,'[3]Oct-25'!$A:$A,'[3]Oct-25'!$H:$H,0)</f>
        <v>0</v>
      </c>
      <c r="AB201" s="17">
        <f>_xlfn.XLOOKUP($B201,'[3]Nov-25'!$A:$A,'[3]Nov-25'!$H:$H,0)</f>
        <v>0</v>
      </c>
      <c r="AC201" s="17">
        <f>_xlfn.XLOOKUP($B201,'[3]Dec-25'!$A:$A,'[3]Dec-25'!$H:$H,0)</f>
        <v>0</v>
      </c>
      <c r="AD201" s="17">
        <f>_xlfn.XLOOKUP($B201,'[3]Jan-26'!$A:$A,'[3]Jan-26'!$H:$H,0)</f>
        <v>0</v>
      </c>
      <c r="AE201" s="17">
        <f>_xlfn.XLOOKUP($B201,'[3]Feb-26'!$A:$A,'[3]Feb-26'!$H:$H,0)</f>
        <v>0</v>
      </c>
      <c r="AF201" s="17">
        <f>_xlfn.XLOOKUP($B201,'[3]Mar-26'!$A:$A,'[3]Mar-26'!$H:$H,0)</f>
        <v>0</v>
      </c>
      <c r="AG201" s="17">
        <f>_xlfn.XLOOKUP($B201,'[3]Apr-26'!$A:$A,'[3]Apr-26'!$H:$H,0)</f>
        <v>0</v>
      </c>
    </row>
    <row r="202" spans="1:33" x14ac:dyDescent="0.2">
      <c r="A202" s="58" t="s">
        <v>1152</v>
      </c>
      <c r="B202" s="56" t="str">
        <f t="shared" si="5"/>
        <v>60120</v>
      </c>
      <c r="C202" s="78" t="s">
        <v>574</v>
      </c>
      <c r="D202" s="57" t="s">
        <v>387</v>
      </c>
      <c r="E202" s="44" t="s">
        <v>578</v>
      </c>
      <c r="F202" s="17">
        <f>_xlfn.XLOOKUP($B202,'[3]Jan-24'!$A:$A,'[3]Jan-24'!$H:$H,0)</f>
        <v>0</v>
      </c>
      <c r="G202" s="17">
        <f>_xlfn.XLOOKUP($B202,'[3]Feb-24'!$A:$A,'[3]Feb-24'!$H:$H,0)</f>
        <v>0</v>
      </c>
      <c r="H202" s="17">
        <f>_xlfn.XLOOKUP($B202,'[3]Mar-24'!$A:$A,'[3]Mar-24'!$H:$H,0)</f>
        <v>0</v>
      </c>
      <c r="I202" s="17">
        <f>_xlfn.XLOOKUP($B202,'[3]Apr-24'!$A:$A,'[3]Apr-24'!$H:$H,0)</f>
        <v>0</v>
      </c>
      <c r="J202" s="17">
        <f>_xlfn.XLOOKUP($B202,'[3]May-24'!$A:$A,'[3]May-24'!$H:$H,0)</f>
        <v>0</v>
      </c>
      <c r="K202" s="17">
        <f>_xlfn.XLOOKUP($B202,'[3]Jun-24'!$A:$A,'[3]Jun-24'!$H:$H,0)</f>
        <v>0</v>
      </c>
      <c r="L202" s="17">
        <f>_xlfn.XLOOKUP($B202,'[3]Jul-24'!$A:$A,'[3]Jul-24'!$H:$H,0)</f>
        <v>0</v>
      </c>
      <c r="M202" s="17">
        <f>_xlfn.XLOOKUP($B202,'[3]Aug-24'!$A:$A,'[3]Aug-24'!$H:$H,0)</f>
        <v>0</v>
      </c>
      <c r="N202" s="17">
        <f>_xlfn.XLOOKUP($B202,'[3]Sep-24'!$A:$A,'[3]Sep-24'!$H:$H,0)</f>
        <v>0</v>
      </c>
      <c r="O202" s="17">
        <f>_xlfn.XLOOKUP($B202,'[3]Oct-24'!$A:$A,'[3]Oct-24'!$H:$H,0)</f>
        <v>0</v>
      </c>
      <c r="P202" s="17">
        <f>_xlfn.XLOOKUP($B202,'[3]Nov-24'!$A:$A,'[3]Nov-24'!$H:$H,0)</f>
        <v>0</v>
      </c>
      <c r="Q202" s="17">
        <f>_xlfn.XLOOKUP($B202,'[3]Dec-24'!$A:$A,'[3]Dec-24'!$H:$H,0)</f>
        <v>0</v>
      </c>
      <c r="R202" s="17">
        <f>_xlfn.XLOOKUP($B202,'[3]Jan-25'!$A:$A,'[3]Jan-25'!$H:$H,0)</f>
        <v>0</v>
      </c>
      <c r="S202" s="17">
        <f>_xlfn.XLOOKUP($B202,'[3]Feb-25'!$A:$A,'[3]Feb-25'!$H:$H,0)</f>
        <v>0</v>
      </c>
      <c r="T202" s="17">
        <f>_xlfn.XLOOKUP($B202,'[3]Mar-25'!$A:$A,'[3]Mar-25'!$H:$H,0)</f>
        <v>0</v>
      </c>
      <c r="U202" s="17">
        <f>_xlfn.XLOOKUP($B202,'[3]Apr-25'!$A:$A,'[3]Apr-25'!$H:$H,0)</f>
        <v>0</v>
      </c>
      <c r="V202" s="17">
        <f>_xlfn.XLOOKUP($B202,'[3]May-25'!$A:$A,'[3]May-25'!$H:$H,0)</f>
        <v>0</v>
      </c>
      <c r="W202" s="17">
        <f>_xlfn.XLOOKUP($B202,'[3]Jun-25'!$A:$A,'[3]Jun-25'!$H:$H,0)</f>
        <v>0</v>
      </c>
      <c r="X202" s="17">
        <f>_xlfn.XLOOKUP($B202,'[3]Jul-25'!$A:$A,'[3]Jul-25'!$H:$H,0)</f>
        <v>0</v>
      </c>
      <c r="Y202" s="17">
        <f>_xlfn.XLOOKUP($B202,'[3]Aug-25'!$A:$A,'[3]Aug-25'!$H:$H,0)</f>
        <v>0</v>
      </c>
      <c r="Z202" s="17">
        <f>_xlfn.XLOOKUP($B202,'[3]Sep-25'!$A:$A,'[3]Sep-25'!$H:$H,0)</f>
        <v>0</v>
      </c>
      <c r="AA202" s="17">
        <f>_xlfn.XLOOKUP($B202,'[3]Oct-25'!$A:$A,'[3]Oct-25'!$H:$H,0)</f>
        <v>0</v>
      </c>
      <c r="AB202" s="17">
        <f>_xlfn.XLOOKUP($B202,'[3]Nov-25'!$A:$A,'[3]Nov-25'!$H:$H,0)</f>
        <v>0</v>
      </c>
      <c r="AC202" s="17">
        <f>_xlfn.XLOOKUP($B202,'[3]Dec-25'!$A:$A,'[3]Dec-25'!$H:$H,0)</f>
        <v>0</v>
      </c>
      <c r="AD202" s="17">
        <f>_xlfn.XLOOKUP($B202,'[3]Jan-26'!$A:$A,'[3]Jan-26'!$H:$H,0)</f>
        <v>0</v>
      </c>
      <c r="AE202" s="17">
        <f>_xlfn.XLOOKUP($B202,'[3]Feb-26'!$A:$A,'[3]Feb-26'!$H:$H,0)</f>
        <v>0</v>
      </c>
      <c r="AF202" s="17">
        <f>_xlfn.XLOOKUP($B202,'[3]Mar-26'!$A:$A,'[3]Mar-26'!$H:$H,0)</f>
        <v>0</v>
      </c>
      <c r="AG202" s="17">
        <f>_xlfn.XLOOKUP($B202,'[3]Apr-26'!$A:$A,'[3]Apr-26'!$H:$H,0)</f>
        <v>0</v>
      </c>
    </row>
    <row r="203" spans="1:33" x14ac:dyDescent="0.2">
      <c r="A203" s="58" t="s">
        <v>1153</v>
      </c>
      <c r="B203" s="56" t="str">
        <f t="shared" si="5"/>
        <v>60125</v>
      </c>
      <c r="C203" s="78" t="s">
        <v>574</v>
      </c>
      <c r="D203" s="57" t="s">
        <v>387</v>
      </c>
      <c r="E203" s="44" t="s">
        <v>579</v>
      </c>
      <c r="F203" s="17">
        <f>_xlfn.XLOOKUP($B203,'[3]Jan-24'!$A:$A,'[3]Jan-24'!$H:$H,0)</f>
        <v>0</v>
      </c>
      <c r="G203" s="17">
        <f>_xlfn.XLOOKUP($B203,'[3]Feb-24'!$A:$A,'[3]Feb-24'!$H:$H,0)</f>
        <v>0</v>
      </c>
      <c r="H203" s="17">
        <f>_xlfn.XLOOKUP($B203,'[3]Mar-24'!$A:$A,'[3]Mar-24'!$H:$H,0)</f>
        <v>0</v>
      </c>
      <c r="I203" s="17">
        <f>_xlfn.XLOOKUP($B203,'[3]Apr-24'!$A:$A,'[3]Apr-24'!$H:$H,0)</f>
        <v>0</v>
      </c>
      <c r="J203" s="17">
        <f>_xlfn.XLOOKUP($B203,'[3]May-24'!$A:$A,'[3]May-24'!$H:$H,0)</f>
        <v>0</v>
      </c>
      <c r="K203" s="17">
        <f>_xlfn.XLOOKUP($B203,'[3]Jun-24'!$A:$A,'[3]Jun-24'!$H:$H,0)</f>
        <v>0</v>
      </c>
      <c r="L203" s="17">
        <f>_xlfn.XLOOKUP($B203,'[3]Jul-24'!$A:$A,'[3]Jul-24'!$H:$H,0)</f>
        <v>0</v>
      </c>
      <c r="M203" s="17">
        <f>_xlfn.XLOOKUP($B203,'[3]Aug-24'!$A:$A,'[3]Aug-24'!$H:$H,0)</f>
        <v>0</v>
      </c>
      <c r="N203" s="17">
        <f>_xlfn.XLOOKUP($B203,'[3]Sep-24'!$A:$A,'[3]Sep-24'!$H:$H,0)</f>
        <v>0</v>
      </c>
      <c r="O203" s="17">
        <f>_xlfn.XLOOKUP($B203,'[3]Oct-24'!$A:$A,'[3]Oct-24'!$H:$H,0)</f>
        <v>0</v>
      </c>
      <c r="P203" s="17">
        <f>_xlfn.XLOOKUP($B203,'[3]Nov-24'!$A:$A,'[3]Nov-24'!$H:$H,0)</f>
        <v>0</v>
      </c>
      <c r="Q203" s="17">
        <f>_xlfn.XLOOKUP($B203,'[3]Dec-24'!$A:$A,'[3]Dec-24'!$H:$H,0)</f>
        <v>0</v>
      </c>
      <c r="R203" s="17">
        <f>_xlfn.XLOOKUP($B203,'[3]Jan-25'!$A:$A,'[3]Jan-25'!$H:$H,0)</f>
        <v>0</v>
      </c>
      <c r="S203" s="17">
        <f>_xlfn.XLOOKUP($B203,'[3]Feb-25'!$A:$A,'[3]Feb-25'!$H:$H,0)</f>
        <v>0</v>
      </c>
      <c r="T203" s="17">
        <f>_xlfn.XLOOKUP($B203,'[3]Mar-25'!$A:$A,'[3]Mar-25'!$H:$H,0)</f>
        <v>0</v>
      </c>
      <c r="U203" s="17">
        <f>_xlfn.XLOOKUP($B203,'[3]Apr-25'!$A:$A,'[3]Apr-25'!$H:$H,0)</f>
        <v>0</v>
      </c>
      <c r="V203" s="17">
        <f>_xlfn.XLOOKUP($B203,'[3]May-25'!$A:$A,'[3]May-25'!$H:$H,0)</f>
        <v>0</v>
      </c>
      <c r="W203" s="17">
        <f>_xlfn.XLOOKUP($B203,'[3]Jun-25'!$A:$A,'[3]Jun-25'!$H:$H,0)</f>
        <v>0</v>
      </c>
      <c r="X203" s="17">
        <f>_xlfn.XLOOKUP($B203,'[3]Jul-25'!$A:$A,'[3]Jul-25'!$H:$H,0)</f>
        <v>0</v>
      </c>
      <c r="Y203" s="17">
        <f>_xlfn.XLOOKUP($B203,'[3]Aug-25'!$A:$A,'[3]Aug-25'!$H:$H,0)</f>
        <v>0</v>
      </c>
      <c r="Z203" s="17">
        <f>_xlfn.XLOOKUP($B203,'[3]Sep-25'!$A:$A,'[3]Sep-25'!$H:$H,0)</f>
        <v>0</v>
      </c>
      <c r="AA203" s="17">
        <f>_xlfn.XLOOKUP($B203,'[3]Oct-25'!$A:$A,'[3]Oct-25'!$H:$H,0)</f>
        <v>0</v>
      </c>
      <c r="AB203" s="17">
        <f>_xlfn.XLOOKUP($B203,'[3]Nov-25'!$A:$A,'[3]Nov-25'!$H:$H,0)</f>
        <v>0</v>
      </c>
      <c r="AC203" s="17">
        <f>_xlfn.XLOOKUP($B203,'[3]Dec-25'!$A:$A,'[3]Dec-25'!$H:$H,0)</f>
        <v>0</v>
      </c>
      <c r="AD203" s="17">
        <f>_xlfn.XLOOKUP($B203,'[3]Jan-26'!$A:$A,'[3]Jan-26'!$H:$H,0)</f>
        <v>0</v>
      </c>
      <c r="AE203" s="17">
        <f>_xlfn.XLOOKUP($B203,'[3]Feb-26'!$A:$A,'[3]Feb-26'!$H:$H,0)</f>
        <v>0</v>
      </c>
      <c r="AF203" s="17">
        <f>_xlfn.XLOOKUP($B203,'[3]Mar-26'!$A:$A,'[3]Mar-26'!$H:$H,0)</f>
        <v>0</v>
      </c>
      <c r="AG203" s="17">
        <f>_xlfn.XLOOKUP($B203,'[3]Apr-26'!$A:$A,'[3]Apr-26'!$H:$H,0)</f>
        <v>0</v>
      </c>
    </row>
    <row r="204" spans="1:33" x14ac:dyDescent="0.2">
      <c r="A204" s="58" t="s">
        <v>907</v>
      </c>
      <c r="B204" s="56" t="str">
        <f t="shared" si="5"/>
        <v>60200</v>
      </c>
      <c r="C204" s="78" t="s">
        <v>574</v>
      </c>
      <c r="D204" s="57" t="s">
        <v>387</v>
      </c>
      <c r="E204" s="44" t="s">
        <v>580</v>
      </c>
      <c r="F204" s="17">
        <f>_xlfn.XLOOKUP($B204,'[3]Jan-24'!$A:$A,'[3]Jan-24'!$H:$H,0)</f>
        <v>0</v>
      </c>
      <c r="G204" s="17">
        <f>_xlfn.XLOOKUP($B204,'[3]Feb-24'!$A:$A,'[3]Feb-24'!$H:$H,0)</f>
        <v>7300</v>
      </c>
      <c r="H204" s="17">
        <f>_xlfn.XLOOKUP($B204,'[3]Mar-24'!$A:$A,'[3]Mar-24'!$H:$H,0)</f>
        <v>13520</v>
      </c>
      <c r="I204" s="17">
        <f>_xlfn.XLOOKUP($B204,'[3]Apr-24'!$A:$A,'[3]Apr-24'!$H:$H,0)</f>
        <v>0</v>
      </c>
      <c r="J204" s="17">
        <f>_xlfn.XLOOKUP($B204,'[3]May-24'!$A:$A,'[3]May-24'!$H:$H,0)</f>
        <v>0</v>
      </c>
      <c r="K204" s="17">
        <f>_xlfn.XLOOKUP($B204,'[3]Jun-24'!$A:$A,'[3]Jun-24'!$H:$H,0)</f>
        <v>0</v>
      </c>
      <c r="L204" s="17">
        <f>_xlfn.XLOOKUP($B204,'[3]Jul-24'!$A:$A,'[3]Jul-24'!$H:$H,0)</f>
        <v>0</v>
      </c>
      <c r="M204" s="17">
        <f>_xlfn.XLOOKUP($B204,'[3]Aug-24'!$A:$A,'[3]Aug-24'!$H:$H,0)</f>
        <v>0</v>
      </c>
      <c r="N204" s="17">
        <f>_xlfn.XLOOKUP($B204,'[3]Sep-24'!$A:$A,'[3]Sep-24'!$H:$H,0)</f>
        <v>0</v>
      </c>
      <c r="O204" s="17">
        <f>_xlfn.XLOOKUP($B204,'[3]Oct-24'!$A:$A,'[3]Oct-24'!$H:$H,0)</f>
        <v>0</v>
      </c>
      <c r="P204" s="17">
        <f>_xlfn.XLOOKUP($B204,'[3]Nov-24'!$A:$A,'[3]Nov-24'!$H:$H,0)</f>
        <v>485</v>
      </c>
      <c r="Q204" s="17">
        <f>_xlfn.XLOOKUP($B204,'[3]Dec-24'!$A:$A,'[3]Dec-24'!$H:$H,0)</f>
        <v>0</v>
      </c>
      <c r="R204" s="17">
        <f>_xlfn.XLOOKUP($B204,'[3]Jan-25'!$A:$A,'[3]Jan-25'!$H:$H,0)</f>
        <v>0</v>
      </c>
      <c r="S204" s="17">
        <f>_xlfn.XLOOKUP($B204,'[3]Feb-25'!$A:$A,'[3]Feb-25'!$H:$H,0)</f>
        <v>0</v>
      </c>
      <c r="T204" s="17">
        <f>_xlfn.XLOOKUP($B204,'[3]Mar-25'!$A:$A,'[3]Mar-25'!$H:$H,0)</f>
        <v>0</v>
      </c>
      <c r="U204" s="17">
        <f>_xlfn.XLOOKUP($B204,'[3]Apr-25'!$A:$A,'[3]Apr-25'!$H:$H,0)</f>
        <v>0</v>
      </c>
      <c r="V204" s="17">
        <f>_xlfn.XLOOKUP($B204,'[3]May-25'!$A:$A,'[3]May-25'!$H:$H,0)</f>
        <v>0</v>
      </c>
      <c r="W204" s="17">
        <f>_xlfn.XLOOKUP($B204,'[3]Jun-25'!$A:$A,'[3]Jun-25'!$H:$H,0)</f>
        <v>0</v>
      </c>
      <c r="X204" s="17">
        <f>_xlfn.XLOOKUP($B204,'[3]Jul-25'!$A:$A,'[3]Jul-25'!$H:$H,0)</f>
        <v>0</v>
      </c>
      <c r="Y204" s="17">
        <f>_xlfn.XLOOKUP($B204,'[3]Aug-25'!$A:$A,'[3]Aug-25'!$H:$H,0)</f>
        <v>0</v>
      </c>
      <c r="Z204" s="17">
        <f>_xlfn.XLOOKUP($B204,'[3]Sep-25'!$A:$A,'[3]Sep-25'!$H:$H,0)</f>
        <v>0</v>
      </c>
      <c r="AA204" s="17">
        <f>_xlfn.XLOOKUP($B204,'[3]Oct-25'!$A:$A,'[3]Oct-25'!$H:$H,0)</f>
        <v>0</v>
      </c>
      <c r="AB204" s="17">
        <f>_xlfn.XLOOKUP($B204,'[3]Nov-25'!$A:$A,'[3]Nov-25'!$H:$H,0)</f>
        <v>0</v>
      </c>
      <c r="AC204" s="17">
        <f>_xlfn.XLOOKUP($B204,'[3]Dec-25'!$A:$A,'[3]Dec-25'!$H:$H,0)</f>
        <v>0</v>
      </c>
      <c r="AD204" s="17">
        <f>_xlfn.XLOOKUP($B204,'[3]Jan-26'!$A:$A,'[3]Jan-26'!$H:$H,0)</f>
        <v>0</v>
      </c>
      <c r="AE204" s="17">
        <f>_xlfn.XLOOKUP($B204,'[3]Feb-26'!$A:$A,'[3]Feb-26'!$H:$H,0)</f>
        <v>0</v>
      </c>
      <c r="AF204" s="17">
        <f>_xlfn.XLOOKUP($B204,'[3]Mar-26'!$A:$A,'[3]Mar-26'!$H:$H,0)</f>
        <v>0</v>
      </c>
      <c r="AG204" s="17">
        <f>_xlfn.XLOOKUP($B204,'[3]Apr-26'!$A:$A,'[3]Apr-26'!$H:$H,0)</f>
        <v>0</v>
      </c>
    </row>
    <row r="205" spans="1:33" x14ac:dyDescent="0.2">
      <c r="A205" s="58" t="s">
        <v>1154</v>
      </c>
      <c r="B205" s="56" t="str">
        <f t="shared" si="5"/>
        <v>60201</v>
      </c>
      <c r="C205" s="78" t="s">
        <v>574</v>
      </c>
      <c r="D205" s="57" t="s">
        <v>387</v>
      </c>
      <c r="E205" s="44" t="s">
        <v>581</v>
      </c>
      <c r="F205" s="17">
        <f>_xlfn.XLOOKUP($B205,'[3]Jan-24'!$A:$A,'[3]Jan-24'!$H:$H,0)</f>
        <v>0</v>
      </c>
      <c r="G205" s="17">
        <f>_xlfn.XLOOKUP($B205,'[3]Feb-24'!$A:$A,'[3]Feb-24'!$H:$H,0)</f>
        <v>0</v>
      </c>
      <c r="H205" s="17">
        <f>_xlfn.XLOOKUP($B205,'[3]Mar-24'!$A:$A,'[3]Mar-24'!$H:$H,0)</f>
        <v>0</v>
      </c>
      <c r="I205" s="17">
        <f>_xlfn.XLOOKUP($B205,'[3]Apr-24'!$A:$A,'[3]Apr-24'!$H:$H,0)</f>
        <v>0</v>
      </c>
      <c r="J205" s="17">
        <f>_xlfn.XLOOKUP($B205,'[3]May-24'!$A:$A,'[3]May-24'!$H:$H,0)</f>
        <v>0</v>
      </c>
      <c r="K205" s="17">
        <f>_xlfn.XLOOKUP($B205,'[3]Jun-24'!$A:$A,'[3]Jun-24'!$H:$H,0)</f>
        <v>0</v>
      </c>
      <c r="L205" s="17">
        <f>_xlfn.XLOOKUP($B205,'[3]Jul-24'!$A:$A,'[3]Jul-24'!$H:$H,0)</f>
        <v>0</v>
      </c>
      <c r="M205" s="17">
        <f>_xlfn.XLOOKUP($B205,'[3]Aug-24'!$A:$A,'[3]Aug-24'!$H:$H,0)</f>
        <v>0</v>
      </c>
      <c r="N205" s="17">
        <f>_xlfn.XLOOKUP($B205,'[3]Sep-24'!$A:$A,'[3]Sep-24'!$H:$H,0)</f>
        <v>0</v>
      </c>
      <c r="O205" s="17">
        <f>_xlfn.XLOOKUP($B205,'[3]Oct-24'!$A:$A,'[3]Oct-24'!$H:$H,0)</f>
        <v>0</v>
      </c>
      <c r="P205" s="17">
        <f>_xlfn.XLOOKUP($B205,'[3]Nov-24'!$A:$A,'[3]Nov-24'!$H:$H,0)</f>
        <v>0</v>
      </c>
      <c r="Q205" s="17">
        <f>_xlfn.XLOOKUP($B205,'[3]Dec-24'!$A:$A,'[3]Dec-24'!$H:$H,0)</f>
        <v>0</v>
      </c>
      <c r="R205" s="17">
        <f>_xlfn.XLOOKUP($B205,'[3]Jan-25'!$A:$A,'[3]Jan-25'!$H:$H,0)</f>
        <v>0</v>
      </c>
      <c r="S205" s="17">
        <f>_xlfn.XLOOKUP($B205,'[3]Feb-25'!$A:$A,'[3]Feb-25'!$H:$H,0)</f>
        <v>0</v>
      </c>
      <c r="T205" s="17">
        <f>_xlfn.XLOOKUP($B205,'[3]Mar-25'!$A:$A,'[3]Mar-25'!$H:$H,0)</f>
        <v>0</v>
      </c>
      <c r="U205" s="17">
        <f>_xlfn.XLOOKUP($B205,'[3]Apr-25'!$A:$A,'[3]Apr-25'!$H:$H,0)</f>
        <v>0</v>
      </c>
      <c r="V205" s="17">
        <f>_xlfn.XLOOKUP($B205,'[3]May-25'!$A:$A,'[3]May-25'!$H:$H,0)</f>
        <v>0</v>
      </c>
      <c r="W205" s="17">
        <f>_xlfn.XLOOKUP($B205,'[3]Jun-25'!$A:$A,'[3]Jun-25'!$H:$H,0)</f>
        <v>0</v>
      </c>
      <c r="X205" s="17">
        <f>_xlfn.XLOOKUP($B205,'[3]Jul-25'!$A:$A,'[3]Jul-25'!$H:$H,0)</f>
        <v>0</v>
      </c>
      <c r="Y205" s="17">
        <f>_xlfn.XLOOKUP($B205,'[3]Aug-25'!$A:$A,'[3]Aug-25'!$H:$H,0)</f>
        <v>0</v>
      </c>
      <c r="Z205" s="17">
        <f>_xlfn.XLOOKUP($B205,'[3]Sep-25'!$A:$A,'[3]Sep-25'!$H:$H,0)</f>
        <v>0</v>
      </c>
      <c r="AA205" s="17">
        <f>_xlfn.XLOOKUP($B205,'[3]Oct-25'!$A:$A,'[3]Oct-25'!$H:$H,0)</f>
        <v>0</v>
      </c>
      <c r="AB205" s="17">
        <f>_xlfn.XLOOKUP($B205,'[3]Nov-25'!$A:$A,'[3]Nov-25'!$H:$H,0)</f>
        <v>0</v>
      </c>
      <c r="AC205" s="17">
        <f>_xlfn.XLOOKUP($B205,'[3]Dec-25'!$A:$A,'[3]Dec-25'!$H:$H,0)</f>
        <v>0</v>
      </c>
      <c r="AD205" s="17">
        <f>_xlfn.XLOOKUP($B205,'[3]Jan-26'!$A:$A,'[3]Jan-26'!$H:$H,0)</f>
        <v>0</v>
      </c>
      <c r="AE205" s="17">
        <f>_xlfn.XLOOKUP($B205,'[3]Feb-26'!$A:$A,'[3]Feb-26'!$H:$H,0)</f>
        <v>0</v>
      </c>
      <c r="AF205" s="17">
        <f>_xlfn.XLOOKUP($B205,'[3]Mar-26'!$A:$A,'[3]Mar-26'!$H:$H,0)</f>
        <v>0</v>
      </c>
      <c r="AG205" s="17">
        <f>_xlfn.XLOOKUP($B205,'[3]Apr-26'!$A:$A,'[3]Apr-26'!$H:$H,0)</f>
        <v>0</v>
      </c>
    </row>
    <row r="206" spans="1:33" x14ac:dyDescent="0.2">
      <c r="A206" s="58" t="s">
        <v>1155</v>
      </c>
      <c r="B206" s="56" t="str">
        <f t="shared" si="5"/>
        <v>60202</v>
      </c>
      <c r="C206" s="78" t="s">
        <v>574</v>
      </c>
      <c r="D206" s="57" t="s">
        <v>387</v>
      </c>
      <c r="E206" s="44" t="s">
        <v>582</v>
      </c>
      <c r="F206" s="17">
        <f>_xlfn.XLOOKUP($B206,'[3]Jan-24'!$A:$A,'[3]Jan-24'!$H:$H,0)</f>
        <v>0</v>
      </c>
      <c r="G206" s="17">
        <f>_xlfn.XLOOKUP($B206,'[3]Feb-24'!$A:$A,'[3]Feb-24'!$H:$H,0)</f>
        <v>0</v>
      </c>
      <c r="H206" s="17">
        <f>_xlfn.XLOOKUP($B206,'[3]Mar-24'!$A:$A,'[3]Mar-24'!$H:$H,0)</f>
        <v>0</v>
      </c>
      <c r="I206" s="17">
        <f>_xlfn.XLOOKUP($B206,'[3]Apr-24'!$A:$A,'[3]Apr-24'!$H:$H,0)</f>
        <v>0</v>
      </c>
      <c r="J206" s="17">
        <f>_xlfn.XLOOKUP($B206,'[3]May-24'!$A:$A,'[3]May-24'!$H:$H,0)</f>
        <v>0</v>
      </c>
      <c r="K206" s="17">
        <f>_xlfn.XLOOKUP($B206,'[3]Jun-24'!$A:$A,'[3]Jun-24'!$H:$H,0)</f>
        <v>0</v>
      </c>
      <c r="L206" s="17">
        <f>_xlfn.XLOOKUP($B206,'[3]Jul-24'!$A:$A,'[3]Jul-24'!$H:$H,0)</f>
        <v>0</v>
      </c>
      <c r="M206" s="17">
        <f>_xlfn.XLOOKUP($B206,'[3]Aug-24'!$A:$A,'[3]Aug-24'!$H:$H,0)</f>
        <v>0</v>
      </c>
      <c r="N206" s="17">
        <f>_xlfn.XLOOKUP($B206,'[3]Sep-24'!$A:$A,'[3]Sep-24'!$H:$H,0)</f>
        <v>0</v>
      </c>
      <c r="O206" s="17">
        <f>_xlfn.XLOOKUP($B206,'[3]Oct-24'!$A:$A,'[3]Oct-24'!$H:$H,0)</f>
        <v>0</v>
      </c>
      <c r="P206" s="17">
        <f>_xlfn.XLOOKUP($B206,'[3]Nov-24'!$A:$A,'[3]Nov-24'!$H:$H,0)</f>
        <v>0</v>
      </c>
      <c r="Q206" s="17">
        <f>_xlfn.XLOOKUP($B206,'[3]Dec-24'!$A:$A,'[3]Dec-24'!$H:$H,0)</f>
        <v>0</v>
      </c>
      <c r="R206" s="17">
        <f>_xlfn.XLOOKUP($B206,'[3]Jan-25'!$A:$A,'[3]Jan-25'!$H:$H,0)</f>
        <v>0</v>
      </c>
      <c r="S206" s="17">
        <f>_xlfn.XLOOKUP($B206,'[3]Feb-25'!$A:$A,'[3]Feb-25'!$H:$H,0)</f>
        <v>0</v>
      </c>
      <c r="T206" s="17">
        <f>_xlfn.XLOOKUP($B206,'[3]Mar-25'!$A:$A,'[3]Mar-25'!$H:$H,0)</f>
        <v>0</v>
      </c>
      <c r="U206" s="17">
        <f>_xlfn.XLOOKUP($B206,'[3]Apr-25'!$A:$A,'[3]Apr-25'!$H:$H,0)</f>
        <v>0</v>
      </c>
      <c r="V206" s="17">
        <f>_xlfn.XLOOKUP($B206,'[3]May-25'!$A:$A,'[3]May-25'!$H:$H,0)</f>
        <v>0</v>
      </c>
      <c r="W206" s="17">
        <f>_xlfn.XLOOKUP($B206,'[3]Jun-25'!$A:$A,'[3]Jun-25'!$H:$H,0)</f>
        <v>0</v>
      </c>
      <c r="X206" s="17">
        <f>_xlfn.XLOOKUP($B206,'[3]Jul-25'!$A:$A,'[3]Jul-25'!$H:$H,0)</f>
        <v>0</v>
      </c>
      <c r="Y206" s="17">
        <f>_xlfn.XLOOKUP($B206,'[3]Aug-25'!$A:$A,'[3]Aug-25'!$H:$H,0)</f>
        <v>0</v>
      </c>
      <c r="Z206" s="17">
        <f>_xlfn.XLOOKUP($B206,'[3]Sep-25'!$A:$A,'[3]Sep-25'!$H:$H,0)</f>
        <v>0</v>
      </c>
      <c r="AA206" s="17">
        <f>_xlfn.XLOOKUP($B206,'[3]Oct-25'!$A:$A,'[3]Oct-25'!$H:$H,0)</f>
        <v>0</v>
      </c>
      <c r="AB206" s="17">
        <f>_xlfn.XLOOKUP($B206,'[3]Nov-25'!$A:$A,'[3]Nov-25'!$H:$H,0)</f>
        <v>0</v>
      </c>
      <c r="AC206" s="17">
        <f>_xlfn.XLOOKUP($B206,'[3]Dec-25'!$A:$A,'[3]Dec-25'!$H:$H,0)</f>
        <v>0</v>
      </c>
      <c r="AD206" s="17">
        <f>_xlfn.XLOOKUP($B206,'[3]Jan-26'!$A:$A,'[3]Jan-26'!$H:$H,0)</f>
        <v>0</v>
      </c>
      <c r="AE206" s="17">
        <f>_xlfn.XLOOKUP($B206,'[3]Feb-26'!$A:$A,'[3]Feb-26'!$H:$H,0)</f>
        <v>0</v>
      </c>
      <c r="AF206" s="17">
        <f>_xlfn.XLOOKUP($B206,'[3]Mar-26'!$A:$A,'[3]Mar-26'!$H:$H,0)</f>
        <v>0</v>
      </c>
      <c r="AG206" s="17">
        <f>_xlfn.XLOOKUP($B206,'[3]Apr-26'!$A:$A,'[3]Apr-26'!$H:$H,0)</f>
        <v>0</v>
      </c>
    </row>
    <row r="207" spans="1:33" x14ac:dyDescent="0.2">
      <c r="A207" s="58" t="s">
        <v>1156</v>
      </c>
      <c r="B207" s="56" t="str">
        <f t="shared" si="5"/>
        <v>60203</v>
      </c>
      <c r="C207" s="78" t="s">
        <v>574</v>
      </c>
      <c r="D207" s="57" t="s">
        <v>387</v>
      </c>
      <c r="E207" s="44" t="s">
        <v>583</v>
      </c>
      <c r="F207" s="17">
        <f>_xlfn.XLOOKUP($B207,'[3]Jan-24'!$A:$A,'[3]Jan-24'!$H:$H,0)</f>
        <v>0</v>
      </c>
      <c r="G207" s="17">
        <f>_xlfn.XLOOKUP($B207,'[3]Feb-24'!$A:$A,'[3]Feb-24'!$H:$H,0)</f>
        <v>0</v>
      </c>
      <c r="H207" s="17">
        <f>_xlfn.XLOOKUP($B207,'[3]Mar-24'!$A:$A,'[3]Mar-24'!$H:$H,0)</f>
        <v>0</v>
      </c>
      <c r="I207" s="17">
        <f>_xlfn.XLOOKUP($B207,'[3]Apr-24'!$A:$A,'[3]Apr-24'!$H:$H,0)</f>
        <v>0</v>
      </c>
      <c r="J207" s="17">
        <f>_xlfn.XLOOKUP($B207,'[3]May-24'!$A:$A,'[3]May-24'!$H:$H,0)</f>
        <v>0</v>
      </c>
      <c r="K207" s="17">
        <f>_xlfn.XLOOKUP($B207,'[3]Jun-24'!$A:$A,'[3]Jun-24'!$H:$H,0)</f>
        <v>0</v>
      </c>
      <c r="L207" s="17">
        <f>_xlfn.XLOOKUP($B207,'[3]Jul-24'!$A:$A,'[3]Jul-24'!$H:$H,0)</f>
        <v>0</v>
      </c>
      <c r="M207" s="17">
        <f>_xlfn.XLOOKUP($B207,'[3]Aug-24'!$A:$A,'[3]Aug-24'!$H:$H,0)</f>
        <v>0</v>
      </c>
      <c r="N207" s="17">
        <f>_xlfn.XLOOKUP($B207,'[3]Sep-24'!$A:$A,'[3]Sep-24'!$H:$H,0)</f>
        <v>0</v>
      </c>
      <c r="O207" s="17">
        <f>_xlfn.XLOOKUP($B207,'[3]Oct-24'!$A:$A,'[3]Oct-24'!$H:$H,0)</f>
        <v>0</v>
      </c>
      <c r="P207" s="17">
        <f>_xlfn.XLOOKUP($B207,'[3]Nov-24'!$A:$A,'[3]Nov-24'!$H:$H,0)</f>
        <v>0</v>
      </c>
      <c r="Q207" s="17">
        <f>_xlfn.XLOOKUP($B207,'[3]Dec-24'!$A:$A,'[3]Dec-24'!$H:$H,0)</f>
        <v>0</v>
      </c>
      <c r="R207" s="17">
        <f>_xlfn.XLOOKUP($B207,'[3]Jan-25'!$A:$A,'[3]Jan-25'!$H:$H,0)</f>
        <v>0</v>
      </c>
      <c r="S207" s="17">
        <f>_xlfn.XLOOKUP($B207,'[3]Feb-25'!$A:$A,'[3]Feb-25'!$H:$H,0)</f>
        <v>0</v>
      </c>
      <c r="T207" s="17">
        <f>_xlfn.XLOOKUP($B207,'[3]Mar-25'!$A:$A,'[3]Mar-25'!$H:$H,0)</f>
        <v>0</v>
      </c>
      <c r="U207" s="17">
        <f>_xlfn.XLOOKUP($B207,'[3]Apr-25'!$A:$A,'[3]Apr-25'!$H:$H,0)</f>
        <v>0</v>
      </c>
      <c r="V207" s="17">
        <f>_xlfn.XLOOKUP($B207,'[3]May-25'!$A:$A,'[3]May-25'!$H:$H,0)</f>
        <v>0</v>
      </c>
      <c r="W207" s="17">
        <f>_xlfn.XLOOKUP($B207,'[3]Jun-25'!$A:$A,'[3]Jun-25'!$H:$H,0)</f>
        <v>0</v>
      </c>
      <c r="X207" s="17">
        <f>_xlfn.XLOOKUP($B207,'[3]Jul-25'!$A:$A,'[3]Jul-25'!$H:$H,0)</f>
        <v>0</v>
      </c>
      <c r="Y207" s="17">
        <f>_xlfn.XLOOKUP($B207,'[3]Aug-25'!$A:$A,'[3]Aug-25'!$H:$H,0)</f>
        <v>0</v>
      </c>
      <c r="Z207" s="17">
        <f>_xlfn.XLOOKUP($B207,'[3]Sep-25'!$A:$A,'[3]Sep-25'!$H:$H,0)</f>
        <v>0</v>
      </c>
      <c r="AA207" s="17">
        <f>_xlfn.XLOOKUP($B207,'[3]Oct-25'!$A:$A,'[3]Oct-25'!$H:$H,0)</f>
        <v>0</v>
      </c>
      <c r="AB207" s="17">
        <f>_xlfn.XLOOKUP($B207,'[3]Nov-25'!$A:$A,'[3]Nov-25'!$H:$H,0)</f>
        <v>0</v>
      </c>
      <c r="AC207" s="17">
        <f>_xlfn.XLOOKUP($B207,'[3]Dec-25'!$A:$A,'[3]Dec-25'!$H:$H,0)</f>
        <v>0</v>
      </c>
      <c r="AD207" s="17">
        <f>_xlfn.XLOOKUP($B207,'[3]Jan-26'!$A:$A,'[3]Jan-26'!$H:$H,0)</f>
        <v>0</v>
      </c>
      <c r="AE207" s="17">
        <f>_xlfn.XLOOKUP($B207,'[3]Feb-26'!$A:$A,'[3]Feb-26'!$H:$H,0)</f>
        <v>0</v>
      </c>
      <c r="AF207" s="17">
        <f>_xlfn.XLOOKUP($B207,'[3]Mar-26'!$A:$A,'[3]Mar-26'!$H:$H,0)</f>
        <v>0</v>
      </c>
      <c r="AG207" s="17">
        <f>_xlfn.XLOOKUP($B207,'[3]Apr-26'!$A:$A,'[3]Apr-26'!$H:$H,0)</f>
        <v>0</v>
      </c>
    </row>
    <row r="208" spans="1:33" x14ac:dyDescent="0.2">
      <c r="A208" s="58" t="s">
        <v>1157</v>
      </c>
      <c r="B208" s="56" t="str">
        <f t="shared" si="5"/>
        <v>60204</v>
      </c>
      <c r="C208" s="78" t="s">
        <v>574</v>
      </c>
      <c r="D208" s="57" t="s">
        <v>387</v>
      </c>
      <c r="E208" s="44" t="s">
        <v>584</v>
      </c>
      <c r="F208" s="17">
        <f>_xlfn.XLOOKUP($B208,'[3]Jan-24'!$A:$A,'[3]Jan-24'!$H:$H,0)</f>
        <v>0</v>
      </c>
      <c r="G208" s="17">
        <f>_xlfn.XLOOKUP($B208,'[3]Feb-24'!$A:$A,'[3]Feb-24'!$H:$H,0)</f>
        <v>0</v>
      </c>
      <c r="H208" s="17">
        <f>_xlfn.XLOOKUP($B208,'[3]Mar-24'!$A:$A,'[3]Mar-24'!$H:$H,0)</f>
        <v>0</v>
      </c>
      <c r="I208" s="17">
        <f>_xlfn.XLOOKUP($B208,'[3]Apr-24'!$A:$A,'[3]Apr-24'!$H:$H,0)</f>
        <v>0</v>
      </c>
      <c r="J208" s="17">
        <f>_xlfn.XLOOKUP($B208,'[3]May-24'!$A:$A,'[3]May-24'!$H:$H,0)</f>
        <v>0</v>
      </c>
      <c r="K208" s="17">
        <f>_xlfn.XLOOKUP($B208,'[3]Jun-24'!$A:$A,'[3]Jun-24'!$H:$H,0)</f>
        <v>0</v>
      </c>
      <c r="L208" s="17">
        <f>_xlfn.XLOOKUP($B208,'[3]Jul-24'!$A:$A,'[3]Jul-24'!$H:$H,0)</f>
        <v>0</v>
      </c>
      <c r="M208" s="17">
        <f>_xlfn.XLOOKUP($B208,'[3]Aug-24'!$A:$A,'[3]Aug-24'!$H:$H,0)</f>
        <v>0</v>
      </c>
      <c r="N208" s="17">
        <f>_xlfn.XLOOKUP($B208,'[3]Sep-24'!$A:$A,'[3]Sep-24'!$H:$H,0)</f>
        <v>0</v>
      </c>
      <c r="O208" s="17">
        <f>_xlfn.XLOOKUP($B208,'[3]Oct-24'!$A:$A,'[3]Oct-24'!$H:$H,0)</f>
        <v>0</v>
      </c>
      <c r="P208" s="17">
        <f>_xlfn.XLOOKUP($B208,'[3]Nov-24'!$A:$A,'[3]Nov-24'!$H:$H,0)</f>
        <v>0</v>
      </c>
      <c r="Q208" s="17">
        <f>_xlfn.XLOOKUP($B208,'[3]Dec-24'!$A:$A,'[3]Dec-24'!$H:$H,0)</f>
        <v>0</v>
      </c>
      <c r="R208" s="17">
        <f>_xlfn.XLOOKUP($B208,'[3]Jan-25'!$A:$A,'[3]Jan-25'!$H:$H,0)</f>
        <v>0</v>
      </c>
      <c r="S208" s="17">
        <f>_xlfn.XLOOKUP($B208,'[3]Feb-25'!$A:$A,'[3]Feb-25'!$H:$H,0)</f>
        <v>0</v>
      </c>
      <c r="T208" s="17">
        <f>_xlfn.XLOOKUP($B208,'[3]Mar-25'!$A:$A,'[3]Mar-25'!$H:$H,0)</f>
        <v>0</v>
      </c>
      <c r="U208" s="17">
        <f>_xlfn.XLOOKUP($B208,'[3]Apr-25'!$A:$A,'[3]Apr-25'!$H:$H,0)</f>
        <v>0</v>
      </c>
      <c r="V208" s="17">
        <f>_xlfn.XLOOKUP($B208,'[3]May-25'!$A:$A,'[3]May-25'!$H:$H,0)</f>
        <v>0</v>
      </c>
      <c r="W208" s="17">
        <f>_xlfn.XLOOKUP($B208,'[3]Jun-25'!$A:$A,'[3]Jun-25'!$H:$H,0)</f>
        <v>0</v>
      </c>
      <c r="X208" s="17">
        <f>_xlfn.XLOOKUP($B208,'[3]Jul-25'!$A:$A,'[3]Jul-25'!$H:$H,0)</f>
        <v>0</v>
      </c>
      <c r="Y208" s="17">
        <f>_xlfn.XLOOKUP($B208,'[3]Aug-25'!$A:$A,'[3]Aug-25'!$H:$H,0)</f>
        <v>0</v>
      </c>
      <c r="Z208" s="17">
        <f>_xlfn.XLOOKUP($B208,'[3]Sep-25'!$A:$A,'[3]Sep-25'!$H:$H,0)</f>
        <v>0</v>
      </c>
      <c r="AA208" s="17">
        <f>_xlfn.XLOOKUP($B208,'[3]Oct-25'!$A:$A,'[3]Oct-25'!$H:$H,0)</f>
        <v>0</v>
      </c>
      <c r="AB208" s="17">
        <f>_xlfn.XLOOKUP($B208,'[3]Nov-25'!$A:$A,'[3]Nov-25'!$H:$H,0)</f>
        <v>0</v>
      </c>
      <c r="AC208" s="17">
        <f>_xlfn.XLOOKUP($B208,'[3]Dec-25'!$A:$A,'[3]Dec-25'!$H:$H,0)</f>
        <v>0</v>
      </c>
      <c r="AD208" s="17">
        <f>_xlfn.XLOOKUP($B208,'[3]Jan-26'!$A:$A,'[3]Jan-26'!$H:$H,0)</f>
        <v>0</v>
      </c>
      <c r="AE208" s="17">
        <f>_xlfn.XLOOKUP($B208,'[3]Feb-26'!$A:$A,'[3]Feb-26'!$H:$H,0)</f>
        <v>0</v>
      </c>
      <c r="AF208" s="17">
        <f>_xlfn.XLOOKUP($B208,'[3]Mar-26'!$A:$A,'[3]Mar-26'!$H:$H,0)</f>
        <v>0</v>
      </c>
      <c r="AG208" s="17">
        <f>_xlfn.XLOOKUP($B208,'[3]Apr-26'!$A:$A,'[3]Apr-26'!$H:$H,0)</f>
        <v>0</v>
      </c>
    </row>
    <row r="209" spans="1:33" x14ac:dyDescent="0.2">
      <c r="A209" s="58" t="s">
        <v>1158</v>
      </c>
      <c r="B209" s="56" t="str">
        <f t="shared" si="5"/>
        <v>60205</v>
      </c>
      <c r="C209" s="78" t="s">
        <v>574</v>
      </c>
      <c r="D209" s="57" t="s">
        <v>387</v>
      </c>
      <c r="E209" s="44" t="s">
        <v>585</v>
      </c>
      <c r="F209" s="17">
        <f>_xlfn.XLOOKUP($B209,'[3]Jan-24'!$A:$A,'[3]Jan-24'!$H:$H,0)</f>
        <v>0</v>
      </c>
      <c r="G209" s="17">
        <f>_xlfn.XLOOKUP($B209,'[3]Feb-24'!$A:$A,'[3]Feb-24'!$H:$H,0)</f>
        <v>0</v>
      </c>
      <c r="H209" s="17">
        <f>_xlfn.XLOOKUP($B209,'[3]Mar-24'!$A:$A,'[3]Mar-24'!$H:$H,0)</f>
        <v>0</v>
      </c>
      <c r="I209" s="17">
        <f>_xlfn.XLOOKUP($B209,'[3]Apr-24'!$A:$A,'[3]Apr-24'!$H:$H,0)</f>
        <v>0</v>
      </c>
      <c r="J209" s="17">
        <f>_xlfn.XLOOKUP($B209,'[3]May-24'!$A:$A,'[3]May-24'!$H:$H,0)</f>
        <v>0</v>
      </c>
      <c r="K209" s="17">
        <f>_xlfn.XLOOKUP($B209,'[3]Jun-24'!$A:$A,'[3]Jun-24'!$H:$H,0)</f>
        <v>0</v>
      </c>
      <c r="L209" s="17">
        <f>_xlfn.XLOOKUP($B209,'[3]Jul-24'!$A:$A,'[3]Jul-24'!$H:$H,0)</f>
        <v>0</v>
      </c>
      <c r="M209" s="17">
        <f>_xlfn.XLOOKUP($B209,'[3]Aug-24'!$A:$A,'[3]Aug-24'!$H:$H,0)</f>
        <v>0</v>
      </c>
      <c r="N209" s="17">
        <f>_xlfn.XLOOKUP($B209,'[3]Sep-24'!$A:$A,'[3]Sep-24'!$H:$H,0)</f>
        <v>0</v>
      </c>
      <c r="O209" s="17">
        <f>_xlfn.XLOOKUP($B209,'[3]Oct-24'!$A:$A,'[3]Oct-24'!$H:$H,0)</f>
        <v>0</v>
      </c>
      <c r="P209" s="17">
        <f>_xlfn.XLOOKUP($B209,'[3]Nov-24'!$A:$A,'[3]Nov-24'!$H:$H,0)</f>
        <v>0</v>
      </c>
      <c r="Q209" s="17">
        <f>_xlfn.XLOOKUP($B209,'[3]Dec-24'!$A:$A,'[3]Dec-24'!$H:$H,0)</f>
        <v>0</v>
      </c>
      <c r="R209" s="17">
        <f>_xlfn.XLOOKUP($B209,'[3]Jan-25'!$A:$A,'[3]Jan-25'!$H:$H,0)</f>
        <v>0</v>
      </c>
      <c r="S209" s="17">
        <f>_xlfn.XLOOKUP($B209,'[3]Feb-25'!$A:$A,'[3]Feb-25'!$H:$H,0)</f>
        <v>0</v>
      </c>
      <c r="T209" s="17">
        <f>_xlfn.XLOOKUP($B209,'[3]Mar-25'!$A:$A,'[3]Mar-25'!$H:$H,0)</f>
        <v>0</v>
      </c>
      <c r="U209" s="17">
        <f>_xlfn.XLOOKUP($B209,'[3]Apr-25'!$A:$A,'[3]Apr-25'!$H:$H,0)</f>
        <v>0</v>
      </c>
      <c r="V209" s="17">
        <f>_xlfn.XLOOKUP($B209,'[3]May-25'!$A:$A,'[3]May-25'!$H:$H,0)</f>
        <v>0</v>
      </c>
      <c r="W209" s="17">
        <f>_xlfn.XLOOKUP($B209,'[3]Jun-25'!$A:$A,'[3]Jun-25'!$H:$H,0)</f>
        <v>0</v>
      </c>
      <c r="X209" s="17">
        <f>_xlfn.XLOOKUP($B209,'[3]Jul-25'!$A:$A,'[3]Jul-25'!$H:$H,0)</f>
        <v>0</v>
      </c>
      <c r="Y209" s="17">
        <f>_xlfn.XLOOKUP($B209,'[3]Aug-25'!$A:$A,'[3]Aug-25'!$H:$H,0)</f>
        <v>0</v>
      </c>
      <c r="Z209" s="17">
        <f>_xlfn.XLOOKUP($B209,'[3]Sep-25'!$A:$A,'[3]Sep-25'!$H:$H,0)</f>
        <v>0</v>
      </c>
      <c r="AA209" s="17">
        <f>_xlfn.XLOOKUP($B209,'[3]Oct-25'!$A:$A,'[3]Oct-25'!$H:$H,0)</f>
        <v>0</v>
      </c>
      <c r="AB209" s="17">
        <f>_xlfn.XLOOKUP($B209,'[3]Nov-25'!$A:$A,'[3]Nov-25'!$H:$H,0)</f>
        <v>0</v>
      </c>
      <c r="AC209" s="17">
        <f>_xlfn.XLOOKUP($B209,'[3]Dec-25'!$A:$A,'[3]Dec-25'!$H:$H,0)</f>
        <v>0</v>
      </c>
      <c r="AD209" s="17">
        <f>_xlfn.XLOOKUP($B209,'[3]Jan-26'!$A:$A,'[3]Jan-26'!$H:$H,0)</f>
        <v>0</v>
      </c>
      <c r="AE209" s="17">
        <f>_xlfn.XLOOKUP($B209,'[3]Feb-26'!$A:$A,'[3]Feb-26'!$H:$H,0)</f>
        <v>0</v>
      </c>
      <c r="AF209" s="17">
        <f>_xlfn.XLOOKUP($B209,'[3]Mar-26'!$A:$A,'[3]Mar-26'!$H:$H,0)</f>
        <v>0</v>
      </c>
      <c r="AG209" s="17">
        <f>_xlfn.XLOOKUP($B209,'[3]Apr-26'!$A:$A,'[3]Apr-26'!$H:$H,0)</f>
        <v>0</v>
      </c>
    </row>
    <row r="210" spans="1:33" x14ac:dyDescent="0.2">
      <c r="A210" s="58" t="s">
        <v>1159</v>
      </c>
      <c r="B210" s="56" t="str">
        <f t="shared" si="5"/>
        <v>60206</v>
      </c>
      <c r="C210" s="78" t="s">
        <v>574</v>
      </c>
      <c r="D210" s="57" t="s">
        <v>387</v>
      </c>
      <c r="E210" s="44" t="s">
        <v>586</v>
      </c>
      <c r="F210" s="17">
        <f>_xlfn.XLOOKUP($B210,'[3]Jan-24'!$A:$A,'[3]Jan-24'!$H:$H,0)</f>
        <v>0</v>
      </c>
      <c r="G210" s="17">
        <f>_xlfn.XLOOKUP($B210,'[3]Feb-24'!$A:$A,'[3]Feb-24'!$H:$H,0)</f>
        <v>0</v>
      </c>
      <c r="H210" s="17">
        <f>_xlfn.XLOOKUP($B210,'[3]Mar-24'!$A:$A,'[3]Mar-24'!$H:$H,0)</f>
        <v>0</v>
      </c>
      <c r="I210" s="17">
        <f>_xlfn.XLOOKUP($B210,'[3]Apr-24'!$A:$A,'[3]Apr-24'!$H:$H,0)</f>
        <v>0</v>
      </c>
      <c r="J210" s="17">
        <f>_xlfn.XLOOKUP($B210,'[3]May-24'!$A:$A,'[3]May-24'!$H:$H,0)</f>
        <v>0</v>
      </c>
      <c r="K210" s="17">
        <f>_xlfn.XLOOKUP($B210,'[3]Jun-24'!$A:$A,'[3]Jun-24'!$H:$H,0)</f>
        <v>0</v>
      </c>
      <c r="L210" s="17">
        <f>_xlfn.XLOOKUP($B210,'[3]Jul-24'!$A:$A,'[3]Jul-24'!$H:$H,0)</f>
        <v>0</v>
      </c>
      <c r="M210" s="17">
        <f>_xlfn.XLOOKUP($B210,'[3]Aug-24'!$A:$A,'[3]Aug-24'!$H:$H,0)</f>
        <v>0</v>
      </c>
      <c r="N210" s="17">
        <f>_xlfn.XLOOKUP($B210,'[3]Sep-24'!$A:$A,'[3]Sep-24'!$H:$H,0)</f>
        <v>0</v>
      </c>
      <c r="O210" s="17">
        <f>_xlfn.XLOOKUP($B210,'[3]Oct-24'!$A:$A,'[3]Oct-24'!$H:$H,0)</f>
        <v>0</v>
      </c>
      <c r="P210" s="17">
        <f>_xlfn.XLOOKUP($B210,'[3]Nov-24'!$A:$A,'[3]Nov-24'!$H:$H,0)</f>
        <v>0</v>
      </c>
      <c r="Q210" s="17">
        <f>_xlfn.XLOOKUP($B210,'[3]Dec-24'!$A:$A,'[3]Dec-24'!$H:$H,0)</f>
        <v>0</v>
      </c>
      <c r="R210" s="17">
        <f>_xlfn.XLOOKUP($B210,'[3]Jan-25'!$A:$A,'[3]Jan-25'!$H:$H,0)</f>
        <v>0</v>
      </c>
      <c r="S210" s="17">
        <f>_xlfn.XLOOKUP($B210,'[3]Feb-25'!$A:$A,'[3]Feb-25'!$H:$H,0)</f>
        <v>0</v>
      </c>
      <c r="T210" s="17">
        <f>_xlfn.XLOOKUP($B210,'[3]Mar-25'!$A:$A,'[3]Mar-25'!$H:$H,0)</f>
        <v>0</v>
      </c>
      <c r="U210" s="17">
        <f>_xlfn.XLOOKUP($B210,'[3]Apr-25'!$A:$A,'[3]Apr-25'!$H:$H,0)</f>
        <v>0</v>
      </c>
      <c r="V210" s="17">
        <f>_xlfn.XLOOKUP($B210,'[3]May-25'!$A:$A,'[3]May-25'!$H:$H,0)</f>
        <v>0</v>
      </c>
      <c r="W210" s="17">
        <f>_xlfn.XLOOKUP($B210,'[3]Jun-25'!$A:$A,'[3]Jun-25'!$H:$H,0)</f>
        <v>0</v>
      </c>
      <c r="X210" s="17">
        <f>_xlfn.XLOOKUP($B210,'[3]Jul-25'!$A:$A,'[3]Jul-25'!$H:$H,0)</f>
        <v>0</v>
      </c>
      <c r="Y210" s="17">
        <f>_xlfn.XLOOKUP($B210,'[3]Aug-25'!$A:$A,'[3]Aug-25'!$H:$H,0)</f>
        <v>0</v>
      </c>
      <c r="Z210" s="17">
        <f>_xlfn.XLOOKUP($B210,'[3]Sep-25'!$A:$A,'[3]Sep-25'!$H:$H,0)</f>
        <v>0</v>
      </c>
      <c r="AA210" s="17">
        <f>_xlfn.XLOOKUP($B210,'[3]Oct-25'!$A:$A,'[3]Oct-25'!$H:$H,0)</f>
        <v>0</v>
      </c>
      <c r="AB210" s="17">
        <f>_xlfn.XLOOKUP($B210,'[3]Nov-25'!$A:$A,'[3]Nov-25'!$H:$H,0)</f>
        <v>0</v>
      </c>
      <c r="AC210" s="17">
        <f>_xlfn.XLOOKUP($B210,'[3]Dec-25'!$A:$A,'[3]Dec-25'!$H:$H,0)</f>
        <v>0</v>
      </c>
      <c r="AD210" s="17">
        <f>_xlfn.XLOOKUP($B210,'[3]Jan-26'!$A:$A,'[3]Jan-26'!$H:$H,0)</f>
        <v>0</v>
      </c>
      <c r="AE210" s="17">
        <f>_xlfn.XLOOKUP($B210,'[3]Feb-26'!$A:$A,'[3]Feb-26'!$H:$H,0)</f>
        <v>0</v>
      </c>
      <c r="AF210" s="17">
        <f>_xlfn.XLOOKUP($B210,'[3]Mar-26'!$A:$A,'[3]Mar-26'!$H:$H,0)</f>
        <v>0</v>
      </c>
      <c r="AG210" s="17">
        <f>_xlfn.XLOOKUP($B210,'[3]Apr-26'!$A:$A,'[3]Apr-26'!$H:$H,0)</f>
        <v>0</v>
      </c>
    </row>
    <row r="211" spans="1:33" x14ac:dyDescent="0.2">
      <c r="A211" s="58" t="s">
        <v>1160</v>
      </c>
      <c r="B211" s="56" t="str">
        <f t="shared" si="5"/>
        <v>60207</v>
      </c>
      <c r="C211" s="78" t="s">
        <v>574</v>
      </c>
      <c r="D211" s="57" t="s">
        <v>387</v>
      </c>
      <c r="E211" s="44" t="s">
        <v>587</v>
      </c>
      <c r="F211" s="17">
        <f>_xlfn.XLOOKUP($B211,'[3]Jan-24'!$A:$A,'[3]Jan-24'!$H:$H,0)</f>
        <v>0</v>
      </c>
      <c r="G211" s="17">
        <f>_xlfn.XLOOKUP($B211,'[3]Feb-24'!$A:$A,'[3]Feb-24'!$H:$H,0)</f>
        <v>0</v>
      </c>
      <c r="H211" s="17">
        <f>_xlfn.XLOOKUP($B211,'[3]Mar-24'!$A:$A,'[3]Mar-24'!$H:$H,0)</f>
        <v>0</v>
      </c>
      <c r="I211" s="17">
        <f>_xlfn.XLOOKUP($B211,'[3]Apr-24'!$A:$A,'[3]Apr-24'!$H:$H,0)</f>
        <v>0</v>
      </c>
      <c r="J211" s="17">
        <f>_xlfn.XLOOKUP($B211,'[3]May-24'!$A:$A,'[3]May-24'!$H:$H,0)</f>
        <v>0</v>
      </c>
      <c r="K211" s="17">
        <f>_xlfn.XLOOKUP($B211,'[3]Jun-24'!$A:$A,'[3]Jun-24'!$H:$H,0)</f>
        <v>0</v>
      </c>
      <c r="L211" s="17">
        <f>_xlfn.XLOOKUP($B211,'[3]Jul-24'!$A:$A,'[3]Jul-24'!$H:$H,0)</f>
        <v>0</v>
      </c>
      <c r="M211" s="17">
        <f>_xlfn.XLOOKUP($B211,'[3]Aug-24'!$A:$A,'[3]Aug-24'!$H:$H,0)</f>
        <v>0</v>
      </c>
      <c r="N211" s="17">
        <f>_xlfn.XLOOKUP($B211,'[3]Sep-24'!$A:$A,'[3]Sep-24'!$H:$H,0)</f>
        <v>0</v>
      </c>
      <c r="O211" s="17">
        <f>_xlfn.XLOOKUP($B211,'[3]Oct-24'!$A:$A,'[3]Oct-24'!$H:$H,0)</f>
        <v>0</v>
      </c>
      <c r="P211" s="17">
        <f>_xlfn.XLOOKUP($B211,'[3]Nov-24'!$A:$A,'[3]Nov-24'!$H:$H,0)</f>
        <v>0</v>
      </c>
      <c r="Q211" s="17">
        <f>_xlfn.XLOOKUP($B211,'[3]Dec-24'!$A:$A,'[3]Dec-24'!$H:$H,0)</f>
        <v>0</v>
      </c>
      <c r="R211" s="17">
        <f>_xlfn.XLOOKUP($B211,'[3]Jan-25'!$A:$A,'[3]Jan-25'!$H:$H,0)</f>
        <v>0</v>
      </c>
      <c r="S211" s="17">
        <f>_xlfn.XLOOKUP($B211,'[3]Feb-25'!$A:$A,'[3]Feb-25'!$H:$H,0)</f>
        <v>0</v>
      </c>
      <c r="T211" s="17">
        <f>_xlfn.XLOOKUP($B211,'[3]Mar-25'!$A:$A,'[3]Mar-25'!$H:$H,0)</f>
        <v>0</v>
      </c>
      <c r="U211" s="17">
        <f>_xlfn.XLOOKUP($B211,'[3]Apr-25'!$A:$A,'[3]Apr-25'!$H:$H,0)</f>
        <v>0</v>
      </c>
      <c r="V211" s="17">
        <f>_xlfn.XLOOKUP($B211,'[3]May-25'!$A:$A,'[3]May-25'!$H:$H,0)</f>
        <v>0</v>
      </c>
      <c r="W211" s="17">
        <f>_xlfn.XLOOKUP($B211,'[3]Jun-25'!$A:$A,'[3]Jun-25'!$H:$H,0)</f>
        <v>0</v>
      </c>
      <c r="X211" s="17">
        <f>_xlfn.XLOOKUP($B211,'[3]Jul-25'!$A:$A,'[3]Jul-25'!$H:$H,0)</f>
        <v>0</v>
      </c>
      <c r="Y211" s="17">
        <f>_xlfn.XLOOKUP($B211,'[3]Aug-25'!$A:$A,'[3]Aug-25'!$H:$H,0)</f>
        <v>0</v>
      </c>
      <c r="Z211" s="17">
        <f>_xlfn.XLOOKUP($B211,'[3]Sep-25'!$A:$A,'[3]Sep-25'!$H:$H,0)</f>
        <v>0</v>
      </c>
      <c r="AA211" s="17">
        <f>_xlfn.XLOOKUP($B211,'[3]Oct-25'!$A:$A,'[3]Oct-25'!$H:$H,0)</f>
        <v>0</v>
      </c>
      <c r="AB211" s="17">
        <f>_xlfn.XLOOKUP($B211,'[3]Nov-25'!$A:$A,'[3]Nov-25'!$H:$H,0)</f>
        <v>0</v>
      </c>
      <c r="AC211" s="17">
        <f>_xlfn.XLOOKUP($B211,'[3]Dec-25'!$A:$A,'[3]Dec-25'!$H:$H,0)</f>
        <v>0</v>
      </c>
      <c r="AD211" s="17">
        <f>_xlfn.XLOOKUP($B211,'[3]Jan-26'!$A:$A,'[3]Jan-26'!$H:$H,0)</f>
        <v>0</v>
      </c>
      <c r="AE211" s="17">
        <f>_xlfn.XLOOKUP($B211,'[3]Feb-26'!$A:$A,'[3]Feb-26'!$H:$H,0)</f>
        <v>0</v>
      </c>
      <c r="AF211" s="17">
        <f>_xlfn.XLOOKUP($B211,'[3]Mar-26'!$A:$A,'[3]Mar-26'!$H:$H,0)</f>
        <v>0</v>
      </c>
      <c r="AG211" s="17">
        <f>_xlfn.XLOOKUP($B211,'[3]Apr-26'!$A:$A,'[3]Apr-26'!$H:$H,0)</f>
        <v>0</v>
      </c>
    </row>
    <row r="212" spans="1:33" x14ac:dyDescent="0.2">
      <c r="A212" s="58" t="s">
        <v>1161</v>
      </c>
      <c r="B212" s="56" t="str">
        <f t="shared" si="5"/>
        <v>60208</v>
      </c>
      <c r="C212" s="78" t="s">
        <v>574</v>
      </c>
      <c r="D212" s="57" t="s">
        <v>387</v>
      </c>
      <c r="E212" s="44" t="s">
        <v>588</v>
      </c>
      <c r="F212" s="17">
        <f>_xlfn.XLOOKUP($B212,'[3]Jan-24'!$A:$A,'[3]Jan-24'!$H:$H,0)</f>
        <v>0</v>
      </c>
      <c r="G212" s="17">
        <f>_xlfn.XLOOKUP($B212,'[3]Feb-24'!$A:$A,'[3]Feb-24'!$H:$H,0)</f>
        <v>0</v>
      </c>
      <c r="H212" s="17">
        <f>_xlfn.XLOOKUP($B212,'[3]Mar-24'!$A:$A,'[3]Mar-24'!$H:$H,0)</f>
        <v>0</v>
      </c>
      <c r="I212" s="17">
        <f>_xlfn.XLOOKUP($B212,'[3]Apr-24'!$A:$A,'[3]Apr-24'!$H:$H,0)</f>
        <v>0</v>
      </c>
      <c r="J212" s="17">
        <f>_xlfn.XLOOKUP($B212,'[3]May-24'!$A:$A,'[3]May-24'!$H:$H,0)</f>
        <v>0</v>
      </c>
      <c r="K212" s="17">
        <f>_xlfn.XLOOKUP($B212,'[3]Jun-24'!$A:$A,'[3]Jun-24'!$H:$H,0)</f>
        <v>0</v>
      </c>
      <c r="L212" s="17">
        <f>_xlfn.XLOOKUP($B212,'[3]Jul-24'!$A:$A,'[3]Jul-24'!$H:$H,0)</f>
        <v>0</v>
      </c>
      <c r="M212" s="17">
        <f>_xlfn.XLOOKUP($B212,'[3]Aug-24'!$A:$A,'[3]Aug-24'!$H:$H,0)</f>
        <v>0</v>
      </c>
      <c r="N212" s="17">
        <f>_xlfn.XLOOKUP($B212,'[3]Sep-24'!$A:$A,'[3]Sep-24'!$H:$H,0)</f>
        <v>0</v>
      </c>
      <c r="O212" s="17">
        <f>_xlfn.XLOOKUP($B212,'[3]Oct-24'!$A:$A,'[3]Oct-24'!$H:$H,0)</f>
        <v>0</v>
      </c>
      <c r="P212" s="17">
        <f>_xlfn.XLOOKUP($B212,'[3]Nov-24'!$A:$A,'[3]Nov-24'!$H:$H,0)</f>
        <v>0</v>
      </c>
      <c r="Q212" s="17">
        <f>_xlfn.XLOOKUP($B212,'[3]Dec-24'!$A:$A,'[3]Dec-24'!$H:$H,0)</f>
        <v>0</v>
      </c>
      <c r="R212" s="17">
        <f>_xlfn.XLOOKUP($B212,'[3]Jan-25'!$A:$A,'[3]Jan-25'!$H:$H,0)</f>
        <v>0</v>
      </c>
      <c r="S212" s="17">
        <f>_xlfn.XLOOKUP($B212,'[3]Feb-25'!$A:$A,'[3]Feb-25'!$H:$H,0)</f>
        <v>0</v>
      </c>
      <c r="T212" s="17">
        <f>_xlfn.XLOOKUP($B212,'[3]Mar-25'!$A:$A,'[3]Mar-25'!$H:$H,0)</f>
        <v>0</v>
      </c>
      <c r="U212" s="17">
        <f>_xlfn.XLOOKUP($B212,'[3]Apr-25'!$A:$A,'[3]Apr-25'!$H:$H,0)</f>
        <v>0</v>
      </c>
      <c r="V212" s="17">
        <f>_xlfn.XLOOKUP($B212,'[3]May-25'!$A:$A,'[3]May-25'!$H:$H,0)</f>
        <v>0</v>
      </c>
      <c r="W212" s="17">
        <f>_xlfn.XLOOKUP($B212,'[3]Jun-25'!$A:$A,'[3]Jun-25'!$H:$H,0)</f>
        <v>0</v>
      </c>
      <c r="X212" s="17">
        <f>_xlfn.XLOOKUP($B212,'[3]Jul-25'!$A:$A,'[3]Jul-25'!$H:$H,0)</f>
        <v>0</v>
      </c>
      <c r="Y212" s="17">
        <f>_xlfn.XLOOKUP($B212,'[3]Aug-25'!$A:$A,'[3]Aug-25'!$H:$H,0)</f>
        <v>0</v>
      </c>
      <c r="Z212" s="17">
        <f>_xlfn.XLOOKUP($B212,'[3]Sep-25'!$A:$A,'[3]Sep-25'!$H:$H,0)</f>
        <v>0</v>
      </c>
      <c r="AA212" s="17">
        <f>_xlfn.XLOOKUP($B212,'[3]Oct-25'!$A:$A,'[3]Oct-25'!$H:$H,0)</f>
        <v>0</v>
      </c>
      <c r="AB212" s="17">
        <f>_xlfn.XLOOKUP($B212,'[3]Nov-25'!$A:$A,'[3]Nov-25'!$H:$H,0)</f>
        <v>0</v>
      </c>
      <c r="AC212" s="17">
        <f>_xlfn.XLOOKUP($B212,'[3]Dec-25'!$A:$A,'[3]Dec-25'!$H:$H,0)</f>
        <v>0</v>
      </c>
      <c r="AD212" s="17">
        <f>_xlfn.XLOOKUP($B212,'[3]Jan-26'!$A:$A,'[3]Jan-26'!$H:$H,0)</f>
        <v>0</v>
      </c>
      <c r="AE212" s="17">
        <f>_xlfn.XLOOKUP($B212,'[3]Feb-26'!$A:$A,'[3]Feb-26'!$H:$H,0)</f>
        <v>0</v>
      </c>
      <c r="AF212" s="17">
        <f>_xlfn.XLOOKUP($B212,'[3]Mar-26'!$A:$A,'[3]Mar-26'!$H:$H,0)</f>
        <v>0</v>
      </c>
      <c r="AG212" s="17">
        <f>_xlfn.XLOOKUP($B212,'[3]Apr-26'!$A:$A,'[3]Apr-26'!$H:$H,0)</f>
        <v>0</v>
      </c>
    </row>
    <row r="213" spans="1:33" x14ac:dyDescent="0.2">
      <c r="A213" s="58" t="s">
        <v>1162</v>
      </c>
      <c r="B213" s="56" t="str">
        <f t="shared" si="5"/>
        <v>60209</v>
      </c>
      <c r="C213" s="78" t="s">
        <v>574</v>
      </c>
      <c r="D213" s="57" t="s">
        <v>387</v>
      </c>
      <c r="E213" s="44" t="s">
        <v>589</v>
      </c>
      <c r="F213" s="17">
        <f>_xlfn.XLOOKUP($B213,'[3]Jan-24'!$A:$A,'[3]Jan-24'!$H:$H,0)</f>
        <v>0</v>
      </c>
      <c r="G213" s="17">
        <f>_xlfn.XLOOKUP($B213,'[3]Feb-24'!$A:$A,'[3]Feb-24'!$H:$H,0)</f>
        <v>0</v>
      </c>
      <c r="H213" s="17">
        <f>_xlfn.XLOOKUP($B213,'[3]Mar-24'!$A:$A,'[3]Mar-24'!$H:$H,0)</f>
        <v>0</v>
      </c>
      <c r="I213" s="17">
        <f>_xlfn.XLOOKUP($B213,'[3]Apr-24'!$A:$A,'[3]Apr-24'!$H:$H,0)</f>
        <v>0</v>
      </c>
      <c r="J213" s="17">
        <f>_xlfn.XLOOKUP($B213,'[3]May-24'!$A:$A,'[3]May-24'!$H:$H,0)</f>
        <v>0</v>
      </c>
      <c r="K213" s="17">
        <f>_xlfn.XLOOKUP($B213,'[3]Jun-24'!$A:$A,'[3]Jun-24'!$H:$H,0)</f>
        <v>0</v>
      </c>
      <c r="L213" s="17">
        <f>_xlfn.XLOOKUP($B213,'[3]Jul-24'!$A:$A,'[3]Jul-24'!$H:$H,0)</f>
        <v>0</v>
      </c>
      <c r="M213" s="17">
        <f>_xlfn.XLOOKUP($B213,'[3]Aug-24'!$A:$A,'[3]Aug-24'!$H:$H,0)</f>
        <v>0</v>
      </c>
      <c r="N213" s="17">
        <f>_xlfn.XLOOKUP($B213,'[3]Sep-24'!$A:$A,'[3]Sep-24'!$H:$H,0)</f>
        <v>0</v>
      </c>
      <c r="O213" s="17">
        <f>_xlfn.XLOOKUP($B213,'[3]Oct-24'!$A:$A,'[3]Oct-24'!$H:$H,0)</f>
        <v>0</v>
      </c>
      <c r="P213" s="17">
        <f>_xlfn.XLOOKUP($B213,'[3]Nov-24'!$A:$A,'[3]Nov-24'!$H:$H,0)</f>
        <v>0</v>
      </c>
      <c r="Q213" s="17">
        <f>_xlfn.XLOOKUP($B213,'[3]Dec-24'!$A:$A,'[3]Dec-24'!$H:$H,0)</f>
        <v>0</v>
      </c>
      <c r="R213" s="17">
        <f>_xlfn.XLOOKUP($B213,'[3]Jan-25'!$A:$A,'[3]Jan-25'!$H:$H,0)</f>
        <v>0</v>
      </c>
      <c r="S213" s="17">
        <f>_xlfn.XLOOKUP($B213,'[3]Feb-25'!$A:$A,'[3]Feb-25'!$H:$H,0)</f>
        <v>0</v>
      </c>
      <c r="T213" s="17">
        <f>_xlfn.XLOOKUP($B213,'[3]Mar-25'!$A:$A,'[3]Mar-25'!$H:$H,0)</f>
        <v>0</v>
      </c>
      <c r="U213" s="17">
        <f>_xlfn.XLOOKUP($B213,'[3]Apr-25'!$A:$A,'[3]Apr-25'!$H:$H,0)</f>
        <v>0</v>
      </c>
      <c r="V213" s="17">
        <f>_xlfn.XLOOKUP($B213,'[3]May-25'!$A:$A,'[3]May-25'!$H:$H,0)</f>
        <v>0</v>
      </c>
      <c r="W213" s="17">
        <f>_xlfn.XLOOKUP($B213,'[3]Jun-25'!$A:$A,'[3]Jun-25'!$H:$H,0)</f>
        <v>0</v>
      </c>
      <c r="X213" s="17">
        <f>_xlfn.XLOOKUP($B213,'[3]Jul-25'!$A:$A,'[3]Jul-25'!$H:$H,0)</f>
        <v>0</v>
      </c>
      <c r="Y213" s="17">
        <f>_xlfn.XLOOKUP($B213,'[3]Aug-25'!$A:$A,'[3]Aug-25'!$H:$H,0)</f>
        <v>0</v>
      </c>
      <c r="Z213" s="17">
        <f>_xlfn.XLOOKUP($B213,'[3]Sep-25'!$A:$A,'[3]Sep-25'!$H:$H,0)</f>
        <v>0</v>
      </c>
      <c r="AA213" s="17">
        <f>_xlfn.XLOOKUP($B213,'[3]Oct-25'!$A:$A,'[3]Oct-25'!$H:$H,0)</f>
        <v>0</v>
      </c>
      <c r="AB213" s="17">
        <f>_xlfn.XLOOKUP($B213,'[3]Nov-25'!$A:$A,'[3]Nov-25'!$H:$H,0)</f>
        <v>0</v>
      </c>
      <c r="AC213" s="17">
        <f>_xlfn.XLOOKUP($B213,'[3]Dec-25'!$A:$A,'[3]Dec-25'!$H:$H,0)</f>
        <v>0</v>
      </c>
      <c r="AD213" s="17">
        <f>_xlfn.XLOOKUP($B213,'[3]Jan-26'!$A:$A,'[3]Jan-26'!$H:$H,0)</f>
        <v>0</v>
      </c>
      <c r="AE213" s="17">
        <f>_xlfn.XLOOKUP($B213,'[3]Feb-26'!$A:$A,'[3]Feb-26'!$H:$H,0)</f>
        <v>0</v>
      </c>
      <c r="AF213" s="17">
        <f>_xlfn.XLOOKUP($B213,'[3]Mar-26'!$A:$A,'[3]Mar-26'!$H:$H,0)</f>
        <v>0</v>
      </c>
      <c r="AG213" s="17">
        <f>_xlfn.XLOOKUP($B213,'[3]Apr-26'!$A:$A,'[3]Apr-26'!$H:$H,0)</f>
        <v>0</v>
      </c>
    </row>
    <row r="214" spans="1:33" x14ac:dyDescent="0.2">
      <c r="A214" s="58" t="s">
        <v>1163</v>
      </c>
      <c r="B214" s="56" t="str">
        <f t="shared" si="5"/>
        <v>60210</v>
      </c>
      <c r="C214" s="78" t="s">
        <v>574</v>
      </c>
      <c r="D214" s="57" t="s">
        <v>387</v>
      </c>
      <c r="E214" s="44" t="s">
        <v>590</v>
      </c>
      <c r="F214" s="17">
        <f>_xlfn.XLOOKUP($B214,'[3]Jan-24'!$A:$A,'[3]Jan-24'!$H:$H,0)</f>
        <v>0</v>
      </c>
      <c r="G214" s="17">
        <f>_xlfn.XLOOKUP($B214,'[3]Feb-24'!$A:$A,'[3]Feb-24'!$H:$H,0)</f>
        <v>0</v>
      </c>
      <c r="H214" s="17">
        <f>_xlfn.XLOOKUP($B214,'[3]Mar-24'!$A:$A,'[3]Mar-24'!$H:$H,0)</f>
        <v>0</v>
      </c>
      <c r="I214" s="17">
        <f>_xlfn.XLOOKUP($B214,'[3]Apr-24'!$A:$A,'[3]Apr-24'!$H:$H,0)</f>
        <v>0</v>
      </c>
      <c r="J214" s="17">
        <f>_xlfn.XLOOKUP($B214,'[3]May-24'!$A:$A,'[3]May-24'!$H:$H,0)</f>
        <v>0</v>
      </c>
      <c r="K214" s="17">
        <f>_xlfn.XLOOKUP($B214,'[3]Jun-24'!$A:$A,'[3]Jun-24'!$H:$H,0)</f>
        <v>0</v>
      </c>
      <c r="L214" s="17">
        <f>_xlfn.XLOOKUP($B214,'[3]Jul-24'!$A:$A,'[3]Jul-24'!$H:$H,0)</f>
        <v>0</v>
      </c>
      <c r="M214" s="17">
        <f>_xlfn.XLOOKUP($B214,'[3]Aug-24'!$A:$A,'[3]Aug-24'!$H:$H,0)</f>
        <v>0</v>
      </c>
      <c r="N214" s="17">
        <f>_xlfn.XLOOKUP($B214,'[3]Sep-24'!$A:$A,'[3]Sep-24'!$H:$H,0)</f>
        <v>0</v>
      </c>
      <c r="O214" s="17">
        <f>_xlfn.XLOOKUP($B214,'[3]Oct-24'!$A:$A,'[3]Oct-24'!$H:$H,0)</f>
        <v>0</v>
      </c>
      <c r="P214" s="17">
        <f>_xlfn.XLOOKUP($B214,'[3]Nov-24'!$A:$A,'[3]Nov-24'!$H:$H,0)</f>
        <v>0</v>
      </c>
      <c r="Q214" s="17">
        <f>_xlfn.XLOOKUP($B214,'[3]Dec-24'!$A:$A,'[3]Dec-24'!$H:$H,0)</f>
        <v>0</v>
      </c>
      <c r="R214" s="17">
        <f>_xlfn.XLOOKUP($B214,'[3]Jan-25'!$A:$A,'[3]Jan-25'!$H:$H,0)</f>
        <v>0</v>
      </c>
      <c r="S214" s="17">
        <f>_xlfn.XLOOKUP($B214,'[3]Feb-25'!$A:$A,'[3]Feb-25'!$H:$H,0)</f>
        <v>0</v>
      </c>
      <c r="T214" s="17">
        <f>_xlfn.XLOOKUP($B214,'[3]Mar-25'!$A:$A,'[3]Mar-25'!$H:$H,0)</f>
        <v>0</v>
      </c>
      <c r="U214" s="17">
        <f>_xlfn.XLOOKUP($B214,'[3]Apr-25'!$A:$A,'[3]Apr-25'!$H:$H,0)</f>
        <v>0</v>
      </c>
      <c r="V214" s="17">
        <f>_xlfn.XLOOKUP($B214,'[3]May-25'!$A:$A,'[3]May-25'!$H:$H,0)</f>
        <v>0</v>
      </c>
      <c r="W214" s="17">
        <f>_xlfn.XLOOKUP($B214,'[3]Jun-25'!$A:$A,'[3]Jun-25'!$H:$H,0)</f>
        <v>0</v>
      </c>
      <c r="X214" s="17">
        <f>_xlfn.XLOOKUP($B214,'[3]Jul-25'!$A:$A,'[3]Jul-25'!$H:$H,0)</f>
        <v>0</v>
      </c>
      <c r="Y214" s="17">
        <f>_xlfn.XLOOKUP($B214,'[3]Aug-25'!$A:$A,'[3]Aug-25'!$H:$H,0)</f>
        <v>0</v>
      </c>
      <c r="Z214" s="17">
        <f>_xlfn.XLOOKUP($B214,'[3]Sep-25'!$A:$A,'[3]Sep-25'!$H:$H,0)</f>
        <v>0</v>
      </c>
      <c r="AA214" s="17">
        <f>_xlfn.XLOOKUP($B214,'[3]Oct-25'!$A:$A,'[3]Oct-25'!$H:$H,0)</f>
        <v>0</v>
      </c>
      <c r="AB214" s="17">
        <f>_xlfn.XLOOKUP($B214,'[3]Nov-25'!$A:$A,'[3]Nov-25'!$H:$H,0)</f>
        <v>0</v>
      </c>
      <c r="AC214" s="17">
        <f>_xlfn.XLOOKUP($B214,'[3]Dec-25'!$A:$A,'[3]Dec-25'!$H:$H,0)</f>
        <v>0</v>
      </c>
      <c r="AD214" s="17">
        <f>_xlfn.XLOOKUP($B214,'[3]Jan-26'!$A:$A,'[3]Jan-26'!$H:$H,0)</f>
        <v>0</v>
      </c>
      <c r="AE214" s="17">
        <f>_xlfn.XLOOKUP($B214,'[3]Feb-26'!$A:$A,'[3]Feb-26'!$H:$H,0)</f>
        <v>0</v>
      </c>
      <c r="AF214" s="17">
        <f>_xlfn.XLOOKUP($B214,'[3]Mar-26'!$A:$A,'[3]Mar-26'!$H:$H,0)</f>
        <v>0</v>
      </c>
      <c r="AG214" s="17">
        <f>_xlfn.XLOOKUP($B214,'[3]Apr-26'!$A:$A,'[3]Apr-26'!$H:$H,0)</f>
        <v>0</v>
      </c>
    </row>
    <row r="215" spans="1:33" x14ac:dyDescent="0.2">
      <c r="A215" s="58" t="s">
        <v>1164</v>
      </c>
      <c r="B215" s="56" t="str">
        <f t="shared" si="5"/>
        <v>60211</v>
      </c>
      <c r="C215" s="78" t="s">
        <v>574</v>
      </c>
      <c r="D215" s="57" t="s">
        <v>387</v>
      </c>
      <c r="E215" s="44" t="s">
        <v>591</v>
      </c>
      <c r="F215" s="17">
        <f>_xlfn.XLOOKUP($B215,'[3]Jan-24'!$A:$A,'[3]Jan-24'!$H:$H,0)</f>
        <v>0</v>
      </c>
      <c r="G215" s="17">
        <f>_xlfn.XLOOKUP($B215,'[3]Feb-24'!$A:$A,'[3]Feb-24'!$H:$H,0)</f>
        <v>0</v>
      </c>
      <c r="H215" s="17">
        <f>_xlfn.XLOOKUP($B215,'[3]Mar-24'!$A:$A,'[3]Mar-24'!$H:$H,0)</f>
        <v>0</v>
      </c>
      <c r="I215" s="17">
        <f>_xlfn.XLOOKUP($B215,'[3]Apr-24'!$A:$A,'[3]Apr-24'!$H:$H,0)</f>
        <v>0</v>
      </c>
      <c r="J215" s="17">
        <f>_xlfn.XLOOKUP($B215,'[3]May-24'!$A:$A,'[3]May-24'!$H:$H,0)</f>
        <v>0</v>
      </c>
      <c r="K215" s="17">
        <f>_xlfn.XLOOKUP($B215,'[3]Jun-24'!$A:$A,'[3]Jun-24'!$H:$H,0)</f>
        <v>0</v>
      </c>
      <c r="L215" s="17">
        <f>_xlfn.XLOOKUP($B215,'[3]Jul-24'!$A:$A,'[3]Jul-24'!$H:$H,0)</f>
        <v>0</v>
      </c>
      <c r="M215" s="17">
        <f>_xlfn.XLOOKUP($B215,'[3]Aug-24'!$A:$A,'[3]Aug-24'!$H:$H,0)</f>
        <v>0</v>
      </c>
      <c r="N215" s="17">
        <f>_xlfn.XLOOKUP($B215,'[3]Sep-24'!$A:$A,'[3]Sep-24'!$H:$H,0)</f>
        <v>0</v>
      </c>
      <c r="O215" s="17">
        <f>_xlfn.XLOOKUP($B215,'[3]Oct-24'!$A:$A,'[3]Oct-24'!$H:$H,0)</f>
        <v>0</v>
      </c>
      <c r="P215" s="17">
        <f>_xlfn.XLOOKUP($B215,'[3]Nov-24'!$A:$A,'[3]Nov-24'!$H:$H,0)</f>
        <v>0</v>
      </c>
      <c r="Q215" s="17">
        <f>_xlfn.XLOOKUP($B215,'[3]Dec-24'!$A:$A,'[3]Dec-24'!$H:$H,0)</f>
        <v>0</v>
      </c>
      <c r="R215" s="17">
        <f>_xlfn.XLOOKUP($B215,'[3]Jan-25'!$A:$A,'[3]Jan-25'!$H:$H,0)</f>
        <v>0</v>
      </c>
      <c r="S215" s="17">
        <f>_xlfn.XLOOKUP($B215,'[3]Feb-25'!$A:$A,'[3]Feb-25'!$H:$H,0)</f>
        <v>0</v>
      </c>
      <c r="T215" s="17">
        <f>_xlfn.XLOOKUP($B215,'[3]Mar-25'!$A:$A,'[3]Mar-25'!$H:$H,0)</f>
        <v>0</v>
      </c>
      <c r="U215" s="17">
        <f>_xlfn.XLOOKUP($B215,'[3]Apr-25'!$A:$A,'[3]Apr-25'!$H:$H,0)</f>
        <v>0</v>
      </c>
      <c r="V215" s="17">
        <f>_xlfn.XLOOKUP($B215,'[3]May-25'!$A:$A,'[3]May-25'!$H:$H,0)</f>
        <v>0</v>
      </c>
      <c r="W215" s="17">
        <f>_xlfn.XLOOKUP($B215,'[3]Jun-25'!$A:$A,'[3]Jun-25'!$H:$H,0)</f>
        <v>0</v>
      </c>
      <c r="X215" s="17">
        <f>_xlfn.XLOOKUP($B215,'[3]Jul-25'!$A:$A,'[3]Jul-25'!$H:$H,0)</f>
        <v>0</v>
      </c>
      <c r="Y215" s="17">
        <f>_xlfn.XLOOKUP($B215,'[3]Aug-25'!$A:$A,'[3]Aug-25'!$H:$H,0)</f>
        <v>0</v>
      </c>
      <c r="Z215" s="17">
        <f>_xlfn.XLOOKUP($B215,'[3]Sep-25'!$A:$A,'[3]Sep-25'!$H:$H,0)</f>
        <v>0</v>
      </c>
      <c r="AA215" s="17">
        <f>_xlfn.XLOOKUP($B215,'[3]Oct-25'!$A:$A,'[3]Oct-25'!$H:$H,0)</f>
        <v>0</v>
      </c>
      <c r="AB215" s="17">
        <f>_xlfn.XLOOKUP($B215,'[3]Nov-25'!$A:$A,'[3]Nov-25'!$H:$H,0)</f>
        <v>0</v>
      </c>
      <c r="AC215" s="17">
        <f>_xlfn.XLOOKUP($B215,'[3]Dec-25'!$A:$A,'[3]Dec-25'!$H:$H,0)</f>
        <v>0</v>
      </c>
      <c r="AD215" s="17">
        <f>_xlfn.XLOOKUP($B215,'[3]Jan-26'!$A:$A,'[3]Jan-26'!$H:$H,0)</f>
        <v>0</v>
      </c>
      <c r="AE215" s="17">
        <f>_xlfn.XLOOKUP($B215,'[3]Feb-26'!$A:$A,'[3]Feb-26'!$H:$H,0)</f>
        <v>0</v>
      </c>
      <c r="AF215" s="17">
        <f>_xlfn.XLOOKUP($B215,'[3]Mar-26'!$A:$A,'[3]Mar-26'!$H:$H,0)</f>
        <v>0</v>
      </c>
      <c r="AG215" s="17">
        <f>_xlfn.XLOOKUP($B215,'[3]Apr-26'!$A:$A,'[3]Apr-26'!$H:$H,0)</f>
        <v>0</v>
      </c>
    </row>
    <row r="216" spans="1:33" x14ac:dyDescent="0.2">
      <c r="A216" s="58" t="s">
        <v>1165</v>
      </c>
      <c r="B216" s="56" t="str">
        <f t="shared" si="5"/>
        <v>60212</v>
      </c>
      <c r="C216" s="78" t="s">
        <v>549</v>
      </c>
      <c r="D216" s="57" t="s">
        <v>387</v>
      </c>
      <c r="E216" s="44" t="s">
        <v>592</v>
      </c>
      <c r="F216" s="17">
        <f>_xlfn.XLOOKUP($B216,'[3]Jan-24'!$A:$A,'[3]Jan-24'!$H:$H,0)</f>
        <v>0</v>
      </c>
      <c r="G216" s="17">
        <f>_xlfn.XLOOKUP($B216,'[3]Feb-24'!$A:$A,'[3]Feb-24'!$H:$H,0)</f>
        <v>0</v>
      </c>
      <c r="H216" s="17">
        <f>_xlfn.XLOOKUP($B216,'[3]Mar-24'!$A:$A,'[3]Mar-24'!$H:$H,0)</f>
        <v>0</v>
      </c>
      <c r="I216" s="17">
        <f>_xlfn.XLOOKUP($B216,'[3]Apr-24'!$A:$A,'[3]Apr-24'!$H:$H,0)</f>
        <v>0</v>
      </c>
      <c r="J216" s="17">
        <f>_xlfn.XLOOKUP($B216,'[3]May-24'!$A:$A,'[3]May-24'!$H:$H,0)</f>
        <v>0</v>
      </c>
      <c r="K216" s="17">
        <f>_xlfn.XLOOKUP($B216,'[3]Jun-24'!$A:$A,'[3]Jun-24'!$H:$H,0)</f>
        <v>0</v>
      </c>
      <c r="L216" s="17">
        <f>_xlfn.XLOOKUP($B216,'[3]Jul-24'!$A:$A,'[3]Jul-24'!$H:$H,0)</f>
        <v>0</v>
      </c>
      <c r="M216" s="17">
        <f>_xlfn.XLOOKUP($B216,'[3]Aug-24'!$A:$A,'[3]Aug-24'!$H:$H,0)</f>
        <v>0</v>
      </c>
      <c r="N216" s="17">
        <f>_xlfn.XLOOKUP($B216,'[3]Sep-24'!$A:$A,'[3]Sep-24'!$H:$H,0)</f>
        <v>0</v>
      </c>
      <c r="O216" s="17">
        <f>_xlfn.XLOOKUP($B216,'[3]Oct-24'!$A:$A,'[3]Oct-24'!$H:$H,0)</f>
        <v>0</v>
      </c>
      <c r="P216" s="17">
        <f>_xlfn.XLOOKUP($B216,'[3]Nov-24'!$A:$A,'[3]Nov-24'!$H:$H,0)</f>
        <v>0</v>
      </c>
      <c r="Q216" s="17">
        <f>_xlfn.XLOOKUP($B216,'[3]Dec-24'!$A:$A,'[3]Dec-24'!$H:$H,0)</f>
        <v>0</v>
      </c>
      <c r="R216" s="17">
        <f>_xlfn.XLOOKUP($B216,'[3]Jan-25'!$A:$A,'[3]Jan-25'!$H:$H,0)</f>
        <v>0</v>
      </c>
      <c r="S216" s="17">
        <f>_xlfn.XLOOKUP($B216,'[3]Feb-25'!$A:$A,'[3]Feb-25'!$H:$H,0)</f>
        <v>0</v>
      </c>
      <c r="T216" s="17">
        <f>_xlfn.XLOOKUP($B216,'[3]Mar-25'!$A:$A,'[3]Mar-25'!$H:$H,0)</f>
        <v>0</v>
      </c>
      <c r="U216" s="17">
        <f>_xlfn.XLOOKUP($B216,'[3]Apr-25'!$A:$A,'[3]Apr-25'!$H:$H,0)</f>
        <v>0</v>
      </c>
      <c r="V216" s="17">
        <f>_xlfn.XLOOKUP($B216,'[3]May-25'!$A:$A,'[3]May-25'!$H:$H,0)</f>
        <v>0</v>
      </c>
      <c r="W216" s="17">
        <f>_xlfn.XLOOKUP($B216,'[3]Jun-25'!$A:$A,'[3]Jun-25'!$H:$H,0)</f>
        <v>0</v>
      </c>
      <c r="X216" s="17">
        <f>_xlfn.XLOOKUP($B216,'[3]Jul-25'!$A:$A,'[3]Jul-25'!$H:$H,0)</f>
        <v>0</v>
      </c>
      <c r="Y216" s="17">
        <f>_xlfn.XLOOKUP($B216,'[3]Aug-25'!$A:$A,'[3]Aug-25'!$H:$H,0)</f>
        <v>0</v>
      </c>
      <c r="Z216" s="17">
        <f>_xlfn.XLOOKUP($B216,'[3]Sep-25'!$A:$A,'[3]Sep-25'!$H:$H,0)</f>
        <v>0</v>
      </c>
      <c r="AA216" s="17">
        <f>_xlfn.XLOOKUP($B216,'[3]Oct-25'!$A:$A,'[3]Oct-25'!$H:$H,0)</f>
        <v>0</v>
      </c>
      <c r="AB216" s="17">
        <f>_xlfn.XLOOKUP($B216,'[3]Nov-25'!$A:$A,'[3]Nov-25'!$H:$H,0)</f>
        <v>0</v>
      </c>
      <c r="AC216" s="17">
        <f>_xlfn.XLOOKUP($B216,'[3]Dec-25'!$A:$A,'[3]Dec-25'!$H:$H,0)</f>
        <v>0</v>
      </c>
      <c r="AD216" s="17">
        <f>_xlfn.XLOOKUP($B216,'[3]Jan-26'!$A:$A,'[3]Jan-26'!$H:$H,0)</f>
        <v>0</v>
      </c>
      <c r="AE216" s="17">
        <f>_xlfn.XLOOKUP($B216,'[3]Feb-26'!$A:$A,'[3]Feb-26'!$H:$H,0)</f>
        <v>0</v>
      </c>
      <c r="AF216" s="17">
        <f>_xlfn.XLOOKUP($B216,'[3]Mar-26'!$A:$A,'[3]Mar-26'!$H:$H,0)</f>
        <v>0</v>
      </c>
      <c r="AG216" s="17">
        <f>_xlfn.XLOOKUP($B216,'[3]Apr-26'!$A:$A,'[3]Apr-26'!$H:$H,0)</f>
        <v>0</v>
      </c>
    </row>
    <row r="217" spans="1:33" x14ac:dyDescent="0.2">
      <c r="A217" s="58" t="s">
        <v>914</v>
      </c>
      <c r="B217" s="56" t="str">
        <f t="shared" si="5"/>
        <v>60213</v>
      </c>
      <c r="C217" s="78" t="s">
        <v>593</v>
      </c>
      <c r="D217" s="57" t="s">
        <v>387</v>
      </c>
      <c r="E217" s="44" t="s">
        <v>594</v>
      </c>
      <c r="F217" s="17">
        <f>_xlfn.XLOOKUP($B217,'[3]Jan-24'!$A:$A,'[3]Jan-24'!$H:$H,0)</f>
        <v>0</v>
      </c>
      <c r="G217" s="17">
        <f>_xlfn.XLOOKUP($B217,'[3]Feb-24'!$A:$A,'[3]Feb-24'!$H:$H,0)</f>
        <v>0</v>
      </c>
      <c r="H217" s="17">
        <f>_xlfn.XLOOKUP($B217,'[3]Mar-24'!$A:$A,'[3]Mar-24'!$H:$H,0)</f>
        <v>0</v>
      </c>
      <c r="I217" s="17">
        <f>_xlfn.XLOOKUP($B217,'[3]Apr-24'!$A:$A,'[3]Apr-24'!$H:$H,0)</f>
        <v>0</v>
      </c>
      <c r="J217" s="17">
        <f>_xlfn.XLOOKUP($B217,'[3]May-24'!$A:$A,'[3]May-24'!$H:$H,0)</f>
        <v>0</v>
      </c>
      <c r="K217" s="17">
        <f>_xlfn.XLOOKUP($B217,'[3]Jun-24'!$A:$A,'[3]Jun-24'!$H:$H,0)</f>
        <v>0</v>
      </c>
      <c r="L217" s="17">
        <f>_xlfn.XLOOKUP($B217,'[3]Jul-24'!$A:$A,'[3]Jul-24'!$H:$H,0)</f>
        <v>0</v>
      </c>
      <c r="M217" s="17">
        <f>_xlfn.XLOOKUP($B217,'[3]Aug-24'!$A:$A,'[3]Aug-24'!$H:$H,0)</f>
        <v>0</v>
      </c>
      <c r="N217" s="17">
        <f>_xlfn.XLOOKUP($B217,'[3]Sep-24'!$A:$A,'[3]Sep-24'!$H:$H,0)</f>
        <v>0</v>
      </c>
      <c r="O217" s="17">
        <f>_xlfn.XLOOKUP($B217,'[3]Oct-24'!$A:$A,'[3]Oct-24'!$H:$H,0)</f>
        <v>0</v>
      </c>
      <c r="P217" s="17">
        <f>_xlfn.XLOOKUP($B217,'[3]Nov-24'!$A:$A,'[3]Nov-24'!$H:$H,0)</f>
        <v>0</v>
      </c>
      <c r="Q217" s="17">
        <f>_xlfn.XLOOKUP($B217,'[3]Dec-24'!$A:$A,'[3]Dec-24'!$H:$H,0)</f>
        <v>0</v>
      </c>
      <c r="R217" s="17">
        <f>_xlfn.XLOOKUP($B217,'[3]Jan-25'!$A:$A,'[3]Jan-25'!$H:$H,0)</f>
        <v>0</v>
      </c>
      <c r="S217" s="17">
        <f>_xlfn.XLOOKUP($B217,'[3]Feb-25'!$A:$A,'[3]Feb-25'!$H:$H,0)</f>
        <v>0</v>
      </c>
      <c r="T217" s="17">
        <f>_xlfn.XLOOKUP($B217,'[3]Mar-25'!$A:$A,'[3]Mar-25'!$H:$H,0)</f>
        <v>0</v>
      </c>
      <c r="U217" s="17">
        <f>_xlfn.XLOOKUP($B217,'[3]Apr-25'!$A:$A,'[3]Apr-25'!$H:$H,0)</f>
        <v>0</v>
      </c>
      <c r="V217" s="17">
        <f>_xlfn.XLOOKUP($B217,'[3]May-25'!$A:$A,'[3]May-25'!$H:$H,0)</f>
        <v>0</v>
      </c>
      <c r="W217" s="17">
        <f>_xlfn.XLOOKUP($B217,'[3]Jun-25'!$A:$A,'[3]Jun-25'!$H:$H,0)</f>
        <v>0</v>
      </c>
      <c r="X217" s="17">
        <f>_xlfn.XLOOKUP($B217,'[3]Jul-25'!$A:$A,'[3]Jul-25'!$H:$H,0)</f>
        <v>0</v>
      </c>
      <c r="Y217" s="17">
        <f>_xlfn.XLOOKUP($B217,'[3]Aug-25'!$A:$A,'[3]Aug-25'!$H:$H,0)</f>
        <v>1241.52</v>
      </c>
      <c r="Z217" s="17">
        <f>_xlfn.XLOOKUP($B217,'[3]Sep-25'!$A:$A,'[3]Sep-25'!$H:$H,0)</f>
        <v>1241.52</v>
      </c>
      <c r="AA217" s="17">
        <f>_xlfn.XLOOKUP($B217,'[3]Oct-25'!$A:$A,'[3]Oct-25'!$H:$H,0)</f>
        <v>1241.52</v>
      </c>
      <c r="AB217" s="17">
        <f>_xlfn.XLOOKUP($B217,'[3]Nov-25'!$A:$A,'[3]Nov-25'!$H:$H,0)</f>
        <v>1241.52</v>
      </c>
      <c r="AC217" s="17">
        <f>_xlfn.XLOOKUP($B217,'[3]Dec-25'!$A:$A,'[3]Dec-25'!$H:$H,0)</f>
        <v>1241.52</v>
      </c>
      <c r="AD217" s="17">
        <f>_xlfn.XLOOKUP($B217,'[3]Jan-26'!$A:$A,'[3]Jan-26'!$H:$H,0)</f>
        <v>1241.52</v>
      </c>
      <c r="AE217" s="17">
        <f>_xlfn.XLOOKUP($B217,'[3]Feb-26'!$A:$A,'[3]Feb-26'!$H:$H,0)</f>
        <v>1241.52</v>
      </c>
      <c r="AF217" s="17">
        <f>_xlfn.XLOOKUP($B217,'[3]Mar-26'!$A:$A,'[3]Mar-26'!$H:$H,0)</f>
        <v>1241.52</v>
      </c>
      <c r="AG217" s="17">
        <f>_xlfn.XLOOKUP($B217,'[3]Apr-26'!$A:$A,'[3]Apr-26'!$H:$H,0)</f>
        <v>1241.52</v>
      </c>
    </row>
    <row r="218" spans="1:33" x14ac:dyDescent="0.2">
      <c r="A218" s="58" t="s">
        <v>1166</v>
      </c>
      <c r="B218" s="56" t="str">
        <f t="shared" si="5"/>
        <v>60214</v>
      </c>
      <c r="C218" s="78" t="s">
        <v>552</v>
      </c>
      <c r="D218" s="57" t="s">
        <v>387</v>
      </c>
      <c r="E218" s="44" t="s">
        <v>595</v>
      </c>
      <c r="F218" s="17">
        <f>_xlfn.XLOOKUP($B218,'[3]Jan-24'!$A:$A,'[3]Jan-24'!$H:$H,0)</f>
        <v>0</v>
      </c>
      <c r="G218" s="17">
        <f>_xlfn.XLOOKUP($B218,'[3]Feb-24'!$A:$A,'[3]Feb-24'!$H:$H,0)</f>
        <v>0</v>
      </c>
      <c r="H218" s="17">
        <f>_xlfn.XLOOKUP($B218,'[3]Mar-24'!$A:$A,'[3]Mar-24'!$H:$H,0)</f>
        <v>0</v>
      </c>
      <c r="I218" s="17">
        <f>_xlfn.XLOOKUP($B218,'[3]Apr-24'!$A:$A,'[3]Apr-24'!$H:$H,0)</f>
        <v>0</v>
      </c>
      <c r="J218" s="17">
        <f>_xlfn.XLOOKUP($B218,'[3]May-24'!$A:$A,'[3]May-24'!$H:$H,0)</f>
        <v>0</v>
      </c>
      <c r="K218" s="17">
        <f>_xlfn.XLOOKUP($B218,'[3]Jun-24'!$A:$A,'[3]Jun-24'!$H:$H,0)</f>
        <v>0</v>
      </c>
      <c r="L218" s="17">
        <f>_xlfn.XLOOKUP($B218,'[3]Jul-24'!$A:$A,'[3]Jul-24'!$H:$H,0)</f>
        <v>0</v>
      </c>
      <c r="M218" s="17">
        <f>_xlfn.XLOOKUP($B218,'[3]Aug-24'!$A:$A,'[3]Aug-24'!$H:$H,0)</f>
        <v>0</v>
      </c>
      <c r="N218" s="17">
        <f>_xlfn.XLOOKUP($B218,'[3]Sep-24'!$A:$A,'[3]Sep-24'!$H:$H,0)</f>
        <v>0</v>
      </c>
      <c r="O218" s="17">
        <f>_xlfn.XLOOKUP($B218,'[3]Oct-24'!$A:$A,'[3]Oct-24'!$H:$H,0)</f>
        <v>0</v>
      </c>
      <c r="P218" s="17">
        <f>_xlfn.XLOOKUP($B218,'[3]Nov-24'!$A:$A,'[3]Nov-24'!$H:$H,0)</f>
        <v>0</v>
      </c>
      <c r="Q218" s="17">
        <f>_xlfn.XLOOKUP($B218,'[3]Dec-24'!$A:$A,'[3]Dec-24'!$H:$H,0)</f>
        <v>0</v>
      </c>
      <c r="R218" s="17">
        <f>_xlfn.XLOOKUP($B218,'[3]Jan-25'!$A:$A,'[3]Jan-25'!$H:$H,0)</f>
        <v>0</v>
      </c>
      <c r="S218" s="17">
        <f>_xlfn.XLOOKUP($B218,'[3]Feb-25'!$A:$A,'[3]Feb-25'!$H:$H,0)</f>
        <v>0</v>
      </c>
      <c r="T218" s="17">
        <f>_xlfn.XLOOKUP($B218,'[3]Mar-25'!$A:$A,'[3]Mar-25'!$H:$H,0)</f>
        <v>0</v>
      </c>
      <c r="U218" s="17">
        <f>_xlfn.XLOOKUP($B218,'[3]Apr-25'!$A:$A,'[3]Apr-25'!$H:$H,0)</f>
        <v>0</v>
      </c>
      <c r="V218" s="17">
        <f>_xlfn.XLOOKUP($B218,'[3]May-25'!$A:$A,'[3]May-25'!$H:$H,0)</f>
        <v>0</v>
      </c>
      <c r="W218" s="17">
        <f>_xlfn.XLOOKUP($B218,'[3]Jun-25'!$A:$A,'[3]Jun-25'!$H:$H,0)</f>
        <v>0</v>
      </c>
      <c r="X218" s="17">
        <f>_xlfn.XLOOKUP($B218,'[3]Jul-25'!$A:$A,'[3]Jul-25'!$H:$H,0)</f>
        <v>0</v>
      </c>
      <c r="Y218" s="17">
        <f>_xlfn.XLOOKUP($B218,'[3]Aug-25'!$A:$A,'[3]Aug-25'!$H:$H,0)</f>
        <v>0</v>
      </c>
      <c r="Z218" s="17">
        <f>_xlfn.XLOOKUP($B218,'[3]Sep-25'!$A:$A,'[3]Sep-25'!$H:$H,0)</f>
        <v>0</v>
      </c>
      <c r="AA218" s="17">
        <f>_xlfn.XLOOKUP($B218,'[3]Oct-25'!$A:$A,'[3]Oct-25'!$H:$H,0)</f>
        <v>0</v>
      </c>
      <c r="AB218" s="17">
        <f>_xlfn.XLOOKUP($B218,'[3]Nov-25'!$A:$A,'[3]Nov-25'!$H:$H,0)</f>
        <v>0</v>
      </c>
      <c r="AC218" s="17">
        <f>_xlfn.XLOOKUP($B218,'[3]Dec-25'!$A:$A,'[3]Dec-25'!$H:$H,0)</f>
        <v>0</v>
      </c>
      <c r="AD218" s="17">
        <f>_xlfn.XLOOKUP($B218,'[3]Jan-26'!$A:$A,'[3]Jan-26'!$H:$H,0)</f>
        <v>0</v>
      </c>
      <c r="AE218" s="17">
        <f>_xlfn.XLOOKUP($B218,'[3]Feb-26'!$A:$A,'[3]Feb-26'!$H:$H,0)</f>
        <v>0</v>
      </c>
      <c r="AF218" s="17">
        <f>_xlfn.XLOOKUP($B218,'[3]Mar-26'!$A:$A,'[3]Mar-26'!$H:$H,0)</f>
        <v>0</v>
      </c>
      <c r="AG218" s="17">
        <f>_xlfn.XLOOKUP($B218,'[3]Apr-26'!$A:$A,'[3]Apr-26'!$H:$H,0)</f>
        <v>0</v>
      </c>
    </row>
    <row r="219" spans="1:33" x14ac:dyDescent="0.2">
      <c r="A219" s="58" t="s">
        <v>1167</v>
      </c>
      <c r="B219" s="56" t="str">
        <f t="shared" si="5"/>
        <v>60215</v>
      </c>
      <c r="C219" s="78" t="s">
        <v>389</v>
      </c>
      <c r="D219" s="57" t="s">
        <v>387</v>
      </c>
      <c r="E219" s="44" t="s">
        <v>596</v>
      </c>
      <c r="F219" s="17">
        <f>_xlfn.XLOOKUP($B219,'[3]Jan-24'!$A:$A,'[3]Jan-24'!$H:$H,0)</f>
        <v>0</v>
      </c>
      <c r="G219" s="17">
        <f>_xlfn.XLOOKUP($B219,'[3]Feb-24'!$A:$A,'[3]Feb-24'!$H:$H,0)</f>
        <v>0</v>
      </c>
      <c r="H219" s="17">
        <f>_xlfn.XLOOKUP($B219,'[3]Mar-24'!$A:$A,'[3]Mar-24'!$H:$H,0)</f>
        <v>0</v>
      </c>
      <c r="I219" s="17">
        <f>_xlfn.XLOOKUP($B219,'[3]Apr-24'!$A:$A,'[3]Apr-24'!$H:$H,0)</f>
        <v>0</v>
      </c>
      <c r="J219" s="17">
        <f>_xlfn.XLOOKUP($B219,'[3]May-24'!$A:$A,'[3]May-24'!$H:$H,0)</f>
        <v>0</v>
      </c>
      <c r="K219" s="17">
        <f>_xlfn.XLOOKUP($B219,'[3]Jun-24'!$A:$A,'[3]Jun-24'!$H:$H,0)</f>
        <v>0</v>
      </c>
      <c r="L219" s="17">
        <f>_xlfn.XLOOKUP($B219,'[3]Jul-24'!$A:$A,'[3]Jul-24'!$H:$H,0)</f>
        <v>0</v>
      </c>
      <c r="M219" s="17">
        <f>_xlfn.XLOOKUP($B219,'[3]Aug-24'!$A:$A,'[3]Aug-24'!$H:$H,0)</f>
        <v>0</v>
      </c>
      <c r="N219" s="17">
        <f>_xlfn.XLOOKUP($B219,'[3]Sep-24'!$A:$A,'[3]Sep-24'!$H:$H,0)</f>
        <v>0</v>
      </c>
      <c r="O219" s="17">
        <f>_xlfn.XLOOKUP($B219,'[3]Oct-24'!$A:$A,'[3]Oct-24'!$H:$H,0)</f>
        <v>0</v>
      </c>
      <c r="P219" s="17">
        <f>_xlfn.XLOOKUP($B219,'[3]Nov-24'!$A:$A,'[3]Nov-24'!$H:$H,0)</f>
        <v>0</v>
      </c>
      <c r="Q219" s="17">
        <f>_xlfn.XLOOKUP($B219,'[3]Dec-24'!$A:$A,'[3]Dec-24'!$H:$H,0)</f>
        <v>0</v>
      </c>
      <c r="R219" s="17">
        <f>_xlfn.XLOOKUP($B219,'[3]Jan-25'!$A:$A,'[3]Jan-25'!$H:$H,0)</f>
        <v>0</v>
      </c>
      <c r="S219" s="17">
        <f>_xlfn.XLOOKUP($B219,'[3]Feb-25'!$A:$A,'[3]Feb-25'!$H:$H,0)</f>
        <v>0</v>
      </c>
      <c r="T219" s="17">
        <f>_xlfn.XLOOKUP($B219,'[3]Mar-25'!$A:$A,'[3]Mar-25'!$H:$H,0)</f>
        <v>0</v>
      </c>
      <c r="U219" s="17">
        <f>_xlfn.XLOOKUP($B219,'[3]Apr-25'!$A:$A,'[3]Apr-25'!$H:$H,0)</f>
        <v>0</v>
      </c>
      <c r="V219" s="17">
        <f>_xlfn.XLOOKUP($B219,'[3]May-25'!$A:$A,'[3]May-25'!$H:$H,0)</f>
        <v>0</v>
      </c>
      <c r="W219" s="17">
        <f>_xlfn.XLOOKUP($B219,'[3]Jun-25'!$A:$A,'[3]Jun-25'!$H:$H,0)</f>
        <v>0</v>
      </c>
      <c r="X219" s="17">
        <f>_xlfn.XLOOKUP($B219,'[3]Jul-25'!$A:$A,'[3]Jul-25'!$H:$H,0)</f>
        <v>0</v>
      </c>
      <c r="Y219" s="17">
        <f>_xlfn.XLOOKUP($B219,'[3]Aug-25'!$A:$A,'[3]Aug-25'!$H:$H,0)</f>
        <v>0</v>
      </c>
      <c r="Z219" s="17">
        <f>_xlfn.XLOOKUP($B219,'[3]Sep-25'!$A:$A,'[3]Sep-25'!$H:$H,0)</f>
        <v>0</v>
      </c>
      <c r="AA219" s="17">
        <f>_xlfn.XLOOKUP($B219,'[3]Oct-25'!$A:$A,'[3]Oct-25'!$H:$H,0)</f>
        <v>0</v>
      </c>
      <c r="AB219" s="17">
        <f>_xlfn.XLOOKUP($B219,'[3]Nov-25'!$A:$A,'[3]Nov-25'!$H:$H,0)</f>
        <v>0</v>
      </c>
      <c r="AC219" s="17">
        <f>_xlfn.XLOOKUP($B219,'[3]Dec-25'!$A:$A,'[3]Dec-25'!$H:$H,0)</f>
        <v>0</v>
      </c>
      <c r="AD219" s="17">
        <f>_xlfn.XLOOKUP($B219,'[3]Jan-26'!$A:$A,'[3]Jan-26'!$H:$H,0)</f>
        <v>0</v>
      </c>
      <c r="AE219" s="17">
        <f>_xlfn.XLOOKUP($B219,'[3]Feb-26'!$A:$A,'[3]Feb-26'!$H:$H,0)</f>
        <v>0</v>
      </c>
      <c r="AF219" s="17">
        <f>_xlfn.XLOOKUP($B219,'[3]Mar-26'!$A:$A,'[3]Mar-26'!$H:$H,0)</f>
        <v>0</v>
      </c>
      <c r="AG219" s="17">
        <f>_xlfn.XLOOKUP($B219,'[3]Apr-26'!$A:$A,'[3]Apr-26'!$H:$H,0)</f>
        <v>0</v>
      </c>
    </row>
    <row r="220" spans="1:33" x14ac:dyDescent="0.2">
      <c r="A220" s="58" t="s">
        <v>1168</v>
      </c>
      <c r="B220" s="56" t="str">
        <f t="shared" si="5"/>
        <v>60216</v>
      </c>
      <c r="C220" s="78" t="s">
        <v>389</v>
      </c>
      <c r="D220" s="57" t="s">
        <v>387</v>
      </c>
      <c r="E220" s="44" t="s">
        <v>597</v>
      </c>
      <c r="F220" s="17">
        <f>_xlfn.XLOOKUP($B220,'[3]Jan-24'!$A:$A,'[3]Jan-24'!$H:$H,0)</f>
        <v>0</v>
      </c>
      <c r="G220" s="17">
        <f>_xlfn.XLOOKUP($B220,'[3]Feb-24'!$A:$A,'[3]Feb-24'!$H:$H,0)</f>
        <v>0</v>
      </c>
      <c r="H220" s="17">
        <f>_xlfn.XLOOKUP($B220,'[3]Mar-24'!$A:$A,'[3]Mar-24'!$H:$H,0)</f>
        <v>0</v>
      </c>
      <c r="I220" s="17">
        <f>_xlfn.XLOOKUP($B220,'[3]Apr-24'!$A:$A,'[3]Apr-24'!$H:$H,0)</f>
        <v>0</v>
      </c>
      <c r="J220" s="17">
        <f>_xlfn.XLOOKUP($B220,'[3]May-24'!$A:$A,'[3]May-24'!$H:$H,0)</f>
        <v>0</v>
      </c>
      <c r="K220" s="17">
        <f>_xlfn.XLOOKUP($B220,'[3]Jun-24'!$A:$A,'[3]Jun-24'!$H:$H,0)</f>
        <v>0</v>
      </c>
      <c r="L220" s="17">
        <f>_xlfn.XLOOKUP($B220,'[3]Jul-24'!$A:$A,'[3]Jul-24'!$H:$H,0)</f>
        <v>0</v>
      </c>
      <c r="M220" s="17">
        <f>_xlfn.XLOOKUP($B220,'[3]Aug-24'!$A:$A,'[3]Aug-24'!$H:$H,0)</f>
        <v>0</v>
      </c>
      <c r="N220" s="17">
        <f>_xlfn.XLOOKUP($B220,'[3]Sep-24'!$A:$A,'[3]Sep-24'!$H:$H,0)</f>
        <v>0</v>
      </c>
      <c r="O220" s="17">
        <f>_xlfn.XLOOKUP($B220,'[3]Oct-24'!$A:$A,'[3]Oct-24'!$H:$H,0)</f>
        <v>0</v>
      </c>
      <c r="P220" s="17">
        <f>_xlfn.XLOOKUP($B220,'[3]Nov-24'!$A:$A,'[3]Nov-24'!$H:$H,0)</f>
        <v>0</v>
      </c>
      <c r="Q220" s="17">
        <f>_xlfn.XLOOKUP($B220,'[3]Dec-24'!$A:$A,'[3]Dec-24'!$H:$H,0)</f>
        <v>0</v>
      </c>
      <c r="R220" s="17">
        <f>_xlfn.XLOOKUP($B220,'[3]Jan-25'!$A:$A,'[3]Jan-25'!$H:$H,0)</f>
        <v>0</v>
      </c>
      <c r="S220" s="17">
        <f>_xlfn.XLOOKUP($B220,'[3]Feb-25'!$A:$A,'[3]Feb-25'!$H:$H,0)</f>
        <v>0</v>
      </c>
      <c r="T220" s="17">
        <f>_xlfn.XLOOKUP($B220,'[3]Mar-25'!$A:$A,'[3]Mar-25'!$H:$H,0)</f>
        <v>0</v>
      </c>
      <c r="U220" s="17">
        <f>_xlfn.XLOOKUP($B220,'[3]Apr-25'!$A:$A,'[3]Apr-25'!$H:$H,0)</f>
        <v>0</v>
      </c>
      <c r="V220" s="17">
        <f>_xlfn.XLOOKUP($B220,'[3]May-25'!$A:$A,'[3]May-25'!$H:$H,0)</f>
        <v>0</v>
      </c>
      <c r="W220" s="17">
        <f>_xlfn.XLOOKUP($B220,'[3]Jun-25'!$A:$A,'[3]Jun-25'!$H:$H,0)</f>
        <v>0</v>
      </c>
      <c r="X220" s="17">
        <f>_xlfn.XLOOKUP($B220,'[3]Jul-25'!$A:$A,'[3]Jul-25'!$H:$H,0)</f>
        <v>0</v>
      </c>
      <c r="Y220" s="17">
        <f>_xlfn.XLOOKUP($B220,'[3]Aug-25'!$A:$A,'[3]Aug-25'!$H:$H,0)</f>
        <v>0</v>
      </c>
      <c r="Z220" s="17">
        <f>_xlfn.XLOOKUP($B220,'[3]Sep-25'!$A:$A,'[3]Sep-25'!$H:$H,0)</f>
        <v>0</v>
      </c>
      <c r="AA220" s="17">
        <f>_xlfn.XLOOKUP($B220,'[3]Oct-25'!$A:$A,'[3]Oct-25'!$H:$H,0)</f>
        <v>0</v>
      </c>
      <c r="AB220" s="17">
        <f>_xlfn.XLOOKUP($B220,'[3]Nov-25'!$A:$A,'[3]Nov-25'!$H:$H,0)</f>
        <v>0</v>
      </c>
      <c r="AC220" s="17">
        <f>_xlfn.XLOOKUP($B220,'[3]Dec-25'!$A:$A,'[3]Dec-25'!$H:$H,0)</f>
        <v>0</v>
      </c>
      <c r="AD220" s="17">
        <f>_xlfn.XLOOKUP($B220,'[3]Jan-26'!$A:$A,'[3]Jan-26'!$H:$H,0)</f>
        <v>0</v>
      </c>
      <c r="AE220" s="17">
        <f>_xlfn.XLOOKUP($B220,'[3]Feb-26'!$A:$A,'[3]Feb-26'!$H:$H,0)</f>
        <v>0</v>
      </c>
      <c r="AF220" s="17">
        <f>_xlfn.XLOOKUP($B220,'[3]Mar-26'!$A:$A,'[3]Mar-26'!$H:$H,0)</f>
        <v>0</v>
      </c>
      <c r="AG220" s="17">
        <f>_xlfn.XLOOKUP($B220,'[3]Apr-26'!$A:$A,'[3]Apr-26'!$H:$H,0)</f>
        <v>0</v>
      </c>
    </row>
    <row r="221" spans="1:33" x14ac:dyDescent="0.2">
      <c r="A221" s="58" t="s">
        <v>1169</v>
      </c>
      <c r="B221" s="56" t="str">
        <f t="shared" si="5"/>
        <v>60217</v>
      </c>
      <c r="C221" s="78" t="s">
        <v>552</v>
      </c>
      <c r="D221" s="57" t="s">
        <v>387</v>
      </c>
      <c r="E221" s="44" t="s">
        <v>598</v>
      </c>
      <c r="F221" s="17">
        <f>_xlfn.XLOOKUP($B221,'[3]Jan-24'!$A:$A,'[3]Jan-24'!$H:$H,0)</f>
        <v>0</v>
      </c>
      <c r="G221" s="17">
        <f>_xlfn.XLOOKUP($B221,'[3]Feb-24'!$A:$A,'[3]Feb-24'!$H:$H,0)</f>
        <v>0</v>
      </c>
      <c r="H221" s="17">
        <f>_xlfn.XLOOKUP($B221,'[3]Mar-24'!$A:$A,'[3]Mar-24'!$H:$H,0)</f>
        <v>0</v>
      </c>
      <c r="I221" s="17">
        <f>_xlfn.XLOOKUP($B221,'[3]Apr-24'!$A:$A,'[3]Apr-24'!$H:$H,0)</f>
        <v>0</v>
      </c>
      <c r="J221" s="17">
        <f>_xlfn.XLOOKUP($B221,'[3]May-24'!$A:$A,'[3]May-24'!$H:$H,0)</f>
        <v>0</v>
      </c>
      <c r="K221" s="17">
        <f>_xlfn.XLOOKUP($B221,'[3]Jun-24'!$A:$A,'[3]Jun-24'!$H:$H,0)</f>
        <v>0</v>
      </c>
      <c r="L221" s="17">
        <f>_xlfn.XLOOKUP($B221,'[3]Jul-24'!$A:$A,'[3]Jul-24'!$H:$H,0)</f>
        <v>0</v>
      </c>
      <c r="M221" s="17">
        <f>_xlfn.XLOOKUP($B221,'[3]Aug-24'!$A:$A,'[3]Aug-24'!$H:$H,0)</f>
        <v>0</v>
      </c>
      <c r="N221" s="17">
        <f>_xlfn.XLOOKUP($B221,'[3]Sep-24'!$A:$A,'[3]Sep-24'!$H:$H,0)</f>
        <v>0</v>
      </c>
      <c r="O221" s="17">
        <f>_xlfn.XLOOKUP($B221,'[3]Oct-24'!$A:$A,'[3]Oct-24'!$H:$H,0)</f>
        <v>0</v>
      </c>
      <c r="P221" s="17">
        <f>_xlfn.XLOOKUP($B221,'[3]Nov-24'!$A:$A,'[3]Nov-24'!$H:$H,0)</f>
        <v>0</v>
      </c>
      <c r="Q221" s="17">
        <f>_xlfn.XLOOKUP($B221,'[3]Dec-24'!$A:$A,'[3]Dec-24'!$H:$H,0)</f>
        <v>0</v>
      </c>
      <c r="R221" s="17">
        <f>_xlfn.XLOOKUP($B221,'[3]Jan-25'!$A:$A,'[3]Jan-25'!$H:$H,0)</f>
        <v>0</v>
      </c>
      <c r="S221" s="17">
        <f>_xlfn.XLOOKUP($B221,'[3]Feb-25'!$A:$A,'[3]Feb-25'!$H:$H,0)</f>
        <v>0</v>
      </c>
      <c r="T221" s="17">
        <f>_xlfn.XLOOKUP($B221,'[3]Mar-25'!$A:$A,'[3]Mar-25'!$H:$H,0)</f>
        <v>0</v>
      </c>
      <c r="U221" s="17">
        <f>_xlfn.XLOOKUP($B221,'[3]Apr-25'!$A:$A,'[3]Apr-25'!$H:$H,0)</f>
        <v>0</v>
      </c>
      <c r="V221" s="17">
        <f>_xlfn.XLOOKUP($B221,'[3]May-25'!$A:$A,'[3]May-25'!$H:$H,0)</f>
        <v>0</v>
      </c>
      <c r="W221" s="17">
        <f>_xlfn.XLOOKUP($B221,'[3]Jun-25'!$A:$A,'[3]Jun-25'!$H:$H,0)</f>
        <v>0</v>
      </c>
      <c r="X221" s="17">
        <f>_xlfn.XLOOKUP($B221,'[3]Jul-25'!$A:$A,'[3]Jul-25'!$H:$H,0)</f>
        <v>0</v>
      </c>
      <c r="Y221" s="17">
        <f>_xlfn.XLOOKUP($B221,'[3]Aug-25'!$A:$A,'[3]Aug-25'!$H:$H,0)</f>
        <v>0</v>
      </c>
      <c r="Z221" s="17">
        <f>_xlfn.XLOOKUP($B221,'[3]Sep-25'!$A:$A,'[3]Sep-25'!$H:$H,0)</f>
        <v>0</v>
      </c>
      <c r="AA221" s="17">
        <f>_xlfn.XLOOKUP($B221,'[3]Oct-25'!$A:$A,'[3]Oct-25'!$H:$H,0)</f>
        <v>0</v>
      </c>
      <c r="AB221" s="17">
        <f>_xlfn.XLOOKUP($B221,'[3]Nov-25'!$A:$A,'[3]Nov-25'!$H:$H,0)</f>
        <v>0</v>
      </c>
      <c r="AC221" s="17">
        <f>_xlfn.XLOOKUP($B221,'[3]Dec-25'!$A:$A,'[3]Dec-25'!$H:$H,0)</f>
        <v>0</v>
      </c>
      <c r="AD221" s="17">
        <f>_xlfn.XLOOKUP($B221,'[3]Jan-26'!$A:$A,'[3]Jan-26'!$H:$H,0)</f>
        <v>0</v>
      </c>
      <c r="AE221" s="17">
        <f>_xlfn.XLOOKUP($B221,'[3]Feb-26'!$A:$A,'[3]Feb-26'!$H:$H,0)</f>
        <v>0</v>
      </c>
      <c r="AF221" s="17">
        <f>_xlfn.XLOOKUP($B221,'[3]Mar-26'!$A:$A,'[3]Mar-26'!$H:$H,0)</f>
        <v>0</v>
      </c>
      <c r="AG221" s="17">
        <f>_xlfn.XLOOKUP($B221,'[3]Apr-26'!$A:$A,'[3]Apr-26'!$H:$H,0)</f>
        <v>0</v>
      </c>
    </row>
    <row r="222" spans="1:33" x14ac:dyDescent="0.2">
      <c r="A222" s="58" t="s">
        <v>1170</v>
      </c>
      <c r="B222" s="56" t="str">
        <f t="shared" si="5"/>
        <v>60218</v>
      </c>
      <c r="C222" s="78" t="s">
        <v>574</v>
      </c>
      <c r="D222" s="57" t="s">
        <v>387</v>
      </c>
      <c r="E222" s="44" t="s">
        <v>599</v>
      </c>
      <c r="F222" s="17">
        <f>_xlfn.XLOOKUP($B222,'[3]Jan-24'!$A:$A,'[3]Jan-24'!$H:$H,0)</f>
        <v>0</v>
      </c>
      <c r="G222" s="17">
        <f>_xlfn.XLOOKUP($B222,'[3]Feb-24'!$A:$A,'[3]Feb-24'!$H:$H,0)</f>
        <v>0</v>
      </c>
      <c r="H222" s="17">
        <f>_xlfn.XLOOKUP($B222,'[3]Mar-24'!$A:$A,'[3]Mar-24'!$H:$H,0)</f>
        <v>0</v>
      </c>
      <c r="I222" s="17">
        <f>_xlfn.XLOOKUP($B222,'[3]Apr-24'!$A:$A,'[3]Apr-24'!$H:$H,0)</f>
        <v>0</v>
      </c>
      <c r="J222" s="17">
        <f>_xlfn.XLOOKUP($B222,'[3]May-24'!$A:$A,'[3]May-24'!$H:$H,0)</f>
        <v>0</v>
      </c>
      <c r="K222" s="17">
        <f>_xlfn.XLOOKUP($B222,'[3]Jun-24'!$A:$A,'[3]Jun-24'!$H:$H,0)</f>
        <v>0</v>
      </c>
      <c r="L222" s="17">
        <f>_xlfn.XLOOKUP($B222,'[3]Jul-24'!$A:$A,'[3]Jul-24'!$H:$H,0)</f>
        <v>0</v>
      </c>
      <c r="M222" s="17">
        <f>_xlfn.XLOOKUP($B222,'[3]Aug-24'!$A:$A,'[3]Aug-24'!$H:$H,0)</f>
        <v>0</v>
      </c>
      <c r="N222" s="17">
        <f>_xlfn.XLOOKUP($B222,'[3]Sep-24'!$A:$A,'[3]Sep-24'!$H:$H,0)</f>
        <v>0</v>
      </c>
      <c r="O222" s="17">
        <f>_xlfn.XLOOKUP($B222,'[3]Oct-24'!$A:$A,'[3]Oct-24'!$H:$H,0)</f>
        <v>0</v>
      </c>
      <c r="P222" s="17">
        <f>_xlfn.XLOOKUP($B222,'[3]Nov-24'!$A:$A,'[3]Nov-24'!$H:$H,0)</f>
        <v>0</v>
      </c>
      <c r="Q222" s="17">
        <f>_xlfn.XLOOKUP($B222,'[3]Dec-24'!$A:$A,'[3]Dec-24'!$H:$H,0)</f>
        <v>0</v>
      </c>
      <c r="R222" s="17">
        <f>_xlfn.XLOOKUP($B222,'[3]Jan-25'!$A:$A,'[3]Jan-25'!$H:$H,0)</f>
        <v>0</v>
      </c>
      <c r="S222" s="17">
        <f>_xlfn.XLOOKUP($B222,'[3]Feb-25'!$A:$A,'[3]Feb-25'!$H:$H,0)</f>
        <v>0</v>
      </c>
      <c r="T222" s="17">
        <f>_xlfn.XLOOKUP($B222,'[3]Mar-25'!$A:$A,'[3]Mar-25'!$H:$H,0)</f>
        <v>0</v>
      </c>
      <c r="U222" s="17">
        <f>_xlfn.XLOOKUP($B222,'[3]Apr-25'!$A:$A,'[3]Apr-25'!$H:$H,0)</f>
        <v>0</v>
      </c>
      <c r="V222" s="17">
        <f>_xlfn.XLOOKUP($B222,'[3]May-25'!$A:$A,'[3]May-25'!$H:$H,0)</f>
        <v>0</v>
      </c>
      <c r="W222" s="17">
        <f>_xlfn.XLOOKUP($B222,'[3]Jun-25'!$A:$A,'[3]Jun-25'!$H:$H,0)</f>
        <v>0</v>
      </c>
      <c r="X222" s="17">
        <f>_xlfn.XLOOKUP($B222,'[3]Jul-25'!$A:$A,'[3]Jul-25'!$H:$H,0)</f>
        <v>0</v>
      </c>
      <c r="Y222" s="17">
        <f>_xlfn.XLOOKUP($B222,'[3]Aug-25'!$A:$A,'[3]Aug-25'!$H:$H,0)</f>
        <v>0</v>
      </c>
      <c r="Z222" s="17">
        <f>_xlfn.XLOOKUP($B222,'[3]Sep-25'!$A:$A,'[3]Sep-25'!$H:$H,0)</f>
        <v>0</v>
      </c>
      <c r="AA222" s="17">
        <f>_xlfn.XLOOKUP($B222,'[3]Oct-25'!$A:$A,'[3]Oct-25'!$H:$H,0)</f>
        <v>0</v>
      </c>
      <c r="AB222" s="17">
        <f>_xlfn.XLOOKUP($B222,'[3]Nov-25'!$A:$A,'[3]Nov-25'!$H:$H,0)</f>
        <v>0</v>
      </c>
      <c r="AC222" s="17">
        <f>_xlfn.XLOOKUP($B222,'[3]Dec-25'!$A:$A,'[3]Dec-25'!$H:$H,0)</f>
        <v>0</v>
      </c>
      <c r="AD222" s="17">
        <f>_xlfn.XLOOKUP($B222,'[3]Jan-26'!$A:$A,'[3]Jan-26'!$H:$H,0)</f>
        <v>0</v>
      </c>
      <c r="AE222" s="17">
        <f>_xlfn.XLOOKUP($B222,'[3]Feb-26'!$A:$A,'[3]Feb-26'!$H:$H,0)</f>
        <v>0</v>
      </c>
      <c r="AF222" s="17">
        <f>_xlfn.XLOOKUP($B222,'[3]Mar-26'!$A:$A,'[3]Mar-26'!$H:$H,0)</f>
        <v>0</v>
      </c>
      <c r="AG222" s="17">
        <f>_xlfn.XLOOKUP($B222,'[3]Apr-26'!$A:$A,'[3]Apr-26'!$H:$H,0)</f>
        <v>0</v>
      </c>
    </row>
    <row r="223" spans="1:33" x14ac:dyDescent="0.2">
      <c r="A223" s="58" t="s">
        <v>908</v>
      </c>
      <c r="B223" s="56" t="str">
        <f t="shared" si="5"/>
        <v>61000</v>
      </c>
      <c r="C223" s="78" t="s">
        <v>574</v>
      </c>
      <c r="D223" s="57" t="s">
        <v>387</v>
      </c>
      <c r="E223" s="44" t="s">
        <v>600</v>
      </c>
      <c r="F223" s="17">
        <f>_xlfn.XLOOKUP($B223,'[3]Jan-24'!$A:$A,'[3]Jan-24'!$H:$H,0)</f>
        <v>0</v>
      </c>
      <c r="G223" s="17">
        <f>_xlfn.XLOOKUP($B223,'[3]Feb-24'!$A:$A,'[3]Feb-24'!$H:$H,0)</f>
        <v>0</v>
      </c>
      <c r="H223" s="17">
        <f>_xlfn.XLOOKUP($B223,'[3]Mar-24'!$A:$A,'[3]Mar-24'!$H:$H,0)</f>
        <v>0</v>
      </c>
      <c r="I223" s="17">
        <f>_xlfn.XLOOKUP($B223,'[3]Apr-24'!$A:$A,'[3]Apr-24'!$H:$H,0)</f>
        <v>0</v>
      </c>
      <c r="J223" s="17">
        <f>_xlfn.XLOOKUP($B223,'[3]May-24'!$A:$A,'[3]May-24'!$H:$H,0)</f>
        <v>0</v>
      </c>
      <c r="K223" s="17">
        <f>_xlfn.XLOOKUP($B223,'[3]Jun-24'!$A:$A,'[3]Jun-24'!$H:$H,0)</f>
        <v>0</v>
      </c>
      <c r="L223" s="17">
        <f>_xlfn.XLOOKUP($B223,'[3]Jul-24'!$A:$A,'[3]Jul-24'!$H:$H,0)</f>
        <v>0</v>
      </c>
      <c r="M223" s="17">
        <f>_xlfn.XLOOKUP($B223,'[3]Aug-24'!$A:$A,'[3]Aug-24'!$H:$H,0)</f>
        <v>0</v>
      </c>
      <c r="N223" s="17">
        <f>_xlfn.XLOOKUP($B223,'[3]Sep-24'!$A:$A,'[3]Sep-24'!$H:$H,0)</f>
        <v>0</v>
      </c>
      <c r="O223" s="17">
        <f>_xlfn.XLOOKUP($B223,'[3]Oct-24'!$A:$A,'[3]Oct-24'!$H:$H,0)</f>
        <v>0</v>
      </c>
      <c r="P223" s="17">
        <f>_xlfn.XLOOKUP($B223,'[3]Nov-24'!$A:$A,'[3]Nov-24'!$H:$H,0)</f>
        <v>0</v>
      </c>
      <c r="Q223" s="17">
        <f>_xlfn.XLOOKUP($B223,'[3]Dec-24'!$A:$A,'[3]Dec-24'!$H:$H,0)</f>
        <v>0</v>
      </c>
      <c r="R223" s="17">
        <f>_xlfn.XLOOKUP($B223,'[3]Jan-25'!$A:$A,'[3]Jan-25'!$H:$H,0)</f>
        <v>0</v>
      </c>
      <c r="S223" s="17">
        <f>_xlfn.XLOOKUP($B223,'[3]Feb-25'!$A:$A,'[3]Feb-25'!$H:$H,0)</f>
        <v>0</v>
      </c>
      <c r="T223" s="17">
        <f>_xlfn.XLOOKUP($B223,'[3]Mar-25'!$A:$A,'[3]Mar-25'!$H:$H,0)</f>
        <v>0</v>
      </c>
      <c r="U223" s="17">
        <f>_xlfn.XLOOKUP($B223,'[3]Apr-25'!$A:$A,'[3]Apr-25'!$H:$H,0)</f>
        <v>0</v>
      </c>
      <c r="V223" s="17">
        <f>_xlfn.XLOOKUP($B223,'[3]May-25'!$A:$A,'[3]May-25'!$H:$H,0)</f>
        <v>0</v>
      </c>
      <c r="W223" s="17">
        <f>_xlfn.XLOOKUP($B223,'[3]Jun-25'!$A:$A,'[3]Jun-25'!$H:$H,0)</f>
        <v>0</v>
      </c>
      <c r="X223" s="17">
        <f>_xlfn.XLOOKUP($B223,'[3]Jul-25'!$A:$A,'[3]Jul-25'!$H:$H,0)</f>
        <v>0</v>
      </c>
      <c r="Y223" s="17">
        <f>_xlfn.XLOOKUP($B223,'[3]Aug-25'!$A:$A,'[3]Aug-25'!$H:$H,0)</f>
        <v>0</v>
      </c>
      <c r="Z223" s="17">
        <f>_xlfn.XLOOKUP($B223,'[3]Sep-25'!$A:$A,'[3]Sep-25'!$H:$H,0)</f>
        <v>0</v>
      </c>
      <c r="AA223" s="17">
        <f>_xlfn.XLOOKUP($B223,'[3]Oct-25'!$A:$A,'[3]Oct-25'!$H:$H,0)</f>
        <v>0</v>
      </c>
      <c r="AB223" s="17">
        <f>_xlfn.XLOOKUP($B223,'[3]Nov-25'!$A:$A,'[3]Nov-25'!$H:$H,0)</f>
        <v>0</v>
      </c>
      <c r="AC223" s="17">
        <f>_xlfn.XLOOKUP($B223,'[3]Dec-25'!$A:$A,'[3]Dec-25'!$H:$H,0)</f>
        <v>0</v>
      </c>
      <c r="AD223" s="17">
        <f>_xlfn.XLOOKUP($B223,'[3]Jan-26'!$A:$A,'[3]Jan-26'!$H:$H,0)</f>
        <v>0</v>
      </c>
      <c r="AE223" s="17">
        <f>_xlfn.XLOOKUP($B223,'[3]Feb-26'!$A:$A,'[3]Feb-26'!$H:$H,0)</f>
        <v>0</v>
      </c>
      <c r="AF223" s="17">
        <f>_xlfn.XLOOKUP($B223,'[3]Mar-26'!$A:$A,'[3]Mar-26'!$H:$H,0)</f>
        <v>0</v>
      </c>
      <c r="AG223" s="17">
        <f>_xlfn.XLOOKUP($B223,'[3]Apr-26'!$A:$A,'[3]Apr-26'!$H:$H,0)</f>
        <v>0</v>
      </c>
    </row>
    <row r="224" spans="1:33" x14ac:dyDescent="0.2">
      <c r="A224" s="58" t="s">
        <v>916</v>
      </c>
      <c r="B224" s="56" t="str">
        <f t="shared" si="5"/>
        <v>61100</v>
      </c>
      <c r="C224" s="78" t="s">
        <v>601</v>
      </c>
      <c r="D224" s="57" t="s">
        <v>387</v>
      </c>
      <c r="E224" s="44" t="s">
        <v>602</v>
      </c>
      <c r="F224" s="17">
        <f>_xlfn.XLOOKUP($B224,'[3]Jan-24'!$A:$A,'[3]Jan-24'!$H:$H,0)</f>
        <v>0</v>
      </c>
      <c r="G224" s="17">
        <f>_xlfn.XLOOKUP($B224,'[3]Feb-24'!$A:$A,'[3]Feb-24'!$H:$H,0)</f>
        <v>0</v>
      </c>
      <c r="H224" s="17">
        <f>_xlfn.XLOOKUP($B224,'[3]Mar-24'!$A:$A,'[3]Mar-24'!$H:$H,0)</f>
        <v>0</v>
      </c>
      <c r="I224" s="17">
        <f>_xlfn.XLOOKUP($B224,'[3]Apr-24'!$A:$A,'[3]Apr-24'!$H:$H,0)</f>
        <v>0</v>
      </c>
      <c r="J224" s="17">
        <f>_xlfn.XLOOKUP($B224,'[3]May-24'!$A:$A,'[3]May-24'!$H:$H,0)</f>
        <v>0</v>
      </c>
      <c r="K224" s="17">
        <f>_xlfn.XLOOKUP($B224,'[3]Jun-24'!$A:$A,'[3]Jun-24'!$H:$H,0)</f>
        <v>0</v>
      </c>
      <c r="L224" s="17">
        <f>_xlfn.XLOOKUP($B224,'[3]Jul-24'!$A:$A,'[3]Jul-24'!$H:$H,0)</f>
        <v>0</v>
      </c>
      <c r="M224" s="17">
        <f>_xlfn.XLOOKUP($B224,'[3]Aug-24'!$A:$A,'[3]Aug-24'!$H:$H,0)</f>
        <v>0</v>
      </c>
      <c r="N224" s="17">
        <f>_xlfn.XLOOKUP($B224,'[3]Sep-24'!$A:$A,'[3]Sep-24'!$H:$H,0)</f>
        <v>0</v>
      </c>
      <c r="O224" s="17">
        <f>_xlfn.XLOOKUP($B224,'[3]Oct-24'!$A:$A,'[3]Oct-24'!$H:$H,0)</f>
        <v>0</v>
      </c>
      <c r="P224" s="17">
        <f>_xlfn.XLOOKUP($B224,'[3]Nov-24'!$A:$A,'[3]Nov-24'!$H:$H,0)</f>
        <v>0</v>
      </c>
      <c r="Q224" s="17">
        <f>_xlfn.XLOOKUP($B224,'[3]Dec-24'!$A:$A,'[3]Dec-24'!$H:$H,0)</f>
        <v>0</v>
      </c>
      <c r="R224" s="17">
        <f>_xlfn.XLOOKUP($B224,'[3]Jan-25'!$A:$A,'[3]Jan-25'!$H:$H,0)</f>
        <v>935.84000000000015</v>
      </c>
      <c r="S224" s="17">
        <f>_xlfn.XLOOKUP($B224,'[3]Feb-25'!$A:$A,'[3]Feb-25'!$H:$H,0)</f>
        <v>872.5</v>
      </c>
      <c r="T224" s="17">
        <f>_xlfn.XLOOKUP($B224,'[3]Mar-25'!$A:$A,'[3]Mar-25'!$H:$H,0)</f>
        <v>400</v>
      </c>
      <c r="U224" s="17">
        <f>_xlfn.XLOOKUP($B224,'[3]Apr-25'!$A:$A,'[3]Apr-25'!$H:$H,0)</f>
        <v>472.5</v>
      </c>
      <c r="V224" s="17">
        <f>_xlfn.XLOOKUP($B224,'[3]May-25'!$A:$A,'[3]May-25'!$H:$H,0)</f>
        <v>0</v>
      </c>
      <c r="W224" s="17">
        <f>_xlfn.XLOOKUP($B224,'[3]Jun-25'!$A:$A,'[3]Jun-25'!$H:$H,0)</f>
        <v>0</v>
      </c>
      <c r="X224" s="17">
        <f>_xlfn.XLOOKUP($B224,'[3]Jul-25'!$A:$A,'[3]Jul-25'!$H:$H,0)</f>
        <v>0</v>
      </c>
      <c r="Y224" s="17">
        <f>_xlfn.XLOOKUP($B224,'[3]Aug-25'!$A:$A,'[3]Aug-25'!$H:$H,0)</f>
        <v>110.89</v>
      </c>
      <c r="Z224" s="17">
        <f>_xlfn.XLOOKUP($B224,'[3]Sep-25'!$A:$A,'[3]Sep-25'!$H:$H,0)</f>
        <v>945</v>
      </c>
      <c r="AA224" s="17">
        <f>_xlfn.XLOOKUP($B224,'[3]Oct-25'!$A:$A,'[3]Oct-25'!$H:$H,0)</f>
        <v>0</v>
      </c>
      <c r="AB224" s="17">
        <f>_xlfn.XLOOKUP($B224,'[3]Nov-25'!$A:$A,'[3]Nov-25'!$H:$H,0)</f>
        <v>0</v>
      </c>
      <c r="AC224" s="17">
        <f>_xlfn.XLOOKUP($B224,'[3]Dec-25'!$A:$A,'[3]Dec-25'!$H:$H,0)</f>
        <v>0</v>
      </c>
      <c r="AD224" s="17">
        <f>_xlfn.XLOOKUP($B224,'[3]Jan-26'!$A:$A,'[3]Jan-26'!$H:$H,0)</f>
        <v>0</v>
      </c>
      <c r="AE224" s="17">
        <f>_xlfn.XLOOKUP($B224,'[3]Feb-26'!$A:$A,'[3]Feb-26'!$H:$H,0)</f>
        <v>0</v>
      </c>
      <c r="AF224" s="17">
        <f>_xlfn.XLOOKUP($B224,'[3]Mar-26'!$A:$A,'[3]Mar-26'!$H:$H,0)</f>
        <v>0</v>
      </c>
      <c r="AG224" s="17">
        <f>_xlfn.XLOOKUP($B224,'[3]Apr-26'!$A:$A,'[3]Apr-26'!$H:$H,0)</f>
        <v>0</v>
      </c>
    </row>
    <row r="225" spans="1:33" x14ac:dyDescent="0.2">
      <c r="A225" s="58" t="s">
        <v>1171</v>
      </c>
      <c r="B225" s="56" t="str">
        <f t="shared" si="5"/>
        <v>61200</v>
      </c>
      <c r="C225" s="78" t="s">
        <v>552</v>
      </c>
      <c r="D225" s="57" t="s">
        <v>387</v>
      </c>
      <c r="E225" s="44" t="s">
        <v>603</v>
      </c>
      <c r="F225" s="17">
        <f>_xlfn.XLOOKUP($B225,'[3]Jan-24'!$A:$A,'[3]Jan-24'!$H:$H,0)</f>
        <v>0</v>
      </c>
      <c r="G225" s="17">
        <f>_xlfn.XLOOKUP($B225,'[3]Feb-24'!$A:$A,'[3]Feb-24'!$H:$H,0)</f>
        <v>0</v>
      </c>
      <c r="H225" s="17">
        <f>_xlfn.XLOOKUP($B225,'[3]Mar-24'!$A:$A,'[3]Mar-24'!$H:$H,0)</f>
        <v>0</v>
      </c>
      <c r="I225" s="17">
        <f>_xlfn.XLOOKUP($B225,'[3]Apr-24'!$A:$A,'[3]Apr-24'!$H:$H,0)</f>
        <v>0</v>
      </c>
      <c r="J225" s="17">
        <f>_xlfn.XLOOKUP($B225,'[3]May-24'!$A:$A,'[3]May-24'!$H:$H,0)</f>
        <v>0</v>
      </c>
      <c r="K225" s="17">
        <f>_xlfn.XLOOKUP($B225,'[3]Jun-24'!$A:$A,'[3]Jun-24'!$H:$H,0)</f>
        <v>0</v>
      </c>
      <c r="L225" s="17">
        <f>_xlfn.XLOOKUP($B225,'[3]Jul-24'!$A:$A,'[3]Jul-24'!$H:$H,0)</f>
        <v>0</v>
      </c>
      <c r="M225" s="17">
        <f>_xlfn.XLOOKUP($B225,'[3]Aug-24'!$A:$A,'[3]Aug-24'!$H:$H,0)</f>
        <v>0</v>
      </c>
      <c r="N225" s="17">
        <f>_xlfn.XLOOKUP($B225,'[3]Sep-24'!$A:$A,'[3]Sep-24'!$H:$H,0)</f>
        <v>0</v>
      </c>
      <c r="O225" s="17">
        <f>_xlfn.XLOOKUP($B225,'[3]Oct-24'!$A:$A,'[3]Oct-24'!$H:$H,0)</f>
        <v>0</v>
      </c>
      <c r="P225" s="17">
        <f>_xlfn.XLOOKUP($B225,'[3]Nov-24'!$A:$A,'[3]Nov-24'!$H:$H,0)</f>
        <v>0</v>
      </c>
      <c r="Q225" s="17">
        <f>_xlfn.XLOOKUP($B225,'[3]Dec-24'!$A:$A,'[3]Dec-24'!$H:$H,0)</f>
        <v>0</v>
      </c>
      <c r="R225" s="17">
        <f>_xlfn.XLOOKUP($B225,'[3]Jan-25'!$A:$A,'[3]Jan-25'!$H:$H,0)</f>
        <v>0</v>
      </c>
      <c r="S225" s="17">
        <f>_xlfn.XLOOKUP($B225,'[3]Feb-25'!$A:$A,'[3]Feb-25'!$H:$H,0)</f>
        <v>0</v>
      </c>
      <c r="T225" s="17">
        <f>_xlfn.XLOOKUP($B225,'[3]Mar-25'!$A:$A,'[3]Mar-25'!$H:$H,0)</f>
        <v>0</v>
      </c>
      <c r="U225" s="17">
        <f>_xlfn.XLOOKUP($B225,'[3]Apr-25'!$A:$A,'[3]Apr-25'!$H:$H,0)</f>
        <v>0</v>
      </c>
      <c r="V225" s="17">
        <f>_xlfn.XLOOKUP($B225,'[3]May-25'!$A:$A,'[3]May-25'!$H:$H,0)</f>
        <v>0</v>
      </c>
      <c r="W225" s="17">
        <f>_xlfn.XLOOKUP($B225,'[3]Jun-25'!$A:$A,'[3]Jun-25'!$H:$H,0)</f>
        <v>0</v>
      </c>
      <c r="X225" s="17">
        <f>_xlfn.XLOOKUP($B225,'[3]Jul-25'!$A:$A,'[3]Jul-25'!$H:$H,0)</f>
        <v>0</v>
      </c>
      <c r="Y225" s="17">
        <f>_xlfn.XLOOKUP($B225,'[3]Aug-25'!$A:$A,'[3]Aug-25'!$H:$H,0)</f>
        <v>0</v>
      </c>
      <c r="Z225" s="17">
        <f>_xlfn.XLOOKUP($B225,'[3]Sep-25'!$A:$A,'[3]Sep-25'!$H:$H,0)</f>
        <v>0</v>
      </c>
      <c r="AA225" s="17">
        <f>_xlfn.XLOOKUP($B225,'[3]Oct-25'!$A:$A,'[3]Oct-25'!$H:$H,0)</f>
        <v>0</v>
      </c>
      <c r="AB225" s="17">
        <f>_xlfn.XLOOKUP($B225,'[3]Nov-25'!$A:$A,'[3]Nov-25'!$H:$H,0)</f>
        <v>0</v>
      </c>
      <c r="AC225" s="17">
        <f>_xlfn.XLOOKUP($B225,'[3]Dec-25'!$A:$A,'[3]Dec-25'!$H:$H,0)</f>
        <v>0</v>
      </c>
      <c r="AD225" s="17">
        <f>_xlfn.XLOOKUP($B225,'[3]Jan-26'!$A:$A,'[3]Jan-26'!$H:$H,0)</f>
        <v>0</v>
      </c>
      <c r="AE225" s="17">
        <f>_xlfn.XLOOKUP($B225,'[3]Feb-26'!$A:$A,'[3]Feb-26'!$H:$H,0)</f>
        <v>0</v>
      </c>
      <c r="AF225" s="17">
        <f>_xlfn.XLOOKUP($B225,'[3]Mar-26'!$A:$A,'[3]Mar-26'!$H:$H,0)</f>
        <v>0</v>
      </c>
      <c r="AG225" s="17">
        <f>_xlfn.XLOOKUP($B225,'[3]Apr-26'!$A:$A,'[3]Apr-26'!$H:$H,0)</f>
        <v>0</v>
      </c>
    </row>
    <row r="226" spans="1:33" x14ac:dyDescent="0.2">
      <c r="A226" s="58" t="s">
        <v>1172</v>
      </c>
      <c r="B226" s="56" t="str">
        <f t="shared" si="5"/>
        <v>61300</v>
      </c>
      <c r="C226" s="78" t="s">
        <v>552</v>
      </c>
      <c r="D226" s="57" t="s">
        <v>387</v>
      </c>
      <c r="E226" s="44" t="s">
        <v>604</v>
      </c>
      <c r="F226" s="17">
        <f>_xlfn.XLOOKUP($B226,'[3]Jan-24'!$A:$A,'[3]Jan-24'!$H:$H,0)</f>
        <v>0</v>
      </c>
      <c r="G226" s="17">
        <f>_xlfn.XLOOKUP($B226,'[3]Feb-24'!$A:$A,'[3]Feb-24'!$H:$H,0)</f>
        <v>0</v>
      </c>
      <c r="H226" s="17">
        <f>_xlfn.XLOOKUP($B226,'[3]Mar-24'!$A:$A,'[3]Mar-24'!$H:$H,0)</f>
        <v>0</v>
      </c>
      <c r="I226" s="17">
        <f>_xlfn.XLOOKUP($B226,'[3]Apr-24'!$A:$A,'[3]Apr-24'!$H:$H,0)</f>
        <v>0</v>
      </c>
      <c r="J226" s="17">
        <f>_xlfn.XLOOKUP($B226,'[3]May-24'!$A:$A,'[3]May-24'!$H:$H,0)</f>
        <v>0</v>
      </c>
      <c r="K226" s="17">
        <f>_xlfn.XLOOKUP($B226,'[3]Jun-24'!$A:$A,'[3]Jun-24'!$H:$H,0)</f>
        <v>0</v>
      </c>
      <c r="L226" s="17">
        <f>_xlfn.XLOOKUP($B226,'[3]Jul-24'!$A:$A,'[3]Jul-24'!$H:$H,0)</f>
        <v>0</v>
      </c>
      <c r="M226" s="17">
        <f>_xlfn.XLOOKUP($B226,'[3]Aug-24'!$A:$A,'[3]Aug-24'!$H:$H,0)</f>
        <v>0</v>
      </c>
      <c r="N226" s="17">
        <f>_xlfn.XLOOKUP($B226,'[3]Sep-24'!$A:$A,'[3]Sep-24'!$H:$H,0)</f>
        <v>0</v>
      </c>
      <c r="O226" s="17">
        <f>_xlfn.XLOOKUP($B226,'[3]Oct-24'!$A:$A,'[3]Oct-24'!$H:$H,0)</f>
        <v>0</v>
      </c>
      <c r="P226" s="17">
        <f>_xlfn.XLOOKUP($B226,'[3]Nov-24'!$A:$A,'[3]Nov-24'!$H:$H,0)</f>
        <v>250</v>
      </c>
      <c r="Q226" s="17">
        <f>_xlfn.XLOOKUP($B226,'[3]Dec-24'!$A:$A,'[3]Dec-24'!$H:$H,0)</f>
        <v>250</v>
      </c>
      <c r="R226" s="17">
        <f>_xlfn.XLOOKUP($B226,'[3]Jan-25'!$A:$A,'[3]Jan-25'!$H:$H,0)</f>
        <v>0</v>
      </c>
      <c r="S226" s="17">
        <f>_xlfn.XLOOKUP($B226,'[3]Feb-25'!$A:$A,'[3]Feb-25'!$H:$H,0)</f>
        <v>0</v>
      </c>
      <c r="T226" s="17">
        <f>_xlfn.XLOOKUP($B226,'[3]Mar-25'!$A:$A,'[3]Mar-25'!$H:$H,0)</f>
        <v>0</v>
      </c>
      <c r="U226" s="17">
        <f>_xlfn.XLOOKUP($B226,'[3]Apr-25'!$A:$A,'[3]Apr-25'!$H:$H,0)</f>
        <v>0</v>
      </c>
      <c r="V226" s="17">
        <f>_xlfn.XLOOKUP($B226,'[3]May-25'!$A:$A,'[3]May-25'!$H:$H,0)</f>
        <v>0</v>
      </c>
      <c r="W226" s="17">
        <f>_xlfn.XLOOKUP($B226,'[3]Jun-25'!$A:$A,'[3]Jun-25'!$H:$H,0)</f>
        <v>0</v>
      </c>
      <c r="X226" s="17">
        <f>_xlfn.XLOOKUP($B226,'[3]Jul-25'!$A:$A,'[3]Jul-25'!$H:$H,0)</f>
        <v>0</v>
      </c>
      <c r="Y226" s="17">
        <f>_xlfn.XLOOKUP($B226,'[3]Aug-25'!$A:$A,'[3]Aug-25'!$H:$H,0)</f>
        <v>0</v>
      </c>
      <c r="Z226" s="17">
        <f>_xlfn.XLOOKUP($B226,'[3]Sep-25'!$A:$A,'[3]Sep-25'!$H:$H,0)</f>
        <v>0</v>
      </c>
      <c r="AA226" s="17">
        <f>_xlfn.XLOOKUP($B226,'[3]Oct-25'!$A:$A,'[3]Oct-25'!$H:$H,0)</f>
        <v>0</v>
      </c>
      <c r="AB226" s="17">
        <f>_xlfn.XLOOKUP($B226,'[3]Nov-25'!$A:$A,'[3]Nov-25'!$H:$H,0)</f>
        <v>0</v>
      </c>
      <c r="AC226" s="17">
        <f>_xlfn.XLOOKUP($B226,'[3]Dec-25'!$A:$A,'[3]Dec-25'!$H:$H,0)</f>
        <v>0</v>
      </c>
      <c r="AD226" s="17">
        <f>_xlfn.XLOOKUP($B226,'[3]Jan-26'!$A:$A,'[3]Jan-26'!$H:$H,0)</f>
        <v>0</v>
      </c>
      <c r="AE226" s="17">
        <f>_xlfn.XLOOKUP($B226,'[3]Feb-26'!$A:$A,'[3]Feb-26'!$H:$H,0)</f>
        <v>0</v>
      </c>
      <c r="AF226" s="17">
        <f>_xlfn.XLOOKUP($B226,'[3]Mar-26'!$A:$A,'[3]Mar-26'!$H:$H,0)</f>
        <v>0</v>
      </c>
      <c r="AG226" s="17">
        <f>_xlfn.XLOOKUP($B226,'[3]Apr-26'!$A:$A,'[3]Apr-26'!$H:$H,0)</f>
        <v>0</v>
      </c>
    </row>
    <row r="227" spans="1:33" x14ac:dyDescent="0.2">
      <c r="A227" s="58" t="s">
        <v>1173</v>
      </c>
      <c r="B227" s="56" t="str">
        <f t="shared" si="5"/>
        <v>61310</v>
      </c>
      <c r="C227" s="78" t="s">
        <v>552</v>
      </c>
      <c r="D227" s="57" t="s">
        <v>387</v>
      </c>
      <c r="E227" s="44" t="s">
        <v>605</v>
      </c>
      <c r="F227" s="17">
        <f>_xlfn.XLOOKUP($B227,'[3]Jan-24'!$A:$A,'[3]Jan-24'!$H:$H,0)</f>
        <v>0</v>
      </c>
      <c r="G227" s="17">
        <f>_xlfn.XLOOKUP($B227,'[3]Feb-24'!$A:$A,'[3]Feb-24'!$H:$H,0)</f>
        <v>0</v>
      </c>
      <c r="H227" s="17">
        <f>_xlfn.XLOOKUP($B227,'[3]Mar-24'!$A:$A,'[3]Mar-24'!$H:$H,0)</f>
        <v>0</v>
      </c>
      <c r="I227" s="17">
        <f>_xlfn.XLOOKUP($B227,'[3]Apr-24'!$A:$A,'[3]Apr-24'!$H:$H,0)</f>
        <v>0</v>
      </c>
      <c r="J227" s="17">
        <f>_xlfn.XLOOKUP($B227,'[3]May-24'!$A:$A,'[3]May-24'!$H:$H,0)</f>
        <v>0</v>
      </c>
      <c r="K227" s="17">
        <f>_xlfn.XLOOKUP($B227,'[3]Jun-24'!$A:$A,'[3]Jun-24'!$H:$H,0)</f>
        <v>0</v>
      </c>
      <c r="L227" s="17">
        <f>_xlfn.XLOOKUP($B227,'[3]Jul-24'!$A:$A,'[3]Jul-24'!$H:$H,0)</f>
        <v>0</v>
      </c>
      <c r="M227" s="17">
        <f>_xlfn.XLOOKUP($B227,'[3]Aug-24'!$A:$A,'[3]Aug-24'!$H:$H,0)</f>
        <v>0</v>
      </c>
      <c r="N227" s="17">
        <f>_xlfn.XLOOKUP($B227,'[3]Sep-24'!$A:$A,'[3]Sep-24'!$H:$H,0)</f>
        <v>0</v>
      </c>
      <c r="O227" s="17">
        <f>_xlfn.XLOOKUP($B227,'[3]Oct-24'!$A:$A,'[3]Oct-24'!$H:$H,0)</f>
        <v>0</v>
      </c>
      <c r="P227" s="17">
        <f>_xlfn.XLOOKUP($B227,'[3]Nov-24'!$A:$A,'[3]Nov-24'!$H:$H,0)</f>
        <v>0</v>
      </c>
      <c r="Q227" s="17">
        <f>_xlfn.XLOOKUP($B227,'[3]Dec-24'!$A:$A,'[3]Dec-24'!$H:$H,0)</f>
        <v>0</v>
      </c>
      <c r="R227" s="17">
        <f>_xlfn.XLOOKUP($B227,'[3]Jan-25'!$A:$A,'[3]Jan-25'!$H:$H,0)</f>
        <v>0</v>
      </c>
      <c r="S227" s="17">
        <f>_xlfn.XLOOKUP($B227,'[3]Feb-25'!$A:$A,'[3]Feb-25'!$H:$H,0)</f>
        <v>0</v>
      </c>
      <c r="T227" s="17">
        <f>_xlfn.XLOOKUP($B227,'[3]Mar-25'!$A:$A,'[3]Mar-25'!$H:$H,0)</f>
        <v>0</v>
      </c>
      <c r="U227" s="17">
        <f>_xlfn.XLOOKUP($B227,'[3]Apr-25'!$A:$A,'[3]Apr-25'!$H:$H,0)</f>
        <v>0</v>
      </c>
      <c r="V227" s="17">
        <f>_xlfn.XLOOKUP($B227,'[3]May-25'!$A:$A,'[3]May-25'!$H:$H,0)</f>
        <v>0</v>
      </c>
      <c r="W227" s="17">
        <f>_xlfn.XLOOKUP($B227,'[3]Jun-25'!$A:$A,'[3]Jun-25'!$H:$H,0)</f>
        <v>0</v>
      </c>
      <c r="X227" s="17">
        <f>_xlfn.XLOOKUP($B227,'[3]Jul-25'!$A:$A,'[3]Jul-25'!$H:$H,0)</f>
        <v>0</v>
      </c>
      <c r="Y227" s="17">
        <f>_xlfn.XLOOKUP($B227,'[3]Aug-25'!$A:$A,'[3]Aug-25'!$H:$H,0)</f>
        <v>0</v>
      </c>
      <c r="Z227" s="17">
        <f>_xlfn.XLOOKUP($B227,'[3]Sep-25'!$A:$A,'[3]Sep-25'!$H:$H,0)</f>
        <v>0</v>
      </c>
      <c r="AA227" s="17">
        <f>_xlfn.XLOOKUP($B227,'[3]Oct-25'!$A:$A,'[3]Oct-25'!$H:$H,0)</f>
        <v>0</v>
      </c>
      <c r="AB227" s="17">
        <f>_xlfn.XLOOKUP($B227,'[3]Nov-25'!$A:$A,'[3]Nov-25'!$H:$H,0)</f>
        <v>0</v>
      </c>
      <c r="AC227" s="17">
        <f>_xlfn.XLOOKUP($B227,'[3]Dec-25'!$A:$A,'[3]Dec-25'!$H:$H,0)</f>
        <v>0</v>
      </c>
      <c r="AD227" s="17">
        <f>_xlfn.XLOOKUP($B227,'[3]Jan-26'!$A:$A,'[3]Jan-26'!$H:$H,0)</f>
        <v>0</v>
      </c>
      <c r="AE227" s="17">
        <f>_xlfn.XLOOKUP($B227,'[3]Feb-26'!$A:$A,'[3]Feb-26'!$H:$H,0)</f>
        <v>0</v>
      </c>
      <c r="AF227" s="17">
        <f>_xlfn.XLOOKUP($B227,'[3]Mar-26'!$A:$A,'[3]Mar-26'!$H:$H,0)</f>
        <v>0</v>
      </c>
      <c r="AG227" s="17">
        <f>_xlfn.XLOOKUP($B227,'[3]Apr-26'!$A:$A,'[3]Apr-26'!$H:$H,0)</f>
        <v>0</v>
      </c>
    </row>
    <row r="228" spans="1:33" x14ac:dyDescent="0.2">
      <c r="A228" s="58" t="s">
        <v>1174</v>
      </c>
      <c r="B228" s="56" t="str">
        <f t="shared" si="5"/>
        <v>61315</v>
      </c>
      <c r="C228" s="78" t="s">
        <v>552</v>
      </c>
      <c r="D228" s="57" t="s">
        <v>387</v>
      </c>
      <c r="E228" s="44" t="s">
        <v>606</v>
      </c>
      <c r="F228" s="17">
        <f>_xlfn.XLOOKUP($B228,'[3]Jan-24'!$A:$A,'[3]Jan-24'!$H:$H,0)</f>
        <v>0</v>
      </c>
      <c r="G228" s="17">
        <f>_xlfn.XLOOKUP($B228,'[3]Feb-24'!$A:$A,'[3]Feb-24'!$H:$H,0)</f>
        <v>0</v>
      </c>
      <c r="H228" s="17">
        <f>_xlfn.XLOOKUP($B228,'[3]Mar-24'!$A:$A,'[3]Mar-24'!$H:$H,0)</f>
        <v>0</v>
      </c>
      <c r="I228" s="17">
        <f>_xlfn.XLOOKUP($B228,'[3]Apr-24'!$A:$A,'[3]Apr-24'!$H:$H,0)</f>
        <v>0</v>
      </c>
      <c r="J228" s="17">
        <f>_xlfn.XLOOKUP($B228,'[3]May-24'!$A:$A,'[3]May-24'!$H:$H,0)</f>
        <v>0</v>
      </c>
      <c r="K228" s="17">
        <f>_xlfn.XLOOKUP($B228,'[3]Jun-24'!$A:$A,'[3]Jun-24'!$H:$H,0)</f>
        <v>0</v>
      </c>
      <c r="L228" s="17">
        <f>_xlfn.XLOOKUP($B228,'[3]Jul-24'!$A:$A,'[3]Jul-24'!$H:$H,0)</f>
        <v>0</v>
      </c>
      <c r="M228" s="17">
        <f>_xlfn.XLOOKUP($B228,'[3]Aug-24'!$A:$A,'[3]Aug-24'!$H:$H,0)</f>
        <v>0</v>
      </c>
      <c r="N228" s="17">
        <f>_xlfn.XLOOKUP($B228,'[3]Sep-24'!$A:$A,'[3]Sep-24'!$H:$H,0)</f>
        <v>0</v>
      </c>
      <c r="O228" s="17">
        <f>_xlfn.XLOOKUP($B228,'[3]Oct-24'!$A:$A,'[3]Oct-24'!$H:$H,0)</f>
        <v>0</v>
      </c>
      <c r="P228" s="17">
        <f>_xlfn.XLOOKUP($B228,'[3]Nov-24'!$A:$A,'[3]Nov-24'!$H:$H,0)</f>
        <v>0</v>
      </c>
      <c r="Q228" s="17">
        <f>_xlfn.XLOOKUP($B228,'[3]Dec-24'!$A:$A,'[3]Dec-24'!$H:$H,0)</f>
        <v>0</v>
      </c>
      <c r="R228" s="17">
        <f>_xlfn.XLOOKUP($B228,'[3]Jan-25'!$A:$A,'[3]Jan-25'!$H:$H,0)</f>
        <v>0</v>
      </c>
      <c r="S228" s="17">
        <f>_xlfn.XLOOKUP($B228,'[3]Feb-25'!$A:$A,'[3]Feb-25'!$H:$H,0)</f>
        <v>0</v>
      </c>
      <c r="T228" s="17">
        <f>_xlfn.XLOOKUP($B228,'[3]Mar-25'!$A:$A,'[3]Mar-25'!$H:$H,0)</f>
        <v>0</v>
      </c>
      <c r="U228" s="17">
        <f>_xlfn.XLOOKUP($B228,'[3]Apr-25'!$A:$A,'[3]Apr-25'!$H:$H,0)</f>
        <v>0</v>
      </c>
      <c r="V228" s="17">
        <f>_xlfn.XLOOKUP($B228,'[3]May-25'!$A:$A,'[3]May-25'!$H:$H,0)</f>
        <v>0</v>
      </c>
      <c r="W228" s="17">
        <f>_xlfn.XLOOKUP($B228,'[3]Jun-25'!$A:$A,'[3]Jun-25'!$H:$H,0)</f>
        <v>0</v>
      </c>
      <c r="X228" s="17">
        <f>_xlfn.XLOOKUP($B228,'[3]Jul-25'!$A:$A,'[3]Jul-25'!$H:$H,0)</f>
        <v>0</v>
      </c>
      <c r="Y228" s="17">
        <f>_xlfn.XLOOKUP($B228,'[3]Aug-25'!$A:$A,'[3]Aug-25'!$H:$H,0)</f>
        <v>0</v>
      </c>
      <c r="Z228" s="17">
        <f>_xlfn.XLOOKUP($B228,'[3]Sep-25'!$A:$A,'[3]Sep-25'!$H:$H,0)</f>
        <v>0</v>
      </c>
      <c r="AA228" s="17">
        <f>_xlfn.XLOOKUP($B228,'[3]Oct-25'!$A:$A,'[3]Oct-25'!$H:$H,0)</f>
        <v>0</v>
      </c>
      <c r="AB228" s="17">
        <f>_xlfn.XLOOKUP($B228,'[3]Nov-25'!$A:$A,'[3]Nov-25'!$H:$H,0)</f>
        <v>0</v>
      </c>
      <c r="AC228" s="17">
        <f>_xlfn.XLOOKUP($B228,'[3]Dec-25'!$A:$A,'[3]Dec-25'!$H:$H,0)</f>
        <v>0</v>
      </c>
      <c r="AD228" s="17">
        <f>_xlfn.XLOOKUP($B228,'[3]Jan-26'!$A:$A,'[3]Jan-26'!$H:$H,0)</f>
        <v>0</v>
      </c>
      <c r="AE228" s="17">
        <f>_xlfn.XLOOKUP($B228,'[3]Feb-26'!$A:$A,'[3]Feb-26'!$H:$H,0)</f>
        <v>0</v>
      </c>
      <c r="AF228" s="17">
        <f>_xlfn.XLOOKUP($B228,'[3]Mar-26'!$A:$A,'[3]Mar-26'!$H:$H,0)</f>
        <v>0</v>
      </c>
      <c r="AG228" s="17">
        <f>_xlfn.XLOOKUP($B228,'[3]Apr-26'!$A:$A,'[3]Apr-26'!$H:$H,0)</f>
        <v>0</v>
      </c>
    </row>
    <row r="229" spans="1:33" x14ac:dyDescent="0.2">
      <c r="A229" s="58" t="s">
        <v>1175</v>
      </c>
      <c r="B229" s="56" t="str">
        <f t="shared" si="5"/>
        <v>61320</v>
      </c>
      <c r="C229" s="78" t="s">
        <v>552</v>
      </c>
      <c r="D229" s="57" t="s">
        <v>387</v>
      </c>
      <c r="E229" s="44" t="s">
        <v>607</v>
      </c>
      <c r="F229" s="17">
        <f>_xlfn.XLOOKUP($B229,'[3]Jan-24'!$A:$A,'[3]Jan-24'!$H:$H,0)</f>
        <v>0</v>
      </c>
      <c r="G229" s="17">
        <f>_xlfn.XLOOKUP($B229,'[3]Feb-24'!$A:$A,'[3]Feb-24'!$H:$H,0)</f>
        <v>0</v>
      </c>
      <c r="H229" s="17">
        <f>_xlfn.XLOOKUP($B229,'[3]Mar-24'!$A:$A,'[3]Mar-24'!$H:$H,0)</f>
        <v>0</v>
      </c>
      <c r="I229" s="17">
        <f>_xlfn.XLOOKUP($B229,'[3]Apr-24'!$A:$A,'[3]Apr-24'!$H:$H,0)</f>
        <v>0</v>
      </c>
      <c r="J229" s="17">
        <f>_xlfn.XLOOKUP($B229,'[3]May-24'!$A:$A,'[3]May-24'!$H:$H,0)</f>
        <v>0</v>
      </c>
      <c r="K229" s="17">
        <f>_xlfn.XLOOKUP($B229,'[3]Jun-24'!$A:$A,'[3]Jun-24'!$H:$H,0)</f>
        <v>0</v>
      </c>
      <c r="L229" s="17">
        <f>_xlfn.XLOOKUP($B229,'[3]Jul-24'!$A:$A,'[3]Jul-24'!$H:$H,0)</f>
        <v>0</v>
      </c>
      <c r="M229" s="17">
        <f>_xlfn.XLOOKUP($B229,'[3]Aug-24'!$A:$A,'[3]Aug-24'!$H:$H,0)</f>
        <v>0</v>
      </c>
      <c r="N229" s="17">
        <f>_xlfn.XLOOKUP($B229,'[3]Sep-24'!$A:$A,'[3]Sep-24'!$H:$H,0)</f>
        <v>0</v>
      </c>
      <c r="O229" s="17">
        <f>_xlfn.XLOOKUP($B229,'[3]Oct-24'!$A:$A,'[3]Oct-24'!$H:$H,0)</f>
        <v>0</v>
      </c>
      <c r="P229" s="17">
        <f>_xlfn.XLOOKUP($B229,'[3]Nov-24'!$A:$A,'[3]Nov-24'!$H:$H,0)</f>
        <v>0</v>
      </c>
      <c r="Q229" s="17">
        <f>_xlfn.XLOOKUP($B229,'[3]Dec-24'!$A:$A,'[3]Dec-24'!$H:$H,0)</f>
        <v>0</v>
      </c>
      <c r="R229" s="17">
        <f>_xlfn.XLOOKUP($B229,'[3]Jan-25'!$A:$A,'[3]Jan-25'!$H:$H,0)</f>
        <v>0</v>
      </c>
      <c r="S229" s="17">
        <f>_xlfn.XLOOKUP($B229,'[3]Feb-25'!$A:$A,'[3]Feb-25'!$H:$H,0)</f>
        <v>0</v>
      </c>
      <c r="T229" s="17">
        <f>_xlfn.XLOOKUP($B229,'[3]Mar-25'!$A:$A,'[3]Mar-25'!$H:$H,0)</f>
        <v>0</v>
      </c>
      <c r="U229" s="17">
        <f>_xlfn.XLOOKUP($B229,'[3]Apr-25'!$A:$A,'[3]Apr-25'!$H:$H,0)</f>
        <v>0</v>
      </c>
      <c r="V229" s="17">
        <f>_xlfn.XLOOKUP($B229,'[3]May-25'!$A:$A,'[3]May-25'!$H:$H,0)</f>
        <v>0</v>
      </c>
      <c r="W229" s="17">
        <f>_xlfn.XLOOKUP($B229,'[3]Jun-25'!$A:$A,'[3]Jun-25'!$H:$H,0)</f>
        <v>0</v>
      </c>
      <c r="X229" s="17">
        <f>_xlfn.XLOOKUP($B229,'[3]Jul-25'!$A:$A,'[3]Jul-25'!$H:$H,0)</f>
        <v>0</v>
      </c>
      <c r="Y229" s="17">
        <f>_xlfn.XLOOKUP($B229,'[3]Aug-25'!$A:$A,'[3]Aug-25'!$H:$H,0)</f>
        <v>0</v>
      </c>
      <c r="Z229" s="17">
        <f>_xlfn.XLOOKUP($B229,'[3]Sep-25'!$A:$A,'[3]Sep-25'!$H:$H,0)</f>
        <v>0</v>
      </c>
      <c r="AA229" s="17">
        <f>_xlfn.XLOOKUP($B229,'[3]Oct-25'!$A:$A,'[3]Oct-25'!$H:$H,0)</f>
        <v>0</v>
      </c>
      <c r="AB229" s="17">
        <f>_xlfn.XLOOKUP($B229,'[3]Nov-25'!$A:$A,'[3]Nov-25'!$H:$H,0)</f>
        <v>0</v>
      </c>
      <c r="AC229" s="17">
        <f>_xlfn.XLOOKUP($B229,'[3]Dec-25'!$A:$A,'[3]Dec-25'!$H:$H,0)</f>
        <v>0</v>
      </c>
      <c r="AD229" s="17">
        <f>_xlfn.XLOOKUP($B229,'[3]Jan-26'!$A:$A,'[3]Jan-26'!$H:$H,0)</f>
        <v>0</v>
      </c>
      <c r="AE229" s="17">
        <f>_xlfn.XLOOKUP($B229,'[3]Feb-26'!$A:$A,'[3]Feb-26'!$H:$H,0)</f>
        <v>0</v>
      </c>
      <c r="AF229" s="17">
        <f>_xlfn.XLOOKUP($B229,'[3]Mar-26'!$A:$A,'[3]Mar-26'!$H:$H,0)</f>
        <v>0</v>
      </c>
      <c r="AG229" s="17">
        <f>_xlfn.XLOOKUP($B229,'[3]Apr-26'!$A:$A,'[3]Apr-26'!$H:$H,0)</f>
        <v>0</v>
      </c>
    </row>
    <row r="230" spans="1:33" x14ac:dyDescent="0.2">
      <c r="A230" s="58" t="s">
        <v>1176</v>
      </c>
      <c r="B230" s="56" t="str">
        <f t="shared" si="5"/>
        <v>61500</v>
      </c>
      <c r="C230" s="78" t="s">
        <v>552</v>
      </c>
      <c r="D230" s="57" t="s">
        <v>387</v>
      </c>
      <c r="E230" s="44" t="s">
        <v>611</v>
      </c>
      <c r="F230" s="17">
        <f>_xlfn.XLOOKUP($B230,'[3]Jan-24'!$A:$A,'[3]Jan-24'!$H:$H,0)</f>
        <v>0</v>
      </c>
      <c r="G230" s="17">
        <f>_xlfn.XLOOKUP($B230,'[3]Feb-24'!$A:$A,'[3]Feb-24'!$H:$H,0)</f>
        <v>0</v>
      </c>
      <c r="H230" s="17">
        <f>_xlfn.XLOOKUP($B230,'[3]Mar-24'!$A:$A,'[3]Mar-24'!$H:$H,0)</f>
        <v>0</v>
      </c>
      <c r="I230" s="17">
        <f>_xlfn.XLOOKUP($B230,'[3]Apr-24'!$A:$A,'[3]Apr-24'!$H:$H,0)</f>
        <v>0</v>
      </c>
      <c r="J230" s="17">
        <f>_xlfn.XLOOKUP($B230,'[3]May-24'!$A:$A,'[3]May-24'!$H:$H,0)</f>
        <v>0</v>
      </c>
      <c r="K230" s="17">
        <f>_xlfn.XLOOKUP($B230,'[3]Jun-24'!$A:$A,'[3]Jun-24'!$H:$H,0)</f>
        <v>0</v>
      </c>
      <c r="L230" s="17">
        <f>_xlfn.XLOOKUP($B230,'[3]Jul-24'!$A:$A,'[3]Jul-24'!$H:$H,0)</f>
        <v>0</v>
      </c>
      <c r="M230" s="17">
        <f>_xlfn.XLOOKUP($B230,'[3]Aug-24'!$A:$A,'[3]Aug-24'!$H:$H,0)</f>
        <v>0</v>
      </c>
      <c r="N230" s="17">
        <f>_xlfn.XLOOKUP($B230,'[3]Sep-24'!$A:$A,'[3]Sep-24'!$H:$H,0)</f>
        <v>0</v>
      </c>
      <c r="O230" s="17">
        <f>_xlfn.XLOOKUP($B230,'[3]Oct-24'!$A:$A,'[3]Oct-24'!$H:$H,0)</f>
        <v>0</v>
      </c>
      <c r="P230" s="17">
        <f>_xlfn.XLOOKUP($B230,'[3]Nov-24'!$A:$A,'[3]Nov-24'!$H:$H,0)</f>
        <v>0</v>
      </c>
      <c r="Q230" s="17">
        <f>_xlfn.XLOOKUP($B230,'[3]Dec-24'!$A:$A,'[3]Dec-24'!$H:$H,0)</f>
        <v>0</v>
      </c>
      <c r="R230" s="17">
        <f>_xlfn.XLOOKUP($B230,'[3]Jan-25'!$A:$A,'[3]Jan-25'!$H:$H,0)</f>
        <v>0</v>
      </c>
      <c r="S230" s="17">
        <f>_xlfn.XLOOKUP($B230,'[3]Feb-25'!$A:$A,'[3]Feb-25'!$H:$H,0)</f>
        <v>0</v>
      </c>
      <c r="T230" s="17">
        <f>_xlfn.XLOOKUP($B230,'[3]Mar-25'!$A:$A,'[3]Mar-25'!$H:$H,0)</f>
        <v>0</v>
      </c>
      <c r="U230" s="17">
        <f>_xlfn.XLOOKUP($B230,'[3]Apr-25'!$A:$A,'[3]Apr-25'!$H:$H,0)</f>
        <v>0</v>
      </c>
      <c r="V230" s="17">
        <f>_xlfn.XLOOKUP($B230,'[3]May-25'!$A:$A,'[3]May-25'!$H:$H,0)</f>
        <v>0</v>
      </c>
      <c r="W230" s="17">
        <f>_xlfn.XLOOKUP($B230,'[3]Jun-25'!$A:$A,'[3]Jun-25'!$H:$H,0)</f>
        <v>0</v>
      </c>
      <c r="X230" s="17">
        <f>_xlfn.XLOOKUP($B230,'[3]Jul-25'!$A:$A,'[3]Jul-25'!$H:$H,0)</f>
        <v>0</v>
      </c>
      <c r="Y230" s="17">
        <f>_xlfn.XLOOKUP($B230,'[3]Aug-25'!$A:$A,'[3]Aug-25'!$H:$H,0)</f>
        <v>0</v>
      </c>
      <c r="Z230" s="17">
        <f>_xlfn.XLOOKUP($B230,'[3]Sep-25'!$A:$A,'[3]Sep-25'!$H:$H,0)</f>
        <v>0</v>
      </c>
      <c r="AA230" s="17">
        <f>_xlfn.XLOOKUP($B230,'[3]Oct-25'!$A:$A,'[3]Oct-25'!$H:$H,0)</f>
        <v>0</v>
      </c>
      <c r="AB230" s="17">
        <f>_xlfn.XLOOKUP($B230,'[3]Nov-25'!$A:$A,'[3]Nov-25'!$H:$H,0)</f>
        <v>0</v>
      </c>
      <c r="AC230" s="17">
        <f>_xlfn.XLOOKUP($B230,'[3]Dec-25'!$A:$A,'[3]Dec-25'!$H:$H,0)</f>
        <v>0</v>
      </c>
      <c r="AD230" s="17">
        <f>_xlfn.XLOOKUP($B230,'[3]Jan-26'!$A:$A,'[3]Jan-26'!$H:$H,0)</f>
        <v>0</v>
      </c>
      <c r="AE230" s="17">
        <f>_xlfn.XLOOKUP($B230,'[3]Feb-26'!$A:$A,'[3]Feb-26'!$H:$H,0)</f>
        <v>0</v>
      </c>
      <c r="AF230" s="17">
        <f>_xlfn.XLOOKUP($B230,'[3]Mar-26'!$A:$A,'[3]Mar-26'!$H:$H,0)</f>
        <v>0</v>
      </c>
      <c r="AG230" s="17">
        <f>_xlfn.XLOOKUP($B230,'[3]Apr-26'!$A:$A,'[3]Apr-26'!$H:$H,0)</f>
        <v>0</v>
      </c>
    </row>
    <row r="231" spans="1:33" x14ac:dyDescent="0.2">
      <c r="A231" s="58" t="s">
        <v>904</v>
      </c>
      <c r="B231" s="56" t="str">
        <f t="shared" si="5"/>
        <v>61600</v>
      </c>
      <c r="C231" s="78" t="s">
        <v>552</v>
      </c>
      <c r="D231" s="57" t="s">
        <v>387</v>
      </c>
      <c r="E231" s="44" t="s">
        <v>612</v>
      </c>
      <c r="F231" s="17">
        <f>_xlfn.XLOOKUP($B231,'[3]Jan-24'!$A:$A,'[3]Jan-24'!$H:$H,0)</f>
        <v>107.42</v>
      </c>
      <c r="G231" s="17">
        <f>_xlfn.XLOOKUP($B231,'[3]Feb-24'!$A:$A,'[3]Feb-24'!$H:$H,0)</f>
        <v>766.78</v>
      </c>
      <c r="H231" s="17">
        <f>_xlfn.XLOOKUP($B231,'[3]Mar-24'!$A:$A,'[3]Mar-24'!$H:$H,0)</f>
        <v>107.43</v>
      </c>
      <c r="I231" s="17">
        <f>_xlfn.XLOOKUP($B231,'[3]Apr-24'!$A:$A,'[3]Apr-24'!$H:$H,0)</f>
        <v>107.42</v>
      </c>
      <c r="J231" s="17">
        <f>_xlfn.XLOOKUP($B231,'[3]May-24'!$A:$A,'[3]May-24'!$H:$H,0)</f>
        <v>107.42</v>
      </c>
      <c r="K231" s="17">
        <f>_xlfn.XLOOKUP($B231,'[3]Jun-24'!$A:$A,'[3]Jun-24'!$H:$H,0)</f>
        <v>107.43</v>
      </c>
      <c r="L231" s="17">
        <f>_xlfn.XLOOKUP($B231,'[3]Jul-24'!$A:$A,'[3]Jul-24'!$H:$H,0)</f>
        <v>107.43</v>
      </c>
      <c r="M231" s="17">
        <f>_xlfn.XLOOKUP($B231,'[3]Aug-24'!$A:$A,'[3]Aug-24'!$H:$H,0)</f>
        <v>550.59</v>
      </c>
      <c r="N231" s="17">
        <f>_xlfn.XLOOKUP($B231,'[3]Sep-24'!$A:$A,'[3]Sep-24'!$H:$H,0)</f>
        <v>261.14</v>
      </c>
      <c r="O231" s="17">
        <f>_xlfn.XLOOKUP($B231,'[3]Oct-24'!$A:$A,'[3]Oct-24'!$H:$H,0)</f>
        <v>637.22</v>
      </c>
      <c r="P231" s="17">
        <f>_xlfn.XLOOKUP($B231,'[3]Nov-24'!$A:$A,'[3]Nov-24'!$H:$H,0)</f>
        <v>111.94</v>
      </c>
      <c r="Q231" s="17">
        <f>_xlfn.XLOOKUP($B231,'[3]Dec-24'!$A:$A,'[3]Dec-24'!$H:$H,0)</f>
        <v>111.94</v>
      </c>
      <c r="R231" s="17">
        <f>_xlfn.XLOOKUP($B231,'[3]Jan-25'!$A:$A,'[3]Jan-25'!$H:$H,0)</f>
        <v>111.94</v>
      </c>
      <c r="S231" s="17">
        <f>_xlfn.XLOOKUP($B231,'[3]Feb-25'!$A:$A,'[3]Feb-25'!$H:$H,0)</f>
        <v>111.94</v>
      </c>
      <c r="T231" s="17">
        <f>_xlfn.XLOOKUP($B231,'[3]Mar-25'!$A:$A,'[3]Mar-25'!$H:$H,0)</f>
        <v>0</v>
      </c>
      <c r="U231" s="17">
        <f>_xlfn.XLOOKUP($B231,'[3]Apr-25'!$A:$A,'[3]Apr-25'!$H:$H,0)</f>
        <v>0</v>
      </c>
      <c r="V231" s="17">
        <f>_xlfn.XLOOKUP($B231,'[3]May-25'!$A:$A,'[3]May-25'!$H:$H,0)</f>
        <v>0</v>
      </c>
      <c r="W231" s="17">
        <f>_xlfn.XLOOKUP($B231,'[3]Jun-25'!$A:$A,'[3]Jun-25'!$H:$H,0)</f>
        <v>0</v>
      </c>
      <c r="X231" s="17">
        <f>_xlfn.XLOOKUP($B231,'[3]Jul-25'!$A:$A,'[3]Jul-25'!$H:$H,0)</f>
        <v>445.31000000000006</v>
      </c>
      <c r="Y231" s="17">
        <f>_xlfn.XLOOKUP($B231,'[3]Aug-25'!$A:$A,'[3]Aug-25'!$H:$H,0)</f>
        <v>0</v>
      </c>
      <c r="Z231" s="17">
        <f>_xlfn.XLOOKUP($B231,'[3]Sep-25'!$A:$A,'[3]Sep-25'!$H:$H,0)</f>
        <v>0</v>
      </c>
      <c r="AA231" s="17">
        <f>_xlfn.XLOOKUP($B231,'[3]Oct-25'!$A:$A,'[3]Oct-25'!$H:$H,0)</f>
        <v>227.06</v>
      </c>
      <c r="AB231" s="17">
        <f>_xlfn.XLOOKUP($B231,'[3]Nov-25'!$A:$A,'[3]Nov-25'!$H:$H,0)</f>
        <v>4655.41</v>
      </c>
      <c r="AC231" s="17">
        <f>_xlfn.XLOOKUP($B231,'[3]Dec-25'!$A:$A,'[3]Dec-25'!$H:$H,0)</f>
        <v>0</v>
      </c>
      <c r="AD231" s="17">
        <f>_xlfn.XLOOKUP($B231,'[3]Jan-26'!$A:$A,'[3]Jan-26'!$H:$H,0)</f>
        <v>38</v>
      </c>
      <c r="AE231" s="17">
        <f>_xlfn.XLOOKUP($B231,'[3]Feb-26'!$A:$A,'[3]Feb-26'!$H:$H,0)</f>
        <v>0</v>
      </c>
      <c r="AF231" s="17">
        <f>_xlfn.XLOOKUP($B231,'[3]Mar-26'!$A:$A,'[3]Mar-26'!$H:$H,0)</f>
        <v>775.78</v>
      </c>
      <c r="AG231" s="17">
        <f>_xlfn.XLOOKUP($B231,'[3]Apr-26'!$A:$A,'[3]Apr-26'!$H:$H,0)</f>
        <v>399.09</v>
      </c>
    </row>
    <row r="232" spans="1:33" x14ac:dyDescent="0.2">
      <c r="A232" s="58" t="s">
        <v>913</v>
      </c>
      <c r="B232" s="56" t="str">
        <f t="shared" si="5"/>
        <v>61700</v>
      </c>
      <c r="C232" s="78" t="s">
        <v>613</v>
      </c>
      <c r="D232" s="57" t="s">
        <v>387</v>
      </c>
      <c r="E232" s="44" t="s">
        <v>614</v>
      </c>
      <c r="F232" s="17">
        <f>_xlfn.XLOOKUP($B232,'[3]Jan-24'!$A:$A,'[3]Jan-24'!$H:$H,0)</f>
        <v>0</v>
      </c>
      <c r="G232" s="17">
        <f>_xlfn.XLOOKUP($B232,'[3]Feb-24'!$A:$A,'[3]Feb-24'!$H:$H,0)</f>
        <v>0</v>
      </c>
      <c r="H232" s="17">
        <f>_xlfn.XLOOKUP($B232,'[3]Mar-24'!$A:$A,'[3]Mar-24'!$H:$H,0)</f>
        <v>0</v>
      </c>
      <c r="I232" s="17">
        <f>_xlfn.XLOOKUP($B232,'[3]Apr-24'!$A:$A,'[3]Apr-24'!$H:$H,0)</f>
        <v>0</v>
      </c>
      <c r="J232" s="17">
        <f>_xlfn.XLOOKUP($B232,'[3]May-24'!$A:$A,'[3]May-24'!$H:$H,0)</f>
        <v>0</v>
      </c>
      <c r="K232" s="17">
        <f>_xlfn.XLOOKUP($B232,'[3]Jun-24'!$A:$A,'[3]Jun-24'!$H:$H,0)</f>
        <v>0</v>
      </c>
      <c r="L232" s="17">
        <f>_xlfn.XLOOKUP($B232,'[3]Jul-24'!$A:$A,'[3]Jul-24'!$H:$H,0)</f>
        <v>0</v>
      </c>
      <c r="M232" s="17">
        <f>_xlfn.XLOOKUP($B232,'[3]Aug-24'!$A:$A,'[3]Aug-24'!$H:$H,0)</f>
        <v>0</v>
      </c>
      <c r="N232" s="17">
        <f>_xlfn.XLOOKUP($B232,'[3]Sep-24'!$A:$A,'[3]Sep-24'!$H:$H,0)</f>
        <v>0</v>
      </c>
      <c r="O232" s="17">
        <f>_xlfn.XLOOKUP($B232,'[3]Oct-24'!$A:$A,'[3]Oct-24'!$H:$H,0)</f>
        <v>0</v>
      </c>
      <c r="P232" s="17">
        <f>_xlfn.XLOOKUP($B232,'[3]Nov-24'!$A:$A,'[3]Nov-24'!$H:$H,0)</f>
        <v>0</v>
      </c>
      <c r="Q232" s="17">
        <f>_xlfn.XLOOKUP($B232,'[3]Dec-24'!$A:$A,'[3]Dec-24'!$H:$H,0)</f>
        <v>0</v>
      </c>
      <c r="R232" s="17">
        <f>_xlfn.XLOOKUP($B232,'[3]Jan-25'!$A:$A,'[3]Jan-25'!$H:$H,0)</f>
        <v>0</v>
      </c>
      <c r="S232" s="17">
        <f>_xlfn.XLOOKUP($B232,'[3]Feb-25'!$A:$A,'[3]Feb-25'!$H:$H,0)</f>
        <v>0</v>
      </c>
      <c r="T232" s="17">
        <f>_xlfn.XLOOKUP($B232,'[3]Mar-25'!$A:$A,'[3]Mar-25'!$H:$H,0)</f>
        <v>0</v>
      </c>
      <c r="U232" s="17">
        <f>_xlfn.XLOOKUP($B232,'[3]Apr-25'!$A:$A,'[3]Apr-25'!$H:$H,0)</f>
        <v>0</v>
      </c>
      <c r="V232" s="17">
        <f>_xlfn.XLOOKUP($B232,'[3]May-25'!$A:$A,'[3]May-25'!$H:$H,0)</f>
        <v>0</v>
      </c>
      <c r="W232" s="17">
        <f>_xlfn.XLOOKUP($B232,'[3]Jun-25'!$A:$A,'[3]Jun-25'!$H:$H,0)</f>
        <v>0</v>
      </c>
      <c r="X232" s="17">
        <f>_xlfn.XLOOKUP($B232,'[3]Jul-25'!$A:$A,'[3]Jul-25'!$H:$H,0)</f>
        <v>0</v>
      </c>
      <c r="Y232" s="17">
        <f>_xlfn.XLOOKUP($B232,'[3]Aug-25'!$A:$A,'[3]Aug-25'!$H:$H,0)</f>
        <v>0</v>
      </c>
      <c r="Z232" s="17">
        <f>_xlfn.XLOOKUP($B232,'[3]Sep-25'!$A:$A,'[3]Sep-25'!$H:$H,0)</f>
        <v>0</v>
      </c>
      <c r="AA232" s="17">
        <f>_xlfn.XLOOKUP($B232,'[3]Oct-25'!$A:$A,'[3]Oct-25'!$H:$H,0)</f>
        <v>0</v>
      </c>
      <c r="AB232" s="17">
        <f>_xlfn.XLOOKUP($B232,'[3]Nov-25'!$A:$A,'[3]Nov-25'!$H:$H,0)</f>
        <v>0</v>
      </c>
      <c r="AC232" s="17">
        <f>_xlfn.XLOOKUP($B232,'[3]Dec-25'!$A:$A,'[3]Dec-25'!$H:$H,0)</f>
        <v>0</v>
      </c>
      <c r="AD232" s="17">
        <f>_xlfn.XLOOKUP($B232,'[3]Jan-26'!$A:$A,'[3]Jan-26'!$H:$H,0)</f>
        <v>0</v>
      </c>
      <c r="AE232" s="17">
        <f>_xlfn.XLOOKUP($B232,'[3]Feb-26'!$A:$A,'[3]Feb-26'!$H:$H,0)</f>
        <v>0</v>
      </c>
      <c r="AF232" s="17">
        <f>_xlfn.XLOOKUP($B232,'[3]Mar-26'!$A:$A,'[3]Mar-26'!$H:$H,0)</f>
        <v>0</v>
      </c>
      <c r="AG232" s="17">
        <f>_xlfn.XLOOKUP($B232,'[3]Apr-26'!$A:$A,'[3]Apr-26'!$H:$H,0)</f>
        <v>0</v>
      </c>
    </row>
    <row r="233" spans="1:33" x14ac:dyDescent="0.2">
      <c r="A233" s="58" t="s">
        <v>1177</v>
      </c>
      <c r="B233" s="56" t="str">
        <f t="shared" si="5"/>
        <v>62100</v>
      </c>
      <c r="C233" s="78" t="s">
        <v>389</v>
      </c>
      <c r="D233" s="57" t="s">
        <v>387</v>
      </c>
      <c r="E233" s="44" t="s">
        <v>617</v>
      </c>
      <c r="F233" s="17">
        <f>_xlfn.XLOOKUP($B233,'[3]Jan-24'!$A:$A,'[3]Jan-24'!$H:$H,0)</f>
        <v>0</v>
      </c>
      <c r="G233" s="17">
        <f>_xlfn.XLOOKUP($B233,'[3]Feb-24'!$A:$A,'[3]Feb-24'!$H:$H,0)</f>
        <v>0</v>
      </c>
      <c r="H233" s="17">
        <f>_xlfn.XLOOKUP($B233,'[3]Mar-24'!$A:$A,'[3]Mar-24'!$H:$H,0)</f>
        <v>0</v>
      </c>
      <c r="I233" s="17">
        <f>_xlfn.XLOOKUP($B233,'[3]Apr-24'!$A:$A,'[3]Apr-24'!$H:$H,0)</f>
        <v>0</v>
      </c>
      <c r="J233" s="17">
        <f>_xlfn.XLOOKUP($B233,'[3]May-24'!$A:$A,'[3]May-24'!$H:$H,0)</f>
        <v>0</v>
      </c>
      <c r="K233" s="17">
        <f>_xlfn.XLOOKUP($B233,'[3]Jun-24'!$A:$A,'[3]Jun-24'!$H:$H,0)</f>
        <v>0</v>
      </c>
      <c r="L233" s="17">
        <f>_xlfn.XLOOKUP($B233,'[3]Jul-24'!$A:$A,'[3]Jul-24'!$H:$H,0)</f>
        <v>0</v>
      </c>
      <c r="M233" s="17">
        <f>_xlfn.XLOOKUP($B233,'[3]Aug-24'!$A:$A,'[3]Aug-24'!$H:$H,0)</f>
        <v>0</v>
      </c>
      <c r="N233" s="17">
        <f>_xlfn.XLOOKUP($B233,'[3]Sep-24'!$A:$A,'[3]Sep-24'!$H:$H,0)</f>
        <v>0</v>
      </c>
      <c r="O233" s="17">
        <f>_xlfn.XLOOKUP($B233,'[3]Oct-24'!$A:$A,'[3]Oct-24'!$H:$H,0)</f>
        <v>0</v>
      </c>
      <c r="P233" s="17">
        <f>_xlfn.XLOOKUP($B233,'[3]Nov-24'!$A:$A,'[3]Nov-24'!$H:$H,0)</f>
        <v>0</v>
      </c>
      <c r="Q233" s="17">
        <f>_xlfn.XLOOKUP($B233,'[3]Dec-24'!$A:$A,'[3]Dec-24'!$H:$H,0)</f>
        <v>0</v>
      </c>
      <c r="R233" s="17">
        <f>_xlfn.XLOOKUP($B233,'[3]Jan-25'!$A:$A,'[3]Jan-25'!$H:$H,0)</f>
        <v>0</v>
      </c>
      <c r="S233" s="17">
        <f>_xlfn.XLOOKUP($B233,'[3]Feb-25'!$A:$A,'[3]Feb-25'!$H:$H,0)</f>
        <v>0</v>
      </c>
      <c r="T233" s="17">
        <f>_xlfn.XLOOKUP($B233,'[3]Mar-25'!$A:$A,'[3]Mar-25'!$H:$H,0)</f>
        <v>0</v>
      </c>
      <c r="U233" s="17">
        <f>_xlfn.XLOOKUP($B233,'[3]Apr-25'!$A:$A,'[3]Apr-25'!$H:$H,0)</f>
        <v>0</v>
      </c>
      <c r="V233" s="17">
        <f>_xlfn.XLOOKUP($B233,'[3]May-25'!$A:$A,'[3]May-25'!$H:$H,0)</f>
        <v>0</v>
      </c>
      <c r="W233" s="17">
        <f>_xlfn.XLOOKUP($B233,'[3]Jun-25'!$A:$A,'[3]Jun-25'!$H:$H,0)</f>
        <v>0</v>
      </c>
      <c r="X233" s="17">
        <f>_xlfn.XLOOKUP($B233,'[3]Jul-25'!$A:$A,'[3]Jul-25'!$H:$H,0)</f>
        <v>0</v>
      </c>
      <c r="Y233" s="17">
        <f>_xlfn.XLOOKUP($B233,'[3]Aug-25'!$A:$A,'[3]Aug-25'!$H:$H,0)</f>
        <v>0</v>
      </c>
      <c r="Z233" s="17">
        <f>_xlfn.XLOOKUP($B233,'[3]Sep-25'!$A:$A,'[3]Sep-25'!$H:$H,0)</f>
        <v>0</v>
      </c>
      <c r="AA233" s="17">
        <f>_xlfn.XLOOKUP($B233,'[3]Oct-25'!$A:$A,'[3]Oct-25'!$H:$H,0)</f>
        <v>0</v>
      </c>
      <c r="AB233" s="17">
        <f>_xlfn.XLOOKUP($B233,'[3]Nov-25'!$A:$A,'[3]Nov-25'!$H:$H,0)</f>
        <v>0</v>
      </c>
      <c r="AC233" s="17">
        <f>_xlfn.XLOOKUP($B233,'[3]Dec-25'!$A:$A,'[3]Dec-25'!$H:$H,0)</f>
        <v>0</v>
      </c>
      <c r="AD233" s="17">
        <f>_xlfn.XLOOKUP($B233,'[3]Jan-26'!$A:$A,'[3]Jan-26'!$H:$H,0)</f>
        <v>0</v>
      </c>
      <c r="AE233" s="17">
        <f>_xlfn.XLOOKUP($B233,'[3]Feb-26'!$A:$A,'[3]Feb-26'!$H:$H,0)</f>
        <v>0</v>
      </c>
      <c r="AF233" s="17">
        <f>_xlfn.XLOOKUP($B233,'[3]Mar-26'!$A:$A,'[3]Mar-26'!$H:$H,0)</f>
        <v>0</v>
      </c>
      <c r="AG233" s="17">
        <f>_xlfn.XLOOKUP($B233,'[3]Apr-26'!$A:$A,'[3]Apr-26'!$H:$H,0)</f>
        <v>0</v>
      </c>
    </row>
    <row r="234" spans="1:33" x14ac:dyDescent="0.2">
      <c r="A234" s="58" t="s">
        <v>909</v>
      </c>
      <c r="B234" s="56" t="str">
        <f t="shared" si="5"/>
        <v>62101</v>
      </c>
      <c r="C234" s="78" t="s">
        <v>574</v>
      </c>
      <c r="D234" s="57" t="s">
        <v>387</v>
      </c>
      <c r="E234" s="44" t="s">
        <v>618</v>
      </c>
      <c r="F234" s="17">
        <f>_xlfn.XLOOKUP($B234,'[3]Jan-24'!$A:$A,'[3]Jan-24'!$H:$H,0)</f>
        <v>0</v>
      </c>
      <c r="G234" s="17">
        <f>_xlfn.XLOOKUP($B234,'[3]Feb-24'!$A:$A,'[3]Feb-24'!$H:$H,0)</f>
        <v>0</v>
      </c>
      <c r="H234" s="17">
        <f>_xlfn.XLOOKUP($B234,'[3]Mar-24'!$A:$A,'[3]Mar-24'!$H:$H,0)</f>
        <v>0</v>
      </c>
      <c r="I234" s="17">
        <f>_xlfn.XLOOKUP($B234,'[3]Apr-24'!$A:$A,'[3]Apr-24'!$H:$H,0)</f>
        <v>0</v>
      </c>
      <c r="J234" s="17">
        <f>_xlfn.XLOOKUP($B234,'[3]May-24'!$A:$A,'[3]May-24'!$H:$H,0)</f>
        <v>0</v>
      </c>
      <c r="K234" s="17">
        <f>_xlfn.XLOOKUP($B234,'[3]Jun-24'!$A:$A,'[3]Jun-24'!$H:$H,0)</f>
        <v>0</v>
      </c>
      <c r="L234" s="17">
        <f>_xlfn.XLOOKUP($B234,'[3]Jul-24'!$A:$A,'[3]Jul-24'!$H:$H,0)</f>
        <v>0</v>
      </c>
      <c r="M234" s="17">
        <f>_xlfn.XLOOKUP($B234,'[3]Aug-24'!$A:$A,'[3]Aug-24'!$H:$H,0)</f>
        <v>0</v>
      </c>
      <c r="N234" s="17">
        <f>_xlfn.XLOOKUP($B234,'[3]Sep-24'!$A:$A,'[3]Sep-24'!$H:$H,0)</f>
        <v>0</v>
      </c>
      <c r="O234" s="17">
        <f>_xlfn.XLOOKUP($B234,'[3]Oct-24'!$A:$A,'[3]Oct-24'!$H:$H,0)</f>
        <v>0</v>
      </c>
      <c r="P234" s="17">
        <f>_xlfn.XLOOKUP($B234,'[3]Nov-24'!$A:$A,'[3]Nov-24'!$H:$H,0)</f>
        <v>0</v>
      </c>
      <c r="Q234" s="17">
        <f>_xlfn.XLOOKUP($B234,'[3]Dec-24'!$A:$A,'[3]Dec-24'!$H:$H,0)</f>
        <v>0</v>
      </c>
      <c r="R234" s="17">
        <f>_xlfn.XLOOKUP($B234,'[3]Jan-25'!$A:$A,'[3]Jan-25'!$H:$H,0)</f>
        <v>0</v>
      </c>
      <c r="S234" s="17">
        <f>_xlfn.XLOOKUP($B234,'[3]Feb-25'!$A:$A,'[3]Feb-25'!$H:$H,0)</f>
        <v>0</v>
      </c>
      <c r="T234" s="17">
        <f>_xlfn.XLOOKUP($B234,'[3]Mar-25'!$A:$A,'[3]Mar-25'!$H:$H,0)</f>
        <v>0</v>
      </c>
      <c r="U234" s="17">
        <f>_xlfn.XLOOKUP($B234,'[3]Apr-25'!$A:$A,'[3]Apr-25'!$H:$H,0)</f>
        <v>0</v>
      </c>
      <c r="V234" s="17">
        <f>_xlfn.XLOOKUP($B234,'[3]May-25'!$A:$A,'[3]May-25'!$H:$H,0)</f>
        <v>0</v>
      </c>
      <c r="W234" s="17">
        <f>_xlfn.XLOOKUP($B234,'[3]Jun-25'!$A:$A,'[3]Jun-25'!$H:$H,0)</f>
        <v>0</v>
      </c>
      <c r="X234" s="17">
        <f>_xlfn.XLOOKUP($B234,'[3]Jul-25'!$A:$A,'[3]Jul-25'!$H:$H,0)</f>
        <v>0</v>
      </c>
      <c r="Y234" s="17">
        <f>_xlfn.XLOOKUP($B234,'[3]Aug-25'!$A:$A,'[3]Aug-25'!$H:$H,0)</f>
        <v>0</v>
      </c>
      <c r="Z234" s="17">
        <f>_xlfn.XLOOKUP($B234,'[3]Sep-25'!$A:$A,'[3]Sep-25'!$H:$H,0)</f>
        <v>0</v>
      </c>
      <c r="AA234" s="17">
        <f>_xlfn.XLOOKUP($B234,'[3]Oct-25'!$A:$A,'[3]Oct-25'!$H:$H,0)</f>
        <v>0</v>
      </c>
      <c r="AB234" s="17">
        <f>_xlfn.XLOOKUP($B234,'[3]Nov-25'!$A:$A,'[3]Nov-25'!$H:$H,0)</f>
        <v>0</v>
      </c>
      <c r="AC234" s="17">
        <f>_xlfn.XLOOKUP($B234,'[3]Dec-25'!$A:$A,'[3]Dec-25'!$H:$H,0)</f>
        <v>0</v>
      </c>
      <c r="AD234" s="17">
        <f>_xlfn.XLOOKUP($B234,'[3]Jan-26'!$A:$A,'[3]Jan-26'!$H:$H,0)</f>
        <v>0</v>
      </c>
      <c r="AE234" s="17">
        <f>_xlfn.XLOOKUP($B234,'[3]Feb-26'!$A:$A,'[3]Feb-26'!$H:$H,0)</f>
        <v>0</v>
      </c>
      <c r="AF234" s="17">
        <f>_xlfn.XLOOKUP($B234,'[3]Mar-26'!$A:$A,'[3]Mar-26'!$H:$H,0)</f>
        <v>0</v>
      </c>
      <c r="AG234" s="17">
        <f>_xlfn.XLOOKUP($B234,'[3]Apr-26'!$A:$A,'[3]Apr-26'!$H:$H,0)</f>
        <v>0</v>
      </c>
    </row>
    <row r="235" spans="1:33" x14ac:dyDescent="0.2">
      <c r="A235" s="58" t="s">
        <v>1178</v>
      </c>
      <c r="B235" s="56" t="str">
        <f t="shared" si="5"/>
        <v>62200</v>
      </c>
      <c r="C235" s="78" t="s">
        <v>552</v>
      </c>
      <c r="D235" s="57" t="s">
        <v>387</v>
      </c>
      <c r="E235" s="44" t="s">
        <v>619</v>
      </c>
      <c r="F235" s="17">
        <f>_xlfn.XLOOKUP($B235,'[3]Jan-24'!$A:$A,'[3]Jan-24'!$H:$H,0)</f>
        <v>0</v>
      </c>
      <c r="G235" s="17">
        <f>_xlfn.XLOOKUP($B235,'[3]Feb-24'!$A:$A,'[3]Feb-24'!$H:$H,0)</f>
        <v>0</v>
      </c>
      <c r="H235" s="17">
        <f>_xlfn.XLOOKUP($B235,'[3]Mar-24'!$A:$A,'[3]Mar-24'!$H:$H,0)</f>
        <v>0</v>
      </c>
      <c r="I235" s="17">
        <f>_xlfn.XLOOKUP($B235,'[3]Apr-24'!$A:$A,'[3]Apr-24'!$H:$H,0)</f>
        <v>0</v>
      </c>
      <c r="J235" s="17">
        <f>_xlfn.XLOOKUP($B235,'[3]May-24'!$A:$A,'[3]May-24'!$H:$H,0)</f>
        <v>0</v>
      </c>
      <c r="K235" s="17">
        <f>_xlfn.XLOOKUP($B235,'[3]Jun-24'!$A:$A,'[3]Jun-24'!$H:$H,0)</f>
        <v>0</v>
      </c>
      <c r="L235" s="17">
        <f>_xlfn.XLOOKUP($B235,'[3]Jul-24'!$A:$A,'[3]Jul-24'!$H:$H,0)</f>
        <v>0</v>
      </c>
      <c r="M235" s="17">
        <f>_xlfn.XLOOKUP($B235,'[3]Aug-24'!$A:$A,'[3]Aug-24'!$H:$H,0)</f>
        <v>0</v>
      </c>
      <c r="N235" s="17">
        <f>_xlfn.XLOOKUP($B235,'[3]Sep-24'!$A:$A,'[3]Sep-24'!$H:$H,0)</f>
        <v>0</v>
      </c>
      <c r="O235" s="17">
        <f>_xlfn.XLOOKUP($B235,'[3]Oct-24'!$A:$A,'[3]Oct-24'!$H:$H,0)</f>
        <v>0</v>
      </c>
      <c r="P235" s="17">
        <f>_xlfn.XLOOKUP($B235,'[3]Nov-24'!$A:$A,'[3]Nov-24'!$H:$H,0)</f>
        <v>0</v>
      </c>
      <c r="Q235" s="17">
        <f>_xlfn.XLOOKUP($B235,'[3]Dec-24'!$A:$A,'[3]Dec-24'!$H:$H,0)</f>
        <v>0</v>
      </c>
      <c r="R235" s="17">
        <f>_xlfn.XLOOKUP($B235,'[3]Jan-25'!$A:$A,'[3]Jan-25'!$H:$H,0)</f>
        <v>0</v>
      </c>
      <c r="S235" s="17">
        <f>_xlfn.XLOOKUP($B235,'[3]Feb-25'!$A:$A,'[3]Feb-25'!$H:$H,0)</f>
        <v>0</v>
      </c>
      <c r="T235" s="17">
        <f>_xlfn.XLOOKUP($B235,'[3]Mar-25'!$A:$A,'[3]Mar-25'!$H:$H,0)</f>
        <v>0</v>
      </c>
      <c r="U235" s="17">
        <f>_xlfn.XLOOKUP($B235,'[3]Apr-25'!$A:$A,'[3]Apr-25'!$H:$H,0)</f>
        <v>0</v>
      </c>
      <c r="V235" s="17">
        <f>_xlfn.XLOOKUP($B235,'[3]May-25'!$A:$A,'[3]May-25'!$H:$H,0)</f>
        <v>0</v>
      </c>
      <c r="W235" s="17">
        <f>_xlfn.XLOOKUP($B235,'[3]Jun-25'!$A:$A,'[3]Jun-25'!$H:$H,0)</f>
        <v>0</v>
      </c>
      <c r="X235" s="17">
        <f>_xlfn.XLOOKUP($B235,'[3]Jul-25'!$A:$A,'[3]Jul-25'!$H:$H,0)</f>
        <v>0</v>
      </c>
      <c r="Y235" s="17">
        <f>_xlfn.XLOOKUP($B235,'[3]Aug-25'!$A:$A,'[3]Aug-25'!$H:$H,0)</f>
        <v>0</v>
      </c>
      <c r="Z235" s="17">
        <f>_xlfn.XLOOKUP($B235,'[3]Sep-25'!$A:$A,'[3]Sep-25'!$H:$H,0)</f>
        <v>0</v>
      </c>
      <c r="AA235" s="17">
        <f>_xlfn.XLOOKUP($B235,'[3]Oct-25'!$A:$A,'[3]Oct-25'!$H:$H,0)</f>
        <v>0</v>
      </c>
      <c r="AB235" s="17">
        <f>_xlfn.XLOOKUP($B235,'[3]Nov-25'!$A:$A,'[3]Nov-25'!$H:$H,0)</f>
        <v>0</v>
      </c>
      <c r="AC235" s="17">
        <f>_xlfn.XLOOKUP($B235,'[3]Dec-25'!$A:$A,'[3]Dec-25'!$H:$H,0)</f>
        <v>0</v>
      </c>
      <c r="AD235" s="17">
        <f>_xlfn.XLOOKUP($B235,'[3]Jan-26'!$A:$A,'[3]Jan-26'!$H:$H,0)</f>
        <v>0</v>
      </c>
      <c r="AE235" s="17">
        <f>_xlfn.XLOOKUP($B235,'[3]Feb-26'!$A:$A,'[3]Feb-26'!$H:$H,0)</f>
        <v>0</v>
      </c>
      <c r="AF235" s="17">
        <f>_xlfn.XLOOKUP($B235,'[3]Mar-26'!$A:$A,'[3]Mar-26'!$H:$H,0)</f>
        <v>0</v>
      </c>
      <c r="AG235" s="17">
        <f>_xlfn.XLOOKUP($B235,'[3]Apr-26'!$A:$A,'[3]Apr-26'!$H:$H,0)</f>
        <v>0</v>
      </c>
    </row>
    <row r="236" spans="1:33" x14ac:dyDescent="0.2">
      <c r="A236" s="58" t="s">
        <v>919</v>
      </c>
      <c r="B236" s="56" t="str">
        <f t="shared" si="5"/>
        <v>62400</v>
      </c>
      <c r="C236" s="78" t="s">
        <v>389</v>
      </c>
      <c r="D236" s="57" t="s">
        <v>387</v>
      </c>
      <c r="E236" s="44" t="s">
        <v>620</v>
      </c>
      <c r="F236" s="17">
        <f>_xlfn.XLOOKUP($B236,'[3]Jan-24'!$A:$A,'[3]Jan-24'!$H:$H,0)</f>
        <v>0</v>
      </c>
      <c r="G236" s="17">
        <f>_xlfn.XLOOKUP($B236,'[3]Feb-24'!$A:$A,'[3]Feb-24'!$H:$H,0)</f>
        <v>2000</v>
      </c>
      <c r="H236" s="17">
        <f>_xlfn.XLOOKUP($B236,'[3]Mar-24'!$A:$A,'[3]Mar-24'!$H:$H,0)</f>
        <v>0</v>
      </c>
      <c r="I236" s="17">
        <f>_xlfn.XLOOKUP($B236,'[3]Apr-24'!$A:$A,'[3]Apr-24'!$H:$H,0)</f>
        <v>0</v>
      </c>
      <c r="J236" s="17">
        <f>_xlfn.XLOOKUP($B236,'[3]May-24'!$A:$A,'[3]May-24'!$H:$H,0)</f>
        <v>0</v>
      </c>
      <c r="K236" s="17">
        <f>_xlfn.XLOOKUP($B236,'[3]Jun-24'!$A:$A,'[3]Jun-24'!$H:$H,0)</f>
        <v>0</v>
      </c>
      <c r="L236" s="17">
        <f>_xlfn.XLOOKUP($B236,'[3]Jul-24'!$A:$A,'[3]Jul-24'!$H:$H,0)</f>
        <v>0</v>
      </c>
      <c r="M236" s="17">
        <f>_xlfn.XLOOKUP($B236,'[3]Aug-24'!$A:$A,'[3]Aug-24'!$H:$H,0)</f>
        <v>0</v>
      </c>
      <c r="N236" s="17">
        <f>_xlfn.XLOOKUP($B236,'[3]Sep-24'!$A:$A,'[3]Sep-24'!$H:$H,0)</f>
        <v>-300</v>
      </c>
      <c r="O236" s="17">
        <f>_xlfn.XLOOKUP($B236,'[3]Oct-24'!$A:$A,'[3]Oct-24'!$H:$H,0)</f>
        <v>0</v>
      </c>
      <c r="P236" s="17">
        <f>_xlfn.XLOOKUP($B236,'[3]Nov-24'!$A:$A,'[3]Nov-24'!$H:$H,0)</f>
        <v>0</v>
      </c>
      <c r="Q236" s="17">
        <f>_xlfn.XLOOKUP($B236,'[3]Dec-24'!$A:$A,'[3]Dec-24'!$H:$H,0)</f>
        <v>0</v>
      </c>
      <c r="R236" s="17">
        <f>_xlfn.XLOOKUP($B236,'[3]Jan-25'!$A:$A,'[3]Jan-25'!$H:$H,0)</f>
        <v>0</v>
      </c>
      <c r="S236" s="17">
        <f>_xlfn.XLOOKUP($B236,'[3]Feb-25'!$A:$A,'[3]Feb-25'!$H:$H,0)</f>
        <v>0</v>
      </c>
      <c r="T236" s="17">
        <f>_xlfn.XLOOKUP($B236,'[3]Mar-25'!$A:$A,'[3]Mar-25'!$H:$H,0)</f>
        <v>371.08</v>
      </c>
      <c r="U236" s="17">
        <f>_xlfn.XLOOKUP($B236,'[3]Apr-25'!$A:$A,'[3]Apr-25'!$H:$H,0)</f>
        <v>0</v>
      </c>
      <c r="V236" s="17">
        <f>_xlfn.XLOOKUP($B236,'[3]May-25'!$A:$A,'[3]May-25'!$H:$H,0)</f>
        <v>0</v>
      </c>
      <c r="W236" s="17">
        <f>_xlfn.XLOOKUP($B236,'[3]Jun-25'!$A:$A,'[3]Jun-25'!$H:$H,0)</f>
        <v>11.76</v>
      </c>
      <c r="X236" s="17">
        <f>_xlfn.XLOOKUP($B236,'[3]Jul-25'!$A:$A,'[3]Jul-25'!$H:$H,0)</f>
        <v>0</v>
      </c>
      <c r="Y236" s="17">
        <f>_xlfn.XLOOKUP($B236,'[3]Aug-25'!$A:$A,'[3]Aug-25'!$H:$H,0)</f>
        <v>0</v>
      </c>
      <c r="Z236" s="17">
        <f>_xlfn.XLOOKUP($B236,'[3]Sep-25'!$A:$A,'[3]Sep-25'!$H:$H,0)</f>
        <v>0</v>
      </c>
      <c r="AA236" s="17">
        <f>_xlfn.XLOOKUP($B236,'[3]Oct-25'!$A:$A,'[3]Oct-25'!$H:$H,0)</f>
        <v>0</v>
      </c>
      <c r="AB236" s="17">
        <f>_xlfn.XLOOKUP($B236,'[3]Nov-25'!$A:$A,'[3]Nov-25'!$H:$H,0)</f>
        <v>0</v>
      </c>
      <c r="AC236" s="17">
        <f>_xlfn.XLOOKUP($B236,'[3]Dec-25'!$A:$A,'[3]Dec-25'!$H:$H,0)</f>
        <v>0</v>
      </c>
      <c r="AD236" s="17">
        <f>_xlfn.XLOOKUP($B236,'[3]Jan-26'!$A:$A,'[3]Jan-26'!$H:$H,0)</f>
        <v>0</v>
      </c>
      <c r="AE236" s="17">
        <f>_xlfn.XLOOKUP($B236,'[3]Feb-26'!$A:$A,'[3]Feb-26'!$H:$H,0)</f>
        <v>0</v>
      </c>
      <c r="AF236" s="17">
        <f>_xlfn.XLOOKUP($B236,'[3]Mar-26'!$A:$A,'[3]Mar-26'!$H:$H,0)</f>
        <v>0</v>
      </c>
      <c r="AG236" s="17">
        <f>_xlfn.XLOOKUP($B236,'[3]Apr-26'!$A:$A,'[3]Apr-26'!$H:$H,0)</f>
        <v>0</v>
      </c>
    </row>
    <row r="237" spans="1:33" x14ac:dyDescent="0.2">
      <c r="A237" s="58" t="s">
        <v>1179</v>
      </c>
      <c r="B237" s="56" t="str">
        <f t="shared" si="5"/>
        <v>62415</v>
      </c>
      <c r="C237" s="78" t="s">
        <v>552</v>
      </c>
      <c r="D237" s="57" t="s">
        <v>387</v>
      </c>
      <c r="E237" s="44" t="s">
        <v>623</v>
      </c>
      <c r="F237" s="17">
        <f>_xlfn.XLOOKUP($B237,'[3]Jan-24'!$A:$A,'[3]Jan-24'!$H:$H,0)</f>
        <v>0</v>
      </c>
      <c r="G237" s="17">
        <f>_xlfn.XLOOKUP($B237,'[3]Feb-24'!$A:$A,'[3]Feb-24'!$H:$H,0)</f>
        <v>0</v>
      </c>
      <c r="H237" s="17">
        <f>_xlfn.XLOOKUP($B237,'[3]Mar-24'!$A:$A,'[3]Mar-24'!$H:$H,0)</f>
        <v>0</v>
      </c>
      <c r="I237" s="17">
        <f>_xlfn.XLOOKUP($B237,'[3]Apr-24'!$A:$A,'[3]Apr-24'!$H:$H,0)</f>
        <v>0</v>
      </c>
      <c r="J237" s="17">
        <f>_xlfn.XLOOKUP($B237,'[3]May-24'!$A:$A,'[3]May-24'!$H:$H,0)</f>
        <v>0</v>
      </c>
      <c r="K237" s="17">
        <f>_xlfn.XLOOKUP($B237,'[3]Jun-24'!$A:$A,'[3]Jun-24'!$H:$H,0)</f>
        <v>0</v>
      </c>
      <c r="L237" s="17">
        <f>_xlfn.XLOOKUP($B237,'[3]Jul-24'!$A:$A,'[3]Jul-24'!$H:$H,0)</f>
        <v>0</v>
      </c>
      <c r="M237" s="17">
        <f>_xlfn.XLOOKUP($B237,'[3]Aug-24'!$A:$A,'[3]Aug-24'!$H:$H,0)</f>
        <v>0</v>
      </c>
      <c r="N237" s="17">
        <f>_xlfn.XLOOKUP($B237,'[3]Sep-24'!$A:$A,'[3]Sep-24'!$H:$H,0)</f>
        <v>0</v>
      </c>
      <c r="O237" s="17">
        <f>_xlfn.XLOOKUP($B237,'[3]Oct-24'!$A:$A,'[3]Oct-24'!$H:$H,0)</f>
        <v>0</v>
      </c>
      <c r="P237" s="17">
        <f>_xlfn.XLOOKUP($B237,'[3]Nov-24'!$A:$A,'[3]Nov-24'!$H:$H,0)</f>
        <v>0</v>
      </c>
      <c r="Q237" s="17">
        <f>_xlfn.XLOOKUP($B237,'[3]Dec-24'!$A:$A,'[3]Dec-24'!$H:$H,0)</f>
        <v>0</v>
      </c>
      <c r="R237" s="17">
        <f>_xlfn.XLOOKUP($B237,'[3]Jan-25'!$A:$A,'[3]Jan-25'!$H:$H,0)</f>
        <v>0</v>
      </c>
      <c r="S237" s="17">
        <f>_xlfn.XLOOKUP($B237,'[3]Feb-25'!$A:$A,'[3]Feb-25'!$H:$H,0)</f>
        <v>0</v>
      </c>
      <c r="T237" s="17">
        <f>_xlfn.XLOOKUP($B237,'[3]Mar-25'!$A:$A,'[3]Mar-25'!$H:$H,0)</f>
        <v>0</v>
      </c>
      <c r="U237" s="17">
        <f>_xlfn.XLOOKUP($B237,'[3]Apr-25'!$A:$A,'[3]Apr-25'!$H:$H,0)</f>
        <v>0</v>
      </c>
      <c r="V237" s="17">
        <f>_xlfn.XLOOKUP($B237,'[3]May-25'!$A:$A,'[3]May-25'!$H:$H,0)</f>
        <v>0</v>
      </c>
      <c r="W237" s="17">
        <f>_xlfn.XLOOKUP($B237,'[3]Jun-25'!$A:$A,'[3]Jun-25'!$H:$H,0)</f>
        <v>0</v>
      </c>
      <c r="X237" s="17">
        <f>_xlfn.XLOOKUP($B237,'[3]Jul-25'!$A:$A,'[3]Jul-25'!$H:$H,0)</f>
        <v>0</v>
      </c>
      <c r="Y237" s="17">
        <f>_xlfn.XLOOKUP($B237,'[3]Aug-25'!$A:$A,'[3]Aug-25'!$H:$H,0)</f>
        <v>0</v>
      </c>
      <c r="Z237" s="17">
        <f>_xlfn.XLOOKUP($B237,'[3]Sep-25'!$A:$A,'[3]Sep-25'!$H:$H,0)</f>
        <v>0</v>
      </c>
      <c r="AA237" s="17">
        <f>_xlfn.XLOOKUP($B237,'[3]Oct-25'!$A:$A,'[3]Oct-25'!$H:$H,0)</f>
        <v>0</v>
      </c>
      <c r="AB237" s="17">
        <f>_xlfn.XLOOKUP($B237,'[3]Nov-25'!$A:$A,'[3]Nov-25'!$H:$H,0)</f>
        <v>0</v>
      </c>
      <c r="AC237" s="17">
        <f>_xlfn.XLOOKUP($B237,'[3]Dec-25'!$A:$A,'[3]Dec-25'!$H:$H,0)</f>
        <v>0</v>
      </c>
      <c r="AD237" s="17">
        <f>_xlfn.XLOOKUP($B237,'[3]Jan-26'!$A:$A,'[3]Jan-26'!$H:$H,0)</f>
        <v>0</v>
      </c>
      <c r="AE237" s="17">
        <f>_xlfn.XLOOKUP($B237,'[3]Feb-26'!$A:$A,'[3]Feb-26'!$H:$H,0)</f>
        <v>0</v>
      </c>
      <c r="AF237" s="17">
        <f>_xlfn.XLOOKUP($B237,'[3]Mar-26'!$A:$A,'[3]Mar-26'!$H:$H,0)</f>
        <v>0</v>
      </c>
      <c r="AG237" s="17">
        <f>_xlfn.XLOOKUP($B237,'[3]Apr-26'!$A:$A,'[3]Apr-26'!$H:$H,0)</f>
        <v>0</v>
      </c>
    </row>
    <row r="238" spans="1:33" x14ac:dyDescent="0.2">
      <c r="A238" s="58" t="s">
        <v>1180</v>
      </c>
      <c r="B238" s="56" t="str">
        <f t="shared" si="5"/>
        <v>62420</v>
      </c>
      <c r="C238" s="78" t="s">
        <v>552</v>
      </c>
      <c r="D238" s="57" t="s">
        <v>387</v>
      </c>
      <c r="E238" s="44" t="s">
        <v>624</v>
      </c>
      <c r="F238" s="17">
        <f>_xlfn.XLOOKUP($B238,'[3]Jan-24'!$A:$A,'[3]Jan-24'!$H:$H,0)</f>
        <v>0</v>
      </c>
      <c r="G238" s="17">
        <f>_xlfn.XLOOKUP($B238,'[3]Feb-24'!$A:$A,'[3]Feb-24'!$H:$H,0)</f>
        <v>0</v>
      </c>
      <c r="H238" s="17">
        <f>_xlfn.XLOOKUP($B238,'[3]Mar-24'!$A:$A,'[3]Mar-24'!$H:$H,0)</f>
        <v>0</v>
      </c>
      <c r="I238" s="17">
        <f>_xlfn.XLOOKUP($B238,'[3]Apr-24'!$A:$A,'[3]Apr-24'!$H:$H,0)</f>
        <v>0</v>
      </c>
      <c r="J238" s="17">
        <f>_xlfn.XLOOKUP($B238,'[3]May-24'!$A:$A,'[3]May-24'!$H:$H,0)</f>
        <v>0</v>
      </c>
      <c r="K238" s="17">
        <f>_xlfn.XLOOKUP($B238,'[3]Jun-24'!$A:$A,'[3]Jun-24'!$H:$H,0)</f>
        <v>0</v>
      </c>
      <c r="L238" s="17">
        <f>_xlfn.XLOOKUP($B238,'[3]Jul-24'!$A:$A,'[3]Jul-24'!$H:$H,0)</f>
        <v>0</v>
      </c>
      <c r="M238" s="17">
        <f>_xlfn.XLOOKUP($B238,'[3]Aug-24'!$A:$A,'[3]Aug-24'!$H:$H,0)</f>
        <v>0</v>
      </c>
      <c r="N238" s="17">
        <f>_xlfn.XLOOKUP($B238,'[3]Sep-24'!$A:$A,'[3]Sep-24'!$H:$H,0)</f>
        <v>0</v>
      </c>
      <c r="O238" s="17">
        <f>_xlfn.XLOOKUP($B238,'[3]Oct-24'!$A:$A,'[3]Oct-24'!$H:$H,0)</f>
        <v>0</v>
      </c>
      <c r="P238" s="17">
        <f>_xlfn.XLOOKUP($B238,'[3]Nov-24'!$A:$A,'[3]Nov-24'!$H:$H,0)</f>
        <v>0</v>
      </c>
      <c r="Q238" s="17">
        <f>_xlfn.XLOOKUP($B238,'[3]Dec-24'!$A:$A,'[3]Dec-24'!$H:$H,0)</f>
        <v>0</v>
      </c>
      <c r="R238" s="17">
        <f>_xlfn.XLOOKUP($B238,'[3]Jan-25'!$A:$A,'[3]Jan-25'!$H:$H,0)</f>
        <v>0</v>
      </c>
      <c r="S238" s="17">
        <f>_xlfn.XLOOKUP($B238,'[3]Feb-25'!$A:$A,'[3]Feb-25'!$H:$H,0)</f>
        <v>0</v>
      </c>
      <c r="T238" s="17">
        <f>_xlfn.XLOOKUP($B238,'[3]Mar-25'!$A:$A,'[3]Mar-25'!$H:$H,0)</f>
        <v>0</v>
      </c>
      <c r="U238" s="17">
        <f>_xlfn.XLOOKUP($B238,'[3]Apr-25'!$A:$A,'[3]Apr-25'!$H:$H,0)</f>
        <v>0</v>
      </c>
      <c r="V238" s="17">
        <f>_xlfn.XLOOKUP($B238,'[3]May-25'!$A:$A,'[3]May-25'!$H:$H,0)</f>
        <v>0</v>
      </c>
      <c r="W238" s="17">
        <f>_xlfn.XLOOKUP($B238,'[3]Jun-25'!$A:$A,'[3]Jun-25'!$H:$H,0)</f>
        <v>0</v>
      </c>
      <c r="X238" s="17">
        <f>_xlfn.XLOOKUP($B238,'[3]Jul-25'!$A:$A,'[3]Jul-25'!$H:$H,0)</f>
        <v>0</v>
      </c>
      <c r="Y238" s="17">
        <f>_xlfn.XLOOKUP($B238,'[3]Aug-25'!$A:$A,'[3]Aug-25'!$H:$H,0)</f>
        <v>0</v>
      </c>
      <c r="Z238" s="17">
        <f>_xlfn.XLOOKUP($B238,'[3]Sep-25'!$A:$A,'[3]Sep-25'!$H:$H,0)</f>
        <v>0</v>
      </c>
      <c r="AA238" s="17">
        <f>_xlfn.XLOOKUP($B238,'[3]Oct-25'!$A:$A,'[3]Oct-25'!$H:$H,0)</f>
        <v>0</v>
      </c>
      <c r="AB238" s="17">
        <f>_xlfn.XLOOKUP($B238,'[3]Nov-25'!$A:$A,'[3]Nov-25'!$H:$H,0)</f>
        <v>0</v>
      </c>
      <c r="AC238" s="17">
        <f>_xlfn.XLOOKUP($B238,'[3]Dec-25'!$A:$A,'[3]Dec-25'!$H:$H,0)</f>
        <v>0</v>
      </c>
      <c r="AD238" s="17">
        <f>_xlfn.XLOOKUP($B238,'[3]Jan-26'!$A:$A,'[3]Jan-26'!$H:$H,0)</f>
        <v>0</v>
      </c>
      <c r="AE238" s="17">
        <f>_xlfn.XLOOKUP($B238,'[3]Feb-26'!$A:$A,'[3]Feb-26'!$H:$H,0)</f>
        <v>0</v>
      </c>
      <c r="AF238" s="17">
        <f>_xlfn.XLOOKUP($B238,'[3]Mar-26'!$A:$A,'[3]Mar-26'!$H:$H,0)</f>
        <v>0</v>
      </c>
      <c r="AG238" s="17">
        <f>_xlfn.XLOOKUP($B238,'[3]Apr-26'!$A:$A,'[3]Apr-26'!$H:$H,0)</f>
        <v>0</v>
      </c>
    </row>
    <row r="239" spans="1:33" x14ac:dyDescent="0.2">
      <c r="A239" s="58" t="s">
        <v>1181</v>
      </c>
      <c r="B239" s="56" t="str">
        <f t="shared" si="5"/>
        <v>62425</v>
      </c>
      <c r="C239" s="78" t="s">
        <v>552</v>
      </c>
      <c r="D239" s="57" t="s">
        <v>387</v>
      </c>
      <c r="E239" s="44" t="s">
        <v>625</v>
      </c>
      <c r="F239" s="17">
        <f>_xlfn.XLOOKUP($B239,'[3]Jan-24'!$A:$A,'[3]Jan-24'!$H:$H,0)</f>
        <v>0</v>
      </c>
      <c r="G239" s="17">
        <f>_xlfn.XLOOKUP($B239,'[3]Feb-24'!$A:$A,'[3]Feb-24'!$H:$H,0)</f>
        <v>0</v>
      </c>
      <c r="H239" s="17">
        <f>_xlfn.XLOOKUP($B239,'[3]Mar-24'!$A:$A,'[3]Mar-24'!$H:$H,0)</f>
        <v>0</v>
      </c>
      <c r="I239" s="17">
        <f>_xlfn.XLOOKUP($B239,'[3]Apr-24'!$A:$A,'[3]Apr-24'!$H:$H,0)</f>
        <v>0</v>
      </c>
      <c r="J239" s="17">
        <f>_xlfn.XLOOKUP($B239,'[3]May-24'!$A:$A,'[3]May-24'!$H:$H,0)</f>
        <v>0</v>
      </c>
      <c r="K239" s="17">
        <f>_xlfn.XLOOKUP($B239,'[3]Jun-24'!$A:$A,'[3]Jun-24'!$H:$H,0)</f>
        <v>0</v>
      </c>
      <c r="L239" s="17">
        <f>_xlfn.XLOOKUP($B239,'[3]Jul-24'!$A:$A,'[3]Jul-24'!$H:$H,0)</f>
        <v>0</v>
      </c>
      <c r="M239" s="17">
        <f>_xlfn.XLOOKUP($B239,'[3]Aug-24'!$A:$A,'[3]Aug-24'!$H:$H,0)</f>
        <v>0</v>
      </c>
      <c r="N239" s="17">
        <f>_xlfn.XLOOKUP($B239,'[3]Sep-24'!$A:$A,'[3]Sep-24'!$H:$H,0)</f>
        <v>0</v>
      </c>
      <c r="O239" s="17">
        <f>_xlfn.XLOOKUP($B239,'[3]Oct-24'!$A:$A,'[3]Oct-24'!$H:$H,0)</f>
        <v>0</v>
      </c>
      <c r="P239" s="17">
        <f>_xlfn.XLOOKUP($B239,'[3]Nov-24'!$A:$A,'[3]Nov-24'!$H:$H,0)</f>
        <v>0</v>
      </c>
      <c r="Q239" s="17">
        <f>_xlfn.XLOOKUP($B239,'[3]Dec-24'!$A:$A,'[3]Dec-24'!$H:$H,0)</f>
        <v>0</v>
      </c>
      <c r="R239" s="17">
        <f>_xlfn.XLOOKUP($B239,'[3]Jan-25'!$A:$A,'[3]Jan-25'!$H:$H,0)</f>
        <v>0</v>
      </c>
      <c r="S239" s="17">
        <f>_xlfn.XLOOKUP($B239,'[3]Feb-25'!$A:$A,'[3]Feb-25'!$H:$H,0)</f>
        <v>0</v>
      </c>
      <c r="T239" s="17">
        <f>_xlfn.XLOOKUP($B239,'[3]Mar-25'!$A:$A,'[3]Mar-25'!$H:$H,0)</f>
        <v>0</v>
      </c>
      <c r="U239" s="17">
        <f>_xlfn.XLOOKUP($B239,'[3]Apr-25'!$A:$A,'[3]Apr-25'!$H:$H,0)</f>
        <v>0</v>
      </c>
      <c r="V239" s="17">
        <f>_xlfn.XLOOKUP($B239,'[3]May-25'!$A:$A,'[3]May-25'!$H:$H,0)</f>
        <v>0</v>
      </c>
      <c r="W239" s="17">
        <f>_xlfn.XLOOKUP($B239,'[3]Jun-25'!$A:$A,'[3]Jun-25'!$H:$H,0)</f>
        <v>0</v>
      </c>
      <c r="X239" s="17">
        <f>_xlfn.XLOOKUP($B239,'[3]Jul-25'!$A:$A,'[3]Jul-25'!$H:$H,0)</f>
        <v>0</v>
      </c>
      <c r="Y239" s="17">
        <f>_xlfn.XLOOKUP($B239,'[3]Aug-25'!$A:$A,'[3]Aug-25'!$H:$H,0)</f>
        <v>0</v>
      </c>
      <c r="Z239" s="17">
        <f>_xlfn.XLOOKUP($B239,'[3]Sep-25'!$A:$A,'[3]Sep-25'!$H:$H,0)</f>
        <v>0</v>
      </c>
      <c r="AA239" s="17">
        <f>_xlfn.XLOOKUP($B239,'[3]Oct-25'!$A:$A,'[3]Oct-25'!$H:$H,0)</f>
        <v>0</v>
      </c>
      <c r="AB239" s="17">
        <f>_xlfn.XLOOKUP($B239,'[3]Nov-25'!$A:$A,'[3]Nov-25'!$H:$H,0)</f>
        <v>0</v>
      </c>
      <c r="AC239" s="17">
        <f>_xlfn.XLOOKUP($B239,'[3]Dec-25'!$A:$A,'[3]Dec-25'!$H:$H,0)</f>
        <v>0</v>
      </c>
      <c r="AD239" s="17">
        <f>_xlfn.XLOOKUP($B239,'[3]Jan-26'!$A:$A,'[3]Jan-26'!$H:$H,0)</f>
        <v>0</v>
      </c>
      <c r="AE239" s="17">
        <f>_xlfn.XLOOKUP($B239,'[3]Feb-26'!$A:$A,'[3]Feb-26'!$H:$H,0)</f>
        <v>0</v>
      </c>
      <c r="AF239" s="17">
        <f>_xlfn.XLOOKUP($B239,'[3]Mar-26'!$A:$A,'[3]Mar-26'!$H:$H,0)</f>
        <v>0</v>
      </c>
      <c r="AG239" s="17">
        <f>_xlfn.XLOOKUP($B239,'[3]Apr-26'!$A:$A,'[3]Apr-26'!$H:$H,0)</f>
        <v>0</v>
      </c>
    </row>
    <row r="240" spans="1:33" x14ac:dyDescent="0.2">
      <c r="A240" s="58" t="s">
        <v>1182</v>
      </c>
      <c r="B240" s="56" t="str">
        <f t="shared" si="5"/>
        <v>62435</v>
      </c>
      <c r="C240" s="78" t="s">
        <v>552</v>
      </c>
      <c r="D240" s="57" t="s">
        <v>387</v>
      </c>
      <c r="E240" s="44" t="s">
        <v>627</v>
      </c>
      <c r="F240" s="17">
        <f>_xlfn.XLOOKUP($B240,'[3]Jan-24'!$A:$A,'[3]Jan-24'!$H:$H,0)</f>
        <v>0</v>
      </c>
      <c r="G240" s="17">
        <f>_xlfn.XLOOKUP($B240,'[3]Feb-24'!$A:$A,'[3]Feb-24'!$H:$H,0)</f>
        <v>0</v>
      </c>
      <c r="H240" s="17">
        <f>_xlfn.XLOOKUP($B240,'[3]Mar-24'!$A:$A,'[3]Mar-24'!$H:$H,0)</f>
        <v>0</v>
      </c>
      <c r="I240" s="17">
        <f>_xlfn.XLOOKUP($B240,'[3]Apr-24'!$A:$A,'[3]Apr-24'!$H:$H,0)</f>
        <v>0</v>
      </c>
      <c r="J240" s="17">
        <f>_xlfn.XLOOKUP($B240,'[3]May-24'!$A:$A,'[3]May-24'!$H:$H,0)</f>
        <v>0</v>
      </c>
      <c r="K240" s="17">
        <f>_xlfn.XLOOKUP($B240,'[3]Jun-24'!$A:$A,'[3]Jun-24'!$H:$H,0)</f>
        <v>0</v>
      </c>
      <c r="L240" s="17">
        <f>_xlfn.XLOOKUP($B240,'[3]Jul-24'!$A:$A,'[3]Jul-24'!$H:$H,0)</f>
        <v>0</v>
      </c>
      <c r="M240" s="17">
        <f>_xlfn.XLOOKUP($B240,'[3]Aug-24'!$A:$A,'[3]Aug-24'!$H:$H,0)</f>
        <v>0</v>
      </c>
      <c r="N240" s="17">
        <f>_xlfn.XLOOKUP($B240,'[3]Sep-24'!$A:$A,'[3]Sep-24'!$H:$H,0)</f>
        <v>0</v>
      </c>
      <c r="O240" s="17">
        <f>_xlfn.XLOOKUP($B240,'[3]Oct-24'!$A:$A,'[3]Oct-24'!$H:$H,0)</f>
        <v>0</v>
      </c>
      <c r="P240" s="17">
        <f>_xlfn.XLOOKUP($B240,'[3]Nov-24'!$A:$A,'[3]Nov-24'!$H:$H,0)</f>
        <v>0</v>
      </c>
      <c r="Q240" s="17">
        <f>_xlfn.XLOOKUP($B240,'[3]Dec-24'!$A:$A,'[3]Dec-24'!$H:$H,0)</f>
        <v>0</v>
      </c>
      <c r="R240" s="17">
        <f>_xlfn.XLOOKUP($B240,'[3]Jan-25'!$A:$A,'[3]Jan-25'!$H:$H,0)</f>
        <v>0</v>
      </c>
      <c r="S240" s="17">
        <f>_xlfn.XLOOKUP($B240,'[3]Feb-25'!$A:$A,'[3]Feb-25'!$H:$H,0)</f>
        <v>0</v>
      </c>
      <c r="T240" s="17">
        <f>_xlfn.XLOOKUP($B240,'[3]Mar-25'!$A:$A,'[3]Mar-25'!$H:$H,0)</f>
        <v>0</v>
      </c>
      <c r="U240" s="17">
        <f>_xlfn.XLOOKUP($B240,'[3]Apr-25'!$A:$A,'[3]Apr-25'!$H:$H,0)</f>
        <v>0</v>
      </c>
      <c r="V240" s="17">
        <f>_xlfn.XLOOKUP($B240,'[3]May-25'!$A:$A,'[3]May-25'!$H:$H,0)</f>
        <v>0</v>
      </c>
      <c r="W240" s="17">
        <f>_xlfn.XLOOKUP($B240,'[3]Jun-25'!$A:$A,'[3]Jun-25'!$H:$H,0)</f>
        <v>0</v>
      </c>
      <c r="X240" s="17">
        <f>_xlfn.XLOOKUP($B240,'[3]Jul-25'!$A:$A,'[3]Jul-25'!$H:$H,0)</f>
        <v>0</v>
      </c>
      <c r="Y240" s="17">
        <f>_xlfn.XLOOKUP($B240,'[3]Aug-25'!$A:$A,'[3]Aug-25'!$H:$H,0)</f>
        <v>0</v>
      </c>
      <c r="Z240" s="17">
        <f>_xlfn.XLOOKUP($B240,'[3]Sep-25'!$A:$A,'[3]Sep-25'!$H:$H,0)</f>
        <v>0</v>
      </c>
      <c r="AA240" s="17">
        <f>_xlfn.XLOOKUP($B240,'[3]Oct-25'!$A:$A,'[3]Oct-25'!$H:$H,0)</f>
        <v>0</v>
      </c>
      <c r="AB240" s="17">
        <f>_xlfn.XLOOKUP($B240,'[3]Nov-25'!$A:$A,'[3]Nov-25'!$H:$H,0)</f>
        <v>0</v>
      </c>
      <c r="AC240" s="17">
        <f>_xlfn.XLOOKUP($B240,'[3]Dec-25'!$A:$A,'[3]Dec-25'!$H:$H,0)</f>
        <v>0</v>
      </c>
      <c r="AD240" s="17">
        <f>_xlfn.XLOOKUP($B240,'[3]Jan-26'!$A:$A,'[3]Jan-26'!$H:$H,0)</f>
        <v>0</v>
      </c>
      <c r="AE240" s="17">
        <f>_xlfn.XLOOKUP($B240,'[3]Feb-26'!$A:$A,'[3]Feb-26'!$H:$H,0)</f>
        <v>0</v>
      </c>
      <c r="AF240" s="17">
        <f>_xlfn.XLOOKUP($B240,'[3]Mar-26'!$A:$A,'[3]Mar-26'!$H:$H,0)</f>
        <v>0</v>
      </c>
      <c r="AG240" s="17">
        <f>_xlfn.XLOOKUP($B240,'[3]Apr-26'!$A:$A,'[3]Apr-26'!$H:$H,0)</f>
        <v>0</v>
      </c>
    </row>
    <row r="241" spans="1:33" x14ac:dyDescent="0.2">
      <c r="A241" s="58" t="s">
        <v>1183</v>
      </c>
      <c r="B241" s="56" t="str">
        <f t="shared" si="5"/>
        <v>62700</v>
      </c>
      <c r="C241" s="78" t="s">
        <v>552</v>
      </c>
      <c r="D241" s="57" t="s">
        <v>387</v>
      </c>
      <c r="E241" s="44" t="s">
        <v>630</v>
      </c>
      <c r="F241" s="17">
        <f>_xlfn.XLOOKUP($B241,'[3]Jan-24'!$A:$A,'[3]Jan-24'!$H:$H,0)</f>
        <v>0</v>
      </c>
      <c r="G241" s="17">
        <f>_xlfn.XLOOKUP($B241,'[3]Feb-24'!$A:$A,'[3]Feb-24'!$H:$H,0)</f>
        <v>0</v>
      </c>
      <c r="H241" s="17">
        <f>_xlfn.XLOOKUP($B241,'[3]Mar-24'!$A:$A,'[3]Mar-24'!$H:$H,0)</f>
        <v>0</v>
      </c>
      <c r="I241" s="17">
        <f>_xlfn.XLOOKUP($B241,'[3]Apr-24'!$A:$A,'[3]Apr-24'!$H:$H,0)</f>
        <v>0</v>
      </c>
      <c r="J241" s="17">
        <f>_xlfn.XLOOKUP($B241,'[3]May-24'!$A:$A,'[3]May-24'!$H:$H,0)</f>
        <v>0</v>
      </c>
      <c r="K241" s="17">
        <f>_xlfn.XLOOKUP($B241,'[3]Jun-24'!$A:$A,'[3]Jun-24'!$H:$H,0)</f>
        <v>0</v>
      </c>
      <c r="L241" s="17">
        <f>_xlfn.XLOOKUP($B241,'[3]Jul-24'!$A:$A,'[3]Jul-24'!$H:$H,0)</f>
        <v>0</v>
      </c>
      <c r="M241" s="17">
        <f>_xlfn.XLOOKUP($B241,'[3]Aug-24'!$A:$A,'[3]Aug-24'!$H:$H,0)</f>
        <v>0</v>
      </c>
      <c r="N241" s="17">
        <f>_xlfn.XLOOKUP($B241,'[3]Sep-24'!$A:$A,'[3]Sep-24'!$H:$H,0)</f>
        <v>0</v>
      </c>
      <c r="O241" s="17">
        <f>_xlfn.XLOOKUP($B241,'[3]Oct-24'!$A:$A,'[3]Oct-24'!$H:$H,0)</f>
        <v>0</v>
      </c>
      <c r="P241" s="17">
        <f>_xlfn.XLOOKUP($B241,'[3]Nov-24'!$A:$A,'[3]Nov-24'!$H:$H,0)</f>
        <v>0</v>
      </c>
      <c r="Q241" s="17">
        <f>_xlfn.XLOOKUP($B241,'[3]Dec-24'!$A:$A,'[3]Dec-24'!$H:$H,0)</f>
        <v>0</v>
      </c>
      <c r="R241" s="17">
        <f>_xlfn.XLOOKUP($B241,'[3]Jan-25'!$A:$A,'[3]Jan-25'!$H:$H,0)</f>
        <v>0</v>
      </c>
      <c r="S241" s="17">
        <f>_xlfn.XLOOKUP($B241,'[3]Feb-25'!$A:$A,'[3]Feb-25'!$H:$H,0)</f>
        <v>0</v>
      </c>
      <c r="T241" s="17">
        <f>_xlfn.XLOOKUP($B241,'[3]Mar-25'!$A:$A,'[3]Mar-25'!$H:$H,0)</f>
        <v>0</v>
      </c>
      <c r="U241" s="17">
        <f>_xlfn.XLOOKUP($B241,'[3]Apr-25'!$A:$A,'[3]Apr-25'!$H:$H,0)</f>
        <v>0</v>
      </c>
      <c r="V241" s="17">
        <f>_xlfn.XLOOKUP($B241,'[3]May-25'!$A:$A,'[3]May-25'!$H:$H,0)</f>
        <v>0</v>
      </c>
      <c r="W241" s="17">
        <f>_xlfn.XLOOKUP($B241,'[3]Jun-25'!$A:$A,'[3]Jun-25'!$H:$H,0)</f>
        <v>0</v>
      </c>
      <c r="X241" s="17">
        <f>_xlfn.XLOOKUP($B241,'[3]Jul-25'!$A:$A,'[3]Jul-25'!$H:$H,0)</f>
        <v>0</v>
      </c>
      <c r="Y241" s="17">
        <f>_xlfn.XLOOKUP($B241,'[3]Aug-25'!$A:$A,'[3]Aug-25'!$H:$H,0)</f>
        <v>0</v>
      </c>
      <c r="Z241" s="17">
        <f>_xlfn.XLOOKUP($B241,'[3]Sep-25'!$A:$A,'[3]Sep-25'!$H:$H,0)</f>
        <v>0</v>
      </c>
      <c r="AA241" s="17">
        <f>_xlfn.XLOOKUP($B241,'[3]Oct-25'!$A:$A,'[3]Oct-25'!$H:$H,0)</f>
        <v>0</v>
      </c>
      <c r="AB241" s="17">
        <f>_xlfn.XLOOKUP($B241,'[3]Nov-25'!$A:$A,'[3]Nov-25'!$H:$H,0)</f>
        <v>0</v>
      </c>
      <c r="AC241" s="17">
        <f>_xlfn.XLOOKUP($B241,'[3]Dec-25'!$A:$A,'[3]Dec-25'!$H:$H,0)</f>
        <v>0</v>
      </c>
      <c r="AD241" s="17">
        <f>_xlfn.XLOOKUP($B241,'[3]Jan-26'!$A:$A,'[3]Jan-26'!$H:$H,0)</f>
        <v>0</v>
      </c>
      <c r="AE241" s="17">
        <f>_xlfn.XLOOKUP($B241,'[3]Feb-26'!$A:$A,'[3]Feb-26'!$H:$H,0)</f>
        <v>1732.5</v>
      </c>
      <c r="AF241" s="17">
        <f>_xlfn.XLOOKUP($B241,'[3]Mar-26'!$A:$A,'[3]Mar-26'!$H:$H,0)</f>
        <v>0</v>
      </c>
      <c r="AG241" s="17">
        <f>_xlfn.XLOOKUP($B241,'[3]Apr-26'!$A:$A,'[3]Apr-26'!$H:$H,0)</f>
        <v>1650</v>
      </c>
    </row>
    <row r="242" spans="1:33" x14ac:dyDescent="0.2">
      <c r="A242" s="58" t="s">
        <v>1184</v>
      </c>
      <c r="B242" s="56" t="str">
        <f t="shared" si="5"/>
        <v>62950</v>
      </c>
      <c r="C242" s="78" t="s">
        <v>552</v>
      </c>
      <c r="D242" s="57" t="s">
        <v>387</v>
      </c>
      <c r="E242" s="44" t="s">
        <v>636</v>
      </c>
      <c r="F242" s="17">
        <f>_xlfn.XLOOKUP($B242,'[3]Jan-24'!$A:$A,'[3]Jan-24'!$H:$H,0)</f>
        <v>0</v>
      </c>
      <c r="G242" s="17">
        <f>_xlfn.XLOOKUP($B242,'[3]Feb-24'!$A:$A,'[3]Feb-24'!$H:$H,0)</f>
        <v>0</v>
      </c>
      <c r="H242" s="17">
        <f>_xlfn.XLOOKUP($B242,'[3]Mar-24'!$A:$A,'[3]Mar-24'!$H:$H,0)</f>
        <v>0</v>
      </c>
      <c r="I242" s="17">
        <f>_xlfn.XLOOKUP($B242,'[3]Apr-24'!$A:$A,'[3]Apr-24'!$H:$H,0)</f>
        <v>0</v>
      </c>
      <c r="J242" s="17">
        <f>_xlfn.XLOOKUP($B242,'[3]May-24'!$A:$A,'[3]May-24'!$H:$H,0)</f>
        <v>0</v>
      </c>
      <c r="K242" s="17">
        <f>_xlfn.XLOOKUP($B242,'[3]Jun-24'!$A:$A,'[3]Jun-24'!$H:$H,0)</f>
        <v>0</v>
      </c>
      <c r="L242" s="17">
        <f>_xlfn.XLOOKUP($B242,'[3]Jul-24'!$A:$A,'[3]Jul-24'!$H:$H,0)</f>
        <v>0</v>
      </c>
      <c r="M242" s="17">
        <f>_xlfn.XLOOKUP($B242,'[3]Aug-24'!$A:$A,'[3]Aug-24'!$H:$H,0)</f>
        <v>0</v>
      </c>
      <c r="N242" s="17">
        <f>_xlfn.XLOOKUP($B242,'[3]Sep-24'!$A:$A,'[3]Sep-24'!$H:$H,0)</f>
        <v>0</v>
      </c>
      <c r="O242" s="17">
        <f>_xlfn.XLOOKUP($B242,'[3]Oct-24'!$A:$A,'[3]Oct-24'!$H:$H,0)</f>
        <v>0</v>
      </c>
      <c r="P242" s="17">
        <f>_xlfn.XLOOKUP($B242,'[3]Nov-24'!$A:$A,'[3]Nov-24'!$H:$H,0)</f>
        <v>0</v>
      </c>
      <c r="Q242" s="17">
        <f>_xlfn.XLOOKUP($B242,'[3]Dec-24'!$A:$A,'[3]Dec-24'!$H:$H,0)</f>
        <v>0</v>
      </c>
      <c r="R242" s="17">
        <f>_xlfn.XLOOKUP($B242,'[3]Jan-25'!$A:$A,'[3]Jan-25'!$H:$H,0)</f>
        <v>0</v>
      </c>
      <c r="S242" s="17">
        <f>_xlfn.XLOOKUP($B242,'[3]Feb-25'!$A:$A,'[3]Feb-25'!$H:$H,0)</f>
        <v>0</v>
      </c>
      <c r="T242" s="17">
        <f>_xlfn.XLOOKUP($B242,'[3]Mar-25'!$A:$A,'[3]Mar-25'!$H:$H,0)</f>
        <v>0</v>
      </c>
      <c r="U242" s="17">
        <f>_xlfn.XLOOKUP($B242,'[3]Apr-25'!$A:$A,'[3]Apr-25'!$H:$H,0)</f>
        <v>0</v>
      </c>
      <c r="V242" s="17">
        <f>_xlfn.XLOOKUP($B242,'[3]May-25'!$A:$A,'[3]May-25'!$H:$H,0)</f>
        <v>0</v>
      </c>
      <c r="W242" s="17">
        <f>_xlfn.XLOOKUP($B242,'[3]Jun-25'!$A:$A,'[3]Jun-25'!$H:$H,0)</f>
        <v>0</v>
      </c>
      <c r="X242" s="17">
        <f>_xlfn.XLOOKUP($B242,'[3]Jul-25'!$A:$A,'[3]Jul-25'!$H:$H,0)</f>
        <v>0</v>
      </c>
      <c r="Y242" s="17">
        <f>_xlfn.XLOOKUP($B242,'[3]Aug-25'!$A:$A,'[3]Aug-25'!$H:$H,0)</f>
        <v>0</v>
      </c>
      <c r="Z242" s="17">
        <f>_xlfn.XLOOKUP($B242,'[3]Sep-25'!$A:$A,'[3]Sep-25'!$H:$H,0)</f>
        <v>0</v>
      </c>
      <c r="AA242" s="17">
        <f>_xlfn.XLOOKUP($B242,'[3]Oct-25'!$A:$A,'[3]Oct-25'!$H:$H,0)</f>
        <v>0</v>
      </c>
      <c r="AB242" s="17">
        <f>_xlfn.XLOOKUP($B242,'[3]Nov-25'!$A:$A,'[3]Nov-25'!$H:$H,0)</f>
        <v>0</v>
      </c>
      <c r="AC242" s="17">
        <f>_xlfn.XLOOKUP($B242,'[3]Dec-25'!$A:$A,'[3]Dec-25'!$H:$H,0)</f>
        <v>0</v>
      </c>
      <c r="AD242" s="17">
        <f>_xlfn.XLOOKUP($B242,'[3]Jan-26'!$A:$A,'[3]Jan-26'!$H:$H,0)</f>
        <v>0</v>
      </c>
      <c r="AE242" s="17">
        <f>_xlfn.XLOOKUP($B242,'[3]Feb-26'!$A:$A,'[3]Feb-26'!$H:$H,0)</f>
        <v>0</v>
      </c>
      <c r="AF242" s="17">
        <f>_xlfn.XLOOKUP($B242,'[3]Mar-26'!$A:$A,'[3]Mar-26'!$H:$H,0)</f>
        <v>0</v>
      </c>
      <c r="AG242" s="17">
        <f>_xlfn.XLOOKUP($B242,'[3]Apr-26'!$A:$A,'[3]Apr-26'!$H:$H,0)</f>
        <v>0</v>
      </c>
    </row>
    <row r="243" spans="1:33" x14ac:dyDescent="0.2">
      <c r="A243" s="58" t="s">
        <v>1185</v>
      </c>
      <c r="B243" s="56" t="str">
        <f t="shared" si="5"/>
        <v>63000</v>
      </c>
      <c r="C243" s="78" t="s">
        <v>552</v>
      </c>
      <c r="D243" s="57" t="s">
        <v>387</v>
      </c>
      <c r="E243" s="44" t="s">
        <v>637</v>
      </c>
      <c r="F243" s="17">
        <f>_xlfn.XLOOKUP($B243,'[3]Jan-24'!$A:$A,'[3]Jan-24'!$H:$H,0)</f>
        <v>0</v>
      </c>
      <c r="G243" s="17">
        <f>_xlfn.XLOOKUP($B243,'[3]Feb-24'!$A:$A,'[3]Feb-24'!$H:$H,0)</f>
        <v>0</v>
      </c>
      <c r="H243" s="17">
        <f>_xlfn.XLOOKUP($B243,'[3]Mar-24'!$A:$A,'[3]Mar-24'!$H:$H,0)</f>
        <v>0</v>
      </c>
      <c r="I243" s="17">
        <f>_xlfn.XLOOKUP($B243,'[3]Apr-24'!$A:$A,'[3]Apr-24'!$H:$H,0)</f>
        <v>0</v>
      </c>
      <c r="J243" s="17">
        <f>_xlfn.XLOOKUP($B243,'[3]May-24'!$A:$A,'[3]May-24'!$H:$H,0)</f>
        <v>0</v>
      </c>
      <c r="K243" s="17">
        <f>_xlfn.XLOOKUP($B243,'[3]Jun-24'!$A:$A,'[3]Jun-24'!$H:$H,0)</f>
        <v>0</v>
      </c>
      <c r="L243" s="17">
        <f>_xlfn.XLOOKUP($B243,'[3]Jul-24'!$A:$A,'[3]Jul-24'!$H:$H,0)</f>
        <v>0</v>
      </c>
      <c r="M243" s="17">
        <f>_xlfn.XLOOKUP($B243,'[3]Aug-24'!$A:$A,'[3]Aug-24'!$H:$H,0)</f>
        <v>0</v>
      </c>
      <c r="N243" s="17">
        <f>_xlfn.XLOOKUP($B243,'[3]Sep-24'!$A:$A,'[3]Sep-24'!$H:$H,0)</f>
        <v>0</v>
      </c>
      <c r="O243" s="17">
        <f>_xlfn.XLOOKUP($B243,'[3]Oct-24'!$A:$A,'[3]Oct-24'!$H:$H,0)</f>
        <v>0</v>
      </c>
      <c r="P243" s="17">
        <f>_xlfn.XLOOKUP($B243,'[3]Nov-24'!$A:$A,'[3]Nov-24'!$H:$H,0)</f>
        <v>0</v>
      </c>
      <c r="Q243" s="17">
        <f>_xlfn.XLOOKUP($B243,'[3]Dec-24'!$A:$A,'[3]Dec-24'!$H:$H,0)</f>
        <v>0</v>
      </c>
      <c r="R243" s="17">
        <f>_xlfn.XLOOKUP($B243,'[3]Jan-25'!$A:$A,'[3]Jan-25'!$H:$H,0)</f>
        <v>0</v>
      </c>
      <c r="S243" s="17">
        <f>_xlfn.XLOOKUP($B243,'[3]Feb-25'!$A:$A,'[3]Feb-25'!$H:$H,0)</f>
        <v>0</v>
      </c>
      <c r="T243" s="17">
        <f>_xlfn.XLOOKUP($B243,'[3]Mar-25'!$A:$A,'[3]Mar-25'!$H:$H,0)</f>
        <v>0</v>
      </c>
      <c r="U243" s="17">
        <f>_xlfn.XLOOKUP($B243,'[3]Apr-25'!$A:$A,'[3]Apr-25'!$H:$H,0)</f>
        <v>0</v>
      </c>
      <c r="V243" s="17">
        <f>_xlfn.XLOOKUP($B243,'[3]May-25'!$A:$A,'[3]May-25'!$H:$H,0)</f>
        <v>0</v>
      </c>
      <c r="W243" s="17">
        <f>_xlfn.XLOOKUP($B243,'[3]Jun-25'!$A:$A,'[3]Jun-25'!$H:$H,0)</f>
        <v>0</v>
      </c>
      <c r="X243" s="17">
        <f>_xlfn.XLOOKUP($B243,'[3]Jul-25'!$A:$A,'[3]Jul-25'!$H:$H,0)</f>
        <v>0</v>
      </c>
      <c r="Y243" s="17">
        <f>_xlfn.XLOOKUP($B243,'[3]Aug-25'!$A:$A,'[3]Aug-25'!$H:$H,0)</f>
        <v>0</v>
      </c>
      <c r="Z243" s="17">
        <f>_xlfn.XLOOKUP($B243,'[3]Sep-25'!$A:$A,'[3]Sep-25'!$H:$H,0)</f>
        <v>0</v>
      </c>
      <c r="AA243" s="17">
        <f>_xlfn.XLOOKUP($B243,'[3]Oct-25'!$A:$A,'[3]Oct-25'!$H:$H,0)</f>
        <v>0</v>
      </c>
      <c r="AB243" s="17">
        <f>_xlfn.XLOOKUP($B243,'[3]Nov-25'!$A:$A,'[3]Nov-25'!$H:$H,0)</f>
        <v>0</v>
      </c>
      <c r="AC243" s="17">
        <f>_xlfn.XLOOKUP($B243,'[3]Dec-25'!$A:$A,'[3]Dec-25'!$H:$H,0)</f>
        <v>0</v>
      </c>
      <c r="AD243" s="17">
        <f>_xlfn.XLOOKUP($B243,'[3]Jan-26'!$A:$A,'[3]Jan-26'!$H:$H,0)</f>
        <v>0</v>
      </c>
      <c r="AE243" s="17">
        <f>_xlfn.XLOOKUP($B243,'[3]Feb-26'!$A:$A,'[3]Feb-26'!$H:$H,0)</f>
        <v>0</v>
      </c>
      <c r="AF243" s="17">
        <f>_xlfn.XLOOKUP($B243,'[3]Mar-26'!$A:$A,'[3]Mar-26'!$H:$H,0)</f>
        <v>0</v>
      </c>
      <c r="AG243" s="17">
        <f>_xlfn.XLOOKUP($B243,'[3]Apr-26'!$A:$A,'[3]Apr-26'!$H:$H,0)</f>
        <v>0</v>
      </c>
    </row>
    <row r="244" spans="1:33" x14ac:dyDescent="0.2">
      <c r="A244" s="58" t="s">
        <v>905</v>
      </c>
      <c r="B244" s="56" t="str">
        <f t="shared" si="5"/>
        <v>63100</v>
      </c>
      <c r="C244" s="78" t="s">
        <v>552</v>
      </c>
      <c r="D244" s="57" t="s">
        <v>387</v>
      </c>
      <c r="E244" s="44" t="s">
        <v>638</v>
      </c>
      <c r="F244" s="17">
        <f>_xlfn.XLOOKUP($B244,'[3]Jan-24'!$A:$A,'[3]Jan-24'!$H:$H,0)</f>
        <v>0</v>
      </c>
      <c r="G244" s="17">
        <f>_xlfn.XLOOKUP($B244,'[3]Feb-24'!$A:$A,'[3]Feb-24'!$H:$H,0)</f>
        <v>400</v>
      </c>
      <c r="H244" s="17">
        <f>_xlfn.XLOOKUP($B244,'[3]Mar-24'!$A:$A,'[3]Mar-24'!$H:$H,0)</f>
        <v>0</v>
      </c>
      <c r="I244" s="17">
        <f>_xlfn.XLOOKUP($B244,'[3]Apr-24'!$A:$A,'[3]Apr-24'!$H:$H,0)</f>
        <v>400</v>
      </c>
      <c r="J244" s="17">
        <f>_xlfn.XLOOKUP($B244,'[3]May-24'!$A:$A,'[3]May-24'!$H:$H,0)</f>
        <v>200</v>
      </c>
      <c r="K244" s="17">
        <f>_xlfn.XLOOKUP($B244,'[3]Jun-24'!$A:$A,'[3]Jun-24'!$H:$H,0)</f>
        <v>0</v>
      </c>
      <c r="L244" s="17">
        <f>_xlfn.XLOOKUP($B244,'[3]Jul-24'!$A:$A,'[3]Jul-24'!$H:$H,0)</f>
        <v>400</v>
      </c>
      <c r="M244" s="17">
        <f>_xlfn.XLOOKUP($B244,'[3]Aug-24'!$A:$A,'[3]Aug-24'!$H:$H,0)</f>
        <v>200</v>
      </c>
      <c r="N244" s="17">
        <f>_xlfn.XLOOKUP($B244,'[3]Sep-24'!$A:$A,'[3]Sep-24'!$H:$H,0)</f>
        <v>200</v>
      </c>
      <c r="O244" s="17">
        <f>_xlfn.XLOOKUP($B244,'[3]Oct-24'!$A:$A,'[3]Oct-24'!$H:$H,0)</f>
        <v>200</v>
      </c>
      <c r="P244" s="17">
        <f>_xlfn.XLOOKUP($B244,'[3]Nov-24'!$A:$A,'[3]Nov-24'!$H:$H,0)</f>
        <v>200</v>
      </c>
      <c r="Q244" s="17">
        <f>_xlfn.XLOOKUP($B244,'[3]Dec-24'!$A:$A,'[3]Dec-24'!$H:$H,0)</f>
        <v>200</v>
      </c>
      <c r="R244" s="17">
        <f>_xlfn.XLOOKUP($B244,'[3]Jan-25'!$A:$A,'[3]Jan-25'!$H:$H,0)</f>
        <v>0</v>
      </c>
      <c r="S244" s="17">
        <f>_xlfn.XLOOKUP($B244,'[3]Feb-25'!$A:$A,'[3]Feb-25'!$H:$H,0)</f>
        <v>0</v>
      </c>
      <c r="T244" s="17">
        <f>_xlfn.XLOOKUP($B244,'[3]Mar-25'!$A:$A,'[3]Mar-25'!$H:$H,0)</f>
        <v>0</v>
      </c>
      <c r="U244" s="17">
        <f>_xlfn.XLOOKUP($B244,'[3]Apr-25'!$A:$A,'[3]Apr-25'!$H:$H,0)</f>
        <v>0</v>
      </c>
      <c r="V244" s="17">
        <f>_xlfn.XLOOKUP($B244,'[3]May-25'!$A:$A,'[3]May-25'!$H:$H,0)</f>
        <v>0</v>
      </c>
      <c r="W244" s="17">
        <f>_xlfn.XLOOKUP($B244,'[3]Jun-25'!$A:$A,'[3]Jun-25'!$H:$H,0)</f>
        <v>0</v>
      </c>
      <c r="X244" s="17">
        <f>_xlfn.XLOOKUP($B244,'[3]Jul-25'!$A:$A,'[3]Jul-25'!$H:$H,0)</f>
        <v>0</v>
      </c>
      <c r="Y244" s="17">
        <f>_xlfn.XLOOKUP($B244,'[3]Aug-25'!$A:$A,'[3]Aug-25'!$H:$H,0)</f>
        <v>0</v>
      </c>
      <c r="Z244" s="17">
        <f>_xlfn.XLOOKUP($B244,'[3]Sep-25'!$A:$A,'[3]Sep-25'!$H:$H,0)</f>
        <v>0</v>
      </c>
      <c r="AA244" s="17">
        <f>_xlfn.XLOOKUP($B244,'[3]Oct-25'!$A:$A,'[3]Oct-25'!$H:$H,0)</f>
        <v>0</v>
      </c>
      <c r="AB244" s="17">
        <f>_xlfn.XLOOKUP($B244,'[3]Nov-25'!$A:$A,'[3]Nov-25'!$H:$H,0)</f>
        <v>0</v>
      </c>
      <c r="AC244" s="17">
        <f>_xlfn.XLOOKUP($B244,'[3]Dec-25'!$A:$A,'[3]Dec-25'!$H:$H,0)</f>
        <v>0</v>
      </c>
      <c r="AD244" s="17">
        <f>_xlfn.XLOOKUP($B244,'[3]Jan-26'!$A:$A,'[3]Jan-26'!$H:$H,0)</f>
        <v>0</v>
      </c>
      <c r="AE244" s="17">
        <f>_xlfn.XLOOKUP($B244,'[3]Feb-26'!$A:$A,'[3]Feb-26'!$H:$H,0)</f>
        <v>0</v>
      </c>
      <c r="AF244" s="17">
        <f>_xlfn.XLOOKUP($B244,'[3]Mar-26'!$A:$A,'[3]Mar-26'!$H:$H,0)</f>
        <v>0</v>
      </c>
      <c r="AG244" s="17">
        <f>_xlfn.XLOOKUP($B244,'[3]Apr-26'!$A:$A,'[3]Apr-26'!$H:$H,0)</f>
        <v>0</v>
      </c>
    </row>
    <row r="245" spans="1:33" x14ac:dyDescent="0.2">
      <c r="A245" s="58" t="s">
        <v>1186</v>
      </c>
      <c r="B245" s="56" t="str">
        <f t="shared" si="5"/>
        <v>63110</v>
      </c>
      <c r="C245" s="78" t="s">
        <v>565</v>
      </c>
      <c r="D245" s="57" t="s">
        <v>387</v>
      </c>
      <c r="E245" s="44" t="s">
        <v>640</v>
      </c>
      <c r="F245" s="17">
        <f>_xlfn.XLOOKUP($B245,'[3]Jan-24'!$A:$A,'[3]Jan-24'!$H:$H,0)</f>
        <v>0</v>
      </c>
      <c r="G245" s="17">
        <f>_xlfn.XLOOKUP($B245,'[3]Feb-24'!$A:$A,'[3]Feb-24'!$H:$H,0)</f>
        <v>0</v>
      </c>
      <c r="H245" s="17">
        <f>_xlfn.XLOOKUP($B245,'[3]Mar-24'!$A:$A,'[3]Mar-24'!$H:$H,0)</f>
        <v>0</v>
      </c>
      <c r="I245" s="17">
        <f>_xlfn.XLOOKUP($B245,'[3]Apr-24'!$A:$A,'[3]Apr-24'!$H:$H,0)</f>
        <v>0</v>
      </c>
      <c r="J245" s="17">
        <f>_xlfn.XLOOKUP($B245,'[3]May-24'!$A:$A,'[3]May-24'!$H:$H,0)</f>
        <v>0</v>
      </c>
      <c r="K245" s="17">
        <f>_xlfn.XLOOKUP($B245,'[3]Jun-24'!$A:$A,'[3]Jun-24'!$H:$H,0)</f>
        <v>0</v>
      </c>
      <c r="L245" s="17">
        <f>_xlfn.XLOOKUP($B245,'[3]Jul-24'!$A:$A,'[3]Jul-24'!$H:$H,0)</f>
        <v>0</v>
      </c>
      <c r="M245" s="17">
        <f>_xlfn.XLOOKUP($B245,'[3]Aug-24'!$A:$A,'[3]Aug-24'!$H:$H,0)</f>
        <v>0</v>
      </c>
      <c r="N245" s="17">
        <f>_xlfn.XLOOKUP($B245,'[3]Sep-24'!$A:$A,'[3]Sep-24'!$H:$H,0)</f>
        <v>0</v>
      </c>
      <c r="O245" s="17">
        <f>_xlfn.XLOOKUP($B245,'[3]Oct-24'!$A:$A,'[3]Oct-24'!$H:$H,0)</f>
        <v>0</v>
      </c>
      <c r="P245" s="17">
        <f>_xlfn.XLOOKUP($B245,'[3]Nov-24'!$A:$A,'[3]Nov-24'!$H:$H,0)</f>
        <v>0</v>
      </c>
      <c r="Q245" s="17">
        <f>_xlfn.XLOOKUP($B245,'[3]Dec-24'!$A:$A,'[3]Dec-24'!$H:$H,0)</f>
        <v>0</v>
      </c>
      <c r="R245" s="17">
        <f>_xlfn.XLOOKUP($B245,'[3]Jan-25'!$A:$A,'[3]Jan-25'!$H:$H,0)</f>
        <v>0</v>
      </c>
      <c r="S245" s="17">
        <f>_xlfn.XLOOKUP($B245,'[3]Feb-25'!$A:$A,'[3]Feb-25'!$H:$H,0)</f>
        <v>0</v>
      </c>
      <c r="T245" s="17">
        <f>_xlfn.XLOOKUP($B245,'[3]Mar-25'!$A:$A,'[3]Mar-25'!$H:$H,0)</f>
        <v>0</v>
      </c>
      <c r="U245" s="17">
        <f>_xlfn.XLOOKUP($B245,'[3]Apr-25'!$A:$A,'[3]Apr-25'!$H:$H,0)</f>
        <v>0</v>
      </c>
      <c r="V245" s="17">
        <f>_xlfn.XLOOKUP($B245,'[3]May-25'!$A:$A,'[3]May-25'!$H:$H,0)</f>
        <v>0</v>
      </c>
      <c r="W245" s="17">
        <f>_xlfn.XLOOKUP($B245,'[3]Jun-25'!$A:$A,'[3]Jun-25'!$H:$H,0)</f>
        <v>0</v>
      </c>
      <c r="X245" s="17">
        <f>_xlfn.XLOOKUP($B245,'[3]Jul-25'!$A:$A,'[3]Jul-25'!$H:$H,0)</f>
        <v>0</v>
      </c>
      <c r="Y245" s="17">
        <f>_xlfn.XLOOKUP($B245,'[3]Aug-25'!$A:$A,'[3]Aug-25'!$H:$H,0)</f>
        <v>0</v>
      </c>
      <c r="Z245" s="17">
        <f>_xlfn.XLOOKUP($B245,'[3]Sep-25'!$A:$A,'[3]Sep-25'!$H:$H,0)</f>
        <v>0</v>
      </c>
      <c r="AA245" s="17">
        <f>_xlfn.XLOOKUP($B245,'[3]Oct-25'!$A:$A,'[3]Oct-25'!$H:$H,0)</f>
        <v>0</v>
      </c>
      <c r="AB245" s="17">
        <f>_xlfn.XLOOKUP($B245,'[3]Nov-25'!$A:$A,'[3]Nov-25'!$H:$H,0)</f>
        <v>0</v>
      </c>
      <c r="AC245" s="17">
        <f>_xlfn.XLOOKUP($B245,'[3]Dec-25'!$A:$A,'[3]Dec-25'!$H:$H,0)</f>
        <v>0</v>
      </c>
      <c r="AD245" s="17">
        <f>_xlfn.XLOOKUP($B245,'[3]Jan-26'!$A:$A,'[3]Jan-26'!$H:$H,0)</f>
        <v>0</v>
      </c>
      <c r="AE245" s="17">
        <f>_xlfn.XLOOKUP($B245,'[3]Feb-26'!$A:$A,'[3]Feb-26'!$H:$H,0)</f>
        <v>0</v>
      </c>
      <c r="AF245" s="17">
        <f>_xlfn.XLOOKUP($B245,'[3]Mar-26'!$A:$A,'[3]Mar-26'!$H:$H,0)</f>
        <v>0</v>
      </c>
      <c r="AG245" s="17">
        <f>_xlfn.XLOOKUP($B245,'[3]Apr-26'!$A:$A,'[3]Apr-26'!$H:$H,0)</f>
        <v>0</v>
      </c>
    </row>
    <row r="246" spans="1:33" x14ac:dyDescent="0.2">
      <c r="A246" s="58" t="s">
        <v>894</v>
      </c>
      <c r="B246" s="56" t="str">
        <f t="shared" si="5"/>
        <v>63120</v>
      </c>
      <c r="C246" s="78" t="s">
        <v>562</v>
      </c>
      <c r="D246" s="57" t="s">
        <v>387</v>
      </c>
      <c r="E246" s="44" t="s">
        <v>642</v>
      </c>
      <c r="F246" s="17">
        <f>_xlfn.XLOOKUP($B246,'[3]Jan-24'!$A:$A,'[3]Jan-24'!$H:$H,0)</f>
        <v>0</v>
      </c>
      <c r="G246" s="17">
        <f>_xlfn.XLOOKUP($B246,'[3]Feb-24'!$A:$A,'[3]Feb-24'!$H:$H,0)</f>
        <v>0</v>
      </c>
      <c r="H246" s="17">
        <f>_xlfn.XLOOKUP($B246,'[3]Mar-24'!$A:$A,'[3]Mar-24'!$H:$H,0)</f>
        <v>0</v>
      </c>
      <c r="I246" s="17">
        <f>_xlfn.XLOOKUP($B246,'[3]Apr-24'!$A:$A,'[3]Apr-24'!$H:$H,0)</f>
        <v>0</v>
      </c>
      <c r="J246" s="17">
        <f>_xlfn.XLOOKUP($B246,'[3]May-24'!$A:$A,'[3]May-24'!$H:$H,0)</f>
        <v>0</v>
      </c>
      <c r="K246" s="17">
        <f>_xlfn.XLOOKUP($B246,'[3]Jun-24'!$A:$A,'[3]Jun-24'!$H:$H,0)</f>
        <v>0</v>
      </c>
      <c r="L246" s="17">
        <f>_xlfn.XLOOKUP($B246,'[3]Jul-24'!$A:$A,'[3]Jul-24'!$H:$H,0)</f>
        <v>0</v>
      </c>
      <c r="M246" s="17">
        <f>_xlfn.XLOOKUP($B246,'[3]Aug-24'!$A:$A,'[3]Aug-24'!$H:$H,0)</f>
        <v>0</v>
      </c>
      <c r="N246" s="17">
        <f>_xlfn.XLOOKUP($B246,'[3]Sep-24'!$A:$A,'[3]Sep-24'!$H:$H,0)</f>
        <v>0</v>
      </c>
      <c r="O246" s="17">
        <f>_xlfn.XLOOKUP($B246,'[3]Oct-24'!$A:$A,'[3]Oct-24'!$H:$H,0)</f>
        <v>0</v>
      </c>
      <c r="P246" s="17">
        <f>_xlfn.XLOOKUP($B246,'[3]Nov-24'!$A:$A,'[3]Nov-24'!$H:$H,0)</f>
        <v>0</v>
      </c>
      <c r="Q246" s="17">
        <f>_xlfn.XLOOKUP($B246,'[3]Dec-24'!$A:$A,'[3]Dec-24'!$H:$H,0)</f>
        <v>0</v>
      </c>
      <c r="R246" s="17">
        <f>_xlfn.XLOOKUP($B246,'[3]Jan-25'!$A:$A,'[3]Jan-25'!$H:$H,0)</f>
        <v>0</v>
      </c>
      <c r="S246" s="17">
        <f>_xlfn.XLOOKUP($B246,'[3]Feb-25'!$A:$A,'[3]Feb-25'!$H:$H,0)</f>
        <v>0</v>
      </c>
      <c r="T246" s="17">
        <f>_xlfn.XLOOKUP($B246,'[3]Mar-25'!$A:$A,'[3]Mar-25'!$H:$H,0)</f>
        <v>0</v>
      </c>
      <c r="U246" s="17">
        <f>_xlfn.XLOOKUP($B246,'[3]Apr-25'!$A:$A,'[3]Apr-25'!$H:$H,0)</f>
        <v>0</v>
      </c>
      <c r="V246" s="17">
        <f>_xlfn.XLOOKUP($B246,'[3]May-25'!$A:$A,'[3]May-25'!$H:$H,0)</f>
        <v>0</v>
      </c>
      <c r="W246" s="17">
        <f>_xlfn.XLOOKUP($B246,'[3]Jun-25'!$A:$A,'[3]Jun-25'!$H:$H,0)</f>
        <v>0</v>
      </c>
      <c r="X246" s="17">
        <f>_xlfn.XLOOKUP($B246,'[3]Jul-25'!$A:$A,'[3]Jul-25'!$H:$H,0)</f>
        <v>0</v>
      </c>
      <c r="Y246" s="17">
        <f>_xlfn.XLOOKUP($B246,'[3]Aug-25'!$A:$A,'[3]Aug-25'!$H:$H,0)</f>
        <v>0</v>
      </c>
      <c r="Z246" s="17">
        <f>_xlfn.XLOOKUP($B246,'[3]Sep-25'!$A:$A,'[3]Sep-25'!$H:$H,0)</f>
        <v>0</v>
      </c>
      <c r="AA246" s="17">
        <f>_xlfn.XLOOKUP($B246,'[3]Oct-25'!$A:$A,'[3]Oct-25'!$H:$H,0)</f>
        <v>0</v>
      </c>
      <c r="AB246" s="17">
        <f>_xlfn.XLOOKUP($B246,'[3]Nov-25'!$A:$A,'[3]Nov-25'!$H:$H,0)</f>
        <v>0</v>
      </c>
      <c r="AC246" s="17">
        <f>_xlfn.XLOOKUP($B246,'[3]Dec-25'!$A:$A,'[3]Dec-25'!$H:$H,0)</f>
        <v>0</v>
      </c>
      <c r="AD246" s="17">
        <f>_xlfn.XLOOKUP($B246,'[3]Jan-26'!$A:$A,'[3]Jan-26'!$H:$H,0)</f>
        <v>0</v>
      </c>
      <c r="AE246" s="17">
        <f>_xlfn.XLOOKUP($B246,'[3]Feb-26'!$A:$A,'[3]Feb-26'!$H:$H,0)</f>
        <v>0</v>
      </c>
      <c r="AF246" s="17">
        <f>_xlfn.XLOOKUP($B246,'[3]Mar-26'!$A:$A,'[3]Mar-26'!$H:$H,0)</f>
        <v>0</v>
      </c>
      <c r="AG246" s="17">
        <f>_xlfn.XLOOKUP($B246,'[3]Apr-26'!$A:$A,'[3]Apr-26'!$H:$H,0)</f>
        <v>0</v>
      </c>
    </row>
    <row r="247" spans="1:33" x14ac:dyDescent="0.2">
      <c r="A247" s="58" t="s">
        <v>910</v>
      </c>
      <c r="B247" s="56" t="str">
        <f t="shared" si="5"/>
        <v>63125</v>
      </c>
      <c r="C247" s="78" t="s">
        <v>643</v>
      </c>
      <c r="D247" s="57" t="s">
        <v>387</v>
      </c>
      <c r="E247" s="44" t="s">
        <v>644</v>
      </c>
      <c r="F247" s="17">
        <f>_xlfn.XLOOKUP($B247,'[3]Jan-24'!$A:$A,'[3]Jan-24'!$H:$H,0)</f>
        <v>0</v>
      </c>
      <c r="G247" s="17">
        <f>_xlfn.XLOOKUP($B247,'[3]Feb-24'!$A:$A,'[3]Feb-24'!$H:$H,0)</f>
        <v>0</v>
      </c>
      <c r="H247" s="17">
        <f>_xlfn.XLOOKUP($B247,'[3]Mar-24'!$A:$A,'[3]Mar-24'!$H:$H,0)</f>
        <v>0</v>
      </c>
      <c r="I247" s="17">
        <f>_xlfn.XLOOKUP($B247,'[3]Apr-24'!$A:$A,'[3]Apr-24'!$H:$H,0)</f>
        <v>0</v>
      </c>
      <c r="J247" s="17">
        <f>_xlfn.XLOOKUP($B247,'[3]May-24'!$A:$A,'[3]May-24'!$H:$H,0)</f>
        <v>0</v>
      </c>
      <c r="K247" s="17">
        <f>_xlfn.XLOOKUP($B247,'[3]Jun-24'!$A:$A,'[3]Jun-24'!$H:$H,0)</f>
        <v>0</v>
      </c>
      <c r="L247" s="17">
        <f>_xlfn.XLOOKUP($B247,'[3]Jul-24'!$A:$A,'[3]Jul-24'!$H:$H,0)</f>
        <v>0</v>
      </c>
      <c r="M247" s="17">
        <f>_xlfn.XLOOKUP($B247,'[3]Aug-24'!$A:$A,'[3]Aug-24'!$H:$H,0)</f>
        <v>0</v>
      </c>
      <c r="N247" s="17">
        <f>_xlfn.XLOOKUP($B247,'[3]Sep-24'!$A:$A,'[3]Sep-24'!$H:$H,0)</f>
        <v>0</v>
      </c>
      <c r="O247" s="17">
        <f>_xlfn.XLOOKUP($B247,'[3]Oct-24'!$A:$A,'[3]Oct-24'!$H:$H,0)</f>
        <v>0</v>
      </c>
      <c r="P247" s="17">
        <f>_xlfn.XLOOKUP($B247,'[3]Nov-24'!$A:$A,'[3]Nov-24'!$H:$H,0)</f>
        <v>0</v>
      </c>
      <c r="Q247" s="17">
        <f>_xlfn.XLOOKUP($B247,'[3]Dec-24'!$A:$A,'[3]Dec-24'!$H:$H,0)</f>
        <v>0</v>
      </c>
      <c r="R247" s="17">
        <f>_xlfn.XLOOKUP($B247,'[3]Jan-25'!$A:$A,'[3]Jan-25'!$H:$H,0)</f>
        <v>0</v>
      </c>
      <c r="S247" s="17">
        <f>_xlfn.XLOOKUP($B247,'[3]Feb-25'!$A:$A,'[3]Feb-25'!$H:$H,0)</f>
        <v>0</v>
      </c>
      <c r="T247" s="17">
        <f>_xlfn.XLOOKUP($B247,'[3]Mar-25'!$A:$A,'[3]Mar-25'!$H:$H,0)</f>
        <v>0</v>
      </c>
      <c r="U247" s="17">
        <f>_xlfn.XLOOKUP($B247,'[3]Apr-25'!$A:$A,'[3]Apr-25'!$H:$H,0)</f>
        <v>0</v>
      </c>
      <c r="V247" s="17">
        <f>_xlfn.XLOOKUP($B247,'[3]May-25'!$A:$A,'[3]May-25'!$H:$H,0)</f>
        <v>0</v>
      </c>
      <c r="W247" s="17">
        <f>_xlfn.XLOOKUP($B247,'[3]Jun-25'!$A:$A,'[3]Jun-25'!$H:$H,0)</f>
        <v>0</v>
      </c>
      <c r="X247" s="17">
        <f>_xlfn.XLOOKUP($B247,'[3]Jul-25'!$A:$A,'[3]Jul-25'!$H:$H,0)</f>
        <v>0</v>
      </c>
      <c r="Y247" s="17">
        <f>_xlfn.XLOOKUP($B247,'[3]Aug-25'!$A:$A,'[3]Aug-25'!$H:$H,0)</f>
        <v>0</v>
      </c>
      <c r="Z247" s="17">
        <f>_xlfn.XLOOKUP($B247,'[3]Sep-25'!$A:$A,'[3]Sep-25'!$H:$H,0)</f>
        <v>0</v>
      </c>
      <c r="AA247" s="17">
        <f>_xlfn.XLOOKUP($B247,'[3]Oct-25'!$A:$A,'[3]Oct-25'!$H:$H,0)</f>
        <v>0</v>
      </c>
      <c r="AB247" s="17">
        <f>_xlfn.XLOOKUP($B247,'[3]Nov-25'!$A:$A,'[3]Nov-25'!$H:$H,0)</f>
        <v>0</v>
      </c>
      <c r="AC247" s="17">
        <f>_xlfn.XLOOKUP($B247,'[3]Dec-25'!$A:$A,'[3]Dec-25'!$H:$H,0)</f>
        <v>0</v>
      </c>
      <c r="AD247" s="17">
        <f>_xlfn.XLOOKUP($B247,'[3]Jan-26'!$A:$A,'[3]Jan-26'!$H:$H,0)</f>
        <v>0</v>
      </c>
      <c r="AE247" s="17">
        <f>_xlfn.XLOOKUP($B247,'[3]Feb-26'!$A:$A,'[3]Feb-26'!$H:$H,0)</f>
        <v>0</v>
      </c>
      <c r="AF247" s="17">
        <f>_xlfn.XLOOKUP($B247,'[3]Mar-26'!$A:$A,'[3]Mar-26'!$H:$H,0)</f>
        <v>0</v>
      </c>
      <c r="AG247" s="17">
        <f>_xlfn.XLOOKUP($B247,'[3]Apr-26'!$A:$A,'[3]Apr-26'!$H:$H,0)</f>
        <v>0</v>
      </c>
    </row>
    <row r="248" spans="1:33" x14ac:dyDescent="0.2">
      <c r="A248" s="58" t="s">
        <v>911</v>
      </c>
      <c r="B248" s="56" t="str">
        <f t="shared" si="5"/>
        <v>63200</v>
      </c>
      <c r="C248" s="78" t="s">
        <v>643</v>
      </c>
      <c r="D248" s="57" t="s">
        <v>387</v>
      </c>
      <c r="E248" s="44" t="s">
        <v>645</v>
      </c>
      <c r="F248" s="17">
        <f>_xlfn.XLOOKUP($B248,'[3]Jan-24'!$A:$A,'[3]Jan-24'!$H:$H,0)</f>
        <v>0</v>
      </c>
      <c r="G248" s="17">
        <f>_xlfn.XLOOKUP($B248,'[3]Feb-24'!$A:$A,'[3]Feb-24'!$H:$H,0)</f>
        <v>0</v>
      </c>
      <c r="H248" s="17">
        <f>_xlfn.XLOOKUP($B248,'[3]Mar-24'!$A:$A,'[3]Mar-24'!$H:$H,0)</f>
        <v>0</v>
      </c>
      <c r="I248" s="17">
        <f>_xlfn.XLOOKUP($B248,'[3]Apr-24'!$A:$A,'[3]Apr-24'!$H:$H,0)</f>
        <v>0</v>
      </c>
      <c r="J248" s="17">
        <f>_xlfn.XLOOKUP($B248,'[3]May-24'!$A:$A,'[3]May-24'!$H:$H,0)</f>
        <v>0</v>
      </c>
      <c r="K248" s="17">
        <f>_xlfn.XLOOKUP($B248,'[3]Jun-24'!$A:$A,'[3]Jun-24'!$H:$H,0)</f>
        <v>0</v>
      </c>
      <c r="L248" s="17">
        <f>_xlfn.XLOOKUP($B248,'[3]Jul-24'!$A:$A,'[3]Jul-24'!$H:$H,0)</f>
        <v>0</v>
      </c>
      <c r="M248" s="17">
        <f>_xlfn.XLOOKUP($B248,'[3]Aug-24'!$A:$A,'[3]Aug-24'!$H:$H,0)</f>
        <v>0</v>
      </c>
      <c r="N248" s="17">
        <f>_xlfn.XLOOKUP($B248,'[3]Sep-24'!$A:$A,'[3]Sep-24'!$H:$H,0)</f>
        <v>0</v>
      </c>
      <c r="O248" s="17">
        <f>_xlfn.XLOOKUP($B248,'[3]Oct-24'!$A:$A,'[3]Oct-24'!$H:$H,0)</f>
        <v>0</v>
      </c>
      <c r="P248" s="17">
        <f>_xlfn.XLOOKUP($B248,'[3]Nov-24'!$A:$A,'[3]Nov-24'!$H:$H,0)</f>
        <v>0</v>
      </c>
      <c r="Q248" s="17">
        <f>_xlfn.XLOOKUP($B248,'[3]Dec-24'!$A:$A,'[3]Dec-24'!$H:$H,0)</f>
        <v>0</v>
      </c>
      <c r="R248" s="17">
        <f>_xlfn.XLOOKUP($B248,'[3]Jan-25'!$A:$A,'[3]Jan-25'!$H:$H,0)</f>
        <v>0</v>
      </c>
      <c r="S248" s="17">
        <f>_xlfn.XLOOKUP($B248,'[3]Feb-25'!$A:$A,'[3]Feb-25'!$H:$H,0)</f>
        <v>0</v>
      </c>
      <c r="T248" s="17">
        <f>_xlfn.XLOOKUP($B248,'[3]Mar-25'!$A:$A,'[3]Mar-25'!$H:$H,0)</f>
        <v>0</v>
      </c>
      <c r="U248" s="17">
        <f>_xlfn.XLOOKUP($B248,'[3]Apr-25'!$A:$A,'[3]Apr-25'!$H:$H,0)</f>
        <v>0</v>
      </c>
      <c r="V248" s="17">
        <f>_xlfn.XLOOKUP($B248,'[3]May-25'!$A:$A,'[3]May-25'!$H:$H,0)</f>
        <v>0</v>
      </c>
      <c r="W248" s="17">
        <f>_xlfn.XLOOKUP($B248,'[3]Jun-25'!$A:$A,'[3]Jun-25'!$H:$H,0)</f>
        <v>0</v>
      </c>
      <c r="X248" s="17">
        <f>_xlfn.XLOOKUP($B248,'[3]Jul-25'!$A:$A,'[3]Jul-25'!$H:$H,0)</f>
        <v>0</v>
      </c>
      <c r="Y248" s="17">
        <f>_xlfn.XLOOKUP($B248,'[3]Aug-25'!$A:$A,'[3]Aug-25'!$H:$H,0)</f>
        <v>0</v>
      </c>
      <c r="Z248" s="17">
        <f>_xlfn.XLOOKUP($B248,'[3]Sep-25'!$A:$A,'[3]Sep-25'!$H:$H,0)</f>
        <v>0</v>
      </c>
      <c r="AA248" s="17">
        <f>_xlfn.XLOOKUP($B248,'[3]Oct-25'!$A:$A,'[3]Oct-25'!$H:$H,0)</f>
        <v>0</v>
      </c>
      <c r="AB248" s="17">
        <f>_xlfn.XLOOKUP($B248,'[3]Nov-25'!$A:$A,'[3]Nov-25'!$H:$H,0)</f>
        <v>0</v>
      </c>
      <c r="AC248" s="17">
        <f>_xlfn.XLOOKUP($B248,'[3]Dec-25'!$A:$A,'[3]Dec-25'!$H:$H,0)</f>
        <v>0</v>
      </c>
      <c r="AD248" s="17">
        <f>_xlfn.XLOOKUP($B248,'[3]Jan-26'!$A:$A,'[3]Jan-26'!$H:$H,0)</f>
        <v>0</v>
      </c>
      <c r="AE248" s="17">
        <f>_xlfn.XLOOKUP($B248,'[3]Feb-26'!$A:$A,'[3]Feb-26'!$H:$H,0)</f>
        <v>0</v>
      </c>
      <c r="AF248" s="17">
        <f>_xlfn.XLOOKUP($B248,'[3]Mar-26'!$A:$A,'[3]Mar-26'!$H:$H,0)</f>
        <v>0</v>
      </c>
      <c r="AG248" s="17">
        <f>_xlfn.XLOOKUP($B248,'[3]Apr-26'!$A:$A,'[3]Apr-26'!$H:$H,0)</f>
        <v>0</v>
      </c>
    </row>
    <row r="249" spans="1:33" x14ac:dyDescent="0.2">
      <c r="A249" s="58" t="s">
        <v>1187</v>
      </c>
      <c r="B249" s="56" t="str">
        <f t="shared" si="5"/>
        <v>63300</v>
      </c>
      <c r="C249" s="78" t="s">
        <v>552</v>
      </c>
      <c r="D249" s="57" t="s">
        <v>387</v>
      </c>
      <c r="E249" s="44" t="s">
        <v>646</v>
      </c>
      <c r="F249" s="17">
        <f>_xlfn.XLOOKUP($B249,'[3]Jan-24'!$A:$A,'[3]Jan-24'!$H:$H,0)</f>
        <v>0</v>
      </c>
      <c r="G249" s="17">
        <f>_xlfn.XLOOKUP($B249,'[3]Feb-24'!$A:$A,'[3]Feb-24'!$H:$H,0)</f>
        <v>0</v>
      </c>
      <c r="H249" s="17">
        <f>_xlfn.XLOOKUP($B249,'[3]Mar-24'!$A:$A,'[3]Mar-24'!$H:$H,0)</f>
        <v>0</v>
      </c>
      <c r="I249" s="17">
        <f>_xlfn.XLOOKUP($B249,'[3]Apr-24'!$A:$A,'[3]Apr-24'!$H:$H,0)</f>
        <v>0</v>
      </c>
      <c r="J249" s="17">
        <f>_xlfn.XLOOKUP($B249,'[3]May-24'!$A:$A,'[3]May-24'!$H:$H,0)</f>
        <v>0</v>
      </c>
      <c r="K249" s="17">
        <f>_xlfn.XLOOKUP($B249,'[3]Jun-24'!$A:$A,'[3]Jun-24'!$H:$H,0)</f>
        <v>0</v>
      </c>
      <c r="L249" s="17">
        <f>_xlfn.XLOOKUP($B249,'[3]Jul-24'!$A:$A,'[3]Jul-24'!$H:$H,0)</f>
        <v>0</v>
      </c>
      <c r="M249" s="17">
        <f>_xlfn.XLOOKUP($B249,'[3]Aug-24'!$A:$A,'[3]Aug-24'!$H:$H,0)</f>
        <v>0</v>
      </c>
      <c r="N249" s="17">
        <f>_xlfn.XLOOKUP($B249,'[3]Sep-24'!$A:$A,'[3]Sep-24'!$H:$H,0)</f>
        <v>0</v>
      </c>
      <c r="O249" s="17">
        <f>_xlfn.XLOOKUP($B249,'[3]Oct-24'!$A:$A,'[3]Oct-24'!$H:$H,0)</f>
        <v>0</v>
      </c>
      <c r="P249" s="17">
        <f>_xlfn.XLOOKUP($B249,'[3]Nov-24'!$A:$A,'[3]Nov-24'!$H:$H,0)</f>
        <v>0</v>
      </c>
      <c r="Q249" s="17">
        <f>_xlfn.XLOOKUP($B249,'[3]Dec-24'!$A:$A,'[3]Dec-24'!$H:$H,0)</f>
        <v>0</v>
      </c>
      <c r="R249" s="17">
        <f>_xlfn.XLOOKUP($B249,'[3]Jan-25'!$A:$A,'[3]Jan-25'!$H:$H,0)</f>
        <v>0</v>
      </c>
      <c r="S249" s="17">
        <f>_xlfn.XLOOKUP($B249,'[3]Feb-25'!$A:$A,'[3]Feb-25'!$H:$H,0)</f>
        <v>0</v>
      </c>
      <c r="T249" s="17">
        <f>_xlfn.XLOOKUP($B249,'[3]Mar-25'!$A:$A,'[3]Mar-25'!$H:$H,0)</f>
        <v>0</v>
      </c>
      <c r="U249" s="17">
        <f>_xlfn.XLOOKUP($B249,'[3]Apr-25'!$A:$A,'[3]Apr-25'!$H:$H,0)</f>
        <v>0</v>
      </c>
      <c r="V249" s="17">
        <f>_xlfn.XLOOKUP($B249,'[3]May-25'!$A:$A,'[3]May-25'!$H:$H,0)</f>
        <v>0</v>
      </c>
      <c r="W249" s="17">
        <f>_xlfn.XLOOKUP($B249,'[3]Jun-25'!$A:$A,'[3]Jun-25'!$H:$H,0)</f>
        <v>0</v>
      </c>
      <c r="X249" s="17">
        <f>_xlfn.XLOOKUP($B249,'[3]Jul-25'!$A:$A,'[3]Jul-25'!$H:$H,0)</f>
        <v>0</v>
      </c>
      <c r="Y249" s="17">
        <f>_xlfn.XLOOKUP($B249,'[3]Aug-25'!$A:$A,'[3]Aug-25'!$H:$H,0)</f>
        <v>0</v>
      </c>
      <c r="Z249" s="17">
        <f>_xlfn.XLOOKUP($B249,'[3]Sep-25'!$A:$A,'[3]Sep-25'!$H:$H,0)</f>
        <v>0</v>
      </c>
      <c r="AA249" s="17">
        <f>_xlfn.XLOOKUP($B249,'[3]Oct-25'!$A:$A,'[3]Oct-25'!$H:$H,0)</f>
        <v>0</v>
      </c>
      <c r="AB249" s="17">
        <f>_xlfn.XLOOKUP($B249,'[3]Nov-25'!$A:$A,'[3]Nov-25'!$H:$H,0)</f>
        <v>0</v>
      </c>
      <c r="AC249" s="17">
        <f>_xlfn.XLOOKUP($B249,'[3]Dec-25'!$A:$A,'[3]Dec-25'!$H:$H,0)</f>
        <v>0</v>
      </c>
      <c r="AD249" s="17">
        <f>_xlfn.XLOOKUP($B249,'[3]Jan-26'!$A:$A,'[3]Jan-26'!$H:$H,0)</f>
        <v>0</v>
      </c>
      <c r="AE249" s="17">
        <f>_xlfn.XLOOKUP($B249,'[3]Feb-26'!$A:$A,'[3]Feb-26'!$H:$H,0)</f>
        <v>0</v>
      </c>
      <c r="AF249" s="17">
        <f>_xlfn.XLOOKUP($B249,'[3]Mar-26'!$A:$A,'[3]Mar-26'!$H:$H,0)</f>
        <v>0</v>
      </c>
      <c r="AG249" s="17">
        <f>_xlfn.XLOOKUP($B249,'[3]Apr-26'!$A:$A,'[3]Apr-26'!$H:$H,0)</f>
        <v>0</v>
      </c>
    </row>
    <row r="250" spans="1:33" x14ac:dyDescent="0.2">
      <c r="A250" s="58" t="s">
        <v>1188</v>
      </c>
      <c r="B250" s="56" t="str">
        <f t="shared" si="5"/>
        <v>63900</v>
      </c>
      <c r="C250" s="78" t="s">
        <v>389</v>
      </c>
      <c r="D250" s="57" t="s">
        <v>387</v>
      </c>
      <c r="E250" s="44" t="s">
        <v>649</v>
      </c>
      <c r="F250" s="17">
        <f>_xlfn.XLOOKUP($B250,'[3]Jan-24'!$A:$A,'[3]Jan-24'!$H:$H,0)</f>
        <v>0</v>
      </c>
      <c r="G250" s="17">
        <f>_xlfn.XLOOKUP($B250,'[3]Feb-24'!$A:$A,'[3]Feb-24'!$H:$H,0)</f>
        <v>0</v>
      </c>
      <c r="H250" s="17">
        <f>_xlfn.XLOOKUP($B250,'[3]Mar-24'!$A:$A,'[3]Mar-24'!$H:$H,0)</f>
        <v>0</v>
      </c>
      <c r="I250" s="17">
        <f>_xlfn.XLOOKUP($B250,'[3]Apr-24'!$A:$A,'[3]Apr-24'!$H:$H,0)</f>
        <v>0</v>
      </c>
      <c r="J250" s="17">
        <f>_xlfn.XLOOKUP($B250,'[3]May-24'!$A:$A,'[3]May-24'!$H:$H,0)</f>
        <v>0</v>
      </c>
      <c r="K250" s="17">
        <f>_xlfn.XLOOKUP($B250,'[3]Jun-24'!$A:$A,'[3]Jun-24'!$H:$H,0)</f>
        <v>0</v>
      </c>
      <c r="L250" s="17">
        <f>_xlfn.XLOOKUP($B250,'[3]Jul-24'!$A:$A,'[3]Jul-24'!$H:$H,0)</f>
        <v>0</v>
      </c>
      <c r="M250" s="17">
        <f>_xlfn.XLOOKUP($B250,'[3]Aug-24'!$A:$A,'[3]Aug-24'!$H:$H,0)</f>
        <v>0</v>
      </c>
      <c r="N250" s="17">
        <f>_xlfn.XLOOKUP($B250,'[3]Sep-24'!$A:$A,'[3]Sep-24'!$H:$H,0)</f>
        <v>0</v>
      </c>
      <c r="O250" s="17">
        <f>_xlfn.XLOOKUP($B250,'[3]Oct-24'!$A:$A,'[3]Oct-24'!$H:$H,0)</f>
        <v>0</v>
      </c>
      <c r="P250" s="17">
        <f>_xlfn.XLOOKUP($B250,'[3]Nov-24'!$A:$A,'[3]Nov-24'!$H:$H,0)</f>
        <v>0</v>
      </c>
      <c r="Q250" s="17">
        <f>_xlfn.XLOOKUP($B250,'[3]Dec-24'!$A:$A,'[3]Dec-24'!$H:$H,0)</f>
        <v>0</v>
      </c>
      <c r="R250" s="17">
        <f>_xlfn.XLOOKUP($B250,'[3]Jan-25'!$A:$A,'[3]Jan-25'!$H:$H,0)</f>
        <v>0</v>
      </c>
      <c r="S250" s="17">
        <f>_xlfn.XLOOKUP($B250,'[3]Feb-25'!$A:$A,'[3]Feb-25'!$H:$H,0)</f>
        <v>0</v>
      </c>
      <c r="T250" s="17">
        <f>_xlfn.XLOOKUP($B250,'[3]Mar-25'!$A:$A,'[3]Mar-25'!$H:$H,0)</f>
        <v>0</v>
      </c>
      <c r="U250" s="17">
        <f>_xlfn.XLOOKUP($B250,'[3]Apr-25'!$A:$A,'[3]Apr-25'!$H:$H,0)</f>
        <v>0</v>
      </c>
      <c r="V250" s="17">
        <f>_xlfn.XLOOKUP($B250,'[3]May-25'!$A:$A,'[3]May-25'!$H:$H,0)</f>
        <v>0</v>
      </c>
      <c r="W250" s="17">
        <f>_xlfn.XLOOKUP($B250,'[3]Jun-25'!$A:$A,'[3]Jun-25'!$H:$H,0)</f>
        <v>0</v>
      </c>
      <c r="X250" s="17">
        <f>_xlfn.XLOOKUP($B250,'[3]Jul-25'!$A:$A,'[3]Jul-25'!$H:$H,0)</f>
        <v>0</v>
      </c>
      <c r="Y250" s="17">
        <f>_xlfn.XLOOKUP($B250,'[3]Aug-25'!$A:$A,'[3]Aug-25'!$H:$H,0)</f>
        <v>0</v>
      </c>
      <c r="Z250" s="17">
        <f>_xlfn.XLOOKUP($B250,'[3]Sep-25'!$A:$A,'[3]Sep-25'!$H:$H,0)</f>
        <v>0</v>
      </c>
      <c r="AA250" s="17">
        <f>_xlfn.XLOOKUP($B250,'[3]Oct-25'!$A:$A,'[3]Oct-25'!$H:$H,0)</f>
        <v>0</v>
      </c>
      <c r="AB250" s="17">
        <f>_xlfn.XLOOKUP($B250,'[3]Nov-25'!$A:$A,'[3]Nov-25'!$H:$H,0)</f>
        <v>0</v>
      </c>
      <c r="AC250" s="17">
        <f>_xlfn.XLOOKUP($B250,'[3]Dec-25'!$A:$A,'[3]Dec-25'!$H:$H,0)</f>
        <v>0</v>
      </c>
      <c r="AD250" s="17">
        <f>_xlfn.XLOOKUP($B250,'[3]Jan-26'!$A:$A,'[3]Jan-26'!$H:$H,0)</f>
        <v>0</v>
      </c>
      <c r="AE250" s="17">
        <f>_xlfn.XLOOKUP($B250,'[3]Feb-26'!$A:$A,'[3]Feb-26'!$H:$H,0)</f>
        <v>0</v>
      </c>
      <c r="AF250" s="17">
        <f>_xlfn.XLOOKUP($B250,'[3]Mar-26'!$A:$A,'[3]Mar-26'!$H:$H,0)</f>
        <v>0</v>
      </c>
      <c r="AG250" s="17">
        <f>_xlfn.XLOOKUP($B250,'[3]Apr-26'!$A:$A,'[3]Apr-26'!$H:$H,0)</f>
        <v>0</v>
      </c>
    </row>
    <row r="251" spans="1:33" x14ac:dyDescent="0.2">
      <c r="A251" s="58" t="s">
        <v>1189</v>
      </c>
      <c r="B251" s="56" t="str">
        <f t="shared" si="5"/>
        <v>63905</v>
      </c>
      <c r="C251" s="78" t="s">
        <v>389</v>
      </c>
      <c r="D251" s="57" t="s">
        <v>387</v>
      </c>
      <c r="E251" s="44" t="s">
        <v>654</v>
      </c>
      <c r="F251" s="17">
        <f>_xlfn.XLOOKUP($B251,'[3]Jan-24'!$A:$A,'[3]Jan-24'!$H:$H,0)</f>
        <v>0</v>
      </c>
      <c r="G251" s="17">
        <f>_xlfn.XLOOKUP($B251,'[3]Feb-24'!$A:$A,'[3]Feb-24'!$H:$H,0)</f>
        <v>0</v>
      </c>
      <c r="H251" s="17">
        <f>_xlfn.XLOOKUP($B251,'[3]Mar-24'!$A:$A,'[3]Mar-24'!$H:$H,0)</f>
        <v>0</v>
      </c>
      <c r="I251" s="17">
        <f>_xlfn.XLOOKUP($B251,'[3]Apr-24'!$A:$A,'[3]Apr-24'!$H:$H,0)</f>
        <v>0</v>
      </c>
      <c r="J251" s="17">
        <f>_xlfn.XLOOKUP($B251,'[3]May-24'!$A:$A,'[3]May-24'!$H:$H,0)</f>
        <v>0</v>
      </c>
      <c r="K251" s="17">
        <f>_xlfn.XLOOKUP($B251,'[3]Jun-24'!$A:$A,'[3]Jun-24'!$H:$H,0)</f>
        <v>0</v>
      </c>
      <c r="L251" s="17">
        <f>_xlfn.XLOOKUP($B251,'[3]Jul-24'!$A:$A,'[3]Jul-24'!$H:$H,0)</f>
        <v>0</v>
      </c>
      <c r="M251" s="17">
        <f>_xlfn.XLOOKUP($B251,'[3]Aug-24'!$A:$A,'[3]Aug-24'!$H:$H,0)</f>
        <v>0</v>
      </c>
      <c r="N251" s="17">
        <f>_xlfn.XLOOKUP($B251,'[3]Sep-24'!$A:$A,'[3]Sep-24'!$H:$H,0)</f>
        <v>0</v>
      </c>
      <c r="O251" s="17">
        <f>_xlfn.XLOOKUP($B251,'[3]Oct-24'!$A:$A,'[3]Oct-24'!$H:$H,0)</f>
        <v>0</v>
      </c>
      <c r="P251" s="17">
        <f>_xlfn.XLOOKUP($B251,'[3]Nov-24'!$A:$A,'[3]Nov-24'!$H:$H,0)</f>
        <v>0</v>
      </c>
      <c r="Q251" s="17">
        <f>_xlfn.XLOOKUP($B251,'[3]Dec-24'!$A:$A,'[3]Dec-24'!$H:$H,0)</f>
        <v>0</v>
      </c>
      <c r="R251" s="17">
        <f>_xlfn.XLOOKUP($B251,'[3]Jan-25'!$A:$A,'[3]Jan-25'!$H:$H,0)</f>
        <v>0</v>
      </c>
      <c r="S251" s="17">
        <f>_xlfn.XLOOKUP($B251,'[3]Feb-25'!$A:$A,'[3]Feb-25'!$H:$H,0)</f>
        <v>0</v>
      </c>
      <c r="T251" s="17">
        <f>_xlfn.XLOOKUP($B251,'[3]Mar-25'!$A:$A,'[3]Mar-25'!$H:$H,0)</f>
        <v>0</v>
      </c>
      <c r="U251" s="17">
        <f>_xlfn.XLOOKUP($B251,'[3]Apr-25'!$A:$A,'[3]Apr-25'!$H:$H,0)</f>
        <v>0</v>
      </c>
      <c r="V251" s="17">
        <f>_xlfn.XLOOKUP($B251,'[3]May-25'!$A:$A,'[3]May-25'!$H:$H,0)</f>
        <v>0</v>
      </c>
      <c r="W251" s="17">
        <f>_xlfn.XLOOKUP($B251,'[3]Jun-25'!$A:$A,'[3]Jun-25'!$H:$H,0)</f>
        <v>0</v>
      </c>
      <c r="X251" s="17">
        <f>_xlfn.XLOOKUP($B251,'[3]Jul-25'!$A:$A,'[3]Jul-25'!$H:$H,0)</f>
        <v>0</v>
      </c>
      <c r="Y251" s="17">
        <f>_xlfn.XLOOKUP($B251,'[3]Aug-25'!$A:$A,'[3]Aug-25'!$H:$H,0)</f>
        <v>0</v>
      </c>
      <c r="Z251" s="17">
        <f>_xlfn.XLOOKUP($B251,'[3]Sep-25'!$A:$A,'[3]Sep-25'!$H:$H,0)</f>
        <v>0</v>
      </c>
      <c r="AA251" s="17">
        <f>_xlfn.XLOOKUP($B251,'[3]Oct-25'!$A:$A,'[3]Oct-25'!$H:$H,0)</f>
        <v>0</v>
      </c>
      <c r="AB251" s="17">
        <f>_xlfn.XLOOKUP($B251,'[3]Nov-25'!$A:$A,'[3]Nov-25'!$H:$H,0)</f>
        <v>0</v>
      </c>
      <c r="AC251" s="17">
        <f>_xlfn.XLOOKUP($B251,'[3]Dec-25'!$A:$A,'[3]Dec-25'!$H:$H,0)</f>
        <v>0</v>
      </c>
      <c r="AD251" s="17">
        <f>_xlfn.XLOOKUP($B251,'[3]Jan-26'!$A:$A,'[3]Jan-26'!$H:$H,0)</f>
        <v>0</v>
      </c>
      <c r="AE251" s="17">
        <f>_xlfn.XLOOKUP($B251,'[3]Feb-26'!$A:$A,'[3]Feb-26'!$H:$H,0)</f>
        <v>0</v>
      </c>
      <c r="AF251" s="17">
        <f>_xlfn.XLOOKUP($B251,'[3]Mar-26'!$A:$A,'[3]Mar-26'!$H:$H,0)</f>
        <v>0</v>
      </c>
      <c r="AG251" s="17">
        <f>_xlfn.XLOOKUP($B251,'[3]Apr-26'!$A:$A,'[3]Apr-26'!$H:$H,0)</f>
        <v>0</v>
      </c>
    </row>
    <row r="252" spans="1:33" x14ac:dyDescent="0.2">
      <c r="A252" s="58" t="s">
        <v>1190</v>
      </c>
      <c r="B252" s="56" t="str">
        <f t="shared" si="5"/>
        <v>63907</v>
      </c>
      <c r="C252" s="78" t="s">
        <v>565</v>
      </c>
      <c r="D252" s="57" t="s">
        <v>387</v>
      </c>
      <c r="E252" s="44" t="s">
        <v>656</v>
      </c>
      <c r="F252" s="17">
        <f>_xlfn.XLOOKUP($B252,'[3]Jan-24'!$A:$A,'[3]Jan-24'!$H:$H,0)</f>
        <v>0</v>
      </c>
      <c r="G252" s="17">
        <f>_xlfn.XLOOKUP($B252,'[3]Feb-24'!$A:$A,'[3]Feb-24'!$H:$H,0)</f>
        <v>0</v>
      </c>
      <c r="H252" s="17">
        <f>_xlfn.XLOOKUP($B252,'[3]Mar-24'!$A:$A,'[3]Mar-24'!$H:$H,0)</f>
        <v>0</v>
      </c>
      <c r="I252" s="17">
        <f>_xlfn.XLOOKUP($B252,'[3]Apr-24'!$A:$A,'[3]Apr-24'!$H:$H,0)</f>
        <v>0</v>
      </c>
      <c r="J252" s="17">
        <f>_xlfn.XLOOKUP($B252,'[3]May-24'!$A:$A,'[3]May-24'!$H:$H,0)</f>
        <v>0</v>
      </c>
      <c r="K252" s="17">
        <f>_xlfn.XLOOKUP($B252,'[3]Jun-24'!$A:$A,'[3]Jun-24'!$H:$H,0)</f>
        <v>0</v>
      </c>
      <c r="L252" s="17">
        <f>_xlfn.XLOOKUP($B252,'[3]Jul-24'!$A:$A,'[3]Jul-24'!$H:$H,0)</f>
        <v>0</v>
      </c>
      <c r="M252" s="17">
        <f>_xlfn.XLOOKUP($B252,'[3]Aug-24'!$A:$A,'[3]Aug-24'!$H:$H,0)</f>
        <v>0</v>
      </c>
      <c r="N252" s="17">
        <f>_xlfn.XLOOKUP($B252,'[3]Sep-24'!$A:$A,'[3]Sep-24'!$H:$H,0)</f>
        <v>0</v>
      </c>
      <c r="O252" s="17">
        <f>_xlfn.XLOOKUP($B252,'[3]Oct-24'!$A:$A,'[3]Oct-24'!$H:$H,0)</f>
        <v>0</v>
      </c>
      <c r="P252" s="17">
        <f>_xlfn.XLOOKUP($B252,'[3]Nov-24'!$A:$A,'[3]Nov-24'!$H:$H,0)</f>
        <v>0</v>
      </c>
      <c r="Q252" s="17">
        <f>_xlfn.XLOOKUP($B252,'[3]Dec-24'!$A:$A,'[3]Dec-24'!$H:$H,0)</f>
        <v>0</v>
      </c>
      <c r="R252" s="17">
        <f>_xlfn.XLOOKUP($B252,'[3]Jan-25'!$A:$A,'[3]Jan-25'!$H:$H,0)</f>
        <v>0</v>
      </c>
      <c r="S252" s="17">
        <f>_xlfn.XLOOKUP($B252,'[3]Feb-25'!$A:$A,'[3]Feb-25'!$H:$H,0)</f>
        <v>0</v>
      </c>
      <c r="T252" s="17">
        <f>_xlfn.XLOOKUP($B252,'[3]Mar-25'!$A:$A,'[3]Mar-25'!$H:$H,0)</f>
        <v>0</v>
      </c>
      <c r="U252" s="17">
        <f>_xlfn.XLOOKUP($B252,'[3]Apr-25'!$A:$A,'[3]Apr-25'!$H:$H,0)</f>
        <v>0</v>
      </c>
      <c r="V252" s="17">
        <f>_xlfn.XLOOKUP($B252,'[3]May-25'!$A:$A,'[3]May-25'!$H:$H,0)</f>
        <v>0</v>
      </c>
      <c r="W252" s="17">
        <f>_xlfn.XLOOKUP($B252,'[3]Jun-25'!$A:$A,'[3]Jun-25'!$H:$H,0)</f>
        <v>0</v>
      </c>
      <c r="X252" s="17">
        <f>_xlfn.XLOOKUP($B252,'[3]Jul-25'!$A:$A,'[3]Jul-25'!$H:$H,0)</f>
        <v>0</v>
      </c>
      <c r="Y252" s="17">
        <f>_xlfn.XLOOKUP($B252,'[3]Aug-25'!$A:$A,'[3]Aug-25'!$H:$H,0)</f>
        <v>0</v>
      </c>
      <c r="Z252" s="17">
        <f>_xlfn.XLOOKUP($B252,'[3]Sep-25'!$A:$A,'[3]Sep-25'!$H:$H,0)</f>
        <v>0</v>
      </c>
      <c r="AA252" s="17">
        <f>_xlfn.XLOOKUP($B252,'[3]Oct-25'!$A:$A,'[3]Oct-25'!$H:$H,0)</f>
        <v>0</v>
      </c>
      <c r="AB252" s="17">
        <f>_xlfn.XLOOKUP($B252,'[3]Nov-25'!$A:$A,'[3]Nov-25'!$H:$H,0)</f>
        <v>0</v>
      </c>
      <c r="AC252" s="17">
        <f>_xlfn.XLOOKUP($B252,'[3]Dec-25'!$A:$A,'[3]Dec-25'!$H:$H,0)</f>
        <v>0</v>
      </c>
      <c r="AD252" s="17">
        <f>_xlfn.XLOOKUP($B252,'[3]Jan-26'!$A:$A,'[3]Jan-26'!$H:$H,0)</f>
        <v>0</v>
      </c>
      <c r="AE252" s="17">
        <f>_xlfn.XLOOKUP($B252,'[3]Feb-26'!$A:$A,'[3]Feb-26'!$H:$H,0)</f>
        <v>0</v>
      </c>
      <c r="AF252" s="17">
        <f>_xlfn.XLOOKUP($B252,'[3]Mar-26'!$A:$A,'[3]Mar-26'!$H:$H,0)</f>
        <v>0</v>
      </c>
      <c r="AG252" s="17">
        <f>_xlfn.XLOOKUP($B252,'[3]Apr-26'!$A:$A,'[3]Apr-26'!$H:$H,0)</f>
        <v>0</v>
      </c>
    </row>
    <row r="253" spans="1:33" x14ac:dyDescent="0.2">
      <c r="A253" s="58" t="s">
        <v>1191</v>
      </c>
      <c r="B253" s="56" t="str">
        <f t="shared" si="5"/>
        <v>63910</v>
      </c>
      <c r="C253" s="78" t="s">
        <v>565</v>
      </c>
      <c r="D253" s="57" t="s">
        <v>387</v>
      </c>
      <c r="E253" s="44" t="s">
        <v>659</v>
      </c>
      <c r="F253" s="17">
        <f>_xlfn.XLOOKUP($B253,'[3]Jan-24'!$A:$A,'[3]Jan-24'!$H:$H,0)</f>
        <v>0</v>
      </c>
      <c r="G253" s="17">
        <f>_xlfn.XLOOKUP($B253,'[3]Feb-24'!$A:$A,'[3]Feb-24'!$H:$H,0)</f>
        <v>0</v>
      </c>
      <c r="H253" s="17">
        <f>_xlfn.XLOOKUP($B253,'[3]Mar-24'!$A:$A,'[3]Mar-24'!$H:$H,0)</f>
        <v>0</v>
      </c>
      <c r="I253" s="17">
        <f>_xlfn.XLOOKUP($B253,'[3]Apr-24'!$A:$A,'[3]Apr-24'!$H:$H,0)</f>
        <v>0</v>
      </c>
      <c r="J253" s="17">
        <f>_xlfn.XLOOKUP($B253,'[3]May-24'!$A:$A,'[3]May-24'!$H:$H,0)</f>
        <v>0</v>
      </c>
      <c r="K253" s="17">
        <f>_xlfn.XLOOKUP($B253,'[3]Jun-24'!$A:$A,'[3]Jun-24'!$H:$H,0)</f>
        <v>0</v>
      </c>
      <c r="L253" s="17">
        <f>_xlfn.XLOOKUP($B253,'[3]Jul-24'!$A:$A,'[3]Jul-24'!$H:$H,0)</f>
        <v>0</v>
      </c>
      <c r="M253" s="17">
        <f>_xlfn.XLOOKUP($B253,'[3]Aug-24'!$A:$A,'[3]Aug-24'!$H:$H,0)</f>
        <v>0</v>
      </c>
      <c r="N253" s="17">
        <f>_xlfn.XLOOKUP($B253,'[3]Sep-24'!$A:$A,'[3]Sep-24'!$H:$H,0)</f>
        <v>0</v>
      </c>
      <c r="O253" s="17">
        <f>_xlfn.XLOOKUP($B253,'[3]Oct-24'!$A:$A,'[3]Oct-24'!$H:$H,0)</f>
        <v>0</v>
      </c>
      <c r="P253" s="17">
        <f>_xlfn.XLOOKUP($B253,'[3]Nov-24'!$A:$A,'[3]Nov-24'!$H:$H,0)</f>
        <v>0</v>
      </c>
      <c r="Q253" s="17">
        <f>_xlfn.XLOOKUP($B253,'[3]Dec-24'!$A:$A,'[3]Dec-24'!$H:$H,0)</f>
        <v>0</v>
      </c>
      <c r="R253" s="17">
        <f>_xlfn.XLOOKUP($B253,'[3]Jan-25'!$A:$A,'[3]Jan-25'!$H:$H,0)</f>
        <v>0</v>
      </c>
      <c r="S253" s="17">
        <f>_xlfn.XLOOKUP($B253,'[3]Feb-25'!$A:$A,'[3]Feb-25'!$H:$H,0)</f>
        <v>0</v>
      </c>
      <c r="T253" s="17">
        <f>_xlfn.XLOOKUP($B253,'[3]Mar-25'!$A:$A,'[3]Mar-25'!$H:$H,0)</f>
        <v>0</v>
      </c>
      <c r="U253" s="17">
        <f>_xlfn.XLOOKUP($B253,'[3]Apr-25'!$A:$A,'[3]Apr-25'!$H:$H,0)</f>
        <v>0</v>
      </c>
      <c r="V253" s="17">
        <f>_xlfn.XLOOKUP($B253,'[3]May-25'!$A:$A,'[3]May-25'!$H:$H,0)</f>
        <v>0</v>
      </c>
      <c r="W253" s="17">
        <f>_xlfn.XLOOKUP($B253,'[3]Jun-25'!$A:$A,'[3]Jun-25'!$H:$H,0)</f>
        <v>0</v>
      </c>
      <c r="X253" s="17">
        <f>_xlfn.XLOOKUP($B253,'[3]Jul-25'!$A:$A,'[3]Jul-25'!$H:$H,0)</f>
        <v>0</v>
      </c>
      <c r="Y253" s="17">
        <f>_xlfn.XLOOKUP($B253,'[3]Aug-25'!$A:$A,'[3]Aug-25'!$H:$H,0)</f>
        <v>0</v>
      </c>
      <c r="Z253" s="17">
        <f>_xlfn.XLOOKUP($B253,'[3]Sep-25'!$A:$A,'[3]Sep-25'!$H:$H,0)</f>
        <v>0</v>
      </c>
      <c r="AA253" s="17">
        <f>_xlfn.XLOOKUP($B253,'[3]Oct-25'!$A:$A,'[3]Oct-25'!$H:$H,0)</f>
        <v>0</v>
      </c>
      <c r="AB253" s="17">
        <f>_xlfn.XLOOKUP($B253,'[3]Nov-25'!$A:$A,'[3]Nov-25'!$H:$H,0)</f>
        <v>0</v>
      </c>
      <c r="AC253" s="17">
        <f>_xlfn.XLOOKUP($B253,'[3]Dec-25'!$A:$A,'[3]Dec-25'!$H:$H,0)</f>
        <v>0</v>
      </c>
      <c r="AD253" s="17">
        <f>_xlfn.XLOOKUP($B253,'[3]Jan-26'!$A:$A,'[3]Jan-26'!$H:$H,0)</f>
        <v>0</v>
      </c>
      <c r="AE253" s="17">
        <f>_xlfn.XLOOKUP($B253,'[3]Feb-26'!$A:$A,'[3]Feb-26'!$H:$H,0)</f>
        <v>0</v>
      </c>
      <c r="AF253" s="17">
        <f>_xlfn.XLOOKUP($B253,'[3]Mar-26'!$A:$A,'[3]Mar-26'!$H:$H,0)</f>
        <v>0</v>
      </c>
      <c r="AG253" s="17">
        <f>_xlfn.XLOOKUP($B253,'[3]Apr-26'!$A:$A,'[3]Apr-26'!$H:$H,0)</f>
        <v>0</v>
      </c>
    </row>
    <row r="254" spans="1:33" x14ac:dyDescent="0.2">
      <c r="A254" s="58" t="s">
        <v>921</v>
      </c>
      <c r="B254" s="56" t="str">
        <f t="shared" si="5"/>
        <v>64000</v>
      </c>
      <c r="C254" s="78" t="s">
        <v>565</v>
      </c>
      <c r="D254" s="57" t="s">
        <v>387</v>
      </c>
      <c r="E254" s="44" t="s">
        <v>660</v>
      </c>
      <c r="F254" s="17">
        <f>_xlfn.XLOOKUP($B254,'[3]Jan-24'!$A:$A,'[3]Jan-24'!$H:$H,0)</f>
        <v>35.799999999999997</v>
      </c>
      <c r="G254" s="17">
        <f>_xlfn.XLOOKUP($B254,'[3]Feb-24'!$A:$A,'[3]Feb-24'!$H:$H,0)</f>
        <v>35.799999999999997</v>
      </c>
      <c r="H254" s="17">
        <f>_xlfn.XLOOKUP($B254,'[3]Mar-24'!$A:$A,'[3]Mar-24'!$H:$H,0)</f>
        <v>35.799999999999997</v>
      </c>
      <c r="I254" s="17">
        <f>_xlfn.XLOOKUP($B254,'[3]Apr-24'!$A:$A,'[3]Apr-24'!$H:$H,0)</f>
        <v>35.799999999999997</v>
      </c>
      <c r="J254" s="17">
        <f>_xlfn.XLOOKUP($B254,'[3]May-24'!$A:$A,'[3]May-24'!$H:$H,0)</f>
        <v>35.799999999999997</v>
      </c>
      <c r="K254" s="17">
        <f>_xlfn.XLOOKUP($B254,'[3]Jun-24'!$A:$A,'[3]Jun-24'!$H:$H,0)</f>
        <v>35.799999999999997</v>
      </c>
      <c r="L254" s="17">
        <f>_xlfn.XLOOKUP($B254,'[3]Jul-24'!$A:$A,'[3]Jul-24'!$H:$H,0)</f>
        <v>35.799999999999997</v>
      </c>
      <c r="M254" s="17">
        <f>_xlfn.XLOOKUP($B254,'[3]Aug-24'!$A:$A,'[3]Aug-24'!$H:$H,0)</f>
        <v>35.799999999999997</v>
      </c>
      <c r="N254" s="17">
        <f>_xlfn.XLOOKUP($B254,'[3]Sep-24'!$A:$A,'[3]Sep-24'!$H:$H,0)</f>
        <v>35.799999999999997</v>
      </c>
      <c r="O254" s="17">
        <f>_xlfn.XLOOKUP($B254,'[3]Oct-24'!$A:$A,'[3]Oct-24'!$H:$H,0)</f>
        <v>35.799999999999997</v>
      </c>
      <c r="P254" s="17">
        <f>_xlfn.XLOOKUP($B254,'[3]Nov-24'!$A:$A,'[3]Nov-24'!$H:$H,0)</f>
        <v>35.799999999999997</v>
      </c>
      <c r="Q254" s="17">
        <f>_xlfn.XLOOKUP($B254,'[3]Dec-24'!$A:$A,'[3]Dec-24'!$H:$H,0)</f>
        <v>35.799999999999997</v>
      </c>
      <c r="R254" s="17">
        <f>_xlfn.XLOOKUP($B254,'[3]Jan-25'!$A:$A,'[3]Jan-25'!$H:$H,0)</f>
        <v>35.799999999999997</v>
      </c>
      <c r="S254" s="17">
        <f>_xlfn.XLOOKUP($B254,'[3]Feb-25'!$A:$A,'[3]Feb-25'!$H:$H,0)</f>
        <v>35.799999999999997</v>
      </c>
      <c r="T254" s="17">
        <f>_xlfn.XLOOKUP($B254,'[3]Mar-25'!$A:$A,'[3]Mar-25'!$H:$H,0)</f>
        <v>35.799999999999997</v>
      </c>
      <c r="U254" s="17">
        <f>_xlfn.XLOOKUP($B254,'[3]Apr-25'!$A:$A,'[3]Apr-25'!$H:$H,0)</f>
        <v>35.799999999999997</v>
      </c>
      <c r="V254" s="17">
        <f>_xlfn.XLOOKUP($B254,'[3]May-25'!$A:$A,'[3]May-25'!$H:$H,0)</f>
        <v>35.799999999999997</v>
      </c>
      <c r="W254" s="17">
        <f>_xlfn.XLOOKUP($B254,'[3]Jun-25'!$A:$A,'[3]Jun-25'!$H:$H,0)</f>
        <v>35.799999999999997</v>
      </c>
      <c r="X254" s="17">
        <f>_xlfn.XLOOKUP($B254,'[3]Jul-25'!$A:$A,'[3]Jul-25'!$H:$H,0)</f>
        <v>35.799999999999997</v>
      </c>
      <c r="Y254" s="17">
        <f>_xlfn.XLOOKUP($B254,'[3]Aug-25'!$A:$A,'[3]Aug-25'!$H:$H,0)</f>
        <v>35.799999999999997</v>
      </c>
      <c r="Z254" s="17">
        <f>_xlfn.XLOOKUP($B254,'[3]Sep-25'!$A:$A,'[3]Sep-25'!$H:$H,0)</f>
        <v>35.799999999999997</v>
      </c>
      <c r="AA254" s="17">
        <f>_xlfn.XLOOKUP($B254,'[3]Oct-25'!$A:$A,'[3]Oct-25'!$H:$H,0)</f>
        <v>35.799999999999997</v>
      </c>
      <c r="AB254" s="17">
        <f>_xlfn.XLOOKUP($B254,'[3]Nov-25'!$A:$A,'[3]Nov-25'!$H:$H,0)</f>
        <v>35.799999999999997</v>
      </c>
      <c r="AC254" s="17">
        <f>_xlfn.XLOOKUP($B254,'[3]Dec-25'!$A:$A,'[3]Dec-25'!$H:$H,0)</f>
        <v>35.799999999999997</v>
      </c>
      <c r="AD254" s="17">
        <f>_xlfn.XLOOKUP($B254,'[3]Jan-26'!$A:$A,'[3]Jan-26'!$H:$H,0)</f>
        <v>35.799999999999997</v>
      </c>
      <c r="AE254" s="17">
        <f>_xlfn.XLOOKUP($B254,'[3]Feb-26'!$A:$A,'[3]Feb-26'!$H:$H,0)</f>
        <v>35.799999999999997</v>
      </c>
      <c r="AF254" s="17">
        <f>_xlfn.XLOOKUP($B254,'[3]Mar-26'!$A:$A,'[3]Mar-26'!$H:$H,0)</f>
        <v>35.799999999999997</v>
      </c>
      <c r="AG254" s="17">
        <f>_xlfn.XLOOKUP($B254,'[3]Apr-26'!$A:$A,'[3]Apr-26'!$H:$H,0)</f>
        <v>35.799999999999997</v>
      </c>
    </row>
    <row r="255" spans="1:33" x14ac:dyDescent="0.2">
      <c r="A255" s="58" t="s">
        <v>1192</v>
      </c>
      <c r="B255" s="56" t="str">
        <f t="shared" si="5"/>
        <v>65000</v>
      </c>
      <c r="C255" s="78" t="s">
        <v>565</v>
      </c>
      <c r="D255" s="57" t="s">
        <v>387</v>
      </c>
      <c r="E255" s="44" t="s">
        <v>661</v>
      </c>
      <c r="F255" s="17">
        <f>_xlfn.XLOOKUP($B255,'[3]Jan-24'!$A:$A,'[3]Jan-24'!$H:$H,0)</f>
        <v>0</v>
      </c>
      <c r="G255" s="17">
        <f>_xlfn.XLOOKUP($B255,'[3]Feb-24'!$A:$A,'[3]Feb-24'!$H:$H,0)</f>
        <v>0</v>
      </c>
      <c r="H255" s="17">
        <f>_xlfn.XLOOKUP($B255,'[3]Mar-24'!$A:$A,'[3]Mar-24'!$H:$H,0)</f>
        <v>0</v>
      </c>
      <c r="I255" s="17">
        <f>_xlfn.XLOOKUP($B255,'[3]Apr-24'!$A:$A,'[3]Apr-24'!$H:$H,0)</f>
        <v>0</v>
      </c>
      <c r="J255" s="17">
        <f>_xlfn.XLOOKUP($B255,'[3]May-24'!$A:$A,'[3]May-24'!$H:$H,0)</f>
        <v>0</v>
      </c>
      <c r="K255" s="17">
        <f>_xlfn.XLOOKUP($B255,'[3]Jun-24'!$A:$A,'[3]Jun-24'!$H:$H,0)</f>
        <v>0</v>
      </c>
      <c r="L255" s="17">
        <f>_xlfn.XLOOKUP($B255,'[3]Jul-24'!$A:$A,'[3]Jul-24'!$H:$H,0)</f>
        <v>0</v>
      </c>
      <c r="M255" s="17">
        <f>_xlfn.XLOOKUP($B255,'[3]Aug-24'!$A:$A,'[3]Aug-24'!$H:$H,0)</f>
        <v>0</v>
      </c>
      <c r="N255" s="17">
        <f>_xlfn.XLOOKUP($B255,'[3]Sep-24'!$A:$A,'[3]Sep-24'!$H:$H,0)</f>
        <v>0</v>
      </c>
      <c r="O255" s="17">
        <f>_xlfn.XLOOKUP($B255,'[3]Oct-24'!$A:$A,'[3]Oct-24'!$H:$H,0)</f>
        <v>0</v>
      </c>
      <c r="P255" s="17">
        <f>_xlfn.XLOOKUP($B255,'[3]Nov-24'!$A:$A,'[3]Nov-24'!$H:$H,0)</f>
        <v>0</v>
      </c>
      <c r="Q255" s="17">
        <f>_xlfn.XLOOKUP($B255,'[3]Dec-24'!$A:$A,'[3]Dec-24'!$H:$H,0)</f>
        <v>0</v>
      </c>
      <c r="R255" s="17">
        <f>_xlfn.XLOOKUP($B255,'[3]Jan-25'!$A:$A,'[3]Jan-25'!$H:$H,0)</f>
        <v>0</v>
      </c>
      <c r="S255" s="17">
        <f>_xlfn.XLOOKUP($B255,'[3]Feb-25'!$A:$A,'[3]Feb-25'!$H:$H,0)</f>
        <v>0</v>
      </c>
      <c r="T255" s="17">
        <f>_xlfn.XLOOKUP($B255,'[3]Mar-25'!$A:$A,'[3]Mar-25'!$H:$H,0)</f>
        <v>0</v>
      </c>
      <c r="U255" s="17">
        <f>_xlfn.XLOOKUP($B255,'[3]Apr-25'!$A:$A,'[3]Apr-25'!$H:$H,0)</f>
        <v>0</v>
      </c>
      <c r="V255" s="17">
        <f>_xlfn.XLOOKUP($B255,'[3]May-25'!$A:$A,'[3]May-25'!$H:$H,0)</f>
        <v>0</v>
      </c>
      <c r="W255" s="17">
        <f>_xlfn.XLOOKUP($B255,'[3]Jun-25'!$A:$A,'[3]Jun-25'!$H:$H,0)</f>
        <v>0</v>
      </c>
      <c r="X255" s="17">
        <f>_xlfn.XLOOKUP($B255,'[3]Jul-25'!$A:$A,'[3]Jul-25'!$H:$H,0)</f>
        <v>0</v>
      </c>
      <c r="Y255" s="17">
        <f>_xlfn.XLOOKUP($B255,'[3]Aug-25'!$A:$A,'[3]Aug-25'!$H:$H,0)</f>
        <v>0</v>
      </c>
      <c r="Z255" s="17">
        <f>_xlfn.XLOOKUP($B255,'[3]Sep-25'!$A:$A,'[3]Sep-25'!$H:$H,0)</f>
        <v>0</v>
      </c>
      <c r="AA255" s="17">
        <f>_xlfn.XLOOKUP($B255,'[3]Oct-25'!$A:$A,'[3]Oct-25'!$H:$H,0)</f>
        <v>0</v>
      </c>
      <c r="AB255" s="17">
        <f>_xlfn.XLOOKUP($B255,'[3]Nov-25'!$A:$A,'[3]Nov-25'!$H:$H,0)</f>
        <v>0</v>
      </c>
      <c r="AC255" s="17">
        <f>_xlfn.XLOOKUP($B255,'[3]Dec-25'!$A:$A,'[3]Dec-25'!$H:$H,0)</f>
        <v>0</v>
      </c>
      <c r="AD255" s="17">
        <f>_xlfn.XLOOKUP($B255,'[3]Jan-26'!$A:$A,'[3]Jan-26'!$H:$H,0)</f>
        <v>0</v>
      </c>
      <c r="AE255" s="17">
        <f>_xlfn.XLOOKUP($B255,'[3]Feb-26'!$A:$A,'[3]Feb-26'!$H:$H,0)</f>
        <v>0</v>
      </c>
      <c r="AF255" s="17">
        <f>_xlfn.XLOOKUP($B255,'[3]Mar-26'!$A:$A,'[3]Mar-26'!$H:$H,0)</f>
        <v>0</v>
      </c>
      <c r="AG255" s="17">
        <f>_xlfn.XLOOKUP($B255,'[3]Apr-26'!$A:$A,'[3]Apr-26'!$H:$H,0)</f>
        <v>0</v>
      </c>
    </row>
    <row r="256" spans="1:33" x14ac:dyDescent="0.2">
      <c r="A256" s="58" t="s">
        <v>1193</v>
      </c>
      <c r="B256" s="56" t="str">
        <f t="shared" si="5"/>
        <v>65010</v>
      </c>
      <c r="C256" s="78" t="s">
        <v>565</v>
      </c>
      <c r="D256" s="57" t="s">
        <v>387</v>
      </c>
      <c r="E256" s="44" t="s">
        <v>664</v>
      </c>
      <c r="F256" s="17">
        <f>_xlfn.XLOOKUP($B256,'[3]Jan-24'!$A:$A,'[3]Jan-24'!$H:$H,0)</f>
        <v>0</v>
      </c>
      <c r="G256" s="17">
        <f>_xlfn.XLOOKUP($B256,'[3]Feb-24'!$A:$A,'[3]Feb-24'!$H:$H,0)</f>
        <v>0</v>
      </c>
      <c r="H256" s="17">
        <f>_xlfn.XLOOKUP($B256,'[3]Mar-24'!$A:$A,'[3]Mar-24'!$H:$H,0)</f>
        <v>0</v>
      </c>
      <c r="I256" s="17">
        <f>_xlfn.XLOOKUP($B256,'[3]Apr-24'!$A:$A,'[3]Apr-24'!$H:$H,0)</f>
        <v>0</v>
      </c>
      <c r="J256" s="17">
        <f>_xlfn.XLOOKUP($B256,'[3]May-24'!$A:$A,'[3]May-24'!$H:$H,0)</f>
        <v>0</v>
      </c>
      <c r="K256" s="17">
        <f>_xlfn.XLOOKUP($B256,'[3]Jun-24'!$A:$A,'[3]Jun-24'!$H:$H,0)</f>
        <v>0</v>
      </c>
      <c r="L256" s="17">
        <f>_xlfn.XLOOKUP($B256,'[3]Jul-24'!$A:$A,'[3]Jul-24'!$H:$H,0)</f>
        <v>0</v>
      </c>
      <c r="M256" s="17">
        <f>_xlfn.XLOOKUP($B256,'[3]Aug-24'!$A:$A,'[3]Aug-24'!$H:$H,0)</f>
        <v>0</v>
      </c>
      <c r="N256" s="17">
        <f>_xlfn.XLOOKUP($B256,'[3]Sep-24'!$A:$A,'[3]Sep-24'!$H:$H,0)</f>
        <v>0</v>
      </c>
      <c r="O256" s="17">
        <f>_xlfn.XLOOKUP($B256,'[3]Oct-24'!$A:$A,'[3]Oct-24'!$H:$H,0)</f>
        <v>0</v>
      </c>
      <c r="P256" s="17">
        <f>_xlfn.XLOOKUP($B256,'[3]Nov-24'!$A:$A,'[3]Nov-24'!$H:$H,0)</f>
        <v>0</v>
      </c>
      <c r="Q256" s="17">
        <f>_xlfn.XLOOKUP($B256,'[3]Dec-24'!$A:$A,'[3]Dec-24'!$H:$H,0)</f>
        <v>0</v>
      </c>
      <c r="R256" s="17">
        <f>_xlfn.XLOOKUP($B256,'[3]Jan-25'!$A:$A,'[3]Jan-25'!$H:$H,0)</f>
        <v>0</v>
      </c>
      <c r="S256" s="17">
        <f>_xlfn.XLOOKUP($B256,'[3]Feb-25'!$A:$A,'[3]Feb-25'!$H:$H,0)</f>
        <v>0</v>
      </c>
      <c r="T256" s="17">
        <f>_xlfn.XLOOKUP($B256,'[3]Mar-25'!$A:$A,'[3]Mar-25'!$H:$H,0)</f>
        <v>0</v>
      </c>
      <c r="U256" s="17">
        <f>_xlfn.XLOOKUP($B256,'[3]Apr-25'!$A:$A,'[3]Apr-25'!$H:$H,0)</f>
        <v>0</v>
      </c>
      <c r="V256" s="17">
        <f>_xlfn.XLOOKUP($B256,'[3]May-25'!$A:$A,'[3]May-25'!$H:$H,0)</f>
        <v>0</v>
      </c>
      <c r="W256" s="17">
        <f>_xlfn.XLOOKUP($B256,'[3]Jun-25'!$A:$A,'[3]Jun-25'!$H:$H,0)</f>
        <v>0</v>
      </c>
      <c r="X256" s="17">
        <f>_xlfn.XLOOKUP($B256,'[3]Jul-25'!$A:$A,'[3]Jul-25'!$H:$H,0)</f>
        <v>0</v>
      </c>
      <c r="Y256" s="17">
        <f>_xlfn.XLOOKUP($B256,'[3]Aug-25'!$A:$A,'[3]Aug-25'!$H:$H,0)</f>
        <v>0</v>
      </c>
      <c r="Z256" s="17">
        <f>_xlfn.XLOOKUP($B256,'[3]Sep-25'!$A:$A,'[3]Sep-25'!$H:$H,0)</f>
        <v>0</v>
      </c>
      <c r="AA256" s="17">
        <f>_xlfn.XLOOKUP($B256,'[3]Oct-25'!$A:$A,'[3]Oct-25'!$H:$H,0)</f>
        <v>0</v>
      </c>
      <c r="AB256" s="17">
        <f>_xlfn.XLOOKUP($B256,'[3]Nov-25'!$A:$A,'[3]Nov-25'!$H:$H,0)</f>
        <v>0</v>
      </c>
      <c r="AC256" s="17">
        <f>_xlfn.XLOOKUP($B256,'[3]Dec-25'!$A:$A,'[3]Dec-25'!$H:$H,0)</f>
        <v>0</v>
      </c>
      <c r="AD256" s="17">
        <f>_xlfn.XLOOKUP($B256,'[3]Jan-26'!$A:$A,'[3]Jan-26'!$H:$H,0)</f>
        <v>0</v>
      </c>
      <c r="AE256" s="17">
        <f>_xlfn.XLOOKUP($B256,'[3]Feb-26'!$A:$A,'[3]Feb-26'!$H:$H,0)</f>
        <v>0</v>
      </c>
      <c r="AF256" s="17">
        <f>_xlfn.XLOOKUP($B256,'[3]Mar-26'!$A:$A,'[3]Mar-26'!$H:$H,0)</f>
        <v>0</v>
      </c>
      <c r="AG256" s="17">
        <f>_xlfn.XLOOKUP($B256,'[3]Apr-26'!$A:$A,'[3]Apr-26'!$H:$H,0)</f>
        <v>0</v>
      </c>
    </row>
    <row r="257" spans="1:33" x14ac:dyDescent="0.2">
      <c r="A257" s="58" t="s">
        <v>1194</v>
      </c>
      <c r="B257" s="56" t="str">
        <f t="shared" si="5"/>
        <v>65015</v>
      </c>
      <c r="C257" s="78" t="s">
        <v>565</v>
      </c>
      <c r="D257" s="57" t="s">
        <v>387</v>
      </c>
      <c r="E257" s="44" t="s">
        <v>665</v>
      </c>
      <c r="F257" s="17">
        <f>_xlfn.XLOOKUP($B257,'[3]Jan-24'!$A:$A,'[3]Jan-24'!$H:$H,0)</f>
        <v>0</v>
      </c>
      <c r="G257" s="17">
        <f>_xlfn.XLOOKUP($B257,'[3]Feb-24'!$A:$A,'[3]Feb-24'!$H:$H,0)</f>
        <v>0</v>
      </c>
      <c r="H257" s="17">
        <f>_xlfn.XLOOKUP($B257,'[3]Mar-24'!$A:$A,'[3]Mar-24'!$H:$H,0)</f>
        <v>0</v>
      </c>
      <c r="I257" s="17">
        <f>_xlfn.XLOOKUP($B257,'[3]Apr-24'!$A:$A,'[3]Apr-24'!$H:$H,0)</f>
        <v>0</v>
      </c>
      <c r="J257" s="17">
        <f>_xlfn.XLOOKUP($B257,'[3]May-24'!$A:$A,'[3]May-24'!$H:$H,0)</f>
        <v>0</v>
      </c>
      <c r="K257" s="17">
        <f>_xlfn.XLOOKUP($B257,'[3]Jun-24'!$A:$A,'[3]Jun-24'!$H:$H,0)</f>
        <v>0</v>
      </c>
      <c r="L257" s="17">
        <f>_xlfn.XLOOKUP($B257,'[3]Jul-24'!$A:$A,'[3]Jul-24'!$H:$H,0)</f>
        <v>0</v>
      </c>
      <c r="M257" s="17">
        <f>_xlfn.XLOOKUP($B257,'[3]Aug-24'!$A:$A,'[3]Aug-24'!$H:$H,0)</f>
        <v>0</v>
      </c>
      <c r="N257" s="17">
        <f>_xlfn.XLOOKUP($B257,'[3]Sep-24'!$A:$A,'[3]Sep-24'!$H:$H,0)</f>
        <v>0</v>
      </c>
      <c r="O257" s="17">
        <f>_xlfn.XLOOKUP($B257,'[3]Oct-24'!$A:$A,'[3]Oct-24'!$H:$H,0)</f>
        <v>0</v>
      </c>
      <c r="P257" s="17">
        <f>_xlfn.XLOOKUP($B257,'[3]Nov-24'!$A:$A,'[3]Nov-24'!$H:$H,0)</f>
        <v>0</v>
      </c>
      <c r="Q257" s="17">
        <f>_xlfn.XLOOKUP($B257,'[3]Dec-24'!$A:$A,'[3]Dec-24'!$H:$H,0)</f>
        <v>0</v>
      </c>
      <c r="R257" s="17">
        <f>_xlfn.XLOOKUP($B257,'[3]Jan-25'!$A:$A,'[3]Jan-25'!$H:$H,0)</f>
        <v>0</v>
      </c>
      <c r="S257" s="17">
        <f>_xlfn.XLOOKUP($B257,'[3]Feb-25'!$A:$A,'[3]Feb-25'!$H:$H,0)</f>
        <v>0</v>
      </c>
      <c r="T257" s="17">
        <f>_xlfn.XLOOKUP($B257,'[3]Mar-25'!$A:$A,'[3]Mar-25'!$H:$H,0)</f>
        <v>0</v>
      </c>
      <c r="U257" s="17">
        <f>_xlfn.XLOOKUP($B257,'[3]Apr-25'!$A:$A,'[3]Apr-25'!$H:$H,0)</f>
        <v>0</v>
      </c>
      <c r="V257" s="17">
        <f>_xlfn.XLOOKUP($B257,'[3]May-25'!$A:$A,'[3]May-25'!$H:$H,0)</f>
        <v>0</v>
      </c>
      <c r="W257" s="17">
        <f>_xlfn.XLOOKUP($B257,'[3]Jun-25'!$A:$A,'[3]Jun-25'!$H:$H,0)</f>
        <v>0</v>
      </c>
      <c r="X257" s="17">
        <f>_xlfn.XLOOKUP($B257,'[3]Jul-25'!$A:$A,'[3]Jul-25'!$H:$H,0)</f>
        <v>0</v>
      </c>
      <c r="Y257" s="17">
        <f>_xlfn.XLOOKUP($B257,'[3]Aug-25'!$A:$A,'[3]Aug-25'!$H:$H,0)</f>
        <v>0</v>
      </c>
      <c r="Z257" s="17">
        <f>_xlfn.XLOOKUP($B257,'[3]Sep-25'!$A:$A,'[3]Sep-25'!$H:$H,0)</f>
        <v>0</v>
      </c>
      <c r="AA257" s="17">
        <f>_xlfn.XLOOKUP($B257,'[3]Oct-25'!$A:$A,'[3]Oct-25'!$H:$H,0)</f>
        <v>0</v>
      </c>
      <c r="AB257" s="17">
        <f>_xlfn.XLOOKUP($B257,'[3]Nov-25'!$A:$A,'[3]Nov-25'!$H:$H,0)</f>
        <v>0</v>
      </c>
      <c r="AC257" s="17">
        <f>_xlfn.XLOOKUP($B257,'[3]Dec-25'!$A:$A,'[3]Dec-25'!$H:$H,0)</f>
        <v>0</v>
      </c>
      <c r="AD257" s="17">
        <f>_xlfn.XLOOKUP($B257,'[3]Jan-26'!$A:$A,'[3]Jan-26'!$H:$H,0)</f>
        <v>0</v>
      </c>
      <c r="AE257" s="17">
        <f>_xlfn.XLOOKUP($B257,'[3]Feb-26'!$A:$A,'[3]Feb-26'!$H:$H,0)</f>
        <v>0</v>
      </c>
      <c r="AF257" s="17">
        <f>_xlfn.XLOOKUP($B257,'[3]Mar-26'!$A:$A,'[3]Mar-26'!$H:$H,0)</f>
        <v>0</v>
      </c>
      <c r="AG257" s="17">
        <f>_xlfn.XLOOKUP($B257,'[3]Apr-26'!$A:$A,'[3]Apr-26'!$H:$H,0)</f>
        <v>0</v>
      </c>
    </row>
    <row r="258" spans="1:33" x14ac:dyDescent="0.2">
      <c r="A258" s="58" t="s">
        <v>893</v>
      </c>
      <c r="B258" s="56" t="str">
        <f t="shared" si="5"/>
        <v>65020</v>
      </c>
      <c r="C258" s="78" t="s">
        <v>565</v>
      </c>
      <c r="D258" s="57" t="s">
        <v>387</v>
      </c>
      <c r="E258" s="44" t="s">
        <v>666</v>
      </c>
      <c r="F258" s="17">
        <f>_xlfn.XLOOKUP($B258,'[3]Jan-24'!$A:$A,'[3]Jan-24'!$H:$H,0)</f>
        <v>0</v>
      </c>
      <c r="G258" s="17">
        <f>_xlfn.XLOOKUP($B258,'[3]Feb-24'!$A:$A,'[3]Feb-24'!$H:$H,0)</f>
        <v>0</v>
      </c>
      <c r="H258" s="17">
        <f>_xlfn.XLOOKUP($B258,'[3]Mar-24'!$A:$A,'[3]Mar-24'!$H:$H,0)</f>
        <v>0</v>
      </c>
      <c r="I258" s="17">
        <f>_xlfn.XLOOKUP($B258,'[3]Apr-24'!$A:$A,'[3]Apr-24'!$H:$H,0)</f>
        <v>0</v>
      </c>
      <c r="J258" s="17">
        <f>_xlfn.XLOOKUP($B258,'[3]May-24'!$A:$A,'[3]May-24'!$H:$H,0)</f>
        <v>0</v>
      </c>
      <c r="K258" s="17">
        <f>_xlfn.XLOOKUP($B258,'[3]Jun-24'!$A:$A,'[3]Jun-24'!$H:$H,0)</f>
        <v>0</v>
      </c>
      <c r="L258" s="17">
        <f>_xlfn.XLOOKUP($B258,'[3]Jul-24'!$A:$A,'[3]Jul-24'!$H:$H,0)</f>
        <v>0</v>
      </c>
      <c r="M258" s="17">
        <f>_xlfn.XLOOKUP($B258,'[3]Aug-24'!$A:$A,'[3]Aug-24'!$H:$H,0)</f>
        <v>0</v>
      </c>
      <c r="N258" s="17">
        <f>_xlfn.XLOOKUP($B258,'[3]Sep-24'!$A:$A,'[3]Sep-24'!$H:$H,0)</f>
        <v>0</v>
      </c>
      <c r="O258" s="17">
        <f>_xlfn.XLOOKUP($B258,'[3]Oct-24'!$A:$A,'[3]Oct-24'!$H:$H,0)</f>
        <v>0</v>
      </c>
      <c r="P258" s="17">
        <f>_xlfn.XLOOKUP($B258,'[3]Nov-24'!$A:$A,'[3]Nov-24'!$H:$H,0)</f>
        <v>55125</v>
      </c>
      <c r="Q258" s="17">
        <f>_xlfn.XLOOKUP($B258,'[3]Dec-24'!$A:$A,'[3]Dec-24'!$H:$H,0)</f>
        <v>82687.5</v>
      </c>
      <c r="R258" s="17">
        <f>_xlfn.XLOOKUP($B258,'[3]Jan-25'!$A:$A,'[3]Jan-25'!$H:$H,0)</f>
        <v>55125</v>
      </c>
      <c r="S258" s="17">
        <f>_xlfn.XLOOKUP($B258,'[3]Feb-25'!$A:$A,'[3]Feb-25'!$H:$H,0)</f>
        <v>55125</v>
      </c>
      <c r="T258" s="17">
        <f>_xlfn.XLOOKUP($B258,'[3]Mar-25'!$A:$A,'[3]Mar-25'!$H:$H,0)</f>
        <v>55125</v>
      </c>
      <c r="U258" s="17">
        <f>_xlfn.XLOOKUP($B258,'[3]Apr-25'!$A:$A,'[3]Apr-25'!$H:$H,0)</f>
        <v>55125</v>
      </c>
      <c r="V258" s="17">
        <f>_xlfn.XLOOKUP($B258,'[3]May-25'!$A:$A,'[3]May-25'!$H:$H,0)</f>
        <v>55125</v>
      </c>
      <c r="W258" s="17">
        <f>_xlfn.XLOOKUP($B258,'[3]Jun-25'!$A:$A,'[3]Jun-25'!$H:$H,0)</f>
        <v>55125</v>
      </c>
      <c r="X258" s="17">
        <f>_xlfn.XLOOKUP($B258,'[3]Jul-25'!$A:$A,'[3]Jul-25'!$H:$H,0)</f>
        <v>55125</v>
      </c>
      <c r="Y258" s="17">
        <f>_xlfn.XLOOKUP($B258,'[3]Aug-25'!$A:$A,'[3]Aug-25'!$H:$H,0)</f>
        <v>55125</v>
      </c>
      <c r="Z258" s="17">
        <f>_xlfn.XLOOKUP($B258,'[3]Sep-25'!$A:$A,'[3]Sep-25'!$H:$H,0)</f>
        <v>55125</v>
      </c>
      <c r="AA258" s="17">
        <f>_xlfn.XLOOKUP($B258,'[3]Oct-25'!$A:$A,'[3]Oct-25'!$H:$H,0)</f>
        <v>55125</v>
      </c>
      <c r="AB258" s="17">
        <f>_xlfn.XLOOKUP($B258,'[3]Nov-25'!$A:$A,'[3]Nov-25'!$H:$H,0)</f>
        <v>55125</v>
      </c>
      <c r="AC258" s="17">
        <f>_xlfn.XLOOKUP($B258,'[3]Dec-25'!$A:$A,'[3]Dec-25'!$H:$H,0)</f>
        <v>82687.5</v>
      </c>
      <c r="AD258" s="17">
        <f>_xlfn.XLOOKUP($B258,'[3]Jan-26'!$A:$A,'[3]Jan-26'!$H:$H,0)</f>
        <v>55125</v>
      </c>
      <c r="AE258" s="17">
        <f>_xlfn.XLOOKUP($B258,'[3]Feb-26'!$A:$A,'[3]Feb-26'!$H:$H,0)</f>
        <v>55125</v>
      </c>
      <c r="AF258" s="17">
        <f>_xlfn.XLOOKUP($B258,'[3]Mar-26'!$A:$A,'[3]Mar-26'!$H:$H,0)</f>
        <v>55125</v>
      </c>
      <c r="AG258" s="17">
        <f>_xlfn.XLOOKUP($B258,'[3]Apr-26'!$A:$A,'[3]Apr-26'!$H:$H,0)</f>
        <v>55125</v>
      </c>
    </row>
    <row r="259" spans="1:33" x14ac:dyDescent="0.2">
      <c r="A259" s="58" t="s">
        <v>1195</v>
      </c>
      <c r="B259" s="56" t="str">
        <f t="shared" si="5"/>
        <v>65030</v>
      </c>
      <c r="C259" s="78" t="s">
        <v>565</v>
      </c>
      <c r="D259" s="57" t="s">
        <v>387</v>
      </c>
      <c r="E259" s="44" t="s">
        <v>668</v>
      </c>
      <c r="F259" s="17">
        <f>_xlfn.XLOOKUP($B259,'[3]Jan-24'!$A:$A,'[3]Jan-24'!$H:$H,0)</f>
        <v>0</v>
      </c>
      <c r="G259" s="17">
        <f>_xlfn.XLOOKUP($B259,'[3]Feb-24'!$A:$A,'[3]Feb-24'!$H:$H,0)</f>
        <v>0</v>
      </c>
      <c r="H259" s="17">
        <f>_xlfn.XLOOKUP($B259,'[3]Mar-24'!$A:$A,'[3]Mar-24'!$H:$H,0)</f>
        <v>0</v>
      </c>
      <c r="I259" s="17">
        <f>_xlfn.XLOOKUP($B259,'[3]Apr-24'!$A:$A,'[3]Apr-24'!$H:$H,0)</f>
        <v>0</v>
      </c>
      <c r="J259" s="17">
        <f>_xlfn.XLOOKUP($B259,'[3]May-24'!$A:$A,'[3]May-24'!$H:$H,0)</f>
        <v>0</v>
      </c>
      <c r="K259" s="17">
        <f>_xlfn.XLOOKUP($B259,'[3]Jun-24'!$A:$A,'[3]Jun-24'!$H:$H,0)</f>
        <v>0</v>
      </c>
      <c r="L259" s="17">
        <f>_xlfn.XLOOKUP($B259,'[3]Jul-24'!$A:$A,'[3]Jul-24'!$H:$H,0)</f>
        <v>0</v>
      </c>
      <c r="M259" s="17">
        <f>_xlfn.XLOOKUP($B259,'[3]Aug-24'!$A:$A,'[3]Aug-24'!$H:$H,0)</f>
        <v>0</v>
      </c>
      <c r="N259" s="17">
        <f>_xlfn.XLOOKUP($B259,'[3]Sep-24'!$A:$A,'[3]Sep-24'!$H:$H,0)</f>
        <v>0</v>
      </c>
      <c r="O259" s="17">
        <f>_xlfn.XLOOKUP($B259,'[3]Oct-24'!$A:$A,'[3]Oct-24'!$H:$H,0)</f>
        <v>0</v>
      </c>
      <c r="P259" s="17">
        <f>_xlfn.XLOOKUP($B259,'[3]Nov-24'!$A:$A,'[3]Nov-24'!$H:$H,0)</f>
        <v>0</v>
      </c>
      <c r="Q259" s="17">
        <f>_xlfn.XLOOKUP($B259,'[3]Dec-24'!$A:$A,'[3]Dec-24'!$H:$H,0)</f>
        <v>0</v>
      </c>
      <c r="R259" s="17">
        <f>_xlfn.XLOOKUP($B259,'[3]Jan-25'!$A:$A,'[3]Jan-25'!$H:$H,0)</f>
        <v>0</v>
      </c>
      <c r="S259" s="17">
        <f>_xlfn.XLOOKUP($B259,'[3]Feb-25'!$A:$A,'[3]Feb-25'!$H:$H,0)</f>
        <v>0</v>
      </c>
      <c r="T259" s="17">
        <f>_xlfn.XLOOKUP($B259,'[3]Mar-25'!$A:$A,'[3]Mar-25'!$H:$H,0)</f>
        <v>0</v>
      </c>
      <c r="U259" s="17">
        <f>_xlfn.XLOOKUP($B259,'[3]Apr-25'!$A:$A,'[3]Apr-25'!$H:$H,0)</f>
        <v>0</v>
      </c>
      <c r="V259" s="17">
        <f>_xlfn.XLOOKUP($B259,'[3]May-25'!$A:$A,'[3]May-25'!$H:$H,0)</f>
        <v>0</v>
      </c>
      <c r="W259" s="17">
        <f>_xlfn.XLOOKUP($B259,'[3]Jun-25'!$A:$A,'[3]Jun-25'!$H:$H,0)</f>
        <v>0</v>
      </c>
      <c r="X259" s="17">
        <f>_xlfn.XLOOKUP($B259,'[3]Jul-25'!$A:$A,'[3]Jul-25'!$H:$H,0)</f>
        <v>0</v>
      </c>
      <c r="Y259" s="17">
        <f>_xlfn.XLOOKUP($B259,'[3]Aug-25'!$A:$A,'[3]Aug-25'!$H:$H,0)</f>
        <v>0</v>
      </c>
      <c r="Z259" s="17">
        <f>_xlfn.XLOOKUP($B259,'[3]Sep-25'!$A:$A,'[3]Sep-25'!$H:$H,0)</f>
        <v>0</v>
      </c>
      <c r="AA259" s="17">
        <f>_xlfn.XLOOKUP($B259,'[3]Oct-25'!$A:$A,'[3]Oct-25'!$H:$H,0)</f>
        <v>0</v>
      </c>
      <c r="AB259" s="17">
        <f>_xlfn.XLOOKUP($B259,'[3]Nov-25'!$A:$A,'[3]Nov-25'!$H:$H,0)</f>
        <v>0</v>
      </c>
      <c r="AC259" s="17">
        <f>_xlfn.XLOOKUP($B259,'[3]Dec-25'!$A:$A,'[3]Dec-25'!$H:$H,0)</f>
        <v>0</v>
      </c>
      <c r="AD259" s="17">
        <f>_xlfn.XLOOKUP($B259,'[3]Jan-26'!$A:$A,'[3]Jan-26'!$H:$H,0)</f>
        <v>0</v>
      </c>
      <c r="AE259" s="17">
        <f>_xlfn.XLOOKUP($B259,'[3]Feb-26'!$A:$A,'[3]Feb-26'!$H:$H,0)</f>
        <v>0</v>
      </c>
      <c r="AF259" s="17">
        <f>_xlfn.XLOOKUP($B259,'[3]Mar-26'!$A:$A,'[3]Mar-26'!$H:$H,0)</f>
        <v>0</v>
      </c>
      <c r="AG259" s="17">
        <f>_xlfn.XLOOKUP($B259,'[3]Apr-26'!$A:$A,'[3]Apr-26'!$H:$H,0)</f>
        <v>0</v>
      </c>
    </row>
    <row r="260" spans="1:33" x14ac:dyDescent="0.2">
      <c r="A260" s="58" t="s">
        <v>1196</v>
      </c>
      <c r="B260" s="56" t="str">
        <f t="shared" ref="B260:B285" si="6">TEXT(A260,"00000")</f>
        <v>65035</v>
      </c>
      <c r="C260" s="78" t="s">
        <v>565</v>
      </c>
      <c r="D260" s="57" t="s">
        <v>387</v>
      </c>
      <c r="E260" s="44" t="s">
        <v>671</v>
      </c>
      <c r="F260" s="17">
        <f>_xlfn.XLOOKUP($B260,'[3]Jan-24'!$A:$A,'[3]Jan-24'!$H:$H,0)</f>
        <v>0</v>
      </c>
      <c r="G260" s="17">
        <f>_xlfn.XLOOKUP($B260,'[3]Feb-24'!$A:$A,'[3]Feb-24'!$H:$H,0)</f>
        <v>0</v>
      </c>
      <c r="H260" s="17">
        <f>_xlfn.XLOOKUP($B260,'[3]Mar-24'!$A:$A,'[3]Mar-24'!$H:$H,0)</f>
        <v>0</v>
      </c>
      <c r="I260" s="17">
        <f>_xlfn.XLOOKUP($B260,'[3]Apr-24'!$A:$A,'[3]Apr-24'!$H:$H,0)</f>
        <v>0</v>
      </c>
      <c r="J260" s="17">
        <f>_xlfn.XLOOKUP($B260,'[3]May-24'!$A:$A,'[3]May-24'!$H:$H,0)</f>
        <v>0</v>
      </c>
      <c r="K260" s="17">
        <f>_xlfn.XLOOKUP($B260,'[3]Jun-24'!$A:$A,'[3]Jun-24'!$H:$H,0)</f>
        <v>0</v>
      </c>
      <c r="L260" s="17">
        <f>_xlfn.XLOOKUP($B260,'[3]Jul-24'!$A:$A,'[3]Jul-24'!$H:$H,0)</f>
        <v>0</v>
      </c>
      <c r="M260" s="17">
        <f>_xlfn.XLOOKUP($B260,'[3]Aug-24'!$A:$A,'[3]Aug-24'!$H:$H,0)</f>
        <v>0</v>
      </c>
      <c r="N260" s="17">
        <f>_xlfn.XLOOKUP($B260,'[3]Sep-24'!$A:$A,'[3]Sep-24'!$H:$H,0)</f>
        <v>0</v>
      </c>
      <c r="O260" s="17">
        <f>_xlfn.XLOOKUP($B260,'[3]Oct-24'!$A:$A,'[3]Oct-24'!$H:$H,0)</f>
        <v>0</v>
      </c>
      <c r="P260" s="17">
        <f>_xlfn.XLOOKUP($B260,'[3]Nov-24'!$A:$A,'[3]Nov-24'!$H:$H,0)</f>
        <v>0</v>
      </c>
      <c r="Q260" s="17">
        <f>_xlfn.XLOOKUP($B260,'[3]Dec-24'!$A:$A,'[3]Dec-24'!$H:$H,0)</f>
        <v>0</v>
      </c>
      <c r="R260" s="17">
        <f>_xlfn.XLOOKUP($B260,'[3]Jan-25'!$A:$A,'[3]Jan-25'!$H:$H,0)</f>
        <v>0</v>
      </c>
      <c r="S260" s="17">
        <f>_xlfn.XLOOKUP($B260,'[3]Feb-25'!$A:$A,'[3]Feb-25'!$H:$H,0)</f>
        <v>0</v>
      </c>
      <c r="T260" s="17">
        <f>_xlfn.XLOOKUP($B260,'[3]Mar-25'!$A:$A,'[3]Mar-25'!$H:$H,0)</f>
        <v>0</v>
      </c>
      <c r="U260" s="17">
        <f>_xlfn.XLOOKUP($B260,'[3]Apr-25'!$A:$A,'[3]Apr-25'!$H:$H,0)</f>
        <v>0</v>
      </c>
      <c r="V260" s="17">
        <f>_xlfn.XLOOKUP($B260,'[3]May-25'!$A:$A,'[3]May-25'!$H:$H,0)</f>
        <v>0</v>
      </c>
      <c r="W260" s="17">
        <f>_xlfn.XLOOKUP($B260,'[3]Jun-25'!$A:$A,'[3]Jun-25'!$H:$H,0)</f>
        <v>0</v>
      </c>
      <c r="X260" s="17">
        <f>_xlfn.XLOOKUP($B260,'[3]Jul-25'!$A:$A,'[3]Jul-25'!$H:$H,0)</f>
        <v>0</v>
      </c>
      <c r="Y260" s="17">
        <f>_xlfn.XLOOKUP($B260,'[3]Aug-25'!$A:$A,'[3]Aug-25'!$H:$H,0)</f>
        <v>0</v>
      </c>
      <c r="Z260" s="17">
        <f>_xlfn.XLOOKUP($B260,'[3]Sep-25'!$A:$A,'[3]Sep-25'!$H:$H,0)</f>
        <v>0</v>
      </c>
      <c r="AA260" s="17">
        <f>_xlfn.XLOOKUP($B260,'[3]Oct-25'!$A:$A,'[3]Oct-25'!$H:$H,0)</f>
        <v>0</v>
      </c>
      <c r="AB260" s="17">
        <f>_xlfn.XLOOKUP($B260,'[3]Nov-25'!$A:$A,'[3]Nov-25'!$H:$H,0)</f>
        <v>0</v>
      </c>
      <c r="AC260" s="17">
        <f>_xlfn.XLOOKUP($B260,'[3]Dec-25'!$A:$A,'[3]Dec-25'!$H:$H,0)</f>
        <v>0</v>
      </c>
      <c r="AD260" s="17">
        <f>_xlfn.XLOOKUP($B260,'[3]Jan-26'!$A:$A,'[3]Jan-26'!$H:$H,0)</f>
        <v>0</v>
      </c>
      <c r="AE260" s="17">
        <f>_xlfn.XLOOKUP($B260,'[3]Feb-26'!$A:$A,'[3]Feb-26'!$H:$H,0)</f>
        <v>0</v>
      </c>
      <c r="AF260" s="17">
        <f>_xlfn.XLOOKUP($B260,'[3]Mar-26'!$A:$A,'[3]Mar-26'!$H:$H,0)</f>
        <v>0</v>
      </c>
      <c r="AG260" s="17">
        <f>_xlfn.XLOOKUP($B260,'[3]Apr-26'!$A:$A,'[3]Apr-26'!$H:$H,0)</f>
        <v>0</v>
      </c>
    </row>
    <row r="261" spans="1:33" x14ac:dyDescent="0.2">
      <c r="A261" s="58" t="s">
        <v>1197</v>
      </c>
      <c r="B261" s="56" t="str">
        <f t="shared" si="6"/>
        <v>65050</v>
      </c>
      <c r="C261" s="78" t="s">
        <v>552</v>
      </c>
      <c r="D261" s="57" t="s">
        <v>387</v>
      </c>
      <c r="E261" s="44" t="s">
        <v>674</v>
      </c>
      <c r="F261" s="17">
        <f>_xlfn.XLOOKUP($B261,'[3]Jan-24'!$A:$A,'[3]Jan-24'!$H:$H,0)</f>
        <v>0</v>
      </c>
      <c r="G261" s="17">
        <f>_xlfn.XLOOKUP($B261,'[3]Feb-24'!$A:$A,'[3]Feb-24'!$H:$H,0)</f>
        <v>0</v>
      </c>
      <c r="H261" s="17">
        <f>_xlfn.XLOOKUP($B261,'[3]Mar-24'!$A:$A,'[3]Mar-24'!$H:$H,0)</f>
        <v>0</v>
      </c>
      <c r="I261" s="17">
        <f>_xlfn.XLOOKUP($B261,'[3]Apr-24'!$A:$A,'[3]Apr-24'!$H:$H,0)</f>
        <v>0</v>
      </c>
      <c r="J261" s="17">
        <f>_xlfn.XLOOKUP($B261,'[3]May-24'!$A:$A,'[3]May-24'!$H:$H,0)</f>
        <v>0</v>
      </c>
      <c r="K261" s="17">
        <f>_xlfn.XLOOKUP($B261,'[3]Jun-24'!$A:$A,'[3]Jun-24'!$H:$H,0)</f>
        <v>0</v>
      </c>
      <c r="L261" s="17">
        <f>_xlfn.XLOOKUP($B261,'[3]Jul-24'!$A:$A,'[3]Jul-24'!$H:$H,0)</f>
        <v>0</v>
      </c>
      <c r="M261" s="17">
        <f>_xlfn.XLOOKUP($B261,'[3]Aug-24'!$A:$A,'[3]Aug-24'!$H:$H,0)</f>
        <v>0</v>
      </c>
      <c r="N261" s="17">
        <f>_xlfn.XLOOKUP($B261,'[3]Sep-24'!$A:$A,'[3]Sep-24'!$H:$H,0)</f>
        <v>0</v>
      </c>
      <c r="O261" s="17">
        <f>_xlfn.XLOOKUP($B261,'[3]Oct-24'!$A:$A,'[3]Oct-24'!$H:$H,0)</f>
        <v>0</v>
      </c>
      <c r="P261" s="17">
        <f>_xlfn.XLOOKUP($B261,'[3]Nov-24'!$A:$A,'[3]Nov-24'!$H:$H,0)</f>
        <v>0</v>
      </c>
      <c r="Q261" s="17">
        <f>_xlfn.XLOOKUP($B261,'[3]Dec-24'!$A:$A,'[3]Dec-24'!$H:$H,0)</f>
        <v>0</v>
      </c>
      <c r="R261" s="17">
        <f>_xlfn.XLOOKUP($B261,'[3]Jan-25'!$A:$A,'[3]Jan-25'!$H:$H,0)</f>
        <v>0</v>
      </c>
      <c r="S261" s="17">
        <f>_xlfn.XLOOKUP($B261,'[3]Feb-25'!$A:$A,'[3]Feb-25'!$H:$H,0)</f>
        <v>0</v>
      </c>
      <c r="T261" s="17">
        <f>_xlfn.XLOOKUP($B261,'[3]Mar-25'!$A:$A,'[3]Mar-25'!$H:$H,0)</f>
        <v>0</v>
      </c>
      <c r="U261" s="17">
        <f>_xlfn.XLOOKUP($B261,'[3]Apr-25'!$A:$A,'[3]Apr-25'!$H:$H,0)</f>
        <v>0</v>
      </c>
      <c r="V261" s="17">
        <f>_xlfn.XLOOKUP($B261,'[3]May-25'!$A:$A,'[3]May-25'!$H:$H,0)</f>
        <v>0</v>
      </c>
      <c r="W261" s="17">
        <f>_xlfn.XLOOKUP($B261,'[3]Jun-25'!$A:$A,'[3]Jun-25'!$H:$H,0)</f>
        <v>0</v>
      </c>
      <c r="X261" s="17">
        <f>_xlfn.XLOOKUP($B261,'[3]Jul-25'!$A:$A,'[3]Jul-25'!$H:$H,0)</f>
        <v>0</v>
      </c>
      <c r="Y261" s="17">
        <f>_xlfn.XLOOKUP($B261,'[3]Aug-25'!$A:$A,'[3]Aug-25'!$H:$H,0)</f>
        <v>0</v>
      </c>
      <c r="Z261" s="17">
        <f>_xlfn.XLOOKUP($B261,'[3]Sep-25'!$A:$A,'[3]Sep-25'!$H:$H,0)</f>
        <v>0</v>
      </c>
      <c r="AA261" s="17">
        <f>_xlfn.XLOOKUP($B261,'[3]Oct-25'!$A:$A,'[3]Oct-25'!$H:$H,0)</f>
        <v>0</v>
      </c>
      <c r="AB261" s="17">
        <f>_xlfn.XLOOKUP($B261,'[3]Nov-25'!$A:$A,'[3]Nov-25'!$H:$H,0)</f>
        <v>0</v>
      </c>
      <c r="AC261" s="17">
        <f>_xlfn.XLOOKUP($B261,'[3]Dec-25'!$A:$A,'[3]Dec-25'!$H:$H,0)</f>
        <v>0</v>
      </c>
      <c r="AD261" s="17">
        <f>_xlfn.XLOOKUP($B261,'[3]Jan-26'!$A:$A,'[3]Jan-26'!$H:$H,0)</f>
        <v>0</v>
      </c>
      <c r="AE261" s="17">
        <f>_xlfn.XLOOKUP($B261,'[3]Feb-26'!$A:$A,'[3]Feb-26'!$H:$H,0)</f>
        <v>0</v>
      </c>
      <c r="AF261" s="17">
        <f>_xlfn.XLOOKUP($B261,'[3]Mar-26'!$A:$A,'[3]Mar-26'!$H:$H,0)</f>
        <v>0</v>
      </c>
      <c r="AG261" s="17">
        <f>_xlfn.XLOOKUP($B261,'[3]Apr-26'!$A:$A,'[3]Apr-26'!$H:$H,0)</f>
        <v>0</v>
      </c>
    </row>
    <row r="262" spans="1:33" x14ac:dyDescent="0.2">
      <c r="A262" s="58" t="s">
        <v>1198</v>
      </c>
      <c r="B262" s="56" t="str">
        <f t="shared" si="6"/>
        <v>65095</v>
      </c>
      <c r="C262" s="78" t="s">
        <v>552</v>
      </c>
      <c r="D262" s="57" t="s">
        <v>387</v>
      </c>
      <c r="E262" s="44" t="s">
        <v>675</v>
      </c>
      <c r="F262" s="17">
        <f>_xlfn.XLOOKUP($B262,'[3]Jan-24'!$A:$A,'[3]Jan-24'!$H:$H,0)</f>
        <v>0</v>
      </c>
      <c r="G262" s="17">
        <f>_xlfn.XLOOKUP($B262,'[3]Feb-24'!$A:$A,'[3]Feb-24'!$H:$H,0)</f>
        <v>0</v>
      </c>
      <c r="H262" s="17">
        <f>_xlfn.XLOOKUP($B262,'[3]Mar-24'!$A:$A,'[3]Mar-24'!$H:$H,0)</f>
        <v>0</v>
      </c>
      <c r="I262" s="17">
        <f>_xlfn.XLOOKUP($B262,'[3]Apr-24'!$A:$A,'[3]Apr-24'!$H:$H,0)</f>
        <v>0</v>
      </c>
      <c r="J262" s="17">
        <f>_xlfn.XLOOKUP($B262,'[3]May-24'!$A:$A,'[3]May-24'!$H:$H,0)</f>
        <v>0</v>
      </c>
      <c r="K262" s="17">
        <f>_xlfn.XLOOKUP($B262,'[3]Jun-24'!$A:$A,'[3]Jun-24'!$H:$H,0)</f>
        <v>0</v>
      </c>
      <c r="L262" s="17">
        <f>_xlfn.XLOOKUP($B262,'[3]Jul-24'!$A:$A,'[3]Jul-24'!$H:$H,0)</f>
        <v>0</v>
      </c>
      <c r="M262" s="17">
        <f>_xlfn.XLOOKUP($B262,'[3]Aug-24'!$A:$A,'[3]Aug-24'!$H:$H,0)</f>
        <v>0</v>
      </c>
      <c r="N262" s="17">
        <f>_xlfn.XLOOKUP($B262,'[3]Sep-24'!$A:$A,'[3]Sep-24'!$H:$H,0)</f>
        <v>0</v>
      </c>
      <c r="O262" s="17">
        <f>_xlfn.XLOOKUP($B262,'[3]Oct-24'!$A:$A,'[3]Oct-24'!$H:$H,0)</f>
        <v>0</v>
      </c>
      <c r="P262" s="17">
        <f>_xlfn.XLOOKUP($B262,'[3]Nov-24'!$A:$A,'[3]Nov-24'!$H:$H,0)</f>
        <v>0</v>
      </c>
      <c r="Q262" s="17">
        <f>_xlfn.XLOOKUP($B262,'[3]Dec-24'!$A:$A,'[3]Dec-24'!$H:$H,0)</f>
        <v>0</v>
      </c>
      <c r="R262" s="17">
        <f>_xlfn.XLOOKUP($B262,'[3]Jan-25'!$A:$A,'[3]Jan-25'!$H:$H,0)</f>
        <v>0</v>
      </c>
      <c r="S262" s="17">
        <f>_xlfn.XLOOKUP($B262,'[3]Feb-25'!$A:$A,'[3]Feb-25'!$H:$H,0)</f>
        <v>0</v>
      </c>
      <c r="T262" s="17">
        <f>_xlfn.XLOOKUP($B262,'[3]Mar-25'!$A:$A,'[3]Mar-25'!$H:$H,0)</f>
        <v>0</v>
      </c>
      <c r="U262" s="17">
        <f>_xlfn.XLOOKUP($B262,'[3]Apr-25'!$A:$A,'[3]Apr-25'!$H:$H,0)</f>
        <v>0</v>
      </c>
      <c r="V262" s="17">
        <f>_xlfn.XLOOKUP($B262,'[3]May-25'!$A:$A,'[3]May-25'!$H:$H,0)</f>
        <v>0</v>
      </c>
      <c r="W262" s="17">
        <f>_xlfn.XLOOKUP($B262,'[3]Jun-25'!$A:$A,'[3]Jun-25'!$H:$H,0)</f>
        <v>0</v>
      </c>
      <c r="X262" s="17">
        <f>_xlfn.XLOOKUP($B262,'[3]Jul-25'!$A:$A,'[3]Jul-25'!$H:$H,0)</f>
        <v>0</v>
      </c>
      <c r="Y262" s="17">
        <f>_xlfn.XLOOKUP($B262,'[3]Aug-25'!$A:$A,'[3]Aug-25'!$H:$H,0)</f>
        <v>0</v>
      </c>
      <c r="Z262" s="17">
        <f>_xlfn.XLOOKUP($B262,'[3]Sep-25'!$A:$A,'[3]Sep-25'!$H:$H,0)</f>
        <v>0</v>
      </c>
      <c r="AA262" s="17">
        <f>_xlfn.XLOOKUP($B262,'[3]Oct-25'!$A:$A,'[3]Oct-25'!$H:$H,0)</f>
        <v>0</v>
      </c>
      <c r="AB262" s="17">
        <f>_xlfn.XLOOKUP($B262,'[3]Nov-25'!$A:$A,'[3]Nov-25'!$H:$H,0)</f>
        <v>0</v>
      </c>
      <c r="AC262" s="17">
        <f>_xlfn.XLOOKUP($B262,'[3]Dec-25'!$A:$A,'[3]Dec-25'!$H:$H,0)</f>
        <v>0</v>
      </c>
      <c r="AD262" s="17">
        <f>_xlfn.XLOOKUP($B262,'[3]Jan-26'!$A:$A,'[3]Jan-26'!$H:$H,0)</f>
        <v>0</v>
      </c>
      <c r="AE262" s="17">
        <f>_xlfn.XLOOKUP($B262,'[3]Feb-26'!$A:$A,'[3]Feb-26'!$H:$H,0)</f>
        <v>0</v>
      </c>
      <c r="AF262" s="17">
        <f>_xlfn.XLOOKUP($B262,'[3]Mar-26'!$A:$A,'[3]Mar-26'!$H:$H,0)</f>
        <v>0</v>
      </c>
      <c r="AG262" s="17">
        <f>_xlfn.XLOOKUP($B262,'[3]Apr-26'!$A:$A,'[3]Apr-26'!$H:$H,0)</f>
        <v>0</v>
      </c>
    </row>
    <row r="263" spans="1:33" x14ac:dyDescent="0.2">
      <c r="A263" s="58" t="s">
        <v>1199</v>
      </c>
      <c r="B263" s="56" t="str">
        <f t="shared" si="6"/>
        <v>65100</v>
      </c>
      <c r="C263" s="78" t="s">
        <v>565</v>
      </c>
      <c r="D263" s="57" t="s">
        <v>387</v>
      </c>
      <c r="E263" s="44" t="s">
        <v>676</v>
      </c>
      <c r="F263" s="17">
        <f>_xlfn.XLOOKUP($B263,'[3]Jan-24'!$A:$A,'[3]Jan-24'!$H:$H,0)</f>
        <v>0</v>
      </c>
      <c r="G263" s="17">
        <f>_xlfn.XLOOKUP($B263,'[3]Feb-24'!$A:$A,'[3]Feb-24'!$H:$H,0)</f>
        <v>0</v>
      </c>
      <c r="H263" s="17">
        <f>_xlfn.XLOOKUP($B263,'[3]Mar-24'!$A:$A,'[3]Mar-24'!$H:$H,0)</f>
        <v>0</v>
      </c>
      <c r="I263" s="17">
        <f>_xlfn.XLOOKUP($B263,'[3]Apr-24'!$A:$A,'[3]Apr-24'!$H:$H,0)</f>
        <v>0</v>
      </c>
      <c r="J263" s="17">
        <f>_xlfn.XLOOKUP($B263,'[3]May-24'!$A:$A,'[3]May-24'!$H:$H,0)</f>
        <v>0</v>
      </c>
      <c r="K263" s="17">
        <f>_xlfn.XLOOKUP($B263,'[3]Jun-24'!$A:$A,'[3]Jun-24'!$H:$H,0)</f>
        <v>0</v>
      </c>
      <c r="L263" s="17">
        <f>_xlfn.XLOOKUP($B263,'[3]Jul-24'!$A:$A,'[3]Jul-24'!$H:$H,0)</f>
        <v>0</v>
      </c>
      <c r="M263" s="17">
        <f>_xlfn.XLOOKUP($B263,'[3]Aug-24'!$A:$A,'[3]Aug-24'!$H:$H,0)</f>
        <v>0</v>
      </c>
      <c r="N263" s="17">
        <f>_xlfn.XLOOKUP($B263,'[3]Sep-24'!$A:$A,'[3]Sep-24'!$H:$H,0)</f>
        <v>0</v>
      </c>
      <c r="O263" s="17">
        <f>_xlfn.XLOOKUP($B263,'[3]Oct-24'!$A:$A,'[3]Oct-24'!$H:$H,0)</f>
        <v>0</v>
      </c>
      <c r="P263" s="17">
        <f>_xlfn.XLOOKUP($B263,'[3]Nov-24'!$A:$A,'[3]Nov-24'!$H:$H,0)</f>
        <v>0</v>
      </c>
      <c r="Q263" s="17">
        <f>_xlfn.XLOOKUP($B263,'[3]Dec-24'!$A:$A,'[3]Dec-24'!$H:$H,0)</f>
        <v>0</v>
      </c>
      <c r="R263" s="17">
        <f>_xlfn.XLOOKUP($B263,'[3]Jan-25'!$A:$A,'[3]Jan-25'!$H:$H,0)</f>
        <v>0</v>
      </c>
      <c r="S263" s="17">
        <f>_xlfn.XLOOKUP($B263,'[3]Feb-25'!$A:$A,'[3]Feb-25'!$H:$H,0)</f>
        <v>0</v>
      </c>
      <c r="T263" s="17">
        <f>_xlfn.XLOOKUP($B263,'[3]Mar-25'!$A:$A,'[3]Mar-25'!$H:$H,0)</f>
        <v>0</v>
      </c>
      <c r="U263" s="17">
        <f>_xlfn.XLOOKUP($B263,'[3]Apr-25'!$A:$A,'[3]Apr-25'!$H:$H,0)</f>
        <v>0</v>
      </c>
      <c r="V263" s="17">
        <f>_xlfn.XLOOKUP($B263,'[3]May-25'!$A:$A,'[3]May-25'!$H:$H,0)</f>
        <v>0</v>
      </c>
      <c r="W263" s="17">
        <f>_xlfn.XLOOKUP($B263,'[3]Jun-25'!$A:$A,'[3]Jun-25'!$H:$H,0)</f>
        <v>0</v>
      </c>
      <c r="X263" s="17">
        <f>_xlfn.XLOOKUP($B263,'[3]Jul-25'!$A:$A,'[3]Jul-25'!$H:$H,0)</f>
        <v>0</v>
      </c>
      <c r="Y263" s="17">
        <f>_xlfn.XLOOKUP($B263,'[3]Aug-25'!$A:$A,'[3]Aug-25'!$H:$H,0)</f>
        <v>0</v>
      </c>
      <c r="Z263" s="17">
        <f>_xlfn.XLOOKUP($B263,'[3]Sep-25'!$A:$A,'[3]Sep-25'!$H:$H,0)</f>
        <v>0</v>
      </c>
      <c r="AA263" s="17">
        <f>_xlfn.XLOOKUP($B263,'[3]Oct-25'!$A:$A,'[3]Oct-25'!$H:$H,0)</f>
        <v>0</v>
      </c>
      <c r="AB263" s="17">
        <f>_xlfn.XLOOKUP($B263,'[3]Nov-25'!$A:$A,'[3]Nov-25'!$H:$H,0)</f>
        <v>0</v>
      </c>
      <c r="AC263" s="17">
        <f>_xlfn.XLOOKUP($B263,'[3]Dec-25'!$A:$A,'[3]Dec-25'!$H:$H,0)</f>
        <v>0</v>
      </c>
      <c r="AD263" s="17">
        <f>_xlfn.XLOOKUP($B263,'[3]Jan-26'!$A:$A,'[3]Jan-26'!$H:$H,0)</f>
        <v>0</v>
      </c>
      <c r="AE263" s="17">
        <f>_xlfn.XLOOKUP($B263,'[3]Feb-26'!$A:$A,'[3]Feb-26'!$H:$H,0)</f>
        <v>0</v>
      </c>
      <c r="AF263" s="17">
        <f>_xlfn.XLOOKUP($B263,'[3]Mar-26'!$A:$A,'[3]Mar-26'!$H:$H,0)</f>
        <v>0</v>
      </c>
      <c r="AG263" s="17">
        <f>_xlfn.XLOOKUP($B263,'[3]Apr-26'!$A:$A,'[3]Apr-26'!$H:$H,0)</f>
        <v>0</v>
      </c>
    </row>
    <row r="264" spans="1:33" x14ac:dyDescent="0.2">
      <c r="A264" s="58" t="s">
        <v>1200</v>
      </c>
      <c r="B264" s="56" t="str">
        <f t="shared" si="6"/>
        <v>65200</v>
      </c>
      <c r="C264" s="78" t="s">
        <v>565</v>
      </c>
      <c r="D264" s="57" t="s">
        <v>387</v>
      </c>
      <c r="E264" s="44" t="s">
        <v>677</v>
      </c>
      <c r="F264" s="17">
        <f>_xlfn.XLOOKUP($B264,'[3]Jan-24'!$A:$A,'[3]Jan-24'!$H:$H,0)</f>
        <v>0</v>
      </c>
      <c r="G264" s="17">
        <f>_xlfn.XLOOKUP($B264,'[3]Feb-24'!$A:$A,'[3]Feb-24'!$H:$H,0)</f>
        <v>0</v>
      </c>
      <c r="H264" s="17">
        <f>_xlfn.XLOOKUP($B264,'[3]Mar-24'!$A:$A,'[3]Mar-24'!$H:$H,0)</f>
        <v>0</v>
      </c>
      <c r="I264" s="17">
        <f>_xlfn.XLOOKUP($B264,'[3]Apr-24'!$A:$A,'[3]Apr-24'!$H:$H,0)</f>
        <v>0</v>
      </c>
      <c r="J264" s="17">
        <f>_xlfn.XLOOKUP($B264,'[3]May-24'!$A:$A,'[3]May-24'!$H:$H,0)</f>
        <v>0</v>
      </c>
      <c r="K264" s="17">
        <f>_xlfn.XLOOKUP($B264,'[3]Jun-24'!$A:$A,'[3]Jun-24'!$H:$H,0)</f>
        <v>0</v>
      </c>
      <c r="L264" s="17">
        <f>_xlfn.XLOOKUP($B264,'[3]Jul-24'!$A:$A,'[3]Jul-24'!$H:$H,0)</f>
        <v>0</v>
      </c>
      <c r="M264" s="17">
        <f>_xlfn.XLOOKUP($B264,'[3]Aug-24'!$A:$A,'[3]Aug-24'!$H:$H,0)</f>
        <v>0</v>
      </c>
      <c r="N264" s="17">
        <f>_xlfn.XLOOKUP($B264,'[3]Sep-24'!$A:$A,'[3]Sep-24'!$H:$H,0)</f>
        <v>0</v>
      </c>
      <c r="O264" s="17">
        <f>_xlfn.XLOOKUP($B264,'[3]Oct-24'!$A:$A,'[3]Oct-24'!$H:$H,0)</f>
        <v>0</v>
      </c>
      <c r="P264" s="17">
        <f>_xlfn.XLOOKUP($B264,'[3]Nov-24'!$A:$A,'[3]Nov-24'!$H:$H,0)</f>
        <v>0</v>
      </c>
      <c r="Q264" s="17">
        <f>_xlfn.XLOOKUP($B264,'[3]Dec-24'!$A:$A,'[3]Dec-24'!$H:$H,0)</f>
        <v>0</v>
      </c>
      <c r="R264" s="17">
        <f>_xlfn.XLOOKUP($B264,'[3]Jan-25'!$A:$A,'[3]Jan-25'!$H:$H,0)</f>
        <v>0</v>
      </c>
      <c r="S264" s="17">
        <f>_xlfn.XLOOKUP($B264,'[3]Feb-25'!$A:$A,'[3]Feb-25'!$H:$H,0)</f>
        <v>0</v>
      </c>
      <c r="T264" s="17">
        <f>_xlfn.XLOOKUP($B264,'[3]Mar-25'!$A:$A,'[3]Mar-25'!$H:$H,0)</f>
        <v>0</v>
      </c>
      <c r="U264" s="17">
        <f>_xlfn.XLOOKUP($B264,'[3]Apr-25'!$A:$A,'[3]Apr-25'!$H:$H,0)</f>
        <v>0</v>
      </c>
      <c r="V264" s="17">
        <f>_xlfn.XLOOKUP($B264,'[3]May-25'!$A:$A,'[3]May-25'!$H:$H,0)</f>
        <v>0</v>
      </c>
      <c r="W264" s="17">
        <f>_xlfn.XLOOKUP($B264,'[3]Jun-25'!$A:$A,'[3]Jun-25'!$H:$H,0)</f>
        <v>0</v>
      </c>
      <c r="X264" s="17">
        <f>_xlfn.XLOOKUP($B264,'[3]Jul-25'!$A:$A,'[3]Jul-25'!$H:$H,0)</f>
        <v>0</v>
      </c>
      <c r="Y264" s="17">
        <f>_xlfn.XLOOKUP($B264,'[3]Aug-25'!$A:$A,'[3]Aug-25'!$H:$H,0)</f>
        <v>0</v>
      </c>
      <c r="Z264" s="17">
        <f>_xlfn.XLOOKUP($B264,'[3]Sep-25'!$A:$A,'[3]Sep-25'!$H:$H,0)</f>
        <v>0</v>
      </c>
      <c r="AA264" s="17">
        <f>_xlfn.XLOOKUP($B264,'[3]Oct-25'!$A:$A,'[3]Oct-25'!$H:$H,0)</f>
        <v>0</v>
      </c>
      <c r="AB264" s="17">
        <f>_xlfn.XLOOKUP($B264,'[3]Nov-25'!$A:$A,'[3]Nov-25'!$H:$H,0)</f>
        <v>0</v>
      </c>
      <c r="AC264" s="17">
        <f>_xlfn.XLOOKUP($B264,'[3]Dec-25'!$A:$A,'[3]Dec-25'!$H:$H,0)</f>
        <v>0</v>
      </c>
      <c r="AD264" s="17">
        <f>_xlfn.XLOOKUP($B264,'[3]Jan-26'!$A:$A,'[3]Jan-26'!$H:$H,0)</f>
        <v>0</v>
      </c>
      <c r="AE264" s="17">
        <f>_xlfn.XLOOKUP($B264,'[3]Feb-26'!$A:$A,'[3]Feb-26'!$H:$H,0)</f>
        <v>0</v>
      </c>
      <c r="AF264" s="17">
        <f>_xlfn.XLOOKUP($B264,'[3]Mar-26'!$A:$A,'[3]Mar-26'!$H:$H,0)</f>
        <v>0</v>
      </c>
      <c r="AG264" s="17">
        <f>_xlfn.XLOOKUP($B264,'[3]Apr-26'!$A:$A,'[3]Apr-26'!$H:$H,0)</f>
        <v>0</v>
      </c>
    </row>
    <row r="265" spans="1:33" x14ac:dyDescent="0.2">
      <c r="A265" s="58" t="s">
        <v>1201</v>
      </c>
      <c r="B265" s="56" t="str">
        <f t="shared" si="6"/>
        <v>65800</v>
      </c>
      <c r="C265" s="78" t="s">
        <v>552</v>
      </c>
      <c r="D265" s="57" t="s">
        <v>387</v>
      </c>
      <c r="E265" s="44" t="s">
        <v>680</v>
      </c>
      <c r="F265" s="17">
        <f>_xlfn.XLOOKUP($B265,'[3]Jan-24'!$A:$A,'[3]Jan-24'!$H:$H,0)</f>
        <v>0</v>
      </c>
      <c r="G265" s="17">
        <f>_xlfn.XLOOKUP($B265,'[3]Feb-24'!$A:$A,'[3]Feb-24'!$H:$H,0)</f>
        <v>0</v>
      </c>
      <c r="H265" s="17">
        <f>_xlfn.XLOOKUP($B265,'[3]Mar-24'!$A:$A,'[3]Mar-24'!$H:$H,0)</f>
        <v>0</v>
      </c>
      <c r="I265" s="17">
        <f>_xlfn.XLOOKUP($B265,'[3]Apr-24'!$A:$A,'[3]Apr-24'!$H:$H,0)</f>
        <v>0</v>
      </c>
      <c r="J265" s="17">
        <f>_xlfn.XLOOKUP($B265,'[3]May-24'!$A:$A,'[3]May-24'!$H:$H,0)</f>
        <v>0</v>
      </c>
      <c r="K265" s="17">
        <f>_xlfn.XLOOKUP($B265,'[3]Jun-24'!$A:$A,'[3]Jun-24'!$H:$H,0)</f>
        <v>0</v>
      </c>
      <c r="L265" s="17">
        <f>_xlfn.XLOOKUP($B265,'[3]Jul-24'!$A:$A,'[3]Jul-24'!$H:$H,0)</f>
        <v>0</v>
      </c>
      <c r="M265" s="17">
        <f>_xlfn.XLOOKUP($B265,'[3]Aug-24'!$A:$A,'[3]Aug-24'!$H:$H,0)</f>
        <v>0</v>
      </c>
      <c r="N265" s="17">
        <f>_xlfn.XLOOKUP($B265,'[3]Sep-24'!$A:$A,'[3]Sep-24'!$H:$H,0)</f>
        <v>0</v>
      </c>
      <c r="O265" s="17">
        <f>_xlfn.XLOOKUP($B265,'[3]Oct-24'!$A:$A,'[3]Oct-24'!$H:$H,0)</f>
        <v>0</v>
      </c>
      <c r="P265" s="17">
        <f>_xlfn.XLOOKUP($B265,'[3]Nov-24'!$A:$A,'[3]Nov-24'!$H:$H,0)</f>
        <v>0</v>
      </c>
      <c r="Q265" s="17">
        <f>_xlfn.XLOOKUP($B265,'[3]Dec-24'!$A:$A,'[3]Dec-24'!$H:$H,0)</f>
        <v>0</v>
      </c>
      <c r="R265" s="17">
        <f>_xlfn.XLOOKUP($B265,'[3]Jan-25'!$A:$A,'[3]Jan-25'!$H:$H,0)</f>
        <v>0</v>
      </c>
      <c r="S265" s="17">
        <f>_xlfn.XLOOKUP($B265,'[3]Feb-25'!$A:$A,'[3]Feb-25'!$H:$H,0)</f>
        <v>0</v>
      </c>
      <c r="T265" s="17">
        <f>_xlfn.XLOOKUP($B265,'[3]Mar-25'!$A:$A,'[3]Mar-25'!$H:$H,0)</f>
        <v>0</v>
      </c>
      <c r="U265" s="17">
        <f>_xlfn.XLOOKUP($B265,'[3]Apr-25'!$A:$A,'[3]Apr-25'!$H:$H,0)</f>
        <v>0</v>
      </c>
      <c r="V265" s="17">
        <f>_xlfn.XLOOKUP($B265,'[3]May-25'!$A:$A,'[3]May-25'!$H:$H,0)</f>
        <v>0</v>
      </c>
      <c r="W265" s="17">
        <f>_xlfn.XLOOKUP($B265,'[3]Jun-25'!$A:$A,'[3]Jun-25'!$H:$H,0)</f>
        <v>0</v>
      </c>
      <c r="X265" s="17">
        <f>_xlfn.XLOOKUP($B265,'[3]Jul-25'!$A:$A,'[3]Jul-25'!$H:$H,0)</f>
        <v>0</v>
      </c>
      <c r="Y265" s="17">
        <f>_xlfn.XLOOKUP($B265,'[3]Aug-25'!$A:$A,'[3]Aug-25'!$H:$H,0)</f>
        <v>0</v>
      </c>
      <c r="Z265" s="17">
        <f>_xlfn.XLOOKUP($B265,'[3]Sep-25'!$A:$A,'[3]Sep-25'!$H:$H,0)</f>
        <v>0</v>
      </c>
      <c r="AA265" s="17">
        <f>_xlfn.XLOOKUP($B265,'[3]Oct-25'!$A:$A,'[3]Oct-25'!$H:$H,0)</f>
        <v>0</v>
      </c>
      <c r="AB265" s="17">
        <f>_xlfn.XLOOKUP($B265,'[3]Nov-25'!$A:$A,'[3]Nov-25'!$H:$H,0)</f>
        <v>0</v>
      </c>
      <c r="AC265" s="17">
        <f>_xlfn.XLOOKUP($B265,'[3]Dec-25'!$A:$A,'[3]Dec-25'!$H:$H,0)</f>
        <v>0</v>
      </c>
      <c r="AD265" s="17">
        <f>_xlfn.XLOOKUP($B265,'[3]Jan-26'!$A:$A,'[3]Jan-26'!$H:$H,0)</f>
        <v>0</v>
      </c>
      <c r="AE265" s="17">
        <f>_xlfn.XLOOKUP($B265,'[3]Feb-26'!$A:$A,'[3]Feb-26'!$H:$H,0)</f>
        <v>0</v>
      </c>
      <c r="AF265" s="17">
        <f>_xlfn.XLOOKUP($B265,'[3]Mar-26'!$A:$A,'[3]Mar-26'!$H:$H,0)</f>
        <v>0</v>
      </c>
      <c r="AG265" s="17">
        <f>_xlfn.XLOOKUP($B265,'[3]Apr-26'!$A:$A,'[3]Apr-26'!$H:$H,0)</f>
        <v>0</v>
      </c>
    </row>
    <row r="266" spans="1:33" x14ac:dyDescent="0.2">
      <c r="A266" s="58" t="s">
        <v>1202</v>
      </c>
      <c r="B266" s="56" t="str">
        <f t="shared" si="6"/>
        <v>66305</v>
      </c>
      <c r="C266" s="78" t="s">
        <v>572</v>
      </c>
      <c r="D266" s="57" t="s">
        <v>387</v>
      </c>
      <c r="E266" s="44" t="s">
        <v>686</v>
      </c>
      <c r="F266" s="17">
        <f>_xlfn.XLOOKUP($B266,'[3]Jan-24'!$A:$A,'[3]Jan-24'!$H:$H,0)</f>
        <v>0</v>
      </c>
      <c r="G266" s="17">
        <f>_xlfn.XLOOKUP($B266,'[3]Feb-24'!$A:$A,'[3]Feb-24'!$H:$H,0)</f>
        <v>0</v>
      </c>
      <c r="H266" s="17">
        <f>_xlfn.XLOOKUP($B266,'[3]Mar-24'!$A:$A,'[3]Mar-24'!$H:$H,0)</f>
        <v>0</v>
      </c>
      <c r="I266" s="17">
        <f>_xlfn.XLOOKUP($B266,'[3]Apr-24'!$A:$A,'[3]Apr-24'!$H:$H,0)</f>
        <v>0</v>
      </c>
      <c r="J266" s="17">
        <f>_xlfn.XLOOKUP($B266,'[3]May-24'!$A:$A,'[3]May-24'!$H:$H,0)</f>
        <v>0</v>
      </c>
      <c r="K266" s="17">
        <f>_xlfn.XLOOKUP($B266,'[3]Jun-24'!$A:$A,'[3]Jun-24'!$H:$H,0)</f>
        <v>0</v>
      </c>
      <c r="L266" s="17">
        <f>_xlfn.XLOOKUP($B266,'[3]Jul-24'!$A:$A,'[3]Jul-24'!$H:$H,0)</f>
        <v>0</v>
      </c>
      <c r="M266" s="17">
        <f>_xlfn.XLOOKUP($B266,'[3]Aug-24'!$A:$A,'[3]Aug-24'!$H:$H,0)</f>
        <v>0</v>
      </c>
      <c r="N266" s="17">
        <f>_xlfn.XLOOKUP($B266,'[3]Sep-24'!$A:$A,'[3]Sep-24'!$H:$H,0)</f>
        <v>0</v>
      </c>
      <c r="O266" s="17">
        <f>_xlfn.XLOOKUP($B266,'[3]Oct-24'!$A:$A,'[3]Oct-24'!$H:$H,0)</f>
        <v>0</v>
      </c>
      <c r="P266" s="17">
        <f>_xlfn.XLOOKUP($B266,'[3]Nov-24'!$A:$A,'[3]Nov-24'!$H:$H,0)</f>
        <v>0</v>
      </c>
      <c r="Q266" s="17">
        <f>_xlfn.XLOOKUP($B266,'[3]Dec-24'!$A:$A,'[3]Dec-24'!$H:$H,0)</f>
        <v>0</v>
      </c>
      <c r="R266" s="17">
        <f>_xlfn.XLOOKUP($B266,'[3]Jan-25'!$A:$A,'[3]Jan-25'!$H:$H,0)</f>
        <v>0</v>
      </c>
      <c r="S266" s="17">
        <f>_xlfn.XLOOKUP($B266,'[3]Feb-25'!$A:$A,'[3]Feb-25'!$H:$H,0)</f>
        <v>0</v>
      </c>
      <c r="T266" s="17">
        <f>_xlfn.XLOOKUP($B266,'[3]Mar-25'!$A:$A,'[3]Mar-25'!$H:$H,0)</f>
        <v>0</v>
      </c>
      <c r="U266" s="17">
        <f>_xlfn.XLOOKUP($B266,'[3]Apr-25'!$A:$A,'[3]Apr-25'!$H:$H,0)</f>
        <v>0</v>
      </c>
      <c r="V266" s="17">
        <f>_xlfn.XLOOKUP($B266,'[3]May-25'!$A:$A,'[3]May-25'!$H:$H,0)</f>
        <v>0</v>
      </c>
      <c r="W266" s="17">
        <f>_xlfn.XLOOKUP($B266,'[3]Jun-25'!$A:$A,'[3]Jun-25'!$H:$H,0)</f>
        <v>0</v>
      </c>
      <c r="X266" s="17">
        <f>_xlfn.XLOOKUP($B266,'[3]Jul-25'!$A:$A,'[3]Jul-25'!$H:$H,0)</f>
        <v>0</v>
      </c>
      <c r="Y266" s="17">
        <f>_xlfn.XLOOKUP($B266,'[3]Aug-25'!$A:$A,'[3]Aug-25'!$H:$H,0)</f>
        <v>0</v>
      </c>
      <c r="Z266" s="17">
        <f>_xlfn.XLOOKUP($B266,'[3]Sep-25'!$A:$A,'[3]Sep-25'!$H:$H,0)</f>
        <v>0</v>
      </c>
      <c r="AA266" s="17">
        <f>_xlfn.XLOOKUP($B266,'[3]Oct-25'!$A:$A,'[3]Oct-25'!$H:$H,0)</f>
        <v>0</v>
      </c>
      <c r="AB266" s="17">
        <f>_xlfn.XLOOKUP($B266,'[3]Nov-25'!$A:$A,'[3]Nov-25'!$H:$H,0)</f>
        <v>0</v>
      </c>
      <c r="AC266" s="17">
        <f>_xlfn.XLOOKUP($B266,'[3]Dec-25'!$A:$A,'[3]Dec-25'!$H:$H,0)</f>
        <v>0</v>
      </c>
      <c r="AD266" s="17">
        <f>_xlfn.XLOOKUP($B266,'[3]Jan-26'!$A:$A,'[3]Jan-26'!$H:$H,0)</f>
        <v>0</v>
      </c>
      <c r="AE266" s="17">
        <f>_xlfn.XLOOKUP($B266,'[3]Feb-26'!$A:$A,'[3]Feb-26'!$H:$H,0)</f>
        <v>0</v>
      </c>
      <c r="AF266" s="17">
        <f>_xlfn.XLOOKUP($B266,'[3]Mar-26'!$A:$A,'[3]Mar-26'!$H:$H,0)</f>
        <v>0</v>
      </c>
      <c r="AG266" s="17">
        <f>_xlfn.XLOOKUP($B266,'[3]Apr-26'!$A:$A,'[3]Apr-26'!$H:$H,0)</f>
        <v>0</v>
      </c>
    </row>
    <row r="267" spans="1:33" x14ac:dyDescent="0.2">
      <c r="A267" s="58" t="s">
        <v>1203</v>
      </c>
      <c r="B267" s="56" t="str">
        <f t="shared" si="6"/>
        <v>66310</v>
      </c>
      <c r="C267" s="78" t="s">
        <v>572</v>
      </c>
      <c r="D267" s="57" t="s">
        <v>387</v>
      </c>
      <c r="E267" s="44" t="s">
        <v>687</v>
      </c>
      <c r="F267" s="17">
        <f>_xlfn.XLOOKUP($B267,'[3]Jan-24'!$A:$A,'[3]Jan-24'!$H:$H,0)</f>
        <v>0</v>
      </c>
      <c r="G267" s="17">
        <f>_xlfn.XLOOKUP($B267,'[3]Feb-24'!$A:$A,'[3]Feb-24'!$H:$H,0)</f>
        <v>0</v>
      </c>
      <c r="H267" s="17">
        <f>_xlfn.XLOOKUP($B267,'[3]Mar-24'!$A:$A,'[3]Mar-24'!$H:$H,0)</f>
        <v>0</v>
      </c>
      <c r="I267" s="17">
        <f>_xlfn.XLOOKUP($B267,'[3]Apr-24'!$A:$A,'[3]Apr-24'!$H:$H,0)</f>
        <v>0</v>
      </c>
      <c r="J267" s="17">
        <f>_xlfn.XLOOKUP($B267,'[3]May-24'!$A:$A,'[3]May-24'!$H:$H,0)</f>
        <v>0</v>
      </c>
      <c r="K267" s="17">
        <f>_xlfn.XLOOKUP($B267,'[3]Jun-24'!$A:$A,'[3]Jun-24'!$H:$H,0)</f>
        <v>0</v>
      </c>
      <c r="L267" s="17">
        <f>_xlfn.XLOOKUP($B267,'[3]Jul-24'!$A:$A,'[3]Jul-24'!$H:$H,0)</f>
        <v>0</v>
      </c>
      <c r="M267" s="17">
        <f>_xlfn.XLOOKUP($B267,'[3]Aug-24'!$A:$A,'[3]Aug-24'!$H:$H,0)</f>
        <v>0</v>
      </c>
      <c r="N267" s="17">
        <f>_xlfn.XLOOKUP($B267,'[3]Sep-24'!$A:$A,'[3]Sep-24'!$H:$H,0)</f>
        <v>0</v>
      </c>
      <c r="O267" s="17">
        <f>_xlfn.XLOOKUP($B267,'[3]Oct-24'!$A:$A,'[3]Oct-24'!$H:$H,0)</f>
        <v>0</v>
      </c>
      <c r="P267" s="17">
        <f>_xlfn.XLOOKUP($B267,'[3]Nov-24'!$A:$A,'[3]Nov-24'!$H:$H,0)</f>
        <v>0</v>
      </c>
      <c r="Q267" s="17">
        <f>_xlfn.XLOOKUP($B267,'[3]Dec-24'!$A:$A,'[3]Dec-24'!$H:$H,0)</f>
        <v>0</v>
      </c>
      <c r="R267" s="17">
        <f>_xlfn.XLOOKUP($B267,'[3]Jan-25'!$A:$A,'[3]Jan-25'!$H:$H,0)</f>
        <v>0</v>
      </c>
      <c r="S267" s="17">
        <f>_xlfn.XLOOKUP($B267,'[3]Feb-25'!$A:$A,'[3]Feb-25'!$H:$H,0)</f>
        <v>0</v>
      </c>
      <c r="T267" s="17">
        <f>_xlfn.XLOOKUP($B267,'[3]Mar-25'!$A:$A,'[3]Mar-25'!$H:$H,0)</f>
        <v>0</v>
      </c>
      <c r="U267" s="17">
        <f>_xlfn.XLOOKUP($B267,'[3]Apr-25'!$A:$A,'[3]Apr-25'!$H:$H,0)</f>
        <v>0</v>
      </c>
      <c r="V267" s="17">
        <f>_xlfn.XLOOKUP($B267,'[3]May-25'!$A:$A,'[3]May-25'!$H:$H,0)</f>
        <v>0</v>
      </c>
      <c r="W267" s="17">
        <f>_xlfn.XLOOKUP($B267,'[3]Jun-25'!$A:$A,'[3]Jun-25'!$H:$H,0)</f>
        <v>0</v>
      </c>
      <c r="X267" s="17">
        <f>_xlfn.XLOOKUP($B267,'[3]Jul-25'!$A:$A,'[3]Jul-25'!$H:$H,0)</f>
        <v>0</v>
      </c>
      <c r="Y267" s="17">
        <f>_xlfn.XLOOKUP($B267,'[3]Aug-25'!$A:$A,'[3]Aug-25'!$H:$H,0)</f>
        <v>0</v>
      </c>
      <c r="Z267" s="17">
        <f>_xlfn.XLOOKUP($B267,'[3]Sep-25'!$A:$A,'[3]Sep-25'!$H:$H,0)</f>
        <v>0</v>
      </c>
      <c r="AA267" s="17">
        <f>_xlfn.XLOOKUP($B267,'[3]Oct-25'!$A:$A,'[3]Oct-25'!$H:$H,0)</f>
        <v>0</v>
      </c>
      <c r="AB267" s="17">
        <f>_xlfn.XLOOKUP($B267,'[3]Nov-25'!$A:$A,'[3]Nov-25'!$H:$H,0)</f>
        <v>0</v>
      </c>
      <c r="AC267" s="17">
        <f>_xlfn.XLOOKUP($B267,'[3]Dec-25'!$A:$A,'[3]Dec-25'!$H:$H,0)</f>
        <v>0</v>
      </c>
      <c r="AD267" s="17">
        <f>_xlfn.XLOOKUP($B267,'[3]Jan-26'!$A:$A,'[3]Jan-26'!$H:$H,0)</f>
        <v>0</v>
      </c>
      <c r="AE267" s="17">
        <f>_xlfn.XLOOKUP($B267,'[3]Feb-26'!$A:$A,'[3]Feb-26'!$H:$H,0)</f>
        <v>0</v>
      </c>
      <c r="AF267" s="17">
        <f>_xlfn.XLOOKUP($B267,'[3]Mar-26'!$A:$A,'[3]Mar-26'!$H:$H,0)</f>
        <v>0</v>
      </c>
      <c r="AG267" s="17">
        <f>_xlfn.XLOOKUP($B267,'[3]Apr-26'!$A:$A,'[3]Apr-26'!$H:$H,0)</f>
        <v>0</v>
      </c>
    </row>
    <row r="268" spans="1:33" x14ac:dyDescent="0.2">
      <c r="A268" s="58" t="s">
        <v>1204</v>
      </c>
      <c r="B268" s="56" t="str">
        <f t="shared" si="6"/>
        <v>67000</v>
      </c>
      <c r="C268" s="78" t="s">
        <v>552</v>
      </c>
      <c r="D268" s="57" t="s">
        <v>387</v>
      </c>
      <c r="E268" s="44" t="s">
        <v>688</v>
      </c>
      <c r="F268" s="17">
        <f>_xlfn.XLOOKUP($B268,'[3]Jan-24'!$A:$A,'[3]Jan-24'!$H:$H,0)</f>
        <v>0</v>
      </c>
      <c r="G268" s="17">
        <f>_xlfn.XLOOKUP($B268,'[3]Feb-24'!$A:$A,'[3]Feb-24'!$H:$H,0)</f>
        <v>0</v>
      </c>
      <c r="H268" s="17">
        <f>_xlfn.XLOOKUP($B268,'[3]Mar-24'!$A:$A,'[3]Mar-24'!$H:$H,0)</f>
        <v>0</v>
      </c>
      <c r="I268" s="17">
        <f>_xlfn.XLOOKUP($B268,'[3]Apr-24'!$A:$A,'[3]Apr-24'!$H:$H,0)</f>
        <v>0</v>
      </c>
      <c r="J268" s="17">
        <f>_xlfn.XLOOKUP($B268,'[3]May-24'!$A:$A,'[3]May-24'!$H:$H,0)</f>
        <v>0</v>
      </c>
      <c r="K268" s="17">
        <f>_xlfn.XLOOKUP($B268,'[3]Jun-24'!$A:$A,'[3]Jun-24'!$H:$H,0)</f>
        <v>0</v>
      </c>
      <c r="L268" s="17">
        <f>_xlfn.XLOOKUP($B268,'[3]Jul-24'!$A:$A,'[3]Jul-24'!$H:$H,0)</f>
        <v>0</v>
      </c>
      <c r="M268" s="17">
        <f>_xlfn.XLOOKUP($B268,'[3]Aug-24'!$A:$A,'[3]Aug-24'!$H:$H,0)</f>
        <v>0</v>
      </c>
      <c r="N268" s="17">
        <f>_xlfn.XLOOKUP($B268,'[3]Sep-24'!$A:$A,'[3]Sep-24'!$H:$H,0)</f>
        <v>0</v>
      </c>
      <c r="O268" s="17">
        <f>_xlfn.XLOOKUP($B268,'[3]Oct-24'!$A:$A,'[3]Oct-24'!$H:$H,0)</f>
        <v>0</v>
      </c>
      <c r="P268" s="17">
        <f>_xlfn.XLOOKUP($B268,'[3]Nov-24'!$A:$A,'[3]Nov-24'!$H:$H,0)</f>
        <v>0</v>
      </c>
      <c r="Q268" s="17">
        <f>_xlfn.XLOOKUP($B268,'[3]Dec-24'!$A:$A,'[3]Dec-24'!$H:$H,0)</f>
        <v>0</v>
      </c>
      <c r="R268" s="17">
        <f>_xlfn.XLOOKUP($B268,'[3]Jan-25'!$A:$A,'[3]Jan-25'!$H:$H,0)</f>
        <v>0</v>
      </c>
      <c r="S268" s="17">
        <f>_xlfn.XLOOKUP($B268,'[3]Feb-25'!$A:$A,'[3]Feb-25'!$H:$H,0)</f>
        <v>0</v>
      </c>
      <c r="T268" s="17">
        <f>_xlfn.XLOOKUP($B268,'[3]Mar-25'!$A:$A,'[3]Mar-25'!$H:$H,0)</f>
        <v>0</v>
      </c>
      <c r="U268" s="17">
        <f>_xlfn.XLOOKUP($B268,'[3]Apr-25'!$A:$A,'[3]Apr-25'!$H:$H,0)</f>
        <v>0</v>
      </c>
      <c r="V268" s="17">
        <f>_xlfn.XLOOKUP($B268,'[3]May-25'!$A:$A,'[3]May-25'!$H:$H,0)</f>
        <v>0</v>
      </c>
      <c r="W268" s="17">
        <f>_xlfn.XLOOKUP($B268,'[3]Jun-25'!$A:$A,'[3]Jun-25'!$H:$H,0)</f>
        <v>0</v>
      </c>
      <c r="X268" s="17">
        <f>_xlfn.XLOOKUP($B268,'[3]Jul-25'!$A:$A,'[3]Jul-25'!$H:$H,0)</f>
        <v>0</v>
      </c>
      <c r="Y268" s="17">
        <f>_xlfn.XLOOKUP($B268,'[3]Aug-25'!$A:$A,'[3]Aug-25'!$H:$H,0)</f>
        <v>0</v>
      </c>
      <c r="Z268" s="17">
        <f>_xlfn.XLOOKUP($B268,'[3]Sep-25'!$A:$A,'[3]Sep-25'!$H:$H,0)</f>
        <v>0</v>
      </c>
      <c r="AA268" s="17">
        <f>_xlfn.XLOOKUP($B268,'[3]Oct-25'!$A:$A,'[3]Oct-25'!$H:$H,0)</f>
        <v>0</v>
      </c>
      <c r="AB268" s="17">
        <f>_xlfn.XLOOKUP($B268,'[3]Nov-25'!$A:$A,'[3]Nov-25'!$H:$H,0)</f>
        <v>0</v>
      </c>
      <c r="AC268" s="17">
        <f>_xlfn.XLOOKUP($B268,'[3]Dec-25'!$A:$A,'[3]Dec-25'!$H:$H,0)</f>
        <v>0</v>
      </c>
      <c r="AD268" s="17">
        <f>_xlfn.XLOOKUP($B268,'[3]Jan-26'!$A:$A,'[3]Jan-26'!$H:$H,0)</f>
        <v>0</v>
      </c>
      <c r="AE268" s="17">
        <f>_xlfn.XLOOKUP($B268,'[3]Feb-26'!$A:$A,'[3]Feb-26'!$H:$H,0)</f>
        <v>0</v>
      </c>
      <c r="AF268" s="17">
        <f>_xlfn.XLOOKUP($B268,'[3]Mar-26'!$A:$A,'[3]Mar-26'!$H:$H,0)</f>
        <v>0</v>
      </c>
      <c r="AG268" s="17">
        <f>_xlfn.XLOOKUP($B268,'[3]Apr-26'!$A:$A,'[3]Apr-26'!$H:$H,0)</f>
        <v>0</v>
      </c>
    </row>
    <row r="269" spans="1:33" x14ac:dyDescent="0.2">
      <c r="A269" s="58" t="s">
        <v>1205</v>
      </c>
      <c r="B269" s="56" t="str">
        <f t="shared" si="6"/>
        <v>67010</v>
      </c>
      <c r="C269" s="78" t="s">
        <v>389</v>
      </c>
      <c r="D269" s="57" t="s">
        <v>387</v>
      </c>
      <c r="E269" s="44" t="s">
        <v>1206</v>
      </c>
      <c r="F269" s="17">
        <f>_xlfn.XLOOKUP($B269,'[3]Jan-24'!$A:$A,'[3]Jan-24'!$H:$H,0)</f>
        <v>0</v>
      </c>
      <c r="G269" s="17">
        <f>_xlfn.XLOOKUP($B269,'[3]Feb-24'!$A:$A,'[3]Feb-24'!$H:$H,0)</f>
        <v>0</v>
      </c>
      <c r="H269" s="17">
        <f>_xlfn.XLOOKUP($B269,'[3]Mar-24'!$A:$A,'[3]Mar-24'!$H:$H,0)</f>
        <v>0</v>
      </c>
      <c r="I269" s="17">
        <f>_xlfn.XLOOKUP($B269,'[3]Apr-24'!$A:$A,'[3]Apr-24'!$H:$H,0)</f>
        <v>0</v>
      </c>
      <c r="J269" s="17">
        <f>_xlfn.XLOOKUP($B269,'[3]May-24'!$A:$A,'[3]May-24'!$H:$H,0)</f>
        <v>0</v>
      </c>
      <c r="K269" s="17">
        <f>_xlfn.XLOOKUP($B269,'[3]Jun-24'!$A:$A,'[3]Jun-24'!$H:$H,0)</f>
        <v>0</v>
      </c>
      <c r="L269" s="17">
        <f>_xlfn.XLOOKUP($B269,'[3]Jul-24'!$A:$A,'[3]Jul-24'!$H:$H,0)</f>
        <v>0</v>
      </c>
      <c r="M269" s="17">
        <f>_xlfn.XLOOKUP($B269,'[3]Aug-24'!$A:$A,'[3]Aug-24'!$H:$H,0)</f>
        <v>0</v>
      </c>
      <c r="N269" s="17">
        <f>_xlfn.XLOOKUP($B269,'[3]Sep-24'!$A:$A,'[3]Sep-24'!$H:$H,0)</f>
        <v>0</v>
      </c>
      <c r="O269" s="17">
        <f>_xlfn.XLOOKUP($B269,'[3]Oct-24'!$A:$A,'[3]Oct-24'!$H:$H,0)</f>
        <v>0</v>
      </c>
      <c r="P269" s="17">
        <f>_xlfn.XLOOKUP($B269,'[3]Nov-24'!$A:$A,'[3]Nov-24'!$H:$H,0)</f>
        <v>0</v>
      </c>
      <c r="Q269" s="17">
        <f>_xlfn.XLOOKUP($B269,'[3]Dec-24'!$A:$A,'[3]Dec-24'!$H:$H,0)</f>
        <v>0</v>
      </c>
      <c r="R269" s="17">
        <f>_xlfn.XLOOKUP($B269,'[3]Jan-25'!$A:$A,'[3]Jan-25'!$H:$H,0)</f>
        <v>0</v>
      </c>
      <c r="S269" s="17">
        <f>_xlfn.XLOOKUP($B269,'[3]Feb-25'!$A:$A,'[3]Feb-25'!$H:$H,0)</f>
        <v>0</v>
      </c>
      <c r="T269" s="17">
        <f>_xlfn.XLOOKUP($B269,'[3]Mar-25'!$A:$A,'[3]Mar-25'!$H:$H,0)</f>
        <v>0</v>
      </c>
      <c r="U269" s="17">
        <f>_xlfn.XLOOKUP($B269,'[3]Apr-25'!$A:$A,'[3]Apr-25'!$H:$H,0)</f>
        <v>0</v>
      </c>
      <c r="V269" s="17">
        <f>_xlfn.XLOOKUP($B269,'[3]May-25'!$A:$A,'[3]May-25'!$H:$H,0)</f>
        <v>0</v>
      </c>
      <c r="W269" s="17">
        <f>_xlfn.XLOOKUP($B269,'[3]Jun-25'!$A:$A,'[3]Jun-25'!$H:$H,0)</f>
        <v>0</v>
      </c>
      <c r="X269" s="17">
        <f>_xlfn.XLOOKUP($B269,'[3]Jul-25'!$A:$A,'[3]Jul-25'!$H:$H,0)</f>
        <v>0</v>
      </c>
      <c r="Y269" s="17">
        <f>_xlfn.XLOOKUP($B269,'[3]Aug-25'!$A:$A,'[3]Aug-25'!$H:$H,0)</f>
        <v>0</v>
      </c>
      <c r="Z269" s="17">
        <f>_xlfn.XLOOKUP($B269,'[3]Sep-25'!$A:$A,'[3]Sep-25'!$H:$H,0)</f>
        <v>0</v>
      </c>
      <c r="AA269" s="17">
        <f>_xlfn.XLOOKUP($B269,'[3]Oct-25'!$A:$A,'[3]Oct-25'!$H:$H,0)</f>
        <v>0</v>
      </c>
      <c r="AB269" s="17">
        <f>_xlfn.XLOOKUP($B269,'[3]Nov-25'!$A:$A,'[3]Nov-25'!$H:$H,0)</f>
        <v>0</v>
      </c>
      <c r="AC269" s="17">
        <f>_xlfn.XLOOKUP($B269,'[3]Dec-25'!$A:$A,'[3]Dec-25'!$H:$H,0)</f>
        <v>0</v>
      </c>
      <c r="AD269" s="17">
        <f>_xlfn.XLOOKUP($B269,'[3]Jan-26'!$A:$A,'[3]Jan-26'!$H:$H,0)</f>
        <v>0</v>
      </c>
      <c r="AE269" s="17">
        <f>_xlfn.XLOOKUP($B269,'[3]Feb-26'!$A:$A,'[3]Feb-26'!$H:$H,0)</f>
        <v>0</v>
      </c>
      <c r="AF269" s="17">
        <f>_xlfn.XLOOKUP($B269,'[3]Mar-26'!$A:$A,'[3]Mar-26'!$H:$H,0)</f>
        <v>0</v>
      </c>
      <c r="AG269" s="17">
        <f>_xlfn.XLOOKUP($B269,'[3]Apr-26'!$A:$A,'[3]Apr-26'!$H:$H,0)</f>
        <v>0</v>
      </c>
    </row>
    <row r="270" spans="1:33" x14ac:dyDescent="0.2">
      <c r="A270" s="58" t="s">
        <v>1207</v>
      </c>
      <c r="B270" s="56" t="str">
        <f t="shared" si="6"/>
        <v>67012</v>
      </c>
      <c r="C270" s="78" t="s">
        <v>389</v>
      </c>
      <c r="D270" s="57" t="s">
        <v>387</v>
      </c>
      <c r="E270" s="44" t="s">
        <v>691</v>
      </c>
      <c r="F270" s="17">
        <f>_xlfn.XLOOKUP($B270,'[3]Jan-24'!$A:$A,'[3]Jan-24'!$H:$H,0)</f>
        <v>0</v>
      </c>
      <c r="G270" s="17">
        <f>_xlfn.XLOOKUP($B270,'[3]Feb-24'!$A:$A,'[3]Feb-24'!$H:$H,0)</f>
        <v>0</v>
      </c>
      <c r="H270" s="17">
        <f>_xlfn.XLOOKUP($B270,'[3]Mar-24'!$A:$A,'[3]Mar-24'!$H:$H,0)</f>
        <v>0</v>
      </c>
      <c r="I270" s="17">
        <f>_xlfn.XLOOKUP($B270,'[3]Apr-24'!$A:$A,'[3]Apr-24'!$H:$H,0)</f>
        <v>0</v>
      </c>
      <c r="J270" s="17">
        <f>_xlfn.XLOOKUP($B270,'[3]May-24'!$A:$A,'[3]May-24'!$H:$H,0)</f>
        <v>0</v>
      </c>
      <c r="K270" s="17">
        <f>_xlfn.XLOOKUP($B270,'[3]Jun-24'!$A:$A,'[3]Jun-24'!$H:$H,0)</f>
        <v>0</v>
      </c>
      <c r="L270" s="17">
        <f>_xlfn.XLOOKUP($B270,'[3]Jul-24'!$A:$A,'[3]Jul-24'!$H:$H,0)</f>
        <v>0</v>
      </c>
      <c r="M270" s="17">
        <f>_xlfn.XLOOKUP($B270,'[3]Aug-24'!$A:$A,'[3]Aug-24'!$H:$H,0)</f>
        <v>0</v>
      </c>
      <c r="N270" s="17">
        <f>_xlfn.XLOOKUP($B270,'[3]Sep-24'!$A:$A,'[3]Sep-24'!$H:$H,0)</f>
        <v>0</v>
      </c>
      <c r="O270" s="17">
        <f>_xlfn.XLOOKUP($B270,'[3]Oct-24'!$A:$A,'[3]Oct-24'!$H:$H,0)</f>
        <v>0</v>
      </c>
      <c r="P270" s="17">
        <f>_xlfn.XLOOKUP($B270,'[3]Nov-24'!$A:$A,'[3]Nov-24'!$H:$H,0)</f>
        <v>0</v>
      </c>
      <c r="Q270" s="17">
        <f>_xlfn.XLOOKUP($B270,'[3]Dec-24'!$A:$A,'[3]Dec-24'!$H:$H,0)</f>
        <v>0</v>
      </c>
      <c r="R270" s="17">
        <f>_xlfn.XLOOKUP($B270,'[3]Jan-25'!$A:$A,'[3]Jan-25'!$H:$H,0)</f>
        <v>0</v>
      </c>
      <c r="S270" s="17">
        <f>_xlfn.XLOOKUP($B270,'[3]Feb-25'!$A:$A,'[3]Feb-25'!$H:$H,0)</f>
        <v>0</v>
      </c>
      <c r="T270" s="17">
        <f>_xlfn.XLOOKUP($B270,'[3]Mar-25'!$A:$A,'[3]Mar-25'!$H:$H,0)</f>
        <v>0</v>
      </c>
      <c r="U270" s="17">
        <f>_xlfn.XLOOKUP($B270,'[3]Apr-25'!$A:$A,'[3]Apr-25'!$H:$H,0)</f>
        <v>0</v>
      </c>
      <c r="V270" s="17">
        <f>_xlfn.XLOOKUP($B270,'[3]May-25'!$A:$A,'[3]May-25'!$H:$H,0)</f>
        <v>0</v>
      </c>
      <c r="W270" s="17">
        <f>_xlfn.XLOOKUP($B270,'[3]Jun-25'!$A:$A,'[3]Jun-25'!$H:$H,0)</f>
        <v>0</v>
      </c>
      <c r="X270" s="17">
        <f>_xlfn.XLOOKUP($B270,'[3]Jul-25'!$A:$A,'[3]Jul-25'!$H:$H,0)</f>
        <v>0</v>
      </c>
      <c r="Y270" s="17">
        <f>_xlfn.XLOOKUP($B270,'[3]Aug-25'!$A:$A,'[3]Aug-25'!$H:$H,0)</f>
        <v>0</v>
      </c>
      <c r="Z270" s="17">
        <f>_xlfn.XLOOKUP($B270,'[3]Sep-25'!$A:$A,'[3]Sep-25'!$H:$H,0)</f>
        <v>0</v>
      </c>
      <c r="AA270" s="17">
        <f>_xlfn.XLOOKUP($B270,'[3]Oct-25'!$A:$A,'[3]Oct-25'!$H:$H,0)</f>
        <v>0</v>
      </c>
      <c r="AB270" s="17">
        <f>_xlfn.XLOOKUP($B270,'[3]Nov-25'!$A:$A,'[3]Nov-25'!$H:$H,0)</f>
        <v>0</v>
      </c>
      <c r="AC270" s="17">
        <f>_xlfn.XLOOKUP($B270,'[3]Dec-25'!$A:$A,'[3]Dec-25'!$H:$H,0)</f>
        <v>0</v>
      </c>
      <c r="AD270" s="17">
        <f>_xlfn.XLOOKUP($B270,'[3]Jan-26'!$A:$A,'[3]Jan-26'!$H:$H,0)</f>
        <v>0</v>
      </c>
      <c r="AE270" s="17">
        <f>_xlfn.XLOOKUP($B270,'[3]Feb-26'!$A:$A,'[3]Feb-26'!$H:$H,0)</f>
        <v>0</v>
      </c>
      <c r="AF270" s="17">
        <f>_xlfn.XLOOKUP($B270,'[3]Mar-26'!$A:$A,'[3]Mar-26'!$H:$H,0)</f>
        <v>0</v>
      </c>
      <c r="AG270" s="17">
        <f>_xlfn.XLOOKUP($B270,'[3]Apr-26'!$A:$A,'[3]Apr-26'!$H:$H,0)</f>
        <v>0</v>
      </c>
    </row>
    <row r="271" spans="1:33" x14ac:dyDescent="0.2">
      <c r="A271" s="58" t="s">
        <v>1208</v>
      </c>
      <c r="B271" s="56" t="str">
        <f t="shared" si="6"/>
        <v>67028</v>
      </c>
      <c r="C271" s="78" t="s">
        <v>549</v>
      </c>
      <c r="D271" s="57" t="s">
        <v>387</v>
      </c>
      <c r="E271" s="44" t="s">
        <v>707</v>
      </c>
      <c r="F271" s="17">
        <f>_xlfn.XLOOKUP($B271,'[3]Jan-24'!$A:$A,'[3]Jan-24'!$H:$H,0)</f>
        <v>0</v>
      </c>
      <c r="G271" s="17">
        <f>_xlfn.XLOOKUP($B271,'[3]Feb-24'!$A:$A,'[3]Feb-24'!$H:$H,0)</f>
        <v>0</v>
      </c>
      <c r="H271" s="17">
        <f>_xlfn.XLOOKUP($B271,'[3]Mar-24'!$A:$A,'[3]Mar-24'!$H:$H,0)</f>
        <v>0</v>
      </c>
      <c r="I271" s="17">
        <f>_xlfn.XLOOKUP($B271,'[3]Apr-24'!$A:$A,'[3]Apr-24'!$H:$H,0)</f>
        <v>0</v>
      </c>
      <c r="J271" s="17">
        <f>_xlfn.XLOOKUP($B271,'[3]May-24'!$A:$A,'[3]May-24'!$H:$H,0)</f>
        <v>0</v>
      </c>
      <c r="K271" s="17">
        <f>_xlfn.XLOOKUP($B271,'[3]Jun-24'!$A:$A,'[3]Jun-24'!$H:$H,0)</f>
        <v>0</v>
      </c>
      <c r="L271" s="17">
        <f>_xlfn.XLOOKUP($B271,'[3]Jul-24'!$A:$A,'[3]Jul-24'!$H:$H,0)</f>
        <v>0</v>
      </c>
      <c r="M271" s="17">
        <f>_xlfn.XLOOKUP($B271,'[3]Aug-24'!$A:$A,'[3]Aug-24'!$H:$H,0)</f>
        <v>0</v>
      </c>
      <c r="N271" s="17">
        <f>_xlfn.XLOOKUP($B271,'[3]Sep-24'!$A:$A,'[3]Sep-24'!$H:$H,0)</f>
        <v>0</v>
      </c>
      <c r="O271" s="17">
        <f>_xlfn.XLOOKUP($B271,'[3]Oct-24'!$A:$A,'[3]Oct-24'!$H:$H,0)</f>
        <v>0</v>
      </c>
      <c r="P271" s="17">
        <f>_xlfn.XLOOKUP($B271,'[3]Nov-24'!$A:$A,'[3]Nov-24'!$H:$H,0)</f>
        <v>0</v>
      </c>
      <c r="Q271" s="17">
        <f>_xlfn.XLOOKUP($B271,'[3]Dec-24'!$A:$A,'[3]Dec-24'!$H:$H,0)</f>
        <v>0</v>
      </c>
      <c r="R271" s="17">
        <f>_xlfn.XLOOKUP($B271,'[3]Jan-25'!$A:$A,'[3]Jan-25'!$H:$H,0)</f>
        <v>0</v>
      </c>
      <c r="S271" s="17">
        <f>_xlfn.XLOOKUP($B271,'[3]Feb-25'!$A:$A,'[3]Feb-25'!$H:$H,0)</f>
        <v>0</v>
      </c>
      <c r="T271" s="17">
        <f>_xlfn.XLOOKUP($B271,'[3]Mar-25'!$A:$A,'[3]Mar-25'!$H:$H,0)</f>
        <v>0</v>
      </c>
      <c r="U271" s="17">
        <f>_xlfn.XLOOKUP($B271,'[3]Apr-25'!$A:$A,'[3]Apr-25'!$H:$H,0)</f>
        <v>0</v>
      </c>
      <c r="V271" s="17">
        <f>_xlfn.XLOOKUP($B271,'[3]May-25'!$A:$A,'[3]May-25'!$H:$H,0)</f>
        <v>0</v>
      </c>
      <c r="W271" s="17">
        <f>_xlfn.XLOOKUP($B271,'[3]Jun-25'!$A:$A,'[3]Jun-25'!$H:$H,0)</f>
        <v>0</v>
      </c>
      <c r="X271" s="17">
        <f>_xlfn.XLOOKUP($B271,'[3]Jul-25'!$A:$A,'[3]Jul-25'!$H:$H,0)</f>
        <v>0</v>
      </c>
      <c r="Y271" s="17">
        <f>_xlfn.XLOOKUP($B271,'[3]Aug-25'!$A:$A,'[3]Aug-25'!$H:$H,0)</f>
        <v>0</v>
      </c>
      <c r="Z271" s="17">
        <f>_xlfn.XLOOKUP($B271,'[3]Sep-25'!$A:$A,'[3]Sep-25'!$H:$H,0)</f>
        <v>0</v>
      </c>
      <c r="AA271" s="17">
        <f>_xlfn.XLOOKUP($B271,'[3]Oct-25'!$A:$A,'[3]Oct-25'!$H:$H,0)</f>
        <v>0</v>
      </c>
      <c r="AB271" s="17">
        <f>_xlfn.XLOOKUP($B271,'[3]Nov-25'!$A:$A,'[3]Nov-25'!$H:$H,0)</f>
        <v>0</v>
      </c>
      <c r="AC271" s="17">
        <f>_xlfn.XLOOKUP($B271,'[3]Dec-25'!$A:$A,'[3]Dec-25'!$H:$H,0)</f>
        <v>0</v>
      </c>
      <c r="AD271" s="17">
        <f>_xlfn.XLOOKUP($B271,'[3]Jan-26'!$A:$A,'[3]Jan-26'!$H:$H,0)</f>
        <v>0</v>
      </c>
      <c r="AE271" s="17">
        <f>_xlfn.XLOOKUP($B271,'[3]Feb-26'!$A:$A,'[3]Feb-26'!$H:$H,0)</f>
        <v>0</v>
      </c>
      <c r="AF271" s="17">
        <f>_xlfn.XLOOKUP($B271,'[3]Mar-26'!$A:$A,'[3]Mar-26'!$H:$H,0)</f>
        <v>0</v>
      </c>
      <c r="AG271" s="17">
        <f>_xlfn.XLOOKUP($B271,'[3]Apr-26'!$A:$A,'[3]Apr-26'!$H:$H,0)</f>
        <v>0</v>
      </c>
    </row>
    <row r="272" spans="1:33" x14ac:dyDescent="0.2">
      <c r="A272" s="58" t="s">
        <v>1209</v>
      </c>
      <c r="B272" s="56" t="str">
        <f t="shared" si="6"/>
        <v>67040</v>
      </c>
      <c r="C272" s="78" t="s">
        <v>572</v>
      </c>
      <c r="D272" s="57" t="s">
        <v>387</v>
      </c>
      <c r="E272" s="44" t="s">
        <v>718</v>
      </c>
      <c r="F272" s="17">
        <f>_xlfn.XLOOKUP($B272,'[3]Jan-24'!$A:$A,'[3]Jan-24'!$H:$H,0)</f>
        <v>0</v>
      </c>
      <c r="G272" s="17">
        <f>_xlfn.XLOOKUP($B272,'[3]Feb-24'!$A:$A,'[3]Feb-24'!$H:$H,0)</f>
        <v>0</v>
      </c>
      <c r="H272" s="17">
        <f>_xlfn.XLOOKUP($B272,'[3]Mar-24'!$A:$A,'[3]Mar-24'!$H:$H,0)</f>
        <v>0</v>
      </c>
      <c r="I272" s="17">
        <f>_xlfn.XLOOKUP($B272,'[3]Apr-24'!$A:$A,'[3]Apr-24'!$H:$H,0)</f>
        <v>0</v>
      </c>
      <c r="J272" s="17">
        <f>_xlfn.XLOOKUP($B272,'[3]May-24'!$A:$A,'[3]May-24'!$H:$H,0)</f>
        <v>0</v>
      </c>
      <c r="K272" s="17">
        <f>_xlfn.XLOOKUP($B272,'[3]Jun-24'!$A:$A,'[3]Jun-24'!$H:$H,0)</f>
        <v>0</v>
      </c>
      <c r="L272" s="17">
        <f>_xlfn.XLOOKUP($B272,'[3]Jul-24'!$A:$A,'[3]Jul-24'!$H:$H,0)</f>
        <v>0</v>
      </c>
      <c r="M272" s="17">
        <f>_xlfn.XLOOKUP($B272,'[3]Aug-24'!$A:$A,'[3]Aug-24'!$H:$H,0)</f>
        <v>0</v>
      </c>
      <c r="N272" s="17">
        <f>_xlfn.XLOOKUP($B272,'[3]Sep-24'!$A:$A,'[3]Sep-24'!$H:$H,0)</f>
        <v>0</v>
      </c>
      <c r="O272" s="17">
        <f>_xlfn.XLOOKUP($B272,'[3]Oct-24'!$A:$A,'[3]Oct-24'!$H:$H,0)</f>
        <v>0</v>
      </c>
      <c r="P272" s="17">
        <f>_xlfn.XLOOKUP($B272,'[3]Nov-24'!$A:$A,'[3]Nov-24'!$H:$H,0)</f>
        <v>0</v>
      </c>
      <c r="Q272" s="17">
        <f>_xlfn.XLOOKUP($B272,'[3]Dec-24'!$A:$A,'[3]Dec-24'!$H:$H,0)</f>
        <v>0</v>
      </c>
      <c r="R272" s="17">
        <f>_xlfn.XLOOKUP($B272,'[3]Jan-25'!$A:$A,'[3]Jan-25'!$H:$H,0)</f>
        <v>0</v>
      </c>
      <c r="S272" s="17">
        <f>_xlfn.XLOOKUP($B272,'[3]Feb-25'!$A:$A,'[3]Feb-25'!$H:$H,0)</f>
        <v>0</v>
      </c>
      <c r="T272" s="17">
        <f>_xlfn.XLOOKUP($B272,'[3]Mar-25'!$A:$A,'[3]Mar-25'!$H:$H,0)</f>
        <v>0</v>
      </c>
      <c r="U272" s="17">
        <f>_xlfn.XLOOKUP($B272,'[3]Apr-25'!$A:$A,'[3]Apr-25'!$H:$H,0)</f>
        <v>0</v>
      </c>
      <c r="V272" s="17">
        <f>_xlfn.XLOOKUP($B272,'[3]May-25'!$A:$A,'[3]May-25'!$H:$H,0)</f>
        <v>0</v>
      </c>
      <c r="W272" s="17">
        <f>_xlfn.XLOOKUP($B272,'[3]Jun-25'!$A:$A,'[3]Jun-25'!$H:$H,0)</f>
        <v>0</v>
      </c>
      <c r="X272" s="17">
        <f>_xlfn.XLOOKUP($B272,'[3]Jul-25'!$A:$A,'[3]Jul-25'!$H:$H,0)</f>
        <v>0</v>
      </c>
      <c r="Y272" s="17">
        <f>_xlfn.XLOOKUP($B272,'[3]Aug-25'!$A:$A,'[3]Aug-25'!$H:$H,0)</f>
        <v>0</v>
      </c>
      <c r="Z272" s="17">
        <f>_xlfn.XLOOKUP($B272,'[3]Sep-25'!$A:$A,'[3]Sep-25'!$H:$H,0)</f>
        <v>0</v>
      </c>
      <c r="AA272" s="17">
        <f>_xlfn.XLOOKUP($B272,'[3]Oct-25'!$A:$A,'[3]Oct-25'!$H:$H,0)</f>
        <v>0</v>
      </c>
      <c r="AB272" s="17">
        <f>_xlfn.XLOOKUP($B272,'[3]Nov-25'!$A:$A,'[3]Nov-25'!$H:$H,0)</f>
        <v>0</v>
      </c>
      <c r="AC272" s="17">
        <f>_xlfn.XLOOKUP($B272,'[3]Dec-25'!$A:$A,'[3]Dec-25'!$H:$H,0)</f>
        <v>0</v>
      </c>
      <c r="AD272" s="17">
        <f>_xlfn.XLOOKUP($B272,'[3]Jan-26'!$A:$A,'[3]Jan-26'!$H:$H,0)</f>
        <v>0</v>
      </c>
      <c r="AE272" s="17">
        <f>_xlfn.XLOOKUP($B272,'[3]Feb-26'!$A:$A,'[3]Feb-26'!$H:$H,0)</f>
        <v>0</v>
      </c>
      <c r="AF272" s="17">
        <f>_xlfn.XLOOKUP($B272,'[3]Mar-26'!$A:$A,'[3]Mar-26'!$H:$H,0)</f>
        <v>0</v>
      </c>
      <c r="AG272" s="17">
        <f>_xlfn.XLOOKUP($B272,'[3]Apr-26'!$A:$A,'[3]Apr-26'!$H:$H,0)</f>
        <v>0</v>
      </c>
    </row>
    <row r="273" spans="1:33" x14ac:dyDescent="0.2">
      <c r="A273" s="58" t="s">
        <v>1210</v>
      </c>
      <c r="B273" s="56" t="str">
        <f t="shared" si="6"/>
        <v>67055</v>
      </c>
      <c r="C273" s="78" t="s">
        <v>572</v>
      </c>
      <c r="D273" s="57" t="s">
        <v>387</v>
      </c>
      <c r="E273" s="44" t="s">
        <v>727</v>
      </c>
      <c r="F273" s="17">
        <f>_xlfn.XLOOKUP($B273,'[3]Jan-24'!$A:$A,'[3]Jan-24'!$H:$H,0)</f>
        <v>0</v>
      </c>
      <c r="G273" s="17">
        <f>_xlfn.XLOOKUP($B273,'[3]Feb-24'!$A:$A,'[3]Feb-24'!$H:$H,0)</f>
        <v>0</v>
      </c>
      <c r="H273" s="17">
        <f>_xlfn.XLOOKUP($B273,'[3]Mar-24'!$A:$A,'[3]Mar-24'!$H:$H,0)</f>
        <v>0</v>
      </c>
      <c r="I273" s="17">
        <f>_xlfn.XLOOKUP($B273,'[3]Apr-24'!$A:$A,'[3]Apr-24'!$H:$H,0)</f>
        <v>0</v>
      </c>
      <c r="J273" s="17">
        <f>_xlfn.XLOOKUP($B273,'[3]May-24'!$A:$A,'[3]May-24'!$H:$H,0)</f>
        <v>0</v>
      </c>
      <c r="K273" s="17">
        <f>_xlfn.XLOOKUP($B273,'[3]Jun-24'!$A:$A,'[3]Jun-24'!$H:$H,0)</f>
        <v>0</v>
      </c>
      <c r="L273" s="17">
        <f>_xlfn.XLOOKUP($B273,'[3]Jul-24'!$A:$A,'[3]Jul-24'!$H:$H,0)</f>
        <v>0</v>
      </c>
      <c r="M273" s="17">
        <f>_xlfn.XLOOKUP($B273,'[3]Aug-24'!$A:$A,'[3]Aug-24'!$H:$H,0)</f>
        <v>0</v>
      </c>
      <c r="N273" s="17">
        <f>_xlfn.XLOOKUP($B273,'[3]Sep-24'!$A:$A,'[3]Sep-24'!$H:$H,0)</f>
        <v>0</v>
      </c>
      <c r="O273" s="17">
        <f>_xlfn.XLOOKUP($B273,'[3]Oct-24'!$A:$A,'[3]Oct-24'!$H:$H,0)</f>
        <v>0</v>
      </c>
      <c r="P273" s="17">
        <f>_xlfn.XLOOKUP($B273,'[3]Nov-24'!$A:$A,'[3]Nov-24'!$H:$H,0)</f>
        <v>0</v>
      </c>
      <c r="Q273" s="17">
        <f>_xlfn.XLOOKUP($B273,'[3]Dec-24'!$A:$A,'[3]Dec-24'!$H:$H,0)</f>
        <v>0</v>
      </c>
      <c r="R273" s="17">
        <f>_xlfn.XLOOKUP($B273,'[3]Jan-25'!$A:$A,'[3]Jan-25'!$H:$H,0)</f>
        <v>0</v>
      </c>
      <c r="S273" s="17">
        <f>_xlfn.XLOOKUP($B273,'[3]Feb-25'!$A:$A,'[3]Feb-25'!$H:$H,0)</f>
        <v>0</v>
      </c>
      <c r="T273" s="17">
        <f>_xlfn.XLOOKUP($B273,'[3]Mar-25'!$A:$A,'[3]Mar-25'!$H:$H,0)</f>
        <v>0</v>
      </c>
      <c r="U273" s="17">
        <f>_xlfn.XLOOKUP($B273,'[3]Apr-25'!$A:$A,'[3]Apr-25'!$H:$H,0)</f>
        <v>0</v>
      </c>
      <c r="V273" s="17">
        <f>_xlfn.XLOOKUP($B273,'[3]May-25'!$A:$A,'[3]May-25'!$H:$H,0)</f>
        <v>0</v>
      </c>
      <c r="W273" s="17">
        <f>_xlfn.XLOOKUP($B273,'[3]Jun-25'!$A:$A,'[3]Jun-25'!$H:$H,0)</f>
        <v>0</v>
      </c>
      <c r="X273" s="17">
        <f>_xlfn.XLOOKUP($B273,'[3]Jul-25'!$A:$A,'[3]Jul-25'!$H:$H,0)</f>
        <v>0</v>
      </c>
      <c r="Y273" s="17">
        <f>_xlfn.XLOOKUP($B273,'[3]Aug-25'!$A:$A,'[3]Aug-25'!$H:$H,0)</f>
        <v>0</v>
      </c>
      <c r="Z273" s="17">
        <f>_xlfn.XLOOKUP($B273,'[3]Sep-25'!$A:$A,'[3]Sep-25'!$H:$H,0)</f>
        <v>0</v>
      </c>
      <c r="AA273" s="17">
        <f>_xlfn.XLOOKUP($B273,'[3]Oct-25'!$A:$A,'[3]Oct-25'!$H:$H,0)</f>
        <v>0</v>
      </c>
      <c r="AB273" s="17">
        <f>_xlfn.XLOOKUP($B273,'[3]Nov-25'!$A:$A,'[3]Nov-25'!$H:$H,0)</f>
        <v>0</v>
      </c>
      <c r="AC273" s="17">
        <f>_xlfn.XLOOKUP($B273,'[3]Dec-25'!$A:$A,'[3]Dec-25'!$H:$H,0)</f>
        <v>0</v>
      </c>
      <c r="AD273" s="17">
        <f>_xlfn.XLOOKUP($B273,'[3]Jan-26'!$A:$A,'[3]Jan-26'!$H:$H,0)</f>
        <v>0</v>
      </c>
      <c r="AE273" s="17">
        <f>_xlfn.XLOOKUP($B273,'[3]Feb-26'!$A:$A,'[3]Feb-26'!$H:$H,0)</f>
        <v>0</v>
      </c>
      <c r="AF273" s="17">
        <f>_xlfn.XLOOKUP($B273,'[3]Mar-26'!$A:$A,'[3]Mar-26'!$H:$H,0)</f>
        <v>0</v>
      </c>
      <c r="AG273" s="17">
        <f>_xlfn.XLOOKUP($B273,'[3]Apr-26'!$A:$A,'[3]Apr-26'!$H:$H,0)</f>
        <v>0</v>
      </c>
    </row>
    <row r="274" spans="1:33" x14ac:dyDescent="0.2">
      <c r="A274" s="58" t="s">
        <v>1211</v>
      </c>
      <c r="B274" s="56" t="str">
        <f t="shared" si="6"/>
        <v>67065</v>
      </c>
      <c r="C274" s="78" t="s">
        <v>552</v>
      </c>
      <c r="D274" s="57" t="s">
        <v>387</v>
      </c>
      <c r="E274" s="44" t="s">
        <v>728</v>
      </c>
      <c r="F274" s="17">
        <f>_xlfn.XLOOKUP($B274,'[3]Jan-24'!$A:$A,'[3]Jan-24'!$H:$H,0)</f>
        <v>0</v>
      </c>
      <c r="G274" s="17">
        <f>_xlfn.XLOOKUP($B274,'[3]Feb-24'!$A:$A,'[3]Feb-24'!$H:$H,0)</f>
        <v>0</v>
      </c>
      <c r="H274" s="17">
        <f>_xlfn.XLOOKUP($B274,'[3]Mar-24'!$A:$A,'[3]Mar-24'!$H:$H,0)</f>
        <v>0</v>
      </c>
      <c r="I274" s="17">
        <f>_xlfn.XLOOKUP($B274,'[3]Apr-24'!$A:$A,'[3]Apr-24'!$H:$H,0)</f>
        <v>0</v>
      </c>
      <c r="J274" s="17">
        <f>_xlfn.XLOOKUP($B274,'[3]May-24'!$A:$A,'[3]May-24'!$H:$H,0)</f>
        <v>0</v>
      </c>
      <c r="K274" s="17">
        <f>_xlfn.XLOOKUP($B274,'[3]Jun-24'!$A:$A,'[3]Jun-24'!$H:$H,0)</f>
        <v>0</v>
      </c>
      <c r="L274" s="17">
        <f>_xlfn.XLOOKUP($B274,'[3]Jul-24'!$A:$A,'[3]Jul-24'!$H:$H,0)</f>
        <v>0</v>
      </c>
      <c r="M274" s="17">
        <f>_xlfn.XLOOKUP($B274,'[3]Aug-24'!$A:$A,'[3]Aug-24'!$H:$H,0)</f>
        <v>0</v>
      </c>
      <c r="N274" s="17">
        <f>_xlfn.XLOOKUP($B274,'[3]Sep-24'!$A:$A,'[3]Sep-24'!$H:$H,0)</f>
        <v>0</v>
      </c>
      <c r="O274" s="17">
        <f>_xlfn.XLOOKUP($B274,'[3]Oct-24'!$A:$A,'[3]Oct-24'!$H:$H,0)</f>
        <v>0</v>
      </c>
      <c r="P274" s="17">
        <f>_xlfn.XLOOKUP($B274,'[3]Nov-24'!$A:$A,'[3]Nov-24'!$H:$H,0)</f>
        <v>0</v>
      </c>
      <c r="Q274" s="17">
        <f>_xlfn.XLOOKUP($B274,'[3]Dec-24'!$A:$A,'[3]Dec-24'!$H:$H,0)</f>
        <v>0</v>
      </c>
      <c r="R274" s="17">
        <f>_xlfn.XLOOKUP($B274,'[3]Jan-25'!$A:$A,'[3]Jan-25'!$H:$H,0)</f>
        <v>0</v>
      </c>
      <c r="S274" s="17">
        <f>_xlfn.XLOOKUP($B274,'[3]Feb-25'!$A:$A,'[3]Feb-25'!$H:$H,0)</f>
        <v>0</v>
      </c>
      <c r="T274" s="17">
        <f>_xlfn.XLOOKUP($B274,'[3]Mar-25'!$A:$A,'[3]Mar-25'!$H:$H,0)</f>
        <v>0</v>
      </c>
      <c r="U274" s="17">
        <f>_xlfn.XLOOKUP($B274,'[3]Apr-25'!$A:$A,'[3]Apr-25'!$H:$H,0)</f>
        <v>0</v>
      </c>
      <c r="V274" s="17">
        <f>_xlfn.XLOOKUP($B274,'[3]May-25'!$A:$A,'[3]May-25'!$H:$H,0)</f>
        <v>0</v>
      </c>
      <c r="W274" s="17">
        <f>_xlfn.XLOOKUP($B274,'[3]Jun-25'!$A:$A,'[3]Jun-25'!$H:$H,0)</f>
        <v>0</v>
      </c>
      <c r="X274" s="17">
        <f>_xlfn.XLOOKUP($B274,'[3]Jul-25'!$A:$A,'[3]Jul-25'!$H:$H,0)</f>
        <v>0</v>
      </c>
      <c r="Y274" s="17">
        <f>_xlfn.XLOOKUP($B274,'[3]Aug-25'!$A:$A,'[3]Aug-25'!$H:$H,0)</f>
        <v>0</v>
      </c>
      <c r="Z274" s="17">
        <f>_xlfn.XLOOKUP($B274,'[3]Sep-25'!$A:$A,'[3]Sep-25'!$H:$H,0)</f>
        <v>0</v>
      </c>
      <c r="AA274" s="17">
        <f>_xlfn.XLOOKUP($B274,'[3]Oct-25'!$A:$A,'[3]Oct-25'!$H:$H,0)</f>
        <v>0</v>
      </c>
      <c r="AB274" s="17">
        <f>_xlfn.XLOOKUP($B274,'[3]Nov-25'!$A:$A,'[3]Nov-25'!$H:$H,0)</f>
        <v>0</v>
      </c>
      <c r="AC274" s="17">
        <f>_xlfn.XLOOKUP($B274,'[3]Dec-25'!$A:$A,'[3]Dec-25'!$H:$H,0)</f>
        <v>0</v>
      </c>
      <c r="AD274" s="17">
        <f>_xlfn.XLOOKUP($B274,'[3]Jan-26'!$A:$A,'[3]Jan-26'!$H:$H,0)</f>
        <v>0</v>
      </c>
      <c r="AE274" s="17">
        <f>_xlfn.XLOOKUP($B274,'[3]Feb-26'!$A:$A,'[3]Feb-26'!$H:$H,0)</f>
        <v>0</v>
      </c>
      <c r="AF274" s="17">
        <f>_xlfn.XLOOKUP($B274,'[3]Mar-26'!$A:$A,'[3]Mar-26'!$H:$H,0)</f>
        <v>0</v>
      </c>
      <c r="AG274" s="17">
        <f>_xlfn.XLOOKUP($B274,'[3]Apr-26'!$A:$A,'[3]Apr-26'!$H:$H,0)</f>
        <v>0</v>
      </c>
    </row>
    <row r="275" spans="1:33" x14ac:dyDescent="0.2">
      <c r="A275" s="58" t="s">
        <v>1212</v>
      </c>
      <c r="B275" s="56" t="str">
        <f t="shared" si="6"/>
        <v>67300</v>
      </c>
      <c r="C275" s="78" t="s">
        <v>517</v>
      </c>
      <c r="D275" s="57" t="s">
        <v>387</v>
      </c>
      <c r="E275" s="44" t="s">
        <v>1213</v>
      </c>
      <c r="F275" s="17">
        <f>_xlfn.XLOOKUP($B275,'[3]Jan-24'!$A:$A,'[3]Jan-24'!$H:$H,0)</f>
        <v>0</v>
      </c>
      <c r="G275" s="17">
        <f>_xlfn.XLOOKUP($B275,'[3]Feb-24'!$A:$A,'[3]Feb-24'!$H:$H,0)</f>
        <v>0</v>
      </c>
      <c r="H275" s="17">
        <f>_xlfn.XLOOKUP($B275,'[3]Mar-24'!$A:$A,'[3]Mar-24'!$H:$H,0)</f>
        <v>0</v>
      </c>
      <c r="I275" s="17">
        <f>_xlfn.XLOOKUP($B275,'[3]Apr-24'!$A:$A,'[3]Apr-24'!$H:$H,0)</f>
        <v>0</v>
      </c>
      <c r="J275" s="17">
        <f>_xlfn.XLOOKUP($B275,'[3]May-24'!$A:$A,'[3]May-24'!$H:$H,0)</f>
        <v>0</v>
      </c>
      <c r="K275" s="17">
        <f>_xlfn.XLOOKUP($B275,'[3]Jun-24'!$A:$A,'[3]Jun-24'!$H:$H,0)</f>
        <v>0</v>
      </c>
      <c r="L275" s="17">
        <f>_xlfn.XLOOKUP($B275,'[3]Jul-24'!$A:$A,'[3]Jul-24'!$H:$H,0)</f>
        <v>0</v>
      </c>
      <c r="M275" s="17">
        <f>_xlfn.XLOOKUP($B275,'[3]Aug-24'!$A:$A,'[3]Aug-24'!$H:$H,0)</f>
        <v>0</v>
      </c>
      <c r="N275" s="17">
        <f>_xlfn.XLOOKUP($B275,'[3]Sep-24'!$A:$A,'[3]Sep-24'!$H:$H,0)</f>
        <v>0</v>
      </c>
      <c r="O275" s="17">
        <f>_xlfn.XLOOKUP($B275,'[3]Oct-24'!$A:$A,'[3]Oct-24'!$H:$H,0)</f>
        <v>0</v>
      </c>
      <c r="P275" s="17">
        <f>_xlfn.XLOOKUP($B275,'[3]Nov-24'!$A:$A,'[3]Nov-24'!$H:$H,0)</f>
        <v>0</v>
      </c>
      <c r="Q275" s="17">
        <f>_xlfn.XLOOKUP($B275,'[3]Dec-24'!$A:$A,'[3]Dec-24'!$H:$H,0)</f>
        <v>0</v>
      </c>
      <c r="R275" s="17">
        <f>_xlfn.XLOOKUP($B275,'[3]Jan-25'!$A:$A,'[3]Jan-25'!$H:$H,0)</f>
        <v>0</v>
      </c>
      <c r="S275" s="17">
        <f>_xlfn.XLOOKUP($B275,'[3]Feb-25'!$A:$A,'[3]Feb-25'!$H:$H,0)</f>
        <v>0</v>
      </c>
      <c r="T275" s="17">
        <f>_xlfn.XLOOKUP($B275,'[3]Mar-25'!$A:$A,'[3]Mar-25'!$H:$H,0)</f>
        <v>0</v>
      </c>
      <c r="U275" s="17">
        <f>_xlfn.XLOOKUP($B275,'[3]Apr-25'!$A:$A,'[3]Apr-25'!$H:$H,0)</f>
        <v>0</v>
      </c>
      <c r="V275" s="17">
        <f>_xlfn.XLOOKUP($B275,'[3]May-25'!$A:$A,'[3]May-25'!$H:$H,0)</f>
        <v>0</v>
      </c>
      <c r="W275" s="17">
        <f>_xlfn.XLOOKUP($B275,'[3]Jun-25'!$A:$A,'[3]Jun-25'!$H:$H,0)</f>
        <v>0</v>
      </c>
      <c r="X275" s="17">
        <f>_xlfn.XLOOKUP($B275,'[3]Jul-25'!$A:$A,'[3]Jul-25'!$H:$H,0)</f>
        <v>0</v>
      </c>
      <c r="Y275" s="17">
        <f>_xlfn.XLOOKUP($B275,'[3]Aug-25'!$A:$A,'[3]Aug-25'!$H:$H,0)</f>
        <v>0</v>
      </c>
      <c r="Z275" s="17">
        <f>_xlfn.XLOOKUP($B275,'[3]Sep-25'!$A:$A,'[3]Sep-25'!$H:$H,0)</f>
        <v>0</v>
      </c>
      <c r="AA275" s="17">
        <f>_xlfn.XLOOKUP($B275,'[3]Oct-25'!$A:$A,'[3]Oct-25'!$H:$H,0)</f>
        <v>0</v>
      </c>
      <c r="AB275" s="17">
        <f>_xlfn.XLOOKUP($B275,'[3]Nov-25'!$A:$A,'[3]Nov-25'!$H:$H,0)</f>
        <v>0</v>
      </c>
      <c r="AC275" s="17">
        <f>_xlfn.XLOOKUP($B275,'[3]Dec-25'!$A:$A,'[3]Dec-25'!$H:$H,0)</f>
        <v>0</v>
      </c>
      <c r="AD275" s="17">
        <f>_xlfn.XLOOKUP($B275,'[3]Jan-26'!$A:$A,'[3]Jan-26'!$H:$H,0)</f>
        <v>0</v>
      </c>
      <c r="AE275" s="17">
        <f>_xlfn.XLOOKUP($B275,'[3]Feb-26'!$A:$A,'[3]Feb-26'!$H:$H,0)</f>
        <v>0</v>
      </c>
      <c r="AF275" s="17">
        <f>_xlfn.XLOOKUP($B275,'[3]Mar-26'!$A:$A,'[3]Mar-26'!$H:$H,0)</f>
        <v>0</v>
      </c>
      <c r="AG275" s="17">
        <f>_xlfn.XLOOKUP($B275,'[3]Apr-26'!$A:$A,'[3]Apr-26'!$H:$H,0)</f>
        <v>0</v>
      </c>
    </row>
    <row r="276" spans="1:33" x14ac:dyDescent="0.2">
      <c r="A276" s="58" t="s">
        <v>1214</v>
      </c>
      <c r="B276" s="56" t="str">
        <f t="shared" si="6"/>
        <v>67890</v>
      </c>
      <c r="C276" s="78" t="s">
        <v>389</v>
      </c>
      <c r="D276" s="57" t="s">
        <v>387</v>
      </c>
      <c r="E276" s="44" t="s">
        <v>732</v>
      </c>
      <c r="F276" s="17">
        <f>_xlfn.XLOOKUP($B276,'[3]Jan-24'!$A:$A,'[3]Jan-24'!$H:$H,0)</f>
        <v>0</v>
      </c>
      <c r="G276" s="17">
        <f>_xlfn.XLOOKUP($B276,'[3]Feb-24'!$A:$A,'[3]Feb-24'!$H:$H,0)</f>
        <v>0</v>
      </c>
      <c r="H276" s="17">
        <f>_xlfn.XLOOKUP($B276,'[3]Mar-24'!$A:$A,'[3]Mar-24'!$H:$H,0)</f>
        <v>0</v>
      </c>
      <c r="I276" s="17">
        <f>_xlfn.XLOOKUP($B276,'[3]Apr-24'!$A:$A,'[3]Apr-24'!$H:$H,0)</f>
        <v>0</v>
      </c>
      <c r="J276" s="17">
        <f>_xlfn.XLOOKUP($B276,'[3]May-24'!$A:$A,'[3]May-24'!$H:$H,0)</f>
        <v>0</v>
      </c>
      <c r="K276" s="17">
        <f>_xlfn.XLOOKUP($B276,'[3]Jun-24'!$A:$A,'[3]Jun-24'!$H:$H,0)</f>
        <v>0</v>
      </c>
      <c r="L276" s="17">
        <f>_xlfn.XLOOKUP($B276,'[3]Jul-24'!$A:$A,'[3]Jul-24'!$H:$H,0)</f>
        <v>0</v>
      </c>
      <c r="M276" s="17">
        <f>_xlfn.XLOOKUP($B276,'[3]Aug-24'!$A:$A,'[3]Aug-24'!$H:$H,0)</f>
        <v>0</v>
      </c>
      <c r="N276" s="17">
        <f>_xlfn.XLOOKUP($B276,'[3]Sep-24'!$A:$A,'[3]Sep-24'!$H:$H,0)</f>
        <v>0</v>
      </c>
      <c r="O276" s="17">
        <f>_xlfn.XLOOKUP($B276,'[3]Oct-24'!$A:$A,'[3]Oct-24'!$H:$H,0)</f>
        <v>0</v>
      </c>
      <c r="P276" s="17">
        <f>_xlfn.XLOOKUP($B276,'[3]Nov-24'!$A:$A,'[3]Nov-24'!$H:$H,0)</f>
        <v>0</v>
      </c>
      <c r="Q276" s="17">
        <f>_xlfn.XLOOKUP($B276,'[3]Dec-24'!$A:$A,'[3]Dec-24'!$H:$H,0)</f>
        <v>0</v>
      </c>
      <c r="R276" s="17">
        <f>_xlfn.XLOOKUP($B276,'[3]Jan-25'!$A:$A,'[3]Jan-25'!$H:$H,0)</f>
        <v>0</v>
      </c>
      <c r="S276" s="17">
        <f>_xlfn.XLOOKUP($B276,'[3]Feb-25'!$A:$A,'[3]Feb-25'!$H:$H,0)</f>
        <v>0</v>
      </c>
      <c r="T276" s="17">
        <f>_xlfn.XLOOKUP($B276,'[3]Mar-25'!$A:$A,'[3]Mar-25'!$H:$H,0)</f>
        <v>0</v>
      </c>
      <c r="U276" s="17">
        <f>_xlfn.XLOOKUP($B276,'[3]Apr-25'!$A:$A,'[3]Apr-25'!$H:$H,0)</f>
        <v>0</v>
      </c>
      <c r="V276" s="17">
        <f>_xlfn.XLOOKUP($B276,'[3]May-25'!$A:$A,'[3]May-25'!$H:$H,0)</f>
        <v>0</v>
      </c>
      <c r="W276" s="17">
        <f>_xlfn.XLOOKUP($B276,'[3]Jun-25'!$A:$A,'[3]Jun-25'!$H:$H,0)</f>
        <v>0</v>
      </c>
      <c r="X276" s="17">
        <f>_xlfn.XLOOKUP($B276,'[3]Jul-25'!$A:$A,'[3]Jul-25'!$H:$H,0)</f>
        <v>0</v>
      </c>
      <c r="Y276" s="17">
        <f>_xlfn.XLOOKUP($B276,'[3]Aug-25'!$A:$A,'[3]Aug-25'!$H:$H,0)</f>
        <v>0</v>
      </c>
      <c r="Z276" s="17">
        <f>_xlfn.XLOOKUP($B276,'[3]Sep-25'!$A:$A,'[3]Sep-25'!$H:$H,0)</f>
        <v>0</v>
      </c>
      <c r="AA276" s="17">
        <f>_xlfn.XLOOKUP($B276,'[3]Oct-25'!$A:$A,'[3]Oct-25'!$H:$H,0)</f>
        <v>0</v>
      </c>
      <c r="AB276" s="17">
        <f>_xlfn.XLOOKUP($B276,'[3]Nov-25'!$A:$A,'[3]Nov-25'!$H:$H,0)</f>
        <v>0</v>
      </c>
      <c r="AC276" s="17">
        <f>_xlfn.XLOOKUP($B276,'[3]Dec-25'!$A:$A,'[3]Dec-25'!$H:$H,0)</f>
        <v>0</v>
      </c>
      <c r="AD276" s="17">
        <f>_xlfn.XLOOKUP($B276,'[3]Jan-26'!$A:$A,'[3]Jan-26'!$H:$H,0)</f>
        <v>0</v>
      </c>
      <c r="AE276" s="17">
        <f>_xlfn.XLOOKUP($B276,'[3]Feb-26'!$A:$A,'[3]Feb-26'!$H:$H,0)</f>
        <v>0</v>
      </c>
      <c r="AF276" s="17">
        <f>_xlfn.XLOOKUP($B276,'[3]Mar-26'!$A:$A,'[3]Mar-26'!$H:$H,0)</f>
        <v>0</v>
      </c>
      <c r="AG276" s="17">
        <f>_xlfn.XLOOKUP($B276,'[3]Apr-26'!$A:$A,'[3]Apr-26'!$H:$H,0)</f>
        <v>0</v>
      </c>
    </row>
    <row r="277" spans="1:33" x14ac:dyDescent="0.2">
      <c r="A277" s="58" t="s">
        <v>917</v>
      </c>
      <c r="B277" s="56" t="str">
        <f t="shared" si="6"/>
        <v>67920</v>
      </c>
      <c r="C277" s="78" t="s">
        <v>477</v>
      </c>
      <c r="D277" s="57" t="s">
        <v>387</v>
      </c>
      <c r="E277" s="44" t="s">
        <v>735</v>
      </c>
      <c r="F277" s="17">
        <f>_xlfn.XLOOKUP($B277,'[3]Jan-24'!$A:$A,'[3]Jan-24'!$H:$H,0)</f>
        <v>0</v>
      </c>
      <c r="G277" s="17">
        <f>_xlfn.XLOOKUP($B277,'[3]Feb-24'!$A:$A,'[3]Feb-24'!$H:$H,0)</f>
        <v>0</v>
      </c>
      <c r="H277" s="17">
        <f>_xlfn.XLOOKUP($B277,'[3]Mar-24'!$A:$A,'[3]Mar-24'!$H:$H,0)</f>
        <v>0</v>
      </c>
      <c r="I277" s="17">
        <f>_xlfn.XLOOKUP($B277,'[3]Apr-24'!$A:$A,'[3]Apr-24'!$H:$H,0)</f>
        <v>0</v>
      </c>
      <c r="J277" s="17">
        <f>_xlfn.XLOOKUP($B277,'[3]May-24'!$A:$A,'[3]May-24'!$H:$H,0)</f>
        <v>-1900</v>
      </c>
      <c r="K277" s="17">
        <f>_xlfn.XLOOKUP($B277,'[3]Jun-24'!$A:$A,'[3]Jun-24'!$H:$H,0)</f>
        <v>0</v>
      </c>
      <c r="L277" s="17">
        <f>_xlfn.XLOOKUP($B277,'[3]Jul-24'!$A:$A,'[3]Jul-24'!$H:$H,0)</f>
        <v>0</v>
      </c>
      <c r="M277" s="17">
        <f>_xlfn.XLOOKUP($B277,'[3]Aug-24'!$A:$A,'[3]Aug-24'!$H:$H,0)</f>
        <v>0</v>
      </c>
      <c r="N277" s="17">
        <f>_xlfn.XLOOKUP($B277,'[3]Sep-24'!$A:$A,'[3]Sep-24'!$H:$H,0)</f>
        <v>0</v>
      </c>
      <c r="O277" s="17">
        <f>_xlfn.XLOOKUP($B277,'[3]Oct-24'!$A:$A,'[3]Oct-24'!$H:$H,0)</f>
        <v>-568.83000000000004</v>
      </c>
      <c r="P277" s="17">
        <f>_xlfn.XLOOKUP($B277,'[3]Nov-24'!$A:$A,'[3]Nov-24'!$H:$H,0)</f>
        <v>0</v>
      </c>
      <c r="Q277" s="17">
        <f>_xlfn.XLOOKUP($B277,'[3]Dec-24'!$A:$A,'[3]Dec-24'!$H:$H,0)</f>
        <v>-57.19</v>
      </c>
      <c r="R277" s="17">
        <f>_xlfn.XLOOKUP($B277,'[3]Jan-25'!$A:$A,'[3]Jan-25'!$H:$H,0)</f>
        <v>1895.22</v>
      </c>
      <c r="S277" s="17">
        <f>_xlfn.XLOOKUP($B277,'[3]Feb-25'!$A:$A,'[3]Feb-25'!$H:$H,0)</f>
        <v>0</v>
      </c>
      <c r="T277" s="17">
        <f>_xlfn.XLOOKUP($B277,'[3]Mar-25'!$A:$A,'[3]Mar-25'!$H:$H,0)</f>
        <v>0</v>
      </c>
      <c r="U277" s="17">
        <f>_xlfn.XLOOKUP($B277,'[3]Apr-25'!$A:$A,'[3]Apr-25'!$H:$H,0)</f>
        <v>0</v>
      </c>
      <c r="V277" s="17">
        <f>_xlfn.XLOOKUP($B277,'[3]May-25'!$A:$A,'[3]May-25'!$H:$H,0)</f>
        <v>0</v>
      </c>
      <c r="W277" s="17">
        <f>_xlfn.XLOOKUP($B277,'[3]Jun-25'!$A:$A,'[3]Jun-25'!$H:$H,0)</f>
        <v>0</v>
      </c>
      <c r="X277" s="17">
        <f>_xlfn.XLOOKUP($B277,'[3]Jul-25'!$A:$A,'[3]Jul-25'!$H:$H,0)</f>
        <v>-21.09</v>
      </c>
      <c r="Y277" s="17">
        <f>_xlfn.XLOOKUP($B277,'[3]Aug-25'!$A:$A,'[3]Aug-25'!$H:$H,0)</f>
        <v>0</v>
      </c>
      <c r="Z277" s="17">
        <f>_xlfn.XLOOKUP($B277,'[3]Sep-25'!$A:$A,'[3]Sep-25'!$H:$H,0)</f>
        <v>2143.08</v>
      </c>
      <c r="AA277" s="17">
        <f>_xlfn.XLOOKUP($B277,'[3]Oct-25'!$A:$A,'[3]Oct-25'!$H:$H,0)</f>
        <v>-8.4</v>
      </c>
      <c r="AB277" s="17">
        <f>_xlfn.XLOOKUP($B277,'[3]Nov-25'!$A:$A,'[3]Nov-25'!$H:$H,0)</f>
        <v>-8.4</v>
      </c>
      <c r="AC277" s="17">
        <f>_xlfn.XLOOKUP($B277,'[3]Dec-25'!$A:$A,'[3]Dec-25'!$H:$H,0)</f>
        <v>-3</v>
      </c>
      <c r="AD277" s="17">
        <f>_xlfn.XLOOKUP($B277,'[3]Jan-26'!$A:$A,'[3]Jan-26'!$H:$H,0)</f>
        <v>-16</v>
      </c>
      <c r="AE277" s="17">
        <f>_xlfn.XLOOKUP($B277,'[3]Feb-26'!$A:$A,'[3]Feb-26'!$H:$H,0)</f>
        <v>0</v>
      </c>
      <c r="AF277" s="17">
        <f>_xlfn.XLOOKUP($B277,'[3]Mar-26'!$A:$A,'[3]Mar-26'!$H:$H,0)</f>
        <v>0</v>
      </c>
      <c r="AG277" s="17">
        <f>_xlfn.XLOOKUP($B277,'[3]Apr-26'!$A:$A,'[3]Apr-26'!$H:$H,0)</f>
        <v>-12</v>
      </c>
    </row>
    <row r="278" spans="1:33" x14ac:dyDescent="0.2">
      <c r="A278" s="58" t="s">
        <v>1215</v>
      </c>
      <c r="B278" s="56" t="str">
        <f t="shared" si="6"/>
        <v>67940</v>
      </c>
      <c r="C278" s="78" t="s">
        <v>389</v>
      </c>
      <c r="D278" s="57" t="s">
        <v>387</v>
      </c>
      <c r="E278" s="44" t="s">
        <v>736</v>
      </c>
      <c r="F278" s="17">
        <f>_xlfn.XLOOKUP($B278,'[3]Jan-24'!$A:$A,'[3]Jan-24'!$H:$H,0)</f>
        <v>0</v>
      </c>
      <c r="G278" s="17">
        <f>_xlfn.XLOOKUP($B278,'[3]Feb-24'!$A:$A,'[3]Feb-24'!$H:$H,0)</f>
        <v>0</v>
      </c>
      <c r="H278" s="17">
        <f>_xlfn.XLOOKUP($B278,'[3]Mar-24'!$A:$A,'[3]Mar-24'!$H:$H,0)</f>
        <v>0</v>
      </c>
      <c r="I278" s="17">
        <f>_xlfn.XLOOKUP($B278,'[3]Apr-24'!$A:$A,'[3]Apr-24'!$H:$H,0)</f>
        <v>0</v>
      </c>
      <c r="J278" s="17">
        <f>_xlfn.XLOOKUP($B278,'[3]May-24'!$A:$A,'[3]May-24'!$H:$H,0)</f>
        <v>0</v>
      </c>
      <c r="K278" s="17">
        <f>_xlfn.XLOOKUP($B278,'[3]Jun-24'!$A:$A,'[3]Jun-24'!$H:$H,0)</f>
        <v>0</v>
      </c>
      <c r="L278" s="17">
        <f>_xlfn.XLOOKUP($B278,'[3]Jul-24'!$A:$A,'[3]Jul-24'!$H:$H,0)</f>
        <v>0</v>
      </c>
      <c r="M278" s="17">
        <f>_xlfn.XLOOKUP($B278,'[3]Aug-24'!$A:$A,'[3]Aug-24'!$H:$H,0)</f>
        <v>0</v>
      </c>
      <c r="N278" s="17">
        <f>_xlfn.XLOOKUP($B278,'[3]Sep-24'!$A:$A,'[3]Sep-24'!$H:$H,0)</f>
        <v>0</v>
      </c>
      <c r="O278" s="17">
        <f>_xlfn.XLOOKUP($B278,'[3]Oct-24'!$A:$A,'[3]Oct-24'!$H:$H,0)</f>
        <v>0</v>
      </c>
      <c r="P278" s="17">
        <f>_xlfn.XLOOKUP($B278,'[3]Nov-24'!$A:$A,'[3]Nov-24'!$H:$H,0)</f>
        <v>0</v>
      </c>
      <c r="Q278" s="17">
        <f>_xlfn.XLOOKUP($B278,'[3]Dec-24'!$A:$A,'[3]Dec-24'!$H:$H,0)</f>
        <v>0.01</v>
      </c>
      <c r="R278" s="17">
        <f>_xlfn.XLOOKUP($B278,'[3]Jan-25'!$A:$A,'[3]Jan-25'!$H:$H,0)</f>
        <v>0</v>
      </c>
      <c r="S278" s="17">
        <f>_xlfn.XLOOKUP($B278,'[3]Feb-25'!$A:$A,'[3]Feb-25'!$H:$H,0)</f>
        <v>0</v>
      </c>
      <c r="T278" s="17">
        <f>_xlfn.XLOOKUP($B278,'[3]Mar-25'!$A:$A,'[3]Mar-25'!$H:$H,0)</f>
        <v>0</v>
      </c>
      <c r="U278" s="17">
        <f>_xlfn.XLOOKUP($B278,'[3]Apr-25'!$A:$A,'[3]Apr-25'!$H:$H,0)</f>
        <v>0</v>
      </c>
      <c r="V278" s="17">
        <f>_xlfn.XLOOKUP($B278,'[3]May-25'!$A:$A,'[3]May-25'!$H:$H,0)</f>
        <v>0</v>
      </c>
      <c r="W278" s="17">
        <f>_xlfn.XLOOKUP($B278,'[3]Jun-25'!$A:$A,'[3]Jun-25'!$H:$H,0)</f>
        <v>0</v>
      </c>
      <c r="X278" s="17">
        <f>_xlfn.XLOOKUP($B278,'[3]Jul-25'!$A:$A,'[3]Jul-25'!$H:$H,0)</f>
        <v>0</v>
      </c>
      <c r="Y278" s="17">
        <f>_xlfn.XLOOKUP($B278,'[3]Aug-25'!$A:$A,'[3]Aug-25'!$H:$H,0)</f>
        <v>0</v>
      </c>
      <c r="Z278" s="17">
        <f>_xlfn.XLOOKUP($B278,'[3]Sep-25'!$A:$A,'[3]Sep-25'!$H:$H,0)</f>
        <v>0</v>
      </c>
      <c r="AA278" s="17">
        <f>_xlfn.XLOOKUP($B278,'[3]Oct-25'!$A:$A,'[3]Oct-25'!$H:$H,0)</f>
        <v>0</v>
      </c>
      <c r="AB278" s="17">
        <f>_xlfn.XLOOKUP($B278,'[3]Nov-25'!$A:$A,'[3]Nov-25'!$H:$H,0)</f>
        <v>0</v>
      </c>
      <c r="AC278" s="17">
        <f>_xlfn.XLOOKUP($B278,'[3]Dec-25'!$A:$A,'[3]Dec-25'!$H:$H,0)</f>
        <v>0</v>
      </c>
      <c r="AD278" s="17">
        <f>_xlfn.XLOOKUP($B278,'[3]Jan-26'!$A:$A,'[3]Jan-26'!$H:$H,0)</f>
        <v>0</v>
      </c>
      <c r="AE278" s="17">
        <f>_xlfn.XLOOKUP($B278,'[3]Feb-26'!$A:$A,'[3]Feb-26'!$H:$H,0)</f>
        <v>0</v>
      </c>
      <c r="AF278" s="17">
        <f>_xlfn.XLOOKUP($B278,'[3]Mar-26'!$A:$A,'[3]Mar-26'!$H:$H,0)</f>
        <v>0</v>
      </c>
      <c r="AG278" s="17">
        <f>_xlfn.XLOOKUP($B278,'[3]Apr-26'!$A:$A,'[3]Apr-26'!$H:$H,0)</f>
        <v>0</v>
      </c>
    </row>
    <row r="279" spans="1:33" x14ac:dyDescent="0.2">
      <c r="A279" s="58" t="s">
        <v>1216</v>
      </c>
      <c r="B279" s="56" t="str">
        <f t="shared" si="6"/>
        <v>68500</v>
      </c>
      <c r="C279" s="78" t="s">
        <v>629</v>
      </c>
      <c r="D279" s="57" t="s">
        <v>387</v>
      </c>
      <c r="E279" s="44" t="s">
        <v>737</v>
      </c>
      <c r="F279" s="17">
        <f>_xlfn.XLOOKUP($B279,'[3]Jan-24'!$A:$A,'[3]Jan-24'!$H:$H,0)</f>
        <v>0</v>
      </c>
      <c r="G279" s="17">
        <f>_xlfn.XLOOKUP($B279,'[3]Feb-24'!$A:$A,'[3]Feb-24'!$H:$H,0)</f>
        <v>0</v>
      </c>
      <c r="H279" s="17">
        <f>_xlfn.XLOOKUP($B279,'[3]Mar-24'!$A:$A,'[3]Mar-24'!$H:$H,0)</f>
        <v>0</v>
      </c>
      <c r="I279" s="17">
        <f>_xlfn.XLOOKUP($B279,'[3]Apr-24'!$A:$A,'[3]Apr-24'!$H:$H,0)</f>
        <v>0</v>
      </c>
      <c r="J279" s="17">
        <f>_xlfn.XLOOKUP($B279,'[3]May-24'!$A:$A,'[3]May-24'!$H:$H,0)</f>
        <v>0</v>
      </c>
      <c r="K279" s="17">
        <f>_xlfn.XLOOKUP($B279,'[3]Jun-24'!$A:$A,'[3]Jun-24'!$H:$H,0)</f>
        <v>0</v>
      </c>
      <c r="L279" s="17">
        <f>_xlfn.XLOOKUP($B279,'[3]Jul-24'!$A:$A,'[3]Jul-24'!$H:$H,0)</f>
        <v>0</v>
      </c>
      <c r="M279" s="17">
        <f>_xlfn.XLOOKUP($B279,'[3]Aug-24'!$A:$A,'[3]Aug-24'!$H:$H,0)</f>
        <v>0</v>
      </c>
      <c r="N279" s="17">
        <f>_xlfn.XLOOKUP($B279,'[3]Sep-24'!$A:$A,'[3]Sep-24'!$H:$H,0)</f>
        <v>0</v>
      </c>
      <c r="O279" s="17">
        <f>_xlfn.XLOOKUP($B279,'[3]Oct-24'!$A:$A,'[3]Oct-24'!$H:$H,0)</f>
        <v>0</v>
      </c>
      <c r="P279" s="17">
        <f>_xlfn.XLOOKUP($B279,'[3]Nov-24'!$A:$A,'[3]Nov-24'!$H:$H,0)</f>
        <v>0</v>
      </c>
      <c r="Q279" s="17">
        <f>_xlfn.XLOOKUP($B279,'[3]Dec-24'!$A:$A,'[3]Dec-24'!$H:$H,0)</f>
        <v>0</v>
      </c>
      <c r="R279" s="17">
        <f>_xlfn.XLOOKUP($B279,'[3]Jan-25'!$A:$A,'[3]Jan-25'!$H:$H,0)</f>
        <v>0</v>
      </c>
      <c r="S279" s="17">
        <f>_xlfn.XLOOKUP($B279,'[3]Feb-25'!$A:$A,'[3]Feb-25'!$H:$H,0)</f>
        <v>0</v>
      </c>
      <c r="T279" s="17">
        <f>_xlfn.XLOOKUP($B279,'[3]Mar-25'!$A:$A,'[3]Mar-25'!$H:$H,0)</f>
        <v>0</v>
      </c>
      <c r="U279" s="17">
        <f>_xlfn.XLOOKUP($B279,'[3]Apr-25'!$A:$A,'[3]Apr-25'!$H:$H,0)</f>
        <v>0</v>
      </c>
      <c r="V279" s="17">
        <f>_xlfn.XLOOKUP($B279,'[3]May-25'!$A:$A,'[3]May-25'!$H:$H,0)</f>
        <v>0</v>
      </c>
      <c r="W279" s="17">
        <f>_xlfn.XLOOKUP($B279,'[3]Jun-25'!$A:$A,'[3]Jun-25'!$H:$H,0)</f>
        <v>0</v>
      </c>
      <c r="X279" s="17">
        <f>_xlfn.XLOOKUP($B279,'[3]Jul-25'!$A:$A,'[3]Jul-25'!$H:$H,0)</f>
        <v>0</v>
      </c>
      <c r="Y279" s="17">
        <f>_xlfn.XLOOKUP($B279,'[3]Aug-25'!$A:$A,'[3]Aug-25'!$H:$H,0)</f>
        <v>0</v>
      </c>
      <c r="Z279" s="17">
        <f>_xlfn.XLOOKUP($B279,'[3]Sep-25'!$A:$A,'[3]Sep-25'!$H:$H,0)</f>
        <v>1500</v>
      </c>
      <c r="AA279" s="17">
        <f>_xlfn.XLOOKUP($B279,'[3]Oct-25'!$A:$A,'[3]Oct-25'!$H:$H,0)</f>
        <v>0</v>
      </c>
      <c r="AB279" s="17">
        <f>_xlfn.XLOOKUP($B279,'[3]Nov-25'!$A:$A,'[3]Nov-25'!$H:$H,0)</f>
        <v>0</v>
      </c>
      <c r="AC279" s="17">
        <f>_xlfn.XLOOKUP($B279,'[3]Dec-25'!$A:$A,'[3]Dec-25'!$H:$H,0)</f>
        <v>0</v>
      </c>
      <c r="AD279" s="17">
        <f>_xlfn.XLOOKUP($B279,'[3]Jan-26'!$A:$A,'[3]Jan-26'!$H:$H,0)</f>
        <v>0</v>
      </c>
      <c r="AE279" s="17">
        <f>_xlfn.XLOOKUP($B279,'[3]Feb-26'!$A:$A,'[3]Feb-26'!$H:$H,0)</f>
        <v>0</v>
      </c>
      <c r="AF279" s="17">
        <f>_xlfn.XLOOKUP($B279,'[3]Mar-26'!$A:$A,'[3]Mar-26'!$H:$H,0)</f>
        <v>0</v>
      </c>
      <c r="AG279" s="17">
        <f>_xlfn.XLOOKUP($B279,'[3]Apr-26'!$A:$A,'[3]Apr-26'!$H:$H,0)</f>
        <v>0</v>
      </c>
    </row>
    <row r="280" spans="1:33" x14ac:dyDescent="0.2">
      <c r="A280" s="58" t="s">
        <v>895</v>
      </c>
      <c r="B280" s="56" t="str">
        <f t="shared" si="6"/>
        <v>68501</v>
      </c>
      <c r="C280" s="78" t="s">
        <v>629</v>
      </c>
      <c r="D280" s="57" t="s">
        <v>387</v>
      </c>
      <c r="E280" s="44" t="s">
        <v>738</v>
      </c>
      <c r="F280" s="17">
        <f>_xlfn.XLOOKUP($B280,'[3]Jan-24'!$A:$A,'[3]Jan-24'!$H:$H,0)</f>
        <v>0</v>
      </c>
      <c r="G280" s="17">
        <f>_xlfn.XLOOKUP($B280,'[3]Feb-24'!$A:$A,'[3]Feb-24'!$H:$H,0)</f>
        <v>0</v>
      </c>
      <c r="H280" s="17">
        <f>_xlfn.XLOOKUP($B280,'[3]Mar-24'!$A:$A,'[3]Mar-24'!$H:$H,0)</f>
        <v>0</v>
      </c>
      <c r="I280" s="17">
        <f>_xlfn.XLOOKUP($B280,'[3]Apr-24'!$A:$A,'[3]Apr-24'!$H:$H,0)</f>
        <v>0</v>
      </c>
      <c r="J280" s="17">
        <f>_xlfn.XLOOKUP($B280,'[3]May-24'!$A:$A,'[3]May-24'!$H:$H,0)</f>
        <v>0</v>
      </c>
      <c r="K280" s="17">
        <f>_xlfn.XLOOKUP($B280,'[3]Jun-24'!$A:$A,'[3]Jun-24'!$H:$H,0)</f>
        <v>0</v>
      </c>
      <c r="L280" s="17">
        <f>_xlfn.XLOOKUP($B280,'[3]Jul-24'!$A:$A,'[3]Jul-24'!$H:$H,0)</f>
        <v>0</v>
      </c>
      <c r="M280" s="17">
        <f>_xlfn.XLOOKUP($B280,'[3]Aug-24'!$A:$A,'[3]Aug-24'!$H:$H,0)</f>
        <v>0</v>
      </c>
      <c r="N280" s="17">
        <f>_xlfn.XLOOKUP($B280,'[3]Sep-24'!$A:$A,'[3]Sep-24'!$H:$H,0)</f>
        <v>0</v>
      </c>
      <c r="O280" s="17">
        <f>_xlfn.XLOOKUP($B280,'[3]Oct-24'!$A:$A,'[3]Oct-24'!$H:$H,0)</f>
        <v>0</v>
      </c>
      <c r="P280" s="17">
        <f>_xlfn.XLOOKUP($B280,'[3]Nov-24'!$A:$A,'[3]Nov-24'!$H:$H,0)</f>
        <v>0</v>
      </c>
      <c r="Q280" s="17">
        <f>_xlfn.XLOOKUP($B280,'[3]Dec-24'!$A:$A,'[3]Dec-24'!$H:$H,0)</f>
        <v>0</v>
      </c>
      <c r="R280" s="17">
        <f>_xlfn.XLOOKUP($B280,'[3]Jan-25'!$A:$A,'[3]Jan-25'!$H:$H,0)</f>
        <v>0</v>
      </c>
      <c r="S280" s="17">
        <f>_xlfn.XLOOKUP($B280,'[3]Feb-25'!$A:$A,'[3]Feb-25'!$H:$H,0)</f>
        <v>4600</v>
      </c>
      <c r="T280" s="17">
        <f>_xlfn.XLOOKUP($B280,'[3]Mar-25'!$A:$A,'[3]Mar-25'!$H:$H,0)</f>
        <v>0</v>
      </c>
      <c r="U280" s="17">
        <f>_xlfn.XLOOKUP($B280,'[3]Apr-25'!$A:$A,'[3]Apr-25'!$H:$H,0)</f>
        <v>0</v>
      </c>
      <c r="V280" s="17">
        <f>_xlfn.XLOOKUP($B280,'[3]May-25'!$A:$A,'[3]May-25'!$H:$H,0)</f>
        <v>0</v>
      </c>
      <c r="W280" s="17">
        <f>_xlfn.XLOOKUP($B280,'[3]Jun-25'!$A:$A,'[3]Jun-25'!$H:$H,0)</f>
        <v>0</v>
      </c>
      <c r="X280" s="17">
        <f>_xlfn.XLOOKUP($B280,'[3]Jul-25'!$A:$A,'[3]Jul-25'!$H:$H,0)</f>
        <v>0</v>
      </c>
      <c r="Y280" s="17">
        <f>_xlfn.XLOOKUP($B280,'[3]Aug-25'!$A:$A,'[3]Aug-25'!$H:$H,0)</f>
        <v>0</v>
      </c>
      <c r="Z280" s="17">
        <f>_xlfn.XLOOKUP($B280,'[3]Sep-25'!$A:$A,'[3]Sep-25'!$H:$H,0)</f>
        <v>0</v>
      </c>
      <c r="AA280" s="17">
        <f>_xlfn.XLOOKUP($B280,'[3]Oct-25'!$A:$A,'[3]Oct-25'!$H:$H,0)</f>
        <v>0</v>
      </c>
      <c r="AB280" s="17">
        <f>_xlfn.XLOOKUP($B280,'[3]Nov-25'!$A:$A,'[3]Nov-25'!$H:$H,0)</f>
        <v>0</v>
      </c>
      <c r="AC280" s="17">
        <f>_xlfn.XLOOKUP($B280,'[3]Dec-25'!$A:$A,'[3]Dec-25'!$H:$H,0)</f>
        <v>0</v>
      </c>
      <c r="AD280" s="17">
        <f>_xlfn.XLOOKUP($B280,'[3]Jan-26'!$A:$A,'[3]Jan-26'!$H:$H,0)</f>
        <v>0</v>
      </c>
      <c r="AE280" s="17">
        <f>_xlfn.XLOOKUP($B280,'[3]Feb-26'!$A:$A,'[3]Feb-26'!$H:$H,0)</f>
        <v>0</v>
      </c>
      <c r="AF280" s="17">
        <f>_xlfn.XLOOKUP($B280,'[3]Mar-26'!$A:$A,'[3]Mar-26'!$H:$H,0)</f>
        <v>0</v>
      </c>
      <c r="AG280" s="17">
        <f>_xlfn.XLOOKUP($B280,'[3]Apr-26'!$A:$A,'[3]Apr-26'!$H:$H,0)</f>
        <v>0</v>
      </c>
    </row>
    <row r="281" spans="1:33" x14ac:dyDescent="0.2">
      <c r="A281" s="58" t="s">
        <v>1217</v>
      </c>
      <c r="B281" s="56" t="str">
        <f t="shared" si="6"/>
        <v>68502</v>
      </c>
      <c r="C281" s="78" t="s">
        <v>629</v>
      </c>
      <c r="D281" s="57" t="s">
        <v>387</v>
      </c>
      <c r="E281" s="44" t="s">
        <v>739</v>
      </c>
      <c r="F281" s="17">
        <f>_xlfn.XLOOKUP($B281,'[3]Jan-24'!$A:$A,'[3]Jan-24'!$H:$H,0)</f>
        <v>0</v>
      </c>
      <c r="G281" s="17">
        <f>_xlfn.XLOOKUP($B281,'[3]Feb-24'!$A:$A,'[3]Feb-24'!$H:$H,0)</f>
        <v>0</v>
      </c>
      <c r="H281" s="17">
        <f>_xlfn.XLOOKUP($B281,'[3]Mar-24'!$A:$A,'[3]Mar-24'!$H:$H,0)</f>
        <v>0</v>
      </c>
      <c r="I281" s="17">
        <f>_xlfn.XLOOKUP($B281,'[3]Apr-24'!$A:$A,'[3]Apr-24'!$H:$H,0)</f>
        <v>0</v>
      </c>
      <c r="J281" s="17">
        <f>_xlfn.XLOOKUP($B281,'[3]May-24'!$A:$A,'[3]May-24'!$H:$H,0)</f>
        <v>0</v>
      </c>
      <c r="K281" s="17">
        <f>_xlfn.XLOOKUP($B281,'[3]Jun-24'!$A:$A,'[3]Jun-24'!$H:$H,0)</f>
        <v>0</v>
      </c>
      <c r="L281" s="17">
        <f>_xlfn.XLOOKUP($B281,'[3]Jul-24'!$A:$A,'[3]Jul-24'!$H:$H,0)</f>
        <v>0</v>
      </c>
      <c r="M281" s="17">
        <f>_xlfn.XLOOKUP($B281,'[3]Aug-24'!$A:$A,'[3]Aug-24'!$H:$H,0)</f>
        <v>0</v>
      </c>
      <c r="N281" s="17">
        <f>_xlfn.XLOOKUP($B281,'[3]Sep-24'!$A:$A,'[3]Sep-24'!$H:$H,0)</f>
        <v>0</v>
      </c>
      <c r="O281" s="17">
        <f>_xlfn.XLOOKUP($B281,'[3]Oct-24'!$A:$A,'[3]Oct-24'!$H:$H,0)</f>
        <v>0</v>
      </c>
      <c r="P281" s="17">
        <f>_xlfn.XLOOKUP($B281,'[3]Nov-24'!$A:$A,'[3]Nov-24'!$H:$H,0)</f>
        <v>0</v>
      </c>
      <c r="Q281" s="17">
        <f>_xlfn.XLOOKUP($B281,'[3]Dec-24'!$A:$A,'[3]Dec-24'!$H:$H,0)</f>
        <v>0</v>
      </c>
      <c r="R281" s="17">
        <f>_xlfn.XLOOKUP($B281,'[3]Jan-25'!$A:$A,'[3]Jan-25'!$H:$H,0)</f>
        <v>0</v>
      </c>
      <c r="S281" s="17">
        <f>_xlfn.XLOOKUP($B281,'[3]Feb-25'!$A:$A,'[3]Feb-25'!$H:$H,0)</f>
        <v>0</v>
      </c>
      <c r="T281" s="17">
        <f>_xlfn.XLOOKUP($B281,'[3]Mar-25'!$A:$A,'[3]Mar-25'!$H:$H,0)</f>
        <v>0</v>
      </c>
      <c r="U281" s="17">
        <f>_xlfn.XLOOKUP($B281,'[3]Apr-25'!$A:$A,'[3]Apr-25'!$H:$H,0)</f>
        <v>0</v>
      </c>
      <c r="V281" s="17">
        <f>_xlfn.XLOOKUP($B281,'[3]May-25'!$A:$A,'[3]May-25'!$H:$H,0)</f>
        <v>0</v>
      </c>
      <c r="W281" s="17">
        <f>_xlfn.XLOOKUP($B281,'[3]Jun-25'!$A:$A,'[3]Jun-25'!$H:$H,0)</f>
        <v>0</v>
      </c>
      <c r="X281" s="17">
        <f>_xlfn.XLOOKUP($B281,'[3]Jul-25'!$A:$A,'[3]Jul-25'!$H:$H,0)</f>
        <v>0</v>
      </c>
      <c r="Y281" s="17">
        <f>_xlfn.XLOOKUP($B281,'[3]Aug-25'!$A:$A,'[3]Aug-25'!$H:$H,0)</f>
        <v>0</v>
      </c>
      <c r="Z281" s="17">
        <f>_xlfn.XLOOKUP($B281,'[3]Sep-25'!$A:$A,'[3]Sep-25'!$H:$H,0)</f>
        <v>0</v>
      </c>
      <c r="AA281" s="17">
        <f>_xlfn.XLOOKUP($B281,'[3]Oct-25'!$A:$A,'[3]Oct-25'!$H:$H,0)</f>
        <v>0</v>
      </c>
      <c r="AB281" s="17">
        <f>_xlfn.XLOOKUP($B281,'[3]Nov-25'!$A:$A,'[3]Nov-25'!$H:$H,0)</f>
        <v>0</v>
      </c>
      <c r="AC281" s="17">
        <f>_xlfn.XLOOKUP($B281,'[3]Dec-25'!$A:$A,'[3]Dec-25'!$H:$H,0)</f>
        <v>0</v>
      </c>
      <c r="AD281" s="17">
        <f>_xlfn.XLOOKUP($B281,'[3]Jan-26'!$A:$A,'[3]Jan-26'!$H:$H,0)</f>
        <v>0</v>
      </c>
      <c r="AE281" s="17">
        <f>_xlfn.XLOOKUP($B281,'[3]Feb-26'!$A:$A,'[3]Feb-26'!$H:$H,0)</f>
        <v>0</v>
      </c>
      <c r="AF281" s="17">
        <f>_xlfn.XLOOKUP($B281,'[3]Mar-26'!$A:$A,'[3]Mar-26'!$H:$H,0)</f>
        <v>0</v>
      </c>
      <c r="AG281" s="17">
        <f>_xlfn.XLOOKUP($B281,'[3]Apr-26'!$A:$A,'[3]Apr-26'!$H:$H,0)</f>
        <v>0</v>
      </c>
    </row>
    <row r="282" spans="1:33" x14ac:dyDescent="0.2">
      <c r="A282" s="58" t="s">
        <v>896</v>
      </c>
      <c r="B282" s="56" t="str">
        <f t="shared" si="6"/>
        <v>68503</v>
      </c>
      <c r="C282" s="78" t="s">
        <v>629</v>
      </c>
      <c r="D282" s="57" t="s">
        <v>387</v>
      </c>
      <c r="E282" s="44" t="s">
        <v>740</v>
      </c>
      <c r="F282" s="17">
        <f>_xlfn.XLOOKUP($B282,'[3]Jan-24'!$A:$A,'[3]Jan-24'!$H:$H,0)</f>
        <v>0</v>
      </c>
      <c r="G282" s="17">
        <f>_xlfn.XLOOKUP($B282,'[3]Feb-24'!$A:$A,'[3]Feb-24'!$H:$H,0)</f>
        <v>0</v>
      </c>
      <c r="H282" s="17">
        <f>_xlfn.XLOOKUP($B282,'[3]Mar-24'!$A:$A,'[3]Mar-24'!$H:$H,0)</f>
        <v>0</v>
      </c>
      <c r="I282" s="17">
        <f>_xlfn.XLOOKUP($B282,'[3]Apr-24'!$A:$A,'[3]Apr-24'!$H:$H,0)</f>
        <v>0</v>
      </c>
      <c r="J282" s="17">
        <f>_xlfn.XLOOKUP($B282,'[3]May-24'!$A:$A,'[3]May-24'!$H:$H,0)</f>
        <v>0</v>
      </c>
      <c r="K282" s="17">
        <f>_xlfn.XLOOKUP($B282,'[3]Jun-24'!$A:$A,'[3]Jun-24'!$H:$H,0)</f>
        <v>0</v>
      </c>
      <c r="L282" s="17">
        <f>_xlfn.XLOOKUP($B282,'[3]Jul-24'!$A:$A,'[3]Jul-24'!$H:$H,0)</f>
        <v>0</v>
      </c>
      <c r="M282" s="17">
        <f>_xlfn.XLOOKUP($B282,'[3]Aug-24'!$A:$A,'[3]Aug-24'!$H:$H,0)</f>
        <v>0</v>
      </c>
      <c r="N282" s="17">
        <f>_xlfn.XLOOKUP($B282,'[3]Sep-24'!$A:$A,'[3]Sep-24'!$H:$H,0)</f>
        <v>0</v>
      </c>
      <c r="O282" s="17">
        <f>_xlfn.XLOOKUP($B282,'[3]Oct-24'!$A:$A,'[3]Oct-24'!$H:$H,0)</f>
        <v>0</v>
      </c>
      <c r="P282" s="17">
        <f>_xlfn.XLOOKUP($B282,'[3]Nov-24'!$A:$A,'[3]Nov-24'!$H:$H,0)</f>
        <v>0</v>
      </c>
      <c r="Q282" s="17">
        <f>_xlfn.XLOOKUP($B282,'[3]Dec-24'!$A:$A,'[3]Dec-24'!$H:$H,0)</f>
        <v>0</v>
      </c>
      <c r="R282" s="17">
        <f>_xlfn.XLOOKUP($B282,'[3]Jan-25'!$A:$A,'[3]Jan-25'!$H:$H,0)</f>
        <v>1852</v>
      </c>
      <c r="S282" s="17">
        <f>_xlfn.XLOOKUP($B282,'[3]Feb-25'!$A:$A,'[3]Feb-25'!$H:$H,0)</f>
        <v>0</v>
      </c>
      <c r="T282" s="17">
        <f>_xlfn.XLOOKUP($B282,'[3]Mar-25'!$A:$A,'[3]Mar-25'!$H:$H,0)</f>
        <v>0</v>
      </c>
      <c r="U282" s="17">
        <f>_xlfn.XLOOKUP($B282,'[3]Apr-25'!$A:$A,'[3]Apr-25'!$H:$H,0)</f>
        <v>0</v>
      </c>
      <c r="V282" s="17">
        <f>_xlfn.XLOOKUP($B282,'[3]May-25'!$A:$A,'[3]May-25'!$H:$H,0)</f>
        <v>1732.5</v>
      </c>
      <c r="W282" s="17">
        <f>_xlfn.XLOOKUP($B282,'[3]Jun-25'!$A:$A,'[3]Jun-25'!$H:$H,0)</f>
        <v>0</v>
      </c>
      <c r="X282" s="17">
        <f>_xlfn.XLOOKUP($B282,'[3]Jul-25'!$A:$A,'[3]Jul-25'!$H:$H,0)</f>
        <v>0</v>
      </c>
      <c r="Y282" s="17">
        <f>_xlfn.XLOOKUP($B282,'[3]Aug-25'!$A:$A,'[3]Aug-25'!$H:$H,0)</f>
        <v>1650</v>
      </c>
      <c r="Z282" s="17">
        <f>_xlfn.XLOOKUP($B282,'[3]Sep-25'!$A:$A,'[3]Sep-25'!$H:$H,0)</f>
        <v>0</v>
      </c>
      <c r="AA282" s="17">
        <f>_xlfn.XLOOKUP($B282,'[3]Oct-25'!$A:$A,'[3]Oct-25'!$H:$H,0)</f>
        <v>4650</v>
      </c>
      <c r="AB282" s="17">
        <f>_xlfn.XLOOKUP($B282,'[3]Nov-25'!$A:$A,'[3]Nov-25'!$H:$H,0)</f>
        <v>0</v>
      </c>
      <c r="AC282" s="17">
        <f>_xlfn.XLOOKUP($B282,'[3]Dec-25'!$A:$A,'[3]Dec-25'!$H:$H,0)</f>
        <v>0</v>
      </c>
      <c r="AD282" s="17">
        <f>_xlfn.XLOOKUP($B282,'[3]Jan-26'!$A:$A,'[3]Jan-26'!$H:$H,0)</f>
        <v>0</v>
      </c>
      <c r="AE282" s="17">
        <f>_xlfn.XLOOKUP($B282,'[3]Feb-26'!$A:$A,'[3]Feb-26'!$H:$H,0)</f>
        <v>0</v>
      </c>
      <c r="AF282" s="17">
        <f>_xlfn.XLOOKUP($B282,'[3]Mar-26'!$A:$A,'[3]Mar-26'!$H:$H,0)</f>
        <v>0</v>
      </c>
      <c r="AG282" s="17">
        <f>_xlfn.XLOOKUP($B282,'[3]Apr-26'!$A:$A,'[3]Apr-26'!$H:$H,0)</f>
        <v>0</v>
      </c>
    </row>
    <row r="283" spans="1:33" x14ac:dyDescent="0.2">
      <c r="A283" s="58" t="s">
        <v>1218</v>
      </c>
      <c r="B283" s="56" t="str">
        <f t="shared" si="6"/>
        <v>69600</v>
      </c>
      <c r="C283" s="78" t="s">
        <v>517</v>
      </c>
      <c r="D283" s="57" t="s">
        <v>387</v>
      </c>
      <c r="E283" s="44" t="s">
        <v>118</v>
      </c>
      <c r="F283" s="17">
        <f>_xlfn.XLOOKUP($B283,'[3]Jan-24'!$A:$A,'[3]Jan-24'!$H:$H,0)</f>
        <v>0</v>
      </c>
      <c r="G283" s="17">
        <f>_xlfn.XLOOKUP($B283,'[3]Feb-24'!$A:$A,'[3]Feb-24'!$H:$H,0)</f>
        <v>0</v>
      </c>
      <c r="H283" s="17">
        <f>_xlfn.XLOOKUP($B283,'[3]Mar-24'!$A:$A,'[3]Mar-24'!$H:$H,0)</f>
        <v>0</v>
      </c>
      <c r="I283" s="17">
        <f>_xlfn.XLOOKUP($B283,'[3]Apr-24'!$A:$A,'[3]Apr-24'!$H:$H,0)</f>
        <v>0</v>
      </c>
      <c r="J283" s="17">
        <f>_xlfn.XLOOKUP($B283,'[3]May-24'!$A:$A,'[3]May-24'!$H:$H,0)</f>
        <v>0</v>
      </c>
      <c r="K283" s="17">
        <f>_xlfn.XLOOKUP($B283,'[3]Jun-24'!$A:$A,'[3]Jun-24'!$H:$H,0)</f>
        <v>0</v>
      </c>
      <c r="L283" s="17">
        <f>_xlfn.XLOOKUP($B283,'[3]Jul-24'!$A:$A,'[3]Jul-24'!$H:$H,0)</f>
        <v>0</v>
      </c>
      <c r="M283" s="17">
        <f>_xlfn.XLOOKUP($B283,'[3]Aug-24'!$A:$A,'[3]Aug-24'!$H:$H,0)</f>
        <v>0</v>
      </c>
      <c r="N283" s="17">
        <f>_xlfn.XLOOKUP($B283,'[3]Sep-24'!$A:$A,'[3]Sep-24'!$H:$H,0)</f>
        <v>0</v>
      </c>
      <c r="O283" s="17">
        <f>_xlfn.XLOOKUP($B283,'[3]Oct-24'!$A:$A,'[3]Oct-24'!$H:$H,0)</f>
        <v>0</v>
      </c>
      <c r="P283" s="17">
        <f>_xlfn.XLOOKUP($B283,'[3]Nov-24'!$A:$A,'[3]Nov-24'!$H:$H,0)</f>
        <v>0</v>
      </c>
      <c r="Q283" s="17">
        <f>_xlfn.XLOOKUP($B283,'[3]Dec-24'!$A:$A,'[3]Dec-24'!$H:$H,0)</f>
        <v>0</v>
      </c>
      <c r="R283" s="17">
        <f>_xlfn.XLOOKUP($B283,'[3]Jan-25'!$A:$A,'[3]Jan-25'!$H:$H,0)</f>
        <v>0</v>
      </c>
      <c r="S283" s="17">
        <f>_xlfn.XLOOKUP($B283,'[3]Feb-25'!$A:$A,'[3]Feb-25'!$H:$H,0)</f>
        <v>0</v>
      </c>
      <c r="T283" s="17">
        <f>_xlfn.XLOOKUP($B283,'[3]Mar-25'!$A:$A,'[3]Mar-25'!$H:$H,0)</f>
        <v>0</v>
      </c>
      <c r="U283" s="17">
        <f>_xlfn.XLOOKUP($B283,'[3]Apr-25'!$A:$A,'[3]Apr-25'!$H:$H,0)</f>
        <v>0</v>
      </c>
      <c r="V283" s="17">
        <f>_xlfn.XLOOKUP($B283,'[3]May-25'!$A:$A,'[3]May-25'!$H:$H,0)</f>
        <v>0</v>
      </c>
      <c r="W283" s="17">
        <f>_xlfn.XLOOKUP($B283,'[3]Jun-25'!$A:$A,'[3]Jun-25'!$H:$H,0)</f>
        <v>0</v>
      </c>
      <c r="X283" s="17">
        <f>_xlfn.XLOOKUP($B283,'[3]Jul-25'!$A:$A,'[3]Jul-25'!$H:$H,0)</f>
        <v>0</v>
      </c>
      <c r="Y283" s="17">
        <f>_xlfn.XLOOKUP($B283,'[3]Aug-25'!$A:$A,'[3]Aug-25'!$H:$H,0)</f>
        <v>0</v>
      </c>
      <c r="Z283" s="17">
        <f>_xlfn.XLOOKUP($B283,'[3]Sep-25'!$A:$A,'[3]Sep-25'!$H:$H,0)</f>
        <v>0</v>
      </c>
      <c r="AA283" s="17">
        <f>_xlfn.XLOOKUP($B283,'[3]Oct-25'!$A:$A,'[3]Oct-25'!$H:$H,0)</f>
        <v>0</v>
      </c>
      <c r="AB283" s="17">
        <f>_xlfn.XLOOKUP($B283,'[3]Nov-25'!$A:$A,'[3]Nov-25'!$H:$H,0)</f>
        <v>0</v>
      </c>
      <c r="AC283" s="17">
        <f>_xlfn.XLOOKUP($B283,'[3]Dec-25'!$A:$A,'[3]Dec-25'!$H:$H,0)</f>
        <v>0</v>
      </c>
      <c r="AD283" s="17">
        <f>_xlfn.XLOOKUP($B283,'[3]Jan-26'!$A:$A,'[3]Jan-26'!$H:$H,0)</f>
        <v>0</v>
      </c>
      <c r="AE283" s="17">
        <f>_xlfn.XLOOKUP($B283,'[3]Feb-26'!$A:$A,'[3]Feb-26'!$H:$H,0)</f>
        <v>0</v>
      </c>
      <c r="AF283" s="17">
        <f>_xlfn.XLOOKUP($B283,'[3]Mar-26'!$A:$A,'[3]Mar-26'!$H:$H,0)</f>
        <v>0</v>
      </c>
      <c r="AG283" s="17">
        <f>_xlfn.XLOOKUP($B283,'[3]Apr-26'!$A:$A,'[3]Apr-26'!$H:$H,0)</f>
        <v>0</v>
      </c>
    </row>
    <row r="284" spans="1:33" x14ac:dyDescent="0.2">
      <c r="A284" s="58" t="s">
        <v>1219</v>
      </c>
      <c r="B284" s="56" t="str">
        <f t="shared" si="6"/>
        <v>69901</v>
      </c>
      <c r="C284" s="78" t="s">
        <v>420</v>
      </c>
      <c r="D284" s="57" t="s">
        <v>387</v>
      </c>
      <c r="E284" s="44" t="s">
        <v>743</v>
      </c>
      <c r="F284" s="17">
        <f>_xlfn.XLOOKUP($B284,'[3]Jan-24'!$A:$A,'[3]Jan-24'!$H:$H,0)</f>
        <v>0</v>
      </c>
      <c r="G284" s="17">
        <f>_xlfn.XLOOKUP($B284,'[3]Feb-24'!$A:$A,'[3]Feb-24'!$H:$H,0)</f>
        <v>0</v>
      </c>
      <c r="H284" s="17">
        <f>_xlfn.XLOOKUP($B284,'[3]Mar-24'!$A:$A,'[3]Mar-24'!$H:$H,0)</f>
        <v>0</v>
      </c>
      <c r="I284" s="17">
        <f>_xlfn.XLOOKUP($B284,'[3]Apr-24'!$A:$A,'[3]Apr-24'!$H:$H,0)</f>
        <v>0</v>
      </c>
      <c r="J284" s="17">
        <f>_xlfn.XLOOKUP($B284,'[3]May-24'!$A:$A,'[3]May-24'!$H:$H,0)</f>
        <v>0</v>
      </c>
      <c r="K284" s="17">
        <f>_xlfn.XLOOKUP($B284,'[3]Jun-24'!$A:$A,'[3]Jun-24'!$H:$H,0)</f>
        <v>0</v>
      </c>
      <c r="L284" s="17">
        <f>_xlfn.XLOOKUP($B284,'[3]Jul-24'!$A:$A,'[3]Jul-24'!$H:$H,0)</f>
        <v>0</v>
      </c>
      <c r="M284" s="17">
        <f>_xlfn.XLOOKUP($B284,'[3]Aug-24'!$A:$A,'[3]Aug-24'!$H:$H,0)</f>
        <v>0</v>
      </c>
      <c r="N284" s="17">
        <f>_xlfn.XLOOKUP($B284,'[3]Sep-24'!$A:$A,'[3]Sep-24'!$H:$H,0)</f>
        <v>0</v>
      </c>
      <c r="O284" s="17">
        <f>_xlfn.XLOOKUP($B284,'[3]Oct-24'!$A:$A,'[3]Oct-24'!$H:$H,0)</f>
        <v>0</v>
      </c>
      <c r="P284" s="17">
        <f>_xlfn.XLOOKUP($B284,'[3]Nov-24'!$A:$A,'[3]Nov-24'!$H:$H,0)</f>
        <v>0</v>
      </c>
      <c r="Q284" s="17">
        <f>_xlfn.XLOOKUP($B284,'[3]Dec-24'!$A:$A,'[3]Dec-24'!$H:$H,0)</f>
        <v>0</v>
      </c>
      <c r="R284" s="17">
        <f>_xlfn.XLOOKUP($B284,'[3]Jan-25'!$A:$A,'[3]Jan-25'!$H:$H,0)</f>
        <v>0</v>
      </c>
      <c r="S284" s="17">
        <f>_xlfn.XLOOKUP($B284,'[3]Feb-25'!$A:$A,'[3]Feb-25'!$H:$H,0)</f>
        <v>0</v>
      </c>
      <c r="T284" s="17">
        <f>_xlfn.XLOOKUP($B284,'[3]Mar-25'!$A:$A,'[3]Mar-25'!$H:$H,0)</f>
        <v>0</v>
      </c>
      <c r="U284" s="17">
        <f>_xlfn.XLOOKUP($B284,'[3]Apr-25'!$A:$A,'[3]Apr-25'!$H:$H,0)</f>
        <v>0</v>
      </c>
      <c r="V284" s="17">
        <f>_xlfn.XLOOKUP($B284,'[3]May-25'!$A:$A,'[3]May-25'!$H:$H,0)</f>
        <v>0</v>
      </c>
      <c r="W284" s="17">
        <f>_xlfn.XLOOKUP($B284,'[3]Jun-25'!$A:$A,'[3]Jun-25'!$H:$H,0)</f>
        <v>0</v>
      </c>
      <c r="X284" s="17">
        <f>_xlfn.XLOOKUP($B284,'[3]Jul-25'!$A:$A,'[3]Jul-25'!$H:$H,0)</f>
        <v>0</v>
      </c>
      <c r="Y284" s="17">
        <f>_xlfn.XLOOKUP($B284,'[3]Aug-25'!$A:$A,'[3]Aug-25'!$H:$H,0)</f>
        <v>0</v>
      </c>
      <c r="Z284" s="17">
        <f>_xlfn.XLOOKUP($B284,'[3]Sep-25'!$A:$A,'[3]Sep-25'!$H:$H,0)</f>
        <v>0</v>
      </c>
      <c r="AA284" s="17">
        <f>_xlfn.XLOOKUP($B284,'[3]Oct-25'!$A:$A,'[3]Oct-25'!$H:$H,0)</f>
        <v>0</v>
      </c>
      <c r="AB284" s="17">
        <f>_xlfn.XLOOKUP($B284,'[3]Nov-25'!$A:$A,'[3]Nov-25'!$H:$H,0)</f>
        <v>0</v>
      </c>
      <c r="AC284" s="17">
        <f>_xlfn.XLOOKUP($B284,'[3]Dec-25'!$A:$A,'[3]Dec-25'!$H:$H,0)</f>
        <v>0</v>
      </c>
      <c r="AD284" s="17">
        <f>_xlfn.XLOOKUP($B284,'[3]Jan-26'!$A:$A,'[3]Jan-26'!$H:$H,0)</f>
        <v>0</v>
      </c>
      <c r="AE284" s="17">
        <f>_xlfn.XLOOKUP($B284,'[3]Feb-26'!$A:$A,'[3]Feb-26'!$H:$H,0)</f>
        <v>0</v>
      </c>
      <c r="AF284" s="17">
        <f>_xlfn.XLOOKUP($B284,'[3]Mar-26'!$A:$A,'[3]Mar-26'!$H:$H,0)</f>
        <v>0</v>
      </c>
      <c r="AG284" s="17">
        <f>_xlfn.XLOOKUP($B284,'[3]Apr-26'!$A:$A,'[3]Apr-26'!$H:$H,0)</f>
        <v>0</v>
      </c>
    </row>
    <row r="285" spans="1:33" x14ac:dyDescent="0.2">
      <c r="A285" s="58" t="s">
        <v>1220</v>
      </c>
      <c r="B285" s="56" t="str">
        <f t="shared" si="6"/>
        <v>69902</v>
      </c>
      <c r="C285" s="78" t="s">
        <v>565</v>
      </c>
      <c r="D285" s="57" t="s">
        <v>387</v>
      </c>
      <c r="E285" s="44" t="s">
        <v>744</v>
      </c>
      <c r="F285" s="17">
        <f>_xlfn.XLOOKUP($B285,'[3]Jan-24'!$A:$A,'[3]Jan-24'!$H:$H,0)</f>
        <v>0</v>
      </c>
      <c r="G285" s="17">
        <f>_xlfn.XLOOKUP($B285,'[3]Feb-24'!$A:$A,'[3]Feb-24'!$H:$H,0)</f>
        <v>0</v>
      </c>
      <c r="H285" s="17">
        <f>_xlfn.XLOOKUP($B285,'[3]Mar-24'!$A:$A,'[3]Mar-24'!$H:$H,0)</f>
        <v>0</v>
      </c>
      <c r="I285" s="17">
        <f>_xlfn.XLOOKUP($B285,'[3]Apr-24'!$A:$A,'[3]Apr-24'!$H:$H,0)</f>
        <v>0</v>
      </c>
      <c r="J285" s="17">
        <f>_xlfn.XLOOKUP($B285,'[3]May-24'!$A:$A,'[3]May-24'!$H:$H,0)</f>
        <v>0</v>
      </c>
      <c r="K285" s="17">
        <f>_xlfn.XLOOKUP($B285,'[3]Jun-24'!$A:$A,'[3]Jun-24'!$H:$H,0)</f>
        <v>0</v>
      </c>
      <c r="L285" s="17">
        <f>_xlfn.XLOOKUP($B285,'[3]Jul-24'!$A:$A,'[3]Jul-24'!$H:$H,0)</f>
        <v>0</v>
      </c>
      <c r="M285" s="17">
        <f>_xlfn.XLOOKUP($B285,'[3]Aug-24'!$A:$A,'[3]Aug-24'!$H:$H,0)</f>
        <v>0</v>
      </c>
      <c r="N285" s="17">
        <f>_xlfn.XLOOKUP($B285,'[3]Sep-24'!$A:$A,'[3]Sep-24'!$H:$H,0)</f>
        <v>0</v>
      </c>
      <c r="O285" s="17">
        <f>_xlfn.XLOOKUP($B285,'[3]Oct-24'!$A:$A,'[3]Oct-24'!$H:$H,0)</f>
        <v>0</v>
      </c>
      <c r="P285" s="17">
        <f>_xlfn.XLOOKUP($B285,'[3]Nov-24'!$A:$A,'[3]Nov-24'!$H:$H,0)</f>
        <v>0</v>
      </c>
      <c r="Q285" s="17">
        <f>_xlfn.XLOOKUP($B285,'[3]Dec-24'!$A:$A,'[3]Dec-24'!$H:$H,0)</f>
        <v>0</v>
      </c>
      <c r="R285" s="17">
        <f>_xlfn.XLOOKUP($B285,'[3]Jan-25'!$A:$A,'[3]Jan-25'!$H:$H,0)</f>
        <v>0</v>
      </c>
      <c r="S285" s="17">
        <f>_xlfn.XLOOKUP($B285,'[3]Feb-25'!$A:$A,'[3]Feb-25'!$H:$H,0)</f>
        <v>0</v>
      </c>
      <c r="T285" s="17">
        <f>_xlfn.XLOOKUP($B285,'[3]Mar-25'!$A:$A,'[3]Mar-25'!$H:$H,0)</f>
        <v>0</v>
      </c>
      <c r="U285" s="17">
        <f>_xlfn.XLOOKUP($B285,'[3]Apr-25'!$A:$A,'[3]Apr-25'!$H:$H,0)</f>
        <v>0</v>
      </c>
      <c r="V285" s="17">
        <f>_xlfn.XLOOKUP($B285,'[3]May-25'!$A:$A,'[3]May-25'!$H:$H,0)</f>
        <v>0</v>
      </c>
      <c r="W285" s="17">
        <f>_xlfn.XLOOKUP($B285,'[3]Jun-25'!$A:$A,'[3]Jun-25'!$H:$H,0)</f>
        <v>0</v>
      </c>
      <c r="X285" s="17">
        <f>_xlfn.XLOOKUP($B285,'[3]Jul-25'!$A:$A,'[3]Jul-25'!$H:$H,0)</f>
        <v>0</v>
      </c>
      <c r="Y285" s="17">
        <f>_xlfn.XLOOKUP($B285,'[3]Aug-25'!$A:$A,'[3]Aug-25'!$H:$H,0)</f>
        <v>0</v>
      </c>
      <c r="Z285" s="17">
        <f>_xlfn.XLOOKUP($B285,'[3]Sep-25'!$A:$A,'[3]Sep-25'!$H:$H,0)</f>
        <v>0</v>
      </c>
      <c r="AA285" s="17">
        <f>_xlfn.XLOOKUP($B285,'[3]Oct-25'!$A:$A,'[3]Oct-25'!$H:$H,0)</f>
        <v>0</v>
      </c>
      <c r="AB285" s="17">
        <f>_xlfn.XLOOKUP($B285,'[3]Nov-25'!$A:$A,'[3]Nov-25'!$H:$H,0)</f>
        <v>0</v>
      </c>
      <c r="AC285" s="17">
        <f>_xlfn.XLOOKUP($B285,'[3]Dec-25'!$A:$A,'[3]Dec-25'!$H:$H,0)</f>
        <v>0</v>
      </c>
      <c r="AD285" s="17">
        <f>_xlfn.XLOOKUP($B285,'[3]Jan-26'!$A:$A,'[3]Jan-26'!$H:$H,0)</f>
        <v>0</v>
      </c>
      <c r="AE285" s="17">
        <f>_xlfn.XLOOKUP($B285,'[3]Feb-26'!$A:$A,'[3]Feb-26'!$H:$H,0)</f>
        <v>0</v>
      </c>
      <c r="AF285" s="17">
        <f>_xlfn.XLOOKUP($B285,'[3]Mar-26'!$A:$A,'[3]Mar-26'!$H:$H,0)</f>
        <v>0</v>
      </c>
      <c r="AG285" s="17">
        <f>_xlfn.XLOOKUP($B285,'[3]Apr-26'!$A:$A,'[3]Apr-26'!$H:$H,0)</f>
        <v>0</v>
      </c>
    </row>
    <row r="286" spans="1:33" ht="16" thickBot="1" x14ac:dyDescent="0.25">
      <c r="A286" s="46"/>
      <c r="B286" s="46"/>
      <c r="C286" s="75"/>
      <c r="D286" s="46"/>
      <c r="E286" s="47"/>
      <c r="F286" s="59" cm="1">
        <f t="array" ref="F286">SUMPRODUCT(($D$4:$D$285="Income")+($D$4:$D$285="Expense"), F$4:F$285)</f>
        <v>49232.53</v>
      </c>
      <c r="G286" s="59" cm="1">
        <f t="array" ref="G286">SUMPRODUCT(($D$4:$D$285="Income")+($D$4:$D$285="Expense"), G$4:G$285)</f>
        <v>56043.450000000004</v>
      </c>
      <c r="H286" s="59" cm="1">
        <f t="array" ref="H286">SUMPRODUCT(($D$4:$D$285="Income")+($D$4:$D$285="Expense"), H$4:H$285)</f>
        <v>57391.040000000001</v>
      </c>
      <c r="I286" s="59" cm="1">
        <f t="array" ref="I286">SUMPRODUCT(($D$4:$D$285="Income")+($D$4:$D$285="Expense"), I$4:I$285)</f>
        <v>48472.18</v>
      </c>
      <c r="J286" s="59" cm="1">
        <f t="array" ref="J286">SUMPRODUCT(($D$4:$D$285="Income")+($D$4:$D$285="Expense"), J$4:J$285)</f>
        <v>202526.48</v>
      </c>
      <c r="K286" s="59" cm="1">
        <f t="array" ref="K286">SUMPRODUCT(($D$4:$D$285="Income")+($D$4:$D$285="Expense"), K$4:K$285)</f>
        <v>8165.9100000000008</v>
      </c>
      <c r="L286" s="59" cm="1">
        <f t="array" ref="L286">SUMPRODUCT(($D$4:$D$285="Income")+($D$4:$D$285="Expense"), L$4:L$285)</f>
        <v>157120.63999999996</v>
      </c>
      <c r="M286" s="59" cm="1">
        <f t="array" ref="M286">SUMPRODUCT(($D$4:$D$285="Income")+($D$4:$D$285="Expense"), M$4:M$285)</f>
        <v>98657.619999999981</v>
      </c>
      <c r="N286" s="59" cm="1">
        <f t="array" ref="N286">SUMPRODUCT(($D$4:$D$285="Income")+($D$4:$D$285="Expense"), N$4:N$285)</f>
        <v>46971.68</v>
      </c>
      <c r="O286" s="59" cm="1">
        <f t="array" ref="O286">SUMPRODUCT(($D$4:$D$285="Income")+($D$4:$D$285="Expense"), O$4:O$285)</f>
        <v>93683.22</v>
      </c>
      <c r="P286" s="59" cm="1">
        <f t="array" ref="P286">SUMPRODUCT(($D$4:$D$285="Income")+($D$4:$D$285="Expense"), P$4:P$285)</f>
        <v>65140.9</v>
      </c>
      <c r="Q286" s="59" cm="1">
        <f t="array" ref="Q286">SUMPRODUCT(($D$4:$D$285="Income")+($D$4:$D$285="Expense"), Q$4:Q$285)</f>
        <v>-562037.59</v>
      </c>
      <c r="R286" s="59" cm="1">
        <f t="array" ref="R286">SUMPRODUCT(($D$4:$D$285="Income")+($D$4:$D$285="Expense"), R$4:R$285)</f>
        <v>69243.92</v>
      </c>
      <c r="S286" s="59" cm="1">
        <f t="array" ref="S286">SUMPRODUCT(($D$4:$D$285="Income")+($D$4:$D$285="Expense"), S$4:S$285)</f>
        <v>70616.149999999994</v>
      </c>
      <c r="T286" s="59" cm="1">
        <f t="array" ref="T286">SUMPRODUCT(($D$4:$D$285="Income")+($D$4:$D$285="Expense"), T$4:T$285)</f>
        <v>66219.34</v>
      </c>
      <c r="U286" s="59" cm="1">
        <f t="array" ref="U286">SUMPRODUCT(($D$4:$D$285="Income")+($D$4:$D$285="Expense"), U$4:U$285)</f>
        <v>65281.71</v>
      </c>
      <c r="V286" s="59" cm="1">
        <f t="array" ref="V286">SUMPRODUCT(($D$4:$D$285="Income")+($D$4:$D$285="Expense"), V$4:V$285)</f>
        <v>67980.61</v>
      </c>
      <c r="W286" s="59" cm="1">
        <f t="array" ref="W286">SUMPRODUCT(($D$4:$D$285="Income")+($D$4:$D$285="Expense"), W$4:W$285)</f>
        <v>69656.23</v>
      </c>
      <c r="X286" s="59" cm="1">
        <f t="array" ref="X286">SUMPRODUCT(($D$4:$D$285="Income")+($D$4:$D$285="Expense"), X$4:X$285)</f>
        <v>66244.5</v>
      </c>
      <c r="Y286" s="59" cm="1">
        <f t="array" ref="Y286">SUMPRODUCT(($D$4:$D$285="Income")+($D$4:$D$285="Expense"), Y$4:Y$285)</f>
        <v>69764.19</v>
      </c>
      <c r="Z286" s="59" cm="1">
        <f t="array" ref="Z286">SUMPRODUCT(($D$4:$D$285="Income")+($D$4:$D$285="Expense"), Z$4:Z$285)</f>
        <v>73134.58</v>
      </c>
      <c r="AA286" s="59" cm="1">
        <f t="array" ref="AA286">SUMPRODUCT(($D$4:$D$285="Income")+($D$4:$D$285="Expense"), AA$4:AA$285)</f>
        <v>72040.91</v>
      </c>
      <c r="AB286" s="59" cm="1">
        <f t="array" ref="AB286">SUMPRODUCT(($D$4:$D$285="Income")+($D$4:$D$285="Expense"), AB$4:AB$285)</f>
        <v>72234.52</v>
      </c>
      <c r="AC286" s="59" cm="1">
        <f t="array" ref="AC286">SUMPRODUCT(($D$4:$D$285="Income")+($D$4:$D$285="Expense"), AC$4:AC$285)</f>
        <v>-738285.84999999986</v>
      </c>
      <c r="AD286" s="59" cm="1">
        <f t="array" ref="AD286">SUMPRODUCT(($D$4:$D$285="Income")+($D$4:$D$285="Expense"), AD$4:AD$285)</f>
        <v>67452.040000000008</v>
      </c>
      <c r="AE286" s="59" cm="1">
        <f t="array" ref="AE286">SUMPRODUCT(($D$4:$D$285="Income")+($D$4:$D$285="Expense"), AE$4:AE$285)</f>
        <v>70274.89</v>
      </c>
      <c r="AF286" s="59" cm="1">
        <f t="array" ref="AF286">SUMPRODUCT(($D$4:$D$285="Income")+($D$4:$D$285="Expense"), AF$4:AF$285)</f>
        <v>69246.63</v>
      </c>
      <c r="AG286" s="59" cm="1">
        <f t="array" ref="AG286">SUMPRODUCT(($D$4:$D$285="Income")+($D$4:$D$285="Expense"), AG$4:AG$285)</f>
        <v>70846.929999999993</v>
      </c>
    </row>
    <row r="287" spans="1:33" x14ac:dyDescent="0.2">
      <c r="A287" s="46"/>
      <c r="B287" s="46"/>
      <c r="C287" s="75"/>
      <c r="D287" s="46"/>
      <c r="E287" s="47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</row>
    <row r="288" spans="1:33" x14ac:dyDescent="0.2">
      <c r="A288" s="46"/>
      <c r="B288" s="46"/>
      <c r="C288" s="75"/>
      <c r="D288" s="46"/>
      <c r="E288" s="47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</row>
    <row r="289" spans="1:33" x14ac:dyDescent="0.2">
      <c r="A289" s="46"/>
      <c r="B289" s="46"/>
      <c r="C289" s="75"/>
      <c r="D289" s="46"/>
      <c r="E289" s="47" t="s">
        <v>746</v>
      </c>
      <c r="F289" s="62" cm="1">
        <f t="array" ref="F289">SUMPRODUCT(($D$4:$D$285="Asset")+($D$4:$D$285="Liability"), F$4:F$285)</f>
        <v>-49232.530000000028</v>
      </c>
      <c r="G289" s="62" cm="1">
        <f t="array" ref="G289">SUMPRODUCT(($D$4:$D$285="Asset")+($D$4:$D$285="Liability"), G$4:G$285)</f>
        <v>-105275.9800000001</v>
      </c>
      <c r="H289" s="62" cm="1">
        <f t="array" ref="H289">SUMPRODUCT(($D$4:$D$285="Asset")+($D$4:$D$285="Liability"), H$4:H$285)</f>
        <v>-162667.02000000014</v>
      </c>
      <c r="I289" s="62" cm="1">
        <f t="array" ref="I289">SUMPRODUCT(($D$4:$D$285="Asset")+($D$4:$D$285="Liability"), I$4:I$285)</f>
        <v>-211139.19999999995</v>
      </c>
      <c r="J289" s="62" cm="1">
        <f t="array" ref="J289">SUMPRODUCT(($D$4:$D$285="Asset")+($D$4:$D$285="Liability"), J$4:J$285)</f>
        <v>-413665.68000000005</v>
      </c>
      <c r="K289" s="62" cm="1">
        <f t="array" ref="K289">SUMPRODUCT(($D$4:$D$285="Asset")+($D$4:$D$285="Liability"), K$4:K$285)</f>
        <v>-421831.58999999997</v>
      </c>
      <c r="L289" s="62" cm="1">
        <f t="array" ref="L289">SUMPRODUCT(($D$4:$D$285="Asset")+($D$4:$D$285="Liability"), L$4:L$285)</f>
        <v>-578952.22999999986</v>
      </c>
      <c r="M289" s="62" cm="1">
        <f t="array" ref="M289">SUMPRODUCT(($D$4:$D$285="Asset")+($D$4:$D$285="Liability"), M$4:M$285)</f>
        <v>-677609.85</v>
      </c>
      <c r="N289" s="62" cm="1">
        <f t="array" ref="N289">SUMPRODUCT(($D$4:$D$285="Asset")+($D$4:$D$285="Liability"), N$4:N$285)</f>
        <v>-724581.53000000014</v>
      </c>
      <c r="O289" s="62" cm="1">
        <f t="array" ref="O289">SUMPRODUCT(($D$4:$D$285="Asset")+($D$4:$D$285="Liability"), O$4:O$285)</f>
        <v>-818264.75000000012</v>
      </c>
      <c r="P289" s="62" cm="1">
        <f t="array" ref="P289">SUMPRODUCT(($D$4:$D$285="Asset")+($D$4:$D$285="Liability"), P$4:P$285)</f>
        <v>-883405.65</v>
      </c>
      <c r="Q289" s="62" cm="1">
        <f t="array" ref="Q289">SUMPRODUCT(($D$4:$D$285="Asset")+($D$4:$D$285="Liability"), Q$4:Q$285)</f>
        <v>-321368.06000000017</v>
      </c>
      <c r="R289" s="62" cm="1">
        <f t="array" ref="R289">SUMPRODUCT(($D$4:$D$285="Asset")+($D$4:$D$285="Liability"), R$4:R$285)</f>
        <v>-69243.920000000158</v>
      </c>
      <c r="S289" s="62" cm="1">
        <f t="array" ref="S289">SUMPRODUCT(($D$4:$D$285="Asset")+($D$4:$D$285="Liability"), S$4:S$285)</f>
        <v>-139860.07000000007</v>
      </c>
      <c r="T289" s="62" cm="1">
        <f t="array" ref="T289">SUMPRODUCT(($D$4:$D$285="Asset")+($D$4:$D$285="Liability"), T$4:T$285)</f>
        <v>-206079.41000000015</v>
      </c>
      <c r="U289" s="62" cm="1">
        <f t="array" ref="U289">SUMPRODUCT(($D$4:$D$285="Asset")+($D$4:$D$285="Liability"), U$4:U$285)</f>
        <v>-271361.12000000011</v>
      </c>
      <c r="V289" s="62" cm="1">
        <f t="array" ref="V289">SUMPRODUCT(($D$4:$D$285="Asset")+($D$4:$D$285="Liability"), V$4:V$285)</f>
        <v>-339341.73000000021</v>
      </c>
      <c r="W289" s="62" cm="1">
        <f t="array" ref="W289">SUMPRODUCT(($D$4:$D$285="Asset")+($D$4:$D$285="Liability"), W$4:W$285)</f>
        <v>-408997.95999999996</v>
      </c>
      <c r="X289" s="62" cm="1">
        <f t="array" ref="X289">SUMPRODUCT(($D$4:$D$285="Asset")+($D$4:$D$285="Liability"), X$4:X$285)</f>
        <v>-475242.45999999996</v>
      </c>
      <c r="Y289" s="62" cm="1">
        <f t="array" ref="Y289">SUMPRODUCT(($D$4:$D$285="Asset")+($D$4:$D$285="Liability"), Y$4:Y$285)</f>
        <v>-545006.65000000014</v>
      </c>
      <c r="Z289" s="62" cm="1">
        <f t="array" ref="Z289">SUMPRODUCT(($D$4:$D$285="Asset")+($D$4:$D$285="Liability"), Z$4:Z$285)</f>
        <v>-618141.23</v>
      </c>
      <c r="AA289" s="62" cm="1">
        <f t="array" ref="AA289">SUMPRODUCT(($D$4:$D$285="Asset")+($D$4:$D$285="Liability"), AA$4:AA$285)</f>
        <v>-690182.14000000013</v>
      </c>
      <c r="AB289" s="62" cm="1">
        <f t="array" ref="AB289">SUMPRODUCT(($D$4:$D$285="Asset")+($D$4:$D$285="Liability"), AB$4:AB$285)</f>
        <v>-762416.66000000015</v>
      </c>
      <c r="AC289" s="62" cm="1">
        <f t="array" ref="AC289">SUMPRODUCT(($D$4:$D$285="Asset")+($D$4:$D$285="Liability"), AC$4:AC$285)</f>
        <v>-24130.810000000056</v>
      </c>
      <c r="AD289" s="62" cm="1">
        <f t="array" ref="AD289">SUMPRODUCT(($D$4:$D$285="Asset")+($D$4:$D$285="Liability"), AD$4:AD$285)</f>
        <v>-67452.040000000037</v>
      </c>
      <c r="AE289" s="62" cm="1">
        <f t="array" ref="AE289">SUMPRODUCT(($D$4:$D$285="Asset")+($D$4:$D$285="Liability"), AE$4:AE$285)</f>
        <v>-138608.92000000016</v>
      </c>
      <c r="AF289" s="62" cm="1">
        <f t="array" ref="AF289">SUMPRODUCT(($D$4:$D$285="Asset")+($D$4:$D$285="Liability"), AF$4:AF$285)</f>
        <v>-207855.54999999981</v>
      </c>
      <c r="AG289" s="62" cm="1">
        <f t="array" ref="AG289">SUMPRODUCT(($D$4:$D$285="Asset")+($D$4:$D$285="Liability"), AG$4:AG$285)</f>
        <v>-278702.48</v>
      </c>
    </row>
    <row r="290" spans="1:33" x14ac:dyDescent="0.2">
      <c r="A290" s="46"/>
      <c r="B290" s="46"/>
      <c r="C290" s="75"/>
      <c r="D290" s="46"/>
      <c r="E290" s="47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</row>
    <row r="291" spans="1:33" x14ac:dyDescent="0.2">
      <c r="A291" s="46"/>
      <c r="B291" s="46"/>
      <c r="C291" s="75"/>
      <c r="D291" s="46"/>
      <c r="E291" s="47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64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</row>
    <row r="292" spans="1:33" x14ac:dyDescent="0.2">
      <c r="A292" s="46"/>
      <c r="B292" s="46"/>
      <c r="C292" s="75"/>
      <c r="D292" s="46"/>
      <c r="E292" s="47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65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</row>
    <row r="293" spans="1:33" x14ac:dyDescent="0.2">
      <c r="A293" s="46"/>
      <c r="B293" s="46"/>
      <c r="C293" s="75"/>
      <c r="D293" s="46"/>
      <c r="E293" s="47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</row>
    <row r="294" spans="1:33" x14ac:dyDescent="0.2">
      <c r="A294" s="46"/>
      <c r="B294" s="46"/>
      <c r="C294" s="75"/>
      <c r="D294" s="46"/>
      <c r="E294" s="47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</row>
    <row r="295" spans="1:33" x14ac:dyDescent="0.2">
      <c r="A295" s="46"/>
      <c r="B295" s="46"/>
      <c r="C295" s="75"/>
      <c r="D295" s="46"/>
      <c r="E295" s="47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</row>
    <row r="296" spans="1:33" x14ac:dyDescent="0.2">
      <c r="A296" s="46"/>
      <c r="B296" s="46"/>
      <c r="C296" s="75"/>
      <c r="D296" s="46"/>
      <c r="E296" s="47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</row>
    <row r="297" spans="1:33" x14ac:dyDescent="0.2">
      <c r="A297" s="46"/>
      <c r="B297" s="46"/>
      <c r="C297" s="75"/>
      <c r="D297" s="46"/>
      <c r="E297" s="47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</row>
    <row r="298" spans="1:33" x14ac:dyDescent="0.2">
      <c r="A298" s="46"/>
      <c r="B298" s="46"/>
      <c r="C298" s="75"/>
      <c r="D298" s="46"/>
      <c r="E298" s="47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</row>
    <row r="299" spans="1:33" x14ac:dyDescent="0.2">
      <c r="A299" s="46"/>
      <c r="B299" s="46"/>
      <c r="C299" s="75"/>
      <c r="D299" s="46"/>
      <c r="E299" s="47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</row>
    <row r="300" spans="1:33" x14ac:dyDescent="0.2">
      <c r="A300" s="46"/>
      <c r="B300" s="46"/>
      <c r="C300" s="75"/>
      <c r="D300" s="46"/>
      <c r="E300" s="47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</row>
    <row r="301" spans="1:33" x14ac:dyDescent="0.2">
      <c r="A301" s="46"/>
      <c r="B301" s="46"/>
      <c r="C301" s="75"/>
      <c r="D301" s="46"/>
      <c r="E301" s="47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</row>
    <row r="302" spans="1:33" x14ac:dyDescent="0.2">
      <c r="A302" s="46"/>
      <c r="B302" s="46"/>
      <c r="C302" s="75"/>
      <c r="D302" s="46"/>
      <c r="E302" s="47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</row>
    <row r="303" spans="1:33" x14ac:dyDescent="0.2">
      <c r="A303" s="46"/>
      <c r="B303" s="46"/>
      <c r="C303" s="75"/>
      <c r="D303" s="46"/>
      <c r="E303" s="47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</row>
    <row r="304" spans="1:33" x14ac:dyDescent="0.2">
      <c r="A304" s="46"/>
      <c r="B304" s="46"/>
      <c r="C304" s="75"/>
      <c r="D304" s="46"/>
      <c r="E304" s="47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</row>
    <row r="305" spans="1:33" x14ac:dyDescent="0.2">
      <c r="A305" s="46"/>
      <c r="B305" s="46"/>
      <c r="C305" s="75"/>
      <c r="D305" s="46"/>
      <c r="E305" s="47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</row>
    <row r="306" spans="1:33" x14ac:dyDescent="0.2">
      <c r="A306" s="46"/>
      <c r="B306" s="46"/>
      <c r="C306" s="75"/>
      <c r="D306" s="46"/>
      <c r="E306" s="47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</row>
    <row r="307" spans="1:33" x14ac:dyDescent="0.2">
      <c r="A307" s="46"/>
      <c r="B307" s="46"/>
      <c r="C307" s="75"/>
      <c r="D307" s="46"/>
      <c r="E307" s="47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</row>
    <row r="308" spans="1:33" x14ac:dyDescent="0.2">
      <c r="A308" s="46"/>
      <c r="B308" s="46"/>
      <c r="C308" s="75"/>
      <c r="D308" s="46"/>
      <c r="E308" s="47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</row>
    <row r="309" spans="1:33" x14ac:dyDescent="0.2">
      <c r="A309" s="46"/>
      <c r="B309" s="46"/>
      <c r="C309" s="75"/>
      <c r="D309" s="46"/>
      <c r="E309" s="47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</row>
    <row r="310" spans="1:33" x14ac:dyDescent="0.2">
      <c r="A310" s="46"/>
      <c r="B310" s="46"/>
      <c r="C310" s="75"/>
      <c r="D310" s="46"/>
      <c r="E310" s="47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</row>
    <row r="311" spans="1:33" x14ac:dyDescent="0.2">
      <c r="A311" s="46"/>
      <c r="B311" s="46"/>
      <c r="C311" s="75"/>
      <c r="D311" s="46"/>
      <c r="E311" s="47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</row>
    <row r="312" spans="1:33" x14ac:dyDescent="0.2">
      <c r="A312" s="46"/>
      <c r="B312" s="46"/>
      <c r="C312" s="75"/>
      <c r="D312" s="46"/>
      <c r="E312" s="47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</row>
    <row r="313" spans="1:33" x14ac:dyDescent="0.2">
      <c r="A313" s="46"/>
      <c r="B313" s="46"/>
      <c r="C313" s="75"/>
      <c r="D313" s="46"/>
      <c r="E313" s="47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</row>
    <row r="314" spans="1:33" x14ac:dyDescent="0.2">
      <c r="A314" s="46"/>
      <c r="B314" s="46"/>
      <c r="C314" s="75"/>
      <c r="D314" s="46"/>
      <c r="E314" s="47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</row>
    <row r="315" spans="1:33" x14ac:dyDescent="0.2">
      <c r="A315" s="46"/>
      <c r="B315" s="46"/>
      <c r="C315" s="75"/>
      <c r="D315" s="46"/>
      <c r="E315" s="47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</row>
    <row r="316" spans="1:33" x14ac:dyDescent="0.2">
      <c r="A316" s="46"/>
      <c r="B316" s="46"/>
      <c r="C316" s="75"/>
      <c r="D316" s="46"/>
      <c r="E316" s="47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</row>
    <row r="317" spans="1:33" x14ac:dyDescent="0.2">
      <c r="A317" s="46"/>
      <c r="B317" s="46"/>
      <c r="C317" s="75"/>
      <c r="D317" s="46"/>
      <c r="E317" s="47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</row>
    <row r="318" spans="1:33" x14ac:dyDescent="0.2">
      <c r="A318" s="46"/>
      <c r="B318" s="46"/>
      <c r="C318" s="75"/>
      <c r="D318" s="46"/>
      <c r="E318" s="47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</row>
    <row r="319" spans="1:33" x14ac:dyDescent="0.2">
      <c r="A319" s="46"/>
      <c r="B319" s="46"/>
      <c r="C319" s="75"/>
      <c r="D319" s="46"/>
      <c r="E319" s="47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</row>
    <row r="320" spans="1:33" x14ac:dyDescent="0.2">
      <c r="A320" s="46"/>
      <c r="B320" s="46"/>
      <c r="C320" s="75"/>
      <c r="D320" s="46"/>
      <c r="E320" s="47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</row>
    <row r="321" spans="1:33" x14ac:dyDescent="0.2">
      <c r="A321" s="46"/>
      <c r="B321" s="46"/>
      <c r="C321" s="75"/>
      <c r="D321" s="46"/>
      <c r="E321" s="47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</row>
    <row r="322" spans="1:33" x14ac:dyDescent="0.2">
      <c r="A322" s="46"/>
      <c r="B322" s="46"/>
      <c r="C322" s="75"/>
      <c r="D322" s="46"/>
      <c r="E322" s="47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</row>
    <row r="323" spans="1:33" x14ac:dyDescent="0.2">
      <c r="A323" s="46"/>
      <c r="B323" s="46"/>
      <c r="C323" s="75"/>
      <c r="D323" s="46"/>
      <c r="E323" s="47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</row>
    <row r="324" spans="1:33" x14ac:dyDescent="0.2">
      <c r="A324" s="46"/>
      <c r="B324" s="46"/>
      <c r="C324" s="75"/>
      <c r="D324" s="46"/>
      <c r="E324" s="47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</row>
    <row r="325" spans="1:33" x14ac:dyDescent="0.2">
      <c r="A325" s="46"/>
      <c r="B325" s="46"/>
      <c r="C325" s="75"/>
      <c r="D325" s="46"/>
      <c r="E325" s="47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</row>
    <row r="326" spans="1:33" x14ac:dyDescent="0.2">
      <c r="A326" s="46"/>
      <c r="B326" s="46"/>
      <c r="C326" s="75"/>
      <c r="D326" s="46"/>
      <c r="E326" s="47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</row>
    <row r="327" spans="1:33" x14ac:dyDescent="0.2">
      <c r="A327" s="46"/>
      <c r="B327" s="46"/>
      <c r="C327" s="75"/>
      <c r="D327" s="46"/>
      <c r="E327" s="47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</row>
    <row r="328" spans="1:33" x14ac:dyDescent="0.2">
      <c r="A328" s="46"/>
      <c r="B328" s="46"/>
      <c r="C328" s="75"/>
      <c r="D328" s="46"/>
      <c r="E328" s="47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</row>
    <row r="329" spans="1:33" x14ac:dyDescent="0.2">
      <c r="A329" s="46"/>
      <c r="B329" s="46"/>
      <c r="C329" s="75"/>
      <c r="D329" s="46"/>
      <c r="E329" s="47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</row>
    <row r="330" spans="1:33" x14ac:dyDescent="0.2">
      <c r="A330" s="46"/>
      <c r="B330" s="46"/>
      <c r="C330" s="75"/>
      <c r="D330" s="46"/>
      <c r="E330" s="47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</row>
    <row r="331" spans="1:33" x14ac:dyDescent="0.2">
      <c r="A331" s="46"/>
      <c r="B331" s="46"/>
      <c r="C331" s="75"/>
      <c r="D331" s="46"/>
      <c r="E331" s="47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</row>
    <row r="332" spans="1:33" x14ac:dyDescent="0.2">
      <c r="A332" s="46"/>
      <c r="B332" s="46"/>
      <c r="C332" s="75"/>
      <c r="D332" s="46"/>
      <c r="E332" s="47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</row>
    <row r="333" spans="1:33" x14ac:dyDescent="0.2">
      <c r="A333" s="46"/>
      <c r="B333" s="46"/>
      <c r="C333" s="75"/>
      <c r="D333" s="46"/>
      <c r="E333" s="47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</row>
    <row r="334" spans="1:33" x14ac:dyDescent="0.2">
      <c r="A334" s="46"/>
      <c r="B334" s="46"/>
      <c r="C334" s="75"/>
      <c r="D334" s="46"/>
      <c r="E334" s="47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</row>
    <row r="335" spans="1:33" x14ac:dyDescent="0.2">
      <c r="A335" s="46"/>
      <c r="B335" s="46"/>
      <c r="C335" s="75"/>
      <c r="D335" s="46"/>
      <c r="E335" s="47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</row>
    <row r="336" spans="1:33" x14ac:dyDescent="0.2">
      <c r="A336" s="46"/>
      <c r="B336" s="46"/>
      <c r="C336" s="75"/>
      <c r="D336" s="46"/>
      <c r="E336" s="47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</row>
    <row r="337" spans="1:33" x14ac:dyDescent="0.2">
      <c r="A337" s="46"/>
      <c r="B337" s="46"/>
      <c r="C337" s="75"/>
      <c r="D337" s="46"/>
      <c r="E337" s="47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</row>
    <row r="338" spans="1:33" x14ac:dyDescent="0.2">
      <c r="A338" s="46"/>
      <c r="B338" s="46"/>
      <c r="C338" s="75"/>
      <c r="D338" s="46"/>
      <c r="E338" s="47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</row>
    <row r="339" spans="1:33" x14ac:dyDescent="0.2">
      <c r="A339" s="46"/>
      <c r="B339" s="46"/>
      <c r="C339" s="75"/>
      <c r="D339" s="46"/>
      <c r="E339" s="47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</row>
    <row r="340" spans="1:33" x14ac:dyDescent="0.2">
      <c r="A340" s="46"/>
      <c r="B340" s="46"/>
      <c r="C340" s="75"/>
      <c r="D340" s="46"/>
      <c r="E340" s="47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</row>
    <row r="341" spans="1:33" x14ac:dyDescent="0.2">
      <c r="A341" s="46"/>
      <c r="B341" s="46"/>
      <c r="C341" s="75"/>
      <c r="D341" s="46"/>
      <c r="E341" s="47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</row>
    <row r="342" spans="1:33" x14ac:dyDescent="0.2">
      <c r="A342" s="46"/>
      <c r="B342" s="46"/>
      <c r="C342" s="75"/>
      <c r="D342" s="46"/>
      <c r="E342" s="47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</row>
    <row r="343" spans="1:33" x14ac:dyDescent="0.2">
      <c r="A343" s="46"/>
      <c r="B343" s="46"/>
      <c r="C343" s="75"/>
      <c r="D343" s="46"/>
      <c r="E343" s="47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</row>
    <row r="344" spans="1:33" x14ac:dyDescent="0.2">
      <c r="A344" s="46"/>
      <c r="B344" s="46"/>
      <c r="C344" s="75"/>
      <c r="D344" s="46"/>
      <c r="E344" s="47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</row>
    <row r="345" spans="1:33" x14ac:dyDescent="0.2">
      <c r="A345" s="46"/>
      <c r="B345" s="46"/>
      <c r="C345" s="75"/>
      <c r="D345" s="46"/>
      <c r="E345" s="47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</row>
    <row r="346" spans="1:33" x14ac:dyDescent="0.2">
      <c r="A346" s="46"/>
      <c r="B346" s="46"/>
      <c r="C346" s="75"/>
      <c r="D346" s="46"/>
      <c r="E346" s="47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</row>
    <row r="347" spans="1:33" x14ac:dyDescent="0.2">
      <c r="A347" s="46"/>
      <c r="B347" s="46"/>
      <c r="C347" s="75"/>
      <c r="D347" s="46"/>
      <c r="E347" s="47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</row>
    <row r="348" spans="1:33" x14ac:dyDescent="0.2">
      <c r="A348" s="46"/>
      <c r="B348" s="46"/>
      <c r="C348" s="75"/>
      <c r="D348" s="46"/>
      <c r="E348" s="47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</row>
    <row r="349" spans="1:33" x14ac:dyDescent="0.2">
      <c r="A349" s="46"/>
      <c r="B349" s="46"/>
      <c r="C349" s="75"/>
      <c r="D349" s="46"/>
      <c r="E349" s="47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</row>
    <row r="350" spans="1:33" x14ac:dyDescent="0.2">
      <c r="A350" s="46"/>
      <c r="B350" s="46"/>
      <c r="C350" s="75"/>
      <c r="D350" s="46"/>
      <c r="E350" s="47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</row>
    <row r="351" spans="1:33" x14ac:dyDescent="0.2">
      <c r="A351" s="46"/>
      <c r="B351" s="46"/>
      <c r="C351" s="75"/>
      <c r="D351" s="46"/>
      <c r="E351" s="47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</row>
    <row r="352" spans="1:33" x14ac:dyDescent="0.2">
      <c r="A352" s="46"/>
      <c r="B352" s="46"/>
      <c r="C352" s="75"/>
      <c r="D352" s="46"/>
      <c r="E352" s="47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</row>
    <row r="353" spans="1:33" x14ac:dyDescent="0.2">
      <c r="A353" s="46"/>
      <c r="B353" s="46"/>
      <c r="C353" s="75"/>
      <c r="D353" s="46"/>
      <c r="E353" s="47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</row>
    <row r="354" spans="1:33" x14ac:dyDescent="0.2">
      <c r="A354" s="46"/>
      <c r="B354" s="46"/>
      <c r="C354" s="75"/>
      <c r="D354" s="46"/>
      <c r="E354" s="47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</row>
    <row r="355" spans="1:33" x14ac:dyDescent="0.2">
      <c r="A355" s="46"/>
      <c r="B355" s="46"/>
      <c r="C355" s="75"/>
      <c r="D355" s="46"/>
      <c r="E355" s="47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</row>
    <row r="356" spans="1:33" x14ac:dyDescent="0.2">
      <c r="A356" s="46"/>
      <c r="B356" s="46"/>
      <c r="C356" s="75"/>
      <c r="D356" s="46"/>
      <c r="E356" s="47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</row>
    <row r="357" spans="1:33" x14ac:dyDescent="0.2">
      <c r="A357" s="46"/>
      <c r="B357" s="46"/>
      <c r="C357" s="75"/>
      <c r="D357" s="46"/>
      <c r="E357" s="47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</row>
    <row r="358" spans="1:33" x14ac:dyDescent="0.2">
      <c r="A358" s="46"/>
      <c r="B358" s="46"/>
      <c r="C358" s="75"/>
      <c r="D358" s="46"/>
      <c r="E358" s="47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</row>
    <row r="359" spans="1:33" x14ac:dyDescent="0.2">
      <c r="A359" s="46"/>
      <c r="B359" s="46"/>
      <c r="C359" s="75"/>
      <c r="D359" s="46"/>
      <c r="E359" s="47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</row>
    <row r="360" spans="1:33" x14ac:dyDescent="0.2">
      <c r="A360" s="46"/>
      <c r="B360" s="46"/>
      <c r="C360" s="75"/>
      <c r="D360" s="46"/>
      <c r="E360" s="47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</row>
    <row r="361" spans="1:33" x14ac:dyDescent="0.2">
      <c r="A361" s="46"/>
      <c r="B361" s="46"/>
      <c r="C361" s="75"/>
      <c r="D361" s="46"/>
      <c r="E361" s="47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</row>
    <row r="362" spans="1:33" x14ac:dyDescent="0.2">
      <c r="A362" s="46"/>
      <c r="B362" s="46"/>
      <c r="C362" s="75"/>
      <c r="D362" s="46"/>
      <c r="E362" s="47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</row>
    <row r="363" spans="1:33" x14ac:dyDescent="0.2">
      <c r="A363" s="46"/>
      <c r="B363" s="46"/>
      <c r="C363" s="75"/>
      <c r="D363" s="46"/>
      <c r="E363" s="47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</row>
    <row r="364" spans="1:33" x14ac:dyDescent="0.2">
      <c r="A364" s="46"/>
      <c r="B364" s="46"/>
      <c r="C364" s="75"/>
      <c r="D364" s="46"/>
      <c r="E364" s="47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</row>
    <row r="365" spans="1:33" x14ac:dyDescent="0.2">
      <c r="A365" s="46"/>
      <c r="B365" s="46"/>
      <c r="C365" s="75"/>
      <c r="D365" s="46"/>
      <c r="E365" s="47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</row>
    <row r="366" spans="1:33" x14ac:dyDescent="0.2">
      <c r="A366" s="46"/>
      <c r="B366" s="46"/>
      <c r="C366" s="75"/>
      <c r="D366" s="46"/>
      <c r="E366" s="47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</row>
    <row r="367" spans="1:33" x14ac:dyDescent="0.2">
      <c r="A367" s="46"/>
      <c r="B367" s="46"/>
      <c r="C367" s="75"/>
      <c r="D367" s="46"/>
      <c r="E367" s="47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</row>
    <row r="368" spans="1:33" x14ac:dyDescent="0.2">
      <c r="A368" s="46"/>
      <c r="B368" s="46"/>
      <c r="C368" s="75"/>
      <c r="D368" s="46"/>
      <c r="E368" s="47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</row>
    <row r="369" spans="1:33" x14ac:dyDescent="0.2">
      <c r="A369" s="46"/>
      <c r="B369" s="46"/>
      <c r="C369" s="75"/>
      <c r="D369" s="46"/>
      <c r="E369" s="47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</row>
    <row r="370" spans="1:33" x14ac:dyDescent="0.2">
      <c r="A370" s="46"/>
      <c r="B370" s="46"/>
      <c r="C370" s="75"/>
      <c r="D370" s="46"/>
      <c r="E370" s="47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</row>
    <row r="371" spans="1:33" x14ac:dyDescent="0.2">
      <c r="A371" s="46"/>
      <c r="B371" s="46"/>
      <c r="C371" s="75"/>
      <c r="D371" s="46"/>
      <c r="E371" s="47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</row>
    <row r="372" spans="1:33" x14ac:dyDescent="0.2">
      <c r="A372" s="46"/>
      <c r="B372" s="46"/>
      <c r="C372" s="75"/>
      <c r="D372" s="46"/>
      <c r="E372" s="47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</row>
    <row r="373" spans="1:33" x14ac:dyDescent="0.2">
      <c r="A373" s="46"/>
      <c r="B373" s="46"/>
      <c r="C373" s="75"/>
      <c r="D373" s="46"/>
      <c r="E373" s="47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</row>
    <row r="374" spans="1:33" x14ac:dyDescent="0.2">
      <c r="A374" s="46"/>
      <c r="B374" s="46"/>
      <c r="C374" s="75"/>
      <c r="D374" s="46"/>
      <c r="E374" s="47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</row>
    <row r="375" spans="1:33" x14ac:dyDescent="0.2">
      <c r="A375" s="46"/>
      <c r="B375" s="46"/>
      <c r="C375" s="75"/>
      <c r="D375" s="46"/>
      <c r="E375" s="47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</row>
    <row r="376" spans="1:33" x14ac:dyDescent="0.2">
      <c r="A376" s="46"/>
      <c r="B376" s="46"/>
      <c r="C376" s="75"/>
      <c r="D376" s="46"/>
      <c r="E376" s="47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</row>
    <row r="377" spans="1:33" x14ac:dyDescent="0.2">
      <c r="A377" s="46"/>
      <c r="B377" s="46"/>
      <c r="C377" s="75"/>
      <c r="D377" s="46"/>
      <c r="E377" s="47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</row>
    <row r="378" spans="1:33" x14ac:dyDescent="0.2">
      <c r="A378" s="46"/>
      <c r="B378" s="46"/>
      <c r="C378" s="75"/>
      <c r="D378" s="46"/>
      <c r="E378" s="47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</row>
    <row r="379" spans="1:33" x14ac:dyDescent="0.2">
      <c r="A379" s="46"/>
      <c r="B379" s="46"/>
      <c r="C379" s="75"/>
      <c r="D379" s="46"/>
      <c r="E379" s="47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</row>
    <row r="380" spans="1:33" x14ac:dyDescent="0.2">
      <c r="A380" s="46"/>
      <c r="B380" s="46"/>
      <c r="C380" s="75"/>
      <c r="D380" s="46"/>
      <c r="E380" s="47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</row>
    <row r="381" spans="1:33" x14ac:dyDescent="0.2">
      <c r="A381" s="46"/>
      <c r="B381" s="46"/>
      <c r="C381" s="75"/>
      <c r="D381" s="46"/>
      <c r="E381" s="47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</row>
    <row r="382" spans="1:33" x14ac:dyDescent="0.2">
      <c r="A382" s="46"/>
      <c r="B382" s="46"/>
      <c r="C382" s="75"/>
      <c r="D382" s="46"/>
      <c r="E382" s="47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</row>
    <row r="383" spans="1:33" x14ac:dyDescent="0.2">
      <c r="A383" s="46"/>
      <c r="B383" s="46"/>
      <c r="C383" s="75"/>
      <c r="D383" s="46"/>
      <c r="E383" s="47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</row>
    <row r="384" spans="1:33" x14ac:dyDescent="0.2">
      <c r="A384" s="46"/>
      <c r="B384" s="46"/>
      <c r="C384" s="75"/>
      <c r="D384" s="46"/>
      <c r="E384" s="47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</row>
    <row r="385" spans="1:33" x14ac:dyDescent="0.2">
      <c r="A385" s="46"/>
      <c r="B385" s="46"/>
      <c r="C385" s="75"/>
      <c r="D385" s="46"/>
      <c r="E385" s="47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</row>
    <row r="386" spans="1:33" x14ac:dyDescent="0.2">
      <c r="A386" s="46"/>
      <c r="B386" s="46"/>
      <c r="C386" s="75"/>
      <c r="D386" s="46"/>
      <c r="E386" s="47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</row>
    <row r="387" spans="1:33" x14ac:dyDescent="0.2">
      <c r="A387" s="46"/>
      <c r="B387" s="46"/>
      <c r="C387" s="75"/>
      <c r="D387" s="46"/>
      <c r="E387" s="47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</row>
    <row r="388" spans="1:33" x14ac:dyDescent="0.2">
      <c r="A388" s="46"/>
      <c r="B388" s="46"/>
      <c r="C388" s="75"/>
      <c r="D388" s="46"/>
      <c r="E388" s="47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</row>
    <row r="389" spans="1:33" x14ac:dyDescent="0.2">
      <c r="A389" s="46"/>
      <c r="B389" s="46"/>
      <c r="C389" s="75"/>
      <c r="D389" s="46"/>
      <c r="E389" s="47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</row>
    <row r="390" spans="1:33" x14ac:dyDescent="0.2">
      <c r="A390" s="46"/>
      <c r="B390" s="46"/>
      <c r="C390" s="75"/>
      <c r="D390" s="46"/>
      <c r="E390" s="47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</row>
    <row r="391" spans="1:33" x14ac:dyDescent="0.2">
      <c r="A391" s="46"/>
      <c r="B391" s="46"/>
      <c r="C391" s="75"/>
      <c r="D391" s="46"/>
      <c r="E391" s="47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</row>
    <row r="392" spans="1:33" x14ac:dyDescent="0.2">
      <c r="A392" s="46"/>
      <c r="B392" s="46"/>
      <c r="C392" s="75"/>
      <c r="D392" s="46"/>
      <c r="E392" s="47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</row>
    <row r="393" spans="1:33" x14ac:dyDescent="0.2">
      <c r="A393" s="46"/>
      <c r="B393" s="46"/>
      <c r="C393" s="75"/>
      <c r="D393" s="46"/>
      <c r="E393" s="47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</row>
    <row r="394" spans="1:33" x14ac:dyDescent="0.2">
      <c r="A394" s="46"/>
      <c r="B394" s="46"/>
      <c r="C394" s="75"/>
      <c r="D394" s="46"/>
      <c r="E394" s="47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</row>
    <row r="395" spans="1:33" x14ac:dyDescent="0.2">
      <c r="A395" s="46"/>
      <c r="B395" s="46"/>
      <c r="C395" s="75"/>
      <c r="D395" s="46"/>
      <c r="E395" s="47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</row>
    <row r="396" spans="1:33" x14ac:dyDescent="0.2">
      <c r="A396" s="46"/>
      <c r="B396" s="46"/>
      <c r="C396" s="75"/>
      <c r="D396" s="46"/>
      <c r="E396" s="47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</row>
    <row r="397" spans="1:33" x14ac:dyDescent="0.2">
      <c r="A397" s="46"/>
      <c r="B397" s="46"/>
      <c r="C397" s="75"/>
      <c r="D397" s="46"/>
      <c r="E397" s="47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</row>
    <row r="398" spans="1:33" x14ac:dyDescent="0.2">
      <c r="A398" s="46"/>
      <c r="B398" s="46"/>
      <c r="C398" s="75"/>
      <c r="D398" s="46"/>
      <c r="E398" s="47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</row>
    <row r="399" spans="1:33" x14ac:dyDescent="0.2">
      <c r="A399" s="46"/>
      <c r="B399" s="46"/>
      <c r="C399" s="75"/>
      <c r="D399" s="46"/>
      <c r="E399" s="47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</row>
    <row r="400" spans="1:33" x14ac:dyDescent="0.2">
      <c r="A400" s="46"/>
      <c r="B400" s="46"/>
      <c r="C400" s="75"/>
      <c r="D400" s="46"/>
      <c r="E400" s="47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</row>
    <row r="401" spans="1:33" x14ac:dyDescent="0.2">
      <c r="A401" s="46"/>
      <c r="B401" s="46"/>
      <c r="C401" s="75"/>
      <c r="D401" s="46"/>
      <c r="E401" s="47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</row>
    <row r="402" spans="1:33" x14ac:dyDescent="0.2">
      <c r="A402" s="46"/>
      <c r="B402" s="46"/>
      <c r="C402" s="75"/>
      <c r="D402" s="46"/>
      <c r="E402" s="47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</row>
    <row r="403" spans="1:33" x14ac:dyDescent="0.2">
      <c r="A403" s="46"/>
      <c r="B403" s="46"/>
      <c r="C403" s="75"/>
      <c r="D403" s="46"/>
      <c r="E403" s="47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</row>
    <row r="404" spans="1:33" x14ac:dyDescent="0.2">
      <c r="A404" s="46"/>
      <c r="B404" s="46"/>
      <c r="C404" s="75"/>
      <c r="D404" s="46"/>
      <c r="E404" s="47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</row>
    <row r="405" spans="1:33" x14ac:dyDescent="0.2">
      <c r="A405" s="46"/>
      <c r="B405" s="46"/>
      <c r="C405" s="75"/>
      <c r="D405" s="46"/>
      <c r="E405" s="47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</row>
    <row r="406" spans="1:33" x14ac:dyDescent="0.2">
      <c r="A406" s="46"/>
      <c r="B406" s="46"/>
      <c r="C406" s="75"/>
      <c r="D406" s="46"/>
      <c r="E406" s="47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</row>
    <row r="407" spans="1:33" x14ac:dyDescent="0.2">
      <c r="A407" s="46"/>
      <c r="B407" s="46"/>
      <c r="C407" s="75"/>
      <c r="D407" s="46"/>
      <c r="E407" s="47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</row>
    <row r="408" spans="1:33" x14ac:dyDescent="0.2">
      <c r="A408" s="46"/>
      <c r="B408" s="46"/>
      <c r="C408" s="75"/>
      <c r="D408" s="46"/>
      <c r="E408" s="47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</row>
    <row r="409" spans="1:33" x14ac:dyDescent="0.2">
      <c r="A409" s="46"/>
      <c r="B409" s="46"/>
      <c r="C409" s="75"/>
      <c r="D409" s="46"/>
      <c r="E409" s="47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</row>
    <row r="410" spans="1:33" x14ac:dyDescent="0.2">
      <c r="A410" s="46"/>
      <c r="B410" s="46"/>
      <c r="C410" s="75"/>
      <c r="D410" s="46"/>
      <c r="E410" s="47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</row>
    <row r="411" spans="1:33" x14ac:dyDescent="0.2">
      <c r="A411" s="46"/>
      <c r="B411" s="46"/>
      <c r="C411" s="75"/>
      <c r="D411" s="46"/>
      <c r="E411" s="47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</row>
    <row r="412" spans="1:33" x14ac:dyDescent="0.2">
      <c r="A412" s="46"/>
      <c r="B412" s="46"/>
      <c r="C412" s="75"/>
      <c r="D412" s="46"/>
      <c r="E412" s="47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</row>
    <row r="413" spans="1:33" x14ac:dyDescent="0.2">
      <c r="A413" s="46"/>
      <c r="B413" s="46"/>
      <c r="C413" s="75"/>
      <c r="D413" s="46"/>
      <c r="E413" s="47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</row>
    <row r="414" spans="1:33" x14ac:dyDescent="0.2">
      <c r="A414" s="46"/>
      <c r="B414" s="46"/>
      <c r="C414" s="75"/>
      <c r="D414" s="46"/>
      <c r="E414" s="47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</row>
    <row r="415" spans="1:33" x14ac:dyDescent="0.2">
      <c r="A415" s="46"/>
      <c r="B415" s="46"/>
      <c r="C415" s="75"/>
      <c r="D415" s="46"/>
      <c r="E415" s="47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</row>
    <row r="416" spans="1:33" x14ac:dyDescent="0.2">
      <c r="A416" s="46"/>
      <c r="B416" s="46"/>
      <c r="C416" s="75"/>
      <c r="D416" s="46"/>
      <c r="E416" s="47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</row>
    <row r="417" spans="1:33" x14ac:dyDescent="0.2">
      <c r="A417" s="46"/>
      <c r="B417" s="46"/>
      <c r="C417" s="75"/>
      <c r="D417" s="46"/>
      <c r="E417" s="47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</row>
    <row r="418" spans="1:33" x14ac:dyDescent="0.2">
      <c r="A418" s="46"/>
      <c r="B418" s="46"/>
      <c r="C418" s="75"/>
      <c r="D418" s="46"/>
      <c r="E418" s="47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</row>
    <row r="419" spans="1:33" x14ac:dyDescent="0.2">
      <c r="A419" s="46"/>
      <c r="B419" s="46"/>
      <c r="C419" s="75"/>
      <c r="D419" s="46"/>
      <c r="E419" s="47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</row>
    <row r="420" spans="1:33" x14ac:dyDescent="0.2">
      <c r="A420" s="46"/>
      <c r="B420" s="46"/>
      <c r="C420" s="75"/>
      <c r="D420" s="46"/>
      <c r="E420" s="47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</row>
    <row r="421" spans="1:33" x14ac:dyDescent="0.2">
      <c r="A421" s="46"/>
      <c r="B421" s="46"/>
      <c r="C421" s="75"/>
      <c r="D421" s="46"/>
      <c r="E421" s="47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</row>
    <row r="422" spans="1:33" x14ac:dyDescent="0.2">
      <c r="A422" s="46"/>
      <c r="B422" s="46"/>
      <c r="C422" s="75"/>
      <c r="D422" s="46"/>
      <c r="E422" s="47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</row>
    <row r="423" spans="1:33" x14ac:dyDescent="0.2">
      <c r="A423" s="46"/>
      <c r="B423" s="46"/>
      <c r="C423" s="75"/>
      <c r="D423" s="46"/>
      <c r="E423" s="47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</row>
    <row r="424" spans="1:33" x14ac:dyDescent="0.2">
      <c r="A424" s="46"/>
      <c r="B424" s="46"/>
      <c r="C424" s="75"/>
      <c r="D424" s="46"/>
      <c r="E424" s="47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</row>
    <row r="425" spans="1:33" x14ac:dyDescent="0.2">
      <c r="A425" s="46"/>
      <c r="B425" s="46"/>
      <c r="C425" s="75"/>
      <c r="D425" s="46"/>
      <c r="E425" s="47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</row>
    <row r="426" spans="1:33" x14ac:dyDescent="0.2">
      <c r="A426" s="46"/>
      <c r="B426" s="46"/>
      <c r="C426" s="75"/>
      <c r="D426" s="46"/>
      <c r="E426" s="47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</row>
    <row r="427" spans="1:33" x14ac:dyDescent="0.2">
      <c r="A427" s="46"/>
      <c r="B427" s="46"/>
      <c r="C427" s="75"/>
      <c r="D427" s="46"/>
      <c r="E427" s="47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</row>
    <row r="428" spans="1:33" x14ac:dyDescent="0.2">
      <c r="A428" s="46"/>
      <c r="B428" s="46"/>
      <c r="C428" s="75"/>
      <c r="D428" s="46"/>
      <c r="E428" s="47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</row>
    <row r="429" spans="1:33" x14ac:dyDescent="0.2">
      <c r="A429" s="46"/>
      <c r="B429" s="46"/>
      <c r="C429" s="75"/>
      <c r="D429" s="46"/>
      <c r="E429" s="47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</row>
    <row r="430" spans="1:33" x14ac:dyDescent="0.2">
      <c r="A430" s="46"/>
      <c r="B430" s="46"/>
      <c r="C430" s="75"/>
      <c r="D430" s="46"/>
      <c r="E430" s="47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</row>
    <row r="431" spans="1:33" x14ac:dyDescent="0.2">
      <c r="A431" s="46"/>
      <c r="B431" s="46"/>
      <c r="C431" s="75"/>
      <c r="D431" s="46"/>
      <c r="E431" s="47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</row>
    <row r="432" spans="1:33" x14ac:dyDescent="0.2">
      <c r="A432" s="46"/>
      <c r="B432" s="46"/>
      <c r="C432" s="75"/>
      <c r="D432" s="46"/>
      <c r="E432" s="47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</row>
    <row r="433" spans="1:33" x14ac:dyDescent="0.2">
      <c r="A433" s="46"/>
      <c r="B433" s="46"/>
      <c r="C433" s="75"/>
      <c r="D433" s="46"/>
      <c r="E433" s="47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</row>
    <row r="434" spans="1:33" x14ac:dyDescent="0.2">
      <c r="A434" s="46"/>
      <c r="B434" s="46"/>
      <c r="C434" s="75"/>
      <c r="D434" s="46"/>
      <c r="E434" s="47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</row>
    <row r="435" spans="1:33" x14ac:dyDescent="0.2">
      <c r="A435" s="46"/>
      <c r="B435" s="46"/>
      <c r="C435" s="75"/>
      <c r="D435" s="46"/>
      <c r="E435" s="47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</row>
    <row r="436" spans="1:33" x14ac:dyDescent="0.2">
      <c r="A436" s="46"/>
      <c r="B436" s="46"/>
      <c r="C436" s="75"/>
      <c r="D436" s="46"/>
      <c r="E436" s="47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</row>
    <row r="437" spans="1:33" x14ac:dyDescent="0.2">
      <c r="A437" s="46"/>
      <c r="B437" s="46"/>
      <c r="C437" s="75"/>
      <c r="D437" s="46"/>
      <c r="E437" s="47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</row>
    <row r="438" spans="1:33" x14ac:dyDescent="0.2">
      <c r="A438" s="46"/>
      <c r="B438" s="46"/>
      <c r="C438" s="75"/>
      <c r="D438" s="46"/>
      <c r="E438" s="47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</row>
    <row r="439" spans="1:33" x14ac:dyDescent="0.2">
      <c r="A439" s="46"/>
      <c r="B439" s="46"/>
      <c r="C439" s="75"/>
      <c r="D439" s="46"/>
      <c r="E439" s="47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</row>
    <row r="440" spans="1:33" x14ac:dyDescent="0.2">
      <c r="A440" s="46"/>
      <c r="B440" s="46"/>
      <c r="C440" s="75"/>
      <c r="D440" s="46"/>
      <c r="E440" s="47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</row>
    <row r="441" spans="1:33" x14ac:dyDescent="0.2">
      <c r="A441" s="46"/>
      <c r="B441" s="46"/>
      <c r="C441" s="75"/>
      <c r="D441" s="46"/>
      <c r="E441" s="47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</row>
    <row r="442" spans="1:33" x14ac:dyDescent="0.2">
      <c r="A442" s="46"/>
      <c r="B442" s="46"/>
      <c r="C442" s="75"/>
      <c r="D442" s="46"/>
      <c r="E442" s="47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</row>
    <row r="443" spans="1:33" x14ac:dyDescent="0.2">
      <c r="A443" s="46"/>
      <c r="B443" s="46"/>
      <c r="C443" s="75"/>
      <c r="D443" s="46"/>
      <c r="E443" s="47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</row>
    <row r="444" spans="1:33" x14ac:dyDescent="0.2">
      <c r="A444" s="46"/>
      <c r="B444" s="46"/>
      <c r="C444" s="75"/>
      <c r="D444" s="46"/>
      <c r="E444" s="47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</row>
    <row r="445" spans="1:33" x14ac:dyDescent="0.2">
      <c r="A445" s="46"/>
      <c r="B445" s="46"/>
      <c r="C445" s="75"/>
      <c r="D445" s="46"/>
      <c r="E445" s="47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</row>
    <row r="446" spans="1:33" x14ac:dyDescent="0.2">
      <c r="A446" s="46"/>
      <c r="B446" s="46"/>
      <c r="C446" s="75"/>
      <c r="D446" s="46"/>
      <c r="E446" s="47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</row>
    <row r="447" spans="1:33" x14ac:dyDescent="0.2">
      <c r="A447" s="46"/>
      <c r="B447" s="46"/>
      <c r="C447" s="75"/>
      <c r="D447" s="46"/>
      <c r="E447" s="47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</row>
    <row r="448" spans="1:33" x14ac:dyDescent="0.2">
      <c r="A448" s="46"/>
      <c r="B448" s="46"/>
      <c r="C448" s="75"/>
      <c r="D448" s="46"/>
      <c r="E448" s="47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</row>
    <row r="449" spans="1:33" x14ac:dyDescent="0.2">
      <c r="A449" s="46"/>
      <c r="B449" s="46"/>
      <c r="C449" s="75"/>
      <c r="D449" s="46"/>
      <c r="E449" s="47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</row>
    <row r="450" spans="1:33" x14ac:dyDescent="0.2">
      <c r="A450" s="46"/>
      <c r="B450" s="46"/>
      <c r="C450" s="75"/>
      <c r="D450" s="46"/>
      <c r="E450" s="47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</row>
    <row r="451" spans="1:33" x14ac:dyDescent="0.2">
      <c r="A451" s="46"/>
      <c r="B451" s="46"/>
      <c r="C451" s="75"/>
      <c r="D451" s="46"/>
      <c r="E451" s="47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</row>
    <row r="452" spans="1:33" x14ac:dyDescent="0.2">
      <c r="A452" s="46"/>
      <c r="B452" s="46"/>
      <c r="C452" s="75"/>
      <c r="D452" s="46"/>
      <c r="E452" s="47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</row>
    <row r="453" spans="1:33" x14ac:dyDescent="0.2">
      <c r="A453" s="46"/>
      <c r="B453" s="46"/>
      <c r="C453" s="75"/>
      <c r="D453" s="46"/>
      <c r="E453" s="47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</row>
    <row r="454" spans="1:33" x14ac:dyDescent="0.2">
      <c r="A454" s="46"/>
      <c r="B454" s="46"/>
      <c r="C454" s="75"/>
      <c r="D454" s="46"/>
      <c r="E454" s="47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</row>
    <row r="455" spans="1:33" x14ac:dyDescent="0.2">
      <c r="A455" s="46"/>
      <c r="B455" s="46"/>
      <c r="C455" s="75"/>
      <c r="D455" s="46"/>
      <c r="E455" s="47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</row>
    <row r="456" spans="1:33" x14ac:dyDescent="0.2">
      <c r="A456" s="46"/>
      <c r="B456" s="46"/>
      <c r="C456" s="75"/>
      <c r="D456" s="46"/>
      <c r="E456" s="47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</row>
    <row r="457" spans="1:33" x14ac:dyDescent="0.2">
      <c r="A457" s="46"/>
      <c r="B457" s="46"/>
      <c r="C457" s="75"/>
      <c r="D457" s="46"/>
      <c r="E457" s="47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</row>
    <row r="458" spans="1:33" x14ac:dyDescent="0.2">
      <c r="A458" s="46"/>
      <c r="B458" s="46"/>
      <c r="C458" s="75"/>
      <c r="D458" s="46"/>
      <c r="E458" s="47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</row>
    <row r="459" spans="1:33" x14ac:dyDescent="0.2">
      <c r="A459" s="46"/>
      <c r="B459" s="46"/>
      <c r="C459" s="75"/>
      <c r="D459" s="46"/>
      <c r="E459" s="47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</row>
    <row r="460" spans="1:33" x14ac:dyDescent="0.2">
      <c r="A460" s="46"/>
      <c r="B460" s="46"/>
      <c r="C460" s="75"/>
      <c r="D460" s="46"/>
      <c r="E460" s="47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</row>
    <row r="461" spans="1:33" x14ac:dyDescent="0.2">
      <c r="A461" s="46"/>
      <c r="B461" s="46"/>
      <c r="C461" s="75"/>
      <c r="D461" s="46"/>
      <c r="E461" s="47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</row>
    <row r="462" spans="1:33" x14ac:dyDescent="0.2">
      <c r="A462" s="46"/>
      <c r="B462" s="46"/>
      <c r="C462" s="75"/>
      <c r="D462" s="46"/>
      <c r="E462" s="47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</row>
    <row r="463" spans="1:33" x14ac:dyDescent="0.2">
      <c r="A463" s="46"/>
      <c r="B463" s="46"/>
      <c r="C463" s="75"/>
      <c r="D463" s="46"/>
      <c r="E463" s="47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</row>
    <row r="464" spans="1:33" x14ac:dyDescent="0.2">
      <c r="A464" s="46"/>
      <c r="B464" s="46"/>
      <c r="C464" s="75"/>
      <c r="D464" s="46"/>
      <c r="E464" s="47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</row>
    <row r="465" spans="1:33" x14ac:dyDescent="0.2">
      <c r="A465" s="46"/>
      <c r="B465" s="46"/>
      <c r="C465" s="75"/>
      <c r="D465" s="46"/>
      <c r="E465" s="47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</row>
    <row r="466" spans="1:33" x14ac:dyDescent="0.2">
      <c r="A466" s="46"/>
      <c r="B466" s="46"/>
      <c r="C466" s="75"/>
      <c r="D466" s="46"/>
      <c r="E466" s="47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</row>
    <row r="467" spans="1:33" x14ac:dyDescent="0.2">
      <c r="A467" s="46"/>
      <c r="B467" s="46"/>
      <c r="C467" s="75"/>
      <c r="D467" s="46"/>
      <c r="E467" s="47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</row>
    <row r="468" spans="1:33" x14ac:dyDescent="0.2">
      <c r="A468" s="46"/>
      <c r="B468" s="46"/>
      <c r="C468" s="75"/>
      <c r="D468" s="46"/>
      <c r="E468" s="47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</row>
    <row r="469" spans="1:33" x14ac:dyDescent="0.2">
      <c r="A469" s="46"/>
      <c r="B469" s="46"/>
      <c r="C469" s="75"/>
      <c r="D469" s="46"/>
      <c r="E469" s="47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</row>
    <row r="470" spans="1:33" x14ac:dyDescent="0.2">
      <c r="A470" s="46"/>
      <c r="B470" s="46"/>
      <c r="C470" s="75"/>
      <c r="D470" s="46"/>
      <c r="E470" s="47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</row>
    <row r="471" spans="1:33" x14ac:dyDescent="0.2">
      <c r="A471" s="46"/>
      <c r="B471" s="46"/>
      <c r="C471" s="75"/>
      <c r="D471" s="46"/>
      <c r="E471" s="47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</row>
    <row r="472" spans="1:33" x14ac:dyDescent="0.2">
      <c r="A472" s="46"/>
      <c r="B472" s="46"/>
      <c r="C472" s="75"/>
      <c r="D472" s="46"/>
      <c r="E472" s="47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</row>
    <row r="473" spans="1:33" x14ac:dyDescent="0.2">
      <c r="A473" s="46"/>
      <c r="B473" s="46"/>
      <c r="C473" s="75"/>
      <c r="D473" s="46"/>
      <c r="E473" s="47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</row>
    <row r="474" spans="1:33" x14ac:dyDescent="0.2">
      <c r="A474" s="46"/>
      <c r="B474" s="46"/>
      <c r="C474" s="75"/>
      <c r="D474" s="46"/>
      <c r="E474" s="47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</row>
    <row r="475" spans="1:33" x14ac:dyDescent="0.2">
      <c r="A475" s="46"/>
      <c r="B475" s="46"/>
      <c r="C475" s="75"/>
      <c r="D475" s="46"/>
      <c r="E475" s="47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</row>
    <row r="476" spans="1:33" x14ac:dyDescent="0.2">
      <c r="A476" s="46"/>
      <c r="B476" s="46"/>
      <c r="C476" s="75"/>
      <c r="D476" s="46"/>
      <c r="E476" s="47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</row>
    <row r="477" spans="1:33" x14ac:dyDescent="0.2">
      <c r="A477" s="46"/>
      <c r="B477" s="46"/>
      <c r="C477" s="75"/>
      <c r="D477" s="46"/>
      <c r="E477" s="47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</row>
    <row r="478" spans="1:33" x14ac:dyDescent="0.2">
      <c r="A478" s="46"/>
      <c r="B478" s="46"/>
      <c r="C478" s="75"/>
      <c r="D478" s="46"/>
      <c r="E478" s="47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</row>
    <row r="479" spans="1:33" x14ac:dyDescent="0.2">
      <c r="A479" s="46"/>
      <c r="B479" s="46"/>
      <c r="C479" s="75"/>
      <c r="D479" s="46"/>
      <c r="E479" s="47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</row>
    <row r="480" spans="1:33" x14ac:dyDescent="0.2">
      <c r="A480" s="46"/>
      <c r="B480" s="46"/>
      <c r="C480" s="75"/>
      <c r="D480" s="46"/>
      <c r="E480" s="47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</row>
    <row r="481" spans="1:33" x14ac:dyDescent="0.2">
      <c r="A481" s="46"/>
      <c r="B481" s="46"/>
      <c r="C481" s="75"/>
      <c r="D481" s="46"/>
      <c r="E481" s="47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</row>
    <row r="482" spans="1:33" x14ac:dyDescent="0.2">
      <c r="A482" s="46"/>
      <c r="B482" s="46"/>
      <c r="C482" s="75"/>
      <c r="D482" s="46"/>
      <c r="E482" s="47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</row>
    <row r="483" spans="1:33" x14ac:dyDescent="0.2">
      <c r="A483" s="46"/>
      <c r="B483" s="46"/>
      <c r="C483" s="75"/>
      <c r="D483" s="46"/>
      <c r="E483" s="47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</row>
    <row r="484" spans="1:33" x14ac:dyDescent="0.2">
      <c r="A484" s="46"/>
      <c r="B484" s="46"/>
      <c r="C484" s="75"/>
      <c r="D484" s="46"/>
      <c r="E484" s="47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</row>
    <row r="485" spans="1:33" x14ac:dyDescent="0.2">
      <c r="A485" s="46"/>
      <c r="B485" s="46"/>
      <c r="C485" s="75"/>
      <c r="D485" s="46"/>
      <c r="E485" s="47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</row>
    <row r="486" spans="1:33" x14ac:dyDescent="0.2">
      <c r="A486" s="46"/>
      <c r="B486" s="46"/>
      <c r="C486" s="75"/>
      <c r="D486" s="46"/>
      <c r="E486" s="47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</row>
    <row r="487" spans="1:33" x14ac:dyDescent="0.2">
      <c r="A487" s="46"/>
      <c r="B487" s="46"/>
      <c r="C487" s="75"/>
      <c r="D487" s="46"/>
      <c r="E487" s="47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</row>
    <row r="488" spans="1:33" x14ac:dyDescent="0.2">
      <c r="A488" s="46"/>
      <c r="B488" s="46"/>
      <c r="C488" s="75"/>
      <c r="D488" s="46"/>
      <c r="E488" s="47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</row>
    <row r="489" spans="1:33" x14ac:dyDescent="0.2">
      <c r="A489" s="46"/>
      <c r="B489" s="46"/>
      <c r="C489" s="75"/>
      <c r="D489" s="46"/>
      <c r="E489" s="47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</row>
    <row r="490" spans="1:33" x14ac:dyDescent="0.2">
      <c r="A490" s="46"/>
      <c r="B490" s="46"/>
      <c r="C490" s="75"/>
      <c r="D490" s="46"/>
      <c r="E490" s="47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</row>
    <row r="491" spans="1:33" x14ac:dyDescent="0.2">
      <c r="A491" s="46"/>
      <c r="B491" s="46"/>
      <c r="C491" s="75"/>
      <c r="D491" s="46"/>
      <c r="E491" s="47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</row>
    <row r="492" spans="1:33" x14ac:dyDescent="0.2">
      <c r="A492" s="46"/>
      <c r="B492" s="46"/>
      <c r="C492" s="75"/>
      <c r="D492" s="46"/>
      <c r="E492" s="47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</row>
    <row r="493" spans="1:33" x14ac:dyDescent="0.2">
      <c r="A493" s="46"/>
      <c r="B493" s="46"/>
      <c r="C493" s="75"/>
      <c r="D493" s="46"/>
      <c r="E493" s="47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</row>
    <row r="494" spans="1:33" x14ac:dyDescent="0.2">
      <c r="A494" s="46"/>
      <c r="B494" s="46"/>
      <c r="C494" s="75"/>
      <c r="D494" s="46"/>
      <c r="E494" s="47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</row>
    <row r="495" spans="1:33" x14ac:dyDescent="0.2">
      <c r="A495" s="46"/>
      <c r="B495" s="46"/>
      <c r="C495" s="75"/>
      <c r="D495" s="46"/>
      <c r="E495" s="47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</row>
    <row r="496" spans="1:33" x14ac:dyDescent="0.2">
      <c r="A496" s="46"/>
      <c r="B496" s="46"/>
      <c r="C496" s="75"/>
      <c r="D496" s="46"/>
      <c r="E496" s="47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</row>
    <row r="497" spans="1:33" x14ac:dyDescent="0.2">
      <c r="A497" s="46"/>
      <c r="B497" s="46"/>
      <c r="C497" s="75"/>
      <c r="D497" s="46"/>
      <c r="E497" s="47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</row>
    <row r="498" spans="1:33" x14ac:dyDescent="0.2">
      <c r="A498" s="46"/>
      <c r="B498" s="46"/>
      <c r="C498" s="75"/>
      <c r="D498" s="46"/>
      <c r="E498" s="47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</row>
    <row r="499" spans="1:33" x14ac:dyDescent="0.2">
      <c r="A499" s="46"/>
      <c r="B499" s="46"/>
      <c r="C499" s="75"/>
      <c r="D499" s="46"/>
      <c r="E499" s="47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</row>
    <row r="500" spans="1:33" x14ac:dyDescent="0.2">
      <c r="A500" s="46"/>
      <c r="B500" s="46"/>
      <c r="C500" s="75"/>
      <c r="D500" s="46"/>
      <c r="E500" s="47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</row>
    <row r="501" spans="1:33" x14ac:dyDescent="0.2">
      <c r="A501" s="46"/>
      <c r="B501" s="46"/>
      <c r="C501" s="75"/>
      <c r="D501" s="46"/>
      <c r="E501" s="47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</row>
    <row r="502" spans="1:33" x14ac:dyDescent="0.2">
      <c r="A502" s="46"/>
      <c r="B502" s="46"/>
      <c r="C502" s="75"/>
      <c r="D502" s="46"/>
      <c r="E502" s="47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</row>
    <row r="503" spans="1:33" x14ac:dyDescent="0.2">
      <c r="A503" s="46"/>
      <c r="B503" s="46"/>
      <c r="C503" s="75"/>
      <c r="D503" s="46"/>
      <c r="E503" s="47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</row>
    <row r="504" spans="1:33" x14ac:dyDescent="0.2">
      <c r="A504" s="46"/>
      <c r="B504" s="46"/>
      <c r="C504" s="75"/>
      <c r="D504" s="46"/>
      <c r="E504" s="47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</row>
    <row r="505" spans="1:33" x14ac:dyDescent="0.2">
      <c r="A505" s="46"/>
      <c r="B505" s="46"/>
      <c r="C505" s="75"/>
      <c r="D505" s="46"/>
      <c r="E505" s="47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</row>
    <row r="506" spans="1:33" x14ac:dyDescent="0.2">
      <c r="A506" s="46"/>
      <c r="B506" s="46"/>
      <c r="C506" s="75"/>
      <c r="D506" s="46"/>
      <c r="E506" s="47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</row>
    <row r="507" spans="1:33" x14ac:dyDescent="0.2">
      <c r="A507" s="46"/>
      <c r="B507" s="46"/>
      <c r="C507" s="75"/>
      <c r="D507" s="46"/>
      <c r="E507" s="47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</row>
    <row r="508" spans="1:33" x14ac:dyDescent="0.2">
      <c r="A508" s="46"/>
      <c r="B508" s="46"/>
      <c r="C508" s="75"/>
      <c r="D508" s="46"/>
      <c r="E508" s="47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</row>
    <row r="509" spans="1:33" x14ac:dyDescent="0.2">
      <c r="A509" s="46"/>
      <c r="B509" s="46"/>
      <c r="C509" s="75"/>
      <c r="D509" s="46"/>
      <c r="E509" s="47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</row>
    <row r="510" spans="1:33" x14ac:dyDescent="0.2">
      <c r="A510" s="46"/>
      <c r="B510" s="46"/>
      <c r="C510" s="75"/>
      <c r="D510" s="46"/>
      <c r="E510" s="47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</row>
    <row r="511" spans="1:33" x14ac:dyDescent="0.2">
      <c r="A511" s="46"/>
      <c r="B511" s="46"/>
      <c r="C511" s="75"/>
      <c r="D511" s="46"/>
      <c r="E511" s="47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</row>
    <row r="512" spans="1:33" x14ac:dyDescent="0.2">
      <c r="A512" s="46"/>
      <c r="B512" s="46"/>
      <c r="C512" s="75"/>
      <c r="D512" s="46"/>
      <c r="E512" s="47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</row>
    <row r="513" spans="1:33" x14ac:dyDescent="0.2">
      <c r="A513" s="46"/>
      <c r="B513" s="46"/>
      <c r="C513" s="75"/>
      <c r="D513" s="46"/>
      <c r="E513" s="47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</row>
    <row r="514" spans="1:33" x14ac:dyDescent="0.2">
      <c r="A514" s="46"/>
      <c r="B514" s="46"/>
      <c r="C514" s="75"/>
      <c r="D514" s="46"/>
      <c r="E514" s="47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</row>
    <row r="515" spans="1:33" x14ac:dyDescent="0.2">
      <c r="A515" s="46"/>
      <c r="B515" s="46"/>
      <c r="C515" s="75"/>
      <c r="D515" s="46"/>
      <c r="E515" s="47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</row>
    <row r="516" spans="1:33" x14ac:dyDescent="0.2">
      <c r="A516" s="46"/>
      <c r="B516" s="46"/>
      <c r="C516" s="75"/>
      <c r="D516" s="46"/>
      <c r="E516" s="47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</row>
    <row r="517" spans="1:33" x14ac:dyDescent="0.2">
      <c r="A517" s="46"/>
      <c r="B517" s="46"/>
      <c r="C517" s="75"/>
      <c r="D517" s="46"/>
      <c r="E517" s="47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</row>
    <row r="518" spans="1:33" x14ac:dyDescent="0.2">
      <c r="A518" s="46"/>
      <c r="B518" s="46"/>
      <c r="C518" s="75"/>
      <c r="D518" s="46"/>
      <c r="E518" s="47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</row>
    <row r="519" spans="1:33" x14ac:dyDescent="0.2">
      <c r="A519" s="46"/>
      <c r="B519" s="46"/>
      <c r="C519" s="75"/>
      <c r="D519" s="46"/>
      <c r="E519" s="47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</row>
    <row r="520" spans="1:33" x14ac:dyDescent="0.2">
      <c r="A520" s="46"/>
      <c r="B520" s="46"/>
      <c r="C520" s="75"/>
      <c r="D520" s="46"/>
      <c r="E520" s="47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</row>
    <row r="521" spans="1:33" x14ac:dyDescent="0.2">
      <c r="A521" s="46"/>
      <c r="B521" s="46"/>
      <c r="C521" s="75"/>
      <c r="D521" s="46"/>
      <c r="E521" s="47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</row>
    <row r="522" spans="1:33" x14ac:dyDescent="0.2">
      <c r="A522" s="46"/>
      <c r="B522" s="46"/>
      <c r="C522" s="75"/>
      <c r="D522" s="46"/>
      <c r="E522" s="47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</row>
    <row r="523" spans="1:33" x14ac:dyDescent="0.2">
      <c r="A523" s="46"/>
      <c r="B523" s="46"/>
      <c r="C523" s="75"/>
      <c r="D523" s="46"/>
      <c r="E523" s="47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</row>
    <row r="524" spans="1:33" x14ac:dyDescent="0.2">
      <c r="A524" s="46"/>
      <c r="B524" s="46"/>
      <c r="C524" s="75"/>
      <c r="D524" s="46"/>
      <c r="E524" s="47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</row>
    <row r="525" spans="1:33" x14ac:dyDescent="0.2">
      <c r="A525" s="46"/>
      <c r="B525" s="46"/>
      <c r="C525" s="75"/>
      <c r="D525" s="46"/>
      <c r="E525" s="47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</row>
    <row r="526" spans="1:33" x14ac:dyDescent="0.2">
      <c r="A526" s="46"/>
      <c r="B526" s="46"/>
      <c r="C526" s="75"/>
      <c r="D526" s="46"/>
      <c r="E526" s="47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</row>
    <row r="527" spans="1:33" x14ac:dyDescent="0.2">
      <c r="A527" s="46"/>
      <c r="B527" s="46"/>
      <c r="C527" s="75"/>
      <c r="D527" s="46"/>
      <c r="E527" s="47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</row>
    <row r="528" spans="1:33" x14ac:dyDescent="0.2">
      <c r="A528" s="46"/>
      <c r="B528" s="46"/>
      <c r="C528" s="75"/>
      <c r="D528" s="46"/>
      <c r="E528" s="47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</row>
    <row r="529" spans="1:33" x14ac:dyDescent="0.2">
      <c r="A529" s="46"/>
      <c r="B529" s="46"/>
      <c r="C529" s="75"/>
      <c r="D529" s="46"/>
      <c r="E529" s="47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</row>
    <row r="530" spans="1:33" x14ac:dyDescent="0.2">
      <c r="A530" s="46"/>
      <c r="B530" s="46"/>
      <c r="C530" s="75"/>
      <c r="D530" s="46"/>
      <c r="E530" s="47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</row>
    <row r="531" spans="1:33" x14ac:dyDescent="0.2">
      <c r="A531" s="46"/>
      <c r="B531" s="46"/>
      <c r="C531" s="75"/>
      <c r="D531" s="46"/>
      <c r="E531" s="47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</row>
    <row r="532" spans="1:33" x14ac:dyDescent="0.2">
      <c r="A532" s="46"/>
      <c r="B532" s="46"/>
      <c r="C532" s="75"/>
      <c r="D532" s="46"/>
      <c r="E532" s="47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</row>
    <row r="533" spans="1:33" x14ac:dyDescent="0.2">
      <c r="A533" s="46"/>
      <c r="B533" s="46"/>
      <c r="C533" s="75"/>
      <c r="D533" s="46"/>
      <c r="E533" s="47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</row>
    <row r="534" spans="1:33" x14ac:dyDescent="0.2">
      <c r="A534" s="46"/>
      <c r="B534" s="46"/>
      <c r="C534" s="75"/>
      <c r="D534" s="46"/>
      <c r="E534" s="47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</row>
    <row r="535" spans="1:33" x14ac:dyDescent="0.2">
      <c r="A535" s="46"/>
      <c r="B535" s="46"/>
      <c r="C535" s="75"/>
      <c r="D535" s="46"/>
      <c r="E535" s="47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</row>
    <row r="536" spans="1:33" x14ac:dyDescent="0.2">
      <c r="A536" s="46"/>
      <c r="B536" s="46"/>
      <c r="C536" s="75"/>
      <c r="D536" s="46"/>
      <c r="E536" s="47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</row>
    <row r="537" spans="1:33" x14ac:dyDescent="0.2">
      <c r="A537" s="46"/>
      <c r="B537" s="46"/>
      <c r="C537" s="75"/>
      <c r="D537" s="46"/>
      <c r="E537" s="47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</row>
    <row r="538" spans="1:33" x14ac:dyDescent="0.2">
      <c r="A538" s="46"/>
      <c r="B538" s="46"/>
      <c r="C538" s="75"/>
      <c r="D538" s="46"/>
      <c r="E538" s="47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</row>
    <row r="539" spans="1:33" x14ac:dyDescent="0.2">
      <c r="A539" s="46"/>
      <c r="B539" s="46"/>
      <c r="C539" s="75"/>
      <c r="D539" s="46"/>
      <c r="E539" s="47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</row>
    <row r="540" spans="1:33" x14ac:dyDescent="0.2">
      <c r="A540" s="46"/>
      <c r="B540" s="46"/>
      <c r="C540" s="75"/>
      <c r="D540" s="46"/>
      <c r="E540" s="47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</row>
    <row r="541" spans="1:33" x14ac:dyDescent="0.2">
      <c r="A541" s="46"/>
      <c r="B541" s="46"/>
      <c r="C541" s="75"/>
      <c r="D541" s="46"/>
      <c r="E541" s="47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</row>
    <row r="542" spans="1:33" x14ac:dyDescent="0.2">
      <c r="A542" s="46"/>
      <c r="B542" s="46"/>
      <c r="C542" s="75"/>
      <c r="D542" s="46"/>
      <c r="E542" s="47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</row>
    <row r="543" spans="1:33" x14ac:dyDescent="0.2">
      <c r="A543" s="46"/>
      <c r="B543" s="46"/>
      <c r="C543" s="75"/>
      <c r="D543" s="46"/>
      <c r="E543" s="47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</row>
    <row r="544" spans="1:33" x14ac:dyDescent="0.2">
      <c r="A544" s="46"/>
      <c r="B544" s="46"/>
      <c r="C544" s="75"/>
      <c r="D544" s="46"/>
      <c r="E544" s="47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</row>
    <row r="545" spans="1:33" x14ac:dyDescent="0.2">
      <c r="A545" s="46"/>
      <c r="B545" s="46"/>
      <c r="C545" s="75"/>
      <c r="D545" s="46"/>
      <c r="E545" s="47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</row>
    <row r="546" spans="1:33" x14ac:dyDescent="0.2">
      <c r="A546" s="46"/>
      <c r="B546" s="46"/>
      <c r="C546" s="75"/>
      <c r="D546" s="46"/>
      <c r="E546" s="47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</row>
    <row r="547" spans="1:33" x14ac:dyDescent="0.2">
      <c r="A547" s="46"/>
      <c r="B547" s="46"/>
      <c r="C547" s="75"/>
      <c r="D547" s="46"/>
      <c r="E547" s="47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</row>
    <row r="548" spans="1:33" x14ac:dyDescent="0.2">
      <c r="A548" s="46"/>
      <c r="B548" s="46"/>
      <c r="C548" s="75"/>
      <c r="D548" s="46"/>
      <c r="E548" s="47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</row>
    <row r="549" spans="1:33" x14ac:dyDescent="0.2">
      <c r="A549" s="46"/>
      <c r="B549" s="46"/>
      <c r="C549" s="75"/>
      <c r="D549" s="46"/>
      <c r="E549" s="47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</row>
    <row r="550" spans="1:33" x14ac:dyDescent="0.2">
      <c r="A550" s="46"/>
      <c r="B550" s="46"/>
      <c r="C550" s="75"/>
      <c r="D550" s="46"/>
      <c r="E550" s="47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</row>
    <row r="551" spans="1:33" x14ac:dyDescent="0.2">
      <c r="A551" s="46"/>
      <c r="B551" s="46"/>
      <c r="C551" s="75"/>
      <c r="D551" s="46"/>
      <c r="E551" s="47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</row>
    <row r="552" spans="1:33" x14ac:dyDescent="0.2">
      <c r="A552" s="46"/>
      <c r="B552" s="46"/>
      <c r="C552" s="75"/>
      <c r="D552" s="46"/>
      <c r="E552" s="47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</row>
    <row r="553" spans="1:33" x14ac:dyDescent="0.2">
      <c r="A553" s="46"/>
      <c r="B553" s="46"/>
      <c r="C553" s="75"/>
      <c r="D553" s="46"/>
      <c r="E553" s="47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</row>
    <row r="554" spans="1:33" x14ac:dyDescent="0.2">
      <c r="A554" s="46"/>
      <c r="B554" s="46"/>
      <c r="C554" s="75"/>
      <c r="D554" s="46"/>
      <c r="E554" s="47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</row>
    <row r="555" spans="1:33" x14ac:dyDescent="0.2">
      <c r="A555" s="46"/>
      <c r="B555" s="46"/>
      <c r="C555" s="75"/>
      <c r="D555" s="46"/>
      <c r="E555" s="47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</row>
    <row r="556" spans="1:33" x14ac:dyDescent="0.2">
      <c r="A556" s="46"/>
      <c r="B556" s="46"/>
      <c r="C556" s="75"/>
      <c r="D556" s="46"/>
      <c r="E556" s="47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</row>
    <row r="557" spans="1:33" x14ac:dyDescent="0.2">
      <c r="A557" s="46"/>
      <c r="B557" s="46"/>
      <c r="C557" s="75"/>
      <c r="D557" s="46"/>
      <c r="E557" s="47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</row>
    <row r="558" spans="1:33" x14ac:dyDescent="0.2">
      <c r="A558" s="46"/>
      <c r="B558" s="46"/>
      <c r="C558" s="75"/>
      <c r="D558" s="46"/>
      <c r="E558" s="47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</row>
    <row r="559" spans="1:33" x14ac:dyDescent="0.2">
      <c r="A559" s="46"/>
      <c r="B559" s="46"/>
      <c r="C559" s="75"/>
      <c r="D559" s="46"/>
      <c r="E559" s="47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</row>
    <row r="560" spans="1:33" x14ac:dyDescent="0.2">
      <c r="A560" s="46"/>
      <c r="B560" s="46"/>
      <c r="C560" s="75"/>
      <c r="D560" s="46"/>
      <c r="E560" s="47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</row>
    <row r="561" spans="1:33" x14ac:dyDescent="0.2">
      <c r="A561" s="46"/>
      <c r="B561" s="46"/>
      <c r="C561" s="75"/>
      <c r="D561" s="46"/>
      <c r="E561" s="47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</row>
    <row r="562" spans="1:33" x14ac:dyDescent="0.2">
      <c r="A562" s="46"/>
      <c r="B562" s="46"/>
      <c r="C562" s="75"/>
      <c r="D562" s="46"/>
      <c r="E562" s="47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</row>
    <row r="563" spans="1:33" x14ac:dyDescent="0.2">
      <c r="A563" s="46"/>
      <c r="B563" s="46"/>
      <c r="C563" s="75"/>
      <c r="D563" s="46"/>
      <c r="E563" s="47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</row>
    <row r="564" spans="1:33" x14ac:dyDescent="0.2">
      <c r="A564" s="46"/>
      <c r="B564" s="46"/>
      <c r="C564" s="75"/>
      <c r="D564" s="46"/>
      <c r="E564" s="47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</row>
    <row r="565" spans="1:33" x14ac:dyDescent="0.2">
      <c r="A565" s="46"/>
      <c r="B565" s="46"/>
      <c r="C565" s="75"/>
      <c r="D565" s="46"/>
      <c r="E565" s="47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</row>
    <row r="566" spans="1:33" x14ac:dyDescent="0.2">
      <c r="A566" s="46"/>
      <c r="B566" s="46"/>
      <c r="C566" s="75"/>
      <c r="D566" s="46"/>
      <c r="E566" s="47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</row>
    <row r="567" spans="1:33" x14ac:dyDescent="0.2">
      <c r="A567" s="46"/>
      <c r="B567" s="46"/>
      <c r="C567" s="75"/>
      <c r="D567" s="46"/>
      <c r="E567" s="47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</row>
    <row r="568" spans="1:33" x14ac:dyDescent="0.2">
      <c r="A568" s="46"/>
      <c r="B568" s="46"/>
      <c r="C568" s="75"/>
      <c r="D568" s="46"/>
      <c r="E568" s="47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</row>
    <row r="569" spans="1:33" x14ac:dyDescent="0.2">
      <c r="A569" s="46"/>
      <c r="B569" s="46"/>
      <c r="C569" s="75"/>
      <c r="D569" s="46"/>
      <c r="E569" s="47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</row>
    <row r="570" spans="1:33" x14ac:dyDescent="0.2">
      <c r="A570" s="46"/>
      <c r="B570" s="46"/>
      <c r="C570" s="75"/>
      <c r="D570" s="46"/>
      <c r="E570" s="47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</row>
    <row r="571" spans="1:33" x14ac:dyDescent="0.2">
      <c r="A571" s="46"/>
      <c r="B571" s="46"/>
      <c r="C571" s="75"/>
      <c r="D571" s="46"/>
      <c r="E571" s="47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</row>
    <row r="572" spans="1:33" x14ac:dyDescent="0.2">
      <c r="A572" s="46"/>
      <c r="B572" s="46"/>
      <c r="C572" s="75"/>
      <c r="D572" s="46"/>
      <c r="E572" s="47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</row>
    <row r="573" spans="1:33" x14ac:dyDescent="0.2">
      <c r="A573" s="46"/>
      <c r="B573" s="46"/>
      <c r="C573" s="75"/>
      <c r="D573" s="46"/>
      <c r="E573" s="47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</row>
    <row r="574" spans="1:33" x14ac:dyDescent="0.2">
      <c r="A574" s="46"/>
      <c r="B574" s="46"/>
      <c r="C574" s="75"/>
      <c r="D574" s="46"/>
      <c r="E574" s="47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</row>
    <row r="575" spans="1:33" x14ac:dyDescent="0.2">
      <c r="A575" s="46"/>
      <c r="B575" s="46"/>
      <c r="C575" s="75"/>
      <c r="D575" s="46"/>
      <c r="E575" s="47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</row>
    <row r="576" spans="1:33" x14ac:dyDescent="0.2">
      <c r="A576" s="46"/>
      <c r="B576" s="46"/>
      <c r="C576" s="75"/>
      <c r="D576" s="46"/>
      <c r="E576" s="47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</row>
    <row r="577" spans="1:33" x14ac:dyDescent="0.2">
      <c r="A577" s="46"/>
      <c r="B577" s="46"/>
      <c r="C577" s="75"/>
      <c r="D577" s="46"/>
      <c r="E577" s="47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</row>
    <row r="578" spans="1:33" x14ac:dyDescent="0.2">
      <c r="A578" s="46"/>
      <c r="B578" s="46"/>
      <c r="C578" s="75"/>
      <c r="D578" s="46"/>
      <c r="E578" s="47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</row>
    <row r="579" spans="1:33" x14ac:dyDescent="0.2">
      <c r="A579" s="46"/>
      <c r="B579" s="46"/>
      <c r="C579" s="75"/>
      <c r="D579" s="46"/>
      <c r="E579" s="47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</row>
    <row r="580" spans="1:33" x14ac:dyDescent="0.2">
      <c r="A580" s="46"/>
      <c r="B580" s="46"/>
      <c r="C580" s="75"/>
      <c r="D580" s="46"/>
      <c r="E580" s="47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</row>
    <row r="581" spans="1:33" x14ac:dyDescent="0.2">
      <c r="A581" s="46"/>
      <c r="B581" s="46"/>
      <c r="C581" s="75"/>
      <c r="D581" s="46"/>
      <c r="E581" s="47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</row>
    <row r="582" spans="1:33" x14ac:dyDescent="0.2">
      <c r="A582" s="46"/>
      <c r="B582" s="46"/>
      <c r="C582" s="75"/>
      <c r="D582" s="46"/>
      <c r="E582" s="47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</row>
    <row r="583" spans="1:33" x14ac:dyDescent="0.2">
      <c r="A583" s="46"/>
      <c r="B583" s="46"/>
      <c r="C583" s="75"/>
      <c r="D583" s="46"/>
      <c r="E583" s="47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</row>
    <row r="584" spans="1:33" x14ac:dyDescent="0.2">
      <c r="A584" s="46"/>
      <c r="B584" s="46"/>
      <c r="C584" s="75"/>
      <c r="D584" s="46"/>
      <c r="E584" s="47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</row>
    <row r="585" spans="1:33" x14ac:dyDescent="0.2">
      <c r="A585" s="46"/>
      <c r="B585" s="46"/>
      <c r="C585" s="75"/>
      <c r="D585" s="46"/>
      <c r="E585" s="47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</row>
    <row r="586" spans="1:33" x14ac:dyDescent="0.2">
      <c r="A586" s="46"/>
      <c r="B586" s="46"/>
      <c r="C586" s="75"/>
      <c r="D586" s="46"/>
      <c r="E586" s="47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</row>
    <row r="587" spans="1:33" x14ac:dyDescent="0.2">
      <c r="A587" s="46"/>
      <c r="B587" s="46"/>
      <c r="C587" s="75"/>
      <c r="D587" s="46"/>
      <c r="E587" s="47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</row>
    <row r="588" spans="1:33" x14ac:dyDescent="0.2">
      <c r="A588" s="46"/>
      <c r="B588" s="46"/>
      <c r="C588" s="75"/>
      <c r="D588" s="46"/>
      <c r="E588" s="47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</row>
    <row r="589" spans="1:33" x14ac:dyDescent="0.2">
      <c r="A589" s="46"/>
      <c r="B589" s="46"/>
      <c r="C589" s="75"/>
      <c r="D589" s="46"/>
      <c r="E589" s="47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</row>
    <row r="590" spans="1:33" x14ac:dyDescent="0.2">
      <c r="A590" s="46"/>
      <c r="B590" s="46"/>
      <c r="C590" s="75"/>
      <c r="D590" s="46"/>
      <c r="E590" s="47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</row>
    <row r="591" spans="1:33" x14ac:dyDescent="0.2">
      <c r="A591" s="46"/>
      <c r="B591" s="46"/>
      <c r="C591" s="75"/>
      <c r="D591" s="46"/>
      <c r="E591" s="47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</row>
    <row r="592" spans="1:33" x14ac:dyDescent="0.2">
      <c r="A592" s="46"/>
      <c r="B592" s="46"/>
      <c r="C592" s="75"/>
      <c r="D592" s="46"/>
      <c r="E592" s="47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</row>
    <row r="593" spans="1:33" x14ac:dyDescent="0.2">
      <c r="A593" s="46"/>
      <c r="B593" s="46"/>
      <c r="C593" s="75"/>
      <c r="D593" s="46"/>
      <c r="E593" s="47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</row>
    <row r="594" spans="1:33" x14ac:dyDescent="0.2">
      <c r="A594" s="46"/>
      <c r="B594" s="46"/>
      <c r="C594" s="75"/>
      <c r="D594" s="46"/>
      <c r="E594" s="47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</row>
    <row r="595" spans="1:33" x14ac:dyDescent="0.2">
      <c r="A595" s="46"/>
      <c r="B595" s="46"/>
      <c r="C595" s="75"/>
      <c r="D595" s="46"/>
      <c r="E595" s="47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</row>
    <row r="596" spans="1:33" x14ac:dyDescent="0.2">
      <c r="A596" s="46"/>
      <c r="B596" s="46"/>
      <c r="C596" s="75"/>
      <c r="D596" s="46"/>
      <c r="E596" s="47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</row>
    <row r="597" spans="1:33" x14ac:dyDescent="0.2">
      <c r="A597" s="46"/>
      <c r="B597" s="46"/>
      <c r="C597" s="75"/>
      <c r="D597" s="46"/>
      <c r="E597" s="47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</row>
    <row r="598" spans="1:33" x14ac:dyDescent="0.2">
      <c r="A598" s="46"/>
      <c r="B598" s="46"/>
      <c r="C598" s="75"/>
      <c r="D598" s="46"/>
      <c r="E598" s="47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</row>
    <row r="599" spans="1:33" x14ac:dyDescent="0.2">
      <c r="A599" s="46"/>
      <c r="B599" s="46"/>
      <c r="C599" s="75"/>
      <c r="D599" s="46"/>
      <c r="E599" s="47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</row>
    <row r="600" spans="1:33" x14ac:dyDescent="0.2">
      <c r="A600" s="46"/>
      <c r="B600" s="46"/>
      <c r="C600" s="75"/>
      <c r="D600" s="46"/>
      <c r="E600" s="47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</row>
    <row r="601" spans="1:33" x14ac:dyDescent="0.2">
      <c r="A601" s="46"/>
      <c r="B601" s="46"/>
      <c r="C601" s="75"/>
      <c r="D601" s="46"/>
      <c r="E601" s="47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</row>
    <row r="602" spans="1:33" x14ac:dyDescent="0.2">
      <c r="A602" s="46"/>
      <c r="B602" s="46"/>
      <c r="C602" s="75"/>
      <c r="D602" s="46"/>
      <c r="E602" s="47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</row>
    <row r="603" spans="1:33" x14ac:dyDescent="0.2">
      <c r="A603" s="46"/>
      <c r="B603" s="46"/>
      <c r="C603" s="75"/>
      <c r="D603" s="46"/>
      <c r="E603" s="47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</row>
    <row r="604" spans="1:33" x14ac:dyDescent="0.2">
      <c r="A604" s="46"/>
      <c r="B604" s="46"/>
      <c r="C604" s="75"/>
      <c r="D604" s="46"/>
      <c r="E604" s="47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</row>
    <row r="605" spans="1:33" x14ac:dyDescent="0.2">
      <c r="A605" s="46"/>
      <c r="B605" s="46"/>
      <c r="C605" s="75"/>
      <c r="D605" s="46"/>
      <c r="E605" s="47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</row>
    <row r="606" spans="1:33" x14ac:dyDescent="0.2">
      <c r="A606" s="46"/>
      <c r="B606" s="46"/>
      <c r="C606" s="75"/>
      <c r="D606" s="46"/>
      <c r="E606" s="47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</row>
    <row r="607" spans="1:33" x14ac:dyDescent="0.2">
      <c r="A607" s="46"/>
      <c r="B607" s="46"/>
      <c r="C607" s="75"/>
      <c r="D607" s="46"/>
      <c r="E607" s="47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</row>
    <row r="608" spans="1:33" x14ac:dyDescent="0.2">
      <c r="A608" s="46"/>
      <c r="B608" s="46"/>
      <c r="C608" s="75"/>
      <c r="D608" s="46"/>
      <c r="E608" s="47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</row>
    <row r="609" spans="1:33" x14ac:dyDescent="0.2">
      <c r="A609" s="46"/>
      <c r="B609" s="46"/>
      <c r="C609" s="75"/>
      <c r="D609" s="46"/>
      <c r="E609" s="47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</row>
    <row r="610" spans="1:33" x14ac:dyDescent="0.2">
      <c r="A610" s="46"/>
      <c r="B610" s="46"/>
      <c r="C610" s="75"/>
      <c r="D610" s="46"/>
      <c r="E610" s="47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</row>
    <row r="611" spans="1:33" x14ac:dyDescent="0.2">
      <c r="A611" s="46"/>
      <c r="B611" s="46"/>
      <c r="C611" s="75"/>
      <c r="D611" s="46"/>
      <c r="E611" s="47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</row>
    <row r="612" spans="1:33" x14ac:dyDescent="0.2">
      <c r="A612" s="46"/>
      <c r="B612" s="46"/>
      <c r="C612" s="75"/>
      <c r="D612" s="46"/>
      <c r="E612" s="47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</row>
    <row r="613" spans="1:33" x14ac:dyDescent="0.2">
      <c r="A613" s="46"/>
      <c r="B613" s="46"/>
      <c r="C613" s="75"/>
      <c r="D613" s="46"/>
      <c r="E613" s="47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</row>
    <row r="614" spans="1:33" x14ac:dyDescent="0.2">
      <c r="A614" s="46"/>
      <c r="B614" s="46"/>
      <c r="C614" s="75"/>
      <c r="D614" s="46"/>
      <c r="E614" s="47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</row>
    <row r="615" spans="1:33" x14ac:dyDescent="0.2">
      <c r="A615" s="46"/>
      <c r="B615" s="46"/>
      <c r="C615" s="75"/>
      <c r="D615" s="46"/>
      <c r="E615" s="47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</row>
    <row r="616" spans="1:33" x14ac:dyDescent="0.2">
      <c r="A616" s="46"/>
      <c r="B616" s="46"/>
      <c r="C616" s="75"/>
      <c r="D616" s="46"/>
      <c r="E616" s="47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</row>
    <row r="617" spans="1:33" x14ac:dyDescent="0.2">
      <c r="A617" s="46"/>
      <c r="B617" s="46"/>
      <c r="C617" s="75"/>
      <c r="D617" s="46"/>
      <c r="E617" s="47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</row>
    <row r="618" spans="1:33" x14ac:dyDescent="0.2">
      <c r="A618" s="46"/>
      <c r="B618" s="46"/>
      <c r="C618" s="75"/>
      <c r="D618" s="46"/>
      <c r="E618" s="47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</row>
    <row r="619" spans="1:33" x14ac:dyDescent="0.2">
      <c r="A619" s="46"/>
      <c r="B619" s="46"/>
      <c r="C619" s="75"/>
      <c r="D619" s="46"/>
      <c r="E619" s="47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</row>
    <row r="620" spans="1:33" x14ac:dyDescent="0.2">
      <c r="A620" s="46"/>
      <c r="B620" s="46"/>
      <c r="C620" s="75"/>
      <c r="D620" s="46"/>
      <c r="E620" s="47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</row>
    <row r="621" spans="1:33" x14ac:dyDescent="0.2">
      <c r="A621" s="46"/>
      <c r="B621" s="46"/>
      <c r="C621" s="75"/>
      <c r="D621" s="46"/>
      <c r="E621" s="47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</row>
    <row r="622" spans="1:33" x14ac:dyDescent="0.2">
      <c r="A622" s="46"/>
      <c r="B622" s="46"/>
      <c r="C622" s="75"/>
      <c r="D622" s="46"/>
      <c r="E622" s="47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</row>
    <row r="623" spans="1:33" x14ac:dyDescent="0.2">
      <c r="A623" s="46"/>
      <c r="B623" s="46"/>
      <c r="C623" s="75"/>
      <c r="D623" s="46"/>
      <c r="E623" s="47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</row>
    <row r="624" spans="1:33" x14ac:dyDescent="0.2">
      <c r="A624" s="46"/>
      <c r="B624" s="46"/>
      <c r="C624" s="75"/>
      <c r="D624" s="46"/>
      <c r="E624" s="47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</row>
    <row r="625" spans="1:33" x14ac:dyDescent="0.2">
      <c r="A625" s="46"/>
      <c r="B625" s="46"/>
      <c r="C625" s="75"/>
      <c r="D625" s="46"/>
      <c r="E625" s="47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</row>
    <row r="626" spans="1:33" x14ac:dyDescent="0.2">
      <c r="A626" s="46"/>
      <c r="B626" s="46"/>
      <c r="C626" s="75"/>
      <c r="D626" s="46"/>
      <c r="E626" s="47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</row>
    <row r="627" spans="1:33" x14ac:dyDescent="0.2">
      <c r="A627" s="46"/>
      <c r="B627" s="46"/>
      <c r="C627" s="75"/>
      <c r="D627" s="46"/>
      <c r="E627" s="47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</row>
    <row r="628" spans="1:33" x14ac:dyDescent="0.2">
      <c r="A628" s="46"/>
      <c r="B628" s="46"/>
      <c r="C628" s="75"/>
      <c r="D628" s="46"/>
      <c r="E628" s="47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</row>
    <row r="629" spans="1:33" x14ac:dyDescent="0.2">
      <c r="A629" s="46"/>
      <c r="B629" s="46"/>
      <c r="C629" s="75"/>
      <c r="D629" s="46"/>
      <c r="E629" s="47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</row>
    <row r="630" spans="1:33" x14ac:dyDescent="0.2">
      <c r="A630" s="46"/>
      <c r="B630" s="46"/>
      <c r="C630" s="75"/>
      <c r="D630" s="46"/>
      <c r="E630" s="47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</row>
    <row r="631" spans="1:33" x14ac:dyDescent="0.2">
      <c r="A631" s="46"/>
      <c r="B631" s="46"/>
      <c r="C631" s="75"/>
      <c r="D631" s="46"/>
      <c r="E631" s="47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</row>
    <row r="632" spans="1:33" x14ac:dyDescent="0.2">
      <c r="A632" s="46"/>
      <c r="B632" s="46"/>
      <c r="C632" s="75"/>
      <c r="D632" s="46"/>
      <c r="E632" s="47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</row>
    <row r="633" spans="1:33" x14ac:dyDescent="0.2">
      <c r="A633" s="46"/>
      <c r="B633" s="46"/>
      <c r="C633" s="75"/>
      <c r="D633" s="46"/>
      <c r="E633" s="47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</row>
    <row r="634" spans="1:33" x14ac:dyDescent="0.2">
      <c r="A634" s="46"/>
      <c r="B634" s="46"/>
      <c r="C634" s="75"/>
      <c r="D634" s="46"/>
      <c r="E634" s="47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</row>
    <row r="635" spans="1:33" x14ac:dyDescent="0.2">
      <c r="A635" s="46"/>
      <c r="B635" s="46"/>
      <c r="C635" s="75"/>
      <c r="D635" s="46"/>
      <c r="E635" s="47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</row>
    <row r="636" spans="1:33" x14ac:dyDescent="0.2">
      <c r="A636" s="46"/>
      <c r="B636" s="46"/>
      <c r="C636" s="75"/>
      <c r="D636" s="46"/>
      <c r="E636" s="47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</row>
    <row r="637" spans="1:33" x14ac:dyDescent="0.2">
      <c r="A637" s="46"/>
      <c r="B637" s="46"/>
      <c r="C637" s="75"/>
      <c r="D637" s="46"/>
      <c r="E637" s="47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</row>
    <row r="638" spans="1:33" x14ac:dyDescent="0.2">
      <c r="A638" s="46"/>
      <c r="B638" s="46"/>
      <c r="C638" s="75"/>
      <c r="D638" s="46"/>
      <c r="E638" s="47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</row>
    <row r="639" spans="1:33" x14ac:dyDescent="0.2">
      <c r="A639" s="46"/>
      <c r="B639" s="46"/>
      <c r="C639" s="75"/>
      <c r="D639" s="46"/>
      <c r="E639" s="47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</row>
    <row r="640" spans="1:33" x14ac:dyDescent="0.2">
      <c r="A640" s="46"/>
      <c r="B640" s="46"/>
      <c r="C640" s="75"/>
      <c r="D640" s="46"/>
      <c r="E640" s="47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</row>
    <row r="641" spans="1:33" x14ac:dyDescent="0.2">
      <c r="A641" s="46"/>
      <c r="B641" s="46"/>
      <c r="C641" s="75"/>
      <c r="D641" s="46"/>
      <c r="E641" s="47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</row>
    <row r="642" spans="1:33" x14ac:dyDescent="0.2">
      <c r="A642" s="46"/>
      <c r="B642" s="46"/>
      <c r="C642" s="75"/>
      <c r="D642" s="46"/>
      <c r="E642" s="47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</row>
    <row r="643" spans="1:33" x14ac:dyDescent="0.2">
      <c r="A643" s="46"/>
      <c r="B643" s="46"/>
      <c r="C643" s="75"/>
      <c r="D643" s="46"/>
      <c r="E643" s="47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</row>
    <row r="644" spans="1:33" x14ac:dyDescent="0.2">
      <c r="A644" s="46"/>
      <c r="B644" s="46"/>
      <c r="C644" s="75"/>
      <c r="D644" s="46"/>
      <c r="E644" s="47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</row>
    <row r="645" spans="1:33" x14ac:dyDescent="0.2">
      <c r="A645" s="46"/>
      <c r="B645" s="46"/>
      <c r="C645" s="75"/>
      <c r="D645" s="46"/>
      <c r="E645" s="47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</row>
    <row r="646" spans="1:33" x14ac:dyDescent="0.2">
      <c r="A646" s="46"/>
      <c r="B646" s="46"/>
      <c r="C646" s="75"/>
      <c r="D646" s="46"/>
      <c r="E646" s="47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</row>
    <row r="647" spans="1:33" x14ac:dyDescent="0.2">
      <c r="A647" s="46"/>
      <c r="B647" s="46"/>
      <c r="C647" s="75"/>
      <c r="D647" s="46"/>
      <c r="E647" s="47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</row>
    <row r="648" spans="1:33" x14ac:dyDescent="0.2">
      <c r="A648" s="46"/>
      <c r="B648" s="46"/>
      <c r="C648" s="75"/>
      <c r="D648" s="46"/>
      <c r="E648" s="47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</row>
    <row r="649" spans="1:33" x14ac:dyDescent="0.2">
      <c r="A649" s="46"/>
      <c r="B649" s="46"/>
      <c r="C649" s="75"/>
      <c r="D649" s="46"/>
      <c r="E649" s="47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</row>
    <row r="650" spans="1:33" x14ac:dyDescent="0.2">
      <c r="A650" s="46"/>
      <c r="B650" s="46"/>
      <c r="C650" s="75"/>
      <c r="D650" s="46"/>
      <c r="E650" s="47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</row>
    <row r="651" spans="1:33" x14ac:dyDescent="0.2">
      <c r="A651" s="46"/>
      <c r="B651" s="46"/>
      <c r="C651" s="75"/>
      <c r="D651" s="46"/>
      <c r="E651" s="47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</row>
    <row r="652" spans="1:33" x14ac:dyDescent="0.2">
      <c r="A652" s="46"/>
      <c r="B652" s="46"/>
      <c r="C652" s="75"/>
      <c r="D652" s="46"/>
      <c r="E652" s="47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</row>
    <row r="653" spans="1:33" x14ac:dyDescent="0.2">
      <c r="A653" s="46"/>
      <c r="B653" s="46"/>
      <c r="C653" s="75"/>
      <c r="D653" s="46"/>
      <c r="E653" s="47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</row>
    <row r="654" spans="1:33" x14ac:dyDescent="0.2">
      <c r="A654" s="46"/>
      <c r="B654" s="46"/>
      <c r="C654" s="75"/>
      <c r="D654" s="46"/>
      <c r="E654" s="47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</row>
    <row r="655" spans="1:33" x14ac:dyDescent="0.2">
      <c r="A655" s="46"/>
      <c r="B655" s="46"/>
      <c r="C655" s="75"/>
      <c r="D655" s="46"/>
      <c r="E655" s="47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</row>
    <row r="656" spans="1:33" x14ac:dyDescent="0.2">
      <c r="A656" s="46"/>
      <c r="B656" s="46"/>
      <c r="C656" s="75"/>
      <c r="D656" s="46"/>
      <c r="E656" s="47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</row>
    <row r="657" spans="1:33" x14ac:dyDescent="0.2">
      <c r="A657" s="46"/>
      <c r="B657" s="46"/>
      <c r="C657" s="75"/>
      <c r="D657" s="46"/>
      <c r="E657" s="47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</row>
    <row r="658" spans="1:33" x14ac:dyDescent="0.2">
      <c r="A658" s="46"/>
      <c r="B658" s="46"/>
      <c r="C658" s="75"/>
      <c r="D658" s="46"/>
      <c r="E658" s="47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</row>
    <row r="659" spans="1:33" x14ac:dyDescent="0.2">
      <c r="A659" s="46"/>
      <c r="B659" s="46"/>
      <c r="C659" s="75"/>
      <c r="D659" s="46"/>
      <c r="E659" s="47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</row>
    <row r="660" spans="1:33" x14ac:dyDescent="0.2">
      <c r="A660" s="46"/>
      <c r="B660" s="46"/>
      <c r="C660" s="75"/>
      <c r="D660" s="46"/>
      <c r="E660" s="47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</row>
    <row r="661" spans="1:33" x14ac:dyDescent="0.2">
      <c r="A661" s="46"/>
      <c r="B661" s="46"/>
      <c r="C661" s="75"/>
      <c r="D661" s="46"/>
      <c r="E661" s="47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</row>
    <row r="662" spans="1:33" x14ac:dyDescent="0.2">
      <c r="A662" s="46"/>
      <c r="B662" s="46"/>
      <c r="C662" s="75"/>
      <c r="D662" s="46"/>
      <c r="E662" s="47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</row>
    <row r="663" spans="1:33" x14ac:dyDescent="0.2">
      <c r="A663" s="46"/>
      <c r="B663" s="46"/>
      <c r="C663" s="75"/>
      <c r="D663" s="46"/>
      <c r="E663" s="47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</row>
    <row r="664" spans="1:33" x14ac:dyDescent="0.2">
      <c r="A664" s="46"/>
      <c r="B664" s="46"/>
      <c r="C664" s="75"/>
      <c r="D664" s="46"/>
      <c r="E664" s="47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</row>
    <row r="665" spans="1:33" x14ac:dyDescent="0.2">
      <c r="A665" s="46"/>
      <c r="B665" s="46"/>
      <c r="C665" s="75"/>
      <c r="D665" s="46"/>
      <c r="E665" s="47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</row>
    <row r="666" spans="1:33" x14ac:dyDescent="0.2">
      <c r="A666" s="46"/>
      <c r="B666" s="46"/>
      <c r="C666" s="75"/>
      <c r="D666" s="46"/>
      <c r="E666" s="47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</row>
    <row r="667" spans="1:33" x14ac:dyDescent="0.2">
      <c r="A667" s="46"/>
      <c r="B667" s="46"/>
      <c r="C667" s="75"/>
      <c r="D667" s="46"/>
      <c r="E667" s="47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</row>
    <row r="668" spans="1:33" x14ac:dyDescent="0.2">
      <c r="A668" s="46"/>
      <c r="B668" s="46"/>
      <c r="C668" s="75"/>
      <c r="D668" s="46"/>
      <c r="E668" s="47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</row>
    <row r="669" spans="1:33" x14ac:dyDescent="0.2">
      <c r="A669" s="46"/>
      <c r="B669" s="46"/>
      <c r="C669" s="75"/>
      <c r="D669" s="46"/>
      <c r="E669" s="47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</row>
    <row r="670" spans="1:33" x14ac:dyDescent="0.2">
      <c r="A670" s="46"/>
      <c r="B670" s="46"/>
      <c r="C670" s="75"/>
      <c r="D670" s="46"/>
      <c r="E670" s="47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</row>
    <row r="671" spans="1:33" x14ac:dyDescent="0.2">
      <c r="A671" s="46"/>
      <c r="B671" s="46"/>
      <c r="C671" s="75"/>
      <c r="D671" s="46"/>
      <c r="E671" s="47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</row>
    <row r="672" spans="1:33" x14ac:dyDescent="0.2">
      <c r="A672" s="46"/>
      <c r="B672" s="46"/>
      <c r="C672" s="75"/>
      <c r="D672" s="46"/>
      <c r="E672" s="47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</row>
    <row r="673" spans="1:33" x14ac:dyDescent="0.2">
      <c r="A673" s="46"/>
      <c r="B673" s="46"/>
      <c r="C673" s="75"/>
      <c r="D673" s="46"/>
      <c r="E673" s="47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</row>
    <row r="674" spans="1:33" x14ac:dyDescent="0.2">
      <c r="A674" s="46"/>
      <c r="B674" s="46"/>
      <c r="C674" s="75"/>
      <c r="D674" s="46"/>
      <c r="E674" s="47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</row>
    <row r="675" spans="1:33" x14ac:dyDescent="0.2">
      <c r="A675" s="46"/>
      <c r="B675" s="46"/>
      <c r="C675" s="75"/>
      <c r="D675" s="46"/>
      <c r="E675" s="47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</row>
    <row r="676" spans="1:33" x14ac:dyDescent="0.2">
      <c r="A676" s="46"/>
      <c r="B676" s="46"/>
      <c r="C676" s="75"/>
      <c r="D676" s="46"/>
      <c r="E676" s="47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</row>
    <row r="677" spans="1:33" x14ac:dyDescent="0.2">
      <c r="A677" s="46"/>
      <c r="B677" s="46"/>
      <c r="C677" s="75"/>
      <c r="D677" s="46"/>
      <c r="E677" s="47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</row>
    <row r="678" spans="1:33" x14ac:dyDescent="0.2">
      <c r="A678" s="46"/>
      <c r="B678" s="46"/>
      <c r="C678" s="75"/>
      <c r="D678" s="46"/>
      <c r="E678" s="47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</row>
    <row r="679" spans="1:33" x14ac:dyDescent="0.2">
      <c r="A679" s="46"/>
      <c r="B679" s="46"/>
      <c r="C679" s="75"/>
      <c r="D679" s="46"/>
      <c r="E679" s="47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</row>
    <row r="680" spans="1:33" x14ac:dyDescent="0.2">
      <c r="A680" s="46"/>
      <c r="B680" s="46"/>
      <c r="C680" s="75"/>
      <c r="D680" s="46"/>
      <c r="E680" s="47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</row>
    <row r="681" spans="1:33" x14ac:dyDescent="0.2">
      <c r="A681" s="46"/>
      <c r="B681" s="46"/>
      <c r="C681" s="75"/>
      <c r="D681" s="46"/>
      <c r="E681" s="47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</row>
    <row r="682" spans="1:33" x14ac:dyDescent="0.2">
      <c r="A682" s="46"/>
      <c r="B682" s="46"/>
      <c r="C682" s="75"/>
      <c r="D682" s="46"/>
      <c r="E682" s="47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</row>
    <row r="683" spans="1:33" x14ac:dyDescent="0.2">
      <c r="A683" s="46"/>
      <c r="B683" s="46"/>
      <c r="C683" s="75"/>
      <c r="D683" s="46"/>
      <c r="E683" s="47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</row>
    <row r="684" spans="1:33" x14ac:dyDescent="0.2">
      <c r="A684" s="46"/>
      <c r="B684" s="46"/>
      <c r="C684" s="75"/>
      <c r="D684" s="46"/>
      <c r="E684" s="47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</row>
    <row r="685" spans="1:33" x14ac:dyDescent="0.2">
      <c r="A685" s="46"/>
      <c r="B685" s="46"/>
      <c r="C685" s="75"/>
      <c r="D685" s="46"/>
      <c r="E685" s="47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</row>
    <row r="686" spans="1:33" x14ac:dyDescent="0.2">
      <c r="A686" s="46"/>
      <c r="B686" s="46"/>
      <c r="C686" s="75"/>
      <c r="D686" s="46"/>
      <c r="E686" s="47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</row>
    <row r="687" spans="1:33" x14ac:dyDescent="0.2">
      <c r="A687" s="46"/>
      <c r="B687" s="46"/>
      <c r="C687" s="75"/>
      <c r="D687" s="46"/>
      <c r="E687" s="47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</row>
    <row r="688" spans="1:33" x14ac:dyDescent="0.2">
      <c r="A688" s="46"/>
      <c r="B688" s="46"/>
      <c r="C688" s="75"/>
      <c r="D688" s="46"/>
      <c r="E688" s="47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</row>
    <row r="689" spans="1:33" x14ac:dyDescent="0.2">
      <c r="A689" s="46"/>
      <c r="B689" s="46"/>
      <c r="C689" s="75"/>
      <c r="D689" s="46"/>
      <c r="E689" s="47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</row>
    <row r="690" spans="1:33" x14ac:dyDescent="0.2">
      <c r="A690" s="46"/>
      <c r="B690" s="46"/>
      <c r="C690" s="75"/>
      <c r="D690" s="46"/>
      <c r="E690" s="47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</row>
    <row r="691" spans="1:33" x14ac:dyDescent="0.2">
      <c r="A691" s="46"/>
      <c r="B691" s="46"/>
      <c r="C691" s="75"/>
      <c r="D691" s="46"/>
      <c r="E691" s="47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</row>
    <row r="692" spans="1:33" x14ac:dyDescent="0.2">
      <c r="A692" s="46"/>
      <c r="B692" s="46"/>
      <c r="C692" s="75"/>
      <c r="D692" s="46"/>
      <c r="E692" s="47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</row>
    <row r="693" spans="1:33" x14ac:dyDescent="0.2">
      <c r="A693" s="46"/>
      <c r="B693" s="46"/>
      <c r="C693" s="75"/>
      <c r="D693" s="46"/>
      <c r="E693" s="47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</row>
    <row r="694" spans="1:33" x14ac:dyDescent="0.2">
      <c r="A694" s="46"/>
      <c r="B694" s="46"/>
      <c r="C694" s="75"/>
      <c r="D694" s="46"/>
      <c r="E694" s="47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</row>
    <row r="695" spans="1:33" x14ac:dyDescent="0.2">
      <c r="A695" s="46"/>
      <c r="B695" s="46"/>
      <c r="C695" s="75"/>
      <c r="D695" s="46"/>
      <c r="E695" s="47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</row>
    <row r="696" spans="1:33" x14ac:dyDescent="0.2">
      <c r="A696" s="46"/>
      <c r="B696" s="46"/>
      <c r="C696" s="75"/>
      <c r="D696" s="46"/>
      <c r="E696" s="47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</row>
    <row r="697" spans="1:33" x14ac:dyDescent="0.2">
      <c r="A697" s="46"/>
      <c r="B697" s="46"/>
      <c r="C697" s="75"/>
      <c r="D697" s="46"/>
      <c r="E697" s="47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</row>
    <row r="698" spans="1:33" x14ac:dyDescent="0.2">
      <c r="A698" s="46"/>
      <c r="B698" s="46"/>
      <c r="C698" s="75"/>
      <c r="D698" s="46"/>
      <c r="E698" s="47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</row>
    <row r="699" spans="1:33" x14ac:dyDescent="0.2">
      <c r="A699" s="46"/>
      <c r="B699" s="46"/>
      <c r="C699" s="75"/>
      <c r="D699" s="46"/>
      <c r="E699" s="47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</row>
    <row r="700" spans="1:33" x14ac:dyDescent="0.2">
      <c r="A700" s="46"/>
      <c r="B700" s="46"/>
      <c r="C700" s="75"/>
      <c r="D700" s="46"/>
      <c r="E700" s="47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</row>
    <row r="701" spans="1:33" x14ac:dyDescent="0.2">
      <c r="A701" s="46"/>
      <c r="B701" s="46"/>
      <c r="C701" s="75"/>
      <c r="D701" s="46"/>
      <c r="E701" s="47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</row>
    <row r="702" spans="1:33" x14ac:dyDescent="0.2">
      <c r="A702" s="46"/>
      <c r="B702" s="46"/>
      <c r="C702" s="75"/>
      <c r="D702" s="46"/>
      <c r="E702" s="47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</row>
    <row r="703" spans="1:33" x14ac:dyDescent="0.2">
      <c r="A703" s="46"/>
      <c r="B703" s="46"/>
      <c r="C703" s="75"/>
      <c r="D703" s="46"/>
      <c r="E703" s="47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</row>
    <row r="704" spans="1:33" x14ac:dyDescent="0.2">
      <c r="A704" s="46"/>
      <c r="B704" s="46"/>
      <c r="C704" s="75"/>
      <c r="D704" s="46"/>
      <c r="E704" s="47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</row>
    <row r="705" spans="1:33" x14ac:dyDescent="0.2">
      <c r="A705" s="46"/>
      <c r="B705" s="46"/>
      <c r="C705" s="75"/>
      <c r="D705" s="46"/>
      <c r="E705" s="47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</row>
    <row r="706" spans="1:33" x14ac:dyDescent="0.2">
      <c r="A706" s="46"/>
      <c r="B706" s="46"/>
      <c r="C706" s="75"/>
      <c r="D706" s="46"/>
      <c r="E706" s="47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</row>
    <row r="707" spans="1:33" x14ac:dyDescent="0.2">
      <c r="A707" s="46"/>
      <c r="B707" s="46"/>
      <c r="C707" s="75"/>
      <c r="D707" s="46"/>
      <c r="E707" s="47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</row>
    <row r="708" spans="1:33" x14ac:dyDescent="0.2">
      <c r="A708" s="46"/>
      <c r="B708" s="46"/>
      <c r="C708" s="75"/>
      <c r="D708" s="46"/>
      <c r="E708" s="47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</row>
    <row r="709" spans="1:33" x14ac:dyDescent="0.2">
      <c r="A709" s="46"/>
      <c r="B709" s="46"/>
      <c r="C709" s="75"/>
      <c r="D709" s="46"/>
      <c r="E709" s="47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</row>
    <row r="710" spans="1:33" x14ac:dyDescent="0.2">
      <c r="A710" s="46"/>
      <c r="B710" s="46"/>
      <c r="C710" s="75"/>
      <c r="D710" s="46"/>
      <c r="E710" s="47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</row>
    <row r="711" spans="1:33" x14ac:dyDescent="0.2">
      <c r="A711" s="46"/>
      <c r="B711" s="46"/>
      <c r="C711" s="75"/>
      <c r="D711" s="46"/>
      <c r="E711" s="47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</row>
    <row r="712" spans="1:33" x14ac:dyDescent="0.2">
      <c r="A712" s="46"/>
      <c r="B712" s="46"/>
      <c r="C712" s="75"/>
      <c r="D712" s="46"/>
      <c r="E712" s="47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</row>
    <row r="713" spans="1:33" x14ac:dyDescent="0.2">
      <c r="A713" s="46"/>
      <c r="B713" s="46"/>
      <c r="C713" s="75"/>
      <c r="D713" s="46"/>
      <c r="E713" s="47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</row>
    <row r="714" spans="1:33" x14ac:dyDescent="0.2">
      <c r="A714" s="46"/>
      <c r="B714" s="46"/>
      <c r="C714" s="75"/>
      <c r="D714" s="46"/>
      <c r="E714" s="47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</row>
    <row r="715" spans="1:33" x14ac:dyDescent="0.2">
      <c r="A715" s="46"/>
      <c r="B715" s="46"/>
      <c r="C715" s="75"/>
      <c r="D715" s="46"/>
      <c r="E715" s="47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</row>
    <row r="716" spans="1:33" x14ac:dyDescent="0.2">
      <c r="A716" s="46"/>
      <c r="B716" s="46"/>
      <c r="C716" s="75"/>
      <c r="D716" s="46"/>
      <c r="E716" s="47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</row>
    <row r="717" spans="1:33" x14ac:dyDescent="0.2">
      <c r="A717" s="46"/>
      <c r="B717" s="46"/>
      <c r="C717" s="75"/>
      <c r="D717" s="46"/>
      <c r="E717" s="47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</row>
    <row r="718" spans="1:33" x14ac:dyDescent="0.2">
      <c r="A718" s="46"/>
      <c r="B718" s="46"/>
      <c r="C718" s="75"/>
      <c r="D718" s="46"/>
      <c r="E718" s="47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</row>
    <row r="719" spans="1:33" x14ac:dyDescent="0.2">
      <c r="A719" s="46"/>
      <c r="B719" s="46"/>
      <c r="C719" s="75"/>
      <c r="D719" s="46"/>
      <c r="E719" s="47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</row>
    <row r="720" spans="1:33" x14ac:dyDescent="0.2">
      <c r="A720" s="46"/>
      <c r="B720" s="46"/>
      <c r="C720" s="75"/>
      <c r="D720" s="46"/>
      <c r="E720" s="47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</row>
    <row r="721" spans="1:33" x14ac:dyDescent="0.2">
      <c r="A721" s="46"/>
      <c r="B721" s="46"/>
      <c r="C721" s="75"/>
      <c r="D721" s="46"/>
      <c r="E721" s="47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</row>
    <row r="722" spans="1:33" x14ac:dyDescent="0.2">
      <c r="A722" s="46"/>
      <c r="B722" s="46"/>
      <c r="C722" s="75"/>
      <c r="D722" s="46"/>
      <c r="E722" s="47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</row>
    <row r="723" spans="1:33" x14ac:dyDescent="0.2">
      <c r="A723" s="46"/>
      <c r="B723" s="46"/>
      <c r="C723" s="75"/>
      <c r="D723" s="46"/>
      <c r="E723" s="47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</row>
    <row r="724" spans="1:33" x14ac:dyDescent="0.2">
      <c r="A724" s="46"/>
      <c r="B724" s="46"/>
      <c r="C724" s="75"/>
      <c r="D724" s="46"/>
      <c r="E724" s="47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</row>
    <row r="725" spans="1:33" x14ac:dyDescent="0.2">
      <c r="A725" s="46"/>
      <c r="B725" s="46"/>
      <c r="C725" s="75"/>
      <c r="D725" s="46"/>
      <c r="E725" s="47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</row>
    <row r="726" spans="1:33" x14ac:dyDescent="0.2">
      <c r="A726" s="46"/>
      <c r="B726" s="46"/>
      <c r="C726" s="75"/>
      <c r="D726" s="46"/>
      <c r="E726" s="47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</row>
    <row r="727" spans="1:33" x14ac:dyDescent="0.2">
      <c r="A727" s="46"/>
      <c r="B727" s="46"/>
      <c r="C727" s="75"/>
      <c r="D727" s="46"/>
      <c r="E727" s="47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</row>
    <row r="728" spans="1:33" x14ac:dyDescent="0.2">
      <c r="A728" s="46"/>
      <c r="B728" s="46"/>
      <c r="C728" s="75"/>
      <c r="D728" s="46"/>
      <c r="E728" s="47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</row>
    <row r="729" spans="1:33" x14ac:dyDescent="0.2">
      <c r="A729" s="46"/>
      <c r="B729" s="46"/>
      <c r="C729" s="75"/>
      <c r="D729" s="46"/>
      <c r="E729" s="47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</row>
  </sheetData>
  <autoFilter ref="A3:AE286" xr:uid="{8CFA59D6-1361-4492-9B36-F00223A1E0CA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BEB1-1A73-4436-89C6-980012AB8757}">
  <sheetPr codeName="Sheet19"/>
  <dimension ref="B3:BE8"/>
  <sheetViews>
    <sheetView showGridLines="0" tabSelected="1" zoomScale="140" zoomScaleNormal="140" workbookViewId="0">
      <pane xSplit="2" ySplit="3" topLeftCell="C4" activePane="bottomRight" state="frozen"/>
      <selection activeCell="L13" sqref="L13"/>
      <selection pane="topRight" activeCell="L13" sqref="L13"/>
      <selection pane="bottomLeft" activeCell="L13" sqref="L13"/>
      <selection pane="bottomRight" activeCell="B3" sqref="B3:AP8"/>
    </sheetView>
  </sheetViews>
  <sheetFormatPr baseColWidth="10" defaultColWidth="8.6640625" defaultRowHeight="15" x14ac:dyDescent="0.2"/>
  <cols>
    <col min="1" max="1" width="8.6640625" style="68"/>
    <col min="2" max="2" width="9.5" style="68" bestFit="1" customWidth="1"/>
    <col min="3" max="3" width="8.6640625" style="68"/>
    <col min="4" max="5" width="9.33203125" style="68" bestFit="1" customWidth="1"/>
    <col min="6" max="6" width="9.5" style="68" bestFit="1" customWidth="1"/>
    <col min="7" max="7" width="9.33203125" style="68" bestFit="1" customWidth="1"/>
    <col min="8" max="16384" width="8.6640625" style="68"/>
  </cols>
  <sheetData>
    <row r="3" spans="2:57" x14ac:dyDescent="0.2">
      <c r="B3" s="66" t="s">
        <v>878</v>
      </c>
      <c r="C3" s="67">
        <v>44957</v>
      </c>
      <c r="D3" s="67">
        <f t="shared" ref="D3:AL3" si="0">EOMONTH(C3,1)</f>
        <v>44985</v>
      </c>
      <c r="E3" s="67">
        <f t="shared" si="0"/>
        <v>45016</v>
      </c>
      <c r="F3" s="67">
        <f t="shared" si="0"/>
        <v>45046</v>
      </c>
      <c r="G3" s="67">
        <f t="shared" si="0"/>
        <v>45077</v>
      </c>
      <c r="H3" s="67">
        <f t="shared" si="0"/>
        <v>45107</v>
      </c>
      <c r="I3" s="67">
        <f t="shared" si="0"/>
        <v>45138</v>
      </c>
      <c r="J3" s="67">
        <f t="shared" si="0"/>
        <v>45169</v>
      </c>
      <c r="K3" s="67">
        <f t="shared" si="0"/>
        <v>45199</v>
      </c>
      <c r="L3" s="67">
        <f t="shared" si="0"/>
        <v>45230</v>
      </c>
      <c r="M3" s="67">
        <f t="shared" si="0"/>
        <v>45260</v>
      </c>
      <c r="N3" s="67">
        <f t="shared" si="0"/>
        <v>45291</v>
      </c>
      <c r="O3" s="67">
        <f t="shared" si="0"/>
        <v>45322</v>
      </c>
      <c r="P3" s="67">
        <f t="shared" si="0"/>
        <v>45351</v>
      </c>
      <c r="Q3" s="67">
        <f t="shared" si="0"/>
        <v>45382</v>
      </c>
      <c r="R3" s="67">
        <f t="shared" si="0"/>
        <v>45412</v>
      </c>
      <c r="S3" s="67">
        <f t="shared" si="0"/>
        <v>45443</v>
      </c>
      <c r="T3" s="67">
        <f t="shared" si="0"/>
        <v>45473</v>
      </c>
      <c r="U3" s="67">
        <f t="shared" si="0"/>
        <v>45504</v>
      </c>
      <c r="V3" s="67">
        <f t="shared" si="0"/>
        <v>45535</v>
      </c>
      <c r="W3" s="67">
        <f t="shared" si="0"/>
        <v>45565</v>
      </c>
      <c r="X3" s="67">
        <f t="shared" si="0"/>
        <v>45596</v>
      </c>
      <c r="Y3" s="67">
        <f t="shared" si="0"/>
        <v>45626</v>
      </c>
      <c r="Z3" s="67">
        <f t="shared" si="0"/>
        <v>45657</v>
      </c>
      <c r="AA3" s="67">
        <f t="shared" si="0"/>
        <v>45688</v>
      </c>
      <c r="AB3" s="67">
        <f t="shared" si="0"/>
        <v>45716</v>
      </c>
      <c r="AC3" s="67">
        <f t="shared" si="0"/>
        <v>45747</v>
      </c>
      <c r="AD3" s="67">
        <f t="shared" si="0"/>
        <v>45777</v>
      </c>
      <c r="AE3" s="67">
        <f t="shared" si="0"/>
        <v>45808</v>
      </c>
      <c r="AF3" s="67">
        <f t="shared" si="0"/>
        <v>45838</v>
      </c>
      <c r="AG3" s="67">
        <f t="shared" si="0"/>
        <v>45869</v>
      </c>
      <c r="AH3" s="67">
        <f t="shared" si="0"/>
        <v>45900</v>
      </c>
      <c r="AI3" s="67">
        <f t="shared" si="0"/>
        <v>45930</v>
      </c>
      <c r="AJ3" s="67">
        <f t="shared" si="0"/>
        <v>45961</v>
      </c>
      <c r="AK3" s="67">
        <f t="shared" si="0"/>
        <v>45991</v>
      </c>
      <c r="AL3" s="67">
        <f t="shared" si="0"/>
        <v>46022</v>
      </c>
      <c r="AM3" s="67">
        <f t="shared" ref="AM3:BE3" si="1">EOMONTH(AL3,1)</f>
        <v>46053</v>
      </c>
      <c r="AN3" s="67">
        <f t="shared" si="1"/>
        <v>46081</v>
      </c>
      <c r="AO3" s="67">
        <f t="shared" si="1"/>
        <v>46112</v>
      </c>
      <c r="AP3" s="67">
        <f t="shared" si="1"/>
        <v>46142</v>
      </c>
      <c r="AQ3" s="67">
        <f t="shared" si="1"/>
        <v>46173</v>
      </c>
      <c r="AR3" s="67">
        <f t="shared" si="1"/>
        <v>46203</v>
      </c>
      <c r="AS3" s="67">
        <f t="shared" si="1"/>
        <v>46234</v>
      </c>
      <c r="AT3" s="67">
        <f t="shared" si="1"/>
        <v>46265</v>
      </c>
      <c r="AU3" s="67">
        <f t="shared" si="1"/>
        <v>46295</v>
      </c>
      <c r="AV3" s="67">
        <f t="shared" si="1"/>
        <v>46326</v>
      </c>
      <c r="AW3" s="67">
        <f t="shared" si="1"/>
        <v>46356</v>
      </c>
      <c r="AX3" s="67">
        <f t="shared" si="1"/>
        <v>46387</v>
      </c>
      <c r="AY3" s="67">
        <f t="shared" si="1"/>
        <v>46418</v>
      </c>
      <c r="AZ3" s="67">
        <f t="shared" si="1"/>
        <v>46446</v>
      </c>
      <c r="BA3" s="67">
        <f t="shared" si="1"/>
        <v>46477</v>
      </c>
      <c r="BB3" s="67">
        <f t="shared" si="1"/>
        <v>46507</v>
      </c>
      <c r="BC3" s="67">
        <f t="shared" si="1"/>
        <v>46538</v>
      </c>
      <c r="BD3" s="67">
        <f t="shared" si="1"/>
        <v>46568</v>
      </c>
      <c r="BE3" s="67">
        <f t="shared" si="1"/>
        <v>46599</v>
      </c>
    </row>
    <row r="4" spans="2:57" x14ac:dyDescent="0.2">
      <c r="B4" s="69" t="s">
        <v>879</v>
      </c>
      <c r="C4" s="70">
        <v>1</v>
      </c>
      <c r="D4" s="70">
        <v>1</v>
      </c>
      <c r="E4" s="70">
        <v>1</v>
      </c>
      <c r="F4" s="70">
        <v>1</v>
      </c>
      <c r="G4" s="70">
        <v>1</v>
      </c>
      <c r="H4" s="70">
        <v>1</v>
      </c>
      <c r="I4" s="70">
        <v>1</v>
      </c>
      <c r="J4" s="70">
        <v>1</v>
      </c>
      <c r="K4" s="70">
        <v>1</v>
      </c>
      <c r="L4" s="70">
        <v>1</v>
      </c>
      <c r="M4" s="70">
        <v>1</v>
      </c>
      <c r="N4" s="70">
        <v>1</v>
      </c>
      <c r="O4" s="70">
        <v>1</v>
      </c>
      <c r="P4" s="70">
        <v>1</v>
      </c>
      <c r="Q4" s="70">
        <v>1</v>
      </c>
      <c r="R4" s="70">
        <v>1</v>
      </c>
      <c r="S4" s="70">
        <v>1</v>
      </c>
      <c r="T4" s="70">
        <v>1</v>
      </c>
      <c r="U4" s="70">
        <v>1</v>
      </c>
      <c r="V4" s="70">
        <v>1</v>
      </c>
      <c r="W4" s="70">
        <v>1</v>
      </c>
      <c r="X4" s="70">
        <v>1</v>
      </c>
      <c r="Y4" s="70">
        <v>1</v>
      </c>
      <c r="Z4" s="70">
        <v>1</v>
      </c>
      <c r="AA4" s="70">
        <v>1</v>
      </c>
      <c r="AB4" s="70">
        <v>1</v>
      </c>
      <c r="AC4" s="70">
        <v>1</v>
      </c>
      <c r="AD4" s="70">
        <v>1</v>
      </c>
      <c r="AE4" s="70">
        <v>1</v>
      </c>
      <c r="AF4" s="70">
        <v>1</v>
      </c>
      <c r="AG4" s="70">
        <v>1</v>
      </c>
      <c r="AH4" s="70">
        <v>1</v>
      </c>
      <c r="AI4" s="70">
        <v>1</v>
      </c>
      <c r="AJ4" s="70">
        <v>1</v>
      </c>
      <c r="AK4" s="70">
        <v>1</v>
      </c>
      <c r="AL4" s="70">
        <v>1</v>
      </c>
      <c r="AM4" s="70">
        <v>1</v>
      </c>
      <c r="AN4" s="70">
        <v>1</v>
      </c>
      <c r="AO4" s="70">
        <v>1</v>
      </c>
      <c r="AP4" s="70">
        <v>1</v>
      </c>
      <c r="AQ4" s="70">
        <v>1</v>
      </c>
      <c r="AR4" s="70">
        <v>1</v>
      </c>
      <c r="AS4" s="70">
        <v>1</v>
      </c>
      <c r="AT4" s="70">
        <v>1</v>
      </c>
      <c r="AU4" s="70">
        <v>1</v>
      </c>
      <c r="AV4" s="70">
        <v>1</v>
      </c>
      <c r="AW4" s="70">
        <v>1</v>
      </c>
      <c r="AX4" s="70">
        <v>1</v>
      </c>
      <c r="AY4" s="70">
        <v>1</v>
      </c>
      <c r="AZ4" s="70">
        <v>1</v>
      </c>
      <c r="BA4" s="70">
        <v>1</v>
      </c>
      <c r="BB4" s="70">
        <v>1</v>
      </c>
      <c r="BC4" s="70">
        <v>1</v>
      </c>
      <c r="BD4" s="70">
        <v>1</v>
      </c>
      <c r="BE4" s="70">
        <v>1</v>
      </c>
    </row>
    <row r="5" spans="2:57" x14ac:dyDescent="0.2">
      <c r="B5" s="69" t="s">
        <v>750</v>
      </c>
      <c r="C5" s="71">
        <v>568.54600000000005</v>
      </c>
      <c r="D5" s="71">
        <v>551.21199999999999</v>
      </c>
      <c r="E5" s="71">
        <v>567.548</v>
      </c>
      <c r="F5" s="71">
        <v>577.99</v>
      </c>
      <c r="G5" s="71">
        <v>570.79999999999995</v>
      </c>
      <c r="H5" s="71">
        <v>951.54</v>
      </c>
      <c r="I5" s="71">
        <v>995.52499999999998</v>
      </c>
      <c r="J5" s="71">
        <v>972.19500000000005</v>
      </c>
      <c r="K5" s="71">
        <v>948.02700000000004</v>
      </c>
      <c r="L5" s="71">
        <v>955.47500000000002</v>
      </c>
      <c r="M5" s="72">
        <v>1001.82</v>
      </c>
      <c r="N5" s="72">
        <v>1140.81</v>
      </c>
      <c r="O5" s="72">
        <v>1136.1400000000001</v>
      </c>
      <c r="P5" s="72">
        <v>2010.12</v>
      </c>
      <c r="Q5" s="72">
        <v>1756.41</v>
      </c>
      <c r="R5" s="72">
        <v>1676.37</v>
      </c>
      <c r="S5" s="72">
        <v>1741.06</v>
      </c>
      <c r="T5" s="72">
        <v>1940.77</v>
      </c>
      <c r="U5" s="72">
        <v>2091.4499999999998</v>
      </c>
      <c r="V5" s="72">
        <v>2091.38</v>
      </c>
      <c r="W5" s="72">
        <v>2230.4299999999998</v>
      </c>
      <c r="X5" s="72">
        <v>2134.63</v>
      </c>
      <c r="Y5" s="72">
        <v>2138.85</v>
      </c>
      <c r="Z5" s="72">
        <v>1943.56</v>
      </c>
      <c r="AA5" s="72">
        <v>1913.37</v>
      </c>
      <c r="AB5" s="72">
        <v>1894.3</v>
      </c>
      <c r="AC5" s="72">
        <v>1986.35</v>
      </c>
      <c r="AD5" s="72">
        <v>2147.71</v>
      </c>
      <c r="AE5" s="72">
        <v>2138.9499999999998</v>
      </c>
      <c r="AF5" s="72">
        <v>2114.4899999999998</v>
      </c>
      <c r="AG5" s="72">
        <v>2038.07</v>
      </c>
      <c r="AH5" s="72">
        <v>2076.27</v>
      </c>
      <c r="AI5" s="71">
        <v>1992.99</v>
      </c>
      <c r="AJ5" s="72">
        <v>1909.7</v>
      </c>
      <c r="AK5" s="71">
        <v>1914.07</v>
      </c>
      <c r="AL5" s="71">
        <v>1955.75</v>
      </c>
      <c r="AM5" s="72">
        <v>1906.26</v>
      </c>
      <c r="AN5" s="72">
        <v>1828.92</v>
      </c>
      <c r="AO5" s="72">
        <v>1828.1</v>
      </c>
      <c r="AP5" s="413">
        <v>1855.1</v>
      </c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</row>
    <row r="6" spans="2:57" x14ac:dyDescent="0.2">
      <c r="B6" s="69" t="s">
        <v>880</v>
      </c>
      <c r="C6" s="71">
        <v>499.34899999999999</v>
      </c>
      <c r="D6" s="71">
        <v>485.82299999999998</v>
      </c>
      <c r="E6" s="71">
        <v>499.76100000000002</v>
      </c>
      <c r="F6" s="71">
        <v>506.71</v>
      </c>
      <c r="G6" s="71">
        <v>493.82900000000001</v>
      </c>
      <c r="H6" s="71">
        <v>820.81</v>
      </c>
      <c r="I6" s="71">
        <v>853.61</v>
      </c>
      <c r="J6" s="71">
        <v>835.73199999999997</v>
      </c>
      <c r="K6" s="71">
        <v>820.98800000000006</v>
      </c>
      <c r="L6" s="71">
        <v>833.60900000000004</v>
      </c>
      <c r="M6" s="71">
        <v>866.57399999999996</v>
      </c>
      <c r="N6" s="71">
        <v>989.01599999999996</v>
      </c>
      <c r="O6" s="71">
        <v>970.09299999999996</v>
      </c>
      <c r="P6" s="72">
        <v>1719.9</v>
      </c>
      <c r="Q6" s="72">
        <v>1502.32</v>
      </c>
      <c r="R6" s="72">
        <v>1432.66</v>
      </c>
      <c r="S6" s="72">
        <v>1481.24</v>
      </c>
      <c r="T6" s="72">
        <v>1644.13</v>
      </c>
      <c r="U6" s="72">
        <v>1761.54</v>
      </c>
      <c r="V6" s="72">
        <v>1759.8</v>
      </c>
      <c r="W6" s="72">
        <v>1861.95</v>
      </c>
      <c r="X6" s="72">
        <v>1781.06</v>
      </c>
      <c r="Y6" s="72">
        <v>1778.25</v>
      </c>
      <c r="Z6" s="72">
        <v>1611.08</v>
      </c>
      <c r="AA6" s="72">
        <v>1601.36</v>
      </c>
      <c r="AB6" s="72">
        <v>1564.92</v>
      </c>
      <c r="AC6" s="72">
        <v>1662.55</v>
      </c>
      <c r="AD6" s="72">
        <v>1824.8</v>
      </c>
      <c r="AE6" s="72">
        <v>1801.58</v>
      </c>
      <c r="AF6" s="72">
        <v>1805.99</v>
      </c>
      <c r="AG6" s="72">
        <v>1760.54</v>
      </c>
      <c r="AH6" s="72">
        <v>1797.27</v>
      </c>
      <c r="AI6" s="71">
        <v>1739.75</v>
      </c>
      <c r="AJ6" s="72">
        <v>1680.25</v>
      </c>
      <c r="AK6" s="72">
        <v>1677.98</v>
      </c>
      <c r="AL6" s="71">
        <v>1705.25</v>
      </c>
      <c r="AM6" s="72">
        <v>1651.81</v>
      </c>
      <c r="AN6" s="72">
        <v>1602.42</v>
      </c>
      <c r="AO6" s="72">
        <v>1587.75</v>
      </c>
      <c r="AP6" s="414">
        <v>1607.41</v>
      </c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</row>
    <row r="7" spans="2:57" x14ac:dyDescent="0.2">
      <c r="B7" s="69" t="s">
        <v>881</v>
      </c>
      <c r="C7" s="71">
        <v>459.33</v>
      </c>
      <c r="D7" s="71">
        <v>459.51100000000002</v>
      </c>
      <c r="E7" s="71">
        <v>459.51900000000001</v>
      </c>
      <c r="F7" s="71">
        <v>459.98500000000001</v>
      </c>
      <c r="G7" s="71">
        <v>460.74099999999999</v>
      </c>
      <c r="H7" s="71">
        <v>753.68499999999995</v>
      </c>
      <c r="I7" s="71">
        <v>775.00699999999995</v>
      </c>
      <c r="J7" s="71">
        <v>766.94299999999998</v>
      </c>
      <c r="K7" s="71">
        <v>775.81200000000001</v>
      </c>
      <c r="L7" s="71">
        <v>787.38099999999997</v>
      </c>
      <c r="M7" s="71">
        <v>788.90700000000004</v>
      </c>
      <c r="N7" s="71">
        <v>896.14</v>
      </c>
      <c r="O7" s="71">
        <v>895.35</v>
      </c>
      <c r="P7" s="72">
        <v>1588.29</v>
      </c>
      <c r="Q7" s="72">
        <v>1392.12</v>
      </c>
      <c r="R7" s="72">
        <v>1336.88</v>
      </c>
      <c r="S7" s="72">
        <v>1369.27</v>
      </c>
      <c r="T7" s="72">
        <v>1534.92</v>
      </c>
      <c r="U7" s="72">
        <v>1628.48</v>
      </c>
      <c r="V7" s="72">
        <v>1590.15</v>
      </c>
      <c r="W7" s="72">
        <v>1667.98</v>
      </c>
      <c r="X7" s="72">
        <v>1643.34</v>
      </c>
      <c r="Y7" s="72">
        <v>1682.88</v>
      </c>
      <c r="Z7" s="72">
        <v>1546.8</v>
      </c>
      <c r="AA7" s="72">
        <v>1537.62</v>
      </c>
      <c r="AB7" s="72">
        <v>1498.11</v>
      </c>
      <c r="AC7" s="72">
        <v>1535.59</v>
      </c>
      <c r="AD7" s="72">
        <v>1601.9</v>
      </c>
      <c r="AE7" s="72">
        <v>1587.79</v>
      </c>
      <c r="AF7" s="72">
        <v>1541.49</v>
      </c>
      <c r="AG7" s="72">
        <v>1530.51</v>
      </c>
      <c r="AH7" s="72">
        <v>1538.23</v>
      </c>
      <c r="AI7" s="71">
        <v>1483.74</v>
      </c>
      <c r="AJ7" s="72">
        <v>1449.49</v>
      </c>
      <c r="AK7" s="72">
        <v>1447.25</v>
      </c>
      <c r="AL7" s="71">
        <v>1449.66</v>
      </c>
      <c r="AM7" s="72">
        <v>1387.71</v>
      </c>
      <c r="AN7" s="72">
        <v>1357.09</v>
      </c>
      <c r="AO7" s="72">
        <v>1382.76</v>
      </c>
      <c r="AP7" s="414">
        <v>1374.55</v>
      </c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</row>
    <row r="8" spans="2:57" x14ac:dyDescent="0.2">
      <c r="B8" s="69" t="s">
        <v>882</v>
      </c>
      <c r="C8" s="71">
        <v>125.032</v>
      </c>
      <c r="D8" s="71">
        <v>125.089</v>
      </c>
      <c r="E8" s="71">
        <v>125.09399999999999</v>
      </c>
      <c r="F8" s="71">
        <v>125.232</v>
      </c>
      <c r="G8" s="71">
        <v>125.42</v>
      </c>
      <c r="H8" s="71">
        <v>205.15899999999999</v>
      </c>
      <c r="I8" s="71">
        <v>210.95500000000001</v>
      </c>
      <c r="J8" s="71">
        <v>208.76900000000001</v>
      </c>
      <c r="K8" s="71">
        <v>211.191</v>
      </c>
      <c r="L8" s="71">
        <v>214.34200000000001</v>
      </c>
      <c r="M8" s="71">
        <v>214.779</v>
      </c>
      <c r="N8" s="71">
        <v>243.959</v>
      </c>
      <c r="O8" s="71">
        <v>243.73699999999999</v>
      </c>
      <c r="P8" s="71">
        <v>432.35599999999999</v>
      </c>
      <c r="Q8" s="71">
        <v>378.99799999999999</v>
      </c>
      <c r="R8" s="71">
        <v>363.93299999999999</v>
      </c>
      <c r="S8" s="71">
        <v>372.74799999999999</v>
      </c>
      <c r="T8" s="71">
        <v>417.84699999999998</v>
      </c>
      <c r="U8" s="71">
        <v>443.31200000000001</v>
      </c>
      <c r="V8" s="71">
        <v>432.88900000000001</v>
      </c>
      <c r="W8" s="71">
        <v>454.089</v>
      </c>
      <c r="X8" s="71">
        <v>447.34199999999998</v>
      </c>
      <c r="Y8" s="71">
        <v>458.12</v>
      </c>
      <c r="Z8" s="71">
        <v>421.072</v>
      </c>
      <c r="AA8" s="71">
        <v>418.58</v>
      </c>
      <c r="AB8" s="71">
        <v>407.86399999999998</v>
      </c>
      <c r="AC8" s="71">
        <v>418.03899999999999</v>
      </c>
      <c r="AD8" s="71">
        <v>436.06900000000002</v>
      </c>
      <c r="AE8" s="71">
        <v>432.25900000000001</v>
      </c>
      <c r="AF8" s="71">
        <v>419.67099999999999</v>
      </c>
      <c r="AG8" s="71">
        <v>416.66199999999998</v>
      </c>
      <c r="AH8" s="71">
        <v>418.75799999999998</v>
      </c>
      <c r="AI8" s="71">
        <v>403.92599999999999</v>
      </c>
      <c r="AJ8" s="71">
        <v>394.6</v>
      </c>
      <c r="AK8" s="71">
        <v>394.02499999999998</v>
      </c>
      <c r="AL8" s="71">
        <v>394.637</v>
      </c>
      <c r="AM8" s="71">
        <v>377.78800000000001</v>
      </c>
      <c r="AN8" s="71">
        <v>369.45499999999998</v>
      </c>
      <c r="AO8" s="71">
        <v>376.42700000000002</v>
      </c>
      <c r="AP8" s="415">
        <v>374.19600000000003</v>
      </c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Summary</vt:lpstr>
      <vt:lpstr>NG</vt:lpstr>
      <vt:lpstr>Group</vt:lpstr>
      <vt:lpstr>Segment Report</vt:lpstr>
      <vt:lpstr>Segment Report (3)</vt:lpstr>
      <vt:lpstr>Analysis</vt:lpstr>
      <vt:lpstr>Segment Report (2)</vt:lpstr>
      <vt:lpstr>MoM</vt:lpstr>
      <vt:lpstr>AIF's Request</vt:lpstr>
      <vt:lpstr>AFS Grouping</vt:lpstr>
      <vt:lpstr>PL_NG</vt:lpstr>
      <vt:lpstr>BS_NG</vt:lpstr>
      <vt:lpstr>TB_NG</vt:lpstr>
      <vt:lpstr>PL_UK</vt:lpstr>
      <vt:lpstr>BS_UK</vt:lpstr>
      <vt:lpstr>TB_UK</vt:lpstr>
      <vt:lpstr>PL_UAE</vt:lpstr>
      <vt:lpstr>BS_UAE</vt:lpstr>
      <vt:lpstr>TB_UAE</vt:lpstr>
      <vt:lpstr>FX Rate</vt:lpstr>
      <vt:lpstr>C_RATE</vt:lpstr>
      <vt:lpstr>P_RATE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Oyelola Bolade</dc:creator>
  <cp:keywords/>
  <dc:description/>
  <cp:lastModifiedBy>Oyelola Bolade</cp:lastModifiedBy>
  <cp:lastPrinted>2025-08-27T15:51:24Z</cp:lastPrinted>
  <dcterms:created xsi:type="dcterms:W3CDTF">2025-08-27T07:55:02Z</dcterms:created>
  <dcterms:modified xsi:type="dcterms:W3CDTF">2026-05-31T14:56:54Z</dcterms:modified>
  <cp:category/>
</cp:coreProperties>
</file>